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smkaszuba2\Downloads\"/>
    </mc:Choice>
  </mc:AlternateContent>
  <xr:revisionPtr revIDLastSave="0" documentId="13_ncr:1_{7B099048-06FF-4CB4-9627-A463CA830781}" xr6:coauthVersionLast="47" xr6:coauthVersionMax="47" xr10:uidLastSave="{00000000-0000-0000-0000-000000000000}"/>
  <bookViews>
    <workbookView xWindow="3270" yWindow="3150" windowWidth="21600" windowHeight="12645" tabRatio="834" activeTab="58"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Lines 4ab (IRA Dist.)" sheetId="100" r:id="rId10"/>
    <sheet name="SSA-1099" sheetId="40" r:id="rId11"/>
    <sheet name="1040" sheetId="2" r:id="rId12"/>
    <sheet name="Dependents" sheetId="95" r:id="rId13"/>
    <sheet name="Sch. 1" sheetId="78" r:id="rId14"/>
    <sheet name="Sch 1, Line 1 (SALT)" sheetId="12" r:id="rId15"/>
    <sheet name="Sch. 1, Line 20 (IRA)" sheetId="15" r:id="rId16"/>
    <sheet name="Sch. 1, Line 21 (Stu Loan)" sheetId="63" r:id="rId17"/>
    <sheet name="Sch. 2" sheetId="79" r:id="rId18"/>
    <sheet name="Sch. 3" sheetId="80" r:id="rId19"/>
    <sheet name="Earned Inc WS" sheetId="67" r:id="rId20"/>
    <sheet name="Lines 5ab (Simplified Meth WS)" sheetId="13" r:id="rId21"/>
    <sheet name="Line 6ab (SS Bene)" sheetId="14" r:id="rId22"/>
    <sheet name="Line 12 (SD Depnts)" sheetId="65" r:id="rId23"/>
    <sheet name="Line 16 (QDCG Tax)" sheetId="98" r:id="rId24"/>
    <sheet name="Line 27 (EIC)" sheetId="60"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103" r:id="rId42"/>
    <sheet name="8582" sheetId="102" r:id="rId43"/>
    <sheet name="8606" sheetId="91" r:id="rId44"/>
    <sheet name="8812" sheetId="76" r:id="rId45"/>
    <sheet name="8829" sheetId="97" r:id="rId46"/>
    <sheet name="8863" sheetId="90" r:id="rId47"/>
    <sheet name="8880" sheetId="99" r:id="rId48"/>
    <sheet name="8889" sheetId="71" r:id="rId49"/>
    <sheet name="8949A" sheetId="43" r:id="rId50"/>
    <sheet name="8949B" sheetId="49" r:id="rId51"/>
    <sheet name="8949C" sheetId="50" r:id="rId52"/>
    <sheet name="8949D" sheetId="88" r:id="rId53"/>
    <sheet name="8959" sheetId="52" r:id="rId54"/>
    <sheet name="8960" sheetId="53" r:id="rId55"/>
    <sheet name="8962" sheetId="58" r:id="rId56"/>
    <sheet name="8995" sheetId="82" r:id="rId57"/>
    <sheet name="EIC Table" sheetId="61" r:id="rId58"/>
    <sheet name="Tax Table" sheetId="36" r:id="rId59"/>
    <sheet name="Changes" sheetId="55" r:id="rId60"/>
  </sheets>
  <definedNames>
    <definedName name="Additional_Income">'Sch. 1'!$AC$49</definedName>
    <definedName name="AdditionalCTC">'8812'!$AL$88</definedName>
    <definedName name="Address">'1040'!$B$11</definedName>
    <definedName name="Adj_Gross_Inc">'1040'!$AD$63</definedName>
    <definedName name="AdjustToIncome">'Sch. 1'!$AC$92</definedName>
    <definedName name="AgPMT_Disaster">'1099-G'!$I$31</definedName>
    <definedName name="AgPMT_Other">'1099-G'!$I$32</definedName>
    <definedName name="Alaska">'1040'!$BD$8</definedName>
    <definedName name="AlimonyPaid">'Sch. 1'!$AC$62</definedName>
    <definedName name="AlimonyRcvd">'Sch. 1'!$AC$12</definedName>
    <definedName name="AltMinTaxInc">'6251'!$M$38</definedName>
    <definedName name="AMT">'6251'!$R$63</definedName>
    <definedName name="AMTExemption">'6251'!$AC$171</definedName>
    <definedName name="AMTExemptionFlag">'6251'!$AH$71</definedName>
    <definedName name="AO_Credit">'8863'!$AE$33</definedName>
    <definedName name="AOC_1">'8863'!$AE$111</definedName>
    <definedName name="AOC_2">'8863'!$AE$170</definedName>
    <definedName name="AOC_3">'8863'!$AE$229</definedName>
    <definedName name="AOC_4">'8863'!$AE$288</definedName>
    <definedName name="Apt_No.">'1040'!$X$11</definedName>
    <definedName name="ArcherMSADeduct">'Sch. 1'!$AC$68</definedName>
    <definedName name="BadBirthdate_Spouse">'1040'!$BA$108</definedName>
    <definedName name="BadBirthdate_Yours">'1040'!$BA$88</definedName>
    <definedName name="BadDeathDate">'1040'!$BH$107</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'1040'!$AY$2</definedName>
    <definedName name="Birthday_Needed">'1040'!$AY$99</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C'!$Y$67</definedName>
    <definedName name="BusinessIncomeLoss">'Sch. 1'!$AC$14</definedName>
    <definedName name="CapitalGains">'1040'!$AD$59</definedName>
    <definedName name="Care_Expenses">'Sch. 3'!$AC$13</definedName>
    <definedName name="CertainBusinessExp">'Sch. 1'!$AC$55</definedName>
    <definedName name="CGTW">'Line 16 (QDCG Tax)'!$R$8</definedName>
    <definedName name="CGTW_Line1">'Line 16 (QDCG Tax)'!$L$30</definedName>
    <definedName name="CGTW_Line13_HOH">'Line 16 (QDCG Tax)'!$N$54</definedName>
    <definedName name="CGTW_Line13_MFJQW">'Line 16 (QDCG Tax)'!$N$53</definedName>
    <definedName name="CGTW_Line13_MFS">'Line 16 (QDCG Tax)'!$N$52</definedName>
    <definedName name="CGTW_Line13_Single">'Line 16 (QDCG Tax)'!$N$51</definedName>
    <definedName name="CGTW_Line18_PCT">'Line 16 (QDCG Tax)'!$N$58</definedName>
    <definedName name="CGTW_Line21_PCT">'Line 16 (QDCG Tax)'!$N$61</definedName>
    <definedName name="CGTW_Line23">'Line 16 (QDCG Tax)'!$N$66</definedName>
    <definedName name="CGTW_Line24">'Line 16 (QDCG Tax)'!$N$69</definedName>
    <definedName name="CGTW_Line5">'Line 16 (QDCG Tax)'!$L$39</definedName>
    <definedName name="CGTW_Line6_HOH">'Line 16 (QDCG Tax)'!$N$43</definedName>
    <definedName name="CGTW_Line6_MFJQW">'Line 16 (QDCG Tax)'!$N$42</definedName>
    <definedName name="CGTW_Line6_SMFS">'Line 16 (QDCG Tax)'!$N$41</definedName>
    <definedName name="CGTW_Tax">'Line 16 (QDCG Tax)'!$N$73</definedName>
    <definedName name="Child_Tax_Credit">Dependents!$AQ$36</definedName>
    <definedName name="ChildUnder24">'6251'!$O$41</definedName>
    <definedName name="ChurchEmployee1">'Sch. SE'!$AE$12</definedName>
    <definedName name="ChurchEmployee2">'Sch. SE'!$AE$72</definedName>
    <definedName name="ChurchEmployeeInc1">'Sch. SE'!$AK$23</definedName>
    <definedName name="ChurchEmployeeInc2">'Sch. SE'!$AK$83</definedName>
    <definedName name="ChurchEmployeeIncome1">'Sch. SE'!$S$28</definedName>
    <definedName name="ChurchEmployeeIncome2">'Sch. SE'!$S$88</definedName>
    <definedName name="City_State_Zip">'1040'!$B$13</definedName>
    <definedName name="CombatPayNoTax">'1040'!$Z$51</definedName>
    <definedName name="CONV_FedTaxWH">'1099-R'!$F$62</definedName>
    <definedName name="CONV2ROTH">'1099-R'!$F$58</definedName>
    <definedName name="CredLimitWS_Line15">'8812'!$AK$226</definedName>
    <definedName name="CTC_AgeLimit">Dependents!$BD$4</definedName>
    <definedName name="CTCorCOD">'8812'!$AL$41</definedName>
    <definedName name="DaysInTaxYear">'1040'!$BB$2</definedName>
    <definedName name="Deduction">'1040'!$AK$64</definedName>
    <definedName name="Deductions">'1040'!$AD$64</definedName>
    <definedName name="DeferredIncomeNQ">'Earned Inc WS'!$J$64</definedName>
    <definedName name="DependCareBenefits">'W-2s'!$C$72</definedName>
    <definedName name="Dependent_Care">'2441'!$V$104</definedName>
    <definedName name="DependentCount">'1040'!$AM$39</definedName>
    <definedName name="DependentSPOUSE">'1040'!$P$29</definedName>
    <definedName name="DependentYOU">'1040'!$J$29</definedName>
    <definedName name="DependOther">Dependents!$AQ$37</definedName>
    <definedName name="DependQualNumber">'8812'!$AE$20</definedName>
    <definedName name="DependUnder17SSN">Dependents!$BE$37</definedName>
    <definedName name="Dividend_Inc">'Sch. B'!$I$66</definedName>
    <definedName name="Draft">'1040'!$BA$1</definedName>
    <definedName name="Dual_Status_Alien">'1040'!$G$30</definedName>
    <definedName name="Earned_Income">'Earned Inc WS'!$J$73</definedName>
    <definedName name="EarnedIncomeCredit">'Line 27 (EIC)'!$O$490</definedName>
    <definedName name="EarnedIncomeWSB">'Line 27 (EIC)'!$O$413</definedName>
    <definedName name="Education">'Sch. 3'!$AC$14</definedName>
    <definedName name="EducationCredits_NR">'8863'!$AE$55</definedName>
    <definedName name="EducatorExpenses">'Sch. 1'!$AC$53</definedName>
    <definedName name="EEHI_Credit">'Sch. 3'!$AL$17</definedName>
    <definedName name="EIC">'1040'!$Z$87</definedName>
    <definedName name="EIC_Check">'Line 27 (EIC)'!$A$40</definedName>
    <definedName name="EIC_EarnedIncome">'Line 27 (EIC)'!$K$256</definedName>
    <definedName name="EIC_Max_MFJ_NoChildren">'EIC Table'!$R$6</definedName>
    <definedName name="EIC_Max_MFJ_OneChild">'EIC Table'!$S$6</definedName>
    <definedName name="EIC_Max_MFJ_ThreeChildren">'EIC Table'!$U$6</definedName>
    <definedName name="EIC_Max_MFJ_TwoChildren">'EIC Table'!$T$6</definedName>
    <definedName name="EIC_Max_NoChildren">'EIC Table'!$N$6</definedName>
    <definedName name="EIC_Max_OneChild">'EIC Table'!$O$6</definedName>
    <definedName name="EIC_Max_ThreeChildren">'EIC Table'!$Q$6</definedName>
    <definedName name="EIC_Max_TwoChildren">'EIC Table'!$P$6</definedName>
    <definedName name="EIC_No">'Line 27 (EIC)'!$N$1</definedName>
    <definedName name="EIC_Started">'Line 27 (EIC)'!$A$38</definedName>
    <definedName name="EIC_Step3_Line3_Yes">'Line 27 (EIC)'!$B$153</definedName>
    <definedName name="EIC_trigger">'Line 27 (EIC)'!$M$33</definedName>
    <definedName name="EIC_WB_Part5_Line7">'Line 27 (EIC)'!$O$446</definedName>
    <definedName name="EIC_WSA_Part3">'Line 27 (EIC)'!$M$339</definedName>
    <definedName name="EIC_WSB_Part7">'Line 27 (EIC)'!$O$480</definedName>
    <definedName name="EICNumQualChild">'Line 27 (EIC)'!$B$108</definedName>
    <definedName name="Elderly_Credit">'Sch. 3'!$AC$22</definedName>
    <definedName name="EmployerCountSpouse">'W-2s'!$I$58</definedName>
    <definedName name="EmployerCountYou">'W-2s'!$I$27</definedName>
    <definedName name="EndOfTaxYear">'1040'!$BA$2</definedName>
    <definedName name="EstimatedTaxPayments">'1040'!$AD$86</definedName>
    <definedName name="Exception_QDCG_TW_SchD_TW">'Sch. D WS'!$W$62</definedName>
    <definedName name="ExcessSSTax">'Sch. 3'!$AC$43</definedName>
    <definedName name="Exempt_Interest_DIV">'1099-DIV'!$H$108</definedName>
    <definedName name="F1040_Line1z">'1040'!$AD$52</definedName>
    <definedName name="F1099_FedTaxWH">'1040'!$Z$83</definedName>
    <definedName name="F1099DIV_FedTaxWH">'1099-DIV'!$H$100</definedName>
    <definedName name="F1099DIV_SPABI">'1099-DIV'!$H$109</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INT_SPABI">'1099-INT'!$I$74</definedName>
    <definedName name="F1099R_CodeDTaxes">'1099-R'!$E$77</definedName>
    <definedName name="F2441_NonRefund">'2441'!$V$64</definedName>
    <definedName name="F2441_Refundable">'2441'!$V$61</definedName>
    <definedName name="F2555_Line43_Sp">'2555'!$AE$174</definedName>
    <definedName name="F2555_Line43_You">'2555'!$AE$173</definedName>
    <definedName name="F2555_Line45_1">'2555'!$AE$175</definedName>
    <definedName name="F2555_Line45_2">'2555'!$AE$364</definedName>
    <definedName name="F2555_Line45_Spouse">'2555'!$AO$393</definedName>
    <definedName name="F2555_Line45_Total">'2555'!$AM$394</definedName>
    <definedName name="F2555_Line45_You">'2555'!$AM$393</definedName>
    <definedName name="F2555_Line50_NotZero">'2555'!$AM$401</definedName>
    <definedName name="F4952_Line_4g">'Sch. D WS'!$P$79</definedName>
    <definedName name="F6251_Needed">'6251'!$P$1</definedName>
    <definedName name="F6251_PIII">'6251'!$R$53</definedName>
    <definedName name="F8582_Line9">'8582'!$AE$39</definedName>
    <definedName name="F8582_MAGI">'8582'!$AU$35</definedName>
    <definedName name="F8812_NoAdditionalCTC">'8812'!$AL$87</definedName>
    <definedName name="F8812_Skip_Part_II_A">'8812'!$AL$56</definedName>
    <definedName name="F8812_Skip_Part_II_B">'8812'!$AL$73</definedName>
    <definedName name="F8829_Deduction">'8829'!$AE$55</definedName>
    <definedName name="F8829_SchC_1">'8829'!$AS$24</definedName>
    <definedName name="F8829_SchC_2">'8829'!$AS$25</definedName>
    <definedName name="F8880_Credit">'8880'!$AE$48</definedName>
    <definedName name="F8889_Line1">'8889'!$Q$17</definedName>
    <definedName name="F8889_Line13">'8889'!$K$136</definedName>
    <definedName name="F8889_Line16">'8889'!$K$139</definedName>
    <definedName name="F8889_Line17b">'8889'!$K$142</definedName>
    <definedName name="F8889_Line20">'8889'!$K$145</definedName>
    <definedName name="F8889_Line21">'8889'!$K$148</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8978_Credit">'Sch. 3'!$W$30</definedName>
    <definedName name="FarmIncomeLoss">'Sch. 1'!$AC$17</definedName>
    <definedName name="FarmOptMeth1">'Sch. SE'!$X$51</definedName>
    <definedName name="FarmOptMeth2">'Sch. SE'!$X$111</definedName>
    <definedName name="FarmProfitNet">'Sch. F'!$AB$55</definedName>
    <definedName name="Fed_Inc_Tax_WH_Line_25d">'1040'!$AD$85</definedName>
    <definedName name="FedFuelTaxCredit">'Sch. 3'!$AC$44</definedName>
    <definedName name="FEI_Exclusion_Limit">'2555'!$AE$159</definedName>
    <definedName name="FEI_Exclusion_Max">'2555'!$AE$159</definedName>
    <definedName name="FEI_HousingDeduction">'2555'!$AO$405</definedName>
    <definedName name="FEI_HousingDeduction1">'2555'!$AE$189</definedName>
    <definedName name="FEI_HousingDeduction2">'2555'!$AE$378</definedName>
    <definedName name="FEI_HousingExclusion">'2555'!$AO$404</definedName>
    <definedName name="FEI_HousingExclusion1">'2555'!$AE$155</definedName>
    <definedName name="FEI_HousingExclusion2">'2555'!$AE$344</definedName>
    <definedName name="FEI_Tax_Worksheet">'Line 16 (QDCG Tax)'!$R$77</definedName>
    <definedName name="FEI_Tax_WS_Required">'2555'!$AO$406</definedName>
    <definedName name="FEI_TW_Line2c">'Line 16 (QDCG Tax)'!$N$85</definedName>
    <definedName name="FEI_TW_Line3">'Line 16 (QDCG Tax)'!$N$87</definedName>
    <definedName name="File_Head">'1040'!$W$18</definedName>
    <definedName name="File_Marr_Joint">'1040'!$F$20</definedName>
    <definedName name="File_Marr_Sep">'1040'!$F$22</definedName>
    <definedName name="File_Qual_Widow">'1040'!$W$22</definedName>
    <definedName name="File_Single">'1040'!$F$18</definedName>
    <definedName name="File8960">'8960'!$Q$3</definedName>
    <definedName name="FilingScheduleD">'Line 16 (QDCG Tax)'!$J$32</definedName>
    <definedName name="FilingStatusError">'1040'!$AK$9</definedName>
    <definedName name="Foreign_Tax_Credit">'Sch. 3'!$AC$11</definedName>
    <definedName name="ForeignEarnedIncome">'2555'!$AO$324</definedName>
    <definedName name="ForeignEarnedIncome1">'2555'!$AO$134</definedName>
    <definedName name="ForeignEarnedIncome2">'2555'!$AO$323</definedName>
    <definedName name="ForeignHousingDeduction1">'2555'!$AO$189</definedName>
    <definedName name="ForeignHousingDeduction2">'2555'!$AO$378</definedName>
    <definedName name="ForeignHousingDeductionSpouse">'2555'!$AO$399</definedName>
    <definedName name="ForeignHousingDeductionTotal">'2555'!$AM$400</definedName>
    <definedName name="ForeignHousingDeductionYou">'2555'!$AM$399</definedName>
    <definedName name="ForeignIncExclusion">'2555'!$AE$168</definedName>
    <definedName name="ForeignIncExclusion1">'2555'!$AE$168</definedName>
    <definedName name="ForeignIncExclusion2">'2555'!$AE$357</definedName>
    <definedName name="ForeignIncExclusionSpouse">'2555'!$AO$387</definedName>
    <definedName name="ForeignIncExclusionTotal">'2555'!$AM$388</definedName>
    <definedName name="ForeignIncExclusionYou">'2555'!$AM$387</definedName>
    <definedName name="ForeignTaxCredit_1">'1116'!$AL$138</definedName>
    <definedName name="ForeignTaxCredit_2">'1116'!$AL$268</definedName>
    <definedName name="ForeignTaxCredit_3">'1116'!$AL$397</definedName>
    <definedName name="ForeignTaxPaid">'1116'!$AO$8</definedName>
    <definedName name="ForeignTaxPaid_DIV">'1099-DIV'!$H$103</definedName>
    <definedName name="ForeignTaxPaid_F1116">'1116'!$AQ$9</definedName>
    <definedName name="ForeignTaxPaid_INT">'1099-INT'!$I$71</definedName>
    <definedName name="ForeignTaxPaid_INT_DIV">'1099-DIV'!$I$92</definedName>
    <definedName name="ForeignTaxThreshold">'1116'!$AQ$6</definedName>
    <definedName name="Form2210_Line7">'2210'!$U$45</definedName>
    <definedName name="Form2555_Used">'2555'!$AM$190</definedName>
    <definedName name="Form4952_Filed">'Sch. D'!$O$79</definedName>
    <definedName name="Form4952_Line4e">'Sch. D WS'!$J$79</definedName>
    <definedName name="Form4952_Line4g">'Sch. D WS'!$J$78</definedName>
    <definedName name="Form8863">'1040'!$J$86</definedName>
    <definedName name="Form8960_Threshhold">'8960'!$N$45</definedName>
    <definedName name="Hawaii">'1040'!$BE$8</definedName>
    <definedName name="HouseholdEmpTaxes">'Sch. 2'!$AN$16</definedName>
    <definedName name="HSA_Deduct">'Sch. 1'!$AC$56</definedName>
    <definedName name="InmateIncome">'Earned Inc WS'!$J$59</definedName>
    <definedName name="Interest_Inc">'Sch. B'!$I$43</definedName>
    <definedName name="InvExpDIV">'1099-DIV'!$H$102</definedName>
    <definedName name="InvExpINT">'1099-INT'!$I$70</definedName>
    <definedName name="IRA_CONV_SPOUSE" localSheetId="9">'1099-R'!$O$31</definedName>
    <definedName name="IRA_CONV_SPOUSE">'1099-R'!$O$31</definedName>
    <definedName name="IRA_CONV_TAXABLE_SPOUSE" localSheetId="9">'1099-R'!$O$32</definedName>
    <definedName name="IRA_CONV_TAXABLE_SPOUSE">'1099-R'!$O$32</definedName>
    <definedName name="IRA_CONV_TAXABLE_YOU">'1099-R'!$O$5</definedName>
    <definedName name="IRA_CONV_YOU">'1099-R'!$O$4</definedName>
    <definedName name="IRA_Deduction">'Sch. 1, Line 20 (IRA)'!$L$102</definedName>
    <definedName name="IRA_Dist_SPOUSE">'1099-R'!$M$31</definedName>
    <definedName name="IRA_Dist_YOU">'1099-R'!$M$4</definedName>
    <definedName name="IRA_FedTaxWH">'1099-R'!$D$62</definedName>
    <definedName name="IRA_Gross">'1099-R'!$D$58</definedName>
    <definedName name="IRA_HFD">'Lines 4ab (IRA Dist.)'!$A$64</definedName>
    <definedName name="IRA_QCD">'Lines 4ab (IRA Dist.)'!$A$46</definedName>
    <definedName name="IRA_Rollover">'Lines 4ab (IRA Dist.)'!$A$13</definedName>
    <definedName name="IRA_Taxable">'1040'!$AD$55</definedName>
    <definedName name="IRA_Taxable_1099R">'1099-R'!$D$59</definedName>
    <definedName name="IRA_Taxable_Spouse">'1099-R'!$M$32</definedName>
    <definedName name="IRA_Taxable_You">'1099-R'!$M$5</definedName>
    <definedName name="IRAContrib_Taxable1">'8606'!$AE$65</definedName>
    <definedName name="IRAContrib_Taxable2">'8606'!$AE$173</definedName>
    <definedName name="IRAConvert_Taxable1">'8606'!$AM$79</definedName>
    <definedName name="IRAConvert_Taxable2">'8606'!$AM$187</definedName>
    <definedName name="IRADeduct">'Sch. 1'!$AC$65</definedName>
    <definedName name="Item_Deduct_Wks_L9">'Sch. A'!$AH$100</definedName>
    <definedName name="ItemizeAnyway">'Sch. A'!$B$65</definedName>
    <definedName name="ItemizedDeduct">'1040'!$AZ$58</definedName>
    <definedName name="LeapYear">'1040'!$AZ$2</definedName>
    <definedName name="Line33_NOT">'Sch. 1, Line 21 (Stu Loan)'!$L$9</definedName>
    <definedName name="LivedApart">'1040'!$AR$8</definedName>
    <definedName name="LivedApartAnswered">'1040'!$AR$7</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'W-2s'!$C$86</definedName>
    <definedName name="MarketDiscount">'1099-INT'!$I$76</definedName>
    <definedName name="MaxSSTax">'W-2s'!$L$1</definedName>
    <definedName name="MaxSSTaxEarnings">'W-2s'!$G$1</definedName>
    <definedName name="MedCare_Tax_Withheld">'W-2s'!$C$69</definedName>
    <definedName name="MedCare_wages">'W-2s'!$C$68</definedName>
    <definedName name="MedicareTaxRate">'8959'!$K$57</definedName>
    <definedName name="MFS_Spouse_NotFiling">'1040'!$AL$9</definedName>
    <definedName name="ModAdjGrossInc">'8960'!$AC$69</definedName>
    <definedName name="MovExp_ArmedForces">'Sch. 1'!$AC$57</definedName>
    <definedName name="Name_1st_Sp">'1040'!$B$9</definedName>
    <definedName name="Name_1st_Yours">'1040'!$B$7</definedName>
    <definedName name="Name_Last_Sp">'1040'!$N$9</definedName>
    <definedName name="Name_Last_Yours">'1040'!$N$7</definedName>
    <definedName name="Names">'1040'!$AW$9</definedName>
    <definedName name="NameSpouse">'1040'!$AY$11</definedName>
    <definedName name="NameYours">'1040'!$AW$11</definedName>
    <definedName name="Needs_SALT">'Sch 1, Line 1 (SALT)'!$L$74</definedName>
    <definedName name="NetCapitalGain">'8995'!$AC$39</definedName>
    <definedName name="NoColor">'1040'!$AQ$2</definedName>
    <definedName name="NoEICredit">'Line 27 (EIC)'!$A$1</definedName>
    <definedName name="NonFarmOptMeth1">'Sch. SE'!$X$57</definedName>
    <definedName name="NonFarmOptMeth2">'Sch. SE'!$X$117</definedName>
    <definedName name="NonQualAnnuity">'1099-R'!$E$65</definedName>
    <definedName name="NoOnLine66a">'Line 27 (EIC)'!$B$1</definedName>
    <definedName name="NoSSN">'1040'!$AQ$3</definedName>
    <definedName name="NOT_MFJ">'1040'!$BB$106</definedName>
    <definedName name="NQDisasterLoss">'Sch. A'!$Q$57</definedName>
    <definedName name="NumFileStatusBoxes">'1040'!$AK$8</definedName>
    <definedName name="OPRC">'Sch. 3'!$AC$56</definedName>
    <definedName name="OrdinaryDividends">'1040'!$AD$54</definedName>
    <definedName name="OtherGainsLosses">'Sch. 1'!$AL$15</definedName>
    <definedName name="OtherIncome">'Sch. 1'!$AC$47</definedName>
    <definedName name="OtherIncome1040">'1040'!$AD$60</definedName>
    <definedName name="Over_65_or_Blind">'1040'!$AV$18</definedName>
    <definedName name="Overpaid">'1040'!$AD$94</definedName>
    <definedName name="PA_FedTaxWH">'1099-R'!$E$62</definedName>
    <definedName name="PA_Gross">'1099-R'!$E$58</definedName>
    <definedName name="PA_Taxable">'1040'!$AD$56</definedName>
    <definedName name="PA_Taxable_1099R">'1099-R'!$E$59</definedName>
    <definedName name="PA_Taxable_Spouse">'1099-R'!$N$32</definedName>
    <definedName name="PA_Taxable_You">'1099-R'!$N$5</definedName>
    <definedName name="PassiveIncomeLoss">'8582'!$AE$24</definedName>
    <definedName name="Penalty4EW">'1099-INT'!$I$66</definedName>
    <definedName name="PenaltyEarlyWithdraw">'Sch. 1'!$AC$61</definedName>
    <definedName name="PenalyOwedFlag">'2210'!$W$51</definedName>
    <definedName name="Pension_taxable">'Lines 5ab (Simplified Meth WS)'!$L$62</definedName>
    <definedName name="Pension_total">'1099-R'!$I$58</definedName>
    <definedName name="PensionsAnnuities">'1040'!$O$56</definedName>
    <definedName name="POCV_Credit">'Sch. 3'!$AC$31</definedName>
    <definedName name="_xlnm.Print_Area" localSheetId="11">'1040'!$B$3:$AI$119</definedName>
    <definedName name="_xlnm.Print_Area" localSheetId="5">'1099-DIV'!$A$1:$J$113</definedName>
    <definedName name="_xlnm.Print_Area" localSheetId="6">'1099-G'!$A$1:$K$38</definedName>
    <definedName name="_xlnm.Print_Area" localSheetId="4">'1099-INT'!$A$1:$J$83</definedName>
    <definedName name="_xlnm.Print_Area" localSheetId="7">'1099-MISC'!$B$2:$N$40</definedName>
    <definedName name="_xlnm.Print_Area" localSheetId="8">'1099-R'!$A$1:$P$78</definedName>
    <definedName name="_xlnm.Print_Area" localSheetId="35">'1116'!$B$10:$AO$398</definedName>
    <definedName name="_xlnm.Print_Area" localSheetId="36">'2210'!$B$6:$W$169</definedName>
    <definedName name="_xlnm.Print_Area" localSheetId="37">'2441'!$B$3:$W$242</definedName>
    <definedName name="_xlnm.Print_Area" localSheetId="38">'2555'!$B$2:$AJ$190</definedName>
    <definedName name="_xlnm.Print_Area" localSheetId="39">'4562'!$B$2:$AJ$119</definedName>
    <definedName name="_xlnm.Print_Area" localSheetId="40">'6251'!$B$4:$M$126</definedName>
    <definedName name="_xlnm.Print_Area" localSheetId="41">'8283'!$B$2:$AO$132</definedName>
    <definedName name="_xlnm.Print_Area" localSheetId="42">'8582'!$B$2:$AJ$140</definedName>
    <definedName name="_xlnm.Print_Area" localSheetId="43">'8606'!$B$7:$AJ$222</definedName>
    <definedName name="_xlnm.Print_Area" localSheetId="44">'8812'!$B$4:$AP$231</definedName>
    <definedName name="_xlnm.Print_Area" localSheetId="45">'8829'!$B$2:$AJ$66</definedName>
    <definedName name="_xlnm.Print_Area" localSheetId="46">'8863'!$B$2:$AJ$292</definedName>
    <definedName name="_xlnm.Print_Area" localSheetId="47">'8880'!$B$2:$AJ$52</definedName>
    <definedName name="_xlnm.Print_Area" localSheetId="48">'8889'!$B$4:$M$126</definedName>
    <definedName name="_xlnm.Print_Area" localSheetId="49">'8949A'!$B$4:$AF$122</definedName>
    <definedName name="_xlnm.Print_Area" localSheetId="50">'8949B'!$B$4:$AF$122</definedName>
    <definedName name="_xlnm.Print_Area" localSheetId="51">'8949C'!$B$4:$AF$122</definedName>
    <definedName name="_xlnm.Print_Area" localSheetId="52">'8949D'!$B$4:$AF$122</definedName>
    <definedName name="_xlnm.Print_Area" localSheetId="53">'8959'!$B$8:$M$66</definedName>
    <definedName name="_xlnm.Print_Area" localSheetId="54">'8960'!$B$5:$N$61</definedName>
    <definedName name="_xlnm.Print_Area" localSheetId="55">'8962'!$B$4:$AJ$120</definedName>
    <definedName name="_xlnm.Print_Area" localSheetId="56">'8995'!$B$2:$AG$47</definedName>
    <definedName name="_xlnm.Print_Area" localSheetId="0">Coversheet!$B$2:$K$67</definedName>
    <definedName name="_xlnm.Print_Area" localSheetId="12">Dependents!$B$4:$AO$30</definedName>
    <definedName name="_xlnm.Print_Area" localSheetId="19">'Earned Inc WS'!$B$2:$K$82</definedName>
    <definedName name="_xlnm.Print_Area" localSheetId="2">Instructions!$A:$L</definedName>
    <definedName name="_xlnm.Print_Area" localSheetId="22">'Line 12 (SD Depnts)'!$B$2:$O$35</definedName>
    <definedName name="_xlnm.Print_Area" localSheetId="23">'Line 16 (QDCG Tax)'!$B$21:$O$119</definedName>
    <definedName name="_xlnm.Print_Area" localSheetId="24">'Line 27 (EIC)'!$A$1:$Y$491</definedName>
    <definedName name="_xlnm.Print_Area" localSheetId="21">'Line 6ab (SS Bene)'!$B$2:$K$55</definedName>
    <definedName name="_xlnm.Print_Area" localSheetId="9">'Lines 4ab (IRA Dist.)'!$B$2:$X$93</definedName>
    <definedName name="_xlnm.Print_Area" localSheetId="20">'Lines 5ab (Simplified Meth WS)'!$B$32:$M$94</definedName>
    <definedName name="_xlnm.Print_Area" localSheetId="14">'Sch 1, Line 1 (SALT)'!$B$22:$M$80</definedName>
    <definedName name="_xlnm.Print_Area" localSheetId="13">'Sch. 1'!$B$2:$AG$94</definedName>
    <definedName name="_xlnm.Print_Area" localSheetId="15">'Sch. 1, Line 20 (IRA)'!$B$2:$T$103</definedName>
    <definedName name="_xlnm.Print_Area" localSheetId="16">'Sch. 1, Line 21 (Stu Loan)'!$B$2:$M$35</definedName>
    <definedName name="_xlnm.Print_Area" localSheetId="17">'Sch. 2'!$B$2:$AG$74</definedName>
    <definedName name="_xlnm.Print_Area" localSheetId="18">'Sch. 3'!$B$2:$AG$57</definedName>
    <definedName name="_xlnm.Print_Area" localSheetId="25">'Sch. A'!$B$9:$O$66</definedName>
    <definedName name="_xlnm.Print_Area" localSheetId="26">'Sch. B'!$B$14:$O$85</definedName>
    <definedName name="_xlnm.Print_Area" localSheetId="27">'Sch. C'!$B$2:$U$229</definedName>
    <definedName name="_xlnm.Print_Area" localSheetId="28">'Sch. D'!$B$2:$P$99</definedName>
    <definedName name="_xlnm.Print_Area" localSheetId="29">'Sch. D WS'!$B$1:$Q$146</definedName>
    <definedName name="_xlnm.Print_Area" localSheetId="30">'Sch. E'!$B$2:$AO$265</definedName>
    <definedName name="_xlnm.Print_Area" localSheetId="31">'Sch. E (2)'!$B$2:$AO$265</definedName>
    <definedName name="_xlnm.Print_Area" localSheetId="32">'Sch. F'!$B$3:$AE$122</definedName>
    <definedName name="_xlnm.Print_Area" localSheetId="33">'Sch. R'!$B$13:$AB$127</definedName>
    <definedName name="_xlnm.Print_Area" localSheetId="34">'Sch. SE'!$B$2:$Z$121</definedName>
    <definedName name="_xlnm.Print_Area" localSheetId="10">'SSA-1099'!$A$1:$K$35</definedName>
    <definedName name="_xlnm.Print_Area" localSheetId="1">'Table of Contents'!$B$2:$C$66</definedName>
    <definedName name="_xlnm.Print_Area" localSheetId="58">'Tax Table'!$B$1:$G$2063</definedName>
    <definedName name="_xlnm.Print_Area" localSheetId="3">'W-2s'!$A$1:$M$86</definedName>
    <definedName name="_xlnm.Print_Titles" localSheetId="1">'Table of Contents'!$1:$1</definedName>
    <definedName name="_xlnm.Print_Titles" localSheetId="58">'Tax Table'!$1:$1</definedName>
    <definedName name="PTC_Excess">'8962'!$AE$69</definedName>
    <definedName name="PTC_ExcessAdv">'Sch. 2'!$AC$12</definedName>
    <definedName name="PTC_Net">'8962'!$AE$64</definedName>
    <definedName name="PTCNet">'Sch. 3'!$AC$41</definedName>
    <definedName name="PuertoRicoResident">'8812'!$AS$3</definedName>
    <definedName name="QBID">'8995'!$AC$43</definedName>
    <definedName name="QBID_1040">'1040'!$AD$65</definedName>
    <definedName name="QBID_Income2High">'8995'!$AL$10</definedName>
    <definedName name="QPIMV_Credit">'Sch. 3'!$AC$24</definedName>
    <definedName name="Qual_Child_Count">'1040'!$AM$38</definedName>
    <definedName name="QualDiv_1099DIV">'1099-DIV'!$H$94</definedName>
    <definedName name="Qualified_Dividends">'1040'!$O$54</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sNRGCredit">'Sch. 3'!$AL$16</definedName>
    <definedName name="Retirement_Savings">'Sch. 3'!$AC$15</definedName>
    <definedName name="RevDateTime">Changes!$F$1</definedName>
    <definedName name="RothIRADist_Taxable1">'8606'!$AE$102</definedName>
    <definedName name="RothIRADist_Taxable2">'8606'!$AE$210</definedName>
    <definedName name="RRTA_Compensation">'W-2s'!$C$80</definedName>
    <definedName name="RRTA_TaxWH">'W-2s'!$C$81</definedName>
    <definedName name="RTAApayments">'1099-G'!$I$29</definedName>
    <definedName name="SALT_Refund">'1099-G'!$I$26</definedName>
    <definedName name="Sch.B_Reqd">'1099-DIV'!$I$119</definedName>
    <definedName name="Sch1_Line1">'Sch. 1'!$AC$11</definedName>
    <definedName name="Sch1_Line8s">'Sch. 1'!$X$41</definedName>
    <definedName name="Sch1Lines10Thru21">'Sch. 1'!$AC$91</definedName>
    <definedName name="Sch3_NonRefundCredits">'Sch. 3'!$AC$36</definedName>
    <definedName name="SchA_Blank">'Sch. A'!$O$73</definedName>
    <definedName name="SchA_Filed">'Sch. A'!$Q$9</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Tax)'!$R$14</definedName>
    <definedName name="SchD_Line1516_GT_0">'Sch. D WS'!$W$55</definedName>
    <definedName name="SchD_Line1819_GT_0">'Sch. D WS'!$W$54</definedName>
    <definedName name="SchD_NotReqd">'1040'!$AO$65</definedName>
    <definedName name="SchD_Used">'Sch. D'!$N$57</definedName>
    <definedName name="SchDLine15">'Sch. D'!$N$50</definedName>
    <definedName name="SchDLine16">'Sch. D'!$N$58</definedName>
    <definedName name="SchDLine18">'Sch. D'!$N$73</definedName>
    <definedName name="SchDLine19">'Sch. D'!$N$76</definedName>
    <definedName name="SchDLine20No">'Sch. D'!$A$82</definedName>
    <definedName name="SchDLine20Yes">'Sch. D'!$A$79</definedName>
    <definedName name="SchDLine22Yes">'Sch. D'!$A$94</definedName>
    <definedName name="SchDTW_Exception">'Sch. D WS'!$AC$58</definedName>
    <definedName name="SchDTW_Line1">'Sch. D WS'!$P$74</definedName>
    <definedName name="SchDTW_Line15">'Sch. D WS'!$L$91</definedName>
    <definedName name="SchDTW_Line19">'Sch. D WS'!$L$98</definedName>
    <definedName name="SchDTW_Line21">'Sch. D WS'!$N$102</definedName>
    <definedName name="SchDTW_Line24">'Sch. D WS'!$L$110</definedName>
    <definedName name="SchDTW_Line26">'Sch. D WS'!$L$110</definedName>
    <definedName name="SchDTW_Line31Rate">'Sch. D WS'!$R$117</definedName>
    <definedName name="SchDTW_Line34Rate">'Sch. D WS'!$R$121</definedName>
    <definedName name="SchDTW_Line40Rate">'Sch. D WS'!$R$128</definedName>
    <definedName name="SchDTW_Line43Rate">'Sch. D WS'!$R$132</definedName>
    <definedName name="SchDTW_Line45">'Sch. D WS'!$P$141</definedName>
    <definedName name="SchDTW_Tax">'Sch. D WS'!$P$141</definedName>
    <definedName name="SchDTW_Used">'Sch. D WS'!$W$64</definedName>
    <definedName name="SchE_IncomeLoss">'Sch. 1'!$AC$16</definedName>
    <definedName name="SchE1_Completed">'Sch. E'!$AV$123</definedName>
    <definedName name="SchE1_Line26">'Sch. E'!$AJ$63</definedName>
    <definedName name="SchE1_Line32">'Sch. E'!$AH$96</definedName>
    <definedName name="SchE1_Line37">'Sch. E'!$AJ$113</definedName>
    <definedName name="SchE1_Line39">'Sch. E'!$AJ$119</definedName>
    <definedName name="SchE1_Line40">'Sch. E'!$AJ$121</definedName>
    <definedName name="SchE1_Line41">'Sch. E'!$AJ$123</definedName>
    <definedName name="SchE2_Completed">'Sch. E'!$AV$255</definedName>
    <definedName name="SchE2_Line26">'Sch. E'!$AJ$195</definedName>
    <definedName name="SchE2_Line32">'Sch. E'!$AH$228</definedName>
    <definedName name="SchE2_Line37">'Sch. E'!$AJ$245</definedName>
    <definedName name="SchE2_Line39">'Sch. E'!$AJ$251</definedName>
    <definedName name="SchE2_Line40">'Sch. E'!$AJ$253</definedName>
    <definedName name="SchE2_Line41">'Sch. E'!$AJ$255</definedName>
    <definedName name="SchE3_Completed">'Sch. E (2)'!$AV$123</definedName>
    <definedName name="SchE3_Line26">'Sch. E (2)'!$AJ$63</definedName>
    <definedName name="SchE3_Line32">'Sch. E (2)'!$AH$96</definedName>
    <definedName name="SchE3_Line37">'Sch. E (2)'!$AJ$113</definedName>
    <definedName name="SchE3_Line39">'Sch. E (2)'!$AJ$119</definedName>
    <definedName name="SchE3_Line40">'Sch. E (2)'!$AJ$121</definedName>
    <definedName name="SchE3_Line41">'Sch. E (2)'!$AJ$123</definedName>
    <definedName name="SchE4_Completed">'Sch. E (2)'!$AV$255</definedName>
    <definedName name="SchE4_Line26">'Sch. E (2)'!$AJ$195</definedName>
    <definedName name="SchE4_Line32">'Sch. E (2)'!$AH$228</definedName>
    <definedName name="SchE4_Line37">'Sch. E (2)'!$AJ$245</definedName>
    <definedName name="SchE4_Line39">'Sch. E (2)'!$AJ$251</definedName>
    <definedName name="SchE4_Line40">'Sch. E (2)'!$AJ$253</definedName>
    <definedName name="SchE4_Line41">'Sch. E (2)'!$AJ$255</definedName>
    <definedName name="Schedule2_Tax">'Sch. 2'!$AC$13</definedName>
    <definedName name="ScheduleE1">'Sch. E'!$AV$124</definedName>
    <definedName name="ScheduleE2">'Sch. E'!$AV$256</definedName>
    <definedName name="ScheduleE3">'Sch. E (2)'!$AV$124</definedName>
    <definedName name="ScheduleE4">'Sch. E (2)'!$AV$256</definedName>
    <definedName name="ScheduleF_PartIII">'Sch. F'!$AB$94</definedName>
    <definedName name="SchF_SchSE_1">'Sch. F'!$AI$58</definedName>
    <definedName name="SchF_SchSE_2">'Sch. F'!$AI$61</definedName>
    <definedName name="SchF_SSN">'Sch. F'!$W$9</definedName>
    <definedName name="Scholarship_NotW2">'Earned Inc WS'!$J$57</definedName>
    <definedName name="SchR_Line22">'Sch. R'!$Y$126</definedName>
    <definedName name="SchRQualify">'Sch. R'!$R$12</definedName>
    <definedName name="SchSE_Clergy_CEI_Sp">'Sch. SE'!$AM$108</definedName>
    <definedName name="SchSE_Clergy_CEI_You">'Sch. SE'!$AL$108</definedName>
    <definedName name="SchSE_Clergy1_Sp">'Sch. SE'!$AL$12</definedName>
    <definedName name="SchSE_Clergy1_You">'Sch. SE'!$AJ$12</definedName>
    <definedName name="SchSE_Clergy2_Sp">'Sch. SE'!$AL$72</definedName>
    <definedName name="SchSE_Clergy2_You">'Sch. SE'!$AJ$72</definedName>
    <definedName name="SchSE_Deduction">'Sch. SE'!$AL$126</definedName>
    <definedName name="SchSE_Deduction_Both">'Sch. SE'!$AN$125</definedName>
    <definedName name="SchSE_Deduction_Sp">'Sch. SE'!$AM$125</definedName>
    <definedName name="SchSE_Deduction_You">'Sch. SE'!$AL$125</definedName>
    <definedName name="SchSE_Line3_Sp1">'Sch. SE'!$AM$41</definedName>
    <definedName name="SchSE_Line3_Sp2">'Sch. SE'!$AM$106</definedName>
    <definedName name="SchSE_Line3_You1">'Sch. SE'!$AL$41</definedName>
    <definedName name="SchSE_Line3_You2">'Sch. SE'!$AL$106</definedName>
    <definedName name="SchSE_Profit1">'Sch. SE'!$X$21</definedName>
    <definedName name="SchSE_Profit2">'Sch. SE'!$X$81</definedName>
    <definedName name="SchSE_Tax">'Sch. SE'!$AL$120</definedName>
    <definedName name="SchSE1_SSN">'Sch. SE'!$W$6</definedName>
    <definedName name="SchSEHalfTax1">'Sch. SE'!$S$46</definedName>
    <definedName name="SchSEHalfTax2">'Sch. SE'!$S$106</definedName>
    <definedName name="SchSELine4b1">'Sch. SE'!$X$24</definedName>
    <definedName name="SchSELine4b2">'Sch. SE'!$X$84</definedName>
    <definedName name="SD_AND_NQDL">'1040'!$AY$64</definedName>
    <definedName name="SD_Head">'1040'!$C$65</definedName>
    <definedName name="SD_Inc_Married">'1040'!$AR$68</definedName>
    <definedName name="SD_Inc_Single">'1040'!$AQ$68</definedName>
    <definedName name="SD_MFJW">'1040'!$C$63</definedName>
    <definedName name="SD_Single">'1040'!$C$59</definedName>
    <definedName name="SE_Deduct">'Sch. 1'!$AC$58</definedName>
    <definedName name="Sect199ADividends">'1099-DIV'!$H$101</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1'!$AC$60</definedName>
    <definedName name="SelfEmploymentTax">'Sch. 2'!$AC$15</definedName>
    <definedName name="SEP_Plan_Deduct">'Sch. 1'!$AC$59</definedName>
    <definedName name="Skip2343">'Sch. D WS'!$S$104</definedName>
    <definedName name="Skip3343">'Sch. D WS'!$S$119</definedName>
    <definedName name="Skip3540">'Sch. D WS'!$S$122</definedName>
    <definedName name="Skip4143">'Sch. D WS'!$S$129</definedName>
    <definedName name="SocSecBenefits">'1040'!$O$57</definedName>
    <definedName name="SocSecBenefits_Taxable">'1040'!$AD$57</definedName>
    <definedName name="SocSecTips_Spouse">'W-2s'!$I$40</definedName>
    <definedName name="SocSecTips_You">'W-2s'!$I$9</definedName>
    <definedName name="SocSecWages_Spouse">'W-2s'!$I$36</definedName>
    <definedName name="SocSecWages_You">'W-2s'!$I$5</definedName>
    <definedName name="sp_blind">'1040'!$AF$33</definedName>
    <definedName name="sp_over_64">'1040'!$W$33</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'1040'!$AR$9</definedName>
    <definedName name="Spouse_GE24">'1040'!$BB$113</definedName>
    <definedName name="Spouse_GT24">'1040'!$BB$114</definedName>
    <definedName name="Spouse_GT24LT65">'1040'!$BB$116</definedName>
    <definedName name="Spouse_LT65">'1040'!$BB$115</definedName>
    <definedName name="Spouse65onJan2">'1040'!$BD$111</definedName>
    <definedName name="SpouseAge">'1040'!$AZ$111</definedName>
    <definedName name="SpouseAgeDecimal">'1040'!$AZ$110</definedName>
    <definedName name="SpouseBirthDate">'1040'!$AZ$106</definedName>
    <definedName name="SpouseBirthDay">'1040'!$AO$15</definedName>
    <definedName name="SpouseBirthMonth">'1040'!$AN$15</definedName>
    <definedName name="SpouseBirthYear">'1040'!$AP$15</definedName>
    <definedName name="SpouseDeathDate">'1040'!$BH$106</definedName>
    <definedName name="SpouseDeathDay">'1040'!$AO$20</definedName>
    <definedName name="SpouseDeathMonth">'1040'!$AN$20</definedName>
    <definedName name="SpouseDeathYear">'1040'!$AP$20</definedName>
    <definedName name="SpouseDeceased">'1040'!$AL$15</definedName>
    <definedName name="SpouseIs65">'1040'!$BD$110</definedName>
    <definedName name="SpouseIs70Half">'1040'!$BD$109</definedName>
    <definedName name="SS_FedTaxWH_Spouse">'SSA-1099'!$G$11</definedName>
    <definedName name="SS_FedTaxWH_You">'SSA-1099'!$G$6</definedName>
    <definedName name="SS_Spouse">'1040'!$AA$9</definedName>
    <definedName name="SS_Yours">'1040'!$AA$7</definedName>
    <definedName name="SSNetBeneSpouse">'SSA-1099'!$D$10</definedName>
    <definedName name="SSNetBeneYou">'SSA-1099'!$D$5</definedName>
    <definedName name="SSTaxRate">'W-2s'!$I$1</definedName>
    <definedName name="Standard">'1040'!$AY$60</definedName>
    <definedName name="State">'1040'!$S$13</definedName>
    <definedName name="State_Local_Tax_Refund">'Sch 1, Line 1 (SALT)'!$L$79</definedName>
    <definedName name="StateLocalTaxesPaid">'Sch. A'!$S$24</definedName>
    <definedName name="StateTax_DIV">'1099-DIV'!$H$112</definedName>
    <definedName name="StateTax_INT">'1099-INT'!$I$83</definedName>
    <definedName name="StateTaxIRA">'1099-R'!$D$73</definedName>
    <definedName name="StateTaxPA">'1099-R'!$E$73</definedName>
    <definedName name="StateTaxW2">'W-2s'!$C$84</definedName>
    <definedName name="Std_Ded_Wrks_For_Dep">'Line 12 (SD Depnts)'!$N$30</definedName>
    <definedName name="StdDeduct">'1040'!$BA$58</definedName>
    <definedName name="StudentLoanIntDeduct">'Sch. 1'!$AC$66</definedName>
    <definedName name="StuLoanIntDeduct">'Sch. 1, Line 21 (Stu Loan)'!$L$34</definedName>
    <definedName name="Tax">'1040'!$AD$74</definedName>
    <definedName name="Tax_FEI_TW">'Line 16 (QDCG Tax)'!$N$100</definedName>
    <definedName name="Tax_SS_Benefits">'Line 6ab (SS Bene)'!$J$51</definedName>
    <definedName name="Tax_SubTotal">'1040'!$AD$71</definedName>
    <definedName name="Taxable_Inc">'1040'!$AD$67</definedName>
    <definedName name="TaxableInterest">'1040'!$AD$53</definedName>
    <definedName name="TaxDay">'1040'!$BA$101</definedName>
    <definedName name="TaxesYouPaid">'Sch. A'!$O$32</definedName>
    <definedName name="TaxExemptInt">'1040'!$O$53</definedName>
    <definedName name="TaxExemptInterest">'1099-INT'!$I$73</definedName>
    <definedName name="TaxFamilySize">'1040'!$AP$40</definedName>
    <definedName name="TaxLine_1040">'1040'!$AC$72</definedName>
    <definedName name="TaxPenalty">'1040'!$X$101</definedName>
    <definedName name="TaxYear">'1040'!$S$3</definedName>
    <definedName name="TaxYear2">'1040'!$S$3</definedName>
    <definedName name="Tot_Exemptions">'1040'!$AP$40</definedName>
    <definedName name="Tot_Item_Deduct">'Sch. A'!$O$63</definedName>
    <definedName name="Tot_Payments">'1040'!$AD$93</definedName>
    <definedName name="Tot_Tax">'1040'!$AD$80</definedName>
    <definedName name="Total_Income">'1040'!$AD$61</definedName>
    <definedName name="TotalDeductions">'1040'!$AD$66</definedName>
    <definedName name="TotalOtherAdjust">'Sch. 1'!$AC$90</definedName>
    <definedName name="TotalOtherTaxes">'Sch. 2'!$AC$73</definedName>
    <definedName name="TotalSocSecBenefits">'SSA-1099'!$G$21</definedName>
    <definedName name="UCE_Spouse">'1099-G'!$H$25</definedName>
    <definedName name="UCE_You">'1099-G'!$I$6</definedName>
    <definedName name="Unallowed_CRD">'8582'!$AM$23</definedName>
    <definedName name="UnemployComp">'1099-G'!$I$25</definedName>
    <definedName name="UnEmploymentComp">'Sch. 1'!$AC$18</definedName>
    <definedName name="W2_FedTaxWH">'1040'!$Z$82</definedName>
    <definedName name="W2_NonTaxCombatPay_Sp">'W-2s'!$I$44</definedName>
    <definedName name="W2_NonTaxCombatPay_You">'W-2s'!$I$13</definedName>
    <definedName name="W2_Other">'W-2s'!$C$79</definedName>
    <definedName name="W2_SS_Tax_Excess">'W-2s'!$J$67</definedName>
    <definedName name="W2_SS_Tax_Withheld">'W-2s'!$C$67</definedName>
    <definedName name="W2_SS_Wages">'W-2s'!$C$66</definedName>
    <definedName name="W2_Tax_Withheld">'W-2s'!$C$65</definedName>
    <definedName name="W2_Wages">'W-2s'!$C$64</definedName>
    <definedName name="W2_Wages_Spouse">'W-2s'!$I$34</definedName>
    <definedName name="W2_Wages_You">'W-2s'!$I$3</definedName>
    <definedName name="Wages">'1040'!$AD$43</definedName>
    <definedName name="you_blind">'1040'!$P$33</definedName>
    <definedName name="You_GE24">'1040'!$BB$93</definedName>
    <definedName name="You_GT24">'1040'!$BB$94</definedName>
    <definedName name="You_GT24LT65">'1040'!$BB$96</definedName>
    <definedName name="You_LT65">'1040'!$BB$95</definedName>
    <definedName name="you_over_64">'1040'!$H$33</definedName>
    <definedName name="You_Owe">'1040'!$AD$100</definedName>
    <definedName name="You65onJan2">'1040'!$BD$91</definedName>
    <definedName name="YouR65">'1040'!$BD$90</definedName>
    <definedName name="YouR70Half">'1040'!$BD$89</definedName>
    <definedName name="YourAge">'1040'!$AZ$91</definedName>
    <definedName name="YourAgeDecimal">'1040'!$AZ$90</definedName>
    <definedName name="YourBirthDate">'1040'!$AZ$86</definedName>
    <definedName name="YourBirthDay">'1040'!$AO$13</definedName>
    <definedName name="YourBirthMonth">'1040'!$AN$13</definedName>
    <definedName name="YourBirthYear">'1040'!$AP$13</definedName>
    <definedName name="Yourself">'1040'!$AS$8</definedName>
    <definedName name="ZIPCode">'1040'!$W$13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75" i="74" l="1"/>
  <c r="AQ36" i="74"/>
  <c r="E8" i="74"/>
  <c r="AQ6" i="74"/>
  <c r="D374" i="62" l="1"/>
  <c r="D372" i="62"/>
  <c r="AB371" i="62"/>
  <c r="D185" i="62"/>
  <c r="D183" i="62"/>
  <c r="AB182" i="62"/>
  <c r="J78" i="37" l="1"/>
  <c r="P79" i="37" l="1"/>
  <c r="Y52" i="37" s="1"/>
  <c r="W56" i="37" s="1"/>
  <c r="O79" i="6"/>
  <c r="BG377" i="74"/>
  <c r="BG248" i="74"/>
  <c r="H38" i="60" l="1"/>
  <c r="AA163" i="76" l="1"/>
  <c r="F67" i="76"/>
  <c r="AS86" i="76"/>
  <c r="AS67" i="76"/>
  <c r="AO51" i="76" s="1"/>
  <c r="AC65" i="69" l="1"/>
  <c r="AC35" i="69"/>
  <c r="AC6" i="69"/>
  <c r="AE65" i="69"/>
  <c r="AD65" i="69"/>
  <c r="AB65" i="69"/>
  <c r="AA65" i="69"/>
  <c r="AE35" i="69"/>
  <c r="AD35" i="69"/>
  <c r="AB35" i="69"/>
  <c r="AA35" i="69"/>
  <c r="AE6" i="69"/>
  <c r="AD6" i="69"/>
  <c r="AB6" i="69"/>
  <c r="AA6" i="69"/>
  <c r="O68" i="3"/>
  <c r="O73" i="3" s="1"/>
  <c r="O79" i="3" s="1"/>
  <c r="I65" i="69" l="1"/>
  <c r="O55" i="3"/>
  <c r="O77" i="3"/>
  <c r="O75" i="3"/>
  <c r="O76" i="3"/>
  <c r="O74" i="3"/>
  <c r="O78" i="3"/>
  <c r="S73" i="3"/>
  <c r="L1277" i="61" l="1"/>
  <c r="L1276" i="61"/>
  <c r="L1198" i="61"/>
  <c r="L1144" i="61"/>
  <c r="L1069" i="61"/>
  <c r="L1064" i="61"/>
  <c r="L936" i="61"/>
  <c r="L357" i="61"/>
  <c r="AB56" i="2"/>
  <c r="AB55" i="2"/>
  <c r="AC38" i="68" l="1"/>
  <c r="N180" i="68" l="1"/>
  <c r="N181" i="68"/>
  <c r="N182" i="68"/>
  <c r="N183" i="68"/>
  <c r="N184" i="68"/>
  <c r="N185" i="68"/>
  <c r="N186" i="68"/>
  <c r="N187" i="68"/>
  <c r="N188" i="68"/>
  <c r="N189" i="68"/>
  <c r="N190" i="68"/>
  <c r="N191" i="68"/>
  <c r="N192" i="68"/>
  <c r="N193" i="68"/>
  <c r="N194" i="68"/>
  <c r="N195" i="68"/>
  <c r="N196" i="68"/>
  <c r="N197" i="68"/>
  <c r="N198" i="68"/>
  <c r="N199" i="68"/>
  <c r="N200" i="68"/>
  <c r="N201" i="68"/>
  <c r="N202" i="68"/>
  <c r="N203" i="68"/>
  <c r="N204" i="68"/>
  <c r="N205" i="68"/>
  <c r="N206" i="68"/>
  <c r="N207" i="68"/>
  <c r="N208" i="68"/>
  <c r="N209" i="68"/>
  <c r="N210" i="68"/>
  <c r="N211" i="68"/>
  <c r="N212" i="68"/>
  <c r="N213" i="68"/>
  <c r="N214" i="68"/>
  <c r="N215" i="68"/>
  <c r="N216" i="68"/>
  <c r="N217" i="68"/>
  <c r="N218" i="68"/>
  <c r="N219" i="68"/>
  <c r="N220" i="68"/>
  <c r="N221" i="68"/>
  <c r="N222" i="68"/>
  <c r="N223" i="68"/>
  <c r="N224" i="68"/>
  <c r="N225" i="68"/>
  <c r="N226" i="68"/>
  <c r="N227" i="68"/>
  <c r="N228" i="68"/>
  <c r="N229" i="68"/>
  <c r="N230" i="68"/>
  <c r="N231" i="68"/>
  <c r="N232" i="68"/>
  <c r="N233" i="68"/>
  <c r="N234" i="68"/>
  <c r="N179" i="68"/>
  <c r="AB123" i="68"/>
  <c r="C5" i="89" l="1"/>
  <c r="AH51" i="68"/>
  <c r="AH46" i="68"/>
  <c r="Y196" i="68"/>
  <c r="Y197" i="68"/>
  <c r="Y198" i="68"/>
  <c r="Y199" i="68"/>
  <c r="Y200" i="68"/>
  <c r="Y201" i="68"/>
  <c r="Y202" i="68"/>
  <c r="Y203" i="68"/>
  <c r="Y204" i="68"/>
  <c r="Y205" i="68"/>
  <c r="Y206" i="68"/>
  <c r="Y207" i="68"/>
  <c r="Y208" i="68"/>
  <c r="Y209" i="68"/>
  <c r="Y210" i="68"/>
  <c r="Y211" i="68"/>
  <c r="Y212" i="68"/>
  <c r="Y213" i="68"/>
  <c r="Y214" i="68"/>
  <c r="Y215" i="68"/>
  <c r="Y216" i="68"/>
  <c r="Y217" i="68"/>
  <c r="Y218" i="68"/>
  <c r="Y219" i="68"/>
  <c r="Y220" i="68"/>
  <c r="Y221" i="68"/>
  <c r="Y222" i="68"/>
  <c r="Y223" i="68"/>
  <c r="Y224" i="68"/>
  <c r="Y225" i="68"/>
  <c r="Y226" i="68"/>
  <c r="Y227" i="68"/>
  <c r="Y228" i="68"/>
  <c r="Y229" i="68"/>
  <c r="Y230" i="68"/>
  <c r="Y231" i="68"/>
  <c r="Y232" i="68"/>
  <c r="Y233" i="68"/>
  <c r="Y181" i="68"/>
  <c r="Y182" i="68"/>
  <c r="Y183" i="68"/>
  <c r="Y184" i="68"/>
  <c r="Y185" i="68"/>
  <c r="Y186" i="68"/>
  <c r="Y187" i="68"/>
  <c r="Y188" i="68"/>
  <c r="Y189" i="68"/>
  <c r="Y190" i="68"/>
  <c r="Y191" i="68"/>
  <c r="Y192" i="68"/>
  <c r="Y193" i="68"/>
  <c r="Y194" i="68"/>
  <c r="Y195" i="68"/>
  <c r="Q178" i="68"/>
  <c r="U178" i="68"/>
  <c r="N178" i="68"/>
  <c r="AO132" i="103" l="1"/>
  <c r="AL124" i="103"/>
  <c r="AK124" i="103"/>
  <c r="AK123" i="103"/>
  <c r="D206" i="91" l="1"/>
  <c r="D98" i="91"/>
  <c r="D195" i="91"/>
  <c r="D87" i="91"/>
  <c r="D193" i="91"/>
  <c r="D85" i="91"/>
  <c r="E190" i="91"/>
  <c r="E189" i="91"/>
  <c r="D82" i="91"/>
  <c r="D81" i="91"/>
  <c r="D183" i="91"/>
  <c r="D75" i="91"/>
  <c r="E181" i="91"/>
  <c r="E178" i="91"/>
  <c r="E73" i="91"/>
  <c r="E70" i="91"/>
  <c r="D158" i="91"/>
  <c r="D50" i="91"/>
  <c r="D153" i="91"/>
  <c r="D151" i="91"/>
  <c r="D45" i="91"/>
  <c r="D142" i="91"/>
  <c r="D34" i="91"/>
  <c r="J21" i="67" l="1"/>
  <c r="J19" i="67"/>
  <c r="D86" i="100"/>
  <c r="D210" i="60"/>
  <c r="D209" i="60"/>
  <c r="I26" i="63"/>
  <c r="K31" i="63"/>
  <c r="K11" i="63"/>
  <c r="D11" i="63"/>
  <c r="D10" i="63"/>
  <c r="K34" i="63" l="1"/>
  <c r="M35" i="43" l="1"/>
  <c r="AD8" i="59" l="1"/>
  <c r="AD9" i="59"/>
  <c r="AD10" i="59"/>
  <c r="V202" i="59"/>
  <c r="C59" i="59"/>
  <c r="B32" i="59"/>
  <c r="B31" i="59"/>
  <c r="C12" i="59"/>
  <c r="AN51" i="78"/>
  <c r="AN52" i="78"/>
  <c r="AN53" i="78"/>
  <c r="AN54" i="78"/>
  <c r="C38" i="52" l="1"/>
  <c r="AM22" i="102" l="1"/>
  <c r="H113" i="71"/>
  <c r="H51" i="71"/>
  <c r="C94" i="71"/>
  <c r="C93" i="71"/>
  <c r="C32" i="71"/>
  <c r="C31" i="71"/>
  <c r="D89" i="23"/>
  <c r="X29" i="23"/>
  <c r="D29" i="23"/>
  <c r="Z30" i="56"/>
  <c r="D145" i="84"/>
  <c r="AF8" i="37"/>
  <c r="AF7" i="37"/>
  <c r="AF4" i="37"/>
  <c r="G161" i="76"/>
  <c r="G153" i="76"/>
  <c r="K158" i="76"/>
  <c r="G144" i="76"/>
  <c r="AE104" i="76"/>
  <c r="AC33" i="80"/>
  <c r="AC20" i="80"/>
  <c r="AC21" i="80"/>
  <c r="AC23" i="80"/>
  <c r="AC24" i="80"/>
  <c r="AE103" i="76" s="1"/>
  <c r="AC25" i="80"/>
  <c r="AC26" i="80"/>
  <c r="AC27" i="80"/>
  <c r="AC28" i="80"/>
  <c r="AC29" i="80"/>
  <c r="AC30" i="80"/>
  <c r="AC31" i="80"/>
  <c r="AE105" i="76" s="1"/>
  <c r="AC19" i="80"/>
  <c r="B40" i="13"/>
  <c r="B17" i="12"/>
  <c r="R18" i="12"/>
  <c r="T18" i="12"/>
  <c r="B8" i="12"/>
  <c r="D65" i="15"/>
  <c r="D64" i="15"/>
  <c r="Q25" i="99" l="1"/>
  <c r="D36" i="99"/>
  <c r="D37" i="99"/>
  <c r="D38" i="99"/>
  <c r="D39" i="99"/>
  <c r="D40" i="99"/>
  <c r="D41" i="99"/>
  <c r="D42" i="99"/>
  <c r="D43" i="99"/>
  <c r="D35" i="99"/>
  <c r="E63" i="97" l="1"/>
  <c r="D146" i="62" l="1"/>
  <c r="D335" i="62"/>
  <c r="T196" i="5" l="1"/>
  <c r="T200" i="5" s="1"/>
  <c r="T82" i="5"/>
  <c r="T86" i="5" s="1"/>
  <c r="C131" i="5"/>
  <c r="C17" i="5"/>
  <c r="C3" i="4"/>
  <c r="F68" i="4"/>
  <c r="S45" i="3" l="1"/>
  <c r="AL53" i="80"/>
  <c r="AL51" i="80"/>
  <c r="AL50" i="80"/>
  <c r="AL17" i="80"/>
  <c r="AE101" i="76" s="1"/>
  <c r="AL23" i="2"/>
  <c r="X33" i="2"/>
  <c r="AN8" i="2"/>
  <c r="AM8" i="2"/>
  <c r="AM7" i="2"/>
  <c r="AN7" i="2"/>
  <c r="T5" i="2"/>
  <c r="B5" i="2"/>
  <c r="AO61" i="97"/>
  <c r="AM64" i="97"/>
  <c r="AE61" i="97" s="1"/>
  <c r="AO54" i="102" l="1"/>
  <c r="Z39" i="102" s="1"/>
  <c r="AS46" i="102"/>
  <c r="Q88" i="43"/>
  <c r="J88" i="43"/>
  <c r="M88" i="43"/>
  <c r="U88" i="43"/>
  <c r="AO119" i="102"/>
  <c r="AO137" i="102"/>
  <c r="Q137" i="102" s="1"/>
  <c r="AO128" i="102"/>
  <c r="Q128" i="102" s="1"/>
  <c r="AO139" i="102" l="1"/>
  <c r="AO16" i="102"/>
  <c r="AU56" i="102"/>
  <c r="AL88" i="102"/>
  <c r="AL89" i="102"/>
  <c r="AL90" i="102"/>
  <c r="AL91" i="102"/>
  <c r="AL87" i="102"/>
  <c r="AL76" i="102" l="1"/>
  <c r="AL77" i="102"/>
  <c r="AL78" i="102"/>
  <c r="AL79" i="102"/>
  <c r="AL75" i="102"/>
  <c r="F48" i="89"/>
  <c r="A48" i="89"/>
  <c r="V68" i="102"/>
  <c r="R68" i="102"/>
  <c r="N68" i="102"/>
  <c r="V54" i="102"/>
  <c r="R54" i="102"/>
  <c r="N54" i="102"/>
  <c r="AA50" i="102"/>
  <c r="AF50" i="102"/>
  <c r="AA51" i="102"/>
  <c r="AF51" i="102"/>
  <c r="AA52" i="102"/>
  <c r="AF52" i="102"/>
  <c r="AA53" i="102"/>
  <c r="AF53" i="102"/>
  <c r="AF49" i="102"/>
  <c r="AA49" i="102"/>
  <c r="AF67" i="102"/>
  <c r="AF66" i="102"/>
  <c r="AF65" i="102"/>
  <c r="AF63" i="102"/>
  <c r="AF64" i="102"/>
  <c r="AA63" i="102"/>
  <c r="AA64" i="102"/>
  <c r="AA65" i="102"/>
  <c r="AA66" i="102"/>
  <c r="AA67" i="102"/>
  <c r="Y105" i="102"/>
  <c r="S105" i="102"/>
  <c r="AE100" i="102"/>
  <c r="AL100" i="102" s="1"/>
  <c r="AE101" i="102"/>
  <c r="AL101" i="102" s="1"/>
  <c r="AE102" i="102"/>
  <c r="AL102" i="102" s="1"/>
  <c r="AE103" i="102"/>
  <c r="AL103" i="102" s="1"/>
  <c r="AE99" i="102"/>
  <c r="AL99" i="102" s="1"/>
  <c r="N55" i="102" l="1"/>
  <c r="X13" i="102" s="1"/>
  <c r="R55" i="102"/>
  <c r="Y14" i="102" s="1"/>
  <c r="AE14" i="102" s="1"/>
  <c r="V55" i="102"/>
  <c r="Y15" i="102" s="1"/>
  <c r="AE15" i="102" s="1"/>
  <c r="N69" i="102"/>
  <c r="X18" i="102" s="1"/>
  <c r="R69" i="102"/>
  <c r="Y19" i="102" s="1"/>
  <c r="V69" i="102"/>
  <c r="Y20" i="102" s="1"/>
  <c r="AE20" i="102" s="1"/>
  <c r="AL80" i="102"/>
  <c r="AL104" i="102"/>
  <c r="AE105" i="102" s="1"/>
  <c r="Q38" i="102"/>
  <c r="AJ140" i="102"/>
  <c r="B107" i="102"/>
  <c r="AJ106" i="102"/>
  <c r="AE19" i="102" l="1"/>
  <c r="AO20" i="102"/>
  <c r="AO21" i="102" s="1"/>
  <c r="AE13" i="102"/>
  <c r="AE16" i="102"/>
  <c r="AE17" i="102" s="1"/>
  <c r="AE18" i="102"/>
  <c r="AE24" i="102" l="1"/>
  <c r="AO22" i="102" s="1"/>
  <c r="H23" i="102" s="1"/>
  <c r="AE21" i="102"/>
  <c r="AE22" i="102" s="1"/>
  <c r="AO26" i="102"/>
  <c r="B57" i="102"/>
  <c r="D42" i="102"/>
  <c r="E9" i="102"/>
  <c r="D38" i="102"/>
  <c r="AO34" i="102"/>
  <c r="D33" i="102"/>
  <c r="AJ56" i="102"/>
  <c r="AC3" i="102"/>
  <c r="L1208" i="61"/>
  <c r="L1153" i="61"/>
  <c r="L1154" i="61"/>
  <c r="L1076" i="61"/>
  <c r="L1071" i="61"/>
  <c r="L1126" i="61"/>
  <c r="L1125" i="61"/>
  <c r="L1124" i="61"/>
  <c r="L1072" i="61"/>
  <c r="L1073" i="61"/>
  <c r="L1074" i="61"/>
  <c r="L1075" i="61"/>
  <c r="L1077" i="61"/>
  <c r="L1078" i="61"/>
  <c r="L1000" i="61"/>
  <c r="L1001" i="61"/>
  <c r="L1002" i="61"/>
  <c r="L993" i="61"/>
  <c r="L994" i="61"/>
  <c r="L995" i="61"/>
  <c r="L996" i="61"/>
  <c r="L871" i="61"/>
  <c r="L872" i="61"/>
  <c r="L873" i="61"/>
  <c r="L874" i="61"/>
  <c r="L875" i="61"/>
  <c r="L876" i="61"/>
  <c r="L877" i="61"/>
  <c r="L330" i="61"/>
  <c r="L331" i="61"/>
  <c r="L332" i="61"/>
  <c r="L333" i="61"/>
  <c r="L334" i="61"/>
  <c r="L335" i="61"/>
  <c r="L336" i="61"/>
  <c r="L938" i="61"/>
  <c r="L356" i="61"/>
  <c r="AJ5" i="23"/>
  <c r="AS25" i="97"/>
  <c r="AO27" i="102" l="1"/>
  <c r="AU86" i="102"/>
  <c r="AE41" i="102"/>
  <c r="AP36" i="95"/>
  <c r="M7" i="95"/>
  <c r="S3" i="37"/>
  <c r="R2" i="37"/>
  <c r="R12" i="37" s="1"/>
  <c r="S6" i="37"/>
  <c r="S5" i="37"/>
  <c r="S4" i="37"/>
  <c r="AE90" i="102" l="1"/>
  <c r="AE25" i="102"/>
  <c r="AE87" i="102"/>
  <c r="AE88" i="102"/>
  <c r="AU37" i="102"/>
  <c r="AO39" i="102"/>
  <c r="AO40" i="102" s="1"/>
  <c r="AU49" i="102" s="1"/>
  <c r="AE91" i="102"/>
  <c r="AE89" i="102"/>
  <c r="AU43" i="97"/>
  <c r="AT42" i="97"/>
  <c r="AT40" i="97"/>
  <c r="AT37" i="97"/>
  <c r="AT34" i="97"/>
  <c r="AT43" i="97"/>
  <c r="AU52" i="102" l="1"/>
  <c r="AU61" i="102"/>
  <c r="AU57" i="102"/>
  <c r="AU51" i="102"/>
  <c r="AU47" i="102"/>
  <c r="AS43" i="97"/>
  <c r="P159" i="62" l="1"/>
  <c r="AE147" i="62"/>
  <c r="Y145" i="98"/>
  <c r="Y148" i="98"/>
  <c r="Y154" i="98"/>
  <c r="Y157" i="98"/>
  <c r="AB102" i="37"/>
  <c r="AB105" i="37"/>
  <c r="AB111" i="37"/>
  <c r="AB114" i="37"/>
  <c r="AE348" i="62" l="1"/>
  <c r="BH3" i="95"/>
  <c r="AO194" i="62" l="1"/>
  <c r="AO193" i="62"/>
  <c r="AO5" i="62"/>
  <c r="AO4" i="62"/>
  <c r="AJ379" i="62"/>
  <c r="AN354" i="62"/>
  <c r="AN353" i="62"/>
  <c r="E353" i="62"/>
  <c r="AL352" i="62"/>
  <c r="E351" i="62"/>
  <c r="P348" i="62"/>
  <c r="D348" i="62"/>
  <c r="AE336" i="62"/>
  <c r="D327" i="62"/>
  <c r="AM327" i="62" s="1"/>
  <c r="AM325" i="62"/>
  <c r="B320" i="62"/>
  <c r="AI319" i="62"/>
  <c r="W317" i="62"/>
  <c r="AE310" i="62"/>
  <c r="AE314" i="62" s="1"/>
  <c r="AE318" i="62" s="1"/>
  <c r="AO323" i="62" s="1"/>
  <c r="B286" i="62"/>
  <c r="C284" i="62"/>
  <c r="B280" i="62"/>
  <c r="X275" i="62"/>
  <c r="X274" i="62"/>
  <c r="X273" i="62"/>
  <c r="X272" i="62"/>
  <c r="B261" i="62"/>
  <c r="AJ260" i="62"/>
  <c r="AA249" i="62"/>
  <c r="J249" i="62"/>
  <c r="AA248" i="62"/>
  <c r="J248" i="62"/>
  <c r="AA247" i="62"/>
  <c r="J247" i="62"/>
  <c r="AA246" i="62"/>
  <c r="J246" i="62"/>
  <c r="AC192" i="62"/>
  <c r="P36" i="33"/>
  <c r="P33" i="33"/>
  <c r="P30" i="33"/>
  <c r="P28" i="33"/>
  <c r="R36" i="33"/>
  <c r="R35" i="33"/>
  <c r="R34" i="33"/>
  <c r="R33" i="33"/>
  <c r="R32" i="33"/>
  <c r="R31" i="33"/>
  <c r="R30" i="33"/>
  <c r="R29" i="33"/>
  <c r="R28" i="33"/>
  <c r="R27" i="33"/>
  <c r="R26" i="33"/>
  <c r="R25" i="33"/>
  <c r="R24" i="33"/>
  <c r="R23" i="33"/>
  <c r="R21" i="33"/>
  <c r="R20" i="33"/>
  <c r="R19" i="33"/>
  <c r="R18" i="33"/>
  <c r="R15" i="33"/>
  <c r="P35" i="33" s="1"/>
  <c r="H58" i="1"/>
  <c r="G58" i="1"/>
  <c r="F58" i="1"/>
  <c r="E58" i="1"/>
  <c r="D58" i="1"/>
  <c r="C58" i="1"/>
  <c r="I37" i="1"/>
  <c r="D27" i="1"/>
  <c r="E27" i="1"/>
  <c r="F27" i="1"/>
  <c r="G27" i="1"/>
  <c r="H27" i="1"/>
  <c r="AE323" i="62" l="1"/>
  <c r="AO382" i="62"/>
  <c r="P34" i="33"/>
  <c r="AO383" i="62"/>
  <c r="AE174" i="62"/>
  <c r="AE362" i="62"/>
  <c r="AM383" i="62"/>
  <c r="AM382" i="62"/>
  <c r="AE337" i="62"/>
  <c r="AE339" i="62"/>
  <c r="W336" i="62"/>
  <c r="AE334" i="62"/>
  <c r="I58" i="1"/>
  <c r="AM386" i="62" l="1"/>
  <c r="AM398" i="62"/>
  <c r="AO385" i="62"/>
  <c r="AO397" i="62"/>
  <c r="AO391" i="62"/>
  <c r="AM392" i="62"/>
  <c r="AO339" i="62"/>
  <c r="AM339" i="62"/>
  <c r="J29" i="1"/>
  <c r="J28" i="1"/>
  <c r="H107" i="70"/>
  <c r="AE107" i="70"/>
  <c r="AD107" i="70"/>
  <c r="AC107" i="70"/>
  <c r="AB107" i="70"/>
  <c r="AA107" i="70"/>
  <c r="AF78" i="70"/>
  <c r="AE78" i="70"/>
  <c r="AD78" i="70"/>
  <c r="AC78" i="70"/>
  <c r="AB78" i="70"/>
  <c r="AA78" i="70"/>
  <c r="AF49" i="70"/>
  <c r="AE49" i="70"/>
  <c r="AD49" i="70"/>
  <c r="AC49" i="70"/>
  <c r="AB49" i="70"/>
  <c r="AA49" i="70"/>
  <c r="AF20" i="70"/>
  <c r="AE20" i="70"/>
  <c r="AD20" i="70"/>
  <c r="AC20" i="70"/>
  <c r="AB20" i="70"/>
  <c r="AA20" i="70"/>
  <c r="AA94" i="70"/>
  <c r="AA95" i="70"/>
  <c r="AA96" i="70"/>
  <c r="AA97" i="70"/>
  <c r="AA98" i="70"/>
  <c r="AA99" i="70"/>
  <c r="AA100" i="70"/>
  <c r="AA101" i="70"/>
  <c r="AA102" i="70"/>
  <c r="AA103" i="70"/>
  <c r="AA104" i="70"/>
  <c r="AA105" i="70"/>
  <c r="AA106" i="70"/>
  <c r="AA108" i="70"/>
  <c r="AA109" i="70"/>
  <c r="AA110" i="70"/>
  <c r="AA111" i="70"/>
  <c r="AA112" i="70"/>
  <c r="AA93" i="70"/>
  <c r="AA83" i="70"/>
  <c r="AA82" i="70"/>
  <c r="AA81" i="70"/>
  <c r="AA80" i="70"/>
  <c r="AA79" i="70"/>
  <c r="AA77" i="70"/>
  <c r="AA76" i="70"/>
  <c r="AA75" i="70"/>
  <c r="AA74" i="70"/>
  <c r="AA73" i="70"/>
  <c r="AA72" i="70"/>
  <c r="AA71" i="70"/>
  <c r="AA70" i="70"/>
  <c r="AA69" i="70"/>
  <c r="AA68" i="70"/>
  <c r="AA67" i="70"/>
  <c r="AA66" i="70"/>
  <c r="AA65" i="70"/>
  <c r="AA64" i="70"/>
  <c r="AA39" i="70"/>
  <c r="AA40" i="70"/>
  <c r="AA41" i="70"/>
  <c r="AA42" i="70"/>
  <c r="AA43" i="70"/>
  <c r="AA44" i="70"/>
  <c r="AA45" i="70"/>
  <c r="AA46" i="70"/>
  <c r="AA47" i="70"/>
  <c r="AA48" i="70"/>
  <c r="AA50" i="70"/>
  <c r="AA51" i="70"/>
  <c r="AA52" i="70"/>
  <c r="AA53" i="70"/>
  <c r="AA54" i="70"/>
  <c r="AA38" i="70"/>
  <c r="AA37" i="70"/>
  <c r="AA36" i="70"/>
  <c r="AA35" i="70"/>
  <c r="AA23" i="70"/>
  <c r="AA24" i="70"/>
  <c r="AA25" i="70"/>
  <c r="AA7" i="70"/>
  <c r="AA8" i="70"/>
  <c r="AA9" i="70"/>
  <c r="AA10" i="70"/>
  <c r="AA11" i="70"/>
  <c r="AA12" i="70"/>
  <c r="AA13" i="70"/>
  <c r="AA14" i="70"/>
  <c r="AA15" i="70"/>
  <c r="AA16" i="70"/>
  <c r="AA17" i="70"/>
  <c r="AA18" i="70"/>
  <c r="AA19" i="70"/>
  <c r="AA21" i="70"/>
  <c r="AA22" i="70"/>
  <c r="AA6" i="70"/>
  <c r="AE344" i="62" l="1"/>
  <c r="AH342" i="62"/>
  <c r="B29" i="1"/>
  <c r="B60" i="1"/>
  <c r="D28" i="1"/>
  <c r="B59" i="1"/>
  <c r="B28" i="1"/>
  <c r="H28" i="1"/>
  <c r="G28" i="1"/>
  <c r="F28" i="1"/>
  <c r="E28" i="1"/>
  <c r="F16" i="89"/>
  <c r="A16" i="89"/>
  <c r="A67" i="100"/>
  <c r="A66" i="100"/>
  <c r="A49" i="100"/>
  <c r="A48" i="100"/>
  <c r="L48" i="100" s="1"/>
  <c r="A43" i="100"/>
  <c r="H41" i="100"/>
  <c r="A41" i="100"/>
  <c r="H39" i="100"/>
  <c r="A39" i="100"/>
  <c r="H37" i="100"/>
  <c r="A37" i="100"/>
  <c r="A35" i="100"/>
  <c r="A34" i="100"/>
  <c r="A32" i="100"/>
  <c r="H30" i="100"/>
  <c r="H29" i="100"/>
  <c r="A29" i="100"/>
  <c r="G24" i="100"/>
  <c r="A19" i="100"/>
  <c r="A18" i="100"/>
  <c r="H60" i="1"/>
  <c r="G60" i="1"/>
  <c r="F60" i="1"/>
  <c r="E60" i="1"/>
  <c r="D60" i="1"/>
  <c r="C60" i="1"/>
  <c r="H59" i="1"/>
  <c r="G59" i="1"/>
  <c r="F59" i="1"/>
  <c r="E59" i="1"/>
  <c r="D59" i="1"/>
  <c r="C59" i="1"/>
  <c r="I56" i="1"/>
  <c r="M30" i="95"/>
  <c r="BA30" i="95" s="1"/>
  <c r="BG30" i="95" s="1"/>
  <c r="M24" i="95"/>
  <c r="BA24" i="95" s="1"/>
  <c r="BG24" i="95" s="1"/>
  <c r="M23" i="95"/>
  <c r="BA23" i="95" s="1"/>
  <c r="BG23" i="95" s="1"/>
  <c r="M22" i="95"/>
  <c r="BA22" i="95" s="1"/>
  <c r="BG22" i="95" s="1"/>
  <c r="M21" i="95"/>
  <c r="BA21" i="95" s="1"/>
  <c r="BG21" i="95" s="1"/>
  <c r="M20" i="95"/>
  <c r="BA20" i="95" s="1"/>
  <c r="BG20" i="95" s="1"/>
  <c r="M19" i="95"/>
  <c r="BA19" i="95" s="1"/>
  <c r="BG19" i="95" s="1"/>
  <c r="M18" i="95"/>
  <c r="BA18" i="95" s="1"/>
  <c r="BG18" i="95" s="1"/>
  <c r="M17" i="95"/>
  <c r="BA17" i="95" s="1"/>
  <c r="BG17" i="95" s="1"/>
  <c r="M16" i="95"/>
  <c r="BA16" i="95" s="1"/>
  <c r="BG16" i="95" s="1"/>
  <c r="M15" i="95"/>
  <c r="BA15" i="95" s="1"/>
  <c r="BG15" i="95" s="1"/>
  <c r="M10" i="95"/>
  <c r="BA10" i="95" s="1"/>
  <c r="BG10" i="95" s="1"/>
  <c r="M9" i="95"/>
  <c r="BA9" i="95" s="1"/>
  <c r="BG9" i="95" s="1"/>
  <c r="M8" i="95"/>
  <c r="BA8" i="95" s="1"/>
  <c r="BG8" i="95" s="1"/>
  <c r="N4" i="1"/>
  <c r="N34" i="1"/>
  <c r="N38" i="1" s="1"/>
  <c r="N39" i="1" s="1"/>
  <c r="N53" i="1"/>
  <c r="AO189" i="59"/>
  <c r="AM189" i="59"/>
  <c r="AK63" i="59"/>
  <c r="AI63" i="59"/>
  <c r="L1" i="1"/>
  <c r="J37" i="1" s="1"/>
  <c r="L37" i="1" s="1"/>
  <c r="O10" i="60"/>
  <c r="N10" i="60"/>
  <c r="O13" i="60"/>
  <c r="N13" i="60"/>
  <c r="O16" i="60"/>
  <c r="N16" i="60"/>
  <c r="O19" i="60"/>
  <c r="N19" i="60"/>
  <c r="C23" i="76"/>
  <c r="C20" i="76"/>
  <c r="AU2" i="95"/>
  <c r="I59" i="1" l="1"/>
  <c r="AE345" i="62"/>
  <c r="AO344" i="62"/>
  <c r="AO349" i="62"/>
  <c r="I60" i="1"/>
  <c r="L50" i="1" s="1"/>
  <c r="A27" i="100"/>
  <c r="N54" i="1"/>
  <c r="A28" i="100"/>
  <c r="N35" i="1"/>
  <c r="N36" i="1"/>
  <c r="N37" i="1"/>
  <c r="K23" i="71"/>
  <c r="A13" i="100" l="1"/>
  <c r="A64" i="100"/>
  <c r="D64" i="100" s="1"/>
  <c r="K27" i="100"/>
  <c r="A46" i="100"/>
  <c r="D27" i="100"/>
  <c r="P20" i="33"/>
  <c r="P31" i="33" s="1"/>
  <c r="G44" i="33"/>
  <c r="H69" i="100" l="1"/>
  <c r="P46" i="100"/>
  <c r="D46" i="100"/>
  <c r="H50" i="100"/>
  <c r="Q66" i="100"/>
  <c r="S64" i="100"/>
  <c r="D13" i="100"/>
  <c r="A9" i="100"/>
  <c r="C9" i="100" s="1"/>
  <c r="L1239" i="61"/>
  <c r="L1240" i="61"/>
  <c r="L1241" i="61"/>
  <c r="L1242" i="61"/>
  <c r="L1243" i="61"/>
  <c r="L1244" i="61"/>
  <c r="L1245" i="61"/>
  <c r="L1246" i="61"/>
  <c r="L1247" i="61"/>
  <c r="L1248" i="61"/>
  <c r="L1249" i="61"/>
  <c r="L1250" i="61"/>
  <c r="L1251" i="61"/>
  <c r="L1252" i="61"/>
  <c r="L1253" i="61"/>
  <c r="L1254" i="61"/>
  <c r="L1255" i="61"/>
  <c r="L1256" i="61"/>
  <c r="L1257" i="61"/>
  <c r="L1258" i="61"/>
  <c r="L1259" i="61"/>
  <c r="L1260" i="61"/>
  <c r="L1261" i="61"/>
  <c r="L1262" i="61"/>
  <c r="L1263" i="61"/>
  <c r="L1264" i="61"/>
  <c r="L1265" i="61"/>
  <c r="L1266" i="61"/>
  <c r="L1267" i="61"/>
  <c r="L1268" i="61"/>
  <c r="L1269" i="61"/>
  <c r="L1270" i="61"/>
  <c r="L1271" i="61"/>
  <c r="L1272" i="61"/>
  <c r="L1273" i="61"/>
  <c r="L1274" i="61"/>
  <c r="L1275" i="61"/>
  <c r="L1220" i="61"/>
  <c r="L1221" i="61"/>
  <c r="L1222" i="61"/>
  <c r="L1223" i="61"/>
  <c r="L1224" i="61"/>
  <c r="L1225" i="61"/>
  <c r="L1226" i="61"/>
  <c r="L1227" i="61"/>
  <c r="L1228" i="61"/>
  <c r="L1229" i="61"/>
  <c r="L1230" i="61"/>
  <c r="L1231" i="61"/>
  <c r="L1232" i="61"/>
  <c r="L1233" i="61"/>
  <c r="L1234" i="61"/>
  <c r="L1235" i="61"/>
  <c r="L1236" i="61"/>
  <c r="L1237" i="61"/>
  <c r="L1238" i="61"/>
  <c r="L1196" i="61"/>
  <c r="L1197" i="61"/>
  <c r="L1199" i="61"/>
  <c r="L1200" i="61"/>
  <c r="L1201" i="61"/>
  <c r="L1202" i="61"/>
  <c r="L1203" i="61"/>
  <c r="L1204" i="61"/>
  <c r="L1205" i="61"/>
  <c r="L1206" i="61"/>
  <c r="L1207" i="61"/>
  <c r="L1209" i="61"/>
  <c r="L1210" i="61"/>
  <c r="L1211" i="61"/>
  <c r="L1212" i="61"/>
  <c r="L1213" i="61"/>
  <c r="L1214" i="61"/>
  <c r="L1215" i="61"/>
  <c r="L1216" i="61"/>
  <c r="L1217" i="61"/>
  <c r="L1218" i="61"/>
  <c r="L1219" i="61"/>
  <c r="L456" i="61"/>
  <c r="L457" i="61"/>
  <c r="C204" i="59" l="1"/>
  <c r="D201" i="59"/>
  <c r="D199" i="59"/>
  <c r="D198" i="59"/>
  <c r="D196" i="59"/>
  <c r="D193" i="59"/>
  <c r="G90" i="15"/>
  <c r="AP72" i="2"/>
  <c r="D352" i="60"/>
  <c r="D292" i="60"/>
  <c r="D325" i="60"/>
  <c r="D322" i="60"/>
  <c r="AC20" i="78"/>
  <c r="AC41" i="78"/>
  <c r="AC38" i="78"/>
  <c r="D171" i="60"/>
  <c r="D168" i="60"/>
  <c r="D174" i="60"/>
  <c r="D173" i="60"/>
  <c r="D29" i="60"/>
  <c r="D28" i="60"/>
  <c r="B11" i="82"/>
  <c r="AM13" i="58"/>
  <c r="AM15" i="58" s="1"/>
  <c r="AM9" i="2"/>
  <c r="AQ53" i="58" l="1"/>
  <c r="L61" i="71"/>
  <c r="L123" i="71"/>
  <c r="F112" i="59" l="1"/>
  <c r="C90" i="59"/>
  <c r="C74" i="59"/>
  <c r="Y14" i="36" l="1"/>
  <c r="G22" i="71" l="1"/>
  <c r="C22" i="71"/>
  <c r="C20" i="71"/>
  <c r="C19" i="71"/>
  <c r="E269" i="90" l="1"/>
  <c r="E210" i="90"/>
  <c r="E151" i="90"/>
  <c r="E92" i="90"/>
  <c r="E274" i="90"/>
  <c r="D207" i="91"/>
  <c r="D99" i="91"/>
  <c r="D170" i="91"/>
  <c r="D169" i="91"/>
  <c r="D43" i="91"/>
  <c r="Y53" i="91"/>
  <c r="M59" i="91"/>
  <c r="D61" i="91"/>
  <c r="D62" i="91"/>
  <c r="I64" i="91"/>
  <c r="AJ68" i="91"/>
  <c r="B69" i="91"/>
  <c r="I78" i="91"/>
  <c r="Y88" i="91"/>
  <c r="AE90" i="91"/>
  <c r="I101" i="91"/>
  <c r="AJ114" i="91"/>
  <c r="AC116" i="91"/>
  <c r="B120" i="91"/>
  <c r="F131" i="91"/>
  <c r="F132" i="91"/>
  <c r="F133" i="91"/>
  <c r="F134" i="91"/>
  <c r="F136" i="91"/>
  <c r="D150" i="91"/>
  <c r="D149" i="91"/>
  <c r="D42" i="91"/>
  <c r="D41" i="91"/>
  <c r="F26" i="91"/>
  <c r="AF122" i="43"/>
  <c r="Y13" i="99" l="1"/>
  <c r="D26" i="23"/>
  <c r="D86" i="23"/>
  <c r="AS67" i="97"/>
  <c r="AS66" i="97"/>
  <c r="AS65" i="97"/>
  <c r="AS64" i="97"/>
  <c r="AS63" i="97"/>
  <c r="AS62" i="97"/>
  <c r="AS61" i="97"/>
  <c r="AS60" i="97"/>
  <c r="AS59" i="97"/>
  <c r="AS58" i="97"/>
  <c r="AS57" i="97"/>
  <c r="AS56" i="97"/>
  <c r="V189" i="59"/>
  <c r="J215" i="59"/>
  <c r="D189" i="59"/>
  <c r="G184" i="59"/>
  <c r="G181" i="59"/>
  <c r="L77" i="59"/>
  <c r="C73" i="59"/>
  <c r="O93" i="59"/>
  <c r="P127" i="59" l="1"/>
  <c r="P16" i="59"/>
  <c r="T147" i="59"/>
  <c r="T145" i="59"/>
  <c r="T143" i="59"/>
  <c r="T141" i="59"/>
  <c r="T139" i="59"/>
  <c r="T137" i="59"/>
  <c r="T135" i="59"/>
  <c r="T133" i="59"/>
  <c r="T131" i="59"/>
  <c r="T129" i="59"/>
  <c r="T22" i="59"/>
  <c r="T20" i="59"/>
  <c r="T18" i="59"/>
  <c r="BE371" i="74" l="1"/>
  <c r="AY371" i="74"/>
  <c r="AY376" i="74"/>
  <c r="BE375" i="74"/>
  <c r="AY375" i="74"/>
  <c r="AY374" i="74"/>
  <c r="BE373" i="74"/>
  <c r="AY373" i="74"/>
  <c r="AY372" i="74"/>
  <c r="AY370" i="74"/>
  <c r="BE242" i="74"/>
  <c r="AY242" i="74"/>
  <c r="AY247" i="74"/>
  <c r="BE246" i="74"/>
  <c r="AY246" i="74"/>
  <c r="AY245" i="74"/>
  <c r="BE244" i="74"/>
  <c r="AY244" i="74"/>
  <c r="AY243" i="74"/>
  <c r="AY241" i="74"/>
  <c r="B54" i="23"/>
  <c r="B114" i="23"/>
  <c r="BB160" i="96"/>
  <c r="BA160" i="96"/>
  <c r="AZ160" i="96"/>
  <c r="BB28" i="96"/>
  <c r="BA28" i="96"/>
  <c r="AZ28" i="96"/>
  <c r="BB160" i="84"/>
  <c r="BA160" i="84"/>
  <c r="AZ160" i="84"/>
  <c r="A7" i="89"/>
  <c r="A8" i="89"/>
  <c r="A9" i="89"/>
  <c r="A10" i="89"/>
  <c r="A11" i="89"/>
  <c r="A12" i="89"/>
  <c r="A13" i="89"/>
  <c r="A14" i="89"/>
  <c r="A15" i="89"/>
  <c r="A17" i="89"/>
  <c r="A18" i="89"/>
  <c r="A19" i="89"/>
  <c r="A20" i="89"/>
  <c r="A21" i="89"/>
  <c r="A22" i="89"/>
  <c r="A23" i="89"/>
  <c r="A24" i="89"/>
  <c r="A25" i="89"/>
  <c r="A26" i="89"/>
  <c r="A27" i="89"/>
  <c r="A28" i="89"/>
  <c r="A29" i="89"/>
  <c r="A30" i="89"/>
  <c r="A31" i="89"/>
  <c r="A32" i="89"/>
  <c r="A33" i="89"/>
  <c r="A34" i="89"/>
  <c r="A35" i="89"/>
  <c r="A36" i="89"/>
  <c r="A37" i="89"/>
  <c r="A38" i="89"/>
  <c r="A39" i="89"/>
  <c r="A40" i="89"/>
  <c r="A41" i="89"/>
  <c r="A42" i="89"/>
  <c r="A43" i="89"/>
  <c r="A44" i="89"/>
  <c r="A45" i="89"/>
  <c r="A46" i="89"/>
  <c r="A47" i="89"/>
  <c r="A49" i="89"/>
  <c r="A50" i="89"/>
  <c r="A51" i="89"/>
  <c r="A52" i="89"/>
  <c r="A53" i="89"/>
  <c r="A54" i="89"/>
  <c r="A55" i="89"/>
  <c r="A56" i="89"/>
  <c r="A57" i="89"/>
  <c r="A58" i="89"/>
  <c r="A59" i="89"/>
  <c r="A60" i="89"/>
  <c r="A61" i="89"/>
  <c r="A62" i="89"/>
  <c r="A63" i="89"/>
  <c r="A64" i="89"/>
  <c r="A65" i="89"/>
  <c r="J67" i="13"/>
  <c r="AM50" i="78"/>
  <c r="AN50" i="78" s="1"/>
  <c r="AJ51" i="78" s="1"/>
  <c r="B15" i="12"/>
  <c r="AC2" i="93" l="1"/>
  <c r="B2" i="93"/>
  <c r="F51" i="89"/>
  <c r="C14" i="98" l="1"/>
  <c r="BA7" i="95"/>
  <c r="AZ17" i="95"/>
  <c r="AZ18" i="95"/>
  <c r="AZ19" i="95"/>
  <c r="AZ20" i="95"/>
  <c r="AW30" i="95"/>
  <c r="AZ15" i="95"/>
  <c r="BG7" i="95" l="1"/>
  <c r="AZ22" i="95"/>
  <c r="AZ23" i="95"/>
  <c r="AZ21" i="95"/>
  <c r="AZ16" i="95"/>
  <c r="AS2" i="76"/>
  <c r="B2" i="76" l="1"/>
  <c r="AR4" i="76" s="1"/>
  <c r="C2" i="76"/>
  <c r="AS3" i="76" l="1"/>
  <c r="F38" i="2"/>
  <c r="N38" i="2"/>
  <c r="T38" i="2"/>
  <c r="F39" i="2"/>
  <c r="N39" i="2"/>
  <c r="T39" i="2"/>
  <c r="AA38" i="2"/>
  <c r="AA39" i="2"/>
  <c r="AS51" i="76" l="1"/>
  <c r="C21" i="76" l="1"/>
  <c r="AN24" i="79"/>
  <c r="AN23" i="79"/>
  <c r="AN22" i="79"/>
  <c r="AN33" i="79"/>
  <c r="AN32" i="79"/>
  <c r="AN30" i="79"/>
  <c r="AN28" i="79"/>
  <c r="AN68" i="79"/>
  <c r="AN66" i="79"/>
  <c r="AN65" i="79"/>
  <c r="AN63" i="79"/>
  <c r="AN61" i="79"/>
  <c r="AN59" i="79"/>
  <c r="AN57" i="79"/>
  <c r="AN56" i="79"/>
  <c r="AN55" i="79"/>
  <c r="AN54" i="79"/>
  <c r="AN52" i="79"/>
  <c r="AN50" i="79"/>
  <c r="AN48" i="79"/>
  <c r="AN46" i="79"/>
  <c r="AN42" i="79"/>
  <c r="AN40" i="79"/>
  <c r="AN19" i="79"/>
  <c r="AN17" i="79"/>
  <c r="AC20" i="79" s="1"/>
  <c r="AN20" i="79" s="1"/>
  <c r="B36" i="79"/>
  <c r="AC43" i="78"/>
  <c r="AC44" i="78"/>
  <c r="AC39" i="78"/>
  <c r="AV11" i="2" l="1"/>
  <c r="AM22" i="2" s="1"/>
  <c r="AY107" i="2"/>
  <c r="F25" i="2"/>
  <c r="AY24" i="2" l="1"/>
  <c r="AY20" i="2"/>
  <c r="AM20" i="2"/>
  <c r="X52" i="37"/>
  <c r="AE112" i="70" l="1"/>
  <c r="AD112" i="70"/>
  <c r="AC112" i="70"/>
  <c r="AB112" i="70"/>
  <c r="AE109" i="70"/>
  <c r="AD109" i="70"/>
  <c r="AC109" i="70"/>
  <c r="AB109" i="70"/>
  <c r="AE108" i="70"/>
  <c r="AD108" i="70"/>
  <c r="AC108" i="70"/>
  <c r="AB108" i="70"/>
  <c r="AE106" i="70"/>
  <c r="AD106" i="70"/>
  <c r="AC106" i="70"/>
  <c r="AB106" i="70"/>
  <c r="AE105" i="70"/>
  <c r="AD105" i="70"/>
  <c r="AC105" i="70"/>
  <c r="AB105" i="70"/>
  <c r="AE103" i="70"/>
  <c r="AD103" i="70"/>
  <c r="AC103" i="70"/>
  <c r="AB103" i="70"/>
  <c r="AE102" i="70"/>
  <c r="AD102" i="70"/>
  <c r="AC102" i="70"/>
  <c r="AB102" i="70"/>
  <c r="AE101" i="70"/>
  <c r="AD101" i="70"/>
  <c r="AC101" i="70"/>
  <c r="AB101" i="70"/>
  <c r="AE100" i="70"/>
  <c r="AD100" i="70"/>
  <c r="AC100" i="70"/>
  <c r="AB100" i="70"/>
  <c r="AE99" i="70"/>
  <c r="AD99" i="70"/>
  <c r="AC99" i="70"/>
  <c r="AB99" i="70"/>
  <c r="AE98" i="70"/>
  <c r="AD98" i="70"/>
  <c r="AC98" i="70"/>
  <c r="AB98" i="70"/>
  <c r="AE97" i="70"/>
  <c r="AD97" i="70"/>
  <c r="AC97" i="70"/>
  <c r="AB97" i="70"/>
  <c r="AE96" i="70"/>
  <c r="AD96" i="70"/>
  <c r="AC96" i="70"/>
  <c r="AB96" i="70"/>
  <c r="AE95" i="70"/>
  <c r="AD95" i="70"/>
  <c r="AC95" i="70"/>
  <c r="AB95" i="70"/>
  <c r="AE94" i="70"/>
  <c r="AD94" i="70"/>
  <c r="AC94" i="70"/>
  <c r="AB94" i="70"/>
  <c r="AE93" i="70"/>
  <c r="AD93" i="70"/>
  <c r="AC93" i="70"/>
  <c r="AB93" i="70"/>
  <c r="AF83" i="70"/>
  <c r="AE83" i="70"/>
  <c r="AD83" i="70"/>
  <c r="AC83" i="70"/>
  <c r="AB83" i="70"/>
  <c r="AF80" i="70"/>
  <c r="AE80" i="70"/>
  <c r="AD80" i="70"/>
  <c r="AC80" i="70"/>
  <c r="AB80" i="70"/>
  <c r="AF79" i="70"/>
  <c r="AE79" i="70"/>
  <c r="AD79" i="70"/>
  <c r="AC79" i="70"/>
  <c r="AB79" i="70"/>
  <c r="AF77" i="70"/>
  <c r="AE77" i="70"/>
  <c r="AD77" i="70"/>
  <c r="AC77" i="70"/>
  <c r="AB77" i="70"/>
  <c r="AF76" i="70"/>
  <c r="AE76" i="70"/>
  <c r="AD76" i="70"/>
  <c r="AC76" i="70"/>
  <c r="AB76" i="70"/>
  <c r="AF74" i="70"/>
  <c r="AE74" i="70"/>
  <c r="AD74" i="70"/>
  <c r="AC74" i="70"/>
  <c r="AB74" i="70"/>
  <c r="AF73" i="70"/>
  <c r="AE73" i="70"/>
  <c r="AD73" i="70"/>
  <c r="AC73" i="70"/>
  <c r="AB73" i="70"/>
  <c r="AF72" i="70"/>
  <c r="AE72" i="70"/>
  <c r="AD72" i="70"/>
  <c r="AC72" i="70"/>
  <c r="AB72" i="70"/>
  <c r="AF71" i="70"/>
  <c r="AE71" i="70"/>
  <c r="AD71" i="70"/>
  <c r="AC71" i="70"/>
  <c r="AB71" i="70"/>
  <c r="AF70" i="70"/>
  <c r="AE70" i="70"/>
  <c r="AD70" i="70"/>
  <c r="AC70" i="70"/>
  <c r="AB70" i="70"/>
  <c r="AF69" i="70"/>
  <c r="AE69" i="70"/>
  <c r="AD69" i="70"/>
  <c r="AC69" i="70"/>
  <c r="AB69" i="70"/>
  <c r="AF68" i="70"/>
  <c r="AE68" i="70"/>
  <c r="AD68" i="70"/>
  <c r="AC68" i="70"/>
  <c r="AB68" i="70"/>
  <c r="AF67" i="70"/>
  <c r="AE67" i="70"/>
  <c r="AD67" i="70"/>
  <c r="AC67" i="70"/>
  <c r="AB67" i="70"/>
  <c r="AF66" i="70"/>
  <c r="AE66" i="70"/>
  <c r="AD66" i="70"/>
  <c r="AC66" i="70"/>
  <c r="AB66" i="70"/>
  <c r="AF65" i="70"/>
  <c r="AE65" i="70"/>
  <c r="AD65" i="70"/>
  <c r="AC65" i="70"/>
  <c r="AB65" i="70"/>
  <c r="AF64" i="70"/>
  <c r="AE64" i="70"/>
  <c r="AD64" i="70"/>
  <c r="AC64" i="70"/>
  <c r="AB64" i="70"/>
  <c r="AF54" i="70"/>
  <c r="AE54" i="70"/>
  <c r="AD54" i="70"/>
  <c r="AC54" i="70"/>
  <c r="AB54" i="70"/>
  <c r="AF51" i="70"/>
  <c r="AE51" i="70"/>
  <c r="AD51" i="70"/>
  <c r="AC51" i="70"/>
  <c r="AB51" i="70"/>
  <c r="AF50" i="70"/>
  <c r="AE50" i="70"/>
  <c r="AD50" i="70"/>
  <c r="AC50" i="70"/>
  <c r="AB50" i="70"/>
  <c r="AF48" i="70"/>
  <c r="AE48" i="70"/>
  <c r="AD48" i="70"/>
  <c r="AC48" i="70"/>
  <c r="AB48" i="70"/>
  <c r="AF47" i="70"/>
  <c r="AE47" i="70"/>
  <c r="AD47" i="70"/>
  <c r="AC47" i="70"/>
  <c r="AB47" i="70"/>
  <c r="AF45" i="70"/>
  <c r="AE45" i="70"/>
  <c r="AD45" i="70"/>
  <c r="AC45" i="70"/>
  <c r="AB45" i="70"/>
  <c r="AF44" i="70"/>
  <c r="AE44" i="70"/>
  <c r="AD44" i="70"/>
  <c r="AC44" i="70"/>
  <c r="AB44" i="70"/>
  <c r="AF43" i="70"/>
  <c r="AE43" i="70"/>
  <c r="AD43" i="70"/>
  <c r="AC43" i="70"/>
  <c r="AB43" i="70"/>
  <c r="AF42" i="70"/>
  <c r="AE42" i="70"/>
  <c r="AD42" i="70"/>
  <c r="AC42" i="70"/>
  <c r="AB42" i="70"/>
  <c r="AF41" i="70"/>
  <c r="AE41" i="70"/>
  <c r="AD41" i="70"/>
  <c r="AC41" i="70"/>
  <c r="AB41" i="70"/>
  <c r="AF40" i="70"/>
  <c r="AE40" i="70"/>
  <c r="AD40" i="70"/>
  <c r="AC40" i="70"/>
  <c r="AB40" i="70"/>
  <c r="AF39" i="70"/>
  <c r="AE39" i="70"/>
  <c r="AD39" i="70"/>
  <c r="AC39" i="70"/>
  <c r="AB39" i="70"/>
  <c r="AF38" i="70"/>
  <c r="AE38" i="70"/>
  <c r="AD38" i="70"/>
  <c r="AC38" i="70"/>
  <c r="AB38" i="70"/>
  <c r="AF37" i="70"/>
  <c r="AE37" i="70"/>
  <c r="AD37" i="70"/>
  <c r="AC37" i="70"/>
  <c r="AB37" i="70"/>
  <c r="AF36" i="70"/>
  <c r="AE36" i="70"/>
  <c r="AD36" i="70"/>
  <c r="AC36" i="70"/>
  <c r="AB36" i="70"/>
  <c r="AF35" i="70"/>
  <c r="AE35" i="70"/>
  <c r="AD35" i="70"/>
  <c r="AC35" i="70"/>
  <c r="AB35" i="70"/>
  <c r="AC6" i="70"/>
  <c r="AD6" i="70"/>
  <c r="AE6" i="70"/>
  <c r="AF6" i="70"/>
  <c r="AC7" i="70"/>
  <c r="AD7" i="70"/>
  <c r="AE7" i="70"/>
  <c r="AF7" i="70"/>
  <c r="AC8" i="70"/>
  <c r="AD8" i="70"/>
  <c r="AE8" i="70"/>
  <c r="AF8" i="70"/>
  <c r="AC9" i="70"/>
  <c r="AD9" i="70"/>
  <c r="AE9" i="70"/>
  <c r="AF9" i="70"/>
  <c r="AC10" i="70"/>
  <c r="AD10" i="70"/>
  <c r="AE10" i="70"/>
  <c r="AF10" i="70"/>
  <c r="AC11" i="70"/>
  <c r="AD11" i="70"/>
  <c r="AE11" i="70"/>
  <c r="AF11" i="70"/>
  <c r="AC12" i="70"/>
  <c r="AD12" i="70"/>
  <c r="AE12" i="70"/>
  <c r="AF12" i="70"/>
  <c r="AC13" i="70"/>
  <c r="AD13" i="70"/>
  <c r="AE13" i="70"/>
  <c r="AF13" i="70"/>
  <c r="AC14" i="70"/>
  <c r="AD14" i="70"/>
  <c r="AE14" i="70"/>
  <c r="AF14" i="70"/>
  <c r="AC15" i="70"/>
  <c r="AD15" i="70"/>
  <c r="AE15" i="70"/>
  <c r="AF15" i="70"/>
  <c r="AC16" i="70"/>
  <c r="AD16" i="70"/>
  <c r="AE16" i="70"/>
  <c r="AF16" i="70"/>
  <c r="AC18" i="70"/>
  <c r="AD18" i="70"/>
  <c r="AE18" i="70"/>
  <c r="AF18" i="70"/>
  <c r="AC19" i="70"/>
  <c r="AD19" i="70"/>
  <c r="AE19" i="70"/>
  <c r="AF19" i="70"/>
  <c r="AC21" i="70"/>
  <c r="AD21" i="70"/>
  <c r="AE21" i="70"/>
  <c r="AF21" i="70"/>
  <c r="AC22" i="70"/>
  <c r="AD22" i="70"/>
  <c r="AE22" i="70"/>
  <c r="AF22" i="70"/>
  <c r="AC25" i="70"/>
  <c r="AD25" i="70"/>
  <c r="AE25" i="70"/>
  <c r="AF25" i="70"/>
  <c r="AB25" i="70"/>
  <c r="AB22" i="70"/>
  <c r="AB21" i="70"/>
  <c r="AB16" i="70"/>
  <c r="AB14" i="70"/>
  <c r="AB13" i="70"/>
  <c r="AB11" i="70"/>
  <c r="AB10" i="70"/>
  <c r="AB7" i="70"/>
  <c r="AB6" i="70"/>
  <c r="H93" i="70" l="1"/>
  <c r="H118" i="70" s="1"/>
  <c r="H94" i="70"/>
  <c r="F53" i="89" l="1"/>
  <c r="AH12" i="99"/>
  <c r="AE12" i="99"/>
  <c r="AB12" i="99"/>
  <c r="AJ52" i="99"/>
  <c r="D22" i="99"/>
  <c r="M21" i="99"/>
  <c r="D19" i="99"/>
  <c r="D17" i="99"/>
  <c r="V15" i="99"/>
  <c r="T15" i="99"/>
  <c r="E14" i="99"/>
  <c r="AC3" i="99"/>
  <c r="F11" i="99" l="1"/>
  <c r="R15" i="99"/>
  <c r="N100" i="37"/>
  <c r="N99" i="37"/>
  <c r="N98" i="37"/>
  <c r="AS73" i="2" l="1"/>
  <c r="AS74" i="2" s="1"/>
  <c r="AR73" i="2"/>
  <c r="AR74" i="2" s="1"/>
  <c r="AP73" i="2"/>
  <c r="AP74" i="2" s="1"/>
  <c r="AO75" i="2"/>
  <c r="AO68" i="2" s="1"/>
  <c r="AA177" i="5"/>
  <c r="AB173" i="5"/>
  <c r="AA173" i="5"/>
  <c r="AA63" i="5"/>
  <c r="AB59" i="5"/>
  <c r="AA59" i="5"/>
  <c r="AO81" i="2" l="1"/>
  <c r="AA178" i="5"/>
  <c r="AA64" i="5"/>
  <c r="O32" i="30"/>
  <c r="O5" i="30"/>
  <c r="AE76" i="91" s="1"/>
  <c r="AL7" i="82"/>
  <c r="BD5" i="95"/>
  <c r="BE378" i="74" l="1"/>
  <c r="BE249" i="74"/>
  <c r="BE119" i="74" l="1"/>
  <c r="L1167" i="61" l="1"/>
  <c r="L1168" i="61"/>
  <c r="L1169" i="61"/>
  <c r="L1170" i="61"/>
  <c r="L1171" i="61"/>
  <c r="L1172" i="61"/>
  <c r="L1173" i="61"/>
  <c r="L1174" i="61"/>
  <c r="L1175" i="61"/>
  <c r="L1176" i="61"/>
  <c r="L1177" i="61"/>
  <c r="L1178" i="61"/>
  <c r="L1179" i="61"/>
  <c r="L1180" i="61"/>
  <c r="L1181" i="61"/>
  <c r="L1182" i="61"/>
  <c r="L1183" i="61"/>
  <c r="L1184" i="61"/>
  <c r="L1185" i="61"/>
  <c r="L1186" i="61"/>
  <c r="L1187" i="61"/>
  <c r="L1188" i="61"/>
  <c r="L1189" i="61"/>
  <c r="L1190" i="61"/>
  <c r="L1191" i="61"/>
  <c r="L1192" i="61"/>
  <c r="L1193" i="61"/>
  <c r="L1194" i="61"/>
  <c r="L1195" i="61"/>
  <c r="U9" i="61"/>
  <c r="Q9" i="61"/>
  <c r="P9" i="61"/>
  <c r="O9" i="61"/>
  <c r="N9" i="61"/>
  <c r="U7" i="61"/>
  <c r="T7" i="61"/>
  <c r="S7" i="61"/>
  <c r="R7" i="61"/>
  <c r="Q7" i="61"/>
  <c r="P7" i="61"/>
  <c r="O7" i="61"/>
  <c r="N7" i="61"/>
  <c r="J1276" i="61" l="1"/>
  <c r="J1277" i="61"/>
  <c r="S9" i="61"/>
  <c r="R9" i="61"/>
  <c r="T9" i="61"/>
  <c r="BE36" i="95" l="1"/>
  <c r="M145" i="76"/>
  <c r="L1166" i="61"/>
  <c r="L1165" i="61"/>
  <c r="L1164" i="61"/>
  <c r="L1163" i="61"/>
  <c r="L1162" i="61"/>
  <c r="L1161" i="61"/>
  <c r="L1160" i="61"/>
  <c r="L1159" i="61"/>
  <c r="L1158" i="61"/>
  <c r="L1157" i="61"/>
  <c r="L1156" i="61"/>
  <c r="L1155" i="61"/>
  <c r="L1152" i="61"/>
  <c r="L1151" i="61"/>
  <c r="L1150" i="61"/>
  <c r="L1149" i="61"/>
  <c r="L1148" i="61"/>
  <c r="L1147" i="61"/>
  <c r="L1146" i="61"/>
  <c r="L1145" i="61"/>
  <c r="L1143" i="61"/>
  <c r="L1142" i="61"/>
  <c r="L1141" i="61"/>
  <c r="L1140" i="61"/>
  <c r="L1139" i="61"/>
  <c r="L1138" i="61"/>
  <c r="L1137" i="61"/>
  <c r="L1136" i="61"/>
  <c r="L1135" i="61"/>
  <c r="L1134" i="61"/>
  <c r="L1133" i="61"/>
  <c r="L1132" i="61"/>
  <c r="L1131" i="61"/>
  <c r="L1130" i="61"/>
  <c r="L1129" i="61"/>
  <c r="L1128" i="61"/>
  <c r="L1127" i="61"/>
  <c r="L1123" i="61"/>
  <c r="L1122" i="61"/>
  <c r="L1121" i="61"/>
  <c r="L1120" i="61"/>
  <c r="L1119" i="61"/>
  <c r="L1118" i="61"/>
  <c r="L1117" i="61"/>
  <c r="L1116" i="61"/>
  <c r="L1115" i="61"/>
  <c r="L1114" i="61"/>
  <c r="L1113" i="61"/>
  <c r="L1112" i="61"/>
  <c r="L1111" i="61"/>
  <c r="L1110" i="61"/>
  <c r="L1109" i="61"/>
  <c r="L1108" i="61"/>
  <c r="L1107" i="61"/>
  <c r="L1106" i="61"/>
  <c r="L1105" i="61"/>
  <c r="L1104" i="61"/>
  <c r="L1103" i="61"/>
  <c r="L1102" i="61"/>
  <c r="L1101" i="61"/>
  <c r="L1100" i="61"/>
  <c r="L1099" i="61"/>
  <c r="L1098" i="61"/>
  <c r="L1097" i="61"/>
  <c r="L1096" i="61"/>
  <c r="L1095" i="61"/>
  <c r="L1094" i="61"/>
  <c r="L1093" i="61"/>
  <c r="L1092" i="61"/>
  <c r="L1091" i="61"/>
  <c r="L1090" i="61"/>
  <c r="L1089" i="61"/>
  <c r="L1088" i="61"/>
  <c r="L1087" i="61"/>
  <c r="L1086" i="61"/>
  <c r="L1085" i="61"/>
  <c r="L1084" i="61"/>
  <c r="L1083" i="61"/>
  <c r="L1082" i="61"/>
  <c r="L1081" i="61"/>
  <c r="L1080" i="61"/>
  <c r="L1079" i="61"/>
  <c r="L1070" i="61"/>
  <c r="L1068" i="61"/>
  <c r="L1067" i="61"/>
  <c r="L1066" i="61"/>
  <c r="L1065" i="61"/>
  <c r="L1063" i="61"/>
  <c r="L1062" i="61"/>
  <c r="L1061" i="61"/>
  <c r="L1060" i="61"/>
  <c r="L1059" i="61"/>
  <c r="L1058" i="61"/>
  <c r="L1057" i="61"/>
  <c r="L1056" i="61"/>
  <c r="L1055" i="61"/>
  <c r="L1054" i="61"/>
  <c r="L1053" i="61"/>
  <c r="L1052" i="61"/>
  <c r="L1051" i="61"/>
  <c r="L1050" i="61"/>
  <c r="L1049" i="61"/>
  <c r="L1048" i="61"/>
  <c r="L1047" i="61"/>
  <c r="L1046" i="61"/>
  <c r="L1045" i="61"/>
  <c r="L1044" i="61"/>
  <c r="L1043" i="61"/>
  <c r="L1042" i="61"/>
  <c r="L1041" i="61"/>
  <c r="L1040" i="61"/>
  <c r="L1039" i="61"/>
  <c r="L1038" i="61"/>
  <c r="L1037" i="61"/>
  <c r="L1036" i="61"/>
  <c r="L1035" i="61"/>
  <c r="L1034" i="61"/>
  <c r="L1033" i="61"/>
  <c r="L1032" i="61"/>
  <c r="L1031" i="61"/>
  <c r="L1030" i="61"/>
  <c r="L1029" i="61"/>
  <c r="L1028" i="61"/>
  <c r="L1027" i="61"/>
  <c r="L1026" i="61"/>
  <c r="L1025" i="61"/>
  <c r="L1024" i="61"/>
  <c r="L1023" i="61"/>
  <c r="L1022" i="61"/>
  <c r="L1021" i="61"/>
  <c r="L1020" i="61"/>
  <c r="L1019" i="61"/>
  <c r="L1018" i="61"/>
  <c r="L1017" i="61"/>
  <c r="L1016" i="61"/>
  <c r="L1015" i="61"/>
  <c r="L1014" i="61"/>
  <c r="L1013" i="61"/>
  <c r="L1012" i="61"/>
  <c r="L1011" i="61"/>
  <c r="L1010" i="61"/>
  <c r="L1009" i="61"/>
  <c r="L1008" i="61"/>
  <c r="L1007" i="61"/>
  <c r="L1006" i="61"/>
  <c r="L1005" i="61"/>
  <c r="L1004" i="61"/>
  <c r="L1003" i="61"/>
  <c r="L999" i="61"/>
  <c r="L998" i="61"/>
  <c r="L997" i="61"/>
  <c r="L992" i="61"/>
  <c r="L991" i="61"/>
  <c r="L990" i="61"/>
  <c r="L989" i="61"/>
  <c r="L988" i="61"/>
  <c r="L987" i="61"/>
  <c r="L986" i="61"/>
  <c r="L985" i="61"/>
  <c r="L984" i="61"/>
  <c r="L983" i="61"/>
  <c r="L982" i="61"/>
  <c r="L981" i="61"/>
  <c r="L980" i="61"/>
  <c r="L979" i="61"/>
  <c r="L978" i="61"/>
  <c r="L977" i="61"/>
  <c r="L976" i="61"/>
  <c r="L975" i="61"/>
  <c r="L974" i="61"/>
  <c r="L973" i="61"/>
  <c r="L972" i="61"/>
  <c r="L971" i="61"/>
  <c r="L970" i="61"/>
  <c r="L969" i="61"/>
  <c r="L968" i="61"/>
  <c r="L967" i="61"/>
  <c r="L966" i="61"/>
  <c r="L965" i="61"/>
  <c r="L964" i="61"/>
  <c r="L963" i="61"/>
  <c r="L962" i="61"/>
  <c r="L961" i="61"/>
  <c r="L960" i="61"/>
  <c r="L959" i="61"/>
  <c r="L958" i="61"/>
  <c r="L957" i="61"/>
  <c r="L956" i="61"/>
  <c r="L955" i="61"/>
  <c r="L954" i="61"/>
  <c r="L953" i="61"/>
  <c r="L952" i="61"/>
  <c r="L951" i="61"/>
  <c r="L950" i="61"/>
  <c r="L949" i="61"/>
  <c r="L948" i="61"/>
  <c r="L947" i="61"/>
  <c r="L946" i="61"/>
  <c r="L945" i="61"/>
  <c r="L944" i="61"/>
  <c r="L943" i="61"/>
  <c r="L942" i="61"/>
  <c r="L941" i="61"/>
  <c r="L940" i="61"/>
  <c r="L939" i="61"/>
  <c r="L937" i="61"/>
  <c r="L935" i="61"/>
  <c r="L934" i="61"/>
  <c r="L933" i="61"/>
  <c r="L932" i="61"/>
  <c r="L931" i="61"/>
  <c r="L930" i="61"/>
  <c r="L929" i="61"/>
  <c r="L928" i="61"/>
  <c r="L927" i="61"/>
  <c r="L926" i="61"/>
  <c r="L925" i="61"/>
  <c r="L924" i="61"/>
  <c r="L923" i="61"/>
  <c r="L922" i="61"/>
  <c r="L921" i="61"/>
  <c r="L920" i="61"/>
  <c r="L919" i="61"/>
  <c r="L918" i="61"/>
  <c r="L917" i="61"/>
  <c r="L916" i="61"/>
  <c r="L915" i="61"/>
  <c r="L914" i="61"/>
  <c r="L913" i="61"/>
  <c r="L912" i="61"/>
  <c r="L911" i="61"/>
  <c r="L910" i="61"/>
  <c r="L909" i="61"/>
  <c r="L908" i="61"/>
  <c r="L907" i="61"/>
  <c r="L906" i="61"/>
  <c r="L905" i="61"/>
  <c r="L904" i="61"/>
  <c r="L903" i="61"/>
  <c r="L902" i="61"/>
  <c r="L901" i="61"/>
  <c r="L900" i="61"/>
  <c r="L899" i="61"/>
  <c r="L898" i="61"/>
  <c r="L897" i="61"/>
  <c r="L896" i="61"/>
  <c r="L895" i="61"/>
  <c r="L894" i="61"/>
  <c r="L893" i="61"/>
  <c r="L892" i="61"/>
  <c r="L891" i="61"/>
  <c r="L890" i="61"/>
  <c r="L889" i="61"/>
  <c r="L888" i="61"/>
  <c r="L887" i="61"/>
  <c r="L886" i="61"/>
  <c r="L885" i="61"/>
  <c r="L884" i="61"/>
  <c r="L883" i="61"/>
  <c r="L882" i="61"/>
  <c r="L881" i="61"/>
  <c r="L880" i="61"/>
  <c r="L879" i="61"/>
  <c r="L878" i="61"/>
  <c r="L870" i="61"/>
  <c r="L869" i="61"/>
  <c r="L868" i="61"/>
  <c r="L867" i="61"/>
  <c r="L866" i="61"/>
  <c r="L865" i="61"/>
  <c r="L864" i="61"/>
  <c r="L863" i="61"/>
  <c r="L862" i="61"/>
  <c r="L861" i="61"/>
  <c r="L860" i="61"/>
  <c r="L859" i="61"/>
  <c r="L858" i="61"/>
  <c r="L857" i="61"/>
  <c r="L856" i="61"/>
  <c r="L855" i="61"/>
  <c r="L854" i="61"/>
  <c r="L853" i="61"/>
  <c r="L852" i="61"/>
  <c r="L851" i="61"/>
  <c r="L850" i="61"/>
  <c r="L849" i="61"/>
  <c r="L848" i="61"/>
  <c r="L847" i="61"/>
  <c r="L846" i="61"/>
  <c r="L845" i="61"/>
  <c r="L844" i="61"/>
  <c r="L843" i="61"/>
  <c r="L842" i="61"/>
  <c r="L841" i="61"/>
  <c r="L840" i="61"/>
  <c r="L839" i="61"/>
  <c r="L838" i="61"/>
  <c r="L837" i="61"/>
  <c r="L836" i="61"/>
  <c r="L835" i="61"/>
  <c r="L834" i="61"/>
  <c r="L833" i="61"/>
  <c r="L832" i="61"/>
  <c r="L831" i="61"/>
  <c r="L830" i="61"/>
  <c r="L829" i="61"/>
  <c r="L828" i="61"/>
  <c r="L827" i="61"/>
  <c r="L826" i="61"/>
  <c r="L825" i="61"/>
  <c r="L824" i="61"/>
  <c r="L823" i="61"/>
  <c r="L822" i="61"/>
  <c r="L821" i="61"/>
  <c r="L820" i="61"/>
  <c r="L819" i="61"/>
  <c r="L818" i="61"/>
  <c r="L817" i="61"/>
  <c r="L816" i="61"/>
  <c r="L815" i="61"/>
  <c r="L814" i="61"/>
  <c r="L813" i="61"/>
  <c r="L812" i="61"/>
  <c r="L811" i="61"/>
  <c r="L810" i="61"/>
  <c r="L809" i="61"/>
  <c r="L808" i="61"/>
  <c r="L807" i="61"/>
  <c r="L806" i="61"/>
  <c r="L805" i="61"/>
  <c r="L804" i="61"/>
  <c r="L803" i="61"/>
  <c r="L802" i="61"/>
  <c r="L801" i="61"/>
  <c r="L800" i="61"/>
  <c r="L799" i="61"/>
  <c r="L798" i="61"/>
  <c r="L797" i="61"/>
  <c r="L796" i="61"/>
  <c r="L795" i="61"/>
  <c r="L794" i="61"/>
  <c r="L793" i="61"/>
  <c r="L792" i="61"/>
  <c r="L791" i="61"/>
  <c r="L790" i="61"/>
  <c r="L789" i="61"/>
  <c r="L788" i="61"/>
  <c r="L787" i="61"/>
  <c r="L786" i="61"/>
  <c r="L785" i="61"/>
  <c r="L784" i="61"/>
  <c r="L783" i="61"/>
  <c r="L782" i="61"/>
  <c r="L781" i="61"/>
  <c r="L780" i="61"/>
  <c r="L779" i="61"/>
  <c r="L778" i="61"/>
  <c r="L777" i="61"/>
  <c r="L776" i="61"/>
  <c r="L775" i="61"/>
  <c r="L774" i="61"/>
  <c r="L773" i="61"/>
  <c r="L772" i="61"/>
  <c r="L771" i="61"/>
  <c r="L770" i="61"/>
  <c r="L769" i="61"/>
  <c r="L768" i="61"/>
  <c r="L767" i="61"/>
  <c r="L766" i="61"/>
  <c r="L765" i="61"/>
  <c r="L764" i="61"/>
  <c r="L763" i="61"/>
  <c r="L762" i="61"/>
  <c r="L761" i="61"/>
  <c r="L760" i="61"/>
  <c r="L759" i="61"/>
  <c r="L758" i="61"/>
  <c r="L757" i="61"/>
  <c r="L756" i="61"/>
  <c r="L755" i="61"/>
  <c r="L754" i="61"/>
  <c r="L753" i="61"/>
  <c r="L752" i="61"/>
  <c r="L751" i="61"/>
  <c r="L750" i="61"/>
  <c r="L749" i="61"/>
  <c r="L748" i="61"/>
  <c r="L747" i="61"/>
  <c r="L746" i="61"/>
  <c r="L745" i="61"/>
  <c r="L744" i="61"/>
  <c r="L743" i="61"/>
  <c r="L742" i="61"/>
  <c r="L741" i="61"/>
  <c r="L740" i="61"/>
  <c r="L739" i="61"/>
  <c r="L738" i="61"/>
  <c r="L737" i="61"/>
  <c r="L736" i="61"/>
  <c r="L735" i="61"/>
  <c r="L734" i="61"/>
  <c r="L733" i="61"/>
  <c r="L732" i="61"/>
  <c r="L731" i="61"/>
  <c r="L730" i="61"/>
  <c r="L729" i="61"/>
  <c r="L728" i="61"/>
  <c r="L727" i="61"/>
  <c r="L726" i="61"/>
  <c r="L725" i="61"/>
  <c r="L724" i="61"/>
  <c r="L723" i="61"/>
  <c r="L722" i="61"/>
  <c r="L721" i="61"/>
  <c r="L720" i="61"/>
  <c r="L719" i="61"/>
  <c r="L718" i="61"/>
  <c r="L717" i="61"/>
  <c r="L716" i="61"/>
  <c r="L715" i="61"/>
  <c r="L714" i="61"/>
  <c r="L713" i="61"/>
  <c r="L712" i="61"/>
  <c r="L711" i="61"/>
  <c r="L710" i="61"/>
  <c r="L709" i="61"/>
  <c r="L708" i="61"/>
  <c r="L707" i="61"/>
  <c r="L706" i="61"/>
  <c r="L705" i="61"/>
  <c r="L704" i="61"/>
  <c r="L703" i="61"/>
  <c r="L702" i="61"/>
  <c r="L701" i="61"/>
  <c r="L700" i="61"/>
  <c r="L699" i="61"/>
  <c r="L698" i="61"/>
  <c r="L697" i="61"/>
  <c r="L696" i="61"/>
  <c r="L695" i="61"/>
  <c r="L694" i="61"/>
  <c r="L693" i="61"/>
  <c r="L692" i="61"/>
  <c r="L691" i="61"/>
  <c r="L690" i="61"/>
  <c r="L689" i="61"/>
  <c r="L688" i="61"/>
  <c r="L687" i="61"/>
  <c r="L686" i="61"/>
  <c r="L685" i="61"/>
  <c r="L684" i="61"/>
  <c r="L683" i="61"/>
  <c r="L682" i="61"/>
  <c r="L681" i="61"/>
  <c r="L680" i="61"/>
  <c r="L679" i="61"/>
  <c r="L678" i="61"/>
  <c r="L677" i="61"/>
  <c r="L676" i="61"/>
  <c r="L675" i="61"/>
  <c r="L674" i="61"/>
  <c r="L673" i="61"/>
  <c r="L672" i="61"/>
  <c r="L671" i="61"/>
  <c r="L670" i="61"/>
  <c r="L669" i="61"/>
  <c r="L668" i="61"/>
  <c r="L667" i="61"/>
  <c r="L666" i="61"/>
  <c r="L665" i="61"/>
  <c r="L664" i="61"/>
  <c r="L663" i="61"/>
  <c r="L662" i="61"/>
  <c r="L661" i="61"/>
  <c r="L660" i="61"/>
  <c r="L659" i="61"/>
  <c r="L658" i="61"/>
  <c r="L657" i="61"/>
  <c r="L656" i="61"/>
  <c r="L655" i="61"/>
  <c r="L654" i="61"/>
  <c r="L653" i="61"/>
  <c r="L652" i="61"/>
  <c r="L651" i="61"/>
  <c r="L650" i="61"/>
  <c r="L649" i="61"/>
  <c r="L648" i="61"/>
  <c r="L647" i="61"/>
  <c r="L646" i="61"/>
  <c r="L645" i="61"/>
  <c r="L644" i="61"/>
  <c r="L643" i="61"/>
  <c r="L642" i="61"/>
  <c r="L641" i="61"/>
  <c r="L640" i="61"/>
  <c r="L639" i="61"/>
  <c r="L638" i="61"/>
  <c r="L637" i="61"/>
  <c r="L636" i="61"/>
  <c r="L635" i="61"/>
  <c r="L634" i="61"/>
  <c r="L633" i="61"/>
  <c r="L632" i="61"/>
  <c r="L631" i="61"/>
  <c r="L630" i="61"/>
  <c r="L629" i="61"/>
  <c r="L628" i="61"/>
  <c r="L627" i="61"/>
  <c r="L626" i="61"/>
  <c r="L625" i="61"/>
  <c r="L624" i="61"/>
  <c r="L623" i="61"/>
  <c r="L622" i="61"/>
  <c r="L621" i="61"/>
  <c r="L620" i="61"/>
  <c r="L619" i="61"/>
  <c r="L618" i="61"/>
  <c r="L617" i="61"/>
  <c r="L616" i="61"/>
  <c r="L615" i="61"/>
  <c r="L614" i="61"/>
  <c r="L613" i="61"/>
  <c r="L612" i="61"/>
  <c r="L611" i="61"/>
  <c r="L610" i="61"/>
  <c r="L609" i="61"/>
  <c r="L608" i="61"/>
  <c r="L607" i="61"/>
  <c r="L606" i="61"/>
  <c r="L605" i="61"/>
  <c r="L604" i="61"/>
  <c r="L603" i="61"/>
  <c r="L602" i="61"/>
  <c r="L601" i="61"/>
  <c r="L600" i="61"/>
  <c r="L599" i="61"/>
  <c r="L598" i="61"/>
  <c r="L597" i="61"/>
  <c r="L596" i="61"/>
  <c r="L595" i="61"/>
  <c r="L594" i="61"/>
  <c r="L593" i="61"/>
  <c r="L592" i="61"/>
  <c r="L591" i="61"/>
  <c r="L590" i="61"/>
  <c r="L589" i="61"/>
  <c r="L588" i="61"/>
  <c r="L587" i="61"/>
  <c r="L586" i="61"/>
  <c r="L585" i="61"/>
  <c r="L584" i="61"/>
  <c r="L583" i="61"/>
  <c r="L582" i="61"/>
  <c r="L581" i="61"/>
  <c r="L580" i="61"/>
  <c r="L579" i="61"/>
  <c r="L578" i="61"/>
  <c r="L577" i="61"/>
  <c r="L576" i="61"/>
  <c r="L575" i="61"/>
  <c r="L574" i="61"/>
  <c r="L573" i="61"/>
  <c r="L572" i="61"/>
  <c r="L571" i="61"/>
  <c r="L570" i="61"/>
  <c r="L569" i="61"/>
  <c r="L568" i="61"/>
  <c r="L567" i="61"/>
  <c r="L566" i="61"/>
  <c r="L565" i="61"/>
  <c r="L564" i="61"/>
  <c r="L563" i="61"/>
  <c r="L562" i="61"/>
  <c r="L561" i="61"/>
  <c r="L560" i="61"/>
  <c r="L559" i="61"/>
  <c r="L558" i="61"/>
  <c r="L557" i="61"/>
  <c r="L556" i="61"/>
  <c r="L555" i="61"/>
  <c r="L554" i="61"/>
  <c r="L553" i="61"/>
  <c r="L552" i="61"/>
  <c r="L551" i="61"/>
  <c r="L550" i="61"/>
  <c r="L549" i="61"/>
  <c r="L548" i="61"/>
  <c r="L547" i="61"/>
  <c r="L546" i="61"/>
  <c r="L545" i="61"/>
  <c r="L544" i="61"/>
  <c r="L543" i="61"/>
  <c r="L542" i="61"/>
  <c r="L541" i="61"/>
  <c r="L540" i="61"/>
  <c r="L539" i="61"/>
  <c r="L538" i="61"/>
  <c r="L537" i="61"/>
  <c r="L536" i="61"/>
  <c r="L535" i="61"/>
  <c r="L534" i="61"/>
  <c r="L533" i="61"/>
  <c r="L532" i="61"/>
  <c r="L531" i="61"/>
  <c r="L530" i="61"/>
  <c r="L529" i="61"/>
  <c r="L528" i="61"/>
  <c r="L527" i="61"/>
  <c r="L526" i="61"/>
  <c r="L525" i="61"/>
  <c r="L524" i="61"/>
  <c r="L523" i="61"/>
  <c r="L522" i="61"/>
  <c r="L521" i="61"/>
  <c r="L520" i="61"/>
  <c r="L519" i="61"/>
  <c r="L518" i="61"/>
  <c r="L517" i="61"/>
  <c r="L516" i="61"/>
  <c r="L515" i="61"/>
  <c r="L514" i="61"/>
  <c r="L513" i="61"/>
  <c r="L512" i="61"/>
  <c r="L511" i="61"/>
  <c r="L510" i="61"/>
  <c r="L509" i="61"/>
  <c r="L508" i="61"/>
  <c r="L507" i="61"/>
  <c r="L506" i="61"/>
  <c r="L505" i="61"/>
  <c r="L504" i="61"/>
  <c r="L503" i="61"/>
  <c r="L502" i="61"/>
  <c r="L501" i="61"/>
  <c r="L500" i="61"/>
  <c r="L499" i="61"/>
  <c r="L498" i="61"/>
  <c r="L497" i="61"/>
  <c r="L496" i="61"/>
  <c r="L495" i="61"/>
  <c r="L494" i="61"/>
  <c r="L493" i="61"/>
  <c r="L492" i="61"/>
  <c r="L491" i="61"/>
  <c r="L490" i="61"/>
  <c r="L489" i="61"/>
  <c r="L488" i="61"/>
  <c r="L487" i="61"/>
  <c r="L486" i="61"/>
  <c r="L485" i="61"/>
  <c r="L484" i="61"/>
  <c r="L483" i="61"/>
  <c r="L482" i="61"/>
  <c r="L481" i="61"/>
  <c r="L480" i="61"/>
  <c r="L479" i="61"/>
  <c r="L478" i="61"/>
  <c r="L477" i="61"/>
  <c r="L476" i="61"/>
  <c r="L475" i="61"/>
  <c r="L474" i="61"/>
  <c r="L473" i="61"/>
  <c r="L472" i="61"/>
  <c r="L471" i="61"/>
  <c r="L470" i="61"/>
  <c r="L469" i="61"/>
  <c r="L468" i="61"/>
  <c r="L467" i="61"/>
  <c r="L466" i="61"/>
  <c r="L465" i="61"/>
  <c r="L464" i="61"/>
  <c r="L463" i="61"/>
  <c r="L462" i="61"/>
  <c r="L461" i="61"/>
  <c r="L460" i="61"/>
  <c r="L459" i="61"/>
  <c r="L458" i="61"/>
  <c r="L455" i="61"/>
  <c r="L454" i="61"/>
  <c r="L453" i="61"/>
  <c r="L452" i="61"/>
  <c r="L451" i="61"/>
  <c r="L450" i="61"/>
  <c r="L449" i="61"/>
  <c r="L448" i="61"/>
  <c r="L447" i="61"/>
  <c r="L446" i="61"/>
  <c r="L445" i="61"/>
  <c r="L444" i="61"/>
  <c r="L443" i="61"/>
  <c r="L442" i="61"/>
  <c r="L441" i="61"/>
  <c r="L440" i="61"/>
  <c r="L439" i="61"/>
  <c r="L438" i="61"/>
  <c r="L437" i="61"/>
  <c r="L436" i="61"/>
  <c r="L435" i="61"/>
  <c r="L434" i="61"/>
  <c r="L433" i="61"/>
  <c r="L432" i="61"/>
  <c r="L431" i="61"/>
  <c r="L430" i="61"/>
  <c r="L429" i="61"/>
  <c r="L428" i="61"/>
  <c r="L427" i="61"/>
  <c r="L426" i="61"/>
  <c r="L425" i="61"/>
  <c r="L424" i="61"/>
  <c r="L423" i="61"/>
  <c r="L422" i="61"/>
  <c r="L421" i="61"/>
  <c r="L420" i="61"/>
  <c r="L419" i="61"/>
  <c r="L418" i="61"/>
  <c r="L417" i="61"/>
  <c r="L416" i="61"/>
  <c r="L415" i="61"/>
  <c r="L414" i="61"/>
  <c r="L413" i="61"/>
  <c r="L412" i="61"/>
  <c r="L411" i="61"/>
  <c r="L410" i="61"/>
  <c r="L409" i="61"/>
  <c r="L408" i="61"/>
  <c r="L407" i="61"/>
  <c r="L406" i="61"/>
  <c r="L405" i="61"/>
  <c r="L404" i="61"/>
  <c r="L403" i="61"/>
  <c r="L402" i="61"/>
  <c r="L401" i="61"/>
  <c r="L400" i="61"/>
  <c r="L399" i="61"/>
  <c r="L398" i="61"/>
  <c r="L397" i="61"/>
  <c r="L396" i="61"/>
  <c r="L395" i="61"/>
  <c r="L394" i="61"/>
  <c r="L393" i="61"/>
  <c r="L392" i="61"/>
  <c r="L391" i="61"/>
  <c r="L390" i="61"/>
  <c r="L389" i="61"/>
  <c r="L388" i="61"/>
  <c r="L387" i="61"/>
  <c r="L386" i="61"/>
  <c r="L385" i="61"/>
  <c r="L384" i="61"/>
  <c r="L383" i="61"/>
  <c r="L382" i="61"/>
  <c r="L381" i="61"/>
  <c r="L380" i="61"/>
  <c r="L379" i="61"/>
  <c r="L378" i="61"/>
  <c r="L377" i="61"/>
  <c r="L376" i="61"/>
  <c r="L375" i="61"/>
  <c r="L374" i="61"/>
  <c r="L373" i="61"/>
  <c r="L372" i="61"/>
  <c r="L371" i="61"/>
  <c r="L370" i="61"/>
  <c r="L369" i="61"/>
  <c r="L368" i="61"/>
  <c r="L367" i="61"/>
  <c r="L366" i="61"/>
  <c r="L365" i="61"/>
  <c r="L364" i="61"/>
  <c r="L363" i="61"/>
  <c r="L362" i="61"/>
  <c r="L361" i="61"/>
  <c r="L360" i="61"/>
  <c r="L359" i="61"/>
  <c r="L358" i="61"/>
  <c r="L355" i="61"/>
  <c r="L354" i="61"/>
  <c r="L353" i="61"/>
  <c r="L352" i="61"/>
  <c r="L351" i="61"/>
  <c r="L350" i="61"/>
  <c r="L349" i="61"/>
  <c r="L348" i="61"/>
  <c r="L347" i="61"/>
  <c r="L346" i="61"/>
  <c r="L345" i="61"/>
  <c r="L344" i="61"/>
  <c r="L343" i="61"/>
  <c r="L342" i="61"/>
  <c r="L341" i="61"/>
  <c r="L340" i="61"/>
  <c r="L339" i="61"/>
  <c r="L338" i="61"/>
  <c r="L337" i="61"/>
  <c r="L329" i="61"/>
  <c r="L328" i="61"/>
  <c r="L327" i="61"/>
  <c r="L326" i="61"/>
  <c r="L325" i="61"/>
  <c r="L324" i="61"/>
  <c r="L323" i="61"/>
  <c r="L322" i="61"/>
  <c r="L321" i="61"/>
  <c r="L320" i="61"/>
  <c r="L319" i="61"/>
  <c r="L318" i="61"/>
  <c r="L317" i="61"/>
  <c r="L316" i="61"/>
  <c r="L315" i="61"/>
  <c r="L314" i="61"/>
  <c r="L313" i="61"/>
  <c r="L312" i="61"/>
  <c r="L311" i="61"/>
  <c r="L310" i="61"/>
  <c r="L309" i="61"/>
  <c r="L308" i="61"/>
  <c r="L307" i="61"/>
  <c r="L306" i="61"/>
  <c r="L305" i="61"/>
  <c r="L304" i="61"/>
  <c r="L303" i="61"/>
  <c r="L302" i="61"/>
  <c r="L301" i="61"/>
  <c r="L300" i="61"/>
  <c r="L299" i="61"/>
  <c r="L298" i="61"/>
  <c r="L297" i="61"/>
  <c r="L296" i="61"/>
  <c r="L295" i="61"/>
  <c r="L294" i="61"/>
  <c r="L293" i="61"/>
  <c r="L292" i="61"/>
  <c r="L291" i="61"/>
  <c r="L290" i="61"/>
  <c r="L289" i="61"/>
  <c r="L288" i="61"/>
  <c r="L287" i="61"/>
  <c r="L286" i="61"/>
  <c r="L285" i="61"/>
  <c r="L284" i="61"/>
  <c r="L283" i="61"/>
  <c r="L282" i="61"/>
  <c r="L281" i="61"/>
  <c r="L280" i="61"/>
  <c r="L279" i="61"/>
  <c r="L278" i="61"/>
  <c r="L277" i="61"/>
  <c r="L276" i="61"/>
  <c r="L275" i="61"/>
  <c r="L274" i="61"/>
  <c r="L273" i="61"/>
  <c r="L272" i="61"/>
  <c r="L271" i="61"/>
  <c r="L270" i="61"/>
  <c r="L269" i="61"/>
  <c r="L268" i="61"/>
  <c r="L267" i="61"/>
  <c r="L266" i="61"/>
  <c r="L265" i="61"/>
  <c r="L264" i="61"/>
  <c r="L263" i="61"/>
  <c r="L262" i="61"/>
  <c r="L261" i="61"/>
  <c r="L260" i="61"/>
  <c r="L259" i="61"/>
  <c r="L258" i="61"/>
  <c r="L257" i="61"/>
  <c r="L256" i="61"/>
  <c r="L255" i="61"/>
  <c r="L254" i="61"/>
  <c r="L253" i="61"/>
  <c r="L252" i="61"/>
  <c r="L251" i="61"/>
  <c r="L250" i="61"/>
  <c r="L249" i="61"/>
  <c r="L248" i="61"/>
  <c r="L247" i="61"/>
  <c r="L246" i="61"/>
  <c r="L245" i="61"/>
  <c r="L244" i="61"/>
  <c r="L243" i="61"/>
  <c r="L242" i="61"/>
  <c r="L241" i="61"/>
  <c r="L240" i="61"/>
  <c r="L239" i="61"/>
  <c r="L238" i="61"/>
  <c r="L237" i="61"/>
  <c r="L236" i="61"/>
  <c r="L235" i="61"/>
  <c r="L234" i="61"/>
  <c r="L233" i="61"/>
  <c r="L232" i="61"/>
  <c r="L231" i="61"/>
  <c r="L230" i="61"/>
  <c r="L229" i="61"/>
  <c r="L228" i="61"/>
  <c r="L227" i="61"/>
  <c r="L226" i="61"/>
  <c r="L225" i="61"/>
  <c r="L224" i="61"/>
  <c r="L223" i="61"/>
  <c r="L222" i="61"/>
  <c r="L221" i="61"/>
  <c r="L220" i="61"/>
  <c r="L219" i="61"/>
  <c r="L218" i="61"/>
  <c r="L217" i="61"/>
  <c r="L216" i="61"/>
  <c r="L215" i="61"/>
  <c r="L214" i="61"/>
  <c r="L213" i="61"/>
  <c r="L212" i="61"/>
  <c r="L211" i="61"/>
  <c r="L210" i="61"/>
  <c r="L209" i="61"/>
  <c r="L208" i="61"/>
  <c r="L207" i="61"/>
  <c r="L206" i="61"/>
  <c r="L205" i="61"/>
  <c r="L204" i="61"/>
  <c r="L203" i="61"/>
  <c r="L202" i="61"/>
  <c r="L201" i="61"/>
  <c r="L200" i="61"/>
  <c r="L199" i="61"/>
  <c r="L198" i="61"/>
  <c r="L197" i="61"/>
  <c r="L196" i="61"/>
  <c r="L195" i="61"/>
  <c r="L194" i="61"/>
  <c r="L193" i="61"/>
  <c r="L192" i="61"/>
  <c r="L191" i="61"/>
  <c r="L190" i="61"/>
  <c r="L189" i="61"/>
  <c r="L188" i="61"/>
  <c r="L187" i="61"/>
  <c r="L186" i="61"/>
  <c r="L185" i="61"/>
  <c r="L184" i="61"/>
  <c r="L183" i="61"/>
  <c r="L182" i="61"/>
  <c r="L181" i="61"/>
  <c r="L180" i="61"/>
  <c r="L179" i="61"/>
  <c r="L178" i="61"/>
  <c r="L177" i="61"/>
  <c r="L176" i="61"/>
  <c r="L175" i="61"/>
  <c r="L174" i="61"/>
  <c r="L173" i="61"/>
  <c r="L172" i="61"/>
  <c r="L171" i="61"/>
  <c r="L170" i="61"/>
  <c r="L169" i="61"/>
  <c r="L168" i="61"/>
  <c r="L167" i="61"/>
  <c r="L166" i="61"/>
  <c r="L165" i="61"/>
  <c r="L164" i="61"/>
  <c r="L163" i="61"/>
  <c r="L162" i="61"/>
  <c r="L161" i="61"/>
  <c r="L160" i="61"/>
  <c r="L159" i="61"/>
  <c r="L158" i="61"/>
  <c r="L157" i="61"/>
  <c r="L156" i="61"/>
  <c r="L155" i="61"/>
  <c r="L154" i="61"/>
  <c r="L153" i="61"/>
  <c r="L152" i="61"/>
  <c r="L151" i="61"/>
  <c r="L150" i="61"/>
  <c r="L149" i="61"/>
  <c r="L148" i="61"/>
  <c r="L147" i="61"/>
  <c r="L146" i="61"/>
  <c r="L145" i="61"/>
  <c r="L144" i="61"/>
  <c r="L143" i="61"/>
  <c r="L142" i="61"/>
  <c r="L141" i="61"/>
  <c r="L140" i="61"/>
  <c r="L139" i="61"/>
  <c r="L138" i="61"/>
  <c r="L137" i="61"/>
  <c r="L136" i="61"/>
  <c r="L135" i="61"/>
  <c r="L134" i="61"/>
  <c r="L133" i="61"/>
  <c r="L132" i="61"/>
  <c r="L131" i="61"/>
  <c r="L130" i="61"/>
  <c r="L129" i="61"/>
  <c r="L128" i="61"/>
  <c r="L127" i="61"/>
  <c r="L126" i="61"/>
  <c r="L125" i="61"/>
  <c r="L124" i="61"/>
  <c r="L123" i="61"/>
  <c r="L122" i="61"/>
  <c r="L121" i="61"/>
  <c r="L120" i="61"/>
  <c r="L119" i="61"/>
  <c r="L118" i="61"/>
  <c r="L117" i="61"/>
  <c r="L116" i="61"/>
  <c r="L115" i="61"/>
  <c r="L114" i="61"/>
  <c r="L113" i="61"/>
  <c r="L112" i="61"/>
  <c r="L111" i="61"/>
  <c r="L110" i="61"/>
  <c r="L109" i="61"/>
  <c r="L108" i="61"/>
  <c r="L107" i="61"/>
  <c r="L106" i="61"/>
  <c r="L105" i="61"/>
  <c r="L104" i="61"/>
  <c r="L103" i="61"/>
  <c r="L102" i="61"/>
  <c r="L101" i="61"/>
  <c r="L100" i="61"/>
  <c r="L99" i="61"/>
  <c r="L98" i="61"/>
  <c r="L97" i="61"/>
  <c r="L96" i="61"/>
  <c r="L95" i="61"/>
  <c r="L94" i="61"/>
  <c r="L93" i="61"/>
  <c r="L92" i="61"/>
  <c r="L91" i="61"/>
  <c r="L90" i="61"/>
  <c r="L89" i="61"/>
  <c r="L88" i="61"/>
  <c r="L87" i="61"/>
  <c r="L86" i="61"/>
  <c r="L85" i="61"/>
  <c r="L84" i="61"/>
  <c r="L83" i="61"/>
  <c r="L82" i="61"/>
  <c r="L81" i="61"/>
  <c r="L80" i="61"/>
  <c r="L79" i="61"/>
  <c r="L78" i="61"/>
  <c r="L77" i="61"/>
  <c r="L76" i="61"/>
  <c r="L75" i="61"/>
  <c r="L74" i="61"/>
  <c r="L73" i="61"/>
  <c r="L72" i="61"/>
  <c r="L71" i="61"/>
  <c r="L70" i="61"/>
  <c r="L69" i="61"/>
  <c r="L68" i="61"/>
  <c r="L67" i="61"/>
  <c r="L66" i="61"/>
  <c r="L65" i="61"/>
  <c r="L64" i="61"/>
  <c r="L63" i="61"/>
  <c r="L62" i="61"/>
  <c r="L61" i="61"/>
  <c r="L60" i="61"/>
  <c r="L59" i="61"/>
  <c r="L58" i="61"/>
  <c r="L57" i="61"/>
  <c r="L56" i="61"/>
  <c r="L55" i="61"/>
  <c r="L54" i="61"/>
  <c r="L53" i="61"/>
  <c r="L52" i="61"/>
  <c r="L51" i="61"/>
  <c r="L50" i="61"/>
  <c r="L49" i="61"/>
  <c r="L48" i="61"/>
  <c r="L47" i="61"/>
  <c r="L46" i="61"/>
  <c r="L45" i="61"/>
  <c r="L44" i="61"/>
  <c r="L43" i="61"/>
  <c r="L42" i="61"/>
  <c r="L41" i="61"/>
  <c r="L40" i="61"/>
  <c r="L39" i="61"/>
  <c r="L38" i="61"/>
  <c r="L37" i="61"/>
  <c r="L36" i="61"/>
  <c r="L35" i="61"/>
  <c r="L34" i="61"/>
  <c r="L33" i="61"/>
  <c r="L32" i="61"/>
  <c r="L31" i="61"/>
  <c r="L30" i="61"/>
  <c r="L29" i="61"/>
  <c r="L28" i="61"/>
  <c r="L27" i="61"/>
  <c r="L26" i="61"/>
  <c r="L25" i="61"/>
  <c r="L24" i="61"/>
  <c r="L23" i="61"/>
  <c r="L22" i="61"/>
  <c r="L21" i="61"/>
  <c r="L20" i="61"/>
  <c r="L19" i="61"/>
  <c r="L18" i="61"/>
  <c r="L17" i="61"/>
  <c r="L16" i="61"/>
  <c r="L15" i="61"/>
  <c r="L14" i="61"/>
  <c r="L13" i="61"/>
  <c r="L12" i="61"/>
  <c r="L11" i="61"/>
  <c r="L10" i="61"/>
  <c r="L9" i="61"/>
  <c r="L8" i="61"/>
  <c r="L7" i="61"/>
  <c r="L6" i="61"/>
  <c r="L5" i="61"/>
  <c r="L4" i="61"/>
  <c r="L3" i="61"/>
  <c r="F37" i="89"/>
  <c r="V170" i="98"/>
  <c r="V169" i="98"/>
  <c r="V163" i="98"/>
  <c r="V162" i="98"/>
  <c r="X104" i="98"/>
  <c r="X103" i="98"/>
  <c r="X96" i="98"/>
  <c r="X95" i="98"/>
  <c r="V85" i="98"/>
  <c r="V84" i="98"/>
  <c r="V79" i="98"/>
  <c r="V78" i="98"/>
  <c r="V65" i="98"/>
  <c r="V64" i="98"/>
  <c r="V58" i="98"/>
  <c r="V57" i="98"/>
  <c r="J3" i="61" l="1"/>
  <c r="I3" i="61"/>
  <c r="H3" i="61"/>
  <c r="G3" i="61"/>
  <c r="F3" i="61"/>
  <c r="E3" i="61"/>
  <c r="D3" i="61"/>
  <c r="C3" i="61"/>
  <c r="Q166" i="5"/>
  <c r="O166" i="5"/>
  <c r="O52" i="5"/>
  <c r="Q52" i="5"/>
  <c r="Y164" i="5" l="1"/>
  <c r="T167" i="5" s="1"/>
  <c r="T166" i="5"/>
  <c r="T165" i="5"/>
  <c r="T164" i="5"/>
  <c r="T163" i="5"/>
  <c r="T52" i="5"/>
  <c r="T51" i="5"/>
  <c r="T50" i="5"/>
  <c r="T49" i="5"/>
  <c r="Y50" i="5"/>
  <c r="W163" i="5" l="1"/>
  <c r="W49" i="5"/>
  <c r="V157" i="98"/>
  <c r="V154" i="98"/>
  <c r="Y149" i="98"/>
  <c r="V148" i="98"/>
  <c r="V145" i="98"/>
  <c r="X118" i="98"/>
  <c r="X117" i="98"/>
  <c r="V100" i="98"/>
  <c r="V93" i="98"/>
  <c r="M73" i="98"/>
  <c r="M69" i="98"/>
  <c r="M66" i="98"/>
  <c r="M65" i="98"/>
  <c r="E62" i="98"/>
  <c r="K61" i="98"/>
  <c r="K60" i="98"/>
  <c r="E59" i="98"/>
  <c r="K58" i="98"/>
  <c r="K57" i="98"/>
  <c r="K56" i="98"/>
  <c r="N55" i="98"/>
  <c r="K55" i="98"/>
  <c r="E54" i="98"/>
  <c r="E53" i="98"/>
  <c r="E52" i="98"/>
  <c r="E51" i="98"/>
  <c r="K49" i="98"/>
  <c r="K48" i="98"/>
  <c r="K47" i="98"/>
  <c r="K46" i="98"/>
  <c r="K45" i="98"/>
  <c r="N44" i="98"/>
  <c r="K44" i="98"/>
  <c r="E43" i="98"/>
  <c r="E42" i="98"/>
  <c r="E41" i="98"/>
  <c r="K39" i="98"/>
  <c r="K30" i="98"/>
  <c r="X122" i="98" l="1"/>
  <c r="X119" i="98"/>
  <c r="AM18" i="97" l="1"/>
  <c r="AL24" i="97" l="1"/>
  <c r="AP28" i="97" l="1"/>
  <c r="AM47" i="97"/>
  <c r="AT45" i="97" s="1"/>
  <c r="AS53" i="97" s="1"/>
  <c r="R35" i="97" s="1"/>
  <c r="AQ47" i="97"/>
  <c r="L85" i="13"/>
  <c r="F59" i="30" l="1"/>
  <c r="AS32" i="30"/>
  <c r="AR32" i="30"/>
  <c r="AQ32" i="30"/>
  <c r="AP32" i="30"/>
  <c r="AO32" i="30"/>
  <c r="AN32" i="30"/>
  <c r="AM32" i="30"/>
  <c r="AL32" i="30"/>
  <c r="AK32" i="30"/>
  <c r="AL5" i="30"/>
  <c r="AM5" i="30"/>
  <c r="AN5" i="30"/>
  <c r="AO5" i="30"/>
  <c r="AP5" i="30"/>
  <c r="AQ5" i="30"/>
  <c r="AR5" i="30"/>
  <c r="AS5" i="30"/>
  <c r="AK5" i="30"/>
  <c r="AS44" i="97" l="1"/>
  <c r="AJ61" i="97"/>
  <c r="AM58" i="97"/>
  <c r="AE59" i="97" s="1"/>
  <c r="AM15" i="97" l="1"/>
  <c r="AE15" i="97" s="1"/>
  <c r="AJ66" i="97"/>
  <c r="AJ22" i="97"/>
  <c r="D19" i="97"/>
  <c r="AJ15" i="97"/>
  <c r="AC3" i="97"/>
  <c r="AM19" i="97" l="1"/>
  <c r="N23" i="1"/>
  <c r="N7" i="1"/>
  <c r="N5" i="1"/>
  <c r="I3" i="1"/>
  <c r="I9" i="1"/>
  <c r="I10" i="1"/>
  <c r="I11" i="1"/>
  <c r="I12" i="1"/>
  <c r="I13" i="1"/>
  <c r="AI54" i="59" s="1"/>
  <c r="AI65" i="59" s="1"/>
  <c r="I14" i="1"/>
  <c r="I15" i="1"/>
  <c r="I16" i="1"/>
  <c r="I17" i="1"/>
  <c r="I18" i="1"/>
  <c r="I19" i="1"/>
  <c r="I20" i="1"/>
  <c r="I22" i="1"/>
  <c r="C28" i="1" l="1"/>
  <c r="I28" i="1" s="1"/>
  <c r="J59" i="1" s="1"/>
  <c r="P3" i="52" s="1"/>
  <c r="R41" i="97"/>
  <c r="AE62" i="97"/>
  <c r="N8" i="1"/>
  <c r="O80" i="59"/>
  <c r="O85" i="59" s="1"/>
  <c r="AI30" i="59"/>
  <c r="I4" i="1"/>
  <c r="I5" i="1"/>
  <c r="I23" i="1"/>
  <c r="AE22" i="97"/>
  <c r="X30" i="97"/>
  <c r="X31" i="97" s="1"/>
  <c r="X20" i="97"/>
  <c r="X41" i="97"/>
  <c r="X42" i="97" s="1"/>
  <c r="I7" i="1"/>
  <c r="AE60" i="97"/>
  <c r="X48" i="97" s="1"/>
  <c r="AE50" i="97" s="1"/>
  <c r="G11" i="40"/>
  <c r="G6" i="40"/>
  <c r="AO265" i="96"/>
  <c r="AJ251" i="96"/>
  <c r="Y242" i="96"/>
  <c r="F242" i="96"/>
  <c r="AH241" i="96"/>
  <c r="O241" i="96"/>
  <c r="Z225" i="96"/>
  <c r="S225" i="96"/>
  <c r="F225" i="96"/>
  <c r="AH224" i="96"/>
  <c r="K224" i="96"/>
  <c r="B197" i="96"/>
  <c r="AO196" i="96"/>
  <c r="AD189" i="96"/>
  <c r="AD188" i="96"/>
  <c r="BB185" i="96"/>
  <c r="AZ185" i="96"/>
  <c r="AJ180" i="96"/>
  <c r="AJ183" i="96" s="1"/>
  <c r="AK185" i="96" s="1"/>
  <c r="BD184" i="96" s="1"/>
  <c r="AD180" i="96"/>
  <c r="AD183" i="96" s="1"/>
  <c r="AE185" i="96" s="1"/>
  <c r="BB184" i="96" s="1"/>
  <c r="V180" i="96"/>
  <c r="AJ164" i="96"/>
  <c r="BE155" i="96" s="1"/>
  <c r="AD164" i="96"/>
  <c r="BE154" i="96" s="1"/>
  <c r="V164" i="96"/>
  <c r="BE153" i="96" s="1"/>
  <c r="BB161" i="96"/>
  <c r="BA161" i="96"/>
  <c r="AZ161" i="96"/>
  <c r="BB157" i="96"/>
  <c r="BA157" i="96"/>
  <c r="AZ157" i="96"/>
  <c r="BB156" i="96"/>
  <c r="BA156" i="96"/>
  <c r="AZ156" i="96"/>
  <c r="AR155" i="96"/>
  <c r="AR154" i="96"/>
  <c r="AR153" i="96"/>
  <c r="D145" i="96"/>
  <c r="H136" i="96"/>
  <c r="AI135" i="96"/>
  <c r="AO133" i="96"/>
  <c r="AJ119" i="96"/>
  <c r="Y110" i="96"/>
  <c r="F110" i="96"/>
  <c r="AH109" i="96"/>
  <c r="O109" i="96"/>
  <c r="Z93" i="96"/>
  <c r="S93" i="96"/>
  <c r="F93" i="96"/>
  <c r="AH92" i="96"/>
  <c r="K92" i="96"/>
  <c r="B65" i="96"/>
  <c r="AO64" i="96"/>
  <c r="AD57" i="96"/>
  <c r="AD56" i="96"/>
  <c r="BD53" i="96"/>
  <c r="BB53" i="96"/>
  <c r="AZ53" i="96"/>
  <c r="AJ48" i="96"/>
  <c r="AJ51" i="96" s="1"/>
  <c r="AK53" i="96" s="1"/>
  <c r="BD52" i="96" s="1"/>
  <c r="AD48" i="96"/>
  <c r="AD51" i="96" s="1"/>
  <c r="AE53" i="96" s="1"/>
  <c r="BB52" i="96" s="1"/>
  <c r="V48" i="96"/>
  <c r="V51" i="96" s="1"/>
  <c r="AZ51" i="96" s="1"/>
  <c r="AZ54" i="96" s="1"/>
  <c r="AJ32" i="96"/>
  <c r="BE23" i="96" s="1"/>
  <c r="AD32" i="96"/>
  <c r="BE22" i="96" s="1"/>
  <c r="V32" i="96"/>
  <c r="BE21" i="96" s="1"/>
  <c r="BB29" i="96"/>
  <c r="BA29" i="96"/>
  <c r="AZ29" i="96"/>
  <c r="BB25" i="96"/>
  <c r="BA25" i="96"/>
  <c r="AZ25" i="96"/>
  <c r="BB24" i="96"/>
  <c r="BA24" i="96"/>
  <c r="AZ24" i="96"/>
  <c r="AR23" i="96"/>
  <c r="AR22" i="96"/>
  <c r="AR21" i="96"/>
  <c r="D13" i="96"/>
  <c r="H4" i="96"/>
  <c r="AI3" i="96"/>
  <c r="G185" i="60"/>
  <c r="AS45" i="97" l="1"/>
  <c r="AS46" i="97" s="1"/>
  <c r="AS48" i="97" s="1"/>
  <c r="AS51" i="97" s="1"/>
  <c r="R29" i="97" s="1"/>
  <c r="AS24" i="97"/>
  <c r="AJ111" i="96"/>
  <c r="AH94" i="96"/>
  <c r="AK112" i="96"/>
  <c r="BE24" i="96"/>
  <c r="I24" i="96" s="1"/>
  <c r="AI95" i="96"/>
  <c r="AD58" i="96"/>
  <c r="BC157" i="96"/>
  <c r="AD187" i="96" s="1"/>
  <c r="AH226" i="96"/>
  <c r="BC24" i="96"/>
  <c r="AD54" i="96" s="1"/>
  <c r="G32" i="96"/>
  <c r="AI227" i="96"/>
  <c r="AD190" i="96"/>
  <c r="G164" i="96"/>
  <c r="AK244" i="96"/>
  <c r="I8" i="1"/>
  <c r="AE44" i="97"/>
  <c r="AR156" i="96"/>
  <c r="AR157" i="96" s="1"/>
  <c r="BC156" i="96"/>
  <c r="AD186" i="96" s="1"/>
  <c r="V183" i="96"/>
  <c r="AZ183" i="96" s="1"/>
  <c r="AZ186" i="96" s="1"/>
  <c r="AJ243" i="96"/>
  <c r="AR24" i="96"/>
  <c r="AR25" i="96" s="1"/>
  <c r="BC25" i="96"/>
  <c r="AD55" i="96" s="1"/>
  <c r="BE156" i="96"/>
  <c r="I156" i="96" s="1"/>
  <c r="BA183" i="96"/>
  <c r="BB183" i="96"/>
  <c r="BB186" i="96" s="1"/>
  <c r="BC183" i="96"/>
  <c r="BA51" i="96"/>
  <c r="BB51" i="96"/>
  <c r="BB54" i="96" s="1"/>
  <c r="BC51" i="96"/>
  <c r="BD51" i="96"/>
  <c r="BD54" i="96" s="1"/>
  <c r="BD183" i="96"/>
  <c r="W53" i="96"/>
  <c r="AZ52" i="96" s="1"/>
  <c r="AK61" i="96" s="1"/>
  <c r="AK60" i="96" s="1"/>
  <c r="AY51" i="96"/>
  <c r="AB9" i="70"/>
  <c r="AB19" i="70"/>
  <c r="AB18" i="70"/>
  <c r="H105" i="70" s="1"/>
  <c r="AB15" i="70"/>
  <c r="AB12" i="70"/>
  <c r="AB8" i="70"/>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H96" i="96" l="1"/>
  <c r="AJ113" i="96"/>
  <c r="AH228" i="96"/>
  <c r="H106" i="70"/>
  <c r="AJ245" i="96"/>
  <c r="BD186" i="96"/>
  <c r="BD185" i="96"/>
  <c r="I70" i="69"/>
  <c r="H99" i="70"/>
  <c r="I69" i="69"/>
  <c r="H95" i="70"/>
  <c r="H108" i="70"/>
  <c r="I76" i="69"/>
  <c r="H103" i="70"/>
  <c r="I67" i="69"/>
  <c r="H96" i="70"/>
  <c r="H109" i="70"/>
  <c r="I66" i="69"/>
  <c r="H102" i="70"/>
  <c r="H100" i="70"/>
  <c r="H97" i="70"/>
  <c r="I78" i="69"/>
  <c r="I77" i="69"/>
  <c r="AY183" i="96"/>
  <c r="AJ191" i="96" s="1"/>
  <c r="H112" i="70"/>
  <c r="I74" i="69"/>
  <c r="H101" i="70"/>
  <c r="AJ59" i="96"/>
  <c r="AJ63" i="96" s="1"/>
  <c r="AV123" i="96" s="1"/>
  <c r="AJ123" i="96" s="1"/>
  <c r="I73" i="69"/>
  <c r="I71" i="69"/>
  <c r="H98" i="70"/>
  <c r="W185" i="96"/>
  <c r="AZ184" i="96" s="1"/>
  <c r="I55" i="1"/>
  <c r="I54" i="1"/>
  <c r="I53" i="1"/>
  <c r="I51" i="1"/>
  <c r="I50" i="1"/>
  <c r="I49" i="1"/>
  <c r="I48" i="1"/>
  <c r="I47" i="1"/>
  <c r="I46" i="1"/>
  <c r="I45" i="1"/>
  <c r="I44" i="1"/>
  <c r="AK54" i="59" s="1"/>
  <c r="AK65" i="59" s="1"/>
  <c r="I43" i="1"/>
  <c r="I42" i="1"/>
  <c r="I41" i="1"/>
  <c r="I40" i="1"/>
  <c r="I39" i="1"/>
  <c r="I38" i="1"/>
  <c r="I36" i="1"/>
  <c r="I35" i="1"/>
  <c r="I34" i="1"/>
  <c r="AK30" i="59" s="1"/>
  <c r="I25" i="1"/>
  <c r="I24" i="1"/>
  <c r="AN165" i="62"/>
  <c r="AN164" i="62"/>
  <c r="AL163" i="62"/>
  <c r="J64" i="69" l="1"/>
  <c r="AK193" i="96"/>
  <c r="AK192" i="96" s="1"/>
  <c r="AE29" i="97"/>
  <c r="R30" i="97"/>
  <c r="AE32" i="97" s="1"/>
  <c r="S8" i="37"/>
  <c r="AJ195" i="96" l="1"/>
  <c r="AM136" i="62"/>
  <c r="AV255" i="96" l="1"/>
  <c r="AJ255" i="96" s="1"/>
  <c r="K40" i="23"/>
  <c r="K108" i="60"/>
  <c r="L108" i="60"/>
  <c r="D348" i="60"/>
  <c r="L50" i="30"/>
  <c r="K50" i="30"/>
  <c r="J50" i="30"/>
  <c r="I50" i="30"/>
  <c r="H50" i="30"/>
  <c r="G50" i="30"/>
  <c r="F50" i="30"/>
  <c r="E50" i="30"/>
  <c r="D50" i="30"/>
  <c r="L23" i="30"/>
  <c r="K23" i="30"/>
  <c r="J23" i="30"/>
  <c r="I23" i="30"/>
  <c r="H23" i="30"/>
  <c r="G23" i="30"/>
  <c r="F23" i="30"/>
  <c r="E23" i="30"/>
  <c r="D23" i="30"/>
  <c r="AV256" i="96" l="1"/>
  <c r="D25" i="30"/>
  <c r="H25" i="30" s="1"/>
  <c r="D52" i="30"/>
  <c r="H52" i="30" s="1"/>
  <c r="D208" i="60" l="1"/>
  <c r="D198" i="60"/>
  <c r="D196" i="60"/>
  <c r="D190" i="60"/>
  <c r="D181" i="60"/>
  <c r="L168" i="60" l="1"/>
  <c r="N66" i="60" l="1"/>
  <c r="A64" i="60"/>
  <c r="M29" i="95"/>
  <c r="BA29" i="95" s="1"/>
  <c r="BG29" i="95" s="1"/>
  <c r="M28" i="95"/>
  <c r="BA28" i="95" s="1"/>
  <c r="BG28" i="95" s="1"/>
  <c r="M27" i="95"/>
  <c r="BA27" i="95" s="1"/>
  <c r="BG27" i="95" s="1"/>
  <c r="M26" i="95"/>
  <c r="BA26" i="95" s="1"/>
  <c r="BG26" i="95" s="1"/>
  <c r="M25" i="95"/>
  <c r="BA25" i="95" s="1"/>
  <c r="BG25" i="95" s="1"/>
  <c r="M59" i="33"/>
  <c r="S74" i="3"/>
  <c r="AZ27" i="95" l="1"/>
  <c r="AZ28" i="95"/>
  <c r="AZ26" i="95"/>
  <c r="AZ29" i="95"/>
  <c r="AZ24" i="95"/>
  <c r="AZ25" i="95"/>
  <c r="S69" i="3"/>
  <c r="S68" i="3"/>
  <c r="AZ7" i="95"/>
  <c r="BC16" i="95"/>
  <c r="BC17" i="95"/>
  <c r="BC18" i="95"/>
  <c r="BC19" i="95"/>
  <c r="BC20" i="95"/>
  <c r="BC21" i="95"/>
  <c r="BC22" i="95"/>
  <c r="BC23" i="95"/>
  <c r="BC24" i="95"/>
  <c r="BC25" i="95"/>
  <c r="BC26" i="95"/>
  <c r="BC27" i="95"/>
  <c r="BC28" i="95"/>
  <c r="BC29" i="95"/>
  <c r="BC30" i="95"/>
  <c r="BC15" i="95"/>
  <c r="BC10" i="95"/>
  <c r="BC9" i="95"/>
  <c r="BC8" i="95"/>
  <c r="BC7" i="95"/>
  <c r="AZ30" i="95"/>
  <c r="AZ10" i="95"/>
  <c r="AZ9" i="95"/>
  <c r="AZ8" i="95"/>
  <c r="D46" i="78" l="1"/>
  <c r="S70" i="3"/>
  <c r="BC3" i="95"/>
  <c r="AI1" i="95" s="1"/>
  <c r="AZ3" i="95"/>
  <c r="M1" i="95" s="1"/>
  <c r="AK75" i="68"/>
  <c r="AM75" i="68"/>
  <c r="AO75" i="68"/>
  <c r="AQ75" i="68"/>
  <c r="AK76" i="68"/>
  <c r="AM76" i="68"/>
  <c r="AO76" i="68"/>
  <c r="AQ76" i="68"/>
  <c r="AQ82" i="68"/>
  <c r="AO82" i="68"/>
  <c r="AM82" i="68"/>
  <c r="AK82" i="68"/>
  <c r="AQ81" i="68"/>
  <c r="AO81" i="68"/>
  <c r="AM81" i="68"/>
  <c r="AK81" i="68"/>
  <c r="D76" i="68"/>
  <c r="B168" i="68" l="1"/>
  <c r="Y34" i="68"/>
  <c r="Y33" i="68"/>
  <c r="Y32" i="68"/>
  <c r="Y31" i="68"/>
  <c r="Y30" i="68"/>
  <c r="Y35" i="68" l="1"/>
  <c r="AB23" i="68" s="1"/>
  <c r="Z30" i="68" l="1"/>
  <c r="P73" i="68"/>
  <c r="BB55"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51" i="58"/>
  <c r="V51" i="58"/>
  <c r="Q51" i="58"/>
  <c r="AA50" i="58"/>
  <c r="V50" i="58"/>
  <c r="Q50" i="58"/>
  <c r="AA49" i="58"/>
  <c r="V49" i="58"/>
  <c r="Q49" i="58"/>
  <c r="AA48" i="58"/>
  <c r="V48" i="58"/>
  <c r="Q48" i="58"/>
  <c r="AA43" i="58"/>
  <c r="V43" i="58"/>
  <c r="Q43" i="58"/>
  <c r="AJ15" i="58"/>
  <c r="H48" i="53"/>
  <c r="E62" i="71"/>
  <c r="E124" i="71"/>
  <c r="C116" i="71"/>
  <c r="C54" i="71"/>
  <c r="M100" i="71"/>
  <c r="C81" i="71"/>
  <c r="AL150" i="91"/>
  <c r="AL42" i="91"/>
  <c r="P125" i="68" l="1"/>
  <c r="P116" i="68"/>
  <c r="AZ101" i="2"/>
  <c r="BA101" i="2" s="1"/>
  <c r="D16" i="37"/>
  <c r="E8" i="37"/>
  <c r="BA102" i="2" l="1"/>
  <c r="D139" i="91"/>
  <c r="D146" i="91"/>
  <c r="D38" i="91"/>
  <c r="D31" i="91"/>
  <c r="AZ102" i="2"/>
  <c r="AG4" i="3"/>
  <c r="I29" i="15"/>
  <c r="AA41" i="2"/>
  <c r="E1" i="87"/>
  <c r="AB19" i="59"/>
  <c r="W11" i="59"/>
  <c r="V75" i="59"/>
  <c r="V188" i="59"/>
  <c r="AA190" i="59"/>
  <c r="X157" i="59"/>
  <c r="X158" i="59"/>
  <c r="X159" i="59"/>
  <c r="X160" i="59"/>
  <c r="X161" i="59"/>
  <c r="X162" i="59"/>
  <c r="X163" i="59"/>
  <c r="X164" i="59"/>
  <c r="X165" i="59"/>
  <c r="X166" i="59"/>
  <c r="X156" i="59"/>
  <c r="X39" i="59"/>
  <c r="X40" i="59"/>
  <c r="X38" i="59"/>
  <c r="V41" i="59"/>
  <c r="T154" i="59"/>
  <c r="AA150" i="59"/>
  <c r="M68" i="59"/>
  <c r="W65" i="59"/>
  <c r="AA33" i="59"/>
  <c r="D191" i="59"/>
  <c r="D190" i="59"/>
  <c r="D187" i="59"/>
  <c r="D186" i="59"/>
  <c r="V192" i="59"/>
  <c r="J209" i="59"/>
  <c r="J210" i="59"/>
  <c r="J211" i="59"/>
  <c r="J212" i="59"/>
  <c r="J213" i="59"/>
  <c r="J214" i="59"/>
  <c r="J216" i="59"/>
  <c r="J217" i="59"/>
  <c r="J218" i="59"/>
  <c r="J219" i="59"/>
  <c r="J220" i="59"/>
  <c r="J221" i="59"/>
  <c r="J222" i="59"/>
  <c r="J208" i="59"/>
  <c r="W34" i="59"/>
  <c r="W15" i="59"/>
  <c r="E228" i="76"/>
  <c r="E227" i="76"/>
  <c r="E226" i="76"/>
  <c r="E225" i="76"/>
  <c r="C111" i="76"/>
  <c r="G163" i="76"/>
  <c r="Y39" i="59" l="1"/>
  <c r="AB43" i="59" s="1"/>
  <c r="V195" i="59"/>
  <c r="V198" i="59" s="1"/>
  <c r="AS111" i="76"/>
  <c r="X41" i="59"/>
  <c r="C198" i="59" l="1"/>
  <c r="V225" i="59" s="1"/>
  <c r="V60" i="59" s="1"/>
  <c r="O7" i="14" l="1"/>
  <c r="O6" i="14"/>
  <c r="I20" i="14"/>
  <c r="I16" i="14"/>
  <c r="BA93" i="2" l="1"/>
  <c r="BA113" i="2"/>
  <c r="D141" i="60" l="1"/>
  <c r="D133" i="60"/>
  <c r="A132" i="60" l="1"/>
  <c r="A125" i="60"/>
  <c r="AC68" i="79"/>
  <c r="AC66" i="79"/>
  <c r="AC65" i="79"/>
  <c r="AC63" i="79"/>
  <c r="AC61" i="79"/>
  <c r="AC59" i="79"/>
  <c r="AC57" i="79"/>
  <c r="AC56" i="79"/>
  <c r="AC55" i="79"/>
  <c r="AC54" i="79"/>
  <c r="AC52" i="79"/>
  <c r="AC50" i="79"/>
  <c r="AC48" i="79"/>
  <c r="AC46" i="79"/>
  <c r="AC42" i="79"/>
  <c r="AC40" i="79"/>
  <c r="AA18" i="78"/>
  <c r="AN98" i="78"/>
  <c r="AO98" i="78"/>
  <c r="AP98" i="78"/>
  <c r="AQ98" i="78"/>
  <c r="AR98" i="78"/>
  <c r="AS98" i="78"/>
  <c r="AT98" i="78"/>
  <c r="AU98" i="78"/>
  <c r="AV98" i="78"/>
  <c r="AW98" i="78"/>
  <c r="AJ98" i="78"/>
  <c r="AY98" i="78" s="1"/>
  <c r="AK98" i="78"/>
  <c r="AZ98" i="78" s="1"/>
  <c r="AL98" i="78"/>
  <c r="BA98" i="78" s="1"/>
  <c r="AM98" i="78"/>
  <c r="H98" i="2" l="1"/>
  <c r="F62" i="89"/>
  <c r="G65" i="76"/>
  <c r="D66" i="76"/>
  <c r="D62" i="76"/>
  <c r="C35" i="76"/>
  <c r="AT16" i="95"/>
  <c r="AT17" i="95"/>
  <c r="AT18" i="95"/>
  <c r="AT19" i="95"/>
  <c r="AT20" i="95"/>
  <c r="AT21" i="95"/>
  <c r="AT22" i="95"/>
  <c r="AT23" i="95"/>
  <c r="AT24" i="95"/>
  <c r="AT25" i="95"/>
  <c r="AT26" i="95"/>
  <c r="AT27" i="95"/>
  <c r="AT28" i="95"/>
  <c r="AT29" i="95"/>
  <c r="AT30" i="95"/>
  <c r="AT15" i="95"/>
  <c r="AT8" i="95"/>
  <c r="AT9" i="95"/>
  <c r="AT10" i="95"/>
  <c r="AT7" i="95"/>
  <c r="AG41" i="2"/>
  <c r="AG40" i="2"/>
  <c r="AG39" i="2"/>
  <c r="AG38" i="2"/>
  <c r="T40" i="2"/>
  <c r="T41" i="2"/>
  <c r="AA40" i="2"/>
  <c r="N40" i="2"/>
  <c r="N41" i="2"/>
  <c r="F40" i="2"/>
  <c r="F41" i="2"/>
  <c r="AO30" i="95"/>
  <c r="BD30" i="95" s="1"/>
  <c r="AO29" i="95"/>
  <c r="BD29" i="95" s="1"/>
  <c r="AO28" i="95"/>
  <c r="BD28" i="95" s="1"/>
  <c r="AO27" i="95"/>
  <c r="BD27" i="95" s="1"/>
  <c r="AO26" i="95"/>
  <c r="BD26" i="95" s="1"/>
  <c r="AO25" i="95"/>
  <c r="BD25" i="95" s="1"/>
  <c r="AO24" i="95"/>
  <c r="BD24" i="95" s="1"/>
  <c r="AO23" i="95"/>
  <c r="BD23" i="95" s="1"/>
  <c r="AO22" i="95"/>
  <c r="BD22" i="95" s="1"/>
  <c r="AO21" i="95"/>
  <c r="BD21" i="95" s="1"/>
  <c r="AO20" i="95"/>
  <c r="BD20" i="95" s="1"/>
  <c r="AO19" i="95"/>
  <c r="BD19" i="95" s="1"/>
  <c r="AO18" i="95"/>
  <c r="BD18" i="95" s="1"/>
  <c r="AO17" i="95"/>
  <c r="BD17" i="95" s="1"/>
  <c r="AO16" i="95"/>
  <c r="BD16" i="95" s="1"/>
  <c r="AO15" i="95"/>
  <c r="BD15" i="95" s="1"/>
  <c r="AO8" i="95"/>
  <c r="BD8" i="95" s="1"/>
  <c r="AO9" i="95"/>
  <c r="BD9" i="95" s="1"/>
  <c r="AO10" i="95"/>
  <c r="BD10" i="95" s="1"/>
  <c r="AO7" i="95"/>
  <c r="BD7" i="95" s="1"/>
  <c r="BE26" i="95" l="1"/>
  <c r="BE27" i="95"/>
  <c r="BE10" i="95"/>
  <c r="BE25" i="95"/>
  <c r="BE23" i="95"/>
  <c r="BE21" i="95"/>
  <c r="BE22" i="95"/>
  <c r="BE15" i="95"/>
  <c r="BE16" i="95"/>
  <c r="BE30" i="95"/>
  <c r="BE28" i="95"/>
  <c r="BE17" i="95"/>
  <c r="BE19" i="95"/>
  <c r="BE20" i="95"/>
  <c r="BE24" i="95"/>
  <c r="BE29" i="95"/>
  <c r="BE18" i="95"/>
  <c r="BE9" i="95"/>
  <c r="BE8" i="95"/>
  <c r="BE7" i="95"/>
  <c r="AU22" i="95"/>
  <c r="AS22" i="95"/>
  <c r="AS20" i="95"/>
  <c r="AU20" i="95"/>
  <c r="AS7" i="95"/>
  <c r="AU19" i="95"/>
  <c r="AU18" i="95"/>
  <c r="AS18" i="95"/>
  <c r="AS9" i="95"/>
  <c r="AS17" i="95"/>
  <c r="AU17" i="95"/>
  <c r="AS16" i="95"/>
  <c r="AU16" i="95"/>
  <c r="AU15" i="95"/>
  <c r="AS15" i="95"/>
  <c r="AU23" i="95"/>
  <c r="AS23" i="95"/>
  <c r="AU30" i="95"/>
  <c r="AS30" i="95"/>
  <c r="AU28" i="95"/>
  <c r="AS28" i="95"/>
  <c r="AU27" i="95"/>
  <c r="AS27" i="95"/>
  <c r="AS26" i="95"/>
  <c r="AU26" i="95"/>
  <c r="AS21" i="95"/>
  <c r="AU21" i="95"/>
  <c r="AU29" i="95"/>
  <c r="AS29" i="95"/>
  <c r="AU25" i="95"/>
  <c r="AS25" i="95"/>
  <c r="AS24" i="95"/>
  <c r="AU24" i="95"/>
  <c r="AS10" i="95"/>
  <c r="AS19" i="95"/>
  <c r="AS8" i="95"/>
  <c r="AT31" i="95"/>
  <c r="Y12" i="95" s="1"/>
  <c r="AT11" i="95"/>
  <c r="Y4" i="95" s="1"/>
  <c r="M4" i="95"/>
  <c r="AW17" i="95"/>
  <c r="AW18" i="95"/>
  <c r="AW19" i="95"/>
  <c r="AW20" i="95"/>
  <c r="AW21" i="95"/>
  <c r="AW22" i="95"/>
  <c r="AW23" i="95"/>
  <c r="AW24" i="95"/>
  <c r="AW25" i="95"/>
  <c r="AW26" i="95"/>
  <c r="AW27" i="95"/>
  <c r="AW28" i="95"/>
  <c r="AW29" i="95"/>
  <c r="AW16" i="95"/>
  <c r="AW15" i="95"/>
  <c r="AW8" i="95"/>
  <c r="AW9" i="95"/>
  <c r="AW10" i="95"/>
  <c r="AW7" i="95"/>
  <c r="AO12" i="95"/>
  <c r="AO4" i="95"/>
  <c r="AS31" i="95" l="1"/>
  <c r="AU31" i="95"/>
  <c r="AT33" i="95"/>
  <c r="AX23" i="95"/>
  <c r="AX22" i="95"/>
  <c r="AX24" i="95"/>
  <c r="AX21" i="95"/>
  <c r="AX7" i="95"/>
  <c r="AX20" i="95"/>
  <c r="AX19" i="95"/>
  <c r="AX9" i="95"/>
  <c r="AX18" i="95"/>
  <c r="AX8" i="95"/>
  <c r="AX17" i="95"/>
  <c r="AX15" i="95"/>
  <c r="AX16" i="95"/>
  <c r="AX30" i="95"/>
  <c r="AX29" i="95"/>
  <c r="AX28" i="95"/>
  <c r="AX27" i="95"/>
  <c r="AX10" i="95"/>
  <c r="AX26" i="95"/>
  <c r="AX25" i="95"/>
  <c r="AO89" i="76" l="1"/>
  <c r="B47" i="76"/>
  <c r="AK43" i="2"/>
  <c r="AK53" i="2"/>
  <c r="C26" i="76"/>
  <c r="AG74" i="79"/>
  <c r="AL48" i="80"/>
  <c r="AL46" i="80"/>
  <c r="B39" i="80"/>
  <c r="AG38" i="80"/>
  <c r="X109" i="23"/>
  <c r="X108" i="23"/>
  <c r="AK79" i="23"/>
  <c r="AK19" i="23"/>
  <c r="X110" i="23"/>
  <c r="D85" i="23"/>
  <c r="D25" i="23"/>
  <c r="D13" i="84"/>
  <c r="S51" i="3"/>
  <c r="AC89" i="78"/>
  <c r="AC37" i="78"/>
  <c r="AC36" i="78"/>
  <c r="AC35" i="78"/>
  <c r="AC34" i="78"/>
  <c r="AC32" i="78"/>
  <c r="AC30" i="78"/>
  <c r="AC29" i="78"/>
  <c r="AC28" i="78"/>
  <c r="AC27" i="78"/>
  <c r="AC26" i="78"/>
  <c r="AC22" i="78"/>
  <c r="AC21" i="78"/>
  <c r="AC87" i="78"/>
  <c r="AC84" i="78"/>
  <c r="AC81" i="78"/>
  <c r="AC79" i="78"/>
  <c r="AC78" i="78"/>
  <c r="AC77" i="78"/>
  <c r="AC75" i="78"/>
  <c r="AC74" i="78"/>
  <c r="AC72" i="78"/>
  <c r="AC70" i="78"/>
  <c r="B51" i="78"/>
  <c r="AG50" i="78"/>
  <c r="AC54" i="80" l="1"/>
  <c r="BH17" i="95" l="1"/>
  <c r="BH29" i="95"/>
  <c r="AV29" i="95"/>
  <c r="BH19" i="95"/>
  <c r="AV19" i="95"/>
  <c r="BH21" i="95"/>
  <c r="AV21" i="95"/>
  <c r="BH25" i="95"/>
  <c r="AV25" i="95"/>
  <c r="BH20" i="95"/>
  <c r="BH18" i="95"/>
  <c r="AV8" i="95"/>
  <c r="BH30" i="95"/>
  <c r="BH26" i="95"/>
  <c r="BH27" i="95"/>
  <c r="BH28" i="95"/>
  <c r="BH24" i="95"/>
  <c r="BH23" i="95"/>
  <c r="BH16" i="95"/>
  <c r="BH15" i="95"/>
  <c r="BH22" i="95"/>
  <c r="BE37" i="95"/>
  <c r="BH9" i="95" l="1"/>
  <c r="AU9" i="95" s="1"/>
  <c r="BH10" i="95"/>
  <c r="AU10" i="95" s="1"/>
  <c r="BH8" i="95"/>
  <c r="AU8" i="95" s="1"/>
  <c r="BH7" i="95"/>
  <c r="AU7" i="95" s="1"/>
  <c r="AQ20" i="95"/>
  <c r="AQ19" i="95"/>
  <c r="AV22" i="95"/>
  <c r="AQ22" i="95"/>
  <c r="AV23" i="95"/>
  <c r="AQ23" i="95"/>
  <c r="AV15" i="95"/>
  <c r="AQ15" i="95"/>
  <c r="AV17" i="95"/>
  <c r="AQ17" i="95"/>
  <c r="AV18" i="95"/>
  <c r="AQ18" i="95"/>
  <c r="AV10" i="95"/>
  <c r="AQ10" i="95"/>
  <c r="AV9" i="95"/>
  <c r="AQ9" i="95"/>
  <c r="AV16" i="95"/>
  <c r="AQ16" i="95"/>
  <c r="AV20" i="95"/>
  <c r="AQ21" i="95"/>
  <c r="AQ25" i="95"/>
  <c r="AV26" i="95"/>
  <c r="AQ26" i="95"/>
  <c r="AV28" i="95"/>
  <c r="AQ28" i="95"/>
  <c r="AV27" i="95"/>
  <c r="AQ27" i="95"/>
  <c r="AV30" i="95"/>
  <c r="AQ30" i="95"/>
  <c r="AV7" i="95"/>
  <c r="AQ7" i="95"/>
  <c r="AQ29" i="95"/>
  <c r="BE32" i="95"/>
  <c r="AV24" i="95"/>
  <c r="AQ24" i="95"/>
  <c r="AQ8" i="95"/>
  <c r="BF37" i="95"/>
  <c r="AU11" i="95" l="1"/>
  <c r="AU33" i="95" s="1"/>
  <c r="AQ36" i="95" s="1"/>
  <c r="AE20" i="76" s="1"/>
  <c r="AV11" i="95"/>
  <c r="AV31" i="95"/>
  <c r="BG118" i="74"/>
  <c r="C117" i="76" l="1"/>
  <c r="AS117" i="76" s="1"/>
  <c r="AB55" i="76"/>
  <c r="AL21" i="76"/>
  <c r="AV33" i="95"/>
  <c r="AQ37" i="95" s="1"/>
  <c r="AE23" i="76" s="1"/>
  <c r="AL26" i="76" s="1"/>
  <c r="AL27" i="76" s="1"/>
  <c r="AC12" i="78"/>
  <c r="AM39" i="2" l="1"/>
  <c r="C23" i="93"/>
  <c r="AL26" i="82" l="1"/>
  <c r="AL25" i="82"/>
  <c r="W25" i="82" s="1"/>
  <c r="AL44" i="82" l="1"/>
  <c r="AL27" i="82"/>
  <c r="W27" i="82" l="1"/>
  <c r="AL28" i="82" s="1"/>
  <c r="F1" i="55" l="1"/>
  <c r="C2" i="2" l="1"/>
  <c r="C1" i="2"/>
  <c r="H37" i="87"/>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Q24" i="56" l="1"/>
  <c r="AY18" i="2"/>
  <c r="AY14" i="2"/>
  <c r="AY15" i="2"/>
  <c r="X30" i="2" s="1"/>
  <c r="AO74" i="2" l="1"/>
  <c r="M33" i="59" l="1"/>
  <c r="Z61" i="23" l="1"/>
  <c r="C15" i="98" l="1"/>
  <c r="AS39" i="2"/>
  <c r="AS38" i="2"/>
  <c r="AS37" i="2"/>
  <c r="AS36" i="2"/>
  <c r="AH32" i="68" l="1"/>
  <c r="E66" i="68" l="1"/>
  <c r="AA21" i="36"/>
  <c r="AA20" i="36"/>
  <c r="F72" i="30" l="1"/>
  <c r="E72" i="30"/>
  <c r="D72" i="30"/>
  <c r="F71" i="30"/>
  <c r="E71" i="30"/>
  <c r="D71" i="30"/>
  <c r="O45" i="30"/>
  <c r="N45" i="30"/>
  <c r="M45" i="30"/>
  <c r="O44" i="30"/>
  <c r="N44" i="30"/>
  <c r="M44" i="30"/>
  <c r="O18" i="30"/>
  <c r="N18" i="30"/>
  <c r="M18" i="30"/>
  <c r="O17" i="30"/>
  <c r="N17" i="30"/>
  <c r="M17" i="30"/>
  <c r="D31" i="40" l="1"/>
  <c r="D32" i="40" l="1"/>
  <c r="G31" i="40"/>
  <c r="C20" i="40"/>
  <c r="AL63" i="91" l="1"/>
  <c r="AL171" i="91"/>
  <c r="AL48" i="91"/>
  <c r="F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20" i="91" l="1"/>
  <c r="AL11" i="91"/>
  <c r="F65" i="30"/>
  <c r="F74" i="30"/>
  <c r="F66" i="30"/>
  <c r="F60" i="30"/>
  <c r="AS30" i="30"/>
  <c r="AR30" i="30"/>
  <c r="AQ30" i="30"/>
  <c r="AP30" i="30"/>
  <c r="AO30" i="30"/>
  <c r="AN30" i="30"/>
  <c r="AM30" i="30"/>
  <c r="AL30" i="30"/>
  <c r="AK30" i="30"/>
  <c r="O50" i="30"/>
  <c r="N50" i="30"/>
  <c r="M50" i="30"/>
  <c r="O47" i="30"/>
  <c r="N47" i="30"/>
  <c r="M47" i="30"/>
  <c r="O38" i="30"/>
  <c r="N38" i="30"/>
  <c r="M38" i="30"/>
  <c r="O33" i="30"/>
  <c r="N33" i="30"/>
  <c r="M33" i="30"/>
  <c r="AL3" i="30"/>
  <c r="AM3" i="30"/>
  <c r="AN3" i="30"/>
  <c r="AO3" i="30"/>
  <c r="AP3" i="30"/>
  <c r="AQ3" i="30"/>
  <c r="AR3" i="30"/>
  <c r="AS3" i="30"/>
  <c r="AK3" i="30"/>
  <c r="AA3" i="30"/>
  <c r="O23" i="30"/>
  <c r="O20" i="30"/>
  <c r="O11" i="30"/>
  <c r="O6" i="30"/>
  <c r="AI30" i="30"/>
  <c r="AH30" i="30"/>
  <c r="AG30" i="30"/>
  <c r="AF30" i="30"/>
  <c r="AE30" i="30"/>
  <c r="AD30" i="30"/>
  <c r="AC30" i="30"/>
  <c r="AB30" i="30"/>
  <c r="AA30" i="30"/>
  <c r="AI3" i="30"/>
  <c r="AH3" i="30"/>
  <c r="AG3" i="30"/>
  <c r="AF3" i="30"/>
  <c r="AE3" i="30"/>
  <c r="AD3" i="30"/>
  <c r="AC3" i="30"/>
  <c r="AB3" i="30"/>
  <c r="V3" i="30"/>
  <c r="AC45" i="30" l="1"/>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9" i="91"/>
  <c r="N4" i="30" l="1"/>
  <c r="O13" i="30"/>
  <c r="N12" i="30"/>
  <c r="N5" i="30"/>
  <c r="N40" i="30"/>
  <c r="N13" i="30"/>
  <c r="O7" i="30"/>
  <c r="N14" i="30"/>
  <c r="N9" i="30"/>
  <c r="O12" i="30"/>
  <c r="O15" i="30"/>
  <c r="O4" i="30"/>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BA115" i="2"/>
  <c r="BA114" i="2"/>
  <c r="BA95" i="2"/>
  <c r="BA94" i="2"/>
  <c r="R111" i="23"/>
  <c r="AK83" i="23" l="1"/>
  <c r="AK23" i="23"/>
  <c r="X31" i="23" l="1"/>
  <c r="F50" i="15" l="1"/>
  <c r="F42" i="15"/>
  <c r="D16" i="15"/>
  <c r="L100" i="71" l="1"/>
  <c r="C87" i="71"/>
  <c r="C86" i="71"/>
  <c r="K84" i="71"/>
  <c r="J83" i="71"/>
  <c r="L38" i="71"/>
  <c r="D19" i="60" l="1"/>
  <c r="D16" i="60"/>
  <c r="D13" i="60"/>
  <c r="D10" i="60"/>
  <c r="C76" i="71" l="1"/>
  <c r="C15" i="71"/>
  <c r="W33" i="82" l="1"/>
  <c r="K126" i="68" l="1"/>
  <c r="P135" i="68" s="1"/>
  <c r="D36" i="68" l="1"/>
  <c r="C14" i="68"/>
  <c r="V24" i="71" l="1"/>
  <c r="AJ6" i="23" l="1"/>
  <c r="Q66" i="23" l="1"/>
  <c r="Q6" i="23"/>
  <c r="H136" i="84" l="1"/>
  <c r="K40" i="36" l="1"/>
  <c r="J40" i="36"/>
  <c r="X116" i="5"/>
  <c r="M121" i="5" s="1"/>
  <c r="X2" i="5"/>
  <c r="M7" i="5" s="1"/>
  <c r="Z121" i="23" l="1"/>
  <c r="X117" i="23"/>
  <c r="AH116" i="23"/>
  <c r="X116" i="23"/>
  <c r="B115" i="23"/>
  <c r="T113" i="23"/>
  <c r="AB112" i="23"/>
  <c r="AB111" i="23"/>
  <c r="X111" i="23"/>
  <c r="X84" i="23" s="1"/>
  <c r="AB110" i="23"/>
  <c r="B109" i="23"/>
  <c r="D105" i="23"/>
  <c r="D101" i="23"/>
  <c r="K100" i="23"/>
  <c r="X97" i="23"/>
  <c r="X96" i="23"/>
  <c r="X95" i="23"/>
  <c r="D92" i="23"/>
  <c r="AM91" i="23"/>
  <c r="AL91" i="23"/>
  <c r="X91" i="23"/>
  <c r="D94" i="23" s="1"/>
  <c r="X88" i="23"/>
  <c r="X89" i="23" s="1"/>
  <c r="D83" i="23"/>
  <c r="D82" i="23"/>
  <c r="AJ77" i="23"/>
  <c r="X76" i="23"/>
  <c r="E72" i="23"/>
  <c r="AE66" i="23"/>
  <c r="B65" i="23"/>
  <c r="W63" i="23"/>
  <c r="Y70" i="5"/>
  <c r="Y124" i="5" l="1"/>
  <c r="Y122" i="5"/>
  <c r="Y120" i="5"/>
  <c r="Y10" i="5"/>
  <c r="Y8" i="5"/>
  <c r="Y6" i="5"/>
  <c r="AL50" i="23" s="1"/>
  <c r="AL51" i="23" l="1"/>
  <c r="AL115" i="23" s="1"/>
  <c r="AL69" i="23"/>
  <c r="AJ67" i="23" s="1"/>
  <c r="AL7" i="23"/>
  <c r="AL114" i="23"/>
  <c r="AL67" i="23"/>
  <c r="AM50" i="23"/>
  <c r="AM114" i="23" s="1"/>
  <c r="AM51" i="23"/>
  <c r="AM115" i="23" s="1"/>
  <c r="AL5" i="23"/>
  <c r="Y11" i="5"/>
  <c r="W5" i="5" s="1"/>
  <c r="Y125" i="5"/>
  <c r="W119" i="5" s="1"/>
  <c r="AJ65" i="23" l="1"/>
  <c r="AM95" i="23"/>
  <c r="AL95" i="23"/>
  <c r="AL35" i="23"/>
  <c r="AM35" i="23"/>
  <c r="AJ12" i="23"/>
  <c r="AL42" i="23" s="1"/>
  <c r="AH6" i="56"/>
  <c r="W9" i="56" s="1"/>
  <c r="AM31" i="23"/>
  <c r="AL31" i="23"/>
  <c r="AN95" i="23" l="1"/>
  <c r="X77" i="23"/>
  <c r="W66" i="23"/>
  <c r="AG65" i="23"/>
  <c r="AJ7" i="23"/>
  <c r="AL12" i="23" l="1"/>
  <c r="AM42" i="23" s="1"/>
  <c r="W6" i="23"/>
  <c r="AN35" i="23"/>
  <c r="AB18" i="23" s="1"/>
  <c r="AB78" i="23"/>
  <c r="AD82" i="23"/>
  <c r="AG5" i="23"/>
  <c r="AD22" i="23" l="1"/>
  <c r="D28" i="82" l="1"/>
  <c r="D35" i="82"/>
  <c r="D41" i="82"/>
  <c r="AF61" i="43" l="1"/>
  <c r="AF122" i="49"/>
  <c r="AF61" i="49"/>
  <c r="AF122" i="50"/>
  <c r="AF61" i="50"/>
  <c r="AF122" i="88"/>
  <c r="K115" i="71" l="1"/>
  <c r="C115" i="71"/>
  <c r="K53" i="71"/>
  <c r="C30" i="71"/>
  <c r="C26" i="71"/>
  <c r="C25" i="71"/>
  <c r="AP46" i="76"/>
  <c r="C42" i="59" l="1"/>
  <c r="K41" i="59"/>
  <c r="AQ250" i="74" l="1"/>
  <c r="AQ120" i="74"/>
  <c r="R51" i="23" l="1"/>
  <c r="D32" i="23"/>
  <c r="AJ17" i="23" l="1"/>
  <c r="E12" i="23"/>
  <c r="D23" i="23"/>
  <c r="AH24" i="56"/>
  <c r="D45" i="23"/>
  <c r="X35" i="23"/>
  <c r="X28" i="23"/>
  <c r="X16" i="23" l="1"/>
  <c r="X51" i="23" l="1"/>
  <c r="X57" i="23"/>
  <c r="AB52" i="23"/>
  <c r="AB51" i="23"/>
  <c r="AB50" i="23"/>
  <c r="X24" i="23" l="1"/>
  <c r="J46" i="67"/>
  <c r="X17" i="23"/>
  <c r="D22" i="23"/>
  <c r="T53" i="23" l="1"/>
  <c r="X56" i="23"/>
  <c r="B55" i="23"/>
  <c r="B49" i="23"/>
  <c r="D41" i="23"/>
  <c r="X37" i="23"/>
  <c r="X36" i="23"/>
  <c r="D34" i="23"/>
  <c r="AL16" i="80"/>
  <c r="G49" i="86"/>
  <c r="G52" i="86"/>
  <c r="AB74" i="86"/>
  <c r="AB119" i="23" l="1"/>
  <c r="AB118" i="23"/>
  <c r="AB117" i="23"/>
  <c r="AB59" i="23"/>
  <c r="AB58" i="23"/>
  <c r="AB57" i="23"/>
  <c r="C14" i="56"/>
  <c r="AE122" i="56"/>
  <c r="B62" i="56"/>
  <c r="AE61" i="56"/>
  <c r="AB106" i="37"/>
  <c r="AO265" i="84" l="1"/>
  <c r="AO133" i="84"/>
  <c r="B197" i="84"/>
  <c r="AO196" i="84"/>
  <c r="B65" i="84"/>
  <c r="AO64" i="84"/>
  <c r="V8" i="37"/>
  <c r="U25" i="6" l="1"/>
  <c r="U45" i="6"/>
  <c r="U84" i="6"/>
  <c r="P99" i="6" l="1"/>
  <c r="B53" i="6"/>
  <c r="P51" i="6"/>
  <c r="J15" i="5"/>
  <c r="U63" i="5"/>
  <c r="U115" i="5"/>
  <c r="U229" i="5"/>
  <c r="B64" i="5"/>
  <c r="B178" i="5"/>
  <c r="U177" i="5"/>
  <c r="O85" i="4"/>
  <c r="W26" i="3"/>
  <c r="AC3" i="3"/>
  <c r="S75" i="3"/>
  <c r="S77" i="3" s="1"/>
  <c r="S71" i="3"/>
  <c r="O61" i="3" s="1"/>
  <c r="O66" i="3" l="1"/>
  <c r="J59" i="3" l="1"/>
  <c r="E39" i="14"/>
  <c r="AG35" i="79" l="1"/>
  <c r="AG94" i="78" l="1"/>
  <c r="AD103" i="2" l="1"/>
  <c r="BH4" i="2" l="1"/>
  <c r="BG4" i="2"/>
  <c r="BF4" i="2"/>
  <c r="BE4" i="2"/>
  <c r="BD4" i="2"/>
  <c r="BH7" i="2"/>
  <c r="BG7" i="2"/>
  <c r="BF7" i="2"/>
  <c r="BE7" i="2"/>
  <c r="BH3" i="2"/>
  <c r="BG3" i="2"/>
  <c r="BF3" i="2"/>
  <c r="BE3" i="2"/>
  <c r="BD7" i="2"/>
  <c r="BD3" i="2"/>
  <c r="AG57" i="80"/>
  <c r="H86" i="2"/>
  <c r="AC53" i="2" l="1"/>
  <c r="AC54" i="2"/>
  <c r="AC56" i="2"/>
  <c r="C57" i="52" l="1"/>
  <c r="C48" i="52"/>
  <c r="F11" i="89" l="1"/>
  <c r="F12" i="89"/>
  <c r="F13" i="89"/>
  <c r="F14" i="89"/>
  <c r="F15" i="89"/>
  <c r="F17" i="89"/>
  <c r="F18" i="89"/>
  <c r="F19" i="89"/>
  <c r="F23" i="89"/>
  <c r="F24" i="89"/>
  <c r="F25" i="89"/>
  <c r="F26" i="89"/>
  <c r="F27" i="89"/>
  <c r="F28" i="89"/>
  <c r="F20" i="89"/>
  <c r="F29" i="89"/>
  <c r="F30" i="89"/>
  <c r="F21" i="89"/>
  <c r="F22" i="89"/>
  <c r="F31" i="89"/>
  <c r="F32" i="89"/>
  <c r="F33" i="89"/>
  <c r="F34" i="89"/>
  <c r="F35" i="89"/>
  <c r="F36" i="89"/>
  <c r="F38" i="89"/>
  <c r="F39" i="89"/>
  <c r="F40" i="89"/>
  <c r="F41" i="89"/>
  <c r="F42" i="89"/>
  <c r="F43" i="89"/>
  <c r="F44" i="89"/>
  <c r="F46" i="89"/>
  <c r="F47" i="89"/>
  <c r="F49" i="89"/>
  <c r="F50" i="89"/>
  <c r="F52" i="89"/>
  <c r="F54" i="89"/>
  <c r="F55" i="89"/>
  <c r="F56" i="89"/>
  <c r="F57" i="89"/>
  <c r="F58" i="89"/>
  <c r="F59" i="89"/>
  <c r="F60" i="89"/>
  <c r="F61" i="89"/>
  <c r="F63" i="89"/>
  <c r="F64" i="89"/>
  <c r="F65" i="89"/>
  <c r="F10" i="89"/>
  <c r="R64"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49" i="30" l="1"/>
  <c r="M36" i="30"/>
  <c r="M41" i="30"/>
  <c r="M46" i="30"/>
  <c r="M43" i="30"/>
  <c r="M21" i="30"/>
  <c r="M39" i="30"/>
  <c r="M31" i="30"/>
  <c r="M32" i="30"/>
  <c r="M51"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O46" i="30"/>
  <c r="F73" i="30" s="1"/>
  <c r="O34" i="30"/>
  <c r="F61" i="30" s="1"/>
  <c r="O39" i="30"/>
  <c r="O43" i="30"/>
  <c r="F70" i="30" s="1"/>
  <c r="O51" i="30"/>
  <c r="F78" i="30" s="1"/>
  <c r="O37" i="30"/>
  <c r="F64" i="30" s="1"/>
  <c r="AL15" i="78"/>
  <c r="AE184" i="91" l="1"/>
  <c r="AM13" i="91"/>
  <c r="AM121" i="91"/>
  <c r="F58" i="30"/>
  <c r="J15" i="87"/>
  <c r="J35" i="87" s="1"/>
  <c r="J13" i="87"/>
  <c r="J33" i="87" s="1"/>
  <c r="AL126" i="91" l="1"/>
  <c r="AL122" i="91"/>
  <c r="AL125" i="91"/>
  <c r="AL124" i="91"/>
  <c r="AL123" i="91"/>
  <c r="AL17" i="91"/>
  <c r="AL14" i="91"/>
  <c r="AL18" i="91"/>
  <c r="AL16" i="91"/>
  <c r="AL15" i="91"/>
  <c r="AM139" i="91"/>
  <c r="AM140" i="91" l="1"/>
  <c r="AM184" i="91"/>
  <c r="AM31" i="91"/>
  <c r="AM32" i="91" l="1"/>
  <c r="AM76" i="91"/>
  <c r="AM90" i="91"/>
  <c r="AJ222" i="91"/>
  <c r="I209" i="91"/>
  <c r="AE198" i="91"/>
  <c r="AM198" i="91" s="1"/>
  <c r="X196" i="91"/>
  <c r="I186" i="91"/>
  <c r="B177" i="91"/>
  <c r="AJ176" i="91"/>
  <c r="I172" i="91"/>
  <c r="M167" i="91"/>
  <c r="Y161" i="91"/>
  <c r="AL158" i="91"/>
  <c r="D138" i="91"/>
  <c r="F137" i="91"/>
  <c r="F25" i="91"/>
  <c r="F23" i="91"/>
  <c r="F28" i="91"/>
  <c r="F29" i="91"/>
  <c r="F24" i="91"/>
  <c r="AE202" i="91" l="1"/>
  <c r="AE205" i="91"/>
  <c r="AE210" i="91" s="1"/>
  <c r="AE94" i="91"/>
  <c r="AE97" i="91"/>
  <c r="AE102" i="91" s="1"/>
  <c r="AE141" i="91"/>
  <c r="AE33" i="91"/>
  <c r="D30" i="91"/>
  <c r="B12"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T270" i="90"/>
  <c r="AC265" i="90"/>
  <c r="V256" i="90"/>
  <c r="E256" i="90"/>
  <c r="V253" i="90"/>
  <c r="E253" i="90"/>
  <c r="B234" i="90"/>
  <c r="AJ233" i="90"/>
  <c r="D227" i="90"/>
  <c r="D226" i="90"/>
  <c r="R225" i="90"/>
  <c r="AC218" i="90"/>
  <c r="E217" i="90"/>
  <c r="AE232" i="90"/>
  <c r="AC215" i="90"/>
  <c r="E215" i="90"/>
  <c r="T211" i="90"/>
  <c r="AC206" i="90"/>
  <c r="V197" i="90"/>
  <c r="E197" i="90"/>
  <c r="V194" i="90"/>
  <c r="E194" i="90"/>
  <c r="B175" i="90"/>
  <c r="AJ174" i="90"/>
  <c r="D168" i="90"/>
  <c r="D167" i="90"/>
  <c r="R166" i="90"/>
  <c r="AC159" i="90"/>
  <c r="E158" i="90"/>
  <c r="AE173" i="90"/>
  <c r="AC156" i="90"/>
  <c r="E156" i="90"/>
  <c r="T152"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3" i="71"/>
  <c r="V83" i="71"/>
  <c r="V81" i="71"/>
  <c r="U81" i="71"/>
  <c r="U24" i="71"/>
  <c r="U83" i="71" s="1"/>
  <c r="U23" i="71"/>
  <c r="U82" i="71" s="1"/>
  <c r="V23" i="71"/>
  <c r="V82" i="71" s="1"/>
  <c r="AE114" i="90" l="1"/>
  <c r="AO42" i="90" s="1"/>
  <c r="AE108" i="90"/>
  <c r="AE109" i="90" s="1"/>
  <c r="AE168" i="90"/>
  <c r="AE170" i="90" s="1"/>
  <c r="AE30" i="90"/>
  <c r="D47" i="90"/>
  <c r="D40" i="90"/>
  <c r="O32" i="90"/>
  <c r="D23" i="90"/>
  <c r="D15" i="90"/>
  <c r="AE111" i="90" l="1"/>
  <c r="AO16" i="90"/>
  <c r="AO15" i="90"/>
  <c r="AO14" i="90"/>
  <c r="B57" i="90"/>
  <c r="AJ115" i="90"/>
  <c r="AJ56" i="90"/>
  <c r="AC3" i="90"/>
  <c r="AO13" i="90" l="1"/>
  <c r="AO17" i="90" s="1"/>
  <c r="AO46" i="90"/>
  <c r="AH12" i="90" l="1"/>
  <c r="AE36" i="90"/>
  <c r="E33" i="12"/>
  <c r="E36" i="12"/>
  <c r="B55" i="15"/>
  <c r="AE37" i="90" l="1"/>
  <c r="AE14" i="90"/>
  <c r="AL41" i="2" l="1"/>
  <c r="AL40" i="2"/>
  <c r="AL39" i="2"/>
  <c r="AL38" i="2"/>
  <c r="AR39" i="2" l="1"/>
  <c r="AR38" i="2"/>
  <c r="AR37" i="2"/>
  <c r="AR36" i="2"/>
  <c r="C45" i="12" l="1"/>
  <c r="C51" i="12"/>
  <c r="D18" i="3" l="1"/>
  <c r="I2" i="36" l="1"/>
  <c r="C26" i="12" l="1"/>
  <c r="L4" i="65" l="1"/>
  <c r="N28" i="65"/>
  <c r="D28" i="65" s="1"/>
  <c r="K34" i="33"/>
  <c r="K21" i="33"/>
  <c r="E13" i="65" l="1"/>
  <c r="E9" i="65"/>
  <c r="AN10" i="78"/>
  <c r="AI12" i="78" s="1"/>
  <c r="AN58" i="78"/>
  <c r="AI62" i="78" s="1"/>
  <c r="AU37" i="2" l="1"/>
  <c r="AU38" i="2"/>
  <c r="AU39" i="2"/>
  <c r="AT38" i="2"/>
  <c r="AU36" i="2"/>
  <c r="AT37" i="2" l="1"/>
  <c r="AO40" i="2"/>
  <c r="AJ190" i="62" l="1"/>
  <c r="D159" i="62"/>
  <c r="C95" i="62"/>
  <c r="AE6" i="23" l="1"/>
  <c r="E26" i="70"/>
  <c r="F26" i="70"/>
  <c r="G26" i="70"/>
  <c r="H26" i="70"/>
  <c r="G113" i="70"/>
  <c r="F113" i="70"/>
  <c r="E113" i="70"/>
  <c r="D113" i="70"/>
  <c r="H84" i="70"/>
  <c r="G84" i="70"/>
  <c r="F84" i="70"/>
  <c r="E84" i="70"/>
  <c r="D84" i="70"/>
  <c r="H55" i="70"/>
  <c r="G55" i="70"/>
  <c r="F55" i="70"/>
  <c r="E55" i="70"/>
  <c r="D55" i="70"/>
  <c r="D26" i="70"/>
  <c r="I26" i="70" l="1"/>
  <c r="I6" i="70" s="1"/>
  <c r="I113" i="70"/>
  <c r="I84" i="70"/>
  <c r="I65" i="70" s="1"/>
  <c r="I55" i="70"/>
  <c r="I7" i="70" l="1"/>
  <c r="I36" i="70"/>
  <c r="I35" i="70"/>
  <c r="I93" i="70"/>
  <c r="I94" i="70"/>
  <c r="I64" i="70"/>
  <c r="D132" i="37" l="1"/>
  <c r="D128" i="37"/>
  <c r="S122" i="37"/>
  <c r="D121" i="37"/>
  <c r="D117" i="37"/>
  <c r="K101" i="37"/>
  <c r="E100" i="37"/>
  <c r="B100" i="37"/>
  <c r="K99" i="37"/>
  <c r="E99" i="37"/>
  <c r="B99" i="37"/>
  <c r="L98" i="37"/>
  <c r="E98" i="37"/>
  <c r="B98" i="37"/>
  <c r="AG47" i="82" l="1"/>
  <c r="T21" i="12" l="1"/>
  <c r="U29" i="12"/>
  <c r="R32" i="12" s="1"/>
  <c r="B19" i="12"/>
  <c r="M2" i="12"/>
  <c r="S28" i="12"/>
  <c r="S29" i="12"/>
  <c r="E37" i="12"/>
  <c r="BF91" i="2"/>
  <c r="BC91" i="2" s="1"/>
  <c r="BC111" i="2" l="1"/>
  <c r="R33" i="12"/>
  <c r="R31" i="12"/>
  <c r="I60" i="12"/>
  <c r="H60" i="12" s="1"/>
  <c r="I58" i="12"/>
  <c r="H58" i="12" s="1"/>
  <c r="E64" i="12"/>
  <c r="E65" i="12"/>
  <c r="D60" i="12"/>
  <c r="D58" i="12"/>
  <c r="C48" i="12"/>
  <c r="C29" i="12"/>
  <c r="C28" i="12"/>
  <c r="B16" i="12"/>
  <c r="B14" i="12"/>
  <c r="B13" i="12"/>
  <c r="B12" i="12"/>
  <c r="B10" i="12"/>
  <c r="I118" i="70" l="1"/>
  <c r="AI119" i="2" l="1"/>
  <c r="AO65" i="2"/>
  <c r="AL16" i="2"/>
  <c r="AO70" i="58" l="1"/>
  <c r="AE61" i="58" s="1"/>
  <c r="C22" i="40" l="1"/>
  <c r="BE369" i="74" l="1"/>
  <c r="AY369" i="74"/>
  <c r="AY368" i="74"/>
  <c r="BE240" i="74"/>
  <c r="AY240" i="74"/>
  <c r="AY239" i="74"/>
  <c r="AY116" i="74"/>
  <c r="AY114" i="74"/>
  <c r="AY112" i="74"/>
  <c r="AY117" i="74"/>
  <c r="BE116" i="74"/>
  <c r="AY115" i="74"/>
  <c r="BE114" i="74"/>
  <c r="AY113" i="74"/>
  <c r="BE112" i="74"/>
  <c r="AY111" i="74"/>
  <c r="BE110" i="74"/>
  <c r="AY110" i="74"/>
  <c r="AY109" i="74"/>
  <c r="AM337" i="74" l="1"/>
  <c r="AM336" i="74"/>
  <c r="AM335" i="74"/>
  <c r="AM208" i="74"/>
  <c r="AM207" i="74"/>
  <c r="AM206" i="74"/>
  <c r="AM77" i="74"/>
  <c r="AM76" i="74"/>
  <c r="AM75" i="74"/>
  <c r="E1" i="51" l="1"/>
  <c r="G149" i="68" l="1"/>
  <c r="AR155" i="84" l="1"/>
  <c r="AR154" i="84"/>
  <c r="AR153" i="84"/>
  <c r="AR23" i="84"/>
  <c r="AR22" i="84"/>
  <c r="AR21" i="84"/>
  <c r="AR24" i="84" l="1"/>
  <c r="AR25" i="84" s="1"/>
  <c r="AR156" i="84"/>
  <c r="AR157" i="84" s="1"/>
  <c r="Y136" i="5"/>
  <c r="Y22" i="5"/>
  <c r="AQ3" i="2"/>
  <c r="Y198" i="62" l="1"/>
  <c r="Y8" i="102"/>
  <c r="J10" i="71"/>
  <c r="Y121" i="91"/>
  <c r="AR160" i="84"/>
  <c r="Y8" i="97"/>
  <c r="Y8" i="99"/>
  <c r="AG140" i="96"/>
  <c r="AG8" i="96"/>
  <c r="Y137" i="5"/>
  <c r="Y138" i="5"/>
  <c r="Y23" i="5"/>
  <c r="Y24" i="5"/>
  <c r="Y13" i="91"/>
  <c r="AC118" i="90"/>
  <c r="AC236" i="90"/>
  <c r="AC177" i="90"/>
  <c r="AC59" i="90"/>
  <c r="Y8" i="90"/>
  <c r="V64" i="88"/>
  <c r="V64" i="50"/>
  <c r="V64" i="49"/>
  <c r="V64" i="43"/>
  <c r="AB8" i="78"/>
  <c r="Y9" i="62"/>
  <c r="N14" i="3"/>
  <c r="AA276" i="74"/>
  <c r="V11" i="43"/>
  <c r="V11" i="49"/>
  <c r="V11" i="50"/>
  <c r="V11" i="88"/>
  <c r="K14" i="52"/>
  <c r="H21" i="4"/>
  <c r="S11" i="68"/>
  <c r="S9" i="59"/>
  <c r="L11" i="53"/>
  <c r="L8" i="6"/>
  <c r="AB8" i="79"/>
  <c r="AG8" i="84"/>
  <c r="U123" i="59"/>
  <c r="AB8" i="80"/>
  <c r="AG140" i="84"/>
  <c r="T19" i="86"/>
  <c r="K10" i="33"/>
  <c r="Y8" i="82"/>
  <c r="AA16" i="74"/>
  <c r="AJ11" i="76"/>
  <c r="AA147" i="74"/>
  <c r="Y10" i="58"/>
  <c r="Y139" i="5" l="1"/>
  <c r="AK52" i="59" s="1"/>
  <c r="Y140" i="5"/>
  <c r="AI52" i="59" s="1"/>
  <c r="Y141" i="5" l="1"/>
  <c r="J29" i="67" s="1"/>
  <c r="AA8" i="2"/>
  <c r="AS8" i="2" l="1"/>
  <c r="M10" i="15" l="1"/>
  <c r="A337" i="74" l="1"/>
  <c r="A336" i="74"/>
  <c r="A335" i="74"/>
  <c r="A208" i="74"/>
  <c r="A207" i="74"/>
  <c r="A206" i="74"/>
  <c r="A77" i="74"/>
  <c r="A76" i="74"/>
  <c r="A75" i="74"/>
  <c r="A338" i="74" l="1"/>
  <c r="A78" i="74"/>
  <c r="A209" i="74"/>
  <c r="U35" i="88" l="1"/>
  <c r="Q35" i="88"/>
  <c r="M35" i="88"/>
  <c r="J35" i="88"/>
  <c r="AU35" i="88" s="1"/>
  <c r="B35" i="88"/>
  <c r="AX42" i="6"/>
  <c r="AX40" i="6"/>
  <c r="AX21" i="6"/>
  <c r="AS42" i="6"/>
  <c r="AS40" i="6"/>
  <c r="AS21" i="6"/>
  <c r="AN42" i="6"/>
  <c r="AN40" i="6"/>
  <c r="AN21" i="6"/>
  <c r="AI42" i="6"/>
  <c r="AI40" i="6"/>
  <c r="AI21" i="6"/>
  <c r="AH40" i="6"/>
  <c r="AH38" i="6"/>
  <c r="AH21" i="6"/>
  <c r="AH19" i="6"/>
  <c r="AC42" i="6"/>
  <c r="AC40" i="6"/>
  <c r="AC21" i="6"/>
  <c r="AA115" i="88"/>
  <c r="Y115" i="88"/>
  <c r="U115" i="88"/>
  <c r="Q115" i="88"/>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M40" i="88"/>
  <c r="AY40" i="88" s="1"/>
  <c r="J40" i="88"/>
  <c r="AT40" i="88" s="1"/>
  <c r="B40" i="88"/>
  <c r="AA39" i="88"/>
  <c r="Y39" i="88"/>
  <c r="U39" i="88"/>
  <c r="Q39" i="88"/>
  <c r="M39" i="88"/>
  <c r="J39" i="88"/>
  <c r="AS39" i="88" s="1"/>
  <c r="B39" i="88"/>
  <c r="AA38" i="88"/>
  <c r="Y38" i="88"/>
  <c r="U38" i="88"/>
  <c r="Q38" i="88"/>
  <c r="M38" i="88"/>
  <c r="AY38" i="88" s="1"/>
  <c r="J38" i="88"/>
  <c r="AT38" i="88" s="1"/>
  <c r="B38" i="88"/>
  <c r="AA37" i="88"/>
  <c r="Y37" i="88"/>
  <c r="U37" i="88"/>
  <c r="Q37" i="88"/>
  <c r="M37" i="88"/>
  <c r="J37" i="88"/>
  <c r="AU37" i="88" s="1"/>
  <c r="B37" i="88"/>
  <c r="AA36" i="88"/>
  <c r="Y36" i="88"/>
  <c r="U36" i="88"/>
  <c r="Q36" i="88"/>
  <c r="M36" i="88"/>
  <c r="AY36" i="88" s="1"/>
  <c r="J36" i="88"/>
  <c r="AT36" i="88" s="1"/>
  <c r="B36" i="88"/>
  <c r="AS35" i="88"/>
  <c r="AA35" i="88"/>
  <c r="Y35" i="88"/>
  <c r="AH29" i="88"/>
  <c r="B29" i="88"/>
  <c r="B27" i="88"/>
  <c r="B25" i="88"/>
  <c r="AB5" i="88"/>
  <c r="AC35" i="88" l="1"/>
  <c r="A35" i="88" s="1"/>
  <c r="AC112" i="88"/>
  <c r="AS41" i="88"/>
  <c r="AC93" i="88"/>
  <c r="AC89" i="88"/>
  <c r="AC107" i="88"/>
  <c r="AT108" i="88"/>
  <c r="AC102" i="88"/>
  <c r="A102" i="88" s="1"/>
  <c r="AC111" i="88"/>
  <c r="A111" i="88" s="1"/>
  <c r="AC106" i="88"/>
  <c r="A106" i="88" s="1"/>
  <c r="AC115" i="88"/>
  <c r="A115" i="88" s="1"/>
  <c r="AC98" i="88"/>
  <c r="A98" i="88" s="1"/>
  <c r="AC104" i="88"/>
  <c r="A104" i="88" s="1"/>
  <c r="AC113" i="88"/>
  <c r="A113" i="88" s="1"/>
  <c r="AC110" i="88"/>
  <c r="A110" i="88" s="1"/>
  <c r="AC90" i="88"/>
  <c r="A90" i="88" s="1"/>
  <c r="AC99" i="88"/>
  <c r="A99" i="88" s="1"/>
  <c r="AC95" i="88"/>
  <c r="A95" i="88" s="1"/>
  <c r="AS40" i="88"/>
  <c r="AW91" i="88"/>
  <c r="AG94" i="88"/>
  <c r="AC96" i="88"/>
  <c r="AC103" i="88"/>
  <c r="A103" i="88" s="1"/>
  <c r="AC94" i="88"/>
  <c r="A94" i="88" s="1"/>
  <c r="AC38" i="88"/>
  <c r="A38" i="88" s="1"/>
  <c r="AC39" i="88"/>
  <c r="A39" i="88" s="1"/>
  <c r="AC40" i="88"/>
  <c r="A40" i="88" s="1"/>
  <c r="AC41" i="88"/>
  <c r="A41" i="88" s="1"/>
  <c r="AC42" i="88"/>
  <c r="A42" i="88" s="1"/>
  <c r="AC50" i="88"/>
  <c r="A50" i="88" s="1"/>
  <c r="AC37" i="88"/>
  <c r="A37" i="88" s="1"/>
  <c r="AC49" i="88"/>
  <c r="A49" i="88" s="1"/>
  <c r="AC88" i="88"/>
  <c r="A88" i="88" s="1"/>
  <c r="AG95" i="88"/>
  <c r="AC97" i="88"/>
  <c r="A97" i="88" s="1"/>
  <c r="AC105" i="88"/>
  <c r="A105" i="88" s="1"/>
  <c r="AC114" i="88"/>
  <c r="A114" i="88" s="1"/>
  <c r="AC51" i="88"/>
  <c r="A51" i="88" s="1"/>
  <c r="AC48" i="88"/>
  <c r="A48" i="88" s="1"/>
  <c r="AC47" i="88"/>
  <c r="A47" i="88" s="1"/>
  <c r="AC36" i="88"/>
  <c r="A36" i="88" s="1"/>
  <c r="AS38" i="88"/>
  <c r="AC46" i="88"/>
  <c r="A46" i="88" s="1"/>
  <c r="AC54" i="88"/>
  <c r="A54" i="88" s="1"/>
  <c r="AC45" i="88"/>
  <c r="A45" i="88" s="1"/>
  <c r="AC53" i="88"/>
  <c r="A53" i="88" s="1"/>
  <c r="AC101" i="88"/>
  <c r="A101" i="88" s="1"/>
  <c r="AS114" i="88"/>
  <c r="AC43" i="88"/>
  <c r="A43" i="88" s="1"/>
  <c r="AC44" i="88"/>
  <c r="A44" i="88" s="1"/>
  <c r="AC52" i="88"/>
  <c r="A52" i="88" s="1"/>
  <c r="AC91" i="88"/>
  <c r="A91" i="88" s="1"/>
  <c r="AC92" i="88"/>
  <c r="A92" i="88" s="1"/>
  <c r="AC100" i="88"/>
  <c r="A100" i="88" s="1"/>
  <c r="AC108" i="88"/>
  <c r="AC109" i="88"/>
  <c r="A109" i="88" s="1"/>
  <c r="AT114" i="88"/>
  <c r="AI35" i="88"/>
  <c r="AX97" i="88"/>
  <c r="AW98" i="88"/>
  <c r="AW94" i="88"/>
  <c r="AW95" i="88"/>
  <c r="AG97" i="88"/>
  <c r="AX91" i="88"/>
  <c r="AY95" i="88"/>
  <c r="AS88" i="88"/>
  <c r="AG102" i="88"/>
  <c r="AS108" i="88"/>
  <c r="A82" i="88"/>
  <c r="AG91" i="88"/>
  <c r="AY44" i="88"/>
  <c r="AS100" i="88"/>
  <c r="AW102" i="88"/>
  <c r="AG107" i="88"/>
  <c r="AG115" i="88"/>
  <c r="AG89" i="88"/>
  <c r="A93"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BA42" i="88"/>
  <c r="AW35" i="88"/>
  <c r="AI36" i="88"/>
  <c r="AW37" i="88"/>
  <c r="AI38" i="88"/>
  <c r="AW39" i="88"/>
  <c r="AI40" i="88"/>
  <c r="AY42" i="88"/>
  <c r="AX43" i="88"/>
  <c r="AW45" i="88"/>
  <c r="AW46" i="88"/>
  <c r="AU47" i="88"/>
  <c r="AS48" i="88"/>
  <c r="AT49" i="88"/>
  <c r="AU50" i="88"/>
  <c r="AT50" i="88"/>
  <c r="AI50" i="88"/>
  <c r="AS51" i="88"/>
  <c r="AI53" i="88"/>
  <c r="AT88" i="88"/>
  <c r="AU89" i="88"/>
  <c r="AT89" i="88"/>
  <c r="AI89" i="88"/>
  <c r="AS90" i="88"/>
  <c r="AI92" i="88"/>
  <c r="AY97" i="88"/>
  <c r="AW100" i="88"/>
  <c r="AW101" i="88"/>
  <c r="AU102" i="88"/>
  <c r="AX103" i="88"/>
  <c r="BA105" i="88"/>
  <c r="AU109" i="88"/>
  <c r="AT109" i="88"/>
  <c r="AI109" i="88"/>
  <c r="AG110" i="88"/>
  <c r="AX111" i="88"/>
  <c r="A112"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51" i="88" l="1"/>
  <c r="AG51" i="88" s="1"/>
  <c r="BA98" i="88"/>
  <c r="BA94" i="88"/>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8"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8" i="6" s="1"/>
  <c r="U116" i="88"/>
  <c r="AN38" i="6" s="1"/>
  <c r="Q116" i="88"/>
  <c r="AI38" i="6" s="1"/>
  <c r="AC116" i="88"/>
  <c r="AX38" i="6" s="1"/>
  <c r="O27" i="3"/>
  <c r="O26" i="3"/>
  <c r="AN19" i="6" l="1"/>
  <c r="AN23" i="6"/>
  <c r="AS19" i="6"/>
  <c r="AS23" i="6"/>
  <c r="AX19" i="6"/>
  <c r="AX23" i="6"/>
  <c r="AI19" i="6"/>
  <c r="AI23" i="6"/>
  <c r="AG16" i="88"/>
  <c r="C32" i="40"/>
  <c r="AH35" i="3" l="1"/>
  <c r="AH38" i="3" s="1"/>
  <c r="AC18" i="78"/>
  <c r="AL19" i="78" s="1"/>
  <c r="I20" i="87"/>
  <c r="AL55" i="78" l="1"/>
  <c r="J57" i="67"/>
  <c r="S42" i="3"/>
  <c r="M37" i="3" s="1"/>
  <c r="M47" i="3" s="1"/>
  <c r="O49" i="3" s="1"/>
  <c r="W47" i="3"/>
  <c r="W45" i="3"/>
  <c r="V47" i="3"/>
  <c r="V45" i="3"/>
  <c r="S44" i="3" l="1"/>
  <c r="AZ91" i="2"/>
  <c r="AE10" i="3" l="1"/>
  <c r="AE12" i="3" s="1"/>
  <c r="AE7" i="3"/>
  <c r="AD7" i="3" s="1"/>
  <c r="AE14" i="99"/>
  <c r="S41" i="3"/>
  <c r="S62" i="15"/>
  <c r="I41" i="69" l="1"/>
  <c r="I12" i="69"/>
  <c r="I74" i="70"/>
  <c r="I45" i="70"/>
  <c r="I16" i="70"/>
  <c r="V10" i="53" l="1"/>
  <c r="V9" i="53"/>
  <c r="V8" i="53"/>
  <c r="U6" i="53"/>
  <c r="W12" i="3" l="1"/>
  <c r="AA19" i="68" l="1"/>
  <c r="AA23" i="68" s="1"/>
  <c r="B64" i="68" l="1"/>
  <c r="B62" i="68"/>
  <c r="B60" i="68"/>
  <c r="Z20" i="68"/>
  <c r="Z12" i="68"/>
  <c r="Z9" i="68"/>
  <c r="AC19" i="68"/>
  <c r="AJ251" i="84" l="1"/>
  <c r="Y242" i="84"/>
  <c r="F242" i="84"/>
  <c r="AH241" i="84"/>
  <c r="O241" i="84"/>
  <c r="Z225" i="84"/>
  <c r="S225" i="84"/>
  <c r="F225" i="84"/>
  <c r="AH224" i="84"/>
  <c r="K224" i="84"/>
  <c r="AD189" i="84"/>
  <c r="AD188" i="84"/>
  <c r="BB185" i="84"/>
  <c r="AZ185" i="84"/>
  <c r="AJ180" i="84"/>
  <c r="AJ183" i="84" s="1"/>
  <c r="AK185" i="84" s="1"/>
  <c r="AD180" i="84"/>
  <c r="AD183" i="84" s="1"/>
  <c r="AE185" i="84" s="1"/>
  <c r="V180" i="84"/>
  <c r="AJ164" i="84"/>
  <c r="BE155" i="84" s="1"/>
  <c r="AD164" i="84"/>
  <c r="BE154" i="84" s="1"/>
  <c r="V164" i="84"/>
  <c r="BE153" i="84" s="1"/>
  <c r="BB161" i="84"/>
  <c r="BA161" i="84"/>
  <c r="AZ161" i="84"/>
  <c r="BB157" i="84"/>
  <c r="BA157" i="84"/>
  <c r="AZ157" i="84"/>
  <c r="BB156" i="84"/>
  <c r="BA156" i="84"/>
  <c r="AZ156" i="84"/>
  <c r="AI135" i="84"/>
  <c r="BD183" i="84" l="1"/>
  <c r="BD186" i="84" s="1"/>
  <c r="AK244" i="84"/>
  <c r="AJ243" i="84"/>
  <c r="AD190" i="84"/>
  <c r="AH226" i="84"/>
  <c r="BD185" i="84"/>
  <c r="BC157" i="84"/>
  <c r="AD187" i="84" s="1"/>
  <c r="BE156" i="84"/>
  <c r="I156" i="84" s="1"/>
  <c r="AI227" i="84"/>
  <c r="BB183" i="84"/>
  <c r="BB186" i="84" s="1"/>
  <c r="BB184" i="84"/>
  <c r="BA183" i="84"/>
  <c r="AJ245" i="84"/>
  <c r="BC156" i="84"/>
  <c r="AD186" i="84" s="1"/>
  <c r="BD184" i="84"/>
  <c r="BC183" i="84"/>
  <c r="V183" i="84"/>
  <c r="W185" i="84" s="1"/>
  <c r="AH228" i="84" l="1"/>
  <c r="AY183" i="84"/>
  <c r="AJ191" i="84" s="1"/>
  <c r="AZ183" i="84"/>
  <c r="AZ186" i="84" s="1"/>
  <c r="AZ184" i="84" l="1"/>
  <c r="AK193" i="84" s="1"/>
  <c r="AJ195" i="84" l="1"/>
  <c r="AV255" i="84" s="1"/>
  <c r="AJ255" i="84" s="1"/>
  <c r="AK192" i="84"/>
  <c r="V75" i="33"/>
  <c r="AH88" i="33"/>
  <c r="W74"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AA95" i="59" l="1"/>
  <c r="AA94" i="59"/>
  <c r="AD311" i="74"/>
  <c r="W311" i="74"/>
  <c r="P311" i="74"/>
  <c r="AD182" i="74"/>
  <c r="W182" i="74"/>
  <c r="P182" i="74"/>
  <c r="AD51" i="74"/>
  <c r="W51" i="74"/>
  <c r="P51" i="74"/>
  <c r="AB118" i="33" l="1"/>
  <c r="W118" i="33"/>
  <c r="AI130" i="62"/>
  <c r="W128" i="62"/>
  <c r="AB82" i="56" l="1"/>
  <c r="H43" i="4" l="1"/>
  <c r="D399"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4" i="68"/>
  <c r="Q52" i="43" l="1"/>
  <c r="E49" i="3" l="1"/>
  <c r="C14" i="37" l="1"/>
  <c r="AD22" i="71" l="1"/>
  <c r="AD84" i="71"/>
  <c r="AD102" i="71" s="1"/>
  <c r="AJ84" i="71" l="1"/>
  <c r="AJ22" i="71"/>
  <c r="AD23" i="71" l="1"/>
  <c r="U89" i="71"/>
  <c r="AD85" i="71"/>
  <c r="AD24" i="71" l="1"/>
  <c r="AD25" i="71" s="1"/>
  <c r="AD26" i="71" s="1"/>
  <c r="AD27" i="71" s="1"/>
  <c r="AD28" i="71" s="1"/>
  <c r="AD29" i="71" s="1"/>
  <c r="AD30" i="71" s="1"/>
  <c r="AD31" i="71" s="1"/>
  <c r="AD32" i="71" s="1"/>
  <c r="AD33" i="71" s="1"/>
  <c r="AD86" i="71"/>
  <c r="AD87" i="71" s="1"/>
  <c r="AD88" i="71" s="1"/>
  <c r="AD89" i="71" s="1"/>
  <c r="AD90" i="71" s="1"/>
  <c r="AD91" i="71" s="1"/>
  <c r="AD92" i="71" s="1"/>
  <c r="AD93" i="71" s="1"/>
  <c r="AD94" i="71" s="1"/>
  <c r="AD95" i="71" s="1"/>
  <c r="X101" i="71"/>
  <c r="AI102" i="71" l="1"/>
  <c r="AB40" i="71" l="1"/>
  <c r="AD107" i="71" l="1"/>
  <c r="V89" i="71"/>
  <c r="AD110" i="71"/>
  <c r="Q7" i="71"/>
  <c r="L70" i="71" s="1"/>
  <c r="T5" i="71"/>
  <c r="AD108" i="71" l="1"/>
  <c r="AD111" i="71"/>
  <c r="Q8" i="71"/>
  <c r="AD109" i="71" l="1"/>
  <c r="Z85" i="71" l="1"/>
  <c r="Z86" i="71" s="1"/>
  <c r="Z87" i="71" s="1"/>
  <c r="Z88" i="71" s="1"/>
  <c r="Z89" i="71" s="1"/>
  <c r="Z90" i="71" s="1"/>
  <c r="Z91" i="71" s="1"/>
  <c r="Z92" i="71" s="1"/>
  <c r="Z93" i="71" s="1"/>
  <c r="Z94" i="71" s="1"/>
  <c r="Z95" i="71" s="1"/>
  <c r="Z23" i="71"/>
  <c r="Z24" i="71" s="1"/>
  <c r="Z25" i="71" s="1"/>
  <c r="Z26" i="71" s="1"/>
  <c r="Z27" i="71" s="1"/>
  <c r="Z28" i="71" s="1"/>
  <c r="Z29" i="71" s="1"/>
  <c r="Z30" i="71" s="1"/>
  <c r="Z31" i="71" s="1"/>
  <c r="Z32" i="71" s="1"/>
  <c r="Z33" i="71" s="1"/>
  <c r="P83" i="71" l="1"/>
  <c r="C83" i="71" l="1"/>
  <c r="AA88" i="43"/>
  <c r="Y88" i="43"/>
  <c r="B88" i="43"/>
  <c r="AC88" i="43" l="1"/>
  <c r="J129" i="5"/>
  <c r="G129" i="5"/>
  <c r="G15" i="5"/>
  <c r="D149" i="60" l="1"/>
  <c r="M103" i="60"/>
  <c r="M98" i="60"/>
  <c r="D102" i="60"/>
  <c r="D101" i="60"/>
  <c r="D105" i="60"/>
  <c r="D25" i="60"/>
  <c r="Y127" i="37" l="1"/>
  <c r="Y126" i="37"/>
  <c r="Y120" i="37"/>
  <c r="Y119" i="37"/>
  <c r="Y114" i="37"/>
  <c r="Y111" i="37"/>
  <c r="Y105" i="37"/>
  <c r="Y102" i="37"/>
  <c r="W55" i="33"/>
  <c r="V51" i="33"/>
  <c r="V47" i="33"/>
  <c r="I17" i="63"/>
  <c r="I15" i="63"/>
  <c r="Y144" i="37" l="1"/>
  <c r="Y143" i="37"/>
  <c r="Y135" i="37"/>
  <c r="Y134" i="37"/>
  <c r="AA75" i="37"/>
  <c r="AA74" i="37"/>
  <c r="I78" i="37"/>
  <c r="W72" i="37"/>
  <c r="AA76" i="37" l="1"/>
  <c r="AA79" i="37"/>
  <c r="BH99" i="2" l="1"/>
  <c r="BH105" i="2" s="1"/>
  <c r="BG108" i="2"/>
  <c r="BH108" i="2" s="1"/>
  <c r="BH106" i="2" s="1"/>
  <c r="AV15" i="2"/>
  <c r="AV13" i="2"/>
  <c r="AC109" i="68"/>
  <c r="AB109" i="68" s="1"/>
  <c r="BH8" i="2" l="1"/>
  <c r="BG8" i="2"/>
  <c r="BF8" i="2"/>
  <c r="AE6" i="3"/>
  <c r="W14" i="3"/>
  <c r="AD12" i="3"/>
  <c r="AD10" i="3"/>
  <c r="AD8" i="3"/>
  <c r="AG12" i="3"/>
  <c r="AG10" i="3"/>
  <c r="AG8" i="3"/>
  <c r="AH6" i="3"/>
  <c r="E28" i="3"/>
  <c r="BH107" i="2" l="1"/>
  <c r="BG9" i="2"/>
  <c r="AE108" i="68" s="1"/>
  <c r="D63" i="4"/>
  <c r="D60" i="4"/>
  <c r="D59" i="4"/>
  <c r="D57" i="4"/>
  <c r="D55" i="4"/>
  <c r="D54" i="4"/>
  <c r="D50" i="4"/>
  <c r="E117" i="70"/>
  <c r="D62" i="4" s="1"/>
  <c r="F117" i="70"/>
  <c r="G117" i="70"/>
  <c r="D64" i="4" s="1"/>
  <c r="D117" i="70"/>
  <c r="D61" i="4" s="1"/>
  <c r="E88" i="70"/>
  <c r="F88" i="70"/>
  <c r="D58" i="4" s="1"/>
  <c r="G88" i="70"/>
  <c r="H88" i="70"/>
  <c r="D88" i="70"/>
  <c r="D56" i="4" s="1"/>
  <c r="E59" i="70"/>
  <c r="D52" i="4" s="1"/>
  <c r="F59" i="70"/>
  <c r="D53" i="4" s="1"/>
  <c r="G59" i="70"/>
  <c r="H59" i="70"/>
  <c r="D59" i="70"/>
  <c r="D51" i="4" s="1"/>
  <c r="F30" i="70"/>
  <c r="D48" i="4" s="1"/>
  <c r="G30" i="70"/>
  <c r="D49" i="4" s="1"/>
  <c r="H30" i="70"/>
  <c r="AN21" i="2" l="1"/>
  <c r="AB108" i="68"/>
  <c r="N6" i="1" l="1"/>
  <c r="C27" i="1" l="1"/>
  <c r="AB18" i="59"/>
  <c r="V11" i="59" s="1"/>
  <c r="I6" i="1" l="1"/>
  <c r="C67" i="1" s="1"/>
  <c r="C95" i="15"/>
  <c r="AZ76" i="2"/>
  <c r="AZ75" i="2"/>
  <c r="D68" i="15"/>
  <c r="D69" i="15"/>
  <c r="D66" i="15"/>
  <c r="F51" i="15"/>
  <c r="F43" i="15"/>
  <c r="AI102" i="78"/>
  <c r="J6" i="1" l="1"/>
  <c r="AI99" i="78"/>
  <c r="AI116" i="78"/>
  <c r="AI113" i="78"/>
  <c r="AI111" i="78"/>
  <c r="AI109" i="78"/>
  <c r="AI107" i="78"/>
  <c r="AI104" i="78"/>
  <c r="AI100" i="78"/>
  <c r="AI98" i="78"/>
  <c r="AX98" i="78" s="1"/>
  <c r="I26" i="65" l="1"/>
  <c r="M22" i="65"/>
  <c r="M18" i="65"/>
  <c r="G16" i="65"/>
  <c r="A13" i="65"/>
  <c r="A9" i="65"/>
  <c r="H11" i="65"/>
  <c r="H7" i="65"/>
  <c r="E6" i="14"/>
  <c r="C30" i="40" l="1"/>
  <c r="C29" i="40"/>
  <c r="D17" i="40"/>
  <c r="C17" i="40"/>
  <c r="V8" i="36" l="1"/>
  <c r="V44" i="36"/>
  <c r="V43" i="36"/>
  <c r="V42" i="36"/>
  <c r="V41" i="36"/>
  <c r="V40" i="36"/>
  <c r="V39" i="36"/>
  <c r="V33" i="36"/>
  <c r="V32" i="36"/>
  <c r="V31" i="36"/>
  <c r="V30" i="36"/>
  <c r="V29" i="36"/>
  <c r="V28" i="36"/>
  <c r="V23" i="36"/>
  <c r="V22" i="36"/>
  <c r="V21" i="36"/>
  <c r="V20" i="36"/>
  <c r="V19" i="36"/>
  <c r="V18" i="36"/>
  <c r="V13" i="36"/>
  <c r="V12" i="36"/>
  <c r="V11" i="36"/>
  <c r="V10" i="36"/>
  <c r="V9" i="36"/>
  <c r="AR131" i="74" l="1"/>
  <c r="AR128" i="74"/>
  <c r="AR391" i="74"/>
  <c r="AR390" i="74"/>
  <c r="AR387" i="74"/>
  <c r="AR262" i="74"/>
  <c r="AR260" i="74"/>
  <c r="AL350" i="74"/>
  <c r="AL349" i="74"/>
  <c r="AL221" i="74"/>
  <c r="AL220" i="74"/>
  <c r="C331" i="74"/>
  <c r="B290" i="74"/>
  <c r="W282" i="74"/>
  <c r="K282" i="74"/>
  <c r="C282" i="74"/>
  <c r="AI280" i="74"/>
  <c r="W280" i="74"/>
  <c r="K280" i="74"/>
  <c r="C280" i="74"/>
  <c r="B161" i="74"/>
  <c r="W153" i="74"/>
  <c r="K153" i="74"/>
  <c r="C153" i="74"/>
  <c r="AI151" i="74"/>
  <c r="W151" i="74"/>
  <c r="K151" i="74"/>
  <c r="C151" i="74"/>
  <c r="AL91" i="74"/>
  <c r="AL90" i="74"/>
  <c r="AI20" i="74"/>
  <c r="W22" i="74"/>
  <c r="W20" i="74"/>
  <c r="K22" i="74"/>
  <c r="K20" i="74"/>
  <c r="AO151" i="74" l="1"/>
  <c r="AO280" i="74"/>
  <c r="AL192" i="74" l="1"/>
  <c r="A279" i="74"/>
  <c r="AO283" i="74"/>
  <c r="AL167" i="74"/>
  <c r="AO154" i="74"/>
  <c r="AL296" i="74"/>
  <c r="AL321" i="74"/>
  <c r="AL193" i="74" l="1"/>
  <c r="AL322" i="74"/>
  <c r="T228" i="5" l="1"/>
  <c r="T158" i="5" s="1"/>
  <c r="T161" i="5" s="1"/>
  <c r="Y219" i="5"/>
  <c r="W216" i="5" s="1"/>
  <c r="Y217" i="5"/>
  <c r="W214" i="5" s="1"/>
  <c r="Y215" i="5"/>
  <c r="W212" i="5" s="1"/>
  <c r="Y213" i="5"/>
  <c r="W210" i="5" s="1"/>
  <c r="C207" i="5"/>
  <c r="T140" i="5"/>
  <c r="U178" i="5"/>
  <c r="Y183" i="5"/>
  <c r="H156" i="5"/>
  <c r="H155" i="5"/>
  <c r="H153" i="5"/>
  <c r="S150" i="5"/>
  <c r="H150" i="5"/>
  <c r="H149" i="5"/>
  <c r="H148" i="5"/>
  <c r="H147" i="5"/>
  <c r="S146" i="5"/>
  <c r="S145" i="5"/>
  <c r="H145" i="5"/>
  <c r="T139" i="5"/>
  <c r="C133" i="5"/>
  <c r="C132" i="5"/>
  <c r="R117" i="5"/>
  <c r="T141" i="5" l="1"/>
  <c r="T143" i="5" s="1"/>
  <c r="T162" i="5" s="1"/>
  <c r="Y211" i="5"/>
  <c r="W208" i="5" s="1"/>
  <c r="AA167" i="5" l="1"/>
  <c r="AA169" i="5" s="1"/>
  <c r="AA172" i="5" s="1"/>
  <c r="AA179" i="5" s="1"/>
  <c r="AM25" i="97"/>
  <c r="AL49" i="23"/>
  <c r="AL113" i="23" s="1"/>
  <c r="AL48" i="23"/>
  <c r="AL112" i="23" l="1"/>
  <c r="K156" i="68"/>
  <c r="K155" i="68"/>
  <c r="K146" i="68"/>
  <c r="K145" i="68"/>
  <c r="K136" i="68"/>
  <c r="K135" i="68"/>
  <c r="K125" i="68"/>
  <c r="V73" i="68"/>
  <c r="V116" i="68" s="1"/>
  <c r="T73" i="68"/>
  <c r="T116" i="68" s="1"/>
  <c r="R73" i="68"/>
  <c r="R116" i="68" l="1"/>
  <c r="R125" i="68"/>
  <c r="M98" i="2"/>
  <c r="C120" i="33" l="1"/>
  <c r="C116" i="33"/>
  <c r="C112" i="33"/>
  <c r="C38" i="33" l="1"/>
  <c r="L35" i="33"/>
  <c r="L34" i="33"/>
  <c r="L33" i="33"/>
  <c r="L32" i="33"/>
  <c r="L31" i="33"/>
  <c r="L30" i="33"/>
  <c r="L29" i="33"/>
  <c r="L28" i="33"/>
  <c r="L27" i="33"/>
  <c r="L26" i="33"/>
  <c r="L25" i="33"/>
  <c r="L24" i="33"/>
  <c r="L23" i="33"/>
  <c r="L22" i="33"/>
  <c r="L21" i="33"/>
  <c r="L20" i="33"/>
  <c r="L19" i="33"/>
  <c r="L18" i="33"/>
  <c r="L17" i="33"/>
  <c r="L14" i="33" l="1"/>
  <c r="C80" i="71"/>
  <c r="AQ2" i="2" l="1"/>
  <c r="O8" i="14"/>
  <c r="AR7" i="2"/>
  <c r="AR8" i="2"/>
  <c r="AO28" i="102" s="1"/>
  <c r="AS62" i="102" l="1"/>
  <c r="AU65" i="102"/>
  <c r="AO32" i="102"/>
  <c r="AE32" i="102" s="1"/>
  <c r="H141" i="74"/>
  <c r="H10" i="74"/>
  <c r="R29" i="88"/>
  <c r="R82" i="88"/>
  <c r="O5" i="14"/>
  <c r="O4" i="14"/>
  <c r="O3" i="14"/>
  <c r="AA65" i="78"/>
  <c r="L57" i="2"/>
  <c r="H35" i="14"/>
  <c r="P26" i="14"/>
  <c r="N6" i="2"/>
  <c r="M28" i="40"/>
  <c r="P8" i="14"/>
  <c r="AT12" i="102" l="1"/>
  <c r="AL28" i="102"/>
  <c r="AL29" i="102"/>
  <c r="AL30" i="102"/>
  <c r="N16" i="65"/>
  <c r="F60" i="2" l="1"/>
  <c r="AK3" i="2" l="1"/>
  <c r="AK7" i="2"/>
  <c r="N63" i="3" l="1"/>
  <c r="AJ119" i="84" l="1"/>
  <c r="AH109" i="84"/>
  <c r="Y110" i="84"/>
  <c r="O109" i="84"/>
  <c r="F110" i="84"/>
  <c r="F93" i="84"/>
  <c r="K92" i="84"/>
  <c r="S93" i="84"/>
  <c r="Z93" i="84"/>
  <c r="AH92" i="84"/>
  <c r="AJ48" i="84"/>
  <c r="AJ51" i="84" s="1"/>
  <c r="AK53" i="84" s="1"/>
  <c r="AD48" i="84"/>
  <c r="AD51" i="84" s="1"/>
  <c r="AE53" i="84" s="1"/>
  <c r="AD57" i="84"/>
  <c r="AD56" i="84"/>
  <c r="V48" i="84"/>
  <c r="BB28" i="84"/>
  <c r="BA28" i="84"/>
  <c r="AZ28" i="84"/>
  <c r="V32" i="84"/>
  <c r="AJ32" i="84"/>
  <c r="BE23" i="84" s="1"/>
  <c r="AD32" i="84"/>
  <c r="BE22" i="84" s="1"/>
  <c r="BB25" i="84"/>
  <c r="BB24" i="84"/>
  <c r="BA25" i="84"/>
  <c r="BA24" i="84"/>
  <c r="AZ25" i="84"/>
  <c r="AZ24" i="84"/>
  <c r="H4" i="84"/>
  <c r="AI3" i="84"/>
  <c r="BB52" i="84" l="1"/>
  <c r="BD51" i="84"/>
  <c r="BD54" i="84" s="1"/>
  <c r="BD52" i="84"/>
  <c r="AH94" i="84"/>
  <c r="V51" i="84"/>
  <c r="W53" i="84" s="1"/>
  <c r="AD58" i="84"/>
  <c r="G164" i="84"/>
  <c r="AI95" i="84"/>
  <c r="AH96" i="84" s="1"/>
  <c r="AJ111" i="84"/>
  <c r="AK112" i="84"/>
  <c r="BD53" i="84"/>
  <c r="BC51" i="84"/>
  <c r="G32" i="84"/>
  <c r="BC25" i="84"/>
  <c r="AD55" i="84" s="1"/>
  <c r="BC24" i="84"/>
  <c r="AD54" i="84" s="1"/>
  <c r="AZ52" i="84" l="1"/>
  <c r="AJ113" i="84"/>
  <c r="AY51" i="84"/>
  <c r="AZ51" i="84"/>
  <c r="BA51" i="84"/>
  <c r="BB51" i="84"/>
  <c r="AJ59" i="84" l="1"/>
  <c r="AZ54" i="84"/>
  <c r="AZ53" i="84"/>
  <c r="BB54" i="84"/>
  <c r="BB53" i="84"/>
  <c r="AK61" i="84" s="1"/>
  <c r="AW9" i="2"/>
  <c r="B76" i="103" l="1"/>
  <c r="B8" i="103"/>
  <c r="B8" i="97"/>
  <c r="B8" i="99"/>
  <c r="B8" i="93"/>
  <c r="B140" i="96"/>
  <c r="AR198" i="96" s="1"/>
  <c r="AQ199" i="96" s="1"/>
  <c r="B8" i="96"/>
  <c r="AR66" i="96" s="1"/>
  <c r="AQ67" i="96" s="1"/>
  <c r="B118" i="90"/>
  <c r="B236" i="90"/>
  <c r="B177" i="90"/>
  <c r="B59" i="90"/>
  <c r="B8" i="82"/>
  <c r="B8" i="90"/>
  <c r="B64" i="88"/>
  <c r="B11" i="88"/>
  <c r="B140" i="84"/>
  <c r="AR198" i="84" s="1"/>
  <c r="AQ199" i="84" s="1"/>
  <c r="B11" i="68"/>
  <c r="B19" i="86"/>
  <c r="B14" i="3"/>
  <c r="B8" i="84"/>
  <c r="AR66" i="84" s="1"/>
  <c r="AQ67" i="84" s="1"/>
  <c r="AK60" i="84" l="1"/>
  <c r="AJ63" i="84"/>
  <c r="AV123" i="84" s="1"/>
  <c r="AJ123" i="84" s="1"/>
  <c r="AK1" i="2"/>
  <c r="AK4" i="2"/>
  <c r="AK2" i="2"/>
  <c r="BA2" i="2"/>
  <c r="AC95" i="2"/>
  <c r="AC94" i="2"/>
  <c r="V101" i="2"/>
  <c r="V98" i="2"/>
  <c r="AC80" i="2"/>
  <c r="AC79" i="2"/>
  <c r="AV124" i="84" l="1"/>
  <c r="BC109" i="2"/>
  <c r="BC89" i="2"/>
  <c r="BC110" i="2"/>
  <c r="BC90" i="2"/>
  <c r="AK8" i="2"/>
  <c r="AC78" i="2"/>
  <c r="X33" i="102" l="1"/>
  <c r="F4" i="2"/>
  <c r="Y12" i="99"/>
  <c r="AV30" i="76"/>
  <c r="AL30" i="76" s="1"/>
  <c r="BB106" i="2"/>
  <c r="X16" i="90"/>
  <c r="AE67" i="23"/>
  <c r="AK9" i="2"/>
  <c r="G3" i="2" s="1"/>
  <c r="AE7" i="23"/>
  <c r="AK10" i="2"/>
  <c r="F55" i="2"/>
  <c r="AC55" i="2" s="1"/>
  <c r="M54" i="2"/>
  <c r="M53" i="2"/>
  <c r="AC57" i="2" l="1"/>
  <c r="AN4" i="2"/>
  <c r="AA4" i="2"/>
  <c r="M55" i="2"/>
  <c r="M57" i="2" l="1"/>
  <c r="AB3" i="82"/>
  <c r="AB3" i="80" l="1"/>
  <c r="AB3" i="79"/>
  <c r="AB3" i="78" l="1"/>
  <c r="R65" i="33" l="1"/>
  <c r="C123" i="33" s="1"/>
  <c r="O21" i="3"/>
  <c r="AJ5" i="76" l="1"/>
  <c r="N58" i="3" l="1"/>
  <c r="I64" i="4" l="1"/>
  <c r="I63" i="4"/>
  <c r="I62" i="4"/>
  <c r="I61" i="4"/>
  <c r="I60" i="4"/>
  <c r="I59" i="4"/>
  <c r="I58" i="4"/>
  <c r="I57" i="4"/>
  <c r="I56" i="4"/>
  <c r="I104" i="70" l="1"/>
  <c r="N46" i="6" l="1"/>
  <c r="O54" i="2"/>
  <c r="R50" i="33" s="1"/>
  <c r="H87" i="70"/>
  <c r="G87" i="70"/>
  <c r="F87" i="70"/>
  <c r="E87" i="70"/>
  <c r="D87" i="70"/>
  <c r="H86" i="70"/>
  <c r="G86" i="70"/>
  <c r="F86" i="70"/>
  <c r="E86" i="70"/>
  <c r="D86" i="70"/>
  <c r="H85" i="70"/>
  <c r="G85" i="70"/>
  <c r="F85" i="70"/>
  <c r="E85" i="70"/>
  <c r="D85" i="70"/>
  <c r="V89" i="98" l="1"/>
  <c r="X116" i="98"/>
  <c r="X120" i="98" s="1"/>
  <c r="AA73" i="37"/>
  <c r="AA77" i="37" s="1"/>
  <c r="Z52" i="37"/>
  <c r="C109" i="59"/>
  <c r="H29" i="1" l="1"/>
  <c r="G29" i="1"/>
  <c r="AL34" i="23" l="1"/>
  <c r="AL94" i="23"/>
  <c r="AM94" i="23"/>
  <c r="AM34" i="23"/>
  <c r="C61" i="1"/>
  <c r="U8" i="37"/>
  <c r="AN34" i="23" l="1"/>
  <c r="AN94"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4" i="70" l="1"/>
  <c r="F114" i="70"/>
  <c r="G114" i="70"/>
  <c r="E115" i="70"/>
  <c r="F115" i="70"/>
  <c r="G115" i="70"/>
  <c r="E116" i="70"/>
  <c r="F116" i="70"/>
  <c r="G116" i="70"/>
  <c r="D116" i="70"/>
  <c r="D115" i="70"/>
  <c r="D114" i="70"/>
  <c r="E56" i="70"/>
  <c r="F56" i="70"/>
  <c r="G56" i="70"/>
  <c r="H56" i="70"/>
  <c r="E57" i="70"/>
  <c r="F57" i="70"/>
  <c r="G57" i="70"/>
  <c r="H57" i="70"/>
  <c r="E58" i="70"/>
  <c r="F58" i="70"/>
  <c r="G58" i="70"/>
  <c r="H58" i="70"/>
  <c r="D58" i="70"/>
  <c r="D57" i="70"/>
  <c r="D56" i="70"/>
  <c r="E27" i="70"/>
  <c r="F27" i="70"/>
  <c r="G27" i="70"/>
  <c r="H27" i="70"/>
  <c r="E28" i="70"/>
  <c r="F28" i="70"/>
  <c r="G28" i="70"/>
  <c r="H28" i="70"/>
  <c r="E29" i="70"/>
  <c r="F29" i="70"/>
  <c r="G29" i="70"/>
  <c r="H29" i="70"/>
  <c r="D29" i="70"/>
  <c r="D28" i="70"/>
  <c r="D27"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30" i="70" l="1"/>
  <c r="D46" i="4" s="1"/>
  <c r="E30" i="70"/>
  <c r="D47" i="4" s="1"/>
  <c r="N17" i="6" l="1"/>
  <c r="N36" i="6"/>
  <c r="M20" i="71" l="1"/>
  <c r="H104" i="70" l="1"/>
  <c r="H110" i="70"/>
  <c r="I80" i="69"/>
  <c r="I81" i="69"/>
  <c r="I83" i="69"/>
  <c r="O53" i="2"/>
  <c r="AC61" i="78"/>
  <c r="I119" i="70"/>
  <c r="J17" i="14" l="1"/>
  <c r="AU29" i="58"/>
  <c r="I25" i="40"/>
  <c r="J24" i="87"/>
  <c r="J72" i="69"/>
  <c r="I92" i="70"/>
  <c r="AQ13" i="74" s="1"/>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62" i="1" l="1"/>
  <c r="B31" i="1"/>
  <c r="AD314" i="74" l="1"/>
  <c r="W314" i="74"/>
  <c r="P314" i="74"/>
  <c r="AD185" i="74"/>
  <c r="W185" i="74"/>
  <c r="P185" i="74"/>
  <c r="AD54" i="74"/>
  <c r="W54" i="74"/>
  <c r="P54" i="74"/>
  <c r="AO339" i="74"/>
  <c r="C329" i="74"/>
  <c r="C327" i="74"/>
  <c r="AO210" i="74"/>
  <c r="C200" i="74"/>
  <c r="C198" i="74"/>
  <c r="AM78" i="74" l="1"/>
  <c r="AM209" i="74"/>
  <c r="AM338" i="74"/>
  <c r="AO398" i="74"/>
  <c r="B340" i="74"/>
  <c r="AI271" i="74"/>
  <c r="C22" i="74"/>
  <c r="C20" i="74"/>
  <c r="AO269" i="74"/>
  <c r="B211" i="74"/>
  <c r="AI142" i="74"/>
  <c r="C69" i="74"/>
  <c r="C67" i="74"/>
  <c r="B72" i="74" s="1"/>
  <c r="AQ66" i="74" s="1"/>
  <c r="AO8" i="74" l="1"/>
  <c r="B2" i="74" s="1"/>
  <c r="AQ9" i="74"/>
  <c r="A8" i="74"/>
  <c r="A281" i="74"/>
  <c r="AB214" i="74"/>
  <c r="AB219" i="74" s="1"/>
  <c r="AL225" i="74" s="1"/>
  <c r="A152" i="74"/>
  <c r="AB343" i="74"/>
  <c r="AB348" i="74" s="1"/>
  <c r="AL354" i="74" s="1"/>
  <c r="AB84" i="74"/>
  <c r="AO20" i="74"/>
  <c r="AL254" i="74" s="1"/>
  <c r="P315" i="74"/>
  <c r="P321" i="74" s="1"/>
  <c r="W315" i="74"/>
  <c r="W321" i="74" s="1"/>
  <c r="AD186" i="74"/>
  <c r="AD192" i="74" s="1"/>
  <c r="AD315" i="74"/>
  <c r="AD321" i="74" s="1"/>
  <c r="P186" i="74"/>
  <c r="P192" i="74" s="1"/>
  <c r="W186" i="74"/>
  <c r="W192" i="74" s="1"/>
  <c r="AL7" i="80" l="1"/>
  <c r="AQ15" i="74"/>
  <c r="AL36" i="74"/>
  <c r="AQ21" i="74"/>
  <c r="A21" i="74"/>
  <c r="A4" i="74"/>
  <c r="AO23" i="74"/>
  <c r="AQ14" i="74"/>
  <c r="AQ11" i="74"/>
  <c r="B8" i="74"/>
  <c r="AG8" i="74"/>
  <c r="AL124" i="74"/>
  <c r="AQ18" i="74"/>
  <c r="AL383" i="74"/>
  <c r="AB357" i="74"/>
  <c r="AB363" i="74" s="1"/>
  <c r="AB364" i="74" s="1"/>
  <c r="AB228" i="74"/>
  <c r="AB234" i="74" s="1"/>
  <c r="AB235" i="74" s="1"/>
  <c r="BG249" i="74" s="1"/>
  <c r="AO139" i="74"/>
  <c r="B81" i="74"/>
  <c r="AL373" i="74" l="1"/>
  <c r="BG378" i="74"/>
  <c r="AL244" i="74"/>
  <c r="AL248" i="74"/>
  <c r="BG379" i="74"/>
  <c r="AB366" i="74" s="1"/>
  <c r="AL369" i="74" s="1"/>
  <c r="AQ363" i="74"/>
  <c r="BG250" i="74"/>
  <c r="AB237" i="74" s="1"/>
  <c r="AQ234" i="74"/>
  <c r="AQ10" i="74"/>
  <c r="B4" i="74"/>
  <c r="AB89" i="74"/>
  <c r="AL95" i="74" s="1"/>
  <c r="AO79" i="74"/>
  <c r="AD55" i="74"/>
  <c r="W55" i="74"/>
  <c r="P55" i="74"/>
  <c r="AI11" i="74"/>
  <c r="A2" i="74" l="1"/>
  <c r="AD61" i="74"/>
  <c r="W61" i="74"/>
  <c r="P61" i="74"/>
  <c r="AL61" i="74" s="1"/>
  <c r="AL62" i="74" s="1"/>
  <c r="AB98" i="74" l="1"/>
  <c r="AB104" i="74" l="1"/>
  <c r="AB105" i="74" s="1"/>
  <c r="AQ104" i="74" l="1"/>
  <c r="BG119" i="74"/>
  <c r="AD56" i="56" l="1"/>
  <c r="AA56" i="56"/>
  <c r="M16" i="13"/>
  <c r="O16" i="13"/>
  <c r="AE56" i="56" l="1"/>
  <c r="AB85" i="71"/>
  <c r="X83" i="71"/>
  <c r="AI22" i="71"/>
  <c r="AB23" i="71"/>
  <c r="AB24" i="71" s="1"/>
  <c r="AB25" i="71" s="1"/>
  <c r="AB26" i="71" s="1"/>
  <c r="AB27" i="71" s="1"/>
  <c r="AB28" i="71" s="1"/>
  <c r="AB29" i="71" s="1"/>
  <c r="X21" i="71"/>
  <c r="AB30" i="71" l="1"/>
  <c r="AB31" i="71" s="1"/>
  <c r="AB32" i="71" s="1"/>
  <c r="AB33" i="71" s="1"/>
  <c r="AJ29" i="71"/>
  <c r="AB86" i="71"/>
  <c r="AJ85" i="71"/>
  <c r="AJ23" i="71"/>
  <c r="AK22" i="71"/>
  <c r="AI84" i="71"/>
  <c r="AB87" i="71" l="1"/>
  <c r="AJ86" i="71"/>
  <c r="AJ24" i="71"/>
  <c r="AK23" i="71"/>
  <c r="AI85" i="71"/>
  <c r="AI23" i="71"/>
  <c r="AB88" i="71" l="1"/>
  <c r="AJ87" i="71"/>
  <c r="AJ25" i="71"/>
  <c r="AD106" i="71"/>
  <c r="AK24" i="71"/>
  <c r="AI86" i="71"/>
  <c r="AI24" i="71"/>
  <c r="AB11" i="68"/>
  <c r="AB89" i="71" l="1"/>
  <c r="AJ88" i="71"/>
  <c r="AJ26" i="71"/>
  <c r="AK25" i="71"/>
  <c r="AI87" i="71"/>
  <c r="AI25" i="71"/>
  <c r="R66" i="33"/>
  <c r="R62" i="33"/>
  <c r="AB90" i="71" l="1"/>
  <c r="AJ89" i="71"/>
  <c r="AJ27" i="71"/>
  <c r="AK26" i="71"/>
  <c r="AI88" i="71"/>
  <c r="AI26" i="71"/>
  <c r="AB91" i="71" l="1"/>
  <c r="AJ90" i="71"/>
  <c r="AJ28" i="71"/>
  <c r="AK27" i="71"/>
  <c r="AI89" i="71"/>
  <c r="AI27" i="71"/>
  <c r="D28" i="37"/>
  <c r="C4" i="37"/>
  <c r="AB92" i="71" l="1"/>
  <c r="AJ91" i="71"/>
  <c r="AJ30" i="71"/>
  <c r="AK28" i="71"/>
  <c r="AI90" i="71"/>
  <c r="AI28" i="71"/>
  <c r="J45" i="68"/>
  <c r="N41" i="68"/>
  <c r="AB93" i="71" l="1"/>
  <c r="AJ92" i="71"/>
  <c r="AJ31" i="71"/>
  <c r="AI91" i="71"/>
  <c r="AI29" i="71"/>
  <c r="AB94" i="71" l="1"/>
  <c r="AJ93" i="71"/>
  <c r="AJ33" i="71"/>
  <c r="AJ32" i="71"/>
  <c r="AK29" i="71"/>
  <c r="AD112" i="71"/>
  <c r="AK30" i="71"/>
  <c r="AI92" i="71"/>
  <c r="AI30" i="71"/>
  <c r="AB95" i="71" l="1"/>
  <c r="AJ95" i="71" s="1"/>
  <c r="AJ94" i="71"/>
  <c r="AD113" i="71"/>
  <c r="AK31" i="71"/>
  <c r="AI93" i="71"/>
  <c r="AI31" i="71"/>
  <c r="AD114" i="71" l="1"/>
  <c r="AI94"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5" i="71"/>
  <c r="AI96" i="71" s="1"/>
  <c r="AI97" i="71" s="1"/>
  <c r="AJ34" i="71"/>
  <c r="AI33" i="71"/>
  <c r="P44" i="36"/>
  <c r="L43" i="36" s="1"/>
  <c r="P41" i="36"/>
  <c r="P45" i="36"/>
  <c r="L44" i="36" s="1"/>
  <c r="P31" i="36"/>
  <c r="L30" i="36" s="1"/>
  <c r="P42" i="36"/>
  <c r="P32" i="36"/>
  <c r="L31" i="36" s="1"/>
  <c r="P43" i="36"/>
  <c r="L42" i="36" s="1"/>
  <c r="P33" i="36"/>
  <c r="L32"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6" i="71"/>
  <c r="AJ97" i="71" s="1"/>
  <c r="AK33" i="71"/>
  <c r="AK34" i="71" s="1"/>
  <c r="AJ35" i="71"/>
  <c r="AI34" i="71"/>
  <c r="P20" i="36"/>
  <c r="L19" i="36" s="1"/>
  <c r="P23" i="36"/>
  <c r="L22" i="36" s="1"/>
  <c r="P22" i="36"/>
  <c r="L21" i="36" s="1"/>
  <c r="P24" i="36"/>
  <c r="L23" i="36" s="1"/>
  <c r="P11" i="36"/>
  <c r="L10" i="36" s="1"/>
  <c r="P12" i="36"/>
  <c r="L11" i="36" s="1"/>
  <c r="P13" i="36"/>
  <c r="L12" i="36" s="1"/>
  <c r="P21" i="36"/>
  <c r="L20" i="36" s="1"/>
  <c r="P9" i="36"/>
  <c r="P10" i="36"/>
  <c r="L9" i="36" s="1"/>
  <c r="E29" i="1"/>
  <c r="D29" i="1"/>
  <c r="C29" i="1"/>
  <c r="F29" i="1"/>
  <c r="C4" i="52"/>
  <c r="C3" i="52"/>
  <c r="I29" i="1" l="1"/>
  <c r="AI35" i="71"/>
  <c r="B3" i="52"/>
  <c r="C80" i="1"/>
  <c r="C81" i="1"/>
  <c r="AB54" i="56"/>
  <c r="AB21" i="56"/>
  <c r="C15" i="56"/>
  <c r="L19" i="1" l="1"/>
  <c r="J60" i="1"/>
  <c r="P4" i="52" s="1"/>
  <c r="Y104" i="5"/>
  <c r="W102" i="5" s="1"/>
  <c r="Y102" i="5"/>
  <c r="W100" i="5" s="1"/>
  <c r="Y100" i="5"/>
  <c r="W98" i="5" s="1"/>
  <c r="Y98" i="5"/>
  <c r="W96" i="5" s="1"/>
  <c r="Y96" i="5" l="1"/>
  <c r="W94" i="5" s="1"/>
  <c r="AM15" i="2" l="1"/>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G2061" i="36" l="1"/>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M73" i="6" l="1"/>
  <c r="Z8" i="68" l="1"/>
  <c r="Z7" i="68"/>
  <c r="E17" i="65" l="1"/>
  <c r="E18" i="65"/>
  <c r="Q115" i="71" l="1"/>
  <c r="Q114" i="71"/>
  <c r="Q113" i="71"/>
  <c r="M126" i="71" l="1"/>
  <c r="L125" i="71"/>
  <c r="M123" i="71"/>
  <c r="L122" i="71"/>
  <c r="L121" i="71"/>
  <c r="L112" i="71"/>
  <c r="L110" i="71"/>
  <c r="M109" i="71"/>
  <c r="M112" i="71" s="1"/>
  <c r="M117" i="71" s="1"/>
  <c r="L105" i="71"/>
  <c r="C105" i="71"/>
  <c r="L99" i="71"/>
  <c r="M98" i="71"/>
  <c r="L98" i="71"/>
  <c r="M97" i="71"/>
  <c r="J97" i="71"/>
  <c r="M96" i="71"/>
  <c r="J96" i="71"/>
  <c r="C96" i="71"/>
  <c r="L95" i="71"/>
  <c r="L94" i="71"/>
  <c r="L92" i="71"/>
  <c r="C91" i="71"/>
  <c r="L89" i="71"/>
  <c r="L88" i="71"/>
  <c r="L85" i="71"/>
  <c r="L82" i="71"/>
  <c r="P78" i="71"/>
  <c r="P76" i="71"/>
  <c r="L66" i="71"/>
  <c r="M61" i="71"/>
  <c r="Q53" i="71"/>
  <c r="Q52" i="71"/>
  <c r="Q51" i="71"/>
  <c r="C53" i="71"/>
  <c r="M47" i="71"/>
  <c r="M50" i="71" s="1"/>
  <c r="C34" i="71"/>
  <c r="C43" i="71"/>
  <c r="M36" i="71"/>
  <c r="M64" i="71"/>
  <c r="L63" i="71"/>
  <c r="L60" i="71"/>
  <c r="L59" i="71"/>
  <c r="L50" i="71"/>
  <c r="L48" i="71"/>
  <c r="L43" i="71"/>
  <c r="L37" i="71"/>
  <c r="L36" i="71"/>
  <c r="J35" i="71"/>
  <c r="J34" i="71"/>
  <c r="M35" i="71"/>
  <c r="M34" i="71"/>
  <c r="L33" i="71"/>
  <c r="L32" i="71"/>
  <c r="L30" i="71"/>
  <c r="P17" i="71"/>
  <c r="P15" i="71"/>
  <c r="L28" i="71"/>
  <c r="L27" i="71"/>
  <c r="L24" i="71"/>
  <c r="L21" i="71"/>
  <c r="L5" i="71"/>
  <c r="K145" i="71" l="1"/>
  <c r="M55" i="71"/>
  <c r="K142" i="71" s="1"/>
  <c r="W43" i="79" s="1"/>
  <c r="K139" i="71"/>
  <c r="M63" i="71"/>
  <c r="P74" i="71"/>
  <c r="M125" i="71"/>
  <c r="P19" i="71"/>
  <c r="K148" i="71" l="1"/>
  <c r="W45" i="79"/>
  <c r="AN45" i="79" s="1"/>
  <c r="W25" i="78"/>
  <c r="AC25" i="78" s="1"/>
  <c r="AC43" i="79"/>
  <c r="AN43" i="79"/>
  <c r="N45" i="78"/>
  <c r="W46" i="78"/>
  <c r="AC46" i="78" s="1"/>
  <c r="AL52" i="78"/>
  <c r="AC24" i="78"/>
  <c r="Q74" i="71"/>
  <c r="Q76" i="71"/>
  <c r="Q15" i="71"/>
  <c r="Q17" i="71"/>
  <c r="AN69" i="79" l="1"/>
  <c r="AC69" i="79" s="1"/>
  <c r="AC45" i="79"/>
  <c r="AB6" i="68"/>
  <c r="B65" i="3"/>
  <c r="P46" i="37" l="1"/>
  <c r="H111" i="70" l="1"/>
  <c r="I82" i="69"/>
  <c r="I79" i="69"/>
  <c r="I72" i="69"/>
  <c r="BE107" i="2" l="1"/>
  <c r="BE87" i="2"/>
  <c r="W202" i="68" l="1"/>
  <c r="W203" i="68"/>
  <c r="W206" i="68"/>
  <c r="W207" i="68"/>
  <c r="W208" i="68"/>
  <c r="W209" i="68"/>
  <c r="W210" i="68"/>
  <c r="W211" i="68"/>
  <c r="W212" i="68"/>
  <c r="W213" i="68"/>
  <c r="W215" i="68"/>
  <c r="W217" i="68"/>
  <c r="W218" i="68"/>
  <c r="W219" i="68"/>
  <c r="W220" i="68"/>
  <c r="W221" i="68"/>
  <c r="W222" i="68"/>
  <c r="W224" i="68"/>
  <c r="W225" i="68"/>
  <c r="W226" i="68"/>
  <c r="W227" i="68"/>
  <c r="W228" i="68"/>
  <c r="W229" i="68"/>
  <c r="W230" i="68"/>
  <c r="W231" i="68"/>
  <c r="W232" i="68"/>
  <c r="W233" i="68"/>
  <c r="Y289" i="68" l="1"/>
  <c r="Y290" i="68"/>
  <c r="Y291" i="68"/>
  <c r="Y292" i="68"/>
  <c r="Y293" i="68"/>
  <c r="Y294" i="68"/>
  <c r="AB25" i="68" l="1"/>
  <c r="AC7" i="68" l="1"/>
  <c r="W195" i="68" l="1"/>
  <c r="V155" i="68"/>
  <c r="T135" i="68"/>
  <c r="T145" i="68"/>
  <c r="R135" i="68"/>
  <c r="T155" i="68"/>
  <c r="F144" i="68" l="1"/>
  <c r="F154" i="68"/>
  <c r="F134" i="68"/>
  <c r="F124" i="68"/>
  <c r="G129" i="68"/>
  <c r="P145" i="68"/>
  <c r="R145" i="68"/>
  <c r="P155" i="68"/>
  <c r="R155" i="68"/>
  <c r="W193" i="68" l="1"/>
  <c r="W197" i="68"/>
  <c r="W198" i="68" l="1"/>
  <c r="W199" i="68" l="1"/>
  <c r="G139" i="68"/>
  <c r="G159" i="68"/>
  <c r="W200" i="68" l="1"/>
  <c r="Y259" i="68" l="1"/>
  <c r="D43" i="68"/>
  <c r="Y260" i="68" l="1"/>
  <c r="Y261" i="68" l="1"/>
  <c r="Y262" i="68" l="1"/>
  <c r="W108" i="68"/>
  <c r="C69" i="68"/>
  <c r="C9" i="68"/>
  <c r="W68" i="68"/>
  <c r="T7" i="68"/>
  <c r="Y263" i="68" l="1"/>
  <c r="Y264" i="68" l="1"/>
  <c r="Y265" i="68" l="1"/>
  <c r="Y266" i="68" l="1"/>
  <c r="Y267" i="68" l="1"/>
  <c r="C23" i="13"/>
  <c r="Y268" i="68" l="1"/>
  <c r="Y269" i="68" l="1"/>
  <c r="Q17" i="15"/>
  <c r="Y270" i="68" l="1"/>
  <c r="Y271" i="68" l="1"/>
  <c r="V22" i="13"/>
  <c r="Y272" i="68" l="1"/>
  <c r="Y274" i="68"/>
  <c r="B5" i="3"/>
  <c r="W25" i="3"/>
  <c r="Y273" i="68" l="1"/>
  <c r="Y275" i="68"/>
  <c r="V16" i="13"/>
  <c r="C67" i="13"/>
  <c r="C17" i="13"/>
  <c r="C19" i="13"/>
  <c r="Y276" i="68" l="1"/>
  <c r="P11" i="13"/>
  <c r="P12" i="13"/>
  <c r="C65" i="13"/>
  <c r="J94" i="13"/>
  <c r="O22" i="13"/>
  <c r="M22" i="13"/>
  <c r="V19" i="13"/>
  <c r="R29" i="13" s="1"/>
  <c r="K53" i="13"/>
  <c r="Y277" i="68" l="1"/>
  <c r="P32" i="13"/>
  <c r="R22" i="12"/>
  <c r="Y278" i="68" l="1"/>
  <c r="Y279" i="68" l="1"/>
  <c r="Y280" i="68" l="1"/>
  <c r="Y281" i="68" l="1"/>
  <c r="AZ97" i="2"/>
  <c r="Y282" i="68" l="1"/>
  <c r="Y283" i="68" l="1"/>
  <c r="Y284" i="68" l="1"/>
  <c r="AY13" i="2"/>
  <c r="I33" i="2" s="1"/>
  <c r="AY108" i="2"/>
  <c r="AZ108" i="2" s="1"/>
  <c r="AY88" i="2"/>
  <c r="AZ88" i="2" s="1"/>
  <c r="AZ111" i="2"/>
  <c r="BF108" i="2"/>
  <c r="BF109" i="2" s="1"/>
  <c r="BD92" i="2"/>
  <c r="AI98" i="71"/>
  <c r="BF88" i="2"/>
  <c r="BF89" i="2" s="1"/>
  <c r="AY87" i="2"/>
  <c r="AH10" i="3" l="1"/>
  <c r="AH12" i="3" s="1"/>
  <c r="AH14" i="3" s="1"/>
  <c r="AH18" i="3" s="1"/>
  <c r="M16" i="3" s="1"/>
  <c r="AH7" i="3"/>
  <c r="M168" i="60"/>
  <c r="AH14" i="99"/>
  <c r="AC14" i="99" s="1"/>
  <c r="S61" i="15"/>
  <c r="BE91" i="2"/>
  <c r="AZ87" i="2"/>
  <c r="BB93" i="2" s="1"/>
  <c r="AZ107" i="2"/>
  <c r="BB113" i="2" s="1"/>
  <c r="S84" i="71"/>
  <c r="V84" i="71" s="1"/>
  <c r="AJ98" i="71"/>
  <c r="M94" i="71" s="1"/>
  <c r="S25" i="71"/>
  <c r="AY99" i="2"/>
  <c r="AJ36" i="71"/>
  <c r="M32" i="71" s="1"/>
  <c r="AI36" i="71"/>
  <c r="X36" i="71"/>
  <c r="AM11" i="2"/>
  <c r="Y285" i="68"/>
  <c r="AZ86" i="2"/>
  <c r="AZ106" i="2"/>
  <c r="J17" i="3" l="1"/>
  <c r="M18" i="3" s="1"/>
  <c r="AG70" i="2"/>
  <c r="BB115" i="2"/>
  <c r="BB114" i="2"/>
  <c r="BB95" i="2"/>
  <c r="BB94" i="2"/>
  <c r="BA108" i="2"/>
  <c r="BD111" i="2"/>
  <c r="BA88" i="2"/>
  <c r="BD91" i="2"/>
  <c r="U84" i="71"/>
  <c r="AF85" i="71" s="1"/>
  <c r="T84" i="71"/>
  <c r="V25" i="71"/>
  <c r="T25" i="71"/>
  <c r="U25" i="71"/>
  <c r="U233" i="68"/>
  <c r="Y286" i="68"/>
  <c r="O19" i="3" l="1"/>
  <c r="BD90" i="2"/>
  <c r="AA29" i="86" s="1"/>
  <c r="B114" i="86" s="1"/>
  <c r="BB116" i="2"/>
  <c r="BB96" i="2"/>
  <c r="BB88" i="2"/>
  <c r="AZ13" i="2" s="1"/>
  <c r="AN14" i="2" s="1"/>
  <c r="W33" i="2"/>
  <c r="BD89" i="2"/>
  <c r="Q15" i="15"/>
  <c r="BD109" i="2"/>
  <c r="BD110" i="2"/>
  <c r="AA34" i="86" s="1"/>
  <c r="H33" i="2"/>
  <c r="AR9" i="2"/>
  <c r="R11" i="15" s="1"/>
  <c r="G26" i="15" s="1"/>
  <c r="U5" i="71"/>
  <c r="E2" i="71" s="1"/>
  <c r="AT39" i="2"/>
  <c r="AF86" i="71"/>
  <c r="AF84" i="71"/>
  <c r="AF102" i="71" s="1"/>
  <c r="AJ102" i="71" s="1"/>
  <c r="AK102" i="71" s="1"/>
  <c r="AF87" i="71"/>
  <c r="AF106" i="71" s="1"/>
  <c r="AJ106" i="71" s="1"/>
  <c r="AK106" i="71" s="1"/>
  <c r="AF88" i="71"/>
  <c r="AF107" i="71" s="1"/>
  <c r="AJ107" i="71" s="1"/>
  <c r="AK107" i="71" s="1"/>
  <c r="AF89" i="71"/>
  <c r="AF108" i="71" s="1"/>
  <c r="AJ108" i="71" s="1"/>
  <c r="AK108" i="71" s="1"/>
  <c r="AF90" i="71"/>
  <c r="AF109" i="71" s="1"/>
  <c r="AJ109" i="71" s="1"/>
  <c r="AK109" i="71" s="1"/>
  <c r="AF91" i="71"/>
  <c r="AF110" i="71" s="1"/>
  <c r="AJ110" i="71" s="1"/>
  <c r="AK110" i="71" s="1"/>
  <c r="AF92" i="71"/>
  <c r="AF111" i="71" s="1"/>
  <c r="AJ111" i="71" s="1"/>
  <c r="AF93" i="71"/>
  <c r="AF112" i="71" s="1"/>
  <c r="AJ112" i="71" s="1"/>
  <c r="AF94" i="71"/>
  <c r="AF113" i="71" s="1"/>
  <c r="AJ113" i="71" s="1"/>
  <c r="AF95" i="71"/>
  <c r="AF114" i="71" s="1"/>
  <c r="AJ114" i="71" s="1"/>
  <c r="AF28" i="71"/>
  <c r="AF30" i="71"/>
  <c r="AF32" i="71"/>
  <c r="AF31" i="71"/>
  <c r="AF29" i="71"/>
  <c r="AF33" i="71"/>
  <c r="AF23" i="71"/>
  <c r="AF24" i="71"/>
  <c r="AF25" i="71"/>
  <c r="AF26" i="71"/>
  <c r="AF27" i="71"/>
  <c r="AF22" i="71"/>
  <c r="Y287" i="68"/>
  <c r="Y288" i="68"/>
  <c r="I4" i="86" l="1"/>
  <c r="I12" i="86" s="1"/>
  <c r="AA52" i="86"/>
  <c r="AV12" i="2"/>
  <c r="E7" i="65"/>
  <c r="A7" i="65" s="1"/>
  <c r="AV14" i="2"/>
  <c r="E11" i="65"/>
  <c r="A11" i="65" s="1"/>
  <c r="S13" i="15"/>
  <c r="AA49" i="86"/>
  <c r="AZ89" i="2"/>
  <c r="F4" i="86"/>
  <c r="J4" i="86"/>
  <c r="P4" i="86"/>
  <c r="AA40" i="86" s="1"/>
  <c r="E3" i="86"/>
  <c r="AK11" i="2"/>
  <c r="AV10" i="2"/>
  <c r="AK111" i="71"/>
  <c r="AK114" i="71"/>
  <c r="AK113" i="71"/>
  <c r="AJ115" i="71"/>
  <c r="AJ116" i="71" s="1"/>
  <c r="AK112" i="71"/>
  <c r="AF34" i="71"/>
  <c r="AF35" i="71" s="1"/>
  <c r="M24" i="71" s="1"/>
  <c r="M28" i="71" s="1"/>
  <c r="AV18" i="2" l="1"/>
  <c r="AQ58" i="2" s="1"/>
  <c r="B80" i="86"/>
  <c r="N10" i="65"/>
  <c r="B116" i="86"/>
  <c r="E6" i="86"/>
  <c r="P12" i="86"/>
  <c r="R12" i="86" s="1"/>
  <c r="R4" i="86"/>
  <c r="AA46" i="86" s="1"/>
  <c r="B54" i="86" s="1"/>
  <c r="AA37" i="86"/>
  <c r="B91" i="86" s="1"/>
  <c r="B92" i="86"/>
  <c r="AK115" i="71"/>
  <c r="AA43" i="86" l="1"/>
  <c r="B89" i="86" s="1"/>
  <c r="B93" i="86" s="1"/>
  <c r="B78" i="86"/>
  <c r="V94" i="71"/>
  <c r="V95" i="71" s="1"/>
  <c r="Y91" i="86" l="1"/>
  <c r="B79" i="86"/>
  <c r="Y79" i="86" s="1"/>
  <c r="Y98" i="86" s="1"/>
  <c r="B115" i="86"/>
  <c r="O115" i="86" s="1"/>
  <c r="B84" i="86"/>
  <c r="V34" i="71"/>
  <c r="V35" i="71"/>
  <c r="U34" i="71"/>
  <c r="U35" i="71" s="1"/>
  <c r="V28" i="71"/>
  <c r="T32" i="71" s="1"/>
  <c r="O116" i="86" l="1"/>
  <c r="T91" i="71"/>
  <c r="T31" i="71"/>
  <c r="U31" i="71" s="1"/>
  <c r="U91" i="71" s="1"/>
  <c r="T92" i="71"/>
  <c r="U94" i="71"/>
  <c r="U95" i="71"/>
  <c r="V96" i="71" s="1"/>
  <c r="U36" i="71"/>
  <c r="W116" i="33"/>
  <c r="V91" i="71" l="1"/>
  <c r="U96" i="71"/>
  <c r="U37" i="71"/>
  <c r="U32" i="71" s="1"/>
  <c r="V36" i="71"/>
  <c r="V97" i="71"/>
  <c r="V37" i="71" s="1"/>
  <c r="E490" i="60"/>
  <c r="D62" i="15"/>
  <c r="D49" i="14"/>
  <c r="E33" i="14"/>
  <c r="V92" i="71" l="1"/>
  <c r="V32" i="71" s="1"/>
  <c r="U97" i="71"/>
  <c r="W119" i="33"/>
  <c r="W115" i="33"/>
  <c r="W90" i="33"/>
  <c r="W87" i="33"/>
  <c r="W86" i="33"/>
  <c r="W85" i="33"/>
  <c r="W80" i="33"/>
  <c r="W79" i="33"/>
  <c r="AB121" i="33"/>
  <c r="V121" i="33"/>
  <c r="AB120" i="33"/>
  <c r="V118" i="33"/>
  <c r="AB113" i="33"/>
  <c r="V108" i="33"/>
  <c r="AB107" i="33"/>
  <c r="V107" i="33"/>
  <c r="AB106" i="33"/>
  <c r="Z105" i="33"/>
  <c r="Z103" i="33"/>
  <c r="V102" i="33"/>
  <c r="AB101" i="33"/>
  <c r="V101" i="33"/>
  <c r="AB93" i="33"/>
  <c r="AB90" i="33"/>
  <c r="Z89" i="33"/>
  <c r="Z87" i="33"/>
  <c r="Z83" i="33"/>
  <c r="AB81" i="33"/>
  <c r="U92" i="71" l="1"/>
  <c r="M30" i="71"/>
  <c r="M33" i="71" s="1"/>
  <c r="M37" i="71" s="1"/>
  <c r="M38" i="71" s="1"/>
  <c r="M39" i="71" s="1"/>
  <c r="O40" i="71" l="1"/>
  <c r="O42" i="71"/>
  <c r="O43" i="71"/>
  <c r="P6" i="37" l="1"/>
  <c r="U5" i="37"/>
  <c r="U4" i="37"/>
  <c r="P27" i="37"/>
  <c r="P21" i="37"/>
  <c r="C11" i="37"/>
  <c r="S7" i="37"/>
  <c r="D32" i="37"/>
  <c r="D29" i="37"/>
  <c r="D27" i="37"/>
  <c r="D25" i="37"/>
  <c r="D23" i="37"/>
  <c r="D22" i="37"/>
  <c r="D21" i="37"/>
  <c r="D18" i="37"/>
  <c r="V4" i="37" l="1"/>
  <c r="R10" i="37"/>
  <c r="S12" i="37"/>
  <c r="U7" i="37"/>
  <c r="V7" i="37"/>
  <c r="V3" i="37"/>
  <c r="S10" i="37" l="1"/>
  <c r="S9" i="37"/>
  <c r="V9" i="37"/>
  <c r="AF9" i="37" s="1"/>
  <c r="C26" i="52"/>
  <c r="M124" i="33"/>
  <c r="S17" i="37" l="1"/>
  <c r="P17" i="37"/>
  <c r="P18" i="37"/>
  <c r="N18" i="37" s="1"/>
  <c r="P22" i="37"/>
  <c r="U10" i="37"/>
  <c r="N23" i="37"/>
  <c r="N29" i="37"/>
  <c r="P28" i="37"/>
  <c r="N27" i="37"/>
  <c r="N21" i="37"/>
  <c r="P19" i="37"/>
  <c r="N20" i="37" s="1"/>
  <c r="AY2" i="2"/>
  <c r="BB2" i="2" s="1"/>
  <c r="AE146" i="62" l="1"/>
  <c r="E352" i="62"/>
  <c r="AE335" i="62"/>
  <c r="D337" i="62" s="1"/>
  <c r="X350" i="62"/>
  <c r="AH353" i="62" s="1"/>
  <c r="AZ2" i="2"/>
  <c r="I153" i="68"/>
  <c r="I143" i="68"/>
  <c r="I163" i="68"/>
  <c r="I133" i="68"/>
  <c r="P24" i="37"/>
  <c r="P26" i="37" s="1"/>
  <c r="O28" i="6" s="1"/>
  <c r="O27" i="6" s="1"/>
  <c r="N30" i="37"/>
  <c r="P31" i="37" s="1"/>
  <c r="P33" i="37" s="1"/>
  <c r="O48" i="6" s="1"/>
  <c r="O47" i="6" s="1"/>
  <c r="W54" i="3"/>
  <c r="AE356" i="62" l="1"/>
  <c r="AE355" i="62"/>
  <c r="AV152" i="84"/>
  <c r="AV152" i="96"/>
  <c r="AV20" i="96"/>
  <c r="AV20" i="84"/>
  <c r="AW154" i="84" s="1"/>
  <c r="AV154" i="96" l="1"/>
  <c r="AW153" i="96"/>
  <c r="AW21" i="96"/>
  <c r="AV153" i="96"/>
  <c r="AV21" i="96"/>
  <c r="AW22" i="96"/>
  <c r="AW155" i="96"/>
  <c r="AV23" i="96"/>
  <c r="AW23" i="96"/>
  <c r="AV155" i="96"/>
  <c r="AW154" i="96"/>
  <c r="AV22" i="96"/>
  <c r="AW155" i="84"/>
  <c r="AV155" i="84"/>
  <c r="AW22" i="84"/>
  <c r="AV21" i="84"/>
  <c r="AV23" i="84"/>
  <c r="AW153" i="84"/>
  <c r="AV153" i="84"/>
  <c r="AV154" i="84"/>
  <c r="AW21" i="84"/>
  <c r="AW23" i="84"/>
  <c r="AV22" i="84"/>
  <c r="E163" i="62"/>
  <c r="AZ90" i="2"/>
  <c r="AD156" i="96" l="1"/>
  <c r="AD24" i="96"/>
  <c r="AD24" i="84"/>
  <c r="AD156" i="84"/>
  <c r="D148" i="62"/>
  <c r="D29" i="65" l="1"/>
  <c r="D23" i="65"/>
  <c r="D22" i="65"/>
  <c r="D21" i="65"/>
  <c r="N29" i="65"/>
  <c r="K29" i="63"/>
  <c r="D28" i="63"/>
  <c r="D21" i="63"/>
  <c r="I20" i="63"/>
  <c r="D20" i="63"/>
  <c r="K12" i="63"/>
  <c r="G8" i="63"/>
  <c r="J4" i="65" l="1"/>
  <c r="N22" i="65"/>
  <c r="E74" i="30" l="1"/>
  <c r="X84" i="62" l="1"/>
  <c r="X85" i="62"/>
  <c r="X86" i="62"/>
  <c r="X83" i="62"/>
  <c r="J58" i="62"/>
  <c r="J59" i="62"/>
  <c r="J60" i="62"/>
  <c r="J57" i="62"/>
  <c r="AA58" i="62"/>
  <c r="AA59" i="62"/>
  <c r="AA60" i="62"/>
  <c r="AA57" i="62"/>
  <c r="D138" i="62" l="1"/>
  <c r="AM138" i="62" s="1"/>
  <c r="W147" i="62" l="1"/>
  <c r="AE145" i="62"/>
  <c r="AE148" i="62" l="1"/>
  <c r="AA63" i="53"/>
  <c r="B110" i="37"/>
  <c r="B109" i="37"/>
  <c r="B111" i="37"/>
  <c r="B112" i="37"/>
  <c r="B93" i="37"/>
  <c r="B92" i="37"/>
  <c r="B91" i="37"/>
  <c r="AE150" i="62" l="1"/>
  <c r="AO150" i="62" s="1"/>
  <c r="AM150" i="62" l="1"/>
  <c r="D278" i="60"/>
  <c r="D275" i="60"/>
  <c r="D272" i="60"/>
  <c r="D269" i="60"/>
  <c r="D463" i="60"/>
  <c r="D466" i="60"/>
  <c r="D430" i="60"/>
  <c r="D427" i="60"/>
  <c r="D424" i="60"/>
  <c r="D421" i="60"/>
  <c r="J82" i="60"/>
  <c r="AE155" i="62" l="1"/>
  <c r="AO404" i="62" s="1"/>
  <c r="AH153" i="62"/>
  <c r="D15" i="14"/>
  <c r="X91" i="15"/>
  <c r="Y91" i="15" s="1"/>
  <c r="C94" i="15" l="1"/>
  <c r="X93" i="15"/>
  <c r="B97" i="62"/>
  <c r="E162" i="62"/>
  <c r="E164" i="62"/>
  <c r="B131" i="62"/>
  <c r="AE121" i="62"/>
  <c r="AE125" i="62" s="1"/>
  <c r="B91" i="62"/>
  <c r="B72" i="62"/>
  <c r="AJ71" i="62"/>
  <c r="AC3" i="62"/>
  <c r="AE129" i="62" l="1"/>
  <c r="AO134" i="62" s="1"/>
  <c r="G284" i="60"/>
  <c r="B259" i="60" l="1"/>
  <c r="D147" i="60" l="1"/>
  <c r="D119" i="60"/>
  <c r="D96" i="60"/>
  <c r="D94" i="60"/>
  <c r="D7" i="60"/>
  <c r="N11" i="60"/>
  <c r="D73" i="60"/>
  <c r="D68" i="60"/>
  <c r="D57" i="60"/>
  <c r="D36" i="60"/>
  <c r="N20" i="60"/>
  <c r="N17" i="60"/>
  <c r="N14" i="60"/>
  <c r="AE156" i="62" l="1"/>
  <c r="AO160" i="62"/>
  <c r="X161" i="62" s="1"/>
  <c r="AH164" i="62" s="1"/>
  <c r="AO155" i="62"/>
  <c r="AE167" i="62" l="1"/>
  <c r="AE166" i="62"/>
  <c r="AI120" i="78"/>
  <c r="AI118" i="78"/>
  <c r="B71" i="58"/>
  <c r="AJ26" i="58"/>
  <c r="AK33" i="59" l="1"/>
  <c r="N53" i="37" l="1"/>
  <c r="V85" i="59" l="1"/>
  <c r="U97" i="59" l="1"/>
  <c r="U104" i="59" l="1"/>
  <c r="U102" i="59"/>
  <c r="U76" i="59" l="1"/>
  <c r="V119" i="59" l="1"/>
  <c r="V117" i="59"/>
  <c r="U116" i="59"/>
  <c r="U114" i="59"/>
  <c r="U112" i="59"/>
  <c r="U110" i="59"/>
  <c r="U109" i="59"/>
  <c r="U100" i="59"/>
  <c r="U72" i="59"/>
  <c r="B66" i="59"/>
  <c r="U64" i="59"/>
  <c r="M47" i="59"/>
  <c r="U46" i="59"/>
  <c r="U45" i="59"/>
  <c r="U43" i="59"/>
  <c r="U42" i="59"/>
  <c r="T36" i="59"/>
  <c r="V4" i="59"/>
  <c r="BE8" i="2" l="1"/>
  <c r="V109" i="59" l="1"/>
  <c r="BD8" i="2" l="1"/>
  <c r="C2" i="58" l="1"/>
  <c r="AM2" i="58" s="1"/>
  <c r="M2" i="58"/>
  <c r="AO2" i="58" s="1"/>
  <c r="W2" i="58"/>
  <c r="AP2" i="58" s="1"/>
  <c r="AJ120" i="58"/>
  <c r="AJ70" i="58"/>
  <c r="AL2" i="58" l="1"/>
  <c r="AC5" i="58"/>
  <c r="Z36" i="58" l="1"/>
  <c r="Z33" i="58"/>
  <c r="W25" i="58"/>
  <c r="S25" i="58"/>
  <c r="O25" i="58"/>
  <c r="S2" i="58"/>
  <c r="D102" i="33" l="1"/>
  <c r="D101" i="33"/>
  <c r="D100" i="33"/>
  <c r="D99" i="33"/>
  <c r="AH51" i="33" l="1"/>
  <c r="AC26" i="33"/>
  <c r="V28" i="33"/>
  <c r="V27" i="33"/>
  <c r="V26" i="33"/>
  <c r="V39" i="33"/>
  <c r="V38" i="33"/>
  <c r="V37" i="33"/>
  <c r="B109" i="33"/>
  <c r="M41" i="37"/>
  <c r="W13" i="15"/>
  <c r="L46" i="15"/>
  <c r="P4" i="12"/>
  <c r="Q23" i="15" l="1"/>
  <c r="L23" i="15"/>
  <c r="L22" i="15" s="1"/>
  <c r="L108" i="33" l="1"/>
  <c r="W89" i="56" l="1"/>
  <c r="B33" i="56"/>
  <c r="B32" i="56"/>
  <c r="B31" i="56"/>
  <c r="C30" i="56" l="1"/>
  <c r="C28" i="56"/>
  <c r="AB93" i="56"/>
  <c r="AC70" i="56"/>
  <c r="I49" i="56"/>
  <c r="I48" i="56"/>
  <c r="I46" i="56"/>
  <c r="I45" i="56"/>
  <c r="I44" i="56"/>
  <c r="I42" i="56"/>
  <c r="I37" i="56"/>
  <c r="B27" i="56"/>
  <c r="B22" i="56"/>
  <c r="AB94" i="56" l="1"/>
  <c r="AB95" i="56"/>
  <c r="AC68" i="56"/>
  <c r="AE62" i="56"/>
  <c r="I47" i="56"/>
  <c r="I40" i="56"/>
  <c r="I39" i="56"/>
  <c r="AA4" i="56"/>
  <c r="AB34" i="56" l="1"/>
  <c r="AB55" i="56" s="1"/>
  <c r="AM32" i="23"/>
  <c r="AM92" i="23" l="1"/>
  <c r="AL32" i="23"/>
  <c r="X15" i="23" s="1"/>
  <c r="J42" i="67"/>
  <c r="J50" i="67" s="1"/>
  <c r="AJ75" i="23"/>
  <c r="AL92" i="23"/>
  <c r="X75" i="23" s="1"/>
  <c r="AC17" i="78"/>
  <c r="AJ13" i="23"/>
  <c r="AY62" i="2"/>
  <c r="AT62" i="2"/>
  <c r="AS62" i="2"/>
  <c r="AR62" i="2"/>
  <c r="AQ62" i="2"/>
  <c r="AN32" i="23" l="1"/>
  <c r="AN92" i="23"/>
  <c r="AS66" i="2"/>
  <c r="AS63" i="2"/>
  <c r="AS64" i="2"/>
  <c r="AS65" i="2"/>
  <c r="AR64" i="2"/>
  <c r="AR65" i="2"/>
  <c r="AR66" i="2"/>
  <c r="AR63" i="2"/>
  <c r="AT64" i="2"/>
  <c r="AT63" i="2"/>
  <c r="AQ63" i="2"/>
  <c r="AQ64" i="2"/>
  <c r="AH82" i="50" l="1"/>
  <c r="AH29" i="50"/>
  <c r="AH82" i="49"/>
  <c r="AH29" i="49"/>
  <c r="AH82" i="43"/>
  <c r="AH29" i="43"/>
  <c r="M46" i="52" l="1"/>
  <c r="P6" i="52" s="1"/>
  <c r="M24" i="52"/>
  <c r="M34" i="52"/>
  <c r="N45" i="53"/>
  <c r="G3" i="53" s="1"/>
  <c r="C5" i="52" l="1"/>
  <c r="C6" i="52"/>
  <c r="B6" i="52"/>
  <c r="M31" i="53" l="1"/>
  <c r="M30" i="53"/>
  <c r="M29" i="53"/>
  <c r="M17" i="53"/>
  <c r="M16" i="53"/>
  <c r="M15" i="53"/>
  <c r="N61"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1" i="37" l="1"/>
  <c r="M120" i="37"/>
  <c r="K118" i="37"/>
  <c r="O117" i="37"/>
  <c r="M116" i="37"/>
  <c r="K115" i="37"/>
  <c r="K114" i="37"/>
  <c r="K113" i="37"/>
  <c r="V17" i="6"/>
  <c r="U17" i="6"/>
  <c r="V36" i="6"/>
  <c r="U36" i="6"/>
  <c r="L110" i="37"/>
  <c r="E110" i="37"/>
  <c r="E109" i="37"/>
  <c r="E112" i="37"/>
  <c r="K111" i="37"/>
  <c r="E111" i="37"/>
  <c r="X129" i="98" l="1"/>
  <c r="AA86" i="37"/>
  <c r="B35" i="43"/>
  <c r="I40" i="4" l="1"/>
  <c r="B11" i="12" l="1"/>
  <c r="B6" i="12"/>
  <c r="B5" i="12"/>
  <c r="H44" i="33" l="1"/>
  <c r="H43" i="33"/>
  <c r="H42" i="33"/>
  <c r="M122" i="33" l="1"/>
  <c r="S46" i="37" l="1"/>
  <c r="I16" i="4" l="1"/>
  <c r="J35" i="49" l="1"/>
  <c r="AS35" i="49" s="1"/>
  <c r="AV42" i="6" l="1"/>
  <c r="AU42" i="6"/>
  <c r="AW40" i="6"/>
  <c r="AW38" i="6"/>
  <c r="AV38" i="6"/>
  <c r="AV23" i="6"/>
  <c r="AW21" i="6"/>
  <c r="AU21" i="6"/>
  <c r="AW19" i="6"/>
  <c r="AB40" i="6"/>
  <c r="AB38" i="6"/>
  <c r="AA42" i="6"/>
  <c r="AA38" i="6"/>
  <c r="Z42" i="6"/>
  <c r="AA23" i="6"/>
  <c r="AB21" i="6"/>
  <c r="Z21" i="6"/>
  <c r="AB19" i="6"/>
  <c r="AY88" i="43" l="1"/>
  <c r="AW88" i="43"/>
  <c r="AX88" i="43"/>
  <c r="AT88" i="43"/>
  <c r="AU88" i="43"/>
  <c r="AS88" i="43"/>
  <c r="BC88" i="43" l="1"/>
  <c r="BB88" i="43"/>
  <c r="BA88" i="43"/>
  <c r="AG88" i="43" s="1"/>
  <c r="AQ42" i="6" l="1"/>
  <c r="AP42" i="6"/>
  <c r="AL42" i="6"/>
  <c r="AK42" i="6"/>
  <c r="AG42" i="6"/>
  <c r="AF42" i="6"/>
  <c r="AR40" i="6"/>
  <c r="AM40" i="6"/>
  <c r="AR38" i="6"/>
  <c r="AQ38" i="6"/>
  <c r="AM38" i="6"/>
  <c r="AL38" i="6"/>
  <c r="AG38"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B35" i="49"/>
  <c r="AB5" i="49"/>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U35" i="43"/>
  <c r="AC35" i="43" s="1"/>
  <c r="A35" i="43" s="1"/>
  <c r="AC115" i="50" l="1"/>
  <c r="AC101" i="50"/>
  <c r="AC114" i="50"/>
  <c r="AC109" i="50"/>
  <c r="AC113" i="50"/>
  <c r="AC110" i="50"/>
  <c r="AC98" i="50"/>
  <c r="AC90" i="43"/>
  <c r="AC98" i="43"/>
  <c r="AC106" i="43"/>
  <c r="AC114" i="43"/>
  <c r="AC48" i="49"/>
  <c r="A48" i="49" s="1"/>
  <c r="AC90" i="49"/>
  <c r="A90" i="49" s="1"/>
  <c r="AC106" i="50"/>
  <c r="A106" i="50" s="1"/>
  <c r="AC98" i="49"/>
  <c r="A98" i="49" s="1"/>
  <c r="AC88" i="49"/>
  <c r="A88" i="49" s="1"/>
  <c r="AC104" i="49"/>
  <c r="A104" i="49" s="1"/>
  <c r="AC96" i="49"/>
  <c r="A96" i="49" s="1"/>
  <c r="AC90" i="50"/>
  <c r="A90" i="50" s="1"/>
  <c r="AC102" i="50"/>
  <c r="A102" i="50" s="1"/>
  <c r="AC114" i="49"/>
  <c r="A114" i="49" s="1"/>
  <c r="AC112" i="49"/>
  <c r="AC106" i="49"/>
  <c r="A106" i="49" s="1"/>
  <c r="AC94" i="43"/>
  <c r="AC102" i="43"/>
  <c r="A102" i="43" s="1"/>
  <c r="AC110" i="43"/>
  <c r="A110" i="43" s="1"/>
  <c r="AC95" i="49"/>
  <c r="A95" i="49" s="1"/>
  <c r="AC89" i="43"/>
  <c r="A89" i="43" s="1"/>
  <c r="AC97" i="43"/>
  <c r="A97" i="43" s="1"/>
  <c r="AC105" i="43"/>
  <c r="A105" i="43" s="1"/>
  <c r="AC113" i="43"/>
  <c r="A113" i="43" s="1"/>
  <c r="AC35" i="49"/>
  <c r="A35" i="49" s="1"/>
  <c r="AC51" i="49"/>
  <c r="A51" i="49" s="1"/>
  <c r="AC93" i="49"/>
  <c r="A93" i="49" s="1"/>
  <c r="AC109" i="49"/>
  <c r="A109" i="49" s="1"/>
  <c r="AC95" i="50"/>
  <c r="A95" i="50" s="1"/>
  <c r="AC111" i="50"/>
  <c r="A111" i="50" s="1"/>
  <c r="AC103" i="49"/>
  <c r="A103" i="49" s="1"/>
  <c r="AC93" i="43"/>
  <c r="A93" i="43" s="1"/>
  <c r="AC101" i="43"/>
  <c r="A101" i="43" s="1"/>
  <c r="AC109" i="43"/>
  <c r="A109" i="43" s="1"/>
  <c r="AC43" i="49"/>
  <c r="A43" i="49" s="1"/>
  <c r="AC101" i="49"/>
  <c r="A101" i="49" s="1"/>
  <c r="AC103" i="50"/>
  <c r="A103" i="50" s="1"/>
  <c r="AC94" i="50"/>
  <c r="A94" i="50" s="1"/>
  <c r="AC92" i="50"/>
  <c r="A92" i="50" s="1"/>
  <c r="AC40" i="43"/>
  <c r="A40" i="43" s="1"/>
  <c r="AC46" i="43"/>
  <c r="A46" i="43" s="1"/>
  <c r="AC53" i="43"/>
  <c r="A53" i="43" s="1"/>
  <c r="AC37" i="50"/>
  <c r="A37" i="50" s="1"/>
  <c r="AC45" i="50"/>
  <c r="A45" i="50" s="1"/>
  <c r="AC53" i="50"/>
  <c r="A53" i="50" s="1"/>
  <c r="AC46" i="49"/>
  <c r="A46" i="49" s="1"/>
  <c r="AC40" i="50"/>
  <c r="A40" i="50" s="1"/>
  <c r="AC39" i="43"/>
  <c r="A39" i="43" s="1"/>
  <c r="AC45" i="43"/>
  <c r="A45" i="43" s="1"/>
  <c r="AC42" i="49"/>
  <c r="A42" i="49" s="1"/>
  <c r="AC50" i="49"/>
  <c r="A50" i="49" s="1"/>
  <c r="AC92" i="49"/>
  <c r="A92" i="49" s="1"/>
  <c r="AC100" i="49"/>
  <c r="A100" i="49" s="1"/>
  <c r="AC108" i="49"/>
  <c r="A108" i="49" s="1"/>
  <c r="AC36" i="50"/>
  <c r="A36" i="50" s="1"/>
  <c r="AC44" i="50"/>
  <c r="A44" i="50" s="1"/>
  <c r="AC52" i="50"/>
  <c r="A52" i="50" s="1"/>
  <c r="AC38" i="43"/>
  <c r="A38" i="43" s="1"/>
  <c r="AC44" i="43"/>
  <c r="A44" i="43" s="1"/>
  <c r="AC52" i="43"/>
  <c r="A52" i="43" s="1"/>
  <c r="AC92" i="43"/>
  <c r="A92" i="43" s="1"/>
  <c r="AC96" i="43"/>
  <c r="A96" i="43" s="1"/>
  <c r="AC100" i="43"/>
  <c r="A100" i="43" s="1"/>
  <c r="AC104" i="43"/>
  <c r="AC108" i="43"/>
  <c r="A108" i="43" s="1"/>
  <c r="AC112" i="43"/>
  <c r="A112" i="43" s="1"/>
  <c r="AC41" i="49"/>
  <c r="A41" i="49" s="1"/>
  <c r="AC49" i="49"/>
  <c r="A49" i="49" s="1"/>
  <c r="AC91" i="49"/>
  <c r="A91" i="49" s="1"/>
  <c r="AC99" i="49"/>
  <c r="A99" i="49" s="1"/>
  <c r="AC107" i="49"/>
  <c r="A107" i="49" s="1"/>
  <c r="AC115" i="49"/>
  <c r="A115" i="49" s="1"/>
  <c r="AC35" i="50"/>
  <c r="A35" i="50" s="1"/>
  <c r="AC43" i="50"/>
  <c r="A43" i="50" s="1"/>
  <c r="AC51" i="50"/>
  <c r="A51" i="50" s="1"/>
  <c r="AC93" i="50"/>
  <c r="A93" i="50" s="1"/>
  <c r="AC38" i="49"/>
  <c r="A38" i="49" s="1"/>
  <c r="AC43" i="43"/>
  <c r="A43" i="43" s="1"/>
  <c r="AC40" i="49"/>
  <c r="A40" i="49" s="1"/>
  <c r="AC42" i="50"/>
  <c r="A42" i="50" s="1"/>
  <c r="AC50" i="50"/>
  <c r="A50" i="50" s="1"/>
  <c r="AC100" i="50"/>
  <c r="A100" i="50" s="1"/>
  <c r="AC108" i="50"/>
  <c r="AC54" i="49"/>
  <c r="A54" i="49" s="1"/>
  <c r="AC37" i="43"/>
  <c r="A37" i="43" s="1"/>
  <c r="AC51" i="43"/>
  <c r="A51" i="43" s="1"/>
  <c r="AC36" i="43"/>
  <c r="A36" i="43" s="1"/>
  <c r="AC42" i="43"/>
  <c r="A42" i="43" s="1"/>
  <c r="AC50" i="43"/>
  <c r="A50" i="43" s="1"/>
  <c r="AC91" i="43"/>
  <c r="A91" i="43" s="1"/>
  <c r="AC95" i="43"/>
  <c r="A95" i="43" s="1"/>
  <c r="AC99" i="43"/>
  <c r="A99" i="43" s="1"/>
  <c r="AC103" i="43"/>
  <c r="A103" i="43" s="1"/>
  <c r="AC107" i="43"/>
  <c r="A107" i="43" s="1"/>
  <c r="AC111" i="43"/>
  <c r="A111" i="43" s="1"/>
  <c r="AC115" i="43"/>
  <c r="A115" i="43" s="1"/>
  <c r="AC39" i="49"/>
  <c r="A39" i="49" s="1"/>
  <c r="AC47" i="49"/>
  <c r="A47" i="49" s="1"/>
  <c r="AC89" i="49"/>
  <c r="A89" i="49" s="1"/>
  <c r="AC97" i="49"/>
  <c r="A97" i="49" s="1"/>
  <c r="AC105" i="49"/>
  <c r="A105" i="49" s="1"/>
  <c r="AC113" i="49"/>
  <c r="A113" i="49" s="1"/>
  <c r="AC41" i="50"/>
  <c r="A41" i="50" s="1"/>
  <c r="AC49" i="50"/>
  <c r="A49" i="50" s="1"/>
  <c r="AC91" i="50"/>
  <c r="A91" i="50" s="1"/>
  <c r="AC99" i="50"/>
  <c r="A99" i="50" s="1"/>
  <c r="AC107" i="50"/>
  <c r="A107" i="50" s="1"/>
  <c r="AC41" i="43"/>
  <c r="A41" i="43" s="1"/>
  <c r="AC49" i="43"/>
  <c r="A49" i="43" s="1"/>
  <c r="AC48" i="43"/>
  <c r="A48" i="43" s="1"/>
  <c r="AC37" i="49"/>
  <c r="A37" i="49" s="1"/>
  <c r="AC45" i="49"/>
  <c r="A45" i="49" s="1"/>
  <c r="AC53" i="49"/>
  <c r="A53" i="49" s="1"/>
  <c r="AC111" i="49"/>
  <c r="A111" i="49" s="1"/>
  <c r="AC39" i="50"/>
  <c r="A39" i="50" s="1"/>
  <c r="AC47" i="50"/>
  <c r="A47" i="50" s="1"/>
  <c r="AC89" i="50"/>
  <c r="A89" i="50" s="1"/>
  <c r="AC97" i="50"/>
  <c r="A97" i="50" s="1"/>
  <c r="AC105" i="50"/>
  <c r="A105" i="50" s="1"/>
  <c r="AC48" i="50"/>
  <c r="A48" i="50" s="1"/>
  <c r="AC47" i="43"/>
  <c r="A47" i="43" s="1"/>
  <c r="AC54" i="43"/>
  <c r="A54" i="43" s="1"/>
  <c r="AC36" i="49"/>
  <c r="A36" i="49" s="1"/>
  <c r="AC44" i="49"/>
  <c r="A44" i="49" s="1"/>
  <c r="AC52" i="49"/>
  <c r="A52" i="49" s="1"/>
  <c r="AC94" i="49"/>
  <c r="A94" i="49" s="1"/>
  <c r="AC102" i="49"/>
  <c r="A102" i="49" s="1"/>
  <c r="AC110" i="49"/>
  <c r="A110" i="49" s="1"/>
  <c r="AC38" i="50"/>
  <c r="A38" i="50" s="1"/>
  <c r="AC46" i="50"/>
  <c r="A46" i="50" s="1"/>
  <c r="AC54" i="50"/>
  <c r="A54" i="50" s="1"/>
  <c r="AC88" i="50"/>
  <c r="A88" i="50" s="1"/>
  <c r="AC96" i="50"/>
  <c r="A96" i="50" s="1"/>
  <c r="AC104" i="50"/>
  <c r="A104" i="50" s="1"/>
  <c r="AC112" i="50"/>
  <c r="A112" i="50" s="1"/>
  <c r="AI49" i="43"/>
  <c r="AI53" i="43"/>
  <c r="A109" i="50"/>
  <c r="A110" i="50"/>
  <c r="AG96" i="49"/>
  <c r="A115" i="50"/>
  <c r="AI41" i="43"/>
  <c r="AI39" i="43"/>
  <c r="A94" i="43"/>
  <c r="A113" i="50"/>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112"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U88" i="49"/>
  <c r="AS88" i="49"/>
  <c r="AT88" i="49"/>
  <c r="AY89" i="49"/>
  <c r="AW89" i="49"/>
  <c r="AX89" i="49"/>
  <c r="AS93" i="49"/>
  <c r="AT93" i="49"/>
  <c r="AG93" i="49"/>
  <c r="AU93" i="49"/>
  <c r="AI94" i="49"/>
  <c r="AS94" i="49"/>
  <c r="AG94" i="49"/>
  <c r="AT94" i="49"/>
  <c r="AU94" i="49"/>
  <c r="AU95" i="49"/>
  <c r="AG95" i="49"/>
  <c r="AS95" i="49"/>
  <c r="AT95"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106"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104"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114"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0" i="6"/>
  <c r="M50" i="6"/>
  <c r="M44" i="6"/>
  <c r="M45" i="6"/>
  <c r="Q116" i="50" l="1"/>
  <c r="AH42" i="6" s="1"/>
  <c r="H41" i="6" s="1"/>
  <c r="AB42" i="6"/>
  <c r="AD42"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2" i="6" s="1"/>
  <c r="J41" i="6" s="1"/>
  <c r="AA116" i="50"/>
  <c r="AR42" i="6" s="1"/>
  <c r="K41" i="6" s="1"/>
  <c r="AC116" i="50"/>
  <c r="AW42" i="6" s="1"/>
  <c r="N41" i="6" s="1"/>
  <c r="U55" i="49"/>
  <c r="AL19" i="6" s="1"/>
  <c r="Q55" i="49"/>
  <c r="AG19" i="6" s="1"/>
  <c r="AC55" i="49"/>
  <c r="Q55" i="50"/>
  <c r="AH23" i="6" s="1"/>
  <c r="U55" i="50"/>
  <c r="AM23" i="6" s="1"/>
  <c r="AA40" i="6"/>
  <c r="AA116" i="49"/>
  <c r="AQ40" i="6" s="1"/>
  <c r="Q116" i="49"/>
  <c r="AG40" i="6" s="1"/>
  <c r="U116" i="49"/>
  <c r="AL40" i="6" s="1"/>
  <c r="AC116" i="49"/>
  <c r="AV40" i="6" s="1"/>
  <c r="AQ19" i="6"/>
  <c r="AG37" i="49"/>
  <c r="AG51" i="43"/>
  <c r="AG100" i="49"/>
  <c r="AG69" i="49" s="1"/>
  <c r="AG47" i="49"/>
  <c r="K42" i="6" l="1"/>
  <c r="J42" i="6"/>
  <c r="H42" i="6"/>
  <c r="AG16" i="50"/>
  <c r="AL21" i="6"/>
  <c r="J20" i="6" s="1"/>
  <c r="J21" i="6" s="1"/>
  <c r="AV19" i="6"/>
  <c r="AV21" i="6"/>
  <c r="N20" i="6" s="1"/>
  <c r="K21" i="6"/>
  <c r="AG21" i="6"/>
  <c r="H20" i="6" s="1"/>
  <c r="H21" i="6" s="1"/>
  <c r="AG16" i="49"/>
  <c r="N42" i="6" l="1"/>
  <c r="N21" i="6"/>
  <c r="T25" i="5"/>
  <c r="C59" i="15" l="1"/>
  <c r="C60" i="15"/>
  <c r="N20" i="30" l="1"/>
  <c r="M20" i="30"/>
  <c r="N11" i="30"/>
  <c r="M11" i="30"/>
  <c r="D65" i="30"/>
  <c r="T114" i="5"/>
  <c r="T44" i="5" s="1"/>
  <c r="T47" i="5" s="1"/>
  <c r="F44" i="15"/>
  <c r="D23" i="15"/>
  <c r="D22" i="15"/>
  <c r="D21" i="15"/>
  <c r="D20" i="15"/>
  <c r="D25" i="15"/>
  <c r="E31" i="14"/>
  <c r="M126" i="33"/>
  <c r="M87" i="6"/>
  <c r="M76" i="6"/>
  <c r="M58" i="6"/>
  <c r="M46" i="6"/>
  <c r="M48" i="6"/>
  <c r="AB5" i="43"/>
  <c r="H42" i="5"/>
  <c r="H41" i="5"/>
  <c r="H39" i="5"/>
  <c r="H36" i="5"/>
  <c r="H35" i="5"/>
  <c r="C18" i="5"/>
  <c r="C19" i="5"/>
  <c r="D71" i="4"/>
  <c r="D67" i="4"/>
  <c r="D44" i="4"/>
  <c r="AI69" i="2"/>
  <c r="B70" i="2"/>
  <c r="M23" i="30"/>
  <c r="N23" i="30"/>
  <c r="D74" i="30"/>
  <c r="D77" i="30"/>
  <c r="L5" i="33"/>
  <c r="M64" i="33"/>
  <c r="B66" i="33"/>
  <c r="D87" i="33"/>
  <c r="D88" i="33"/>
  <c r="D89"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F39" i="15"/>
  <c r="F41" i="15"/>
  <c r="F46" i="15"/>
  <c r="Q46" i="15"/>
  <c r="F49" i="15"/>
  <c r="D61" i="15"/>
  <c r="D63" i="15"/>
  <c r="H74" i="15"/>
  <c r="H85" i="15"/>
  <c r="H86" i="15"/>
  <c r="G88" i="15"/>
  <c r="G89" i="15"/>
  <c r="Q92" i="15"/>
  <c r="L96" i="15"/>
  <c r="Q96" i="15"/>
  <c r="N10" i="3"/>
  <c r="N49" i="3"/>
  <c r="L51" i="3"/>
  <c r="L53" i="3"/>
  <c r="L54" i="3"/>
  <c r="D55" i="3"/>
  <c r="N55" i="3"/>
  <c r="N61" i="3"/>
  <c r="I43" i="4"/>
  <c r="AD53" i="2" s="1"/>
  <c r="I66" i="4"/>
  <c r="AD54" i="2" s="1"/>
  <c r="D82" i="4"/>
  <c r="R3" i="5"/>
  <c r="H31" i="5"/>
  <c r="S31" i="5"/>
  <c r="S32" i="5"/>
  <c r="H33" i="5"/>
  <c r="H34" i="5"/>
  <c r="S36" i="5"/>
  <c r="U64" i="5"/>
  <c r="T26" i="5"/>
  <c r="C93" i="5"/>
  <c r="M3" i="6"/>
  <c r="B24" i="6"/>
  <c r="M24" i="6" s="1"/>
  <c r="B25" i="6"/>
  <c r="M26" i="6" s="1"/>
  <c r="B27" i="6"/>
  <c r="M28" i="6" s="1"/>
  <c r="S91" i="6"/>
  <c r="D88" i="6"/>
  <c r="S48" i="37"/>
  <c r="M47" i="37"/>
  <c r="S50" i="37"/>
  <c r="M50" i="37"/>
  <c r="N50" i="37"/>
  <c r="S51" i="37"/>
  <c r="S52" i="37"/>
  <c r="M53" i="37"/>
  <c r="M54" i="37"/>
  <c r="M56" i="37"/>
  <c r="O74" i="37"/>
  <c r="K76" i="37"/>
  <c r="I79" i="37"/>
  <c r="K80" i="37"/>
  <c r="M81" i="37"/>
  <c r="K82" i="37"/>
  <c r="K83" i="37"/>
  <c r="M84" i="37"/>
  <c r="K85" i="37"/>
  <c r="M86" i="37"/>
  <c r="K87" i="37"/>
  <c r="O88" i="37"/>
  <c r="O89" i="37"/>
  <c r="E91" i="37"/>
  <c r="E92" i="37"/>
  <c r="K92" i="37"/>
  <c r="E93" i="37"/>
  <c r="M94" i="37"/>
  <c r="K95" i="37"/>
  <c r="K96" i="37"/>
  <c r="M102" i="37"/>
  <c r="M103" i="37"/>
  <c r="K105" i="37"/>
  <c r="K106" i="37"/>
  <c r="M107" i="37"/>
  <c r="O121" i="37"/>
  <c r="K123" i="37"/>
  <c r="I124" i="37"/>
  <c r="I125" i="37"/>
  <c r="K126" i="37"/>
  <c r="M127" i="37"/>
  <c r="O128" i="37"/>
  <c r="M130" i="37"/>
  <c r="M131" i="37"/>
  <c r="O132" i="37"/>
  <c r="O134" i="37"/>
  <c r="O135" i="37"/>
  <c r="O137" i="37"/>
  <c r="O141" i="37"/>
  <c r="W3" i="23"/>
  <c r="B5" i="23"/>
  <c r="C3" i="40"/>
  <c r="C4" i="40"/>
  <c r="C5" i="40"/>
  <c r="D5" i="40"/>
  <c r="C8" i="40"/>
  <c r="C9" i="40"/>
  <c r="C10" i="40"/>
  <c r="D10" i="40"/>
  <c r="G21" i="40" l="1"/>
  <c r="G44" i="4"/>
  <c r="G67" i="4"/>
  <c r="M13" i="30"/>
  <c r="M4" i="30"/>
  <c r="C83" i="1"/>
  <c r="C76" i="1"/>
  <c r="C69" i="1"/>
  <c r="C77" i="1"/>
  <c r="C86" i="1"/>
  <c r="C79" i="1"/>
  <c r="C75" i="1"/>
  <c r="C85" i="1"/>
  <c r="C78" i="1"/>
  <c r="C74" i="1"/>
  <c r="Z51" i="2" s="1"/>
  <c r="C71" i="1"/>
  <c r="C73" i="1"/>
  <c r="C70" i="1"/>
  <c r="C66" i="1"/>
  <c r="C72" i="1"/>
  <c r="V72" i="59" s="1"/>
  <c r="V76" i="59" s="1"/>
  <c r="O79" i="59" s="1"/>
  <c r="C84" i="1"/>
  <c r="C68" i="1"/>
  <c r="C64" i="1"/>
  <c r="AD43" i="2" s="1"/>
  <c r="C65" i="1"/>
  <c r="Z82" i="2" s="1"/>
  <c r="L84" i="13"/>
  <c r="Q60" i="15"/>
  <c r="L60" i="15"/>
  <c r="O15" i="12"/>
  <c r="R29" i="12" s="1"/>
  <c r="T27" i="5"/>
  <c r="T29" i="5" s="1"/>
  <c r="T48" i="5" s="1"/>
  <c r="L91" i="15"/>
  <c r="AG16" i="43"/>
  <c r="A116" i="43"/>
  <c r="A55" i="43"/>
  <c r="X79" i="15" l="1"/>
  <c r="AK51" i="2"/>
  <c r="I74" i="15"/>
  <c r="AA53" i="5"/>
  <c r="AA55" i="5" s="1"/>
  <c r="AA58" i="5" s="1"/>
  <c r="AA65" i="5" s="1"/>
  <c r="AM24" i="97"/>
  <c r="I22" i="40"/>
  <c r="G14" i="14"/>
  <c r="AL34" i="91"/>
  <c r="AM35" i="91" s="1"/>
  <c r="AL142" i="91"/>
  <c r="AM143" i="91" s="1"/>
  <c r="AM49" i="23"/>
  <c r="AM113" i="23" s="1"/>
  <c r="AM47" i="23"/>
  <c r="AM111" i="23" s="1"/>
  <c r="D62" i="30"/>
  <c r="J53" i="12"/>
  <c r="L29" i="12"/>
  <c r="J50" i="13"/>
  <c r="J51" i="13" s="1"/>
  <c r="J54" i="13" s="1"/>
  <c r="J57" i="13" s="1"/>
  <c r="L58" i="13" s="1"/>
  <c r="L62" i="13" s="1"/>
  <c r="Q55" i="43"/>
  <c r="AF19" i="6" s="1"/>
  <c r="H18" i="6" s="1"/>
  <c r="Z19" i="6"/>
  <c r="AD19" i="6" s="1"/>
  <c r="D59" i="30"/>
  <c r="E59" i="30"/>
  <c r="AD56" i="2" s="1"/>
  <c r="I27" i="1"/>
  <c r="L6" i="1" s="1"/>
  <c r="AC116" i="43"/>
  <c r="AU38" i="6" s="1"/>
  <c r="N37" i="6" s="1"/>
  <c r="Z38" i="6"/>
  <c r="AD38" i="6" s="1"/>
  <c r="Z23" i="6"/>
  <c r="AD23" i="6" s="1"/>
  <c r="U55" i="43"/>
  <c r="AC55" i="43"/>
  <c r="AU19" i="6" s="1"/>
  <c r="N18" i="6" s="1"/>
  <c r="AA55" i="43"/>
  <c r="Z40" i="6"/>
  <c r="AD40" i="6" s="1"/>
  <c r="U116" i="43"/>
  <c r="Q116" i="43"/>
  <c r="AA116" i="43"/>
  <c r="D61" i="30"/>
  <c r="D63" i="30"/>
  <c r="D78" i="30"/>
  <c r="BB108" i="2"/>
  <c r="AZ15" i="2" s="1"/>
  <c r="E68" i="30"/>
  <c r="D68" i="30"/>
  <c r="E76" i="30"/>
  <c r="D76" i="30"/>
  <c r="E61" i="30"/>
  <c r="D58" i="30"/>
  <c r="E58" i="30"/>
  <c r="E69" i="30"/>
  <c r="D69" i="30"/>
  <c r="D64" i="30"/>
  <c r="E64" i="30"/>
  <c r="D73" i="30"/>
  <c r="E73" i="30"/>
  <c r="D75" i="30"/>
  <c r="E75" i="30"/>
  <c r="E70" i="30"/>
  <c r="D70" i="30"/>
  <c r="E67" i="30"/>
  <c r="D67" i="30"/>
  <c r="O5" i="12"/>
  <c r="L26" i="12" s="1"/>
  <c r="E63" i="30"/>
  <c r="AU23" i="6"/>
  <c r="N22" i="6" s="1"/>
  <c r="AF23" i="6"/>
  <c r="H22" i="6" s="1"/>
  <c r="AG69" i="43"/>
  <c r="AU40" i="6" l="1"/>
  <c r="N39" i="6" s="1"/>
  <c r="AL36" i="91"/>
  <c r="X50" i="91"/>
  <c r="AE75" i="91" s="1"/>
  <c r="AE147" i="91"/>
  <c r="AE25" i="97"/>
  <c r="AE39" i="91"/>
  <c r="X158" i="91"/>
  <c r="AE183" i="91" s="1"/>
  <c r="AM53" i="2"/>
  <c r="O56" i="2" s="1"/>
  <c r="AM145" i="91"/>
  <c r="AM141" i="91"/>
  <c r="AL144" i="91"/>
  <c r="AM37" i="91"/>
  <c r="AM33" i="91"/>
  <c r="E62" i="30"/>
  <c r="Z83" i="2" s="1"/>
  <c r="O20" i="3"/>
  <c r="I58" i="30"/>
  <c r="C60" i="12"/>
  <c r="B60" i="12" s="1"/>
  <c r="C58" i="12"/>
  <c r="B58" i="12" s="1"/>
  <c r="C31" i="12"/>
  <c r="C33" i="12"/>
  <c r="J67" i="1"/>
  <c r="AC43" i="80" s="1"/>
  <c r="O57" i="2"/>
  <c r="C30" i="1"/>
  <c r="AY58" i="2"/>
  <c r="H23" i="6"/>
  <c r="J15" i="14"/>
  <c r="E78" i="30"/>
  <c r="L68" i="13"/>
  <c r="L71" i="13" s="1"/>
  <c r="AN16" i="2"/>
  <c r="AZ109" i="2"/>
  <c r="AZ110" i="2" s="1"/>
  <c r="V114" i="59"/>
  <c r="K28" i="59"/>
  <c r="AC59" i="2"/>
  <c r="AK19" i="6"/>
  <c r="AK23" i="6"/>
  <c r="J22" i="6" s="1"/>
  <c r="J23" i="6" s="1"/>
  <c r="AP19" i="6"/>
  <c r="AP23" i="6"/>
  <c r="K22" i="6" s="1"/>
  <c r="K23" i="6" s="1"/>
  <c r="AK38" i="6"/>
  <c r="AK40" i="6"/>
  <c r="J39" i="6" s="1"/>
  <c r="J40" i="6" s="1"/>
  <c r="AP40" i="6"/>
  <c r="K39" i="6" s="1"/>
  <c r="K40" i="6" s="1"/>
  <c r="AP38" i="6"/>
  <c r="AF38" i="6"/>
  <c r="AF40" i="6"/>
  <c r="H39" i="6" s="1"/>
  <c r="H40" i="6" s="1"/>
  <c r="H19" i="6"/>
  <c r="Q51" i="91" l="1"/>
  <c r="AE53" i="91" s="1"/>
  <c r="Z53" i="91" s="1"/>
  <c r="X57" i="91" s="1"/>
  <c r="AE60" i="91" s="1"/>
  <c r="AE65" i="91" s="1"/>
  <c r="C95" i="59"/>
  <c r="AE185" i="91"/>
  <c r="AE187" i="91" s="1"/>
  <c r="V97" i="59"/>
  <c r="AE33" i="97"/>
  <c r="AE45" i="97" s="1"/>
  <c r="Q159" i="91"/>
  <c r="AL50" i="91"/>
  <c r="AL40" i="91" s="1"/>
  <c r="B62" i="12"/>
  <c r="L65" i="12" s="1"/>
  <c r="J37" i="12"/>
  <c r="L25" i="12"/>
  <c r="L74" i="12"/>
  <c r="J37" i="6"/>
  <c r="J38" i="6" s="1"/>
  <c r="K37" i="6"/>
  <c r="K38" i="6" s="1"/>
  <c r="H37" i="6"/>
  <c r="H38" i="6" s="1"/>
  <c r="K18" i="6"/>
  <c r="K19" i="6" s="1"/>
  <c r="J18" i="6"/>
  <c r="J19" i="6" s="1"/>
  <c r="O24" i="3"/>
  <c r="S24" i="3"/>
  <c r="N23" i="6"/>
  <c r="N40" i="6"/>
  <c r="X55" i="91" l="1"/>
  <c r="M24" i="3"/>
  <c r="O25" i="3" s="1"/>
  <c r="M27" i="3" s="1"/>
  <c r="M29" i="3" s="1"/>
  <c r="O32" i="3" s="1"/>
  <c r="O62" i="3" s="1"/>
  <c r="AE46" i="97"/>
  <c r="AE51" i="97" s="1"/>
  <c r="AE64" i="97"/>
  <c r="O98" i="59"/>
  <c r="AE161" i="91"/>
  <c r="Z161" i="91" s="1"/>
  <c r="AL159" i="91"/>
  <c r="AL41" i="91"/>
  <c r="J8" i="87"/>
  <c r="J27" i="87"/>
  <c r="J26" i="87"/>
  <c r="J7" i="87"/>
  <c r="J65" i="12"/>
  <c r="J71" i="12" s="1"/>
  <c r="C75" i="12" s="1"/>
  <c r="C77" i="12" s="1"/>
  <c r="L77" i="12"/>
  <c r="L39" i="12"/>
  <c r="J38" i="12"/>
  <c r="N38" i="6"/>
  <c r="N50" i="6" s="1"/>
  <c r="N19" i="6"/>
  <c r="N30" i="6" s="1"/>
  <c r="N54" i="37" s="1"/>
  <c r="N56" i="37" s="1"/>
  <c r="Q22" i="15"/>
  <c r="AE58" i="91" l="1"/>
  <c r="AE59" i="91" s="1"/>
  <c r="AE77" i="91"/>
  <c r="AE79" i="91" s="1"/>
  <c r="AM79" i="91" s="1"/>
  <c r="AA52" i="37"/>
  <c r="W60" i="37" s="1"/>
  <c r="AE52" i="97"/>
  <c r="AE55" i="97" s="1"/>
  <c r="T53" i="5" s="1"/>
  <c r="AE65" i="97"/>
  <c r="AL148" i="91"/>
  <c r="AL149" i="91"/>
  <c r="X165" i="91"/>
  <c r="AE168" i="91" s="1"/>
  <c r="AE173" i="91" s="1"/>
  <c r="AM164" i="91" s="1"/>
  <c r="X163" i="91"/>
  <c r="AM56" i="91"/>
  <c r="C43" i="12"/>
  <c r="J43" i="12" s="1"/>
  <c r="L79" i="12" s="1"/>
  <c r="AC11" i="78" s="1"/>
  <c r="C41" i="12"/>
  <c r="N58" i="6"/>
  <c r="AB52" i="37" l="1"/>
  <c r="W61" i="37" s="1"/>
  <c r="N57" i="6"/>
  <c r="R9" i="98" s="1"/>
  <c r="C9" i="98" s="1"/>
  <c r="T170" i="5"/>
  <c r="T56" i="5"/>
  <c r="O88" i="6"/>
  <c r="S92" i="6" s="1"/>
  <c r="A64" i="6"/>
  <c r="A62" i="6"/>
  <c r="A60" i="6"/>
  <c r="AE166" i="91"/>
  <c r="AE167" i="91" s="1"/>
  <c r="AM187" i="91"/>
  <c r="AD55" i="2" s="1"/>
  <c r="AM43" i="2" s="1"/>
  <c r="O55" i="2" s="1"/>
  <c r="J32" i="98"/>
  <c r="X121" i="98"/>
  <c r="X123" i="98" s="1"/>
  <c r="AC20" i="33"/>
  <c r="AA78" i="37"/>
  <c r="AA80" i="37" s="1"/>
  <c r="AA81" i="37" s="1"/>
  <c r="AC111" i="33"/>
  <c r="W55" i="37" l="1"/>
  <c r="AK80" i="23"/>
  <c r="AK81" i="23" s="1"/>
  <c r="Y68" i="5"/>
  <c r="Y67" i="5"/>
  <c r="AC14" i="78" s="1"/>
  <c r="AK20" i="23"/>
  <c r="AK21" i="23" s="1"/>
  <c r="AL47" i="23"/>
  <c r="AM33" i="23" s="1"/>
  <c r="J36" i="67"/>
  <c r="AM48" i="23"/>
  <c r="AM112" i="23" s="1"/>
  <c r="Y181" i="5"/>
  <c r="AD59" i="2"/>
  <c r="AM41" i="23"/>
  <c r="O87" i="6"/>
  <c r="A68" i="6"/>
  <c r="A70" i="6" s="1"/>
  <c r="C70" i="6" s="1"/>
  <c r="X124" i="98"/>
  <c r="AK55" i="2"/>
  <c r="AM54" i="2" s="1"/>
  <c r="S68" i="37"/>
  <c r="AL93" i="23" l="1"/>
  <c r="AM93" i="23"/>
  <c r="Y182" i="5"/>
  <c r="W173" i="5"/>
  <c r="W174" i="5"/>
  <c r="W172" i="5"/>
  <c r="AL33" i="23"/>
  <c r="AL111" i="23"/>
  <c r="W58" i="5"/>
  <c r="Y69" i="5"/>
  <c r="W60" i="5"/>
  <c r="W59" i="5"/>
  <c r="A94" i="6"/>
  <c r="C68" i="6"/>
  <c r="N73" i="6" s="1"/>
  <c r="C13" i="98" s="1"/>
  <c r="R14" i="98" s="1"/>
  <c r="V90" i="98"/>
  <c r="V91" i="98" s="1"/>
  <c r="U34" i="98"/>
  <c r="AC39" i="82"/>
  <c r="R11" i="98"/>
  <c r="C11" i="98" s="1"/>
  <c r="AN93" i="23" l="1"/>
  <c r="X80" i="23" s="1"/>
  <c r="X81" i="23" s="1"/>
  <c r="AN33" i="23"/>
  <c r="X20" i="23"/>
  <c r="X21" i="23" s="1"/>
  <c r="A79" i="6"/>
  <c r="R10" i="98" s="1"/>
  <c r="W52" i="37"/>
  <c r="W54" i="37" s="1"/>
  <c r="A97" i="6"/>
  <c r="C97" i="6" s="1"/>
  <c r="C94" i="6"/>
  <c r="X125" i="98"/>
  <c r="X126" i="98" s="1"/>
  <c r="X127" i="98" s="1"/>
  <c r="Y155" i="98"/>
  <c r="S129" i="37"/>
  <c r="AA82" i="37"/>
  <c r="AA83" i="37" s="1"/>
  <c r="AA84" i="37" s="1"/>
  <c r="AB112" i="37"/>
  <c r="R49" i="33"/>
  <c r="AC109" i="33"/>
  <c r="W57" i="37" l="1"/>
  <c r="S63" i="37"/>
  <c r="X83" i="23"/>
  <c r="AK85" i="23" s="1"/>
  <c r="X86" i="23" s="1"/>
  <c r="AK84" i="23" s="1"/>
  <c r="AB84" i="23" s="1"/>
  <c r="AL106" i="23"/>
  <c r="A82" i="6"/>
  <c r="C82" i="6" s="1"/>
  <c r="C10" i="98"/>
  <c r="AE12" i="23"/>
  <c r="AB10" i="23" s="1"/>
  <c r="X23" i="23"/>
  <c r="AI60" i="78"/>
  <c r="AL41" i="23"/>
  <c r="AI39" i="59" s="1"/>
  <c r="C79" i="6"/>
  <c r="B37" i="33"/>
  <c r="L36" i="33"/>
  <c r="S95" i="23" l="1"/>
  <c r="X98" i="23" s="1"/>
  <c r="AJ98" i="23" s="1"/>
  <c r="AJ100" i="23" s="1"/>
  <c r="AB86" i="23"/>
  <c r="AB85" i="23"/>
  <c r="X90" i="23"/>
  <c r="R30" i="52" s="1"/>
  <c r="AM107" i="23"/>
  <c r="AM108" i="23" s="1"/>
  <c r="AK36" i="59" s="1"/>
  <c r="AK38" i="59" s="1"/>
  <c r="AL107" i="23"/>
  <c r="AL108" i="23" s="1"/>
  <c r="AI36" i="59" s="1"/>
  <c r="AJ59" i="78"/>
  <c r="AJ60" i="78"/>
  <c r="AK25" i="23"/>
  <c r="AK24" i="23"/>
  <c r="S35" i="23" s="1"/>
  <c r="X38" i="23" s="1"/>
  <c r="AJ38" i="23" s="1"/>
  <c r="AJ40" i="23" s="1"/>
  <c r="B40" i="33"/>
  <c r="L45" i="33" s="1"/>
  <c r="L38" i="33"/>
  <c r="AJ97" i="23" l="1"/>
  <c r="AJ102" i="23"/>
  <c r="P92" i="23"/>
  <c r="B46" i="33"/>
  <c r="S94" i="23" l="1"/>
  <c r="S93" i="23"/>
  <c r="S92" i="23"/>
  <c r="X99" i="23"/>
  <c r="AJ99" i="23" s="1"/>
  <c r="L47" i="33"/>
  <c r="B48" i="33"/>
  <c r="AJ101" i="23" l="1"/>
  <c r="X100" i="23" s="1"/>
  <c r="AJ104" i="23"/>
  <c r="C70" i="33"/>
  <c r="D54" i="33"/>
  <c r="E53" i="33"/>
  <c r="L52" i="33"/>
  <c r="B56" i="33"/>
  <c r="L56" i="33" l="1"/>
  <c r="C57" i="33" s="1"/>
  <c r="B57" i="33"/>
  <c r="B58" i="33" l="1"/>
  <c r="L62" i="33" s="1"/>
  <c r="L57" i="33"/>
  <c r="C122" i="33" l="1"/>
  <c r="B72" i="33"/>
  <c r="L75" i="33" s="1"/>
  <c r="L71" i="33"/>
  <c r="B76" i="33" l="1"/>
  <c r="L77" i="33" s="1"/>
  <c r="B78" i="33" l="1"/>
  <c r="L81" i="33" s="1"/>
  <c r="B82" i="33" l="1"/>
  <c r="L82" i="33" l="1"/>
  <c r="C83" i="33" s="1"/>
  <c r="B83" i="33"/>
  <c r="B84" i="33" l="1"/>
  <c r="L83" i="33"/>
  <c r="C85" i="33" l="1"/>
  <c r="I84" i="33"/>
  <c r="C84" i="33"/>
  <c r="L85" i="33"/>
  <c r="B86" i="33"/>
  <c r="L88" i="33" s="1"/>
  <c r="B90"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AW11" i="2" l="1"/>
  <c r="C2" i="87" l="1"/>
  <c r="B8" i="102"/>
  <c r="B9" i="62"/>
  <c r="C2" i="30"/>
  <c r="B2" i="1"/>
  <c r="C2" i="40"/>
  <c r="AY11" i="2"/>
  <c r="B121" i="91" l="1"/>
  <c r="B198" i="62"/>
  <c r="B7" i="23"/>
  <c r="C21" i="87"/>
  <c r="B13" i="91"/>
  <c r="B67" i="23"/>
  <c r="B71" i="71"/>
  <c r="B10" i="71"/>
  <c r="C61" i="69"/>
  <c r="C31" i="69"/>
  <c r="C2" i="69"/>
  <c r="C29" i="30"/>
  <c r="B33" i="1"/>
  <c r="C7" i="40"/>
  <c r="AC110" i="33" l="1"/>
  <c r="AC112" i="33" s="1"/>
  <c r="W194" i="68" l="1"/>
  <c r="W204" i="68"/>
  <c r="W216" i="68"/>
  <c r="W201" i="68"/>
  <c r="W214" i="68"/>
  <c r="B4" i="52" l="1"/>
  <c r="C31" i="70" l="1"/>
  <c r="B9" i="59"/>
  <c r="B14" i="52"/>
  <c r="B11" i="76"/>
  <c r="B11" i="43"/>
  <c r="C60" i="70"/>
  <c r="B8" i="79"/>
  <c r="B21" i="4"/>
  <c r="B11" i="50"/>
  <c r="B8" i="6"/>
  <c r="B10" i="58"/>
  <c r="B64" i="50"/>
  <c r="B16" i="74"/>
  <c r="B276" i="74"/>
  <c r="B11" i="53"/>
  <c r="B8" i="78"/>
  <c r="B147" i="74"/>
  <c r="B64" i="43"/>
  <c r="B8" i="80"/>
  <c r="B11" i="49"/>
  <c r="B123" i="59"/>
  <c r="C89" i="70"/>
  <c r="C2" i="70"/>
  <c r="B64" i="49"/>
  <c r="B10" i="33"/>
  <c r="BE21" i="84"/>
  <c r="BE24" i="84" s="1"/>
  <c r="I24" i="84" s="1"/>
  <c r="BH42" i="58" l="1"/>
  <c r="X20" i="58" s="1"/>
  <c r="AR392" i="74" l="1"/>
  <c r="AR261" i="74"/>
  <c r="AR29" i="74" l="1"/>
  <c r="AR263" i="74" l="1"/>
  <c r="AI114" i="71" l="1"/>
  <c r="AI111" i="71"/>
  <c r="AI107" i="71"/>
  <c r="AI113" i="71"/>
  <c r="AI112" i="71"/>
  <c r="AI110" i="71"/>
  <c r="AI109" i="71" l="1"/>
  <c r="AI106" i="71"/>
  <c r="AI108" i="71"/>
  <c r="AI115" i="71" l="1"/>
  <c r="AI116" i="71" s="1"/>
  <c r="AF115" i="71"/>
  <c r="AF116" i="71" s="1"/>
  <c r="AF96" i="71"/>
  <c r="AF97" i="71" s="1"/>
  <c r="M85" i="71" s="1"/>
  <c r="M89" i="71" s="1"/>
  <c r="M92" i="71" s="1"/>
  <c r="V31" i="71" l="1"/>
  <c r="M95" i="71"/>
  <c r="M99" i="71" s="1"/>
  <c r="M101" i="71" l="1"/>
  <c r="O102" i="71" l="1"/>
  <c r="O104" i="71"/>
  <c r="O105" i="71"/>
  <c r="K136" i="71"/>
  <c r="AC56" i="78" s="1"/>
  <c r="L30" i="15" l="1"/>
  <c r="AL377" i="74"/>
  <c r="AL381" i="74" s="1"/>
  <c r="AL384" i="74" l="1"/>
  <c r="AR389" i="74" s="1"/>
  <c r="AR257" i="74"/>
  <c r="AR388" i="74" l="1"/>
  <c r="AR386" i="74"/>
  <c r="B66" i="68" l="1"/>
  <c r="W196" i="68" l="1"/>
  <c r="I86" i="15" l="1"/>
  <c r="B58" i="68" l="1"/>
  <c r="B67" i="68" l="1"/>
  <c r="W67" i="68" l="1"/>
  <c r="AL240" i="74" l="1"/>
  <c r="AL252" i="74" l="1"/>
  <c r="AL255" i="74"/>
  <c r="AR259" i="74" l="1"/>
  <c r="AR258" i="74"/>
  <c r="AR26" i="74" s="1"/>
  <c r="T93" i="90" l="1"/>
  <c r="X19" i="90" l="1"/>
  <c r="X21" i="90" s="1"/>
  <c r="AE20" i="90" l="1"/>
  <c r="AE53" i="90" l="1"/>
  <c r="AE27" i="90"/>
  <c r="X46" i="90"/>
  <c r="X45" i="90" s="1"/>
  <c r="X48" i="90" s="1"/>
  <c r="AE52" i="90" s="1"/>
  <c r="AE35" i="90"/>
  <c r="AX48" i="90" s="1"/>
  <c r="AE38" i="90"/>
  <c r="AE39" i="90" s="1"/>
  <c r="X44" i="90"/>
  <c r="X41" i="90"/>
  <c r="X24" i="90"/>
  <c r="AE31" i="90" s="1"/>
  <c r="AE33" i="90" s="1"/>
  <c r="Z89" i="2" s="1"/>
  <c r="AX47" i="90" l="1"/>
  <c r="AX49" i="90" s="1"/>
  <c r="AH56" i="23" l="1"/>
  <c r="AR133" i="74" l="1"/>
  <c r="AR31" i="74" s="1"/>
  <c r="Q30" i="15"/>
  <c r="Q33" i="15" s="1"/>
  <c r="L33" i="15"/>
  <c r="AR132" i="74"/>
  <c r="AR30" i="74" s="1"/>
  <c r="Q44" i="15" l="1"/>
  <c r="Q58" i="15" s="1"/>
  <c r="Q63" i="15" s="1"/>
  <c r="C36" i="15"/>
  <c r="C33" i="15"/>
  <c r="Q45" i="15"/>
  <c r="L44" i="15"/>
  <c r="AA90" i="37"/>
  <c r="L57" i="15" l="1"/>
  <c r="Q57" i="15" s="1"/>
  <c r="L58" i="15"/>
  <c r="L63" i="15" s="1"/>
  <c r="G92" i="15" s="1"/>
  <c r="L99" i="15" s="1"/>
  <c r="AA87" i="37"/>
  <c r="AB94" i="37" s="1"/>
  <c r="AA89" i="37"/>
  <c r="AA85" i="37"/>
  <c r="AA91" i="37" s="1"/>
  <c r="X124" i="37"/>
  <c r="Q99" i="15" l="1"/>
  <c r="AA92" i="37"/>
  <c r="X117" i="37" s="1"/>
  <c r="AA97" i="37"/>
  <c r="AA98" i="37" s="1"/>
  <c r="AA94" i="37"/>
  <c r="AA88" i="37"/>
  <c r="AB124" i="37"/>
  <c r="AB125" i="37"/>
  <c r="Z124" i="37"/>
  <c r="Z125" i="37"/>
  <c r="AA124" i="37"/>
  <c r="AA125" i="37"/>
  <c r="Y125" i="37"/>
  <c r="Y124" i="37"/>
  <c r="L102" i="15" l="1"/>
  <c r="AC65" i="78" s="1"/>
  <c r="X126" i="37"/>
  <c r="AB127" i="37" s="1"/>
  <c r="AA122" i="37" s="1"/>
  <c r="X127" i="37"/>
  <c r="AA93" i="37"/>
  <c r="Z118" i="37"/>
  <c r="AA95" i="37" l="1"/>
  <c r="AA99" i="37"/>
  <c r="AA100" i="37" s="1"/>
  <c r="AA101" i="37" s="1"/>
  <c r="AA102" i="37" s="1"/>
  <c r="AA118" i="37"/>
  <c r="AB117" i="37"/>
  <c r="AA117" i="37"/>
  <c r="Z117" i="37"/>
  <c r="AB118" i="37"/>
  <c r="Y117" i="37"/>
  <c r="Y118" i="37"/>
  <c r="X120" i="37" l="1"/>
  <c r="X119" i="37"/>
  <c r="AB120" i="37" s="1"/>
  <c r="AA115" i="37" s="1"/>
  <c r="AA96" i="37"/>
  <c r="AA103" i="37"/>
  <c r="AB103" i="37" s="1"/>
  <c r="AA112" i="37" l="1"/>
  <c r="AA108" i="37"/>
  <c r="AA107" i="37"/>
  <c r="AA104" i="37"/>
  <c r="AA105" i="37" s="1"/>
  <c r="AA114" i="37"/>
  <c r="AA106" i="37"/>
  <c r="AA113" i="37"/>
  <c r="AA109" i="37"/>
  <c r="AA111" i="37"/>
  <c r="AA110" i="37"/>
  <c r="AA121" i="37" l="1"/>
  <c r="AK40" i="23" l="1"/>
  <c r="AK22" i="23" l="1"/>
  <c r="X26" i="23" l="1"/>
  <c r="AR130" i="74" l="1"/>
  <c r="AR28" i="74" s="1"/>
  <c r="X30" i="23"/>
  <c r="R29" i="52" s="1"/>
  <c r="P32" i="23" l="1"/>
  <c r="S32" i="23" s="1"/>
  <c r="AB26" i="23"/>
  <c r="AB25" i="23"/>
  <c r="AB24" i="23"/>
  <c r="X41" i="23" l="1"/>
  <c r="S34" i="23"/>
  <c r="S33" i="23"/>
  <c r="AL10" i="80" l="1"/>
  <c r="AN123" i="23" l="1"/>
  <c r="AK82" i="23"/>
  <c r="AM106" i="23"/>
  <c r="AK39" i="59" s="1"/>
  <c r="AK105" i="23"/>
  <c r="AE72" i="23"/>
  <c r="AB70" i="23" s="1"/>
  <c r="X101" i="23" l="1"/>
  <c r="AM123" i="23" l="1"/>
  <c r="K29" i="52" l="1"/>
  <c r="P8" i="52" s="1"/>
  <c r="P5" i="52" s="1"/>
  <c r="P7" i="52" l="1"/>
  <c r="M62" i="52" s="1"/>
  <c r="B5" i="52"/>
  <c r="K17" i="52" l="1"/>
  <c r="K24" i="52" s="1"/>
  <c r="K55" i="52"/>
  <c r="K30" i="52"/>
  <c r="K34" i="52" s="1"/>
  <c r="K42" i="52"/>
  <c r="M49" i="52" s="1"/>
  <c r="X103" i="23"/>
  <c r="AL119" i="23" l="1"/>
  <c r="S106" i="23"/>
  <c r="AM124" i="23" s="1"/>
  <c r="AM125" i="23" s="1"/>
  <c r="K56" i="52"/>
  <c r="K58" i="52" s="1"/>
  <c r="M60" i="52" s="1"/>
  <c r="K20" i="52"/>
  <c r="M36" i="52" s="1"/>
  <c r="M47" i="52"/>
  <c r="K46" i="52"/>
  <c r="M25" i="52"/>
  <c r="K35" i="52"/>
  <c r="K36" i="52" s="1"/>
  <c r="M37" i="52" s="1"/>
  <c r="M39" i="52" s="1"/>
  <c r="M27" i="52" l="1"/>
  <c r="M52" i="52" s="1"/>
  <c r="AC25" i="79" s="1"/>
  <c r="AL124" i="23"/>
  <c r="AN124" i="23"/>
  <c r="AN125" i="23" s="1"/>
  <c r="AK40" i="59"/>
  <c r="AK49" i="59" s="1"/>
  <c r="AK75" i="59" s="1"/>
  <c r="V45" i="59" s="1"/>
  <c r="AN25" i="79" l="1"/>
  <c r="M65" i="52"/>
  <c r="AK87" i="2" s="1"/>
  <c r="AK86" i="2" s="1"/>
  <c r="Z84" i="2" l="1"/>
  <c r="AD85" i="2" s="1"/>
  <c r="AK85" i="2"/>
  <c r="AB18" i="36" l="1"/>
  <c r="AC18" i="36"/>
  <c r="AD18" i="36"/>
  <c r="AA19" i="36"/>
  <c r="AB19" i="36"/>
  <c r="Z21" i="36" s="1"/>
  <c r="AC19" i="36"/>
  <c r="AD19" i="36"/>
  <c r="AA18" i="36"/>
  <c r="Z20" i="36" l="1"/>
  <c r="AD21" i="36" s="1"/>
  <c r="AE55" i="90" l="1"/>
  <c r="AC14" i="80" s="1"/>
  <c r="AE99" i="76" s="1"/>
  <c r="AO69" i="58" l="1"/>
  <c r="AE60" i="58" s="1"/>
  <c r="AE63" i="58" l="1"/>
  <c r="AM63" i="58"/>
  <c r="AE69" i="58" l="1"/>
  <c r="AC12" i="79" s="1"/>
  <c r="AE67" i="58"/>
  <c r="AE66" i="58"/>
  <c r="W190" i="68" l="1"/>
  <c r="W186" i="68"/>
  <c r="B70" i="60" l="1"/>
  <c r="B80" i="60" s="1"/>
  <c r="AV256" i="84"/>
  <c r="A80" i="60" l="1"/>
  <c r="AV124" i="96"/>
  <c r="AC16" i="78" s="1"/>
  <c r="AI18" i="78" l="1"/>
  <c r="L27" i="15" l="1"/>
  <c r="AU60" i="102" l="1"/>
  <c r="AL114" i="74"/>
  <c r="AL118" i="74" s="1"/>
  <c r="AL122" i="74" l="1"/>
  <c r="AL125" i="74"/>
  <c r="AR129" i="74" s="1"/>
  <c r="AR27" i="74" s="1"/>
  <c r="AL256" i="74" l="1"/>
  <c r="AR127" i="74"/>
  <c r="AR25" i="74" s="1"/>
  <c r="AL385" i="74"/>
  <c r="AL126" i="74" s="1"/>
  <c r="AB130" i="74" l="1"/>
  <c r="AB128" i="74"/>
  <c r="AB131" i="74"/>
  <c r="AB129" i="74"/>
  <c r="AB132" i="74"/>
  <c r="AB133" i="74"/>
  <c r="AB127" i="74"/>
  <c r="AB391" i="74"/>
  <c r="AB392" i="74"/>
  <c r="AB387" i="74"/>
  <c r="AB389" i="74"/>
  <c r="AB390" i="74"/>
  <c r="AB388" i="74"/>
  <c r="AB386" i="74"/>
  <c r="AL393" i="74" s="1"/>
  <c r="AL394" i="74" s="1"/>
  <c r="AL397" i="74" s="1"/>
  <c r="AB262" i="74"/>
  <c r="AB258" i="74"/>
  <c r="AB260" i="74"/>
  <c r="AB257" i="74"/>
  <c r="AB261" i="74"/>
  <c r="AB263" i="74"/>
  <c r="AB259" i="74"/>
  <c r="AL264" i="74" l="1"/>
  <c r="AL265" i="74" s="1"/>
  <c r="AL268" i="74" s="1"/>
  <c r="BB256" i="74" s="1"/>
  <c r="AL134" i="74"/>
  <c r="AL135" i="74" s="1"/>
  <c r="AL138" i="74" s="1"/>
  <c r="AC12" i="80" s="1"/>
  <c r="AC11" i="80" s="1"/>
  <c r="BB385" i="74"/>
  <c r="BB384" i="74"/>
  <c r="BB255" i="74" l="1"/>
  <c r="BB130" i="74"/>
  <c r="BB129" i="74"/>
  <c r="V175" i="59" l="1"/>
  <c r="AE97" i="76"/>
  <c r="M60" i="33"/>
  <c r="BE42" i="95" l="1"/>
  <c r="AS11" i="95"/>
  <c r="AS33" i="95" s="1"/>
  <c r="BH32" i="95"/>
  <c r="AM38" i="2" s="1"/>
  <c r="N6" i="60" l="1"/>
  <c r="AP40" i="2"/>
  <c r="AE17" i="58" s="1"/>
  <c r="AQ38" i="95"/>
  <c r="B108" i="60" s="1"/>
  <c r="D10" i="95"/>
  <c r="D41" i="2" s="1"/>
  <c r="H116" i="60" l="1"/>
  <c r="B116" i="60"/>
  <c r="AM33" i="58"/>
  <c r="AM34" i="58"/>
  <c r="AE64" i="58"/>
  <c r="AC41" i="80" s="1"/>
  <c r="AC56" i="80" s="1"/>
  <c r="Z91" i="2" s="1"/>
  <c r="AM32" i="58"/>
  <c r="AE25" i="58" s="1"/>
  <c r="AU52" i="58" l="1"/>
  <c r="AV53" i="58" s="1"/>
  <c r="K247" i="60" l="1"/>
  <c r="J24" i="67"/>
  <c r="C18" i="65" l="1"/>
  <c r="N18" i="65"/>
  <c r="N27" i="65" s="1"/>
  <c r="N30" i="65" s="1"/>
  <c r="AY60" i="2" s="1"/>
  <c r="S72" i="3" l="1"/>
  <c r="AL92" i="102" l="1"/>
  <c r="S93" i="102" l="1"/>
  <c r="AE93" i="102"/>
  <c r="Y90" i="102"/>
  <c r="Y87" i="102"/>
  <c r="Y88" i="102"/>
  <c r="Y89" i="102"/>
  <c r="Y91" i="102"/>
  <c r="Q119" i="102"/>
  <c r="Q139" i="102" s="1"/>
  <c r="U128" i="102" l="1"/>
  <c r="Z128" i="102" s="1"/>
  <c r="AF128" i="102" s="1"/>
  <c r="U137" i="102"/>
  <c r="Z137" i="102" s="1"/>
  <c r="AF137" i="102" s="1"/>
  <c r="U119" i="102"/>
  <c r="Z119" i="102" s="1"/>
  <c r="Z139" i="102" l="1"/>
  <c r="AF119" i="102"/>
  <c r="AF139" i="102" s="1"/>
  <c r="AB107" i="74"/>
  <c r="AL110" i="74"/>
  <c r="BG120" i="74"/>
  <c r="N15" i="65"/>
  <c r="C17" i="65"/>
  <c r="O86" i="59"/>
  <c r="O89" i="59" s="1"/>
  <c r="V48" i="59"/>
  <c r="V102" i="59" l="1"/>
  <c r="V104" i="59" s="1"/>
  <c r="V100" i="59"/>
  <c r="X39" i="23"/>
  <c r="AJ39" i="23" s="1"/>
  <c r="AJ41" i="23" s="1"/>
  <c r="X40" i="23" s="1"/>
  <c r="X43" i="23" s="1"/>
  <c r="AL118" i="23" l="1"/>
  <c r="AL120" i="23" s="1"/>
  <c r="AC15" i="79" s="1"/>
  <c r="S46" i="23"/>
  <c r="V110" i="59"/>
  <c r="V112" i="59" s="1"/>
  <c r="V116" i="59" s="1"/>
  <c r="V42" i="59" s="1"/>
  <c r="AD47" i="2"/>
  <c r="AK54" i="2"/>
  <c r="AL123" i="23"/>
  <c r="AL125" i="23" s="1"/>
  <c r="AT22" i="102" s="1"/>
  <c r="AD52" i="2" l="1"/>
  <c r="J16" i="67" s="1"/>
  <c r="J53" i="67" s="1"/>
  <c r="AI40" i="59"/>
  <c r="AI49" i="59" s="1"/>
  <c r="AL126" i="23"/>
  <c r="AC58" i="78" s="1"/>
  <c r="J54" i="67" l="1"/>
  <c r="J69" i="67"/>
  <c r="J71" i="67" s="1"/>
  <c r="J73" i="67" s="1"/>
  <c r="AE357" i="62" l="1"/>
  <c r="AE359" i="62" l="1"/>
  <c r="AO386" i="62"/>
  <c r="AO387" i="62" s="1"/>
  <c r="AO359" i="62" l="1"/>
  <c r="AM366" i="62" s="1"/>
  <c r="AE369" i="62" s="1"/>
  <c r="AE364" i="62"/>
  <c r="AM360" i="62" l="1"/>
  <c r="AO364" i="62"/>
  <c r="AM368" i="62"/>
  <c r="AO392" i="62"/>
  <c r="AO393" i="62" s="1"/>
  <c r="AE370" i="62"/>
  <c r="AE378" i="62"/>
  <c r="AO378" i="62" s="1"/>
  <c r="AE368" i="62"/>
  <c r="AE134" i="62"/>
  <c r="AO324" i="62"/>
  <c r="AO398" i="62" l="1"/>
  <c r="AO399" i="62" s="1"/>
  <c r="AE168" i="62"/>
  <c r="AE170" i="62" l="1"/>
  <c r="AM385" i="62"/>
  <c r="AM387" i="62" s="1"/>
  <c r="AM388" i="62" l="1"/>
  <c r="AE363" i="62"/>
  <c r="AO170" i="62"/>
  <c r="AM177" i="62" s="1"/>
  <c r="AE180" i="62" s="1"/>
  <c r="AE173" i="62"/>
  <c r="AI33" i="59" s="1"/>
  <c r="AI38" i="59" s="1"/>
  <c r="AI75" i="59" s="1"/>
  <c r="V43" i="59" s="1"/>
  <c r="V46" i="59" s="1"/>
  <c r="AE175" i="62"/>
  <c r="AA60" i="53" l="1"/>
  <c r="AC64" i="53" s="1"/>
  <c r="AO403" i="62"/>
  <c r="AM391" i="62"/>
  <c r="AM393" i="62" s="1"/>
  <c r="AM394" i="62" s="1"/>
  <c r="AM171" i="62"/>
  <c r="AM179" i="62"/>
  <c r="AO175" i="62"/>
  <c r="AM190" i="62"/>
  <c r="AE189" i="62"/>
  <c r="AO405" i="62" s="1"/>
  <c r="AE181" i="62"/>
  <c r="AE179" i="62"/>
  <c r="AO406" i="62" l="1"/>
  <c r="AO189" i="62"/>
  <c r="AL49" i="76"/>
  <c r="L9" i="63"/>
  <c r="C116" i="76"/>
  <c r="P74" i="33"/>
  <c r="R48" i="33"/>
  <c r="X23" i="78"/>
  <c r="AM397" i="62" l="1"/>
  <c r="AM399" i="62" s="1"/>
  <c r="AM400" i="62" s="1"/>
  <c r="AL24" i="78"/>
  <c r="AC23" i="78"/>
  <c r="AC47" i="78" s="1"/>
  <c r="AL23" i="78"/>
  <c r="AI23" i="78"/>
  <c r="L34" i="63"/>
  <c r="AC66" i="78" s="1"/>
  <c r="J15" i="63"/>
  <c r="J20" i="63"/>
  <c r="L31" i="63"/>
  <c r="C26" i="63"/>
  <c r="J13" i="63"/>
  <c r="J17" i="63"/>
  <c r="C24" i="63"/>
  <c r="C110" i="76"/>
  <c r="AS116" i="76"/>
  <c r="AM401" i="62" l="1"/>
  <c r="W85" i="78"/>
  <c r="AC85" i="78" s="1"/>
  <c r="AC90" i="78" s="1"/>
  <c r="J20" i="14" s="1"/>
  <c r="AE16" i="76"/>
  <c r="AL18" i="76" s="1"/>
  <c r="AU33" i="58"/>
  <c r="AC49" i="78"/>
  <c r="M24" i="40" s="1"/>
  <c r="I24" i="40" s="1"/>
  <c r="I26" i="40" s="1"/>
  <c r="I28" i="40" s="1"/>
  <c r="AC48" i="78"/>
  <c r="Q228" i="76"/>
  <c r="Q227" i="76"/>
  <c r="Q226" i="76"/>
  <c r="Q225" i="76"/>
  <c r="AK226" i="76" s="1"/>
  <c r="AL139" i="76"/>
  <c r="J22" i="63"/>
  <c r="L29" i="63"/>
  <c r="J26" i="63"/>
  <c r="AC92" i="78"/>
  <c r="AD62" i="2" s="1"/>
  <c r="AC91" i="78"/>
  <c r="AS110" i="76"/>
  <c r="AD60" i="2" l="1"/>
  <c r="J16" i="14" s="1"/>
  <c r="J18" i="14" s="1"/>
  <c r="J145" i="76"/>
  <c r="AE150" i="76"/>
  <c r="G155" i="76" s="1"/>
  <c r="AK145" i="76"/>
  <c r="G165" i="76" s="1"/>
  <c r="H30" i="63"/>
  <c r="G30" i="63"/>
  <c r="G170" i="76" l="1"/>
  <c r="G158" i="76"/>
  <c r="AE153" i="76" s="1"/>
  <c r="D25" i="14"/>
  <c r="D23" i="14"/>
  <c r="AK161" i="76" l="1"/>
  <c r="J31" i="14"/>
  <c r="J25" i="14"/>
  <c r="AE43" i="102" l="1"/>
  <c r="D37" i="14"/>
  <c r="D40" i="14"/>
  <c r="J40" i="14" l="1"/>
  <c r="J49" i="14"/>
  <c r="J42" i="14"/>
  <c r="J44" i="14" s="1"/>
  <c r="J45" i="14" s="1"/>
  <c r="J46" i="14" s="1"/>
  <c r="J43" i="14" l="1"/>
  <c r="J47" i="14" s="1"/>
  <c r="J48" i="14" s="1"/>
  <c r="J51" i="14" s="1"/>
  <c r="AD57" i="2" s="1"/>
  <c r="T103" i="86" l="1"/>
  <c r="T110" i="86" s="1"/>
  <c r="AT18" i="102"/>
  <c r="AU39" i="58"/>
  <c r="AD61" i="2"/>
  <c r="AD63" i="2" l="1"/>
  <c r="O112" i="86" l="1"/>
  <c r="O118" i="86" s="1"/>
  <c r="T119" i="86" s="1"/>
  <c r="Y120" i="86" s="1"/>
  <c r="Y121" i="86" s="1"/>
  <c r="Z52" i="3"/>
  <c r="AA52" i="3"/>
  <c r="AB52" i="3"/>
  <c r="Y122" i="86"/>
  <c r="AU9" i="102"/>
  <c r="AU35" i="102" s="1"/>
  <c r="X34" i="102" s="1"/>
  <c r="AO35" i="102" s="1"/>
  <c r="B12" i="60"/>
  <c r="M13" i="60" s="1"/>
  <c r="B15" i="60"/>
  <c r="M16" i="60" s="1"/>
  <c r="B9" i="60"/>
  <c r="M10" i="60" s="1"/>
  <c r="AV25" i="58"/>
  <c r="AV43" i="58" s="1"/>
  <c r="X19" i="58" s="1"/>
  <c r="AE22" i="58" s="1"/>
  <c r="AV51" i="58" s="1"/>
  <c r="AV54" i="58" s="1"/>
  <c r="AV65" i="58" s="1"/>
  <c r="AE26" i="58" s="1"/>
  <c r="V12" i="99"/>
  <c r="AC56" i="53"/>
  <c r="AC69" i="53" s="1"/>
  <c r="B18" i="60"/>
  <c r="M19" i="60" s="1"/>
  <c r="AL14" i="76"/>
  <c r="AL19" i="76" s="1"/>
  <c r="N47" i="59"/>
  <c r="W53" i="59" s="1"/>
  <c r="V58" i="59" s="1"/>
  <c r="V61" i="59" s="1"/>
  <c r="E34" i="51"/>
  <c r="AN329" i="60"/>
  <c r="AN330" i="60" s="1"/>
  <c r="AN332" i="60" s="1"/>
  <c r="AV331" i="60" l="1"/>
  <c r="AU331" i="60"/>
  <c r="AT331" i="60"/>
  <c r="AS331" i="60"/>
  <c r="AR331" i="60"/>
  <c r="AQ331" i="60"/>
  <c r="AP331" i="60"/>
  <c r="AO331" i="60"/>
  <c r="Y123" i="86"/>
  <c r="AE52" i="3"/>
  <c r="A21" i="60"/>
  <c r="A27" i="60" s="1"/>
  <c r="H21" i="60"/>
  <c r="G21" i="60" s="1"/>
  <c r="AV19" i="76"/>
  <c r="AL32" i="76"/>
  <c r="AL34" i="76" s="1"/>
  <c r="AL35" i="76" s="1"/>
  <c r="X37" i="102"/>
  <c r="AE38" i="102" s="1"/>
  <c r="AT51" i="102" s="1"/>
  <c r="AE39" i="102"/>
  <c r="Q2" i="53"/>
  <c r="D3" i="53"/>
  <c r="AC16" i="99"/>
  <c r="Y20" i="99" s="1"/>
  <c r="Y24" i="99" s="1"/>
  <c r="Y25" i="99" s="1"/>
  <c r="AI16" i="99"/>
  <c r="AE20" i="99" s="1"/>
  <c r="AE24" i="99" s="1"/>
  <c r="AE25" i="99" s="1"/>
  <c r="AL11" i="99"/>
  <c r="AL12" i="99"/>
  <c r="AR76" i="58"/>
  <c r="AS76" i="58"/>
  <c r="BA53" i="58"/>
  <c r="BB53" i="58" s="1"/>
  <c r="AE28" i="58" s="1"/>
  <c r="M30" i="58" s="1"/>
  <c r="AE30" i="58" s="1"/>
  <c r="Q54" i="3" l="1"/>
  <c r="O52" i="3"/>
  <c r="O51" i="3"/>
  <c r="O50" i="3"/>
  <c r="O53" i="3"/>
  <c r="O54" i="3"/>
  <c r="AV333" i="60"/>
  <c r="AP333" i="60"/>
  <c r="AR333" i="60"/>
  <c r="AT333" i="60"/>
  <c r="AU88" i="102"/>
  <c r="AU90" i="102" s="1"/>
  <c r="AO70" i="102"/>
  <c r="AO71" i="102" s="1"/>
  <c r="AS36" i="76"/>
  <c r="AL36" i="76"/>
  <c r="AE26" i="99"/>
  <c r="AB26" i="99" s="1"/>
  <c r="U10" i="53"/>
  <c r="U9" i="53"/>
  <c r="Q3" i="53"/>
  <c r="L19" i="53" s="1"/>
  <c r="AK77" i="2"/>
  <c r="U8" i="53"/>
  <c r="L3" i="53"/>
  <c r="B27" i="60"/>
  <c r="A33" i="60"/>
  <c r="AN333" i="60" l="1"/>
  <c r="C39" i="76"/>
  <c r="C37" i="76"/>
  <c r="AS37" i="76" s="1"/>
  <c r="N16" i="53"/>
  <c r="L43" i="53"/>
  <c r="L44" i="53"/>
  <c r="L57" i="53"/>
  <c r="N58" i="53" s="1"/>
  <c r="N60" i="53" s="1"/>
  <c r="N17" i="53"/>
  <c r="L45" i="53"/>
  <c r="N22" i="53"/>
  <c r="L23" i="53"/>
  <c r="N28" i="53" s="1"/>
  <c r="N15" i="53"/>
  <c r="AA81" i="102"/>
  <c r="AA77" i="102"/>
  <c r="AF79" i="102"/>
  <c r="V77" i="102"/>
  <c r="V75" i="102"/>
  <c r="AA78" i="102"/>
  <c r="AF78" i="102"/>
  <c r="AF76" i="102"/>
  <c r="V79" i="102"/>
  <c r="AF81" i="102"/>
  <c r="AA75" i="102"/>
  <c r="AF75" i="102"/>
  <c r="V78" i="102"/>
  <c r="R81" i="102"/>
  <c r="AF77" i="102"/>
  <c r="AA76" i="102"/>
  <c r="AA79" i="102"/>
  <c r="V76" i="102"/>
  <c r="B33" i="60"/>
  <c r="M33" i="60"/>
  <c r="AI35" i="99"/>
  <c r="AA44" i="99" s="1"/>
  <c r="AE45" i="99" s="1"/>
  <c r="AI36" i="99"/>
  <c r="X27" i="99"/>
  <c r="AK143" i="76"/>
  <c r="AV36" i="76"/>
  <c r="N31" i="53" l="1"/>
  <c r="AQ41" i="99"/>
  <c r="AQ38" i="99"/>
  <c r="AQ45" i="99"/>
  <c r="L29" i="99"/>
  <c r="P29" i="99"/>
  <c r="W29" i="99"/>
  <c r="B21" i="60"/>
  <c r="A116" i="60"/>
  <c r="O116" i="60" s="1"/>
  <c r="K158" i="60" s="1"/>
  <c r="H33" i="60"/>
  <c r="G27" i="60"/>
  <c r="A40" i="60" s="1"/>
  <c r="AQ44" i="99" l="1"/>
  <c r="AE46" i="99" s="1"/>
  <c r="E47" i="60"/>
  <c r="A38" i="60"/>
  <c r="A121" i="60"/>
  <c r="M167" i="60"/>
  <c r="L167" i="60"/>
  <c r="A163" i="60"/>
  <c r="AE48" i="99" l="1"/>
  <c r="AC15" i="80" s="1"/>
  <c r="B121" i="60"/>
  <c r="N121" i="60"/>
  <c r="AM90" i="2"/>
  <c r="E48" i="60"/>
  <c r="E49" i="60"/>
  <c r="E50" i="60"/>
  <c r="B163" i="60"/>
  <c r="G163" i="60"/>
  <c r="N128" i="60" l="1"/>
  <c r="A128" i="60"/>
  <c r="AL15" i="80"/>
  <c r="AE100" i="76"/>
  <c r="E52" i="60"/>
  <c r="H59" i="60" s="1"/>
  <c r="N59" i="60" s="1"/>
  <c r="N80" i="60" s="1"/>
  <c r="H80" i="60" s="1"/>
  <c r="AD90" i="2"/>
  <c r="AD88" i="2"/>
  <c r="AD89" i="2"/>
  <c r="H163" i="60"/>
  <c r="A176" i="60"/>
  <c r="H121" i="60"/>
  <c r="B59" i="60" l="1"/>
  <c r="A59" i="60" s="1"/>
  <c r="N64" i="60" s="1"/>
  <c r="N135" i="60"/>
  <c r="B135" i="60" s="1"/>
  <c r="B128" i="60"/>
  <c r="A135" i="60"/>
  <c r="H128" i="60"/>
  <c r="G176" i="60"/>
  <c r="H176" i="60" s="1"/>
  <c r="B176" i="60"/>
  <c r="N65" i="60" l="1"/>
  <c r="N62" i="60"/>
  <c r="N63" i="60"/>
  <c r="J66" i="60"/>
  <c r="A185" i="60"/>
  <c r="A143" i="60"/>
  <c r="N143" i="60"/>
  <c r="B143" i="60" s="1"/>
  <c r="C170" i="76"/>
  <c r="C171" i="76" s="1"/>
  <c r="C165" i="76"/>
  <c r="C166" i="76" s="1"/>
  <c r="AK203" i="76" s="1"/>
  <c r="AK205" i="76" s="1"/>
  <c r="AK207" i="76" s="1"/>
  <c r="B185" i="60" l="1"/>
  <c r="A192" i="60"/>
  <c r="A153" i="60"/>
  <c r="B153" i="60" s="1"/>
  <c r="N153" i="60"/>
  <c r="AL173" i="76"/>
  <c r="AL176" i="76" s="1"/>
  <c r="B192" i="60" l="1"/>
  <c r="G192" i="60"/>
  <c r="H153" i="60"/>
  <c r="AO1" i="60" s="1"/>
  <c r="P184" i="76"/>
  <c r="AE175" i="76"/>
  <c r="P187" i="76"/>
  <c r="AK119" i="76"/>
  <c r="P186" i="76"/>
  <c r="P185" i="76"/>
  <c r="AS178" i="76"/>
  <c r="AS176" i="76"/>
  <c r="A202" i="60" l="1"/>
  <c r="G202" i="60" s="1"/>
  <c r="H192" i="60"/>
  <c r="AE185" i="76"/>
  <c r="AK189" i="76" s="1"/>
  <c r="G213" i="76"/>
  <c r="C213" i="76" s="1"/>
  <c r="G211" i="76"/>
  <c r="C211" i="76" s="1"/>
  <c r="AK211" i="76" s="1"/>
  <c r="A212" i="60" l="1"/>
  <c r="H202" i="60"/>
  <c r="P37" i="33" l="1"/>
  <c r="B212" i="60"/>
  <c r="G212" i="60"/>
  <c r="H212" i="60" l="1"/>
  <c r="A221" i="60"/>
  <c r="G221" i="60" s="1"/>
  <c r="A262" i="60" l="1"/>
  <c r="K231" i="60"/>
  <c r="K225" i="60"/>
  <c r="H221" i="60"/>
  <c r="K240" i="60" l="1"/>
  <c r="K256" i="60" s="1"/>
  <c r="AN302" i="60" s="1"/>
  <c r="AN303" i="60" s="1"/>
  <c r="AN305" i="60" s="1"/>
  <c r="L262" i="60"/>
  <c r="A355" i="60"/>
  <c r="AS304" i="60" l="1"/>
  <c r="AQ304" i="60"/>
  <c r="AP304" i="60"/>
  <c r="AR304" i="60"/>
  <c r="AU304" i="60"/>
  <c r="AO304" i="60"/>
  <c r="AV304" i="60"/>
  <c r="AT304" i="60"/>
  <c r="M275" i="60"/>
  <c r="M278" i="60"/>
  <c r="B277" i="60" s="1"/>
  <c r="M272" i="60"/>
  <c r="A380" i="60"/>
  <c r="A364" i="60"/>
  <c r="O374" i="60" s="1"/>
  <c r="B355" i="60"/>
  <c r="O411" i="60"/>
  <c r="O403" i="60"/>
  <c r="H262" i="60"/>
  <c r="G263" i="60" s="1"/>
  <c r="M269" i="60"/>
  <c r="B271" i="60" l="1"/>
  <c r="L272" i="60"/>
  <c r="B274" i="60"/>
  <c r="L275" i="60"/>
  <c r="AP306" i="60"/>
  <c r="AR306" i="60"/>
  <c r="AV306" i="60"/>
  <c r="AT306" i="60"/>
  <c r="L278" i="60"/>
  <c r="L269" i="60"/>
  <c r="A280" i="60"/>
  <c r="B268" i="60"/>
  <c r="M280" i="60"/>
  <c r="H280" i="60" s="1"/>
  <c r="O372" i="60"/>
  <c r="O366" i="60"/>
  <c r="O368" i="60"/>
  <c r="O389" i="60"/>
  <c r="O392" i="60"/>
  <c r="O413" i="60" s="1"/>
  <c r="O386" i="60"/>
  <c r="M424" i="60" l="1"/>
  <c r="B423" i="60" s="1"/>
  <c r="M421" i="60"/>
  <c r="B420" i="60" s="1"/>
  <c r="M430" i="60"/>
  <c r="B429" i="60" s="1"/>
  <c r="M427" i="60"/>
  <c r="B426" i="60" s="1"/>
  <c r="AN306" i="60"/>
  <c r="D2" i="86"/>
  <c r="O370" i="60"/>
  <c r="B280" i="60"/>
  <c r="A288" i="60"/>
  <c r="M288" i="60" s="1"/>
  <c r="A435" i="60" l="1"/>
  <c r="B435" i="60" s="1"/>
  <c r="M449" i="60" s="1"/>
  <c r="B455" i="60" s="1"/>
  <c r="A432" i="60"/>
  <c r="B432" i="60" s="1"/>
  <c r="H288" i="60"/>
  <c r="AP1" i="60" s="1"/>
  <c r="A296" i="60"/>
  <c r="M440" i="60" l="1"/>
  <c r="AN441" i="60" s="1"/>
  <c r="AN442" i="60" s="1"/>
  <c r="AN444" i="60" s="1"/>
  <c r="AU443" i="60" s="1"/>
  <c r="AN468" i="60"/>
  <c r="AN469" i="60" s="1"/>
  <c r="AN471" i="60" s="1"/>
  <c r="M463" i="60"/>
  <c r="M466" i="60"/>
  <c r="K300" i="60"/>
  <c r="B296" i="60"/>
  <c r="L302" i="60"/>
  <c r="A453" i="60" l="1"/>
  <c r="AO443" i="60"/>
  <c r="AP445" i="60" s="1"/>
  <c r="AT443" i="60"/>
  <c r="AV443" i="60"/>
  <c r="AP443" i="60"/>
  <c r="AQ443" i="60"/>
  <c r="AR445" i="60" s="1"/>
  <c r="AR443" i="60"/>
  <c r="AS443" i="60"/>
  <c r="AT445" i="60" s="1"/>
  <c r="AT470" i="60"/>
  <c r="AS470" i="60"/>
  <c r="AR470" i="60"/>
  <c r="AQ470" i="60"/>
  <c r="AP470" i="60"/>
  <c r="AO470" i="60"/>
  <c r="AV470" i="60"/>
  <c r="AU470" i="60"/>
  <c r="AV445" i="60"/>
  <c r="B453" i="60"/>
  <c r="B465" i="60" s="1"/>
  <c r="A455" i="60"/>
  <c r="A306" i="60"/>
  <c r="AN445" i="60" l="1"/>
  <c r="O443" i="60" s="1"/>
  <c r="AR472" i="60"/>
  <c r="AD132" i="86"/>
  <c r="AT472" i="60"/>
  <c r="AP472" i="60"/>
  <c r="AV472" i="60"/>
  <c r="K309" i="60"/>
  <c r="A313" i="60" s="1"/>
  <c r="L466" i="60"/>
  <c r="L463" i="60"/>
  <c r="A465" i="60"/>
  <c r="A462" i="60"/>
  <c r="O446" i="60" l="1"/>
  <c r="N1" i="60" s="1"/>
  <c r="X87" i="2" s="1"/>
  <c r="A1" i="60"/>
  <c r="B1" i="60"/>
  <c r="AN472" i="60"/>
  <c r="AD133" i="86"/>
  <c r="AD135" i="86" s="1"/>
  <c r="AD136" i="86" s="1"/>
  <c r="Y124" i="86" s="1"/>
  <c r="Y126" i="86" s="1"/>
  <c r="W22" i="80" s="1"/>
  <c r="AC22" i="80" s="1"/>
  <c r="B313" i="60"/>
  <c r="A315" i="60"/>
  <c r="M322" i="60" s="1"/>
  <c r="B315" i="60"/>
  <c r="A470" i="60"/>
  <c r="B470" i="60" s="1"/>
  <c r="O473" i="60" s="1"/>
  <c r="O476" i="60" s="1"/>
  <c r="B462" i="60"/>
  <c r="A468" i="60"/>
  <c r="A62" i="60" l="1"/>
  <c r="AN1" i="60"/>
  <c r="AC34" i="80"/>
  <c r="AE102" i="76"/>
  <c r="M325" i="60"/>
  <c r="A329" i="60" s="1"/>
  <c r="B329" i="60" s="1"/>
  <c r="B324" i="60"/>
  <c r="L325" i="60" s="1"/>
  <c r="B321" i="60"/>
  <c r="L322" i="60" s="1"/>
  <c r="B468" i="60"/>
  <c r="O480" i="60"/>
  <c r="AA480" i="60" s="1"/>
  <c r="A327" i="60" l="1"/>
  <c r="B327" i="60" s="1"/>
  <c r="L332" i="60" s="1"/>
  <c r="M339" i="60" l="1"/>
  <c r="O339" i="60" s="1"/>
  <c r="C1" i="60" s="1"/>
  <c r="O490" i="60" l="1"/>
  <c r="Z87" i="2" s="1"/>
  <c r="AE198" i="76" l="1"/>
  <c r="D51" i="68" l="1"/>
  <c r="D49" i="68"/>
  <c r="AC50" i="68" l="1"/>
  <c r="W183" i="68" l="1"/>
  <c r="W187" i="68" l="1"/>
  <c r="U188" i="68"/>
  <c r="U189" i="68" l="1"/>
  <c r="W188" i="68"/>
  <c r="W189" i="68"/>
  <c r="U190" i="68"/>
  <c r="U191" i="68" s="1"/>
  <c r="W191" i="68" l="1"/>
  <c r="U192" i="68"/>
  <c r="W192" i="68" s="1"/>
  <c r="U193" i="68" l="1"/>
  <c r="U194" i="68" s="1"/>
  <c r="U195" i="68" l="1"/>
  <c r="U196" i="68" l="1"/>
  <c r="U197" i="68" s="1"/>
  <c r="U198" i="68" s="1"/>
  <c r="U199" i="68" s="1"/>
  <c r="U200" i="68" s="1"/>
  <c r="U201" i="68" s="1"/>
  <c r="U202" i="68" s="1"/>
  <c r="U203" i="68" s="1"/>
  <c r="U204" i="68" s="1"/>
  <c r="U205" i="68" s="1"/>
  <c r="U206" i="68" l="1"/>
  <c r="W205" i="68"/>
  <c r="U207" i="68"/>
  <c r="U208" i="68" s="1"/>
  <c r="U209" i="68" s="1"/>
  <c r="U210" i="68" s="1"/>
  <c r="U211" i="68" s="1"/>
  <c r="U212" i="68" s="1"/>
  <c r="U213" i="68" s="1"/>
  <c r="U214" i="68" s="1"/>
  <c r="U215" i="68" s="1"/>
  <c r="U216" i="68" s="1"/>
  <c r="U217" i="68" s="1"/>
  <c r="U218" i="68" s="1"/>
  <c r="U219" i="68" s="1"/>
  <c r="U220" i="68" s="1"/>
  <c r="U221" i="68" s="1"/>
  <c r="U222" i="68" s="1"/>
  <c r="U223" i="68" s="1"/>
  <c r="U224" i="68" l="1"/>
  <c r="U225" i="68" s="1"/>
  <c r="U226" i="68" s="1"/>
  <c r="U227" i="68" s="1"/>
  <c r="U228" i="68" s="1"/>
  <c r="U229" i="68" s="1"/>
  <c r="U230" i="68" s="1"/>
  <c r="U231" i="68" s="1"/>
  <c r="U232" i="68" s="1"/>
  <c r="W223" i="68"/>
  <c r="Q172" i="68" l="1"/>
  <c r="U180" i="68" l="1"/>
  <c r="U181" i="68"/>
  <c r="U182" i="68"/>
  <c r="U183" i="68" s="1"/>
  <c r="U184" i="68" s="1"/>
  <c r="U185" i="68" s="1"/>
  <c r="U186" i="68" s="1"/>
  <c r="U187" i="68" s="1"/>
  <c r="Q9" i="3" l="1"/>
  <c r="O69" i="3" l="1"/>
  <c r="O70" i="3"/>
  <c r="O72" i="3"/>
  <c r="O71" i="3"/>
  <c r="M69" i="3"/>
  <c r="Z44" i="53"/>
  <c r="Z37" i="53"/>
  <c r="Z36" i="53"/>
  <c r="U11" i="33"/>
  <c r="AC11" i="33" s="1"/>
  <c r="Z33" i="53"/>
  <c r="Z38" i="53"/>
  <c r="Z32" i="53"/>
  <c r="Z41" i="53"/>
  <c r="Z35" i="53"/>
  <c r="U14" i="33"/>
  <c r="AZ58" i="2"/>
  <c r="Z34" i="53"/>
  <c r="AP58" i="2" l="1"/>
  <c r="D60" i="3"/>
  <c r="Z47" i="53"/>
  <c r="L34" i="53" s="1"/>
  <c r="N36" i="53" s="1"/>
  <c r="N38" i="53" s="1"/>
  <c r="N41" i="53" s="1"/>
  <c r="N46" i="53" s="1"/>
  <c r="N48" i="53" s="1"/>
  <c r="BA58" i="2"/>
  <c r="Q68" i="3" s="1"/>
  <c r="AC16" i="33"/>
  <c r="AK64" i="2"/>
  <c r="P10" i="33" s="1"/>
  <c r="AY64" i="2" l="1"/>
  <c r="S49" i="53"/>
  <c r="S50" i="53"/>
  <c r="S46" i="53"/>
  <c r="AC26" i="79"/>
  <c r="AN26" i="79" s="1"/>
  <c r="AN34" i="79" s="1"/>
  <c r="AC73" i="79" s="1"/>
  <c r="AD79" i="2" s="1"/>
  <c r="S48" i="53"/>
  <c r="S47" i="53"/>
  <c r="L50" i="53"/>
  <c r="O63" i="3" l="1"/>
  <c r="AZ60" i="2" s="1"/>
  <c r="U38" i="68"/>
  <c r="U39" i="68" s="1"/>
  <c r="AD64" i="2"/>
  <c r="AL8" i="82" s="1"/>
  <c r="AL9" i="82" s="1"/>
  <c r="AL30" i="82" s="1"/>
  <c r="W30" i="82" l="1"/>
  <c r="AL34" i="82" s="1"/>
  <c r="W34" i="82" s="1"/>
  <c r="AL11" i="82" s="1"/>
  <c r="AC36" i="82" l="1"/>
  <c r="AD44" i="82"/>
  <c r="W40" i="82"/>
  <c r="AL37" i="82"/>
  <c r="W37" i="82" s="1"/>
  <c r="AL35" i="82"/>
  <c r="AC35" i="82" s="1"/>
  <c r="AC41" i="82"/>
  <c r="AL10" i="82"/>
  <c r="AJ9" i="82" s="1"/>
  <c r="AC28" i="82"/>
  <c r="AD46" i="82"/>
  <c r="AC43" i="82"/>
  <c r="AD65" i="2" s="1"/>
  <c r="M13" i="33" s="1"/>
  <c r="W39" i="82"/>
  <c r="AJ10" i="82" l="1"/>
  <c r="AL36" i="82"/>
  <c r="AB65" i="2"/>
  <c r="AD66" i="2"/>
  <c r="E35" i="51" s="1"/>
  <c r="AD67" i="2" l="1"/>
  <c r="R77" i="98" s="1"/>
  <c r="J76" i="98" s="1"/>
  <c r="BG108" i="74" l="1"/>
  <c r="N34" i="51"/>
  <c r="E43" i="51" s="1"/>
  <c r="N37" i="51"/>
  <c r="N36" i="51"/>
  <c r="AC14" i="33"/>
  <c r="AC18" i="33" s="1"/>
  <c r="AC23" i="33" s="1"/>
  <c r="AC52" i="37"/>
  <c r="S69" i="37" s="1"/>
  <c r="AY73" i="2"/>
  <c r="AZ73" i="2" s="1"/>
  <c r="AY75" i="2" s="1"/>
  <c r="N38" i="51"/>
  <c r="E36" i="51"/>
  <c r="N80" i="98"/>
  <c r="R3" i="98"/>
  <c r="N82" i="98"/>
  <c r="N85" i="98" s="1"/>
  <c r="U82" i="98" s="1"/>
  <c r="V83" i="98" s="1"/>
  <c r="AZ74" i="2" l="1"/>
  <c r="AY76" i="2" s="1"/>
  <c r="N87" i="98"/>
  <c r="U76" i="98" s="1"/>
  <c r="C3" i="98"/>
  <c r="W62" i="37"/>
  <c r="U34" i="33"/>
  <c r="U32" i="33"/>
  <c r="U55" i="33" s="1"/>
  <c r="BB74" i="2"/>
  <c r="BA74" i="2"/>
  <c r="BC74" i="2"/>
  <c r="BB73" i="2"/>
  <c r="BA73" i="2"/>
  <c r="BC73" i="2"/>
  <c r="N88" i="98"/>
  <c r="Y83" i="98"/>
  <c r="X82" i="98"/>
  <c r="V82" i="98"/>
  <c r="Y82" i="98"/>
  <c r="X83" i="98"/>
  <c r="W83" i="98"/>
  <c r="W82" i="98"/>
  <c r="BC76" i="2"/>
  <c r="Y76" i="98"/>
  <c r="X76" i="98"/>
  <c r="X77" i="98"/>
  <c r="Y77" i="98"/>
  <c r="V76" i="98"/>
  <c r="W77" i="98"/>
  <c r="V77" i="98"/>
  <c r="W76" i="98"/>
  <c r="W64" i="37" l="1"/>
  <c r="U53" i="33"/>
  <c r="AC55" i="33" s="1"/>
  <c r="AC38" i="33"/>
  <c r="U43" i="33" s="1"/>
  <c r="AC45" i="33" s="1"/>
  <c r="AC34" i="33"/>
  <c r="AC49" i="33" s="1"/>
  <c r="U45" i="33"/>
  <c r="U85" i="98"/>
  <c r="U84" i="98"/>
  <c r="U79" i="98"/>
  <c r="U78" i="98"/>
  <c r="Y85" i="98" l="1"/>
  <c r="N97" i="98" s="1"/>
  <c r="Y79" i="98"/>
  <c r="S65" i="37"/>
  <c r="F2" i="98"/>
  <c r="R6" i="98"/>
  <c r="R7" i="98"/>
  <c r="C7" i="98" s="1"/>
  <c r="W67" i="37"/>
  <c r="S67" i="37" s="1"/>
  <c r="L82" i="37"/>
  <c r="L76" i="37"/>
  <c r="L92" i="37"/>
  <c r="N86" i="37"/>
  <c r="L83" i="37"/>
  <c r="P74" i="37"/>
  <c r="S62" i="37"/>
  <c r="X114" i="98"/>
  <c r="X115" i="98" s="1"/>
  <c r="X128" i="98" s="1"/>
  <c r="L80" i="37"/>
  <c r="AA71" i="37"/>
  <c r="AA128" i="37" s="1"/>
  <c r="AC47" i="33"/>
  <c r="AC43" i="33"/>
  <c r="C6" i="98" l="1"/>
  <c r="N84" i="37"/>
  <c r="L87" i="37" s="1"/>
  <c r="N81" i="37"/>
  <c r="L85" i="37" s="1"/>
  <c r="X130" i="98"/>
  <c r="Y137" i="98" s="1"/>
  <c r="X140" i="98" s="1"/>
  <c r="X141" i="98" s="1"/>
  <c r="X141" i="37"/>
  <c r="AB141" i="37" s="1"/>
  <c r="L99" i="37"/>
  <c r="N94" i="37"/>
  <c r="S104" i="37" s="1"/>
  <c r="X132" i="98"/>
  <c r="U167" i="98"/>
  <c r="V167" i="98" s="1"/>
  <c r="U169" i="98" s="1"/>
  <c r="X133" i="98"/>
  <c r="X134" i="98" s="1"/>
  <c r="X137" i="98" l="1"/>
  <c r="AB142" i="37"/>
  <c r="Z142" i="37"/>
  <c r="AA141" i="37"/>
  <c r="Y141" i="37"/>
  <c r="X143" i="37" s="1"/>
  <c r="AA142" i="37"/>
  <c r="Y142" i="37"/>
  <c r="X144" i="37" s="1"/>
  <c r="AB144" i="37" s="1"/>
  <c r="P137" i="37" s="1"/>
  <c r="X131" i="98"/>
  <c r="X136" i="98" s="1"/>
  <c r="X138" i="98" s="1"/>
  <c r="X139" i="98" s="1"/>
  <c r="Y167" i="98"/>
  <c r="V168" i="98"/>
  <c r="U170" i="98" s="1"/>
  <c r="Y170" i="98" s="1"/>
  <c r="X165" i="98" s="1"/>
  <c r="X168" i="98"/>
  <c r="X135" i="98"/>
  <c r="X142" i="98" s="1"/>
  <c r="X143" i="98" s="1"/>
  <c r="X144" i="98" s="1"/>
  <c r="X145" i="98" s="1"/>
  <c r="Y168" i="98"/>
  <c r="Z141" i="37"/>
  <c r="L105" i="37"/>
  <c r="S105" i="37"/>
  <c r="L106" i="37"/>
  <c r="W167" i="98"/>
  <c r="X167" i="98"/>
  <c r="W168" i="98"/>
  <c r="P88" i="37"/>
  <c r="P89" i="37" s="1"/>
  <c r="L96" i="37"/>
  <c r="N116" i="37"/>
  <c r="S119" i="37"/>
  <c r="P128" i="37" s="1"/>
  <c r="L115" i="37"/>
  <c r="L113" i="37"/>
  <c r="L111" i="37"/>
  <c r="L114" i="37"/>
  <c r="L118" i="37"/>
  <c r="P117" i="37"/>
  <c r="S120" i="37"/>
  <c r="N107" i="37"/>
  <c r="U160" i="98" l="1"/>
  <c r="X146" i="98"/>
  <c r="Y146" i="98" s="1"/>
  <c r="L95" i="37"/>
  <c r="N103" i="37" s="1"/>
  <c r="P103" i="37" s="1"/>
  <c r="L101" i="37"/>
  <c r="N102" i="37" s="1"/>
  <c r="X132" i="37" s="1"/>
  <c r="N131" i="37"/>
  <c r="J124" i="37"/>
  <c r="N127" i="37"/>
  <c r="P132" i="37"/>
  <c r="S130" i="37"/>
  <c r="L126" i="37"/>
  <c r="N130" i="37"/>
  <c r="P121" i="37"/>
  <c r="N120" i="37"/>
  <c r="J125" i="37"/>
  <c r="V161" i="98"/>
  <c r="U163" i="98" s="1"/>
  <c r="W161" i="98"/>
  <c r="X160" i="98"/>
  <c r="Y160" i="98"/>
  <c r="W160" i="98"/>
  <c r="X161" i="98"/>
  <c r="V160" i="98"/>
  <c r="U162" i="98" s="1"/>
  <c r="Y163" i="98" s="1"/>
  <c r="X158" i="98" s="1"/>
  <c r="Y161" i="98"/>
  <c r="L123" i="37"/>
  <c r="S123" i="37"/>
  <c r="X149" i="98"/>
  <c r="X155" i="98"/>
  <c r="X151" i="98"/>
  <c r="X156" i="98"/>
  <c r="X150" i="98"/>
  <c r="X157" i="98"/>
  <c r="X147" i="98"/>
  <c r="X148" i="98" s="1"/>
  <c r="X152" i="98" l="1"/>
  <c r="X153" i="98" s="1"/>
  <c r="X154" i="98" s="1"/>
  <c r="X164" i="98" s="1"/>
  <c r="X171" i="98" s="1"/>
  <c r="Z171" i="98" s="1"/>
  <c r="AA133" i="37"/>
  <c r="AA132" i="37"/>
  <c r="Z132" i="37"/>
  <c r="Y133" i="37"/>
  <c r="X135" i="37" s="1"/>
  <c r="Z133" i="37"/>
  <c r="AB132" i="37"/>
  <c r="Y132" i="37"/>
  <c r="X134" i="37" s="1"/>
  <c r="AB133" i="37"/>
  <c r="U66" i="33"/>
  <c r="U64" i="33"/>
  <c r="P1" i="33" s="1"/>
  <c r="M22" i="33" s="1"/>
  <c r="AB135" i="37" l="1"/>
  <c r="P134" i="37" s="1"/>
  <c r="P135" i="37" s="1"/>
  <c r="P141" i="37" s="1"/>
  <c r="M17" i="33"/>
  <c r="AC121" i="33"/>
  <c r="P2" i="33"/>
  <c r="M56" i="33"/>
  <c r="R22" i="33"/>
  <c r="M14" i="33"/>
  <c r="R14" i="33" s="1"/>
  <c r="M2" i="33"/>
  <c r="M16" i="33"/>
  <c r="R16" i="33" s="1"/>
  <c r="P48" i="33"/>
  <c r="M62" i="33"/>
  <c r="P92" i="33" l="1"/>
  <c r="K17" i="33"/>
  <c r="R17" i="33"/>
  <c r="M37" i="33" s="1"/>
  <c r="R38" i="33" l="1"/>
  <c r="Q37" i="33" s="1"/>
  <c r="M38" i="33"/>
  <c r="AH71" i="33" l="1"/>
  <c r="AH89" i="33"/>
  <c r="AA87" i="33" l="1"/>
  <c r="AC81" i="33"/>
  <c r="M45" i="33"/>
  <c r="R45" i="33" s="1"/>
  <c r="R46" i="33" s="1"/>
  <c r="V78" i="33"/>
  <c r="AA83" i="33"/>
  <c r="P44" i="33"/>
  <c r="M47" i="33" l="1"/>
  <c r="P46" i="33"/>
  <c r="AA89" i="33"/>
  <c r="AC90" i="33" s="1"/>
  <c r="AC93" i="33" s="1"/>
  <c r="AC99" i="33" l="1"/>
  <c r="AA103" i="33" l="1"/>
  <c r="AC106" i="33" s="1"/>
  <c r="AE137" i="33" s="1"/>
  <c r="AC120" i="33"/>
  <c r="AC101" i="33"/>
  <c r="AC107" i="33" l="1"/>
  <c r="AE136" i="33"/>
  <c r="AE129" i="33" l="1"/>
  <c r="AE130" i="33"/>
  <c r="M52" i="33" l="1"/>
  <c r="M57" i="33" s="1"/>
  <c r="M63" i="33" s="1"/>
  <c r="R63" i="33" s="1"/>
  <c r="AC11" i="79" s="1"/>
  <c r="AC13" i="79" s="1"/>
  <c r="AD73" i="2" s="1"/>
  <c r="AE59" i="33" l="1"/>
  <c r="V173" i="59"/>
  <c r="V177" i="59" s="1"/>
  <c r="O62" i="59" s="1"/>
  <c r="V64" i="59" s="1"/>
  <c r="AC13" i="80" s="1"/>
  <c r="AE98" i="76" l="1"/>
  <c r="AE107" i="76" s="1"/>
  <c r="AX52" i="90"/>
  <c r="AC36" i="80"/>
  <c r="AD76" i="2" s="1"/>
  <c r="W184" i="68" l="1"/>
  <c r="W182" i="68"/>
  <c r="W185" i="68"/>
  <c r="W180" i="68"/>
  <c r="W181" i="68"/>
  <c r="U179" i="68" l="1"/>
  <c r="Y180" i="68"/>
  <c r="Y234" i="68" s="1"/>
  <c r="B114" i="68"/>
  <c r="P82" i="68" l="1"/>
  <c r="R82" i="68" l="1"/>
  <c r="T82" i="68" l="1"/>
  <c r="V82" i="68" l="1"/>
  <c r="W179" i="68"/>
  <c r="AL55" i="76"/>
  <c r="AL53" i="76" s="1"/>
  <c r="AL54" i="76" l="1"/>
  <c r="AS53" i="76" s="1"/>
  <c r="AL87" i="76" l="1"/>
  <c r="AL56" i="76"/>
  <c r="AS48" i="76" l="1"/>
  <c r="AL57" i="76"/>
  <c r="AG58" i="76"/>
  <c r="AL58" i="76" l="1"/>
  <c r="B70" i="76"/>
  <c r="AE60" i="76"/>
  <c r="AL59" i="76"/>
  <c r="X61" i="76"/>
  <c r="D65" i="76" l="1"/>
  <c r="D63" i="76"/>
  <c r="B68" i="76"/>
  <c r="D68" i="76" s="1"/>
  <c r="D70" i="76"/>
  <c r="AD69" i="76" l="1"/>
  <c r="AG69" i="76"/>
  <c r="AE65" i="76"/>
  <c r="AL66" i="76" s="1"/>
  <c r="AD71" i="76" s="1"/>
  <c r="AL73" i="76" l="1"/>
  <c r="AE78" i="76" s="1"/>
  <c r="AG71" i="76"/>
  <c r="AE76" i="76" l="1"/>
  <c r="AE79" i="76" s="1"/>
  <c r="AE83" i="76"/>
  <c r="AS72" i="76"/>
  <c r="AL84" i="76" l="1"/>
  <c r="AL85" i="76" s="1"/>
  <c r="AL88" i="76" s="1"/>
  <c r="Z88" i="2" s="1"/>
  <c r="AD92" i="2" s="1"/>
  <c r="AD93" i="2" s="1"/>
  <c r="U40" i="68" l="1"/>
  <c r="S40" i="68" s="1"/>
  <c r="T79" i="68"/>
  <c r="P79" i="68"/>
  <c r="E38" i="51"/>
  <c r="V79" i="68"/>
  <c r="R79" i="68"/>
  <c r="AL40" i="76"/>
  <c r="AL41" i="76" s="1"/>
  <c r="AD75" i="2" s="1"/>
  <c r="AD77" i="2" s="1"/>
  <c r="AC59" i="33"/>
  <c r="P68" i="33"/>
  <c r="R51" i="33"/>
  <c r="R52" i="33" s="1"/>
  <c r="R53" i="33" s="1"/>
  <c r="R12" i="98"/>
  <c r="R8" i="98" l="1"/>
  <c r="C8" i="98" s="1"/>
  <c r="C12" i="98"/>
  <c r="M123" i="33"/>
  <c r="M95" i="33"/>
  <c r="M115" i="33"/>
  <c r="M77" i="33"/>
  <c r="M96" i="33"/>
  <c r="M125" i="33"/>
  <c r="AC113" i="33" s="1"/>
  <c r="O110" i="33"/>
  <c r="M82" i="33"/>
  <c r="M121" i="33"/>
  <c r="P69" i="33"/>
  <c r="M85" i="33"/>
  <c r="M75" i="33"/>
  <c r="M83" i="33"/>
  <c r="M81" i="33"/>
  <c r="O108" i="33"/>
  <c r="M101" i="33"/>
  <c r="M97" i="33"/>
  <c r="M108" i="33"/>
  <c r="M112" i="33"/>
  <c r="M88" i="33"/>
  <c r="M111" i="33"/>
  <c r="M110" i="33"/>
  <c r="M113" i="33"/>
  <c r="M109" i="33"/>
  <c r="O114" i="33"/>
  <c r="M116" i="33" s="1"/>
  <c r="M103" i="33"/>
  <c r="M71" i="33"/>
  <c r="M94" i="33"/>
  <c r="P117" i="33"/>
  <c r="O117" i="33"/>
  <c r="P114" i="33"/>
  <c r="D36" i="98"/>
  <c r="L30" i="98"/>
  <c r="J35" i="98"/>
  <c r="Y88" i="98"/>
  <c r="J31" i="98"/>
  <c r="L42" i="98" l="1"/>
  <c r="BG238" i="74"/>
  <c r="D33" i="98"/>
  <c r="AK74" i="2"/>
  <c r="M118" i="33"/>
  <c r="J38" i="98"/>
  <c r="L39" i="98" s="1"/>
  <c r="AX355" i="74" s="1"/>
  <c r="R90" i="33"/>
  <c r="R91" i="33" s="1"/>
  <c r="L53" i="98"/>
  <c r="L55" i="98" s="1"/>
  <c r="BG367" i="74"/>
  <c r="M120" i="33"/>
  <c r="V88" i="98"/>
  <c r="M119" i="33"/>
  <c r="U62" i="98"/>
  <c r="L44" i="98"/>
  <c r="L47" i="98" l="1"/>
  <c r="L45" i="98"/>
  <c r="L46" i="98" s="1"/>
  <c r="L56" i="98" s="1"/>
  <c r="L57" i="98" s="1"/>
  <c r="AX226" i="74"/>
  <c r="U55" i="98"/>
  <c r="X55" i="98" s="1"/>
  <c r="AX96" i="74"/>
  <c r="P91" i="33"/>
  <c r="M93" i="33"/>
  <c r="L48" i="98"/>
  <c r="L49" i="98" s="1"/>
  <c r="V92" i="98"/>
  <c r="V97" i="98"/>
  <c r="W93" i="98"/>
  <c r="V94" i="98"/>
  <c r="V101" i="98"/>
  <c r="X62" i="98"/>
  <c r="W62" i="98"/>
  <c r="Y63" i="98"/>
  <c r="W63" i="98"/>
  <c r="X63" i="98"/>
  <c r="V63" i="98"/>
  <c r="U65" i="98" s="1"/>
  <c r="V62" i="98"/>
  <c r="U64" i="98" s="1"/>
  <c r="Y62" i="98"/>
  <c r="W56" i="98"/>
  <c r="X56" i="98"/>
  <c r="V56" i="98"/>
  <c r="U58" i="98" s="1"/>
  <c r="V55" i="98"/>
  <c r="U57" i="98" s="1"/>
  <c r="Y58" i="98" s="1"/>
  <c r="N65" i="98" s="1"/>
  <c r="Y55" i="98"/>
  <c r="W55" i="98" l="1"/>
  <c r="Y56" i="98"/>
  <c r="Y65" i="98"/>
  <c r="N69" i="98" s="1"/>
  <c r="W101" i="98"/>
  <c r="V95" i="98"/>
  <c r="V96" i="98" s="1"/>
  <c r="L58" i="98"/>
  <c r="AA94" i="98"/>
  <c r="Y93" i="98"/>
  <c r="Y94" i="98"/>
  <c r="Z94" i="98"/>
  <c r="AA93" i="98"/>
  <c r="Z93" i="98"/>
  <c r="X93" i="98"/>
  <c r="W95" i="98" s="1"/>
  <c r="X94" i="98"/>
  <c r="W96" i="98" s="1"/>
  <c r="AA96" i="98" s="1"/>
  <c r="V111" i="98" s="1"/>
  <c r="N59" i="98" l="1"/>
  <c r="L60" i="98"/>
  <c r="L61" i="98" s="1"/>
  <c r="N62" i="98" s="1"/>
  <c r="V98" i="98"/>
  <c r="V99" i="98" s="1"/>
  <c r="AA102" i="98"/>
  <c r="Y102" i="98"/>
  <c r="Y101" i="98"/>
  <c r="Z101" i="98"/>
  <c r="X101" i="98"/>
  <c r="W103" i="98" s="1"/>
  <c r="AA104" i="98" s="1"/>
  <c r="V109" i="98" s="1"/>
  <c r="AA101" i="98"/>
  <c r="Z102" i="98"/>
  <c r="X102" i="98"/>
  <c r="W104" i="98" s="1"/>
  <c r="V102" i="98"/>
  <c r="V103" i="98" s="1"/>
  <c r="V104" i="98" l="1"/>
  <c r="N66" i="98"/>
  <c r="AX356" i="74" l="1"/>
  <c r="AX357" i="74" s="1"/>
  <c r="AX227" i="74"/>
  <c r="AX228" i="74" s="1"/>
  <c r="AX97" i="74"/>
  <c r="AX98" i="74" s="1"/>
  <c r="N73" i="98"/>
  <c r="V105" i="98"/>
  <c r="V106" i="98"/>
  <c r="V107" i="98" s="1"/>
  <c r="V108" i="98" s="1"/>
  <c r="V110" i="98" l="1"/>
  <c r="V112" i="98" s="1"/>
  <c r="AA113" i="98" l="1"/>
  <c r="Y80" i="98"/>
  <c r="N93" i="98" l="1"/>
  <c r="N100" i="98" s="1"/>
  <c r="AD71" i="2" s="1"/>
  <c r="AD74" i="2" s="1"/>
  <c r="N90" i="98"/>
  <c r="AD78" i="2" l="1"/>
  <c r="AK94" i="76"/>
  <c r="AK109" i="76" s="1"/>
  <c r="AK122" i="76" s="1"/>
  <c r="AX50" i="90"/>
  <c r="AX53" i="90" s="1"/>
  <c r="AX54" i="90" s="1"/>
  <c r="U37" i="68" l="1"/>
  <c r="U42" i="68" s="1"/>
  <c r="AD80" i="2"/>
  <c r="E37" i="51" l="1"/>
  <c r="AD94" i="2"/>
  <c r="V43" i="68"/>
  <c r="U41" i="68"/>
  <c r="G39" i="51" l="1"/>
  <c r="B41" i="51"/>
  <c r="G41" i="51"/>
  <c r="E39" i="51"/>
  <c r="B39" i="51" s="1"/>
  <c r="AD95" i="2"/>
  <c r="X98" i="2" s="1"/>
  <c r="AK105" i="2" s="1"/>
  <c r="U44" i="68"/>
  <c r="U45" i="68" s="1"/>
  <c r="U48" i="68" s="1"/>
  <c r="Z17" i="68" s="1"/>
  <c r="S43" i="68"/>
  <c r="U46" i="68" l="1"/>
  <c r="S68" i="68" s="1"/>
  <c r="AD98" i="2"/>
  <c r="AD96" i="2"/>
  <c r="AD97" i="2"/>
  <c r="U47" i="68"/>
  <c r="C2" i="68"/>
  <c r="AE41" i="68" l="1"/>
  <c r="W48" i="68"/>
  <c r="W51" i="68" s="1"/>
  <c r="P77" i="68" l="1"/>
  <c r="P83" i="68" s="1"/>
  <c r="R77" i="68"/>
  <c r="R83" i="68" s="1"/>
  <c r="V77" i="68"/>
  <c r="V83" i="68" s="1"/>
  <c r="T77" i="68"/>
  <c r="T83" i="68" s="1"/>
  <c r="W55" i="68"/>
  <c r="B53" i="68" s="1"/>
  <c r="W52" i="68"/>
  <c r="B52" i="68" s="1"/>
  <c r="L78" i="68"/>
  <c r="C85" i="68" s="1"/>
  <c r="AK96" i="2"/>
  <c r="AC42" i="68"/>
  <c r="AC54" i="68"/>
  <c r="Z179" i="68" s="1"/>
  <c r="AC46" i="68"/>
  <c r="AB81" i="68" l="1"/>
  <c r="P80" i="68"/>
  <c r="R91" i="68" s="1"/>
  <c r="R93" i="68" s="1"/>
  <c r="AK100" i="2"/>
  <c r="AM96" i="2"/>
  <c r="AB84" i="68"/>
  <c r="AB83" i="68"/>
  <c r="AB82" i="68"/>
  <c r="R89" i="68" l="1"/>
  <c r="T89" i="68"/>
  <c r="R98" i="68"/>
  <c r="R117" i="68" s="1"/>
  <c r="R122" i="68" s="1"/>
  <c r="R121" i="68" s="1"/>
  <c r="T98" i="68"/>
  <c r="T117" i="68" s="1"/>
  <c r="T122" i="68" s="1"/>
  <c r="T123" i="68" s="1"/>
  <c r="R101" i="68"/>
  <c r="T88" i="68" s="1"/>
  <c r="V98" i="68"/>
  <c r="V117" i="68" s="1"/>
  <c r="V91" i="68"/>
  <c r="V93" i="68" s="1"/>
  <c r="R95" i="68"/>
  <c r="T95" i="68"/>
  <c r="T91" i="68"/>
  <c r="T93" i="68" s="1"/>
  <c r="P98" i="68"/>
  <c r="P117" i="68" s="1"/>
  <c r="R118" i="68" s="1"/>
  <c r="R119" i="68" s="1"/>
  <c r="R120" i="68" s="1"/>
  <c r="V89" i="68"/>
  <c r="V165" i="68"/>
  <c r="V101" i="68"/>
  <c r="U107" i="68"/>
  <c r="X101" i="2" s="1"/>
  <c r="B40" i="51" s="1"/>
  <c r="P101" i="68"/>
  <c r="R88" i="68" s="1"/>
  <c r="T101" i="68"/>
  <c r="V88" i="68" s="1"/>
  <c r="P93" i="68"/>
  <c r="AK97" i="2"/>
  <c r="AK99" i="2"/>
  <c r="AK98" i="2"/>
  <c r="R123" i="68" l="1"/>
  <c r="T121" i="68"/>
  <c r="G40" i="51"/>
  <c r="E40" i="51"/>
  <c r="P118" i="68"/>
  <c r="P119" i="68" s="1"/>
  <c r="P120" i="68" s="1"/>
  <c r="Q128" i="68" s="1"/>
  <c r="T118" i="68"/>
  <c r="T119" i="68" s="1"/>
  <c r="T120" i="68" s="1"/>
  <c r="U158" i="68" s="1"/>
  <c r="V118" i="68"/>
  <c r="V119" i="68" s="1"/>
  <c r="V120" i="68" s="1"/>
  <c r="W158" i="68" s="1"/>
  <c r="V122" i="68" s="1"/>
  <c r="V123" i="68" s="1"/>
  <c r="AD100" i="2"/>
  <c r="H101" i="2" s="1"/>
  <c r="P122" i="68"/>
  <c r="P121" i="68" s="1"/>
  <c r="S158" i="68"/>
  <c r="S148" i="68"/>
  <c r="S138" i="68"/>
  <c r="S128" i="68"/>
  <c r="R159" i="68"/>
  <c r="R133" i="68"/>
  <c r="R163" i="68"/>
  <c r="R153" i="68"/>
  <c r="R139" i="68"/>
  <c r="R143" i="68"/>
  <c r="R129" i="68"/>
  <c r="R149" i="68"/>
  <c r="T149" i="68"/>
  <c r="T143" i="68"/>
  <c r="T159" i="68"/>
  <c r="T139" i="68"/>
  <c r="T153" i="68"/>
  <c r="T163" i="68"/>
  <c r="E41" i="51" l="1"/>
  <c r="P123" i="68"/>
  <c r="P139" i="68" s="1"/>
  <c r="Q148" i="68"/>
  <c r="Q158" i="68"/>
  <c r="U148" i="68"/>
  <c r="Q138" i="68"/>
  <c r="U138" i="68"/>
  <c r="V121" i="68"/>
  <c r="V159" i="68"/>
  <c r="V163" i="68"/>
  <c r="P149" i="68" l="1"/>
  <c r="P153" i="68"/>
  <c r="P163" i="68"/>
  <c r="P133" i="68"/>
  <c r="P129" i="68"/>
  <c r="P143" i="68"/>
  <c r="P159" i="68"/>
</calcChain>
</file>

<file path=xl/sharedStrings.xml><?xml version="1.0" encoding="utf-8"?>
<sst xmlns="http://schemas.openxmlformats.org/spreadsheetml/2006/main" count="13361" uniqueCount="5903">
  <si>
    <t>Revision Date/Time:</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</si>
  <si>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</si>
  <si>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</si>
  <si>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</si>
  <si>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https://sites.google.com/view/incometaxspreadsheet/home/changes</t>
  </si>
  <si>
    <t xml:space="preserve">If you find you're using an earlier version, review the changes made since your version </t>
  </si>
  <si>
    <t>to determine if the problem you've encountered has already been fixed.</t>
  </si>
  <si>
    <t>If so, please download the latest version and begin again.  (There is no simple way to migrate...)</t>
  </si>
  <si>
    <t xml:space="preserve">If you cannot determine (or you're not sure) as to whether or not the problem(s) you've found </t>
  </si>
  <si>
    <t>has been corrected, please do your fellow taxpayers a favor by reporting the problem to:</t>
  </si>
  <si>
    <t>incometaxspreadsheet@gmail.com</t>
  </si>
  <si>
    <t>SUMMARY</t>
  </si>
  <si>
    <t>Adjusted Gross Income</t>
  </si>
  <si>
    <t>Form 1040, Line 11</t>
  </si>
  <si>
    <t>Single</t>
  </si>
  <si>
    <t>Total Deductions</t>
  </si>
  <si>
    <t>Form 1040, Line 14</t>
  </si>
  <si>
    <t>Taxable Income</t>
  </si>
  <si>
    <t>Form 1040, Line 15</t>
  </si>
  <si>
    <t>MFJ or QW</t>
  </si>
  <si>
    <t>Total Tax</t>
  </si>
  <si>
    <t>Form 1040, Line 24</t>
  </si>
  <si>
    <t>MFS</t>
  </si>
  <si>
    <t>Total Payments/Credits</t>
  </si>
  <si>
    <t>Form 1040, Line 33</t>
  </si>
  <si>
    <t>HOH</t>
  </si>
  <si>
    <t>Tax Bracket</t>
  </si>
  <si>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</si>
  <si>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PayPal</t>
  </si>
  <si>
    <t>Zelle (App)</t>
  </si>
  <si>
    <t>https://paypal.me/incometaxspreadsheet</t>
  </si>
  <si>
    <t>https://www.zellepay.com/</t>
  </si>
  <si>
    <t>(Send to:  IncomeTaxSpreadsheet@gmail.com )</t>
  </si>
  <si>
    <t xml:space="preserve">(Send to:  IncomeTaxSpreadsheet@gmail.com ) </t>
  </si>
  <si>
    <t>Google Pay</t>
  </si>
  <si>
    <t>Popmoney</t>
  </si>
  <si>
    <t>https://pay.google.com/payments/</t>
  </si>
  <si>
    <t>https://www.popmoney.com/</t>
  </si>
  <si>
    <t>US Mail:</t>
  </si>
  <si>
    <t>Glenn Reeves</t>
  </si>
  <si>
    <t>(Tax Calculator)</t>
  </si>
  <si>
    <t>4802 N 124th Ct</t>
  </si>
  <si>
    <t>Kansas City, KS  66109-3809</t>
  </si>
  <si>
    <t>Thank you for using my spreadsheet and for any money you decide to send!</t>
  </si>
  <si>
    <r>
      <t xml:space="preserve">Sheet Name 
</t>
    </r>
    <r>
      <rPr>
        <b/>
        <u/>
        <sz val="10"/>
        <rFont val="Arial"/>
        <family val="2"/>
      </rPr>
      <t>(with hyperlink)</t>
    </r>
  </si>
  <si>
    <t>Federal Income Tax Spreadsheet</t>
  </si>
  <si>
    <t>Table of Contents</t>
  </si>
  <si>
    <t>Draft IRS</t>
  </si>
  <si>
    <t>Updated</t>
  </si>
  <si>
    <t>Final IRS</t>
  </si>
  <si>
    <t>Form</t>
  </si>
  <si>
    <t>Draft Form</t>
  </si>
  <si>
    <t>Instruction</t>
  </si>
  <si>
    <t>Final</t>
  </si>
  <si>
    <t>Title / Description</t>
  </si>
  <si>
    <t>Last checked</t>
  </si>
  <si>
    <t>Coversheet</t>
  </si>
  <si>
    <t>Possible tax return coversheet which includes a disclaimer, important notes, and a summary.</t>
  </si>
  <si>
    <t>Table of contents with links to the sheets included in this spreadsheet.</t>
  </si>
  <si>
    <t>Instructions</t>
  </si>
  <si>
    <t>Important notes, general notes, and instructions to help you get started.</t>
  </si>
  <si>
    <t>W-2s</t>
  </si>
  <si>
    <r>
      <rPr>
        <b/>
        <sz val="10"/>
        <rFont val="Arial"/>
        <family val="2"/>
      </rPr>
      <t>Form W-2</t>
    </r>
    <r>
      <rPr>
        <sz val="10"/>
        <rFont val="Arial"/>
        <family val="2"/>
      </rPr>
      <t>, Wage and Tax Statement</t>
    </r>
  </si>
  <si>
    <t>1099-INT</t>
  </si>
  <si>
    <r>
      <rPr>
        <b/>
        <sz val="10"/>
        <rFont val="Arial"/>
        <family val="2"/>
      </rPr>
      <t>Form 1099-INT</t>
    </r>
    <r>
      <rPr>
        <sz val="10"/>
        <rFont val="Arial"/>
        <family val="2"/>
      </rPr>
      <t>, Interest Income</t>
    </r>
  </si>
  <si>
    <t>1099-DIV</t>
  </si>
  <si>
    <r>
      <rPr>
        <b/>
        <sz val="10"/>
        <rFont val="Arial"/>
        <family val="2"/>
      </rPr>
      <t>Form 1099-DIV</t>
    </r>
    <r>
      <rPr>
        <sz val="10"/>
        <rFont val="Arial"/>
        <family val="2"/>
      </rPr>
      <t>, Dividend Income</t>
    </r>
  </si>
  <si>
    <t>1099-G</t>
  </si>
  <si>
    <r>
      <rPr>
        <b/>
        <sz val="10"/>
        <rFont val="Arial"/>
        <family val="2"/>
      </rPr>
      <t>Form 1099-G</t>
    </r>
    <r>
      <rPr>
        <sz val="10"/>
        <rFont val="Arial"/>
        <family val="2"/>
      </rPr>
      <t>, Certain Government Payments</t>
    </r>
  </si>
  <si>
    <t>1099-MISC</t>
  </si>
  <si>
    <r>
      <rPr>
        <b/>
        <sz val="10"/>
        <rFont val="Arial"/>
        <family val="2"/>
      </rPr>
      <t>Form 1099-MISC</t>
    </r>
    <r>
      <rPr>
        <sz val="10"/>
        <rFont val="Arial"/>
        <family val="2"/>
      </rPr>
      <t>, Miscellaneous Income   (Way too complicated -- included for information)</t>
    </r>
  </si>
  <si>
    <t>1099-R</t>
  </si>
  <si>
    <r>
      <rPr>
        <b/>
        <sz val="10"/>
        <rFont val="Arial"/>
        <family val="2"/>
      </rPr>
      <t>Form 1099-R</t>
    </r>
    <r>
      <rPr>
        <sz val="10"/>
        <rFont val="Arial"/>
        <family val="2"/>
      </rPr>
      <t>, Distributions From Pensions, Annuities, Retirement or Profit-Sharing  Plans, IRAs, Insurance Contracts, etc.</t>
    </r>
  </si>
  <si>
    <t>Lines 4ab (IRA Dist.)</t>
  </si>
  <si>
    <r>
      <rPr>
        <b/>
        <sz val="10"/>
        <rFont val="Arial"/>
        <family val="2"/>
      </rPr>
      <t>IRA Distributions</t>
    </r>
    <r>
      <rPr>
        <sz val="10"/>
        <rFont val="Arial"/>
        <family val="2"/>
      </rPr>
      <t xml:space="preserve"> -- Lines 4a and 4b -- to determine how to report non-taxable and taxable IRA distributions.</t>
    </r>
  </si>
  <si>
    <t>SSA-1099</t>
  </si>
  <si>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</si>
  <si>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t>1040</t>
  </si>
  <si>
    <r>
      <rPr>
        <b/>
        <sz val="10"/>
        <rFont val="Arial"/>
        <family val="2"/>
      </rPr>
      <t>Form 1040</t>
    </r>
    <r>
      <rPr>
        <sz val="10"/>
        <rFont val="Arial"/>
        <family val="2"/>
      </rPr>
      <t>, U.S. Individual Income Tax Return</t>
    </r>
  </si>
  <si>
    <t>Sch. 1</t>
  </si>
  <si>
    <r>
      <rPr>
        <b/>
        <sz val="10"/>
        <rFont val="Arial"/>
        <family val="2"/>
      </rPr>
      <t>Schedule 1</t>
    </r>
    <r>
      <rPr>
        <sz val="10"/>
        <rFont val="Arial"/>
        <family val="2"/>
      </rPr>
      <t>, Additional Income and Adjustments to Income</t>
    </r>
  </si>
  <si>
    <t>Sch. 1, Line 1 (SALT)</t>
  </si>
  <si>
    <t>State and Local Income Tax Refund Worksheet — Line 1</t>
  </si>
  <si>
    <t>Sch. 1 Line 20 (IRA)</t>
  </si>
  <si>
    <t>IRA Deduction Worksheet — Schedule 1, Line 20</t>
  </si>
  <si>
    <t>Sch. 1 Line 21 (Stu Loan)</t>
  </si>
  <si>
    <t>Student Loan Interest Deduction Worksheet — Schedule 1, Line 21</t>
  </si>
  <si>
    <t>Sch. 2</t>
  </si>
  <si>
    <r>
      <rPr>
        <b/>
        <sz val="10"/>
        <rFont val="Arial"/>
        <family val="2"/>
      </rPr>
      <t>Schedule 2</t>
    </r>
    <r>
      <rPr>
        <sz val="10"/>
        <rFont val="Arial"/>
        <family val="2"/>
      </rPr>
      <t>, Additional Taxes</t>
    </r>
  </si>
  <si>
    <t>Sch. 3</t>
  </si>
  <si>
    <r>
      <rPr>
        <b/>
        <sz val="10"/>
        <rFont val="Arial"/>
        <family val="2"/>
      </rPr>
      <t>Schedule 3</t>
    </r>
    <r>
      <rPr>
        <sz val="10"/>
        <rFont val="Arial"/>
        <family val="2"/>
      </rPr>
      <t>, Nonrefundable Credits</t>
    </r>
  </si>
  <si>
    <t>Earned Inc WS</t>
  </si>
  <si>
    <r>
      <rPr>
        <b/>
        <sz val="10"/>
        <rFont val="Arial"/>
        <family val="2"/>
      </rPr>
      <t>Earned Income Worksheet</t>
    </r>
    <r>
      <rPr>
        <sz val="10"/>
        <rFont val="Arial"/>
        <family val="2"/>
      </rPr>
      <t xml:space="preserve">  — Used as input to Line 9 (SD Depnts), Line 13a (CTC), &amp; Form 8812.</t>
    </r>
  </si>
  <si>
    <t>Lines 5ab (Simplified Meth WS)</t>
  </si>
  <si>
    <r>
      <rPr>
        <b/>
        <sz val="10"/>
        <rFont val="Arial"/>
        <family val="2"/>
      </rPr>
      <t>Simplified Method Worksheet—Lines 5a and 5b</t>
    </r>
    <r>
      <rPr>
        <sz val="10"/>
        <rFont val="Arial"/>
        <family val="2"/>
      </rPr>
      <t xml:space="preserve">  -- to determine taxable amount of retirement pension or annuity.</t>
    </r>
  </si>
  <si>
    <t>Line 6ab (SS Bene)</t>
  </si>
  <si>
    <r>
      <rPr>
        <b/>
        <sz val="10"/>
        <rFont val="Arial"/>
        <family val="2"/>
      </rPr>
      <t>Social Security Benefits Worksheet – Lines 6a and 6b</t>
    </r>
    <r>
      <rPr>
        <sz val="10"/>
        <rFont val="Arial"/>
        <family val="2"/>
      </rPr>
      <t xml:space="preserve">  -- to determine taxable amount of Social Security benefits.</t>
    </r>
  </si>
  <si>
    <t>Line 12 (SD Depnts)</t>
  </si>
  <si>
    <t>Standard Deduction Worksheet for Dependents — Line 12</t>
  </si>
  <si>
    <t>Line 16 (QDCG Tax)</t>
  </si>
  <si>
    <t>Qualified Dividends and Capital Gain Tax Worksheet—Line 16</t>
  </si>
  <si>
    <t>Line 27 (EIC)</t>
  </si>
  <si>
    <r>
      <t>Line 27 — Earned Income Credit Worksheet</t>
    </r>
    <r>
      <rPr>
        <sz val="10"/>
        <rFont val="Arial"/>
        <family val="2"/>
      </rPr>
      <t xml:space="preserve">  —  Spreadsheet provides assistance in completing this.</t>
    </r>
  </si>
  <si>
    <t>Sch. A</t>
  </si>
  <si>
    <t>Schedule A, Itemized Deductions</t>
  </si>
  <si>
    <t>Sch. B</t>
  </si>
  <si>
    <t>Schedule B, Interest and Ordinary Dividends</t>
  </si>
  <si>
    <t>Sch. C</t>
  </si>
  <si>
    <r>
      <t>Schedule C, Profit or Loss from Business</t>
    </r>
    <r>
      <rPr>
        <sz val="10"/>
        <rFont val="Arial"/>
        <family val="2"/>
      </rPr>
      <t xml:space="preserve">   (Two Schedule C's are included)</t>
    </r>
  </si>
  <si>
    <t>Sch. D</t>
  </si>
  <si>
    <t>Schedule D, Capital Gains and Losses</t>
  </si>
  <si>
    <t>Sch. D WS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</si>
  <si>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</si>
  <si>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 E</t>
  </si>
  <si>
    <t>Schedule E, Supplemental Income and Loss (2 forms)</t>
  </si>
  <si>
    <t>Sch. E (2)</t>
  </si>
  <si>
    <t>Sch. F</t>
  </si>
  <si>
    <t>Schedule F, Profit or Loss from Farming</t>
  </si>
  <si>
    <t>Sch. R</t>
  </si>
  <si>
    <t>Schedule R, Credit for the Elderly or the Disabled</t>
  </si>
  <si>
    <t>Sch. SE</t>
  </si>
  <si>
    <r>
      <t>Schedule SE, Self-Employement Tax</t>
    </r>
    <r>
      <rPr>
        <sz val="10"/>
        <rFont val="Arial"/>
        <family val="2"/>
      </rPr>
      <t xml:space="preserve">   (Two Schedule SE's are included)</t>
    </r>
  </si>
  <si>
    <t>1116</t>
  </si>
  <si>
    <t>Form 1116, Foreign Tax Credit</t>
  </si>
  <si>
    <t>2210</t>
  </si>
  <si>
    <t>2441</t>
  </si>
  <si>
    <t>Form 2441, Child and Dependent Care Expenses</t>
  </si>
  <si>
    <t>2555</t>
  </si>
  <si>
    <t>Form 2555, Foreign Earned Income</t>
  </si>
  <si>
    <t>4562</t>
  </si>
  <si>
    <t>Form 4562, Depreciation and Amortization</t>
  </si>
  <si>
    <t>6251</t>
  </si>
  <si>
    <t>Form 6251, Alternative Minimum Tax—Individuals</t>
  </si>
  <si>
    <t>8283</t>
  </si>
  <si>
    <t>Form 8283, Noncash Charitable Contributions</t>
  </si>
  <si>
    <t>8606</t>
  </si>
  <si>
    <t>Form 8606, Nondeductible IRAs</t>
  </si>
  <si>
    <t>8812</t>
  </si>
  <si>
    <t>Schedule 8812, Additional Child Tax Credit</t>
  </si>
  <si>
    <t>Form 8829, Expenses for Business Use of Your Home</t>
  </si>
  <si>
    <t>8863</t>
  </si>
  <si>
    <t>Form 8863, Education Credits (American Opportunity and Lifetime Learning Credits)</t>
  </si>
  <si>
    <t>8880</t>
  </si>
  <si>
    <t>Form 8880, Credit for Qualified Retirement Savings Contributions</t>
  </si>
  <si>
    <t>8889</t>
  </si>
  <si>
    <t>Form 8889, Health Savings Accounts</t>
  </si>
  <si>
    <t>8949A</t>
  </si>
  <si>
    <t>Form 8949, Sales and Other Dispositions of Capital Assets</t>
  </si>
  <si>
    <t>8949B</t>
  </si>
  <si>
    <t>8949C</t>
  </si>
  <si>
    <t>8949D</t>
  </si>
  <si>
    <t>8959</t>
  </si>
  <si>
    <t>Form 8959, Additional Medicare Tax</t>
  </si>
  <si>
    <t>8960</t>
  </si>
  <si>
    <t>Form 8960, Net Investment Income Tax—Individuals, Estates, and Trusts</t>
  </si>
  <si>
    <t>8962</t>
  </si>
  <si>
    <t>Form 8962, Premium Tax Credit</t>
  </si>
  <si>
    <t>Form 8995, Qualified Business Income Deduction Simplified Computation</t>
  </si>
  <si>
    <t>EIC Table</t>
  </si>
  <si>
    <r>
      <t>Earned Income Credit (EIC) Table</t>
    </r>
    <r>
      <rPr>
        <sz val="10"/>
        <rFont val="Arial"/>
        <family val="2"/>
      </rPr>
      <t xml:space="preserve">  (From Form 1040, General Instructions)</t>
    </r>
  </si>
  <si>
    <t>Tax Table</t>
  </si>
  <si>
    <r>
      <rPr>
        <b/>
        <sz val="10"/>
        <rFont val="Arial"/>
        <family val="2"/>
      </rPr>
      <t xml:space="preserve">Tax Table </t>
    </r>
    <r>
      <rPr>
        <sz val="10"/>
        <rFont val="Arial"/>
        <family val="2"/>
      </rPr>
      <t xml:space="preserve"> (From Form 1040, General Instructions)</t>
    </r>
  </si>
  <si>
    <t>Changes</t>
  </si>
  <si>
    <t>Changes made to this spreadsheet since it's first publication this tax year</t>
  </si>
  <si>
    <t>Excel1040 -- Income Tax Spreadsheet</t>
  </si>
  <si>
    <t>Instructions for Use</t>
  </si>
  <si>
    <t>IMPORTANT NOTES:</t>
  </si>
  <si>
    <t>1.</t>
  </si>
  <si>
    <t>The purpose of this spreadsheet is to help U.S. taxpayers calculate their own federal income tax returns.</t>
  </si>
  <si>
    <r>
      <t xml:space="preserve">The spreadsheet </t>
    </r>
    <r>
      <rPr>
        <u/>
        <sz val="10"/>
        <rFont val="Arial"/>
        <family val="2"/>
      </rPr>
      <t>attempts</t>
    </r>
    <r>
      <rPr>
        <sz val="10"/>
        <rFont val="Arial"/>
        <family val="2"/>
      </rPr>
      <t xml:space="preserve"> to perform the mechanics of tax preparation (i.e. 'do the math') in accordance</t>
    </r>
  </si>
  <si>
    <t>with IRS forms and instructions.</t>
  </si>
  <si>
    <t>2.</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</si>
  <si>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</si>
  <si>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</si>
  <si>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</si>
  <si>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 xml:space="preserve">their tax return in order to detect and correct any and all user and spreadsheet errors that might occur. </t>
  </si>
  <si>
    <t>Although some error checking is included, this spreadsheet will not prevent you from making mistakes.</t>
  </si>
  <si>
    <t>3.</t>
  </si>
  <si>
    <t>The user must assume full responsibility as to the correctness and appropriateness of any and all amounts</t>
  </si>
  <si>
    <t>entered and results produced.  Be sure to use current copies of actual IRS forms and instructions when</t>
  </si>
  <si>
    <t xml:space="preserve">validating the spreadsheet's results. IRS forms and instructions: </t>
  </si>
  <si>
    <t>https://www.irs.gov/downloads/irs-pdf</t>
  </si>
  <si>
    <t>4.</t>
  </si>
  <si>
    <t>It is vitally important that all spreadsheet users promptly report any error(s) they find so that the spreadsheet</t>
  </si>
  <si>
    <t>can be corrected.</t>
  </si>
  <si>
    <t xml:space="preserve">Report errors to: </t>
  </si>
  <si>
    <t>GENERAL NOTES:</t>
  </si>
  <si>
    <t>Unprotected data entry cells have a light blue fill color.</t>
  </si>
  <si>
    <t>Cells containing calculated amounts are usually protected and have a darker blue fill color.</t>
  </si>
  <si>
    <t>Form and worksheet areas are protected.  However, users are able to adjust printing properties.</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</si>
  <si>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</si>
  <si>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</si>
  <si>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</si>
  <si>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NOTE:  To clear data from an override cell, highlight it and then press the &lt;Delete&gt; key. </t>
  </si>
  <si>
    <t>Do not press the &lt;space&gt; bar because, although it is invisible, the &lt;space&gt; character is treated the</t>
  </si>
  <si>
    <t>same as any visible character.</t>
  </si>
  <si>
    <t xml:space="preserve">To check a checkbox, simply type an 'X' (any character will work) in the box and press &lt;Enter&gt;. </t>
  </si>
  <si>
    <t xml:space="preserve">NOTE:  To clear an 'X' from an checkbox,  highlight it and then press the &lt;Delete&gt; key. </t>
  </si>
  <si>
    <t>5.</t>
  </si>
  <si>
    <r>
      <t>If using copy/paste to copy information from another source, be sure to paste using '</t>
    </r>
    <r>
      <rPr>
        <b/>
        <sz val="10"/>
        <rFont val="Arial"/>
        <family val="2"/>
      </rPr>
      <t>Paste-Values</t>
    </r>
    <r>
      <rPr>
        <sz val="10"/>
        <rFont val="Arial"/>
        <family val="2"/>
      </rPr>
      <t>'.</t>
    </r>
  </si>
  <si>
    <t>Otherwise, cell properties could be inadvertently changed.  (e.g. A normally unprotected cell could become</t>
  </si>
  <si>
    <t>protected.)</t>
  </si>
  <si>
    <t>6.</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</si>
  <si>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</si>
  <si>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</si>
  <si>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</si>
  <si>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t>INSTRUCTIONS:</t>
  </si>
  <si>
    <t>Click on the tab labeled '1040' and enter all of the information required for Form 1040, Page 1.</t>
  </si>
  <si>
    <t>Click on the tab labeled 'W-2s' and enter any employment income reported to you on Form W-2.</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</si>
  <si>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</si>
  <si>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Click on the tab labeled '1099-INT' and enter any interest income reported to you on Form 1099-INT.</t>
  </si>
  <si>
    <t>(Interest income information will automatically appear on Schedule B, Line 1.)</t>
  </si>
  <si>
    <t>Click on the tab labeled '1099-DIV' and enter any dividend income reported on Form 1099-DIV.</t>
  </si>
  <si>
    <t>(Dividend income information will automatically appear on Schedule B, Line 5.)</t>
  </si>
  <si>
    <t>Click on the tab labeled '1099-R' and enter any IRA/pension/annuity income reported to you on Form 1099-R.</t>
  </si>
  <si>
    <t>7.</t>
  </si>
  <si>
    <t>Click on the tab labeled 'SSA-1099' and enter any Social Security income reported to you on Form SSA-1099.</t>
  </si>
  <si>
    <t>8.</t>
  </si>
  <si>
    <t>Begin a careful, line-by-line, review of the sheet labeled '1040'.  If additional information is needed for a</t>
  </si>
  <si>
    <t xml:space="preserve">particular line, then look for a sheet associated with that line (e.g. "Line 9 (QBID)") to determine if additional </t>
  </si>
  <si>
    <t>information needs to be entered.</t>
  </si>
  <si>
    <t>HINT:  Recommend regularly checking and saving your spreadsheet.</t>
  </si>
  <si>
    <t>9.</t>
  </si>
  <si>
    <t>Review every tab to determine its applicability to your tax return and make sure each sheet is completed.</t>
  </si>
  <si>
    <t>NOTE: At any time, you may change the tab color by right-mouse clicking on the tab.  Also, at any time,</t>
  </si>
  <si>
    <t>you may click and drag sheet tabs to be arranged in any order you desire.  Doing so will not affect</t>
  </si>
  <si>
    <t>the function of the spreadsheet.</t>
  </si>
  <si>
    <t>10.</t>
  </si>
  <si>
    <t>Recommend printing your return and reviewing the printed copy against actual IRS forms and instructions.</t>
  </si>
  <si>
    <t>11.</t>
  </si>
  <si>
    <t>Transfer results to an electronic filing service or hard copies of the forms.</t>
  </si>
  <si>
    <t>To save a copy of this spreadsheet in .ods format, perform the following steps:</t>
  </si>
  <si>
    <t>1).   Load the spreadsheet as an .xlsx file, then save it as an .fods file.</t>
  </si>
  <si>
    <t>2).   Close the .fods file. Then re-open the .fods file</t>
  </si>
  <si>
    <t>3).   Save the .fods file as an .ods file.</t>
  </si>
  <si>
    <t>4)    Close the .ods file.  Then, re-open the .ods file.</t>
  </si>
  <si>
    <t>Information from Form W-2, Wage and Tax Statement</t>
  </si>
  <si>
    <t>Maximum SS Tax Earnings:</t>
  </si>
  <si>
    <t>SS Tax Rate:</t>
  </si>
  <si>
    <t>Max. SS Tax:</t>
  </si>
  <si>
    <t>per person</t>
  </si>
  <si>
    <t>Notes</t>
  </si>
  <si>
    <t>Employer #1</t>
  </si>
  <si>
    <t>Employer #2</t>
  </si>
  <si>
    <t>Employer #3</t>
  </si>
  <si>
    <t>Employer #4</t>
  </si>
  <si>
    <t>Employer #5</t>
  </si>
  <si>
    <t>Employer #6</t>
  </si>
  <si>
    <t>Total</t>
  </si>
  <si>
    <t>Excess</t>
  </si>
  <si>
    <t>Used at:</t>
  </si>
  <si>
    <t>Date</t>
  </si>
  <si>
    <t>1</t>
  </si>
  <si>
    <t>Wages, tips, other compensation</t>
  </si>
  <si>
    <t>2</t>
  </si>
  <si>
    <t>Federal income tax withheld</t>
  </si>
  <si>
    <t>3</t>
  </si>
  <si>
    <t>Social security wages</t>
  </si>
  <si>
    <r>
      <rPr>
        <b/>
        <sz val="10"/>
        <rFont val="Arial"/>
        <family val="2"/>
      </rPr>
      <t>Sch. SE</t>
    </r>
    <r>
      <rPr>
        <sz val="10"/>
        <rFont val="Arial"/>
        <family val="2"/>
      </rPr>
      <t>, Line 8a</t>
    </r>
  </si>
  <si>
    <t>4</t>
  </si>
  <si>
    <t>Social security tax withheld</t>
  </si>
  <si>
    <t>5</t>
  </si>
  <si>
    <t>Medicare wages and tips</t>
  </si>
  <si>
    <t>6</t>
  </si>
  <si>
    <t>Medicare tax withheld</t>
  </si>
  <si>
    <r>
      <t xml:space="preserve">  Only </t>
    </r>
    <r>
      <rPr>
        <b/>
        <sz val="10"/>
        <color indexed="10"/>
        <rFont val="Arial"/>
        <family val="2"/>
      </rPr>
      <t>bolded</t>
    </r>
    <r>
      <rPr>
        <sz val="10"/>
        <color indexed="10"/>
        <rFont val="Arial"/>
        <family val="2"/>
      </rPr>
      <t xml:space="preserve"> amounts are used in this spreadsheet.</t>
    </r>
  </si>
  <si>
    <t>7</t>
  </si>
  <si>
    <t>Social Security Tips</t>
  </si>
  <si>
    <t>8</t>
  </si>
  <si>
    <t>Allocated Tips</t>
  </si>
  <si>
    <t>10</t>
  </si>
  <si>
    <t>Dependent Care Benefits</t>
  </si>
  <si>
    <t>11</t>
  </si>
  <si>
    <t>Nonqualified plans</t>
  </si>
  <si>
    <t>12a</t>
  </si>
  <si>
    <t>Non Taxable Combat Pay (Code 12Q)</t>
  </si>
  <si>
    <t>12b</t>
  </si>
  <si>
    <t>See instructions for box 12</t>
  </si>
  <si>
    <t>12c</t>
  </si>
  <si>
    <t>12d</t>
  </si>
  <si>
    <t>13</t>
  </si>
  <si>
    <t>Stat Emp / Retire / 3rd Party Sick</t>
  </si>
  <si>
    <t>14</t>
  </si>
  <si>
    <t>Other</t>
  </si>
  <si>
    <t>Railroad retire (RRTA) compensation</t>
  </si>
  <si>
    <t>RRTA medicare tax withheld (see Form CT-2)</t>
  </si>
  <si>
    <t>15</t>
  </si>
  <si>
    <t>State - Employer's state ID number</t>
  </si>
  <si>
    <t>- - -</t>
  </si>
  <si>
    <t>16</t>
  </si>
  <si>
    <t xml:space="preserve">State wages, tips, etc. </t>
  </si>
  <si>
    <t>17</t>
  </si>
  <si>
    <t>State income tax</t>
  </si>
  <si>
    <t>18</t>
  </si>
  <si>
    <t>Local wages, tips, etc.</t>
  </si>
  <si>
    <t>19</t>
  </si>
  <si>
    <t>Local income tax</t>
  </si>
  <si>
    <t>20</t>
  </si>
  <si>
    <t>Locality name</t>
  </si>
  <si>
    <t>Employer count (You)</t>
  </si>
  <si>
    <t>TOTALs</t>
  </si>
  <si>
    <t>Excess Soc. Sec. Tax Withheld</t>
  </si>
  <si>
    <r>
      <rPr>
        <b/>
        <sz val="10"/>
        <rFont val="Arial"/>
        <family val="2"/>
      </rPr>
      <t>Form 1040</t>
    </r>
    <r>
      <rPr>
        <sz val="10"/>
        <rFont val="Arial"/>
        <family val="2"/>
      </rPr>
      <t>, Line 1.</t>
    </r>
  </si>
  <si>
    <r>
      <rPr>
        <b/>
        <sz val="10"/>
        <rFont val="Arial"/>
        <family val="2"/>
      </rPr>
      <t>Form 1040</t>
    </r>
    <r>
      <rPr>
        <sz val="10"/>
        <rFont val="Arial"/>
        <family val="2"/>
      </rPr>
      <t>, Line 25a</t>
    </r>
  </si>
  <si>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</si>
  <si>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Sch. 3</t>
    </r>
    <r>
      <rPr>
        <sz val="10"/>
        <rFont val="Arial"/>
        <family val="2"/>
      </rPr>
      <t>, Line 11</t>
    </r>
  </si>
  <si>
    <r>
      <rPr>
        <b/>
        <sz val="10"/>
        <rFont val="Arial"/>
        <family val="2"/>
      </rPr>
      <t>Form 8959, Who Must File, Criterion 3; Form 8959,</t>
    </r>
    <r>
      <rPr>
        <sz val="10"/>
        <rFont val="Arial"/>
        <family val="2"/>
      </rPr>
      <t xml:space="preserve"> Additional Medicare Tax,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</si>
  <si>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</si>
  <si>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rPr>
        <b/>
        <sz val="10"/>
        <rFont val="Arial"/>
        <family val="2"/>
      </rPr>
      <t>Form 2441</t>
    </r>
    <r>
      <rPr>
        <sz val="10"/>
        <rFont val="Arial"/>
        <family val="2"/>
      </rPr>
      <t>, Part III, Line 12</t>
    </r>
  </si>
  <si>
    <r>
      <rPr>
        <b/>
        <sz val="10"/>
        <rFont val="Arial"/>
        <family val="2"/>
      </rPr>
      <t>Form 1040</t>
    </r>
    <r>
      <rPr>
        <sz val="10"/>
        <rFont val="Arial"/>
        <family val="2"/>
      </rPr>
      <t>, line 1i  and  Line 27 (EIC), Step 5, line 4</t>
    </r>
  </si>
  <si>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</si>
  <si>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</si>
  <si>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</si>
  <si>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t>Information from Form 1099-INT, Interest Income</t>
  </si>
  <si>
    <t>Payer #1</t>
  </si>
  <si>
    <t>Payer #2</t>
  </si>
  <si>
    <t>Payer #3</t>
  </si>
  <si>
    <t>Payer #4</t>
  </si>
  <si>
    <t>Payer #5</t>
  </si>
  <si>
    <t>Date:</t>
  </si>
  <si>
    <t>PAYER's name</t>
  </si>
  <si>
    <t>PAYER's Federal ID number</t>
  </si>
  <si>
    <t>Account number</t>
  </si>
  <si>
    <t>Interest income</t>
  </si>
  <si>
    <t>Early withdrawal penalty</t>
  </si>
  <si>
    <t>Interest on U.S. Savings Bonds &amp; Treas. Obligations</t>
  </si>
  <si>
    <t>3A</t>
  </si>
  <si>
    <t>Include Line 3 on Schedule B, Line 1?  (Y / N)</t>
  </si>
  <si>
    <t>N</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</si>
  <si>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</si>
  <si>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</si>
  <si>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</si>
  <si>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</si>
  <si>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</si>
  <si>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</si>
  <si>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</si>
  <si>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</si>
  <si>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</si>
  <si>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</si>
  <si>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</si>
  <si>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</si>
  <si>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State tax withheld</t>
  </si>
  <si>
    <r>
      <t xml:space="preserve">  Only </t>
    </r>
    <r>
      <rPr>
        <b/>
        <sz val="10"/>
        <color rgb="FFFF0000"/>
        <rFont val="Arial"/>
        <family val="2"/>
      </rPr>
      <t>bolded</t>
    </r>
    <r>
      <rPr>
        <sz val="10"/>
        <color rgb="FFFF0000"/>
        <rFont val="Arial"/>
        <family val="2"/>
      </rPr>
      <t xml:space="preserve"> amounts are used in this spreadsheet.</t>
    </r>
  </si>
  <si>
    <t>Payer #6</t>
  </si>
  <si>
    <t>Payer #7</t>
  </si>
  <si>
    <t>Payer #8</t>
  </si>
  <si>
    <t>Payer #9</t>
  </si>
  <si>
    <t>Payer #10</t>
  </si>
  <si>
    <t>Payer #11</t>
  </si>
  <si>
    <t>Payer #12</t>
  </si>
  <si>
    <t>Payer #13</t>
  </si>
  <si>
    <t>Payer #14</t>
  </si>
  <si>
    <t>Payer #15</t>
  </si>
  <si>
    <t>Sch. B, Line 1</t>
  </si>
  <si>
    <t>Form 1040, Sch. 1, Line 18</t>
  </si>
  <si>
    <t>Sch. B, Line 1 (If line 3A is "Y")</t>
  </si>
  <si>
    <t>Form 1040, Line 25b</t>
  </si>
  <si>
    <t>Consideration (by you) in Sch. A, Line 9</t>
  </si>
  <si>
    <t>Sch. 3, Line 48   OR   Form 1116 (Cell A8)</t>
  </si>
  <si>
    <t>Form 1040, Line 2a</t>
  </si>
  <si>
    <t>Form 6251, Line 2g</t>
  </si>
  <si>
    <t>Sch. A, Line 5a and Form 8960, Line 9b</t>
  </si>
  <si>
    <t>Information from Form 1099-DIV, Dividends and Distributions</t>
  </si>
  <si>
    <t>1a</t>
  </si>
  <si>
    <t>Total ordinary dividends</t>
  </si>
  <si>
    <t>1b</t>
  </si>
  <si>
    <t>Qualified dividends</t>
  </si>
  <si>
    <t>2a</t>
  </si>
  <si>
    <t>Total capital gain distr.</t>
  </si>
  <si>
    <t>2b</t>
  </si>
  <si>
    <t>Unrecap. Sec. 1250 gain</t>
  </si>
  <si>
    <t>2c</t>
  </si>
  <si>
    <t>Section 1202 gain</t>
  </si>
  <si>
    <t>2d</t>
  </si>
  <si>
    <t>Collectibles (28%) gain</t>
  </si>
  <si>
    <t>Nondividend distributions</t>
  </si>
  <si>
    <t>Section 199A dividends</t>
  </si>
  <si>
    <t>Cash liquidation distributions</t>
  </si>
  <si>
    <t>Noncash liquidation distributions</t>
  </si>
  <si>
    <t>FATCA filing requirement</t>
  </si>
  <si>
    <t>Exempt-interest dividends</t>
  </si>
  <si>
    <t>Specified private activity bond interest dividends</t>
  </si>
  <si>
    <t>Payer #16</t>
  </si>
  <si>
    <t>Payer #17</t>
  </si>
  <si>
    <t>Payer #18</t>
  </si>
  <si>
    <t>Payer #19</t>
  </si>
  <si>
    <t>Sch. D, Line 13</t>
  </si>
  <si>
    <t>Sch. D. WS, 28% Rate Gain WS, Line 4</t>
  </si>
  <si>
    <t>1040, line 25b</t>
  </si>
  <si>
    <t>Form 8995, QBID, Line 6</t>
  </si>
  <si>
    <t>Form 1116</t>
  </si>
  <si>
    <t>Total of 1099-INT and 1099-DIV income:</t>
  </si>
  <si>
    <t>Form 1099-G, Certain Government Payments</t>
  </si>
  <si>
    <t>Your Total</t>
  </si>
  <si>
    <t>PAYER's TIN</t>
  </si>
  <si>
    <t>Unemployment Compensation</t>
  </si>
  <si>
    <t>Sch. 1 Line 8 WS', line 7</t>
  </si>
  <si>
    <t>State or local income tax refunds, credits, offsets</t>
  </si>
  <si>
    <t>Box 2 amount is for tax year</t>
  </si>
  <si>
    <t>---</t>
  </si>
  <si>
    <t>RTAA Payments</t>
  </si>
  <si>
    <t>Taxable grants</t>
  </si>
  <si>
    <t>7a</t>
  </si>
  <si>
    <t>Agriculture payments - Disaster payments</t>
  </si>
  <si>
    <t>7b</t>
  </si>
  <si>
    <t>Agriculture payments - Other payments</t>
  </si>
  <si>
    <t>Check if box 2 is trade or business income</t>
  </si>
  <si>
    <t>9</t>
  </si>
  <si>
    <t>Market gain</t>
  </si>
  <si>
    <t>10a</t>
  </si>
  <si>
    <t>10b</t>
  </si>
  <si>
    <t>State income tax withheld</t>
  </si>
  <si>
    <t>Spouse Total</t>
  </si>
  <si>
    <t>Sch. 1 Line 8 WS', line 8     /    Sch. 1, line 7</t>
  </si>
  <si>
    <t>Sch. 1, line 8</t>
  </si>
  <si>
    <t>Sch. 1, line 8 and 'Earned Inc WS', line 4a</t>
  </si>
  <si>
    <t>Sch. F, Line 6a</t>
  </si>
  <si>
    <t>Sch. F, Line 4a</t>
  </si>
  <si>
    <t>Sch. A, Line 5a</t>
  </si>
  <si>
    <t>This form has yet to be implemented.</t>
  </si>
  <si>
    <t>Download and follow IRS instructions for where the information and amounts should be entered.</t>
  </si>
  <si>
    <t>NOTE:</t>
  </si>
  <si>
    <t>https://www.irs.gov/pub/irs-pdf/f1099msc.pdf</t>
  </si>
  <si>
    <t>Information from Form 1099-R, Distributions From Pensions, Annuities, Retirement or Profit-Sharing  Plans, IRAs, Insurance Contracts, etc.</t>
  </si>
  <si>
    <t>Enter payer's name here.</t>
  </si>
  <si>
    <t>Total
IRAs</t>
  </si>
  <si>
    <t>Total Pension / Annuities</t>
  </si>
  <si>
    <t xml:space="preserve">Qualified
CONVersion
to ROTH IRA </t>
  </si>
  <si>
    <t>IRA</t>
  </si>
  <si>
    <t>P/A</t>
  </si>
  <si>
    <t>CONV</t>
  </si>
  <si>
    <t>Enter "IRA" or "P/A" or "CONV" &gt;&gt;&gt;</t>
  </si>
  <si>
    <t>Gross distribution</t>
  </si>
  <si>
    <t>Taxable amount</t>
  </si>
  <si>
    <t>Taxable amount not determined / total distr.</t>
  </si>
  <si>
    <t>Capital gain (included in box 2a)</t>
  </si>
  <si>
    <t>Employee contributions / Insurance premiums / 
Designated Roth IRA contributions</t>
  </si>
  <si>
    <t>Net unrealized appreciation in employer's securities</t>
  </si>
  <si>
    <r>
      <t xml:space="preserve">Distribution code(s) </t>
    </r>
    <r>
      <rPr>
        <b/>
        <sz val="10"/>
        <rFont val="Arial"/>
        <family val="2"/>
      </rPr>
      <t>(Code D only)</t>
    </r>
  </si>
  <si>
    <t>9a</t>
  </si>
  <si>
    <t>Your percentage of  total distribution</t>
  </si>
  <si>
    <t>9b</t>
  </si>
  <si>
    <t>Total employee contributions</t>
  </si>
  <si>
    <t>Amount allocable to IRR within 5 years</t>
  </si>
  <si>
    <t>1st year of desig. Roth contrib.</t>
  </si>
  <si>
    <t>Date of Payment</t>
  </si>
  <si>
    <t>State/payer's state no.</t>
  </si>
  <si>
    <t>State distribution</t>
  </si>
  <si>
    <t>Local tax withheld</t>
  </si>
  <si>
    <t>Name of locality</t>
  </si>
  <si>
    <t>Local distribution</t>
  </si>
  <si>
    <t xml:space="preserve">Qualified
Conversion
to ROTH IRA </t>
  </si>
  <si>
    <t>Capital gain (not included in box 2a)</t>
  </si>
  <si>
    <t>Total Distributions</t>
  </si>
  <si>
    <t>Total          IRAs</t>
  </si>
  <si>
    <t>Total
Pension / Annuities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</si>
  <si>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</si>
  <si>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Form 1040, Line 4a, 5a</t>
  </si>
  <si>
    <t>the total IRA distributions (from Form(s) 1099-R, box 2a) on line 4b;</t>
  </si>
  <si>
    <t>Form 1040, Line 4b, 5b</t>
  </si>
  <si>
    <t>do not make an entry on line 4a.</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</si>
  <si>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</si>
  <si>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t>enter the total pension or annuity distributions (from Form(s) 1099-R, box 2a)</t>
  </si>
  <si>
    <t>on line 5b; do not make an entry on line 5a.</t>
  </si>
  <si>
    <t>If your Form 1099-R doesn't show the taxable amount, you must use</t>
  </si>
  <si>
    <r>
      <t xml:space="preserve">Distribution code(s) </t>
    </r>
    <r>
      <rPr>
        <b/>
        <sz val="10"/>
        <rFont val="Arial"/>
        <family val="2"/>
      </rPr>
      <t>(Portion of line 2a w/Code D)</t>
    </r>
  </si>
  <si>
    <t>Form 8960, Line 3 (for Dist. Code 'D' only)</t>
  </si>
  <si>
    <t>the General Rule explained in Pub. 939 to figure the taxable part to enter on</t>
  </si>
  <si>
    <t>line 4b. But if your annuity starting date was after July 1, 1986,</t>
  </si>
  <si>
    <t>Your percentage of total distribution</t>
  </si>
  <si>
    <r>
      <t xml:space="preserve">see Simplified Method, sheet </t>
    </r>
    <r>
      <rPr>
        <b/>
        <sz val="10"/>
        <color rgb="FF008000"/>
        <rFont val="Arial"/>
        <family val="2"/>
      </rPr>
      <t>"Lines 5ab (Simplified Meth WS)"</t>
    </r>
    <r>
      <rPr>
        <sz val="10"/>
        <color rgb="FF008000"/>
        <rFont val="Arial"/>
        <family val="2"/>
      </rPr>
      <t xml:space="preserve">, to find out if you </t>
    </r>
  </si>
  <si>
    <t>must use that method to figure the taxable part.  You can ask the IRS to figure the</t>
  </si>
  <si>
    <t>taxable part for you for a $1,000 fee. For details, see Pub. 939.</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</si>
  <si>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</si>
  <si>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</si>
  <si>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t>Portion of state and local taxes w/Code D</t>
  </si>
  <si>
    <t xml:space="preserve">Lines 4a and 4b </t>
  </si>
  <si>
    <t>Note:  This worksheet is intended to be used for one IRA at a time.</t>
  </si>
  <si>
    <t>IRA Distributions Worksheet</t>
  </si>
  <si>
    <t xml:space="preserve">You should receive a Form 1099-R showing the total amount of any distribution from your IRA before income tax or other deductions were withheld. This amount should be shown in box 1 of Form 1099-R. </t>
  </si>
  <si>
    <t xml:space="preserve">Unless otherwise noted in the line 4a and 4b instructions, an IRA includes a traditional IRA, Roth IRA, simplified employee pension (SEP) IRA, and a savings incentive match plan for employees (SIMPLE) IRA. </t>
  </si>
  <si>
    <t>Exception 1.</t>
  </si>
  <si>
    <t>Enter the total distribution on line 4a</t>
  </si>
  <si>
    <t xml:space="preserve">if you rolled over part or all of the distribution from one: </t>
  </si>
  <si>
    <t>                         </t>
  </si>
  <si>
    <r>
      <t>·</t>
    </r>
    <r>
      <rPr>
        <sz val="11"/>
        <color rgb="FF000000"/>
        <rFont val="Times New Roman"/>
        <family val="1"/>
      </rPr>
      <t xml:space="preserve">         Roth IRA to another Roth IRA, or </t>
    </r>
  </si>
  <si>
    <r>
      <t>·</t>
    </r>
    <r>
      <rPr>
        <sz val="11"/>
        <color rgb="FF000000"/>
        <rFont val="Times New Roman"/>
        <family val="1"/>
      </rPr>
      <t xml:space="preserve">         IRA (other than a Roth IRA) to a qualified plan or another IRA (other than a Roth IRA). </t>
    </r>
  </si>
  <si>
    <t xml:space="preserve"> If  the  total  distribution  was  rolled  over,</t>
  </si>
  <si>
    <t xml:space="preserve">enter -0- on line 4b. </t>
  </si>
  <si>
    <t xml:space="preserve"> If  the  total  distribution  wasn't  rolled over,</t>
  </si>
  <si>
    <t>enter the part not rolled over on line 4b</t>
  </si>
  <si>
    <t xml:space="preserve">Also enter “Rollover” next to line 4b. </t>
  </si>
  <si>
    <t xml:space="preserve">Generally, a rollover must be made within 60 days after the day you received the distribution. For more details on rollovers, see Pub. 590-A and Pub. 590-B. </t>
  </si>
  <si>
    <t>Exception 2.</t>
  </si>
  <si>
    <t xml:space="preserve"> If any of the following apply,</t>
  </si>
  <si>
    <t>and</t>
  </si>
  <si>
    <t>see Form 8606 and its instructions to figure the amount to enter on line 4b.</t>
  </si>
  <si>
    <t>You received a distribution from a Roth IRA. But if either (a) or (b) below applies,</t>
  </si>
  <si>
    <t xml:space="preserve">enter -0- on line 4b;  you don’t have to see Form 8606 or its instructions. </t>
  </si>
  <si>
    <t xml:space="preserve">a.       Distribution code T is shown in box 7 of Form 1099-R and you made a contribution (including a conversion) to a Roth IRA for 2016 or an earlier year. </t>
  </si>
  <si>
    <t xml:space="preserve">b.       Distribution code Q is shown in box 7 of Form 1099-R. </t>
  </si>
  <si>
    <t xml:space="preserve">You re-characterized part or all of a contribution to a Roth IRA as a contribution to another type of IRA, or vice versa. </t>
  </si>
  <si>
    <t>Exception 3.</t>
  </si>
  <si>
    <r>
      <t xml:space="preserve">If all or part of the distribution is a </t>
    </r>
    <r>
      <rPr>
        <b/>
        <sz val="11"/>
        <rFont val="Times New Roman"/>
        <family val="1"/>
      </rPr>
      <t>qualified charitable distribution (QCD)</t>
    </r>
    <r>
      <rPr>
        <sz val="11"/>
        <rFont val="Times New Roman"/>
        <family val="1"/>
      </rPr>
      <t>,</t>
    </r>
  </si>
  <si>
    <t>If the  total  amount  distributed is a QCD,</t>
  </si>
  <si>
    <t>If only part of the distribution is a QCD,</t>
  </si>
  <si>
    <t>enter the part that is not a QCD on line 4b</t>
  </si>
  <si>
    <t>A QCD is a distribution made directly by the trustee of your IRA (other than an ongoing SEP or SIMPLE IRA) to an organization eligible to receive tax-deductible</t>
  </si>
  <si>
    <t xml:space="preserve">contributions (with certain exceptions). You must have been at least age 70 1/2 when the distribution was made. </t>
  </si>
  <si>
    <t>The amount of the QCD is limited to the amount that would otherwise be included in your income.</t>
  </si>
  <si>
    <t xml:space="preserve">If your IRA includes nondeductible contributions, the distribution is first considered to be paid out of otherwise taxable income. See Pub. 590-B for details. </t>
  </si>
  <si>
    <t xml:space="preserve">You can't claim a charitable contribution deduction for any QCD not included in your income. </t>
  </si>
  <si>
    <t>Exception 4.</t>
  </si>
  <si>
    <r>
      <t xml:space="preserve"> If all or part of the  distribution is a  </t>
    </r>
    <r>
      <rPr>
        <b/>
        <sz val="11"/>
        <rFont val="Times New Roman"/>
        <family val="1"/>
      </rPr>
      <t>health  savings  account (HSA)</t>
    </r>
    <r>
      <rPr>
        <sz val="11"/>
        <rFont val="Times New Roman"/>
        <family val="1"/>
      </rPr>
      <t xml:space="preserve">  </t>
    </r>
    <r>
      <rPr>
        <b/>
        <sz val="11"/>
        <rFont val="Times New Roman"/>
        <family val="1"/>
      </rPr>
      <t>funding distribution (HFD)</t>
    </r>
    <r>
      <rPr>
        <sz val="11"/>
        <rFont val="Times New Roman"/>
        <family val="1"/>
      </rPr>
      <t>,</t>
    </r>
  </si>
  <si>
    <t>If the total amount distributed is an HFD and you elect to exclude it from income,</t>
  </si>
  <si>
    <t>If  only  part of  the  distribution is an HFD  and  you elect to exclude that part from income,</t>
  </si>
  <si>
    <t>enter the part that isn't an HFD on line 4b</t>
  </si>
  <si>
    <t>An HFD is a distribution made directly by the trustee of your IRA (other than an ongoing SEP or SIMPLE IRA) to your HSA.</t>
  </si>
  <si>
    <t>If eligible, you can generally elect to exclude an HFD from your income once in your lifetime.</t>
  </si>
  <si>
    <t>You can't exclude more than the limit on HSA contributions or more than the amount that would otherwise be included in your income.</t>
  </si>
  <si>
    <t xml:space="preserve">If your IRA includes nondeductible contributions, the HFD is first considered to be paid out of otherwise taxable income. See Pub. 969 for details. </t>
  </si>
  <si>
    <t>CAUTION!</t>
  </si>
  <si>
    <t>The amount of an HFD reduces the amount you can contribute to your HSA for the year.</t>
  </si>
  <si>
    <t>If you fail to maintain eligibility for an HSA for the 12 months following the month of the HFD, you may have to report the HFD as income and</t>
  </si>
  <si>
    <t xml:space="preserve">pay an additional tax. See Form 8889, Part III. </t>
  </si>
  <si>
    <r>
      <rPr>
        <b/>
        <sz val="11"/>
        <rFont val="Times New Roman"/>
        <family val="1"/>
      </rPr>
      <t>More than one exception applies.</t>
    </r>
    <r>
      <rPr>
        <sz val="11"/>
        <rFont val="Times New Roman"/>
        <family val="1"/>
      </rPr>
      <t xml:space="preserve"> If more than one exception applies, include a statement showing the amount of each exception, instead of making an entry next to line 4b.</t>
    </r>
  </si>
  <si>
    <r>
      <rPr>
        <b/>
        <sz val="11"/>
        <rFont val="Times New Roman"/>
        <family val="1"/>
      </rPr>
      <t>More than one distribution.</t>
    </r>
    <r>
      <rPr>
        <sz val="11"/>
        <rFont val="Times New Roman"/>
        <family val="1"/>
      </rPr>
      <t xml:space="preserve"> If you (or your spouse if filing jointly) received more than one distribution, figure the taxable amount of each distribution and </t>
    </r>
  </si>
  <si>
    <t xml:space="preserve">Enter the total of the taxable amounts on line 4b. Enter the total amount of those distributions on line 4a. </t>
  </si>
  <si>
    <t>You may have to pay an additional tax if you received an early distribution from your IRA and the total wasn't rolled over. See the instructions for Schedule 2, line 8, for details.</t>
  </si>
  <si>
    <r>
      <rPr>
        <b/>
        <sz val="11"/>
        <rFont val="Times New Roman"/>
        <family val="1"/>
      </rPr>
      <t>More information.</t>
    </r>
    <r>
      <rPr>
        <sz val="11"/>
        <rFont val="Times New Roman"/>
        <family val="1"/>
      </rPr>
      <t xml:space="preserve"> For more information about IRAs, see Pub. 590-A and Pub. 590-B.</t>
    </r>
  </si>
  <si>
    <t>Information from Form SSA-1099, Social Security Benefit Statement</t>
  </si>
  <si>
    <t>Used on Notice 703, Line A (below)</t>
  </si>
  <si>
    <t>Voluntary Federal income Tax Withheld</t>
  </si>
  <si>
    <t>Used in 1040, line 25b</t>
  </si>
  <si>
    <t>Notice 703</t>
  </si>
  <si>
    <t>Department of the Treasury</t>
  </si>
  <si>
    <t>(Rev. October 2020)</t>
  </si>
  <si>
    <t>Internal Revenue Service</t>
  </si>
  <si>
    <t>Read This To See If Your Social Security Benefits May Be Taxable</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</si>
  <si>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</si>
  <si>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Manual
Override
</t>
    </r>
    <r>
      <rPr>
        <b/>
        <sz val="10"/>
        <rFont val="Wingdings"/>
        <charset val="2"/>
      </rPr>
      <t>ê</t>
    </r>
  </si>
  <si>
    <r>
      <rPr>
        <b/>
        <sz val="11"/>
        <rFont val="Arial"/>
        <family val="2"/>
      </rPr>
      <t>Note.</t>
    </r>
    <r>
      <rPr>
        <sz val="11"/>
        <rFont val="Arial"/>
        <family val="2"/>
      </rPr>
      <t xml:space="preserve"> If you plan to file a joint income tax return, include your spouse's amounts, if any, on lines A, C, and D</t>
    </r>
  </si>
  <si>
    <t>A</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</si>
  <si>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</si>
  <si>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Line A is used in</t>
  </si>
  <si>
    <r>
      <t>earlier years</t>
    </r>
    <r>
      <rPr>
        <b/>
        <sz val="10"/>
        <rFont val="Arial"/>
        <family val="2"/>
      </rPr>
      <t>.   .   .   .   .   .   .   .   .   .   .   .   .   .   .   .   .   .   .   .   .   .   .   .   .   .   .   .   .   .   .   .   .   .   .   .   .   .   .   .   .   .   .   .   .   .</t>
    </r>
  </si>
  <si>
    <t xml:space="preserve">   .   .   .   .   .   .   .   .   .   .   .   .   .   .   .   .   .   .   .   .   .   .   .   .   .   .   .   .   .   .   .   .   .   .   .   .   .   .   .   .   .   .   .   .   .</t>
  </si>
  <si>
    <t>Sheet "Line 6ab (SS Bene)", line 1.</t>
  </si>
  <si>
    <t>B</t>
  </si>
  <si>
    <t xml:space="preserve">.   .   .   .   .   .   .   .   .   .   .   .   .   .   .   .   .   .   .   .   .   .   .   .   .   .   .   .   .   .   .   .   .   .   .   .   .   .   .   .   .   .   .   .   .   .   .   .   .   .   . </t>
  </si>
  <si>
    <t>C</t>
  </si>
  <si>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</si>
  <si>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</si>
  <si>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t>D</t>
  </si>
  <si>
    <t>Enter any tax-exempt interest such as interest on municipal bonds</t>
  </si>
  <si>
    <t>.   .   .   .   .   .   .   .   .   .   .   .   .   .   .   .   .   .   .   .   .</t>
  </si>
  <si>
    <t>E</t>
  </si>
  <si>
    <r>
      <t xml:space="preserve">Add lines B, C, and D, and enter the total here. </t>
    </r>
    <r>
      <rPr>
        <b/>
        <sz val="10"/>
        <rFont val="Arial"/>
        <family val="2"/>
      </rPr>
      <t>Then, read the information below</t>
    </r>
  </si>
  <si>
    <t>.   .   .   .   .   .   .   .   .   .   .   .   .   .</t>
  </si>
  <si>
    <t>Part of your social security benefits may be taxable.</t>
  </si>
  <si>
    <r>
      <t xml:space="preserve">If </t>
    </r>
    <r>
      <rPr>
        <b/>
        <sz val="10"/>
        <rFont val="Arial"/>
        <family val="2"/>
      </rPr>
      <t>none</t>
    </r>
    <r>
      <rPr>
        <sz val="10"/>
        <rFont val="Arial"/>
        <family val="2"/>
      </rPr>
      <t xml:space="preserve"> of your benefits are taxable, but you must otherwise file a tax return, do the following</t>
    </r>
  </si>
  <si>
    <t>Railroad Retirement Benefits, for
rules on a lump-sum election you
can make that may reduce the
amount of your taxable benefits.</t>
  </si>
  <si>
    <r>
      <t xml:space="preserve">o  Enter the total amount from line A above on Form 1040, line 6a, </t>
    </r>
    <r>
      <rPr>
        <b/>
        <sz val="10"/>
        <rFont val="Arial"/>
        <family val="2"/>
      </rPr>
      <t>and</t>
    </r>
    <r>
      <rPr>
        <sz val="10"/>
        <rFont val="Arial"/>
        <family val="2"/>
      </rPr>
      <t xml:space="preserve"> enter -0- on Form 1040, line 6b.</t>
    </r>
  </si>
  <si>
    <t>Get More Information 
From the IRS</t>
  </si>
  <si>
    <t>Do not return this notice to the SSA or the IRS. Keep it with your records.</t>
  </si>
  <si>
    <t>IRS.gov</t>
  </si>
  <si>
    <t>Catalog No. 61879N</t>
  </si>
  <si>
    <t>NOTE:  Check every calculation carefully!!!</t>
  </si>
  <si>
    <t>www.excel1040.com</t>
  </si>
  <si>
    <t>© Glenn Reeves, 2023</t>
  </si>
  <si>
    <r>
      <t xml:space="preserve">Check here to remove </t>
    </r>
    <r>
      <rPr>
        <b/>
        <sz val="9"/>
        <color rgb="FF0070C0"/>
        <rFont val="Arial"/>
        <family val="2"/>
      </rPr>
      <t>blue</t>
    </r>
    <r>
      <rPr>
        <b/>
        <sz val="9"/>
        <color rgb="FF008000"/>
        <rFont val="Arial"/>
        <family val="2"/>
      </rPr>
      <t xml:space="preserve"> &amp; green colors from all sheets.</t>
    </r>
  </si>
  <si>
    <t>Alaska</t>
  </si>
  <si>
    <t>Hawaii</t>
  </si>
  <si>
    <t>Maine</t>
  </si>
  <si>
    <t>Mass.</t>
  </si>
  <si>
    <t>D.C.</t>
  </si>
  <si>
    <t>OMB No. 1545-0074</t>
  </si>
  <si>
    <t>Filing Status:</t>
  </si>
  <si>
    <t>Filing Status</t>
  </si>
  <si>
    <t xml:space="preserve"> Single</t>
  </si>
  <si>
    <t xml:space="preserve"> Married filing jointly</t>
  </si>
  <si>
    <t>Married filing separately (MFS)</t>
  </si>
  <si>
    <t>Head of Household (HOH)</t>
  </si>
  <si>
    <t>If you checked the MFS box, enter the name of spouse.</t>
  </si>
  <si>
    <t>person is a child but not your dependent.</t>
  </si>
  <si>
    <t>Your first name and middle initial</t>
  </si>
  <si>
    <t>Your social security number</t>
  </si>
  <si>
    <t>For 'Patriots' Day or</t>
  </si>
  <si>
    <t>Emancipation Day (D.C.)</t>
  </si>
  <si>
    <t>If joint return, spouse's first name and middle initial</t>
  </si>
  <si>
    <t xml:space="preserve">   Last name</t>
  </si>
  <si>
    <t>Home address (number and street). If you have a P.O. box, see instructions.</t>
  </si>
  <si>
    <t xml:space="preserve">  Apt. no.</t>
  </si>
  <si>
    <t>Presidential Election Campaign</t>
  </si>
  <si>
    <t>Check here if you, or your 
spouse if filing jointly, want $3 
to go to this fund.  Checking a 
box below will not change 
your tax or refund.</t>
  </si>
  <si>
    <t>Month (e.g. '11')</t>
  </si>
  <si>
    <t>Day (e.g. '9')</t>
  </si>
  <si>
    <t>Year (e.g. '1997')</t>
  </si>
  <si>
    <r>
      <t xml:space="preserve">City, town, or post office.  </t>
    </r>
    <r>
      <rPr>
        <sz val="8"/>
        <rFont val="Arial"/>
        <family val="2"/>
      </rPr>
      <t xml:space="preserve"> If you have a foreign address, also complete spaces below.</t>
    </r>
  </si>
  <si>
    <t>ZIP Code</t>
  </si>
  <si>
    <t xml:space="preserve">You </t>
  </si>
  <si>
    <t>Spouse cannot be claimed.</t>
  </si>
  <si>
    <t>Foreign country name</t>
  </si>
  <si>
    <t>Foreign province/state/county</t>
  </si>
  <si>
    <t>Foreign postal code</t>
  </si>
  <si>
    <t>You</t>
  </si>
  <si>
    <t>Spouse</t>
  </si>
  <si>
    <t>Digital
Assets</t>
  </si>
  <si>
    <t>Yes</t>
  </si>
  <si>
    <t>No</t>
  </si>
  <si>
    <t>Standard
Deduction</t>
  </si>
  <si>
    <t>Someone can claim:</t>
  </si>
  <si>
    <t xml:space="preserve"> You as a dependent</t>
  </si>
  <si>
    <t xml:space="preserve">  Your spouse as a dependent</t>
  </si>
  <si>
    <t xml:space="preserve"> Spouse itemizes on a separate return or you were a dual-status alien</t>
  </si>
  <si>
    <t>Age / Blindness</t>
  </si>
  <si>
    <t>You:</t>
  </si>
  <si>
    <t xml:space="preserve"> Are blind</t>
  </si>
  <si>
    <t xml:space="preserve">Spouse: </t>
  </si>
  <si>
    <t xml:space="preserve"> Is blind</t>
  </si>
  <si>
    <t>Dependents</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</si>
  <si>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</si>
  <si>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</si>
  <si>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(see instructions) :</t>
  </si>
  <si>
    <t>(4)</t>
  </si>
  <si>
    <t>if qualified for (see instructions):</t>
  </si>
  <si>
    <t>Enter information on qualifying children and dependents on the 'Dependents' tab.</t>
  </si>
  <si>
    <t>If more 
than four 
dependents, 
see instructions 
and check</t>
  </si>
  <si>
    <r>
      <rPr>
        <b/>
        <sz val="9"/>
        <rFont val="Arial"/>
        <family val="2"/>
      </rPr>
      <t>(1)</t>
    </r>
    <r>
      <rPr>
        <sz val="9"/>
        <rFont val="Arial"/>
        <family val="2"/>
      </rPr>
      <t xml:space="preserve">  First name</t>
    </r>
  </si>
  <si>
    <t>Last name</t>
  </si>
  <si>
    <t>Child tax credit</t>
  </si>
  <si>
    <t>Credit for other dependents</t>
  </si>
  <si>
    <t>Enter information for dependents on the 'Dependents' sheet.</t>
  </si>
  <si>
    <t>Number of qualifying children.</t>
  </si>
  <si>
    <t>Number of other dependents.</t>
  </si>
  <si>
    <t>Tax Family Size  (for Form 8962, Premium Tax Credit)</t>
  </si>
  <si>
    <t>here</t>
  </si>
  <si>
    <t>Manual
Override</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</si>
  <si>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</si>
  <si>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Income</t>
  </si>
  <si>
    <t>a</t>
  </si>
  <si>
    <t>Total amount from Form(s) W-2, box 1 (see instructions)</t>
  </si>
  <si>
    <t xml:space="preserve">.   .   .   .   .   .   .   .   .   .   .   .   .   .   .   .   . </t>
  </si>
  <si>
    <t>4a</t>
  </si>
  <si>
    <t>b</t>
  </si>
  <si>
    <t>Household employee wages not reported on Form(s) W-2</t>
  </si>
  <si>
    <t xml:space="preserve">.   .   .   .   .   .   .   .   .   .   .   .   .   .   .   . </t>
  </si>
  <si>
    <t>Attach Form(s) W-2 here. Also attach Forms 
W-2G and 
1099-R if tax 
was withheld.</t>
  </si>
  <si>
    <t>c</t>
  </si>
  <si>
    <t>Tip income not reported on line 1a (see instructions)</t>
  </si>
  <si>
    <t xml:space="preserve">.   .   .   .   .   .   .   .   .   .   .   .   .   .   .   .   .   . </t>
  </si>
  <si>
    <t>1c</t>
  </si>
  <si>
    <t>d</t>
  </si>
  <si>
    <t>Medicaid waiver payments not reported on Form(s) W-2 (see instructions)</t>
  </si>
  <si>
    <t xml:space="preserve">.   .   .   .   .   .   .   .   .   . </t>
  </si>
  <si>
    <t>1d</t>
  </si>
  <si>
    <t>e</t>
  </si>
  <si>
    <t>Taxable dependent care benefits from Form 2441, line 26</t>
  </si>
  <si>
    <t>1e</t>
  </si>
  <si>
    <t>f</t>
  </si>
  <si>
    <t>Employer provided adoption benefits from Form 8839, line 29</t>
  </si>
  <si>
    <t xml:space="preserve">.   .   .   .   .   .   .   .   .   .   .   .   .   .   . </t>
  </si>
  <si>
    <t>1f</t>
  </si>
  <si>
    <t>g</t>
  </si>
  <si>
    <t>Wages from Form 8919, line 6</t>
  </si>
  <si>
    <t xml:space="preserve">.   .   .   .   .   .   .   .   .   .   .   .   .   .   .   .   .   .   .   .   .   .   .   .   . </t>
  </si>
  <si>
    <t>1g</t>
  </si>
  <si>
    <t>If you did not 
get a Form W-2, 
see instructions.</t>
  </si>
  <si>
    <t>h</t>
  </si>
  <si>
    <t>Other earned income (see instructions)</t>
  </si>
  <si>
    <t xml:space="preserve">.   .   .   .   .   .   .   .   .   .   .   .   .   .   .   .   .   .   .   .   .   . </t>
  </si>
  <si>
    <t>1h</t>
  </si>
  <si>
    <t>i</t>
  </si>
  <si>
    <t>Nontaxable combat pay election (see instructions)</t>
  </si>
  <si>
    <t>1i</t>
  </si>
  <si>
    <t>z</t>
  </si>
  <si>
    <t>Add lines 1a through 1h</t>
  </si>
  <si>
    <t xml:space="preserve">.   .   .   .   .   .   .   .   . </t>
  </si>
  <si>
    <t>1z</t>
  </si>
  <si>
    <t>Attach Sch. B
if required.</t>
  </si>
  <si>
    <t xml:space="preserve">.   .   .   . </t>
  </si>
  <si>
    <t>Taxable interest</t>
  </si>
  <si>
    <t>5a</t>
  </si>
  <si>
    <t>Ordinary dividends</t>
  </si>
  <si>
    <t xml:space="preserve">.   .   .   .   .   .   .   . </t>
  </si>
  <si>
    <t>Standard</t>
  </si>
  <si>
    <t>IRA distributions</t>
  </si>
  <si>
    <t>Standard versus Itemized Deduction</t>
  </si>
  <si>
    <t>Deduction for --</t>
  </si>
  <si>
    <t>Pensions and annuities</t>
  </si>
  <si>
    <t xml:space="preserve">.   .   . </t>
  </si>
  <si>
    <t>•</t>
  </si>
  <si>
    <t>Single or married</t>
  </si>
  <si>
    <t>Social security benefits</t>
  </si>
  <si>
    <t>Rollover</t>
  </si>
  <si>
    <t>filing separately</t>
  </si>
  <si>
    <t>If you elect to use the lump-sum election method, check here (see instructions)</t>
  </si>
  <si>
    <t xml:space="preserve">. </t>
  </si>
  <si>
    <t>Capital gain or (loss).  Attach Schedule D if required. If not required, check here</t>
  </si>
  <si>
    <t xml:space="preserve">.   .   .   .   .   .   . </t>
  </si>
  <si>
    <t>Over 65 or Blind</t>
  </si>
  <si>
    <t>Standard Deduction Chart</t>
  </si>
  <si>
    <t>Itemized</t>
  </si>
  <si>
    <t>Married filing</t>
  </si>
  <si>
    <t>Other income from Schedule 1, line 10</t>
  </si>
  <si>
    <t xml:space="preserve">.   .   .   .   .   .   .   .   .   .   .   .   .   .   .   .   .   .   .   .   .   .   . </t>
  </si>
  <si>
    <t>number of</t>
  </si>
  <si>
    <t>jointly or Qualifying</t>
  </si>
  <si>
    <r>
      <t xml:space="preserve">Add lines 1z, 2b, 3b, 4b, 5b, 6b, 7, and 8. This is your </t>
    </r>
    <r>
      <rPr>
        <b/>
        <sz val="9"/>
        <rFont val="Arial"/>
        <family val="2"/>
      </rPr>
      <t>total income</t>
    </r>
  </si>
  <si>
    <t xml:space="preserve">.   .   .   .   .   .   .   .   .   .   .   .   .   . </t>
  </si>
  <si>
    <t>boxes checked</t>
  </si>
  <si>
    <t>Head-of-H</t>
  </si>
  <si>
    <t>surviving spouse</t>
  </si>
  <si>
    <t>Adjustments to income from Schedule 1, line 26</t>
  </si>
  <si>
    <t xml:space="preserve">.   .   .   .   .   .   .   .   .   .   .   .   .   .   .   .   .   .   .   .   . </t>
  </si>
  <si>
    <r>
      <t xml:space="preserve">Subtract line 10 from line 9. This is your </t>
    </r>
    <r>
      <rPr>
        <b/>
        <sz val="9"/>
        <rFont val="Arial"/>
        <family val="2"/>
      </rPr>
      <t>adjusted gross income</t>
    </r>
  </si>
  <si>
    <t>NQDL</t>
  </si>
  <si>
    <t>Head of house</t>
  </si>
  <si>
    <r>
      <rPr>
        <b/>
        <sz val="9"/>
        <rFont val="Arial"/>
        <family val="2"/>
      </rPr>
      <t>Standard deduction or itemized deductions</t>
    </r>
    <r>
      <rPr>
        <sz val="9"/>
        <rFont val="Arial"/>
        <family val="2"/>
      </rPr>
      <t xml:space="preserve"> (from Schedule A)</t>
    </r>
  </si>
  <si>
    <t>Qualified business income deduction from Form 8995 or Form 8995-A</t>
  </si>
  <si>
    <t>If you checked any</t>
  </si>
  <si>
    <t>Add lines 12 and 13</t>
  </si>
  <si>
    <t xml:space="preserve">.   .   .   .   .   .   .   .   .   .   .   .   .   .   .   .   .   .   .   .   .   .   .   .   .   .   .   . </t>
  </si>
  <si>
    <t xml:space="preserve"> Standard Deduction</t>
  </si>
  <si>
    <t>Subtract line 14 from line 11.</t>
  </si>
  <si>
    <t>If zero or less, enter -0-.</t>
  </si>
  <si>
    <r>
      <t xml:space="preserve">This is your </t>
    </r>
    <r>
      <rPr>
        <b/>
        <sz val="9"/>
        <rFont val="Arial"/>
        <family val="2"/>
      </rPr>
      <t>taxable income</t>
    </r>
  </si>
  <si>
    <t xml:space="preserve">box, see instructions. </t>
  </si>
  <si>
    <t>For Disclosure, Privacy Act, and Paperwork Reduction Act Notice, see separate instructions.</t>
  </si>
  <si>
    <t>Cat. No. 11320B</t>
  </si>
  <si>
    <r>
      <t xml:space="preserve">Form </t>
    </r>
    <r>
      <rPr>
        <b/>
        <sz val="12"/>
        <rFont val="Arial"/>
        <family val="2"/>
      </rPr>
      <t>1040</t>
    </r>
  </si>
  <si>
    <r>
      <rPr>
        <sz val="9"/>
        <rFont val="Arial"/>
        <family val="2"/>
      </rPr>
      <t xml:space="preserve">Page  </t>
    </r>
    <r>
      <rPr>
        <b/>
        <sz val="12"/>
        <rFont val="Arial"/>
        <family val="2"/>
      </rPr>
      <t>2</t>
    </r>
  </si>
  <si>
    <r>
      <rPr>
        <b/>
        <sz val="10"/>
        <rFont val="Arial"/>
        <family val="2"/>
      </rPr>
      <t>Tax</t>
    </r>
    <r>
      <rPr>
        <sz val="10"/>
        <rFont val="Arial"/>
        <family val="2"/>
      </rPr>
      <t xml:space="preserve"> </t>
    </r>
    <r>
      <rPr>
        <sz val="8"/>
        <rFont val="Arial"/>
        <family val="2"/>
      </rPr>
      <t>(see instructions).  Check if any from Form(s):</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</si>
  <si>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</si>
  <si>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</si>
  <si>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t>The tax in Line 16 is</t>
  </si>
  <si>
    <t>Taxable_Inc</t>
  </si>
  <si>
    <t>MFJ/QW</t>
  </si>
  <si>
    <t>Tax and</t>
  </si>
  <si>
    <t>Amount from Schedule 2, line 3</t>
  </si>
  <si>
    <t xml:space="preserve">.   .   .   .   .   .   .   .   .   .   .   .   .   .   .   .   .   .   .   .   .   .   .   . </t>
  </si>
  <si>
    <t>calculated using:</t>
  </si>
  <si>
    <t>Credits</t>
  </si>
  <si>
    <t>Add lines 16 and 17</t>
  </si>
  <si>
    <t xml:space="preserve">.   .   .   .   .   .   .   .   .   .   .   .   .   .   .   .   .   .   .   .   .   .   .   .   .   .   .   .   . </t>
  </si>
  <si>
    <t>Child tax credit or credit for other dependents from Schedule 8812</t>
  </si>
  <si>
    <t xml:space="preserve">.   .   .   .   .   .   .   .   .   .   . </t>
  </si>
  <si>
    <t>Amount from Schedule 3, line 8</t>
  </si>
  <si>
    <t>Tax &gt;&gt;</t>
  </si>
  <si>
    <t>Add lines 19 and 20</t>
  </si>
  <si>
    <t>Subtract line 21 from line 18. If zero or less, enter -0-</t>
  </si>
  <si>
    <t>Other taxes, including self-employment tax, from Schedule 2, line 21</t>
  </si>
  <si>
    <t xml:space="preserve">.   .   .   .   .   .   .   .   .   .   .   .   . </t>
  </si>
  <si>
    <r>
      <t xml:space="preserve">Add lines 22 and 23. This is your </t>
    </r>
    <r>
      <rPr>
        <b/>
        <sz val="9"/>
        <rFont val="Arial"/>
        <family val="2"/>
      </rPr>
      <t>total tax</t>
    </r>
  </si>
  <si>
    <t xml:space="preserve">.   .   .   .   .   .   .   .   .   .   .   .   .   .   .   .   .   .   .   .   .   .   .   .   .   . </t>
  </si>
  <si>
    <t>Federal income tax withheld from:</t>
  </si>
  <si>
    <t>Payments</t>
  </si>
  <si>
    <t>Form(s) W-2</t>
  </si>
  <si>
    <t>25a</t>
  </si>
  <si>
    <t>Form(s) 1099</t>
  </si>
  <si>
    <t>25b</t>
  </si>
  <si>
    <r>
      <t>25b</t>
    </r>
    <r>
      <rPr>
        <sz val="10"/>
        <rFont val="Arial"/>
        <family val="2"/>
      </rPr>
      <t xml:space="preserve"> (add)</t>
    </r>
  </si>
  <si>
    <t>Birthdate and age calculator</t>
  </si>
  <si>
    <t>Jan</t>
  </si>
  <si>
    <t>Other forms (see instructions)</t>
  </si>
  <si>
    <t>25c</t>
  </si>
  <si>
    <r>
      <t>25c</t>
    </r>
    <r>
      <rPr>
        <sz val="10"/>
        <rFont val="Arial"/>
        <family val="2"/>
      </rPr>
      <t xml:space="preserve"> (add)</t>
    </r>
  </si>
  <si>
    <t>Feb</t>
  </si>
  <si>
    <t>Add lines 25a through 25c</t>
  </si>
  <si>
    <t xml:space="preserve">.   .   .   .   .   .   .   .   .   .   .   .   .   .   .   .   .   .   .   .   .   .   .   .   .   .   . </t>
  </si>
  <si>
    <t>25d</t>
  </si>
  <si>
    <t>Mar</t>
  </si>
  <si>
    <t>If you have a qualifying child, attach Sch EIC.</t>
  </si>
  <si>
    <t>Apr</t>
  </si>
  <si>
    <t>Earned income credit (EIC)</t>
  </si>
  <si>
    <t>27</t>
  </si>
  <si>
    <t>BadBirthday_Yours</t>
  </si>
  <si>
    <t>70th Birthday --&gt;</t>
  </si>
  <si>
    <t>May</t>
  </si>
  <si>
    <t>Additional child tax credit from Schedule 8812</t>
  </si>
  <si>
    <t>Jun</t>
  </si>
  <si>
    <t>American opportunity credit from Form 8863, line 8</t>
  </si>
  <si>
    <t xml:space="preserve">.   .   .   .   .   .   .   .   .   .   .   . </t>
  </si>
  <si>
    <t>Jul</t>
  </si>
  <si>
    <t>Reserved for future use</t>
  </si>
  <si>
    <t>Aug</t>
  </si>
  <si>
    <t>Amount from Schedule 3, line 15</t>
  </si>
  <si>
    <t>Sep</t>
  </si>
  <si>
    <r>
      <t xml:space="preserve">Add lines 27, 28, 29, and 31. These are your </t>
    </r>
    <r>
      <rPr>
        <b/>
        <sz val="9"/>
        <rFont val="Arial"/>
        <family val="2"/>
      </rPr>
      <t>total other payments and refundable credits</t>
    </r>
  </si>
  <si>
    <t xml:space="preserve">.   .   .   .   .   . </t>
  </si>
  <si>
    <t xml:space="preserve"> </t>
  </si>
  <si>
    <t>End of tax year minus 6 months --&gt;</t>
  </si>
  <si>
    <t>Oct</t>
  </si>
  <si>
    <r>
      <t xml:space="preserve">Add lines 25d, 26, and 32. These are your </t>
    </r>
    <r>
      <rPr>
        <b/>
        <sz val="9"/>
        <rFont val="Arial"/>
        <family val="2"/>
      </rPr>
      <t>total payments</t>
    </r>
  </si>
  <si>
    <t>YOU &gt;=24 Test</t>
  </si>
  <si>
    <t>Nov</t>
  </si>
  <si>
    <r>
      <t xml:space="preserve">If line 33 is more than line 24, subtract line 24 from line 33. This is the amount you </t>
    </r>
    <r>
      <rPr>
        <b/>
        <sz val="9"/>
        <rFont val="Arial"/>
        <family val="2"/>
      </rPr>
      <t>overpaid</t>
    </r>
  </si>
  <si>
    <t>YOU &gt;=25 Test</t>
  </si>
  <si>
    <t>Dec</t>
  </si>
  <si>
    <t>Refund</t>
  </si>
  <si>
    <r>
      <t xml:space="preserve">Amount of line 34 you want </t>
    </r>
    <r>
      <rPr>
        <b/>
        <sz val="9"/>
        <rFont val="Arial"/>
        <family val="2"/>
      </rPr>
      <t>refunded to you</t>
    </r>
    <r>
      <rPr>
        <sz val="9"/>
        <rFont val="Arial"/>
        <family val="2"/>
      </rPr>
      <t>. If Form 8888 is attached, check here</t>
    </r>
  </si>
  <si>
    <t xml:space="preserve">.   .   .   .   . </t>
  </si>
  <si>
    <t>YOU &lt;65 Test</t>
  </si>
  <si>
    <t>Bad</t>
  </si>
  <si>
    <t>Direct deposit?</t>
  </si>
  <si>
    <t>Routing number</t>
  </si>
  <si>
    <r>
      <rPr>
        <b/>
        <sz val="9"/>
        <rFont val="Arial"/>
        <family val="2"/>
      </rPr>
      <t xml:space="preserve">c </t>
    </r>
    <r>
      <rPr>
        <sz val="9"/>
        <rFont val="Arial"/>
        <family val="2"/>
      </rPr>
      <t>Type:</t>
    </r>
  </si>
  <si>
    <t>Checking</t>
  </si>
  <si>
    <t>Savings</t>
  </si>
  <si>
    <t>BOTH</t>
  </si>
  <si>
    <t>See instructions</t>
  </si>
  <si>
    <t xml:space="preserve">  Line 39 ---&gt;</t>
  </si>
  <si>
    <t>Amount 
You Owe</t>
  </si>
  <si>
    <r>
      <t xml:space="preserve">Subtract line 33 from line 24. This is the </t>
    </r>
    <r>
      <rPr>
        <b/>
        <sz val="9"/>
        <rFont val="Arial"/>
        <family val="2"/>
      </rPr>
      <t>amount you owe.</t>
    </r>
    <r>
      <rPr>
        <sz val="9"/>
        <rFont val="Arial"/>
        <family val="2"/>
      </rPr>
      <t xml:space="preserve"> </t>
    </r>
  </si>
  <si>
    <r>
      <t xml:space="preserve">For details on how to pay, go to </t>
    </r>
    <r>
      <rPr>
        <i/>
        <sz val="9"/>
        <rFont val="Arial"/>
        <family val="2"/>
      </rPr>
      <t>www.irs.gov/Payments</t>
    </r>
    <r>
      <rPr>
        <sz val="9"/>
        <rFont val="Arial"/>
        <family val="2"/>
      </rPr>
      <t xml:space="preserve"> or see instructions</t>
    </r>
  </si>
  <si>
    <t>Tax Day</t>
  </si>
  <si>
    <t>Monday is a holiday in some places.</t>
  </si>
  <si>
    <t>Third Party Designee</t>
  </si>
  <si>
    <t>Do you want to allow another person to discuss this return with the IRS?</t>
  </si>
  <si>
    <r>
      <rPr>
        <b/>
        <sz val="9"/>
        <rFont val="Arial"/>
        <family val="2"/>
      </rPr>
      <t xml:space="preserve">Yes.  </t>
    </r>
    <r>
      <rPr>
        <sz val="9"/>
        <rFont val="Arial"/>
        <family val="2"/>
      </rPr>
      <t>Complete below.</t>
    </r>
  </si>
  <si>
    <t xml:space="preserve"> No</t>
  </si>
  <si>
    <t>Designee's name</t>
  </si>
  <si>
    <t>Phone no.</t>
  </si>
  <si>
    <t>Personal identification 
number (PIN)</t>
  </si>
  <si>
    <t>Sign 
Here</t>
  </si>
  <si>
    <t>Under penalties of perjury, I declare that I have examined this return and accompanying schedules and statements, and to the best of my knowledge and</t>
  </si>
  <si>
    <t>belief, they are true, correct, and complete. Declaration of preparer (other than taxpayer) is based on all information of which preparer has any knowledge.</t>
  </si>
  <si>
    <t>BadBirthdaySpouse</t>
  </si>
  <si>
    <t>Your signature</t>
  </si>
  <si>
    <t>Your occupation</t>
  </si>
  <si>
    <t>If the IRS sent you an identity Protection PIN, enter it here</t>
  </si>
  <si>
    <t>Joint return?</t>
  </si>
  <si>
    <t>See instructions.</t>
  </si>
  <si>
    <t>(see inst.)</t>
  </si>
  <si>
    <t>Keep a copy</t>
  </si>
  <si>
    <r>
      <t xml:space="preserve">Spouse’s signature. If a joint return, </t>
    </r>
    <r>
      <rPr>
        <b/>
        <sz val="8"/>
        <rFont val="Arial"/>
        <family val="2"/>
      </rPr>
      <t>both</t>
    </r>
    <r>
      <rPr>
        <sz val="8"/>
        <rFont val="Arial"/>
        <family val="2"/>
      </rPr>
      <t xml:space="preserve"> must sign.</t>
    </r>
  </si>
  <si>
    <t>Spouse's occupation</t>
  </si>
  <si>
    <t>for your records.</t>
  </si>
  <si>
    <t>SPOUSE &gt;=24 Test</t>
  </si>
  <si>
    <t>Email address</t>
  </si>
  <si>
    <t>SPOUSE &gt;=25 Test</t>
  </si>
  <si>
    <t>Paid
Preparers
Use Only</t>
  </si>
  <si>
    <t>Preparer’s name</t>
  </si>
  <si>
    <t>Preparer’s signature</t>
  </si>
  <si>
    <t>PTIN</t>
  </si>
  <si>
    <t>Check if:</t>
  </si>
  <si>
    <t>SPOUSE &lt;65 Test</t>
  </si>
  <si>
    <t>Self-employed</t>
  </si>
  <si>
    <t>Firm’s name</t>
  </si>
  <si>
    <t>Firm’s address</t>
  </si>
  <si>
    <t>Firm's EIN</t>
  </si>
  <si>
    <r>
      <t xml:space="preserve">Go to </t>
    </r>
    <r>
      <rPr>
        <i/>
        <sz val="9"/>
        <rFont val="Arial"/>
        <family val="2"/>
      </rPr>
      <t>www.irs.gov/Form1040</t>
    </r>
    <r>
      <rPr>
        <sz val="9"/>
        <rFont val="Arial"/>
        <family val="2"/>
      </rPr>
      <t xml:space="preserve"> for instructions and the latest information.</t>
    </r>
  </si>
  <si>
    <r>
      <rPr>
        <sz val="10"/>
        <rFont val="Arial"/>
        <family val="2"/>
      </rPr>
      <t xml:space="preserve">Form </t>
    </r>
    <r>
      <rPr>
        <b/>
        <sz val="14"/>
        <rFont val="Arial"/>
        <family val="2"/>
      </rPr>
      <t>1040</t>
    </r>
  </si>
  <si>
    <t>Download Form 1040 General Instructions from IRS</t>
  </si>
  <si>
    <t>Download Form 1040 from IRS</t>
  </si>
  <si>
    <t>To be counted for Child Tax Credit, 
the following must be included:
- a valid Social Security Number
- Child Tax Credit box checked
- Birthdate</t>
  </si>
  <si>
    <t>Both (Error)</t>
  </si>
  <si>
    <t>Other Dependent</t>
  </si>
  <si>
    <t>Age</t>
  </si>
  <si>
    <t>Birthdate</t>
  </si>
  <si>
    <t>Valid SSN?</t>
  </si>
  <si>
    <t>Default SSN?</t>
  </si>
  <si>
    <t>B/D Missing?</t>
  </si>
  <si>
    <t>Other Depend</t>
  </si>
  <si>
    <t>Depend
w/valid SSN</t>
  </si>
  <si>
    <t>QC</t>
  </si>
  <si>
    <t>More
Dependents</t>
  </si>
  <si>
    <t>Override</t>
  </si>
  <si>
    <t>Children</t>
  </si>
  <si>
    <t>Other
Dependents</t>
  </si>
  <si>
    <t xml:space="preserve">Total number of Other Dependents:    [Line 19 (CTC)]  </t>
  </si>
  <si>
    <t xml:space="preserve">Total number of dependents:  </t>
  </si>
  <si>
    <t>Form 8812 &gt;</t>
  </si>
  <si>
    <t>Line 4</t>
  </si>
  <si>
    <t>Line 6</t>
  </si>
  <si>
    <t>No. of Dependents</t>
  </si>
  <si>
    <t>Line 30 WS &gt;</t>
  </si>
  <si>
    <t>Line 5</t>
  </si>
  <si>
    <r>
      <rPr>
        <b/>
        <sz val="12"/>
        <rFont val="Arial"/>
        <family val="2"/>
      </rPr>
      <t>SCHEDULE 1</t>
    </r>
    <r>
      <rPr>
        <b/>
        <sz val="11"/>
        <rFont val="Arial"/>
        <family val="2"/>
      </rPr>
      <t xml:space="preserve">
(Form 1040)</t>
    </r>
  </si>
  <si>
    <t>Additional Income and Adjustments to Income</t>
  </si>
  <si>
    <t>Attach to Form 1040, 1040-SR, or 1040-NR.</t>
  </si>
  <si>
    <r>
      <t xml:space="preserve">Attachment
Sequence  </t>
    </r>
    <r>
      <rPr>
        <b/>
        <sz val="12"/>
        <rFont val="Arial"/>
        <family val="2"/>
      </rPr>
      <t>01</t>
    </r>
  </si>
  <si>
    <r>
      <t xml:space="preserve">Go to </t>
    </r>
    <r>
      <rPr>
        <b/>
        <i/>
        <sz val="10"/>
        <rFont val="Arial"/>
        <family val="2"/>
      </rPr>
      <t>www.irs.gov/Form1040</t>
    </r>
    <r>
      <rPr>
        <b/>
        <sz val="10"/>
        <rFont val="Arial"/>
        <family val="2"/>
      </rPr>
      <t xml:space="preserve"> for instructions and the latest information.</t>
    </r>
  </si>
  <si>
    <t>Name(s) shown on Form 1040, 1040-SR, or 1040-NR</t>
  </si>
  <si>
    <t>Part I</t>
  </si>
  <si>
    <t>Additional Income</t>
  </si>
  <si>
    <t>Source:</t>
  </si>
  <si>
    <t>Taxable refunds, credits, or offsets of state and local income taxes</t>
  </si>
  <si>
    <t xml:space="preserve">.   .   .   .   .   .   .   .   .   .  </t>
  </si>
  <si>
    <t>TIP</t>
  </si>
  <si>
    <t>Alimony received</t>
  </si>
  <si>
    <t xml:space="preserve">.   .   .   .   .   .   .   .   .   .   .   .   .   .   .   .   .   .   .   .   .   .   .   .   .   .   .   .   .   .  </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</si>
  <si>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</si>
  <si>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t>Date of original divorce or separation agreement (see instructions)</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</si>
  <si>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</si>
  <si>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Business income or (loss). Attach Schedule C</t>
  </si>
  <si>
    <t xml:space="preserve">.   .   .   .   .   .   .   .   .   .   .   .   .   .   .   .   .   .  </t>
  </si>
  <si>
    <t>Other gains or (losses). Attach Form 4797</t>
  </si>
  <si>
    <t xml:space="preserve">.   .   .   .   .   .   .   .   .   .   .   .   .   .   .   .   .   .   .   .  </t>
  </si>
  <si>
    <t>Farm income or (loss). Attach Schedule F</t>
  </si>
  <si>
    <t>Unemployment compensation</t>
  </si>
  <si>
    <t>Form 1099-G</t>
  </si>
  <si>
    <t>Other income:</t>
  </si>
  <si>
    <t>Net operating loss</t>
  </si>
  <si>
    <t>8a</t>
  </si>
  <si>
    <t>(</t>
  </si>
  <si>
    <t>)</t>
  </si>
  <si>
    <t>Gambling</t>
  </si>
  <si>
    <t xml:space="preserve">.   .   .   .   .   .   .   .   .   .   .   .   .   .   .   .   .   .   .   .   .   .   .  </t>
  </si>
  <si>
    <t>8b</t>
  </si>
  <si>
    <t>Cancellation of debt</t>
  </si>
  <si>
    <t xml:space="preserve">.   .   .   .   .   .   .   .   .   .   .   .   .   .   .   .   .   .   .  </t>
  </si>
  <si>
    <t>8c</t>
  </si>
  <si>
    <t>Foreign earned income exclusion from Form 2555</t>
  </si>
  <si>
    <t xml:space="preserve">.   .   .   .   .   .   .  </t>
  </si>
  <si>
    <t>8d</t>
  </si>
  <si>
    <t>Income from Form 8853</t>
  </si>
  <si>
    <t xml:space="preserve">.   .   .   .   .   .   .   .   .   .   .   .   .   .   .   .   .  </t>
  </si>
  <si>
    <t>8e</t>
  </si>
  <si>
    <t>Income from Form 8889</t>
  </si>
  <si>
    <t>8f</t>
  </si>
  <si>
    <t>Alaska Permanent Fund dividends</t>
  </si>
  <si>
    <t xml:space="preserve">.   .   .   .   .   .   .   .   .   .   .   .   .   .  </t>
  </si>
  <si>
    <t>8g</t>
  </si>
  <si>
    <t>Jury duty pay</t>
  </si>
  <si>
    <t>8h</t>
  </si>
  <si>
    <t>Prizes and awards</t>
  </si>
  <si>
    <t>8i</t>
  </si>
  <si>
    <t>j</t>
  </si>
  <si>
    <t>Activity not engaged in for profit income</t>
  </si>
  <si>
    <t xml:space="preserve">.   .   .   .   .   .   .   .   .   .   .  </t>
  </si>
  <si>
    <t>8j</t>
  </si>
  <si>
    <t>k</t>
  </si>
  <si>
    <t>Stock options</t>
  </si>
  <si>
    <t xml:space="preserve">.   .  </t>
  </si>
  <si>
    <t>8k</t>
  </si>
  <si>
    <t>l</t>
  </si>
  <si>
    <t>Income from the rental of personal property if you engaged in the rental</t>
  </si>
  <si>
    <t>for profit but were not in the business of renting such property</t>
  </si>
  <si>
    <t xml:space="preserve">.   .   .  </t>
  </si>
  <si>
    <t>8l</t>
  </si>
  <si>
    <t>m</t>
  </si>
  <si>
    <t>Olympic and Paralympic medals and USOC prize money (see</t>
  </si>
  <si>
    <t>instructions)</t>
  </si>
  <si>
    <t>8m</t>
  </si>
  <si>
    <t>n</t>
  </si>
  <si>
    <t>Section 951(a) inclusion (see instructions)</t>
  </si>
  <si>
    <t>8n</t>
  </si>
  <si>
    <t>o</t>
  </si>
  <si>
    <t>Section 951A(a) inclusion (see instructions)</t>
  </si>
  <si>
    <t xml:space="preserve">.   .   .   .   .   .   .   .  </t>
  </si>
  <si>
    <t>8o</t>
  </si>
  <si>
    <t>p</t>
  </si>
  <si>
    <t>Section 461(l) excess business loss adjustment</t>
  </si>
  <si>
    <t>8p</t>
  </si>
  <si>
    <t>q</t>
  </si>
  <si>
    <t>Taxable distributions from an ABLE account (see instructions)</t>
  </si>
  <si>
    <t>8q</t>
  </si>
  <si>
    <t>r</t>
  </si>
  <si>
    <t>Scholarship and fellowship grants not reported on Form W-2</t>
  </si>
  <si>
    <t>8r</t>
  </si>
  <si>
    <t>s</t>
  </si>
  <si>
    <t>Nontaxable amount of Medicaid waiver payments included on Form</t>
  </si>
  <si>
    <t>1040, line 1a or 1d</t>
  </si>
  <si>
    <t>8s</t>
  </si>
  <si>
    <t>t</t>
  </si>
  <si>
    <t>Pension or annuity from a nonqualifed deferred compensation plan</t>
  </si>
  <si>
    <t>Line 8z Entry</t>
  </si>
  <si>
    <t>or a nongovernmental section 457 plan</t>
  </si>
  <si>
    <t>8t</t>
  </si>
  <si>
    <t>Type (Code)</t>
  </si>
  <si>
    <t>Amount</t>
  </si>
  <si>
    <t>u</t>
  </si>
  <si>
    <t>Wages earned while incarcerated</t>
  </si>
  <si>
    <t>8u</t>
  </si>
  <si>
    <t>Other income.  List type and amount:</t>
  </si>
  <si>
    <t xml:space="preserve"> Line 8z entry &gt;&gt;</t>
  </si>
  <si>
    <t>8z</t>
  </si>
  <si>
    <t>Total other income. Add lines 8a through 8z</t>
  </si>
  <si>
    <t>For Paperwork Reduction Act Notice, see your tax return instructions.</t>
  </si>
  <si>
    <t>Cat. No. 71479F</t>
  </si>
  <si>
    <r>
      <t xml:space="preserve">Page </t>
    </r>
    <r>
      <rPr>
        <b/>
        <sz val="12"/>
        <rFont val="Arial"/>
        <family val="2"/>
      </rPr>
      <t>2</t>
    </r>
  </si>
  <si>
    <t>Part II</t>
  </si>
  <si>
    <t>Adjustments to Income</t>
  </si>
  <si>
    <t>Educator expenses</t>
  </si>
  <si>
    <t xml:space="preserve">.   .   .   .   .   .   .   .   .   .   .   .   .   .   .   .   .   .   .   .   .   .   .   .   .   .   .   .   .  </t>
  </si>
  <si>
    <t>Certain business expenses of reservists, performing artists, and fee-basis government</t>
  </si>
  <si>
    <t>officials. Attach Form 2106</t>
  </si>
  <si>
    <t xml:space="preserve">.   .   .   .   .   .   .   .   .   .   .   .   .   .   .   .   .   .   .   .   .   .   .   .   .  </t>
  </si>
  <si>
    <t>Health savings account deduction. Attach Form 8889</t>
  </si>
  <si>
    <t xml:space="preserve">.   .   .   .   .   .   .   .   .   .   .   .  </t>
  </si>
  <si>
    <t>Moving expenses for members of the Armed Forces. Attach Form 3903</t>
  </si>
  <si>
    <t xml:space="preserve">.   .   .   .  </t>
  </si>
  <si>
    <t>Deductible part of self-employment tax. Attach Schedule SE</t>
  </si>
  <si>
    <t xml:space="preserve">.   .   .   .   .   .   .   .   .  </t>
  </si>
  <si>
    <t>Self-employed SEP, SIMPLE, and qualified plans</t>
  </si>
  <si>
    <t>Self-employed health insurance deduction</t>
  </si>
  <si>
    <t>Penalty on early withdrawal of savings</t>
  </si>
  <si>
    <t>19a</t>
  </si>
  <si>
    <t>Alimony paid</t>
  </si>
  <si>
    <t>Sheet "8889", line 13</t>
  </si>
  <si>
    <t>Recipient's SSN</t>
  </si>
  <si>
    <t>Sch. SE, line 13 (Sum of both forms)</t>
  </si>
  <si>
    <t>IRA deduction</t>
  </si>
  <si>
    <t>Student loan interest deduction</t>
  </si>
  <si>
    <t xml:space="preserve">.   .   .   .   .   .   .   .   .   .   .   .   .   .   .   .   .   .   .   .   .   .  </t>
  </si>
  <si>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</si>
  <si>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Sheet "1099-INT", Line 2</t>
  </si>
  <si>
    <t>Archer MSA deduction</t>
  </si>
  <si>
    <t xml:space="preserve">.   .   .   .   .   .   .   .   .   .   .   .   .   .   .   .   .   .   .   .   .   .   .   .   .   .  </t>
  </si>
  <si>
    <t>Other adjustments:</t>
  </si>
  <si>
    <t>Jury duty pay (see instructions)</t>
  </si>
  <si>
    <t xml:space="preserve">.   .   .   .   .   .   .   .   .   .   .   .   .   .   .  </t>
  </si>
  <si>
    <t>24a</t>
  </si>
  <si>
    <t>Deductible expenses related to income reported on line 8k from</t>
  </si>
  <si>
    <t>Sheet "Sch. 1, Line 20 (IRA)"</t>
  </si>
  <si>
    <t>the rental of personal property engaged in for profit</t>
  </si>
  <si>
    <t>24b</t>
  </si>
  <si>
    <t>Nontaxable amount of the value of Olympic and Paralympic</t>
  </si>
  <si>
    <t>24c</t>
  </si>
  <si>
    <t>Reforestation amortization and expenses</t>
  </si>
  <si>
    <t>24d</t>
  </si>
  <si>
    <t>24e</t>
  </si>
  <si>
    <t>Contributions to section 501(c)(18)(D) pension plans</t>
  </si>
  <si>
    <t>24f</t>
  </si>
  <si>
    <t>Contributions by certain chaplains to section 403(b) plans</t>
  </si>
  <si>
    <t xml:space="preserve">.   .   .   .   .  </t>
  </si>
  <si>
    <t>24g</t>
  </si>
  <si>
    <t>Attorney fees and court costs for actions involving certain</t>
  </si>
  <si>
    <t>unlawful discrimination claims (see instructions)</t>
  </si>
  <si>
    <t>24h</t>
  </si>
  <si>
    <t>Attorney fees and court costs you paid in connection with an</t>
  </si>
  <si>
    <t>award from the IRS for information you provided that helped the</t>
  </si>
  <si>
    <t>IRS detect tax law violations</t>
  </si>
  <si>
    <t xml:space="preserve">.   .   .   .   .   .   .   .   .   .   .   .   .   .   .   .  </t>
  </si>
  <si>
    <t>24i</t>
  </si>
  <si>
    <t>Housing deduction from Form 2555</t>
  </si>
  <si>
    <t xml:space="preserve">.   .   .   .   .   .   .   .   .   .   .   .   .  </t>
  </si>
  <si>
    <t>24j</t>
  </si>
  <si>
    <t>Sheet "2555", line 50</t>
  </si>
  <si>
    <t>Excess deductions of section 67(e) expenses from Schedule K-1</t>
  </si>
  <si>
    <t>(Form 1041)</t>
  </si>
  <si>
    <t>Other adjustments.  List type and amount</t>
  </si>
  <si>
    <t>24z</t>
  </si>
  <si>
    <t>Total other adjustments. Add lines 24a through 24z</t>
  </si>
  <si>
    <r>
      <t xml:space="preserve">Add lines 11 through 23 and 25. These are your </t>
    </r>
    <r>
      <rPr>
        <b/>
        <sz val="12"/>
        <rFont val="Arial"/>
        <family val="2"/>
      </rPr>
      <t>adjustments to income</t>
    </r>
    <r>
      <rPr>
        <sz val="12"/>
        <rFont val="Arial"/>
        <family val="2"/>
      </rPr>
      <t>. Enter</t>
    </r>
  </si>
  <si>
    <t xml:space="preserve"> .   .   .   .  </t>
  </si>
  <si>
    <t>®</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</si>
  <si>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</si>
  <si>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t>Single  (S)</t>
  </si>
  <si>
    <t xml:space="preserve">    credit claimed in an earlier year.</t>
  </si>
  <si>
    <t>Married filing jointly  (MFJ)</t>
  </si>
  <si>
    <t>Head of household  (HOH)</t>
  </si>
  <si>
    <t>Qualifying widow(er)  (QW)</t>
  </si>
  <si>
    <t>Claimed as dependent by someone else</t>
  </si>
  <si>
    <t xml:space="preserve">Check here if your spouse itemized </t>
  </si>
  <si>
    <t>State and Local Income Tax (SALT) Refund Worksheet -- Schedule 1, Line 1</t>
  </si>
  <si>
    <t>Keep for Your Records</t>
  </si>
  <si>
    <t>Before you begin:</t>
  </si>
  <si>
    <t>Ö</t>
  </si>
  <si>
    <r>
      <t xml:space="preserve">Be sure you have read the </t>
    </r>
    <r>
      <rPr>
        <b/>
        <i/>
        <sz val="10"/>
        <rFont val="Arial"/>
        <family val="2"/>
      </rPr>
      <t>Exception</t>
    </r>
    <r>
      <rPr>
        <sz val="10"/>
        <rFont val="Arial"/>
        <family val="2"/>
      </rPr>
      <t xml:space="preserve"> above to see if you can use this worksheet instead of</t>
    </r>
  </si>
  <si>
    <t>Pub. 525 to figure if any of your refund is taxable.</t>
  </si>
  <si>
    <r>
      <t xml:space="preserve">Override </t>
    </r>
    <r>
      <rPr>
        <b/>
        <sz val="10"/>
        <rFont val="Wingdings"/>
        <charset val="2"/>
      </rPr>
      <t>ê</t>
    </r>
  </si>
  <si>
    <r>
      <t xml:space="preserve">Enter the income tax refund from </t>
    </r>
    <r>
      <rPr>
        <b/>
        <sz val="10"/>
        <rFont val="Arial"/>
        <family val="2"/>
      </rPr>
      <t>Form(s) 1099-G</t>
    </r>
    <r>
      <rPr>
        <sz val="10"/>
        <rFont val="Arial"/>
        <family val="2"/>
      </rPr>
      <t xml:space="preserve"> (or similar statement).  </t>
    </r>
  </si>
  <si>
    <r>
      <t xml:space="preserve">But </t>
    </r>
    <r>
      <rPr>
        <b/>
        <sz val="10"/>
        <rFont val="Arial"/>
        <family val="2"/>
      </rPr>
      <t>don't</t>
    </r>
    <r>
      <rPr>
        <sz val="10"/>
        <rFont val="Arial"/>
        <family val="2"/>
      </rPr>
      <t xml:space="preserve"> enter more than the</t>
    </r>
  </si>
  <si>
    <t xml:space="preserve"> .   .   .   .   .   .</t>
  </si>
  <si>
    <t>Is the amount of state and local income taxes (or general sales taxes), real estate taxes, and personal property</t>
  </si>
  <si>
    <t>No.</t>
  </si>
  <si>
    <t>Enter the amount from line 1 on line 3 and go to line 4.</t>
  </si>
  <si>
    <t>Yes.</t>
  </si>
  <si>
    <t>from the amount of state and local income taxes (or</t>
  </si>
  <si>
    <t>general sales taxes), real estate taxes, and personal</t>
  </si>
  <si>
    <t>Is the amount on line 1 more than the amount on line 2?</t>
  </si>
  <si>
    <t xml:space="preserve"> No.</t>
  </si>
  <si>
    <t>STOP</t>
  </si>
  <si>
    <t>None of your refund is taxable.</t>
  </si>
  <si>
    <t xml:space="preserve"> Yes.</t>
  </si>
  <si>
    <t>Subtract line 2 from line 1.</t>
  </si>
  <si>
    <t>Note.</t>
  </si>
  <si>
    <t>line 4 on line 8, and go to line 9.</t>
  </si>
  <si>
    <t>Enter the amount shown below for the filing status claimed on your</t>
  </si>
  <si>
    <t>Check any boxes that apply. *</t>
  </si>
  <si>
    <t xml:space="preserve"> You are blind.</t>
  </si>
  <si>
    <t xml:space="preserve"> Spouse is blind.</t>
  </si>
  <si>
    <t>No boxes checked. Enter -0-.</t>
  </si>
  <si>
    <t>*If your filing status is married filing separately, you can check the boxes for your spouse only</t>
  </si>
  <si>
    <t>if your spouse had no income, isn't filing a return, and can't be claimed as a dependent on</t>
  </si>
  <si>
    <t>another person's return.</t>
  </si>
  <si>
    <t>Add lines 5 and 6</t>
  </si>
  <si>
    <t xml:space="preserve"> .   .   .   .   .   .   .   .   .   .   .   .   .   .   .   .   .   .   .   .   .   .</t>
  </si>
  <si>
    <t>Is the amount on line 7 less than the amount on line 4?</t>
  </si>
  <si>
    <r>
      <t>STOP</t>
    </r>
    <r>
      <rPr>
        <sz val="10"/>
        <rFont val="Arial"/>
        <family val="2"/>
      </rPr>
      <t xml:space="preserve">   None of your refund is taxable.</t>
    </r>
  </si>
  <si>
    <t>Subtract line 7 from line 4</t>
  </si>
  <si>
    <t>.   .   .   .   .   .   .   .   .   .   .   .   .   .   .   .   .   .   .   .   .   .   .   .   .</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</si>
  <si>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</si>
  <si>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t>IRA Deduction Worksheet – Schedule 1, Line 20</t>
  </si>
  <si>
    <t>Be sure you have read the the instructions for this line. You may not be able to use this worksheet.</t>
  </si>
  <si>
    <t>Figure any write-in adjustments to be entered on the dotted line next to Schedule 1, line 24z.</t>
  </si>
  <si>
    <t>(See the instructions for Schedule 1, line 24z).</t>
  </si>
  <si>
    <t>line next to Schedule 1, line 20. If you do not, you may get a math error notice from the IRS.</t>
  </si>
  <si>
    <t>Your IRA</t>
  </si>
  <si>
    <t>Spouses IRA</t>
  </si>
  <si>
    <t>Retirement Plan)?</t>
  </si>
  <si>
    <t xml:space="preserve">.   .   .   .   .   .   .   .   .   .   .   .   .   .   .   .   .   .   .   .   .   .   .   .   .   .   </t>
  </si>
  <si>
    <t>1a.</t>
  </si>
  <si>
    <t>If married filing jointly, was your spouse covered by a retirement plan?</t>
  </si>
  <si>
    <t>1b.</t>
  </si>
  <si>
    <t>skip lines 2 through 6, enter the applicable amount below on line 7a (and line 7b if</t>
  </si>
  <si>
    <t>applicable), and go to line 8.</t>
  </si>
  <si>
    <t xml:space="preserve">· </t>
  </si>
  <si>
    <t>Otherwise, go to line 2.</t>
  </si>
  <si>
    <t>Enter the amount shown below that applies to you.</t>
  </si>
  <si>
    <t>covered by a plan</t>
  </si>
  <si>
    <t>Manual</t>
  </si>
  <si>
    <t>Enter the amount from Form 1040 or 1040-SR, line 9</t>
  </si>
  <si>
    <t>Enter the total of the amounts from</t>
  </si>
  <si>
    <t>Schedule 1, lines 11 through 19a, plus 23 and 25</t>
  </si>
  <si>
    <t>Subtract line 4 from line 3. If married filing jointly, enter the result in both columns</t>
  </si>
  <si>
    <t xml:space="preserve"> .   .   .   .   .   .   .   .  </t>
  </si>
  <si>
    <t>5b</t>
  </si>
  <si>
    <t>Is the amount on line 5 less than the amount on line 2?</t>
  </si>
  <si>
    <t xml:space="preserve">No.  Stop.  </t>
  </si>
  <si>
    <t>None of your IRA contributions are deductible. For details on</t>
  </si>
  <si>
    <t>nondeductible IRA contributions, see Form 8606.</t>
  </si>
  <si>
    <t>that applies to you.</t>
  </si>
  <si>
    <t>If single, head of household, or married filing separately, and the</t>
  </si>
  <si>
    <t>line 7 for that column and go to line 8.</t>
  </si>
  <si>
    <t>6a.</t>
  </si>
  <si>
    <t>6b.</t>
  </si>
  <si>
    <t>6a</t>
  </si>
  <si>
    <t>6b</t>
  </si>
  <si>
    <t>If married filing jointly or qualifying widow(er), and the result is</t>
  </si>
  <si>
    <t>a person who was not covered by a retirement plan), enter the</t>
  </si>
  <si>
    <t>applicable amount below on line 7 for that column and go to line 8.</t>
  </si>
  <si>
    <t>Otherwise, go to line 7.</t>
  </si>
  <si>
    <t>Multiply lines 6a and 6b by the percentage below that applies to you. If the</t>
  </si>
  <si>
    <t>Single, HOH, MFS</t>
  </si>
  <si>
    <t>result is not a multiple of $10, increase it to the next multiple of $10 (for</t>
  </si>
  <si>
    <t>MFJ, QWidow(er)</t>
  </si>
  <si>
    <t>7a.</t>
  </si>
  <si>
    <t>7b.</t>
  </si>
  <si>
    <t>or 1b, then in the column for the IRA of the person who was not covered by a</t>
  </si>
  <si>
    <t>Enter the total of your (and your spouse’s if filing jointly):</t>
  </si>
  <si>
    <t>Wages, salaries, tips, etc. Generally, this is the</t>
  </si>
  <si>
    <t>amount reported in box 1 of Form W-2. Exceptions</t>
  </si>
  <si>
    <t>are explained earlier in these instructions for line 20.</t>
  </si>
  <si>
    <t xml:space="preserve">Alimony and separate maintenance payments </t>
  </si>
  <si>
    <t>reported on Schedule 1, line 2a</t>
  </si>
  <si>
    <t xml:space="preserve">Nontaxable combat pay. This amount should be </t>
  </si>
  <si>
    <t>reported in box 12 of Form W-2 with code Q or</t>
  </si>
  <si>
    <t>Form1040, line 1i</t>
  </si>
  <si>
    <t>reported on Form 1040, line 1i.</t>
  </si>
  <si>
    <t>Form W-2</t>
  </si>
  <si>
    <t>Code</t>
  </si>
  <si>
    <t>Enter the earned income you (and your spouse if filing jointly)</t>
  </si>
  <si>
    <t>12</t>
  </si>
  <si>
    <t>Q</t>
  </si>
  <si>
    <t>received as a self-employed individual or a partner. Generally,</t>
  </si>
  <si>
    <t>Nontaxable combat pay.</t>
  </si>
  <si>
    <t>this is your (and your spouse’s if filing jointly) net earnings from</t>
  </si>
  <si>
    <t>self-employment if your personal services were a material</t>
  </si>
  <si>
    <t>income-producing factor, minus any deductions on Schedule 1,</t>
  </si>
  <si>
    <t xml:space="preserve">lines 15 and 16. </t>
  </si>
  <si>
    <t>Add lines 8 and 9</t>
  </si>
  <si>
    <t xml:space="preserve">  .   .   .   .   .   .   .   .   .   .   .   .   .   .   .   .   .   .   .   .</t>
  </si>
  <si>
    <r>
      <t>stop here</t>
    </r>
    <r>
      <rPr>
        <i/>
        <sz val="11"/>
        <rFont val="Arial"/>
        <family val="2"/>
      </rPr>
      <t xml:space="preserve"> and </t>
    </r>
  </si>
  <si>
    <t>see Pub. 590-A to figure your IRA deduction.</t>
  </si>
  <si>
    <t>Enter traditional IRA contributions made, or that will be made by the due date</t>
  </si>
  <si>
    <t>11a.</t>
  </si>
  <si>
    <t>11b.</t>
  </si>
  <si>
    <t>and 12b and enter the total on Schedule 1, line 20. Or, if you want, you can deduct</t>
  </si>
  <si>
    <t>.   .   .   .   .   .   .   .</t>
  </si>
  <si>
    <t>12a.</t>
  </si>
  <si>
    <t>12b.</t>
  </si>
  <si>
    <t>Amount entered on Schedule 1, line 20 --&gt;</t>
  </si>
  <si>
    <t xml:space="preserve">    Student Loan Interest Deduction Worksheet—Schedule 1, Line 21</t>
  </si>
  <si>
    <t>Figure any write-in adjustments to be entered on the dotted line next to Schedule 1, line 24z</t>
  </si>
  <si>
    <t>(see the instructions for Schedule 1, line 24z).</t>
  </si>
  <si>
    <r>
      <t xml:space="preserve">Be sure you have read the </t>
    </r>
    <r>
      <rPr>
        <b/>
        <sz val="10"/>
        <rFont val="Arial"/>
        <family val="2"/>
      </rPr>
      <t>Exception</t>
    </r>
    <r>
      <rPr>
        <sz val="10"/>
        <rFont val="Arial"/>
        <family val="2"/>
      </rPr>
      <t xml:space="preserve"> in the instructions for this line to see if you can use this worksheet instead of</t>
    </r>
  </si>
  <si>
    <t>Pub. 970 to figure your deduction.</t>
  </si>
  <si>
    <t xml:space="preserve"> .   .   .   .   .   .   .   .   .   .   .   .   </t>
  </si>
  <si>
    <t>Enter the total of the amounts from Schedule 1, lines 11 through 20, and 23 and 25</t>
  </si>
  <si>
    <t>Subtract line 3 from line 2</t>
  </si>
  <si>
    <t>Enter the amount shown below for your filing status.</t>
  </si>
  <si>
    <t>Is the amount on line 4 more than the amount on line 5?</t>
  </si>
  <si>
    <t xml:space="preserve">No. </t>
  </si>
  <si>
    <t>Skip lines 6 and 7, enter -0- on line 8, and go to line 9.</t>
  </si>
  <si>
    <t>Subtract line 5 from line 4</t>
  </si>
  <si>
    <t>(rounded to at least three places). If the result is 1.000 or more, enter 1.000</t>
  </si>
  <si>
    <t>Multiply line 1 by line 7</t>
  </si>
  <si>
    <r>
      <rPr>
        <b/>
        <sz val="10"/>
        <rFont val="Arial"/>
        <family val="2"/>
      </rPr>
      <t>Student loan interest deduction.</t>
    </r>
    <r>
      <rPr>
        <sz val="10"/>
        <rFont val="Arial"/>
        <family val="2"/>
      </rPr>
      <t xml:space="preserve"> Subtract line 8 from line 1. Enter the result here and on Schedule 1, line 21</t>
    </r>
  </si>
  <si>
    <r>
      <rPr>
        <b/>
        <sz val="12"/>
        <rFont val="Arial"/>
        <family val="2"/>
      </rPr>
      <t>SCHEDULE 2</t>
    </r>
    <r>
      <rPr>
        <b/>
        <sz val="11"/>
        <rFont val="Arial"/>
        <family val="2"/>
      </rPr>
      <t xml:space="preserve">
(Form 1040)</t>
    </r>
  </si>
  <si>
    <t>Additional Taxes</t>
  </si>
  <si>
    <t>Department of Treasury</t>
  </si>
  <si>
    <t>Attachment</t>
  </si>
  <si>
    <r>
      <t xml:space="preserve">Sequence No.  </t>
    </r>
    <r>
      <rPr>
        <b/>
        <sz val="12"/>
        <rFont val="Arial"/>
        <family val="2"/>
      </rPr>
      <t>02</t>
    </r>
  </si>
  <si>
    <t xml:space="preserve">  Your social security number</t>
  </si>
  <si>
    <t>Tax</t>
  </si>
  <si>
    <t>Alternative minimum tax.  Attach Form 6251</t>
  </si>
  <si>
    <t>Form 6251, Line 11</t>
  </si>
  <si>
    <t>Excess advance premium tax credit repayment. Attach Form 8962</t>
  </si>
  <si>
    <t>Form 8962, line 29</t>
  </si>
  <si>
    <t>Add lines 1 and 2. Enter here and on Form 1040, 1040-SR, or 1040-NR, line 17</t>
  </si>
  <si>
    <t xml:space="preserve"> .   .   .  </t>
  </si>
  <si>
    <t>Other Taxes</t>
  </si>
  <si>
    <t>Self-employment tax. Attach Schedule SE</t>
  </si>
  <si>
    <t>Form 1040, Sch. SE, line 12</t>
  </si>
  <si>
    <t>Social security and Medicare tax on unreported tip income.</t>
  </si>
  <si>
    <t>Attach Form 4137</t>
  </si>
  <si>
    <t>Uncollected social security and Medicare tax on wages. Attach</t>
  </si>
  <si>
    <t>Form 8919</t>
  </si>
  <si>
    <t xml:space="preserve">.   .   .   .   .   .   .   .   .   .   .   .   .   .   .   .   .   .   .   .   .  </t>
  </si>
  <si>
    <t>Total additional social security and Medicare tax.  Add lines 5 and 6</t>
  </si>
  <si>
    <t>Additional tax on IRAs or other tax-favored accounts. Attach Form 5329 if required</t>
  </si>
  <si>
    <t>If not required, check here</t>
  </si>
  <si>
    <t>Household employment taxes. Attach Schedule H</t>
  </si>
  <si>
    <t>Repayment of first-time homebuyer credit.  Attach Form 5405 if required</t>
  </si>
  <si>
    <t xml:space="preserve">  .   .   .   .   .   .  </t>
  </si>
  <si>
    <t>Additional Medicare Tax.  Attach Form 8959</t>
  </si>
  <si>
    <t>Form 8959, line 18.</t>
  </si>
  <si>
    <t>Net investment income tax.  Attach Form 8960</t>
  </si>
  <si>
    <t>Form 8960, line 17.</t>
  </si>
  <si>
    <t>Uncollected social security and Medicare or RTTA tax on tips or group-term life</t>
  </si>
  <si>
    <t>insurance from Form W-2, box 12</t>
  </si>
  <si>
    <t>Interest on tax due on installment income from the sale of certain residential lots</t>
  </si>
  <si>
    <t>and timeshares</t>
  </si>
  <si>
    <t xml:space="preserve">.   .   .   .   .   .   .   .   .   .   .   .   .   .   .   .   .   .   .   .   .   .   .   .   .   .   .   .  </t>
  </si>
  <si>
    <t>Interest on the deferred tax on gain from certain installment sales with a sales price</t>
  </si>
  <si>
    <t>over $150,000</t>
  </si>
  <si>
    <t xml:space="preserve">.   .    .   .   .   .   .   .   .   .   .   .   .   .   .   .   .   .   .   .   .   .   .   .   .   .   .   .   .  </t>
  </si>
  <si>
    <t>Recapture of low-income housing credit. Attach Form 8611</t>
  </si>
  <si>
    <t>(continued on page 2)</t>
  </si>
  <si>
    <t>Cat. No. 71478U</t>
  </si>
  <si>
    <r>
      <t>Other Taxes</t>
    </r>
    <r>
      <rPr>
        <i/>
        <sz val="12"/>
        <rFont val="Arial"/>
        <family val="2"/>
      </rPr>
      <t xml:space="preserve">  (continued)</t>
    </r>
  </si>
  <si>
    <t>Other additional taxes:</t>
  </si>
  <si>
    <t/>
  </si>
  <si>
    <t>17a</t>
  </si>
  <si>
    <t>17b</t>
  </si>
  <si>
    <t>Additional tax on HSA distributions.   Attach Form 8889</t>
  </si>
  <si>
    <t>17c</t>
  </si>
  <si>
    <t>Additional tax on an HSA because you didn't remain an eligible</t>
  </si>
  <si>
    <t>individual.  Attach Form 8889</t>
  </si>
  <si>
    <t>17d</t>
  </si>
  <si>
    <t>Form 8889, line 21</t>
  </si>
  <si>
    <t>Additional tax on Archer MSA distributions. Attach Form 8853</t>
  </si>
  <si>
    <t xml:space="preserve">.  </t>
  </si>
  <si>
    <t>17e</t>
  </si>
  <si>
    <t>Additional tax on Medicare Advantage MSA distributions. Attach</t>
  </si>
  <si>
    <t>Form 8853</t>
  </si>
  <si>
    <t>17f</t>
  </si>
  <si>
    <t>Recapture of a charitable contribution deduction related to a</t>
  </si>
  <si>
    <t>fractional interest in tangible personal property</t>
  </si>
  <si>
    <t>17g</t>
  </si>
  <si>
    <t>Income you received from a nonqualified deferred compen-</t>
  </si>
  <si>
    <t>sation plan that fails to meet the requirements of section 409A</t>
  </si>
  <si>
    <t>17h</t>
  </si>
  <si>
    <t>Compensation you received from a nonqualified deferred</t>
  </si>
  <si>
    <t>compensation plan described in section 457A</t>
  </si>
  <si>
    <t>17i</t>
  </si>
  <si>
    <t>Section 72(m)(5) excess benefits tax</t>
  </si>
  <si>
    <t>17j</t>
  </si>
  <si>
    <t>Golden parachute payments</t>
  </si>
  <si>
    <t>17k</t>
  </si>
  <si>
    <t>Tax on accumulation distribution of trusts</t>
  </si>
  <si>
    <t>17l</t>
  </si>
  <si>
    <t>Excise tax on insider stock compensation from an expatriated</t>
  </si>
  <si>
    <t>corporation</t>
  </si>
  <si>
    <t xml:space="preserve"> .   .   .   .   .   .   .   .   .   .   .   .   .   .   .   .   .   .   .   .   .   .   .   .  </t>
  </si>
  <si>
    <t>17m</t>
  </si>
  <si>
    <t>Look-back interest under section 167(g) or 460(b) from Form</t>
  </si>
  <si>
    <t>8697 or 8866</t>
  </si>
  <si>
    <t>17n</t>
  </si>
  <si>
    <t>Tax on non-effectively connected income for any part of the</t>
  </si>
  <si>
    <t>year you were a nonresident alien from Form 1040-NR</t>
  </si>
  <si>
    <t>17o</t>
  </si>
  <si>
    <t>Any interest from Form 8621, line 16f, relating to distributions</t>
  </si>
  <si>
    <t>from, and dispositions of, stock of a section 1291 fund</t>
  </si>
  <si>
    <t>17p</t>
  </si>
  <si>
    <t>Any interest from Form 8621, line 24</t>
  </si>
  <si>
    <t>17q</t>
  </si>
  <si>
    <t>Any other taxes. List type and amount</t>
  </si>
  <si>
    <t>17z</t>
  </si>
  <si>
    <t>Total additional taxes.  Add lines 17a through 17z</t>
  </si>
  <si>
    <t>Section 965 net tax liability installment from Form 965-A</t>
  </si>
  <si>
    <r>
      <t xml:space="preserve">Add lines 4, 7 through 16, and 18.  These are your </t>
    </r>
    <r>
      <rPr>
        <b/>
        <sz val="11"/>
        <rFont val="Arial"/>
        <family val="2"/>
      </rPr>
      <t>total other taxes</t>
    </r>
    <r>
      <rPr>
        <sz val="11"/>
        <rFont val="Arial"/>
        <family val="2"/>
      </rPr>
      <t>.  Enter here and</t>
    </r>
  </si>
  <si>
    <t>on Form 1040 or 1040-SR, line 23, or Form 1040-NR, line 23b</t>
  </si>
  <si>
    <r>
      <t xml:space="preserve">SCHEDULE 3
</t>
    </r>
    <r>
      <rPr>
        <b/>
        <sz val="11"/>
        <rFont val="Arial"/>
        <family val="2"/>
      </rPr>
      <t>(Form 1040)</t>
    </r>
  </si>
  <si>
    <t>Additional Credits and Payments</t>
  </si>
  <si>
    <r>
      <t xml:space="preserve">Attachment
Sequence  </t>
    </r>
    <r>
      <rPr>
        <b/>
        <sz val="12"/>
        <rFont val="Arial"/>
        <family val="2"/>
      </rPr>
      <t>03</t>
    </r>
  </si>
  <si>
    <t>Nonrefundable Credits</t>
  </si>
  <si>
    <t>Foreign tax credit.  Attach Form 1116, if required</t>
  </si>
  <si>
    <t>Credit for child and dependent care expenses from Form 2441, line 11.  Attach</t>
  </si>
  <si>
    <t>Form 2441</t>
  </si>
  <si>
    <t xml:space="preserve">.   .   .   .   .   .   .   .   .   .   .   .   .   .   .   .   .   .   .   .   .   .   .   .   .   .   .   .   .   .   .   .   .   .   .  </t>
  </si>
  <si>
    <t>Education credits from Form 8863, line 19</t>
  </si>
  <si>
    <t>Retirement savings contributions credit.  Attach Form 8880</t>
  </si>
  <si>
    <t>Other nonrefundable credits:</t>
  </si>
  <si>
    <t>General business credit.  Attach Form 3800</t>
  </si>
  <si>
    <t xml:space="preserve">.   .   .   .   .   .   .   .   .   .   .   </t>
  </si>
  <si>
    <t>Credit for prior year minimum tax.  Attach Form 8801</t>
  </si>
  <si>
    <t xml:space="preserve">.   .   .   .   .   .   .   </t>
  </si>
  <si>
    <t>Adoption credit. Attach Form 8839</t>
  </si>
  <si>
    <t xml:space="preserve">.   .   .   .   .   .   .   .   .   .   .   .   </t>
  </si>
  <si>
    <t>6c</t>
  </si>
  <si>
    <t>Credit for the elderly or disabled. Attach Schedule R</t>
  </si>
  <si>
    <t>6d</t>
  </si>
  <si>
    <t xml:space="preserve">.   .   .   .   .   .   .   .   </t>
  </si>
  <si>
    <t>6e</t>
  </si>
  <si>
    <t xml:space="preserve">.   .   .   .   .   .   </t>
  </si>
  <si>
    <t>6f</t>
  </si>
  <si>
    <t>Mortgage interest credit. Attach Form 8396</t>
  </si>
  <si>
    <t>6g</t>
  </si>
  <si>
    <t>District of Columbia first-time homebuyer credit. Attach Form 8859</t>
  </si>
  <si>
    <t xml:space="preserve">.   </t>
  </si>
  <si>
    <t>6h</t>
  </si>
  <si>
    <t>Qualified electric vehicle credit. Attach Form 8834</t>
  </si>
  <si>
    <t>6i</t>
  </si>
  <si>
    <t>Alternative fuel vehicle refueling property credit. Attach Form 8911</t>
  </si>
  <si>
    <t>6j</t>
  </si>
  <si>
    <t>Credit to holders of tax credit bonds. Attach Form 8912</t>
  </si>
  <si>
    <t>6k</t>
  </si>
  <si>
    <t>Amount on Form 8978, line 14. See instructions</t>
  </si>
  <si>
    <t xml:space="preserve">.   .   .   .   .   .   .   .   .   </t>
  </si>
  <si>
    <t>6l</t>
  </si>
  <si>
    <t>Other nonrefundable credits.  List type and amount:</t>
  </si>
  <si>
    <t>6z</t>
  </si>
  <si>
    <t>Total other nonrefundable credits. Add lines 6a through 6z</t>
  </si>
  <si>
    <t>line 20</t>
  </si>
  <si>
    <t xml:space="preserve">.   .   .   .   .   .   .   .   .   .   .   .   .   .   .   .   .   .   .   .   .   .   .   .   .   .   .   .   .   .   .   .   .   .   .   .   .  </t>
  </si>
  <si>
    <t>Cat. No. 71480G</t>
  </si>
  <si>
    <t>Other Payments and Refundable Credits</t>
  </si>
  <si>
    <t>Net premium tax credit. Attach Form 8962</t>
  </si>
  <si>
    <t>Amount paid with request for extension to file (see instructions)</t>
  </si>
  <si>
    <t>Excess social security and tier 1 RRTA tax withheld</t>
  </si>
  <si>
    <t>Credit for federal tax on fuels. Attach Form 4136</t>
  </si>
  <si>
    <t>Other payments or refundable credits:</t>
  </si>
  <si>
    <t>Form 2439</t>
  </si>
  <si>
    <t xml:space="preserve">.   .   .   .   .   .   .   .   .   .   .   .   .   .   .   .   .   .   .   .   .   .   .   .   .   </t>
  </si>
  <si>
    <t>13a</t>
  </si>
  <si>
    <t>13b</t>
  </si>
  <si>
    <t xml:space="preserve">.   .   .   .   .   .   .   .   .   .   .   .   .   .   .   .   .   .   </t>
  </si>
  <si>
    <t>13c</t>
  </si>
  <si>
    <t>Credit for repayment of amounts included in income from earlier</t>
  </si>
  <si>
    <t>years</t>
  </si>
  <si>
    <t xml:space="preserve">.   .   .   .   .   .   .   .   .   .   .   .   .   .   .   .   .   .   .   .   .   .   .   .   .   .   .   .   .   </t>
  </si>
  <si>
    <t>13d</t>
  </si>
  <si>
    <t>Deferred amount of net 965 tax liability (see instructions)</t>
  </si>
  <si>
    <t xml:space="preserve">.   .   .   .   .   .   .   .   .   .   .   .   .   .   .   .   .   .   .   </t>
  </si>
  <si>
    <t>Other payments or refundable credits. List type and amount:</t>
  </si>
  <si>
    <t>13z</t>
  </si>
  <si>
    <t>Total other payments or refundable credits. Add lines 13a through 13z</t>
  </si>
  <si>
    <t xml:space="preserve">.    .   .   .   .   .   .   .   .   .  </t>
  </si>
  <si>
    <t>Add lines 9 through 12 and 14. Enter here and on Form 1040, 1040-SR, or 1040-NR,</t>
  </si>
  <si>
    <t>line 31</t>
  </si>
  <si>
    <t xml:space="preserve"> Earned Income Worksheet</t>
  </si>
  <si>
    <t>for</t>
  </si>
  <si>
    <t>Sheet 'Line 12a, Standard Deduction for Dependents'</t>
  </si>
  <si>
    <t>Schedule 8812, Credits for Qualifying Children and Other Dependents</t>
  </si>
  <si>
    <t>Use this worksheet for input to:</t>
  </si>
  <si>
    <t xml:space="preserve">-   line 2 of the Line 12a, Standard Deductions for Dependents, Worksheet    and/or </t>
  </si>
  <si>
    <t>-   line 18a of Schedule 8812, Credits for Qualifying Children and Other Dependents</t>
  </si>
  <si>
    <t>Disregard community property laws when figuring the amounts to enter on this worksheet.</t>
  </si>
  <si>
    <t>If married filing jointly, include your spouse's amounts with yours when completing this worksheet.</t>
  </si>
  <si>
    <t>b.</t>
  </si>
  <si>
    <r>
      <t xml:space="preserve">Enter the amount of any </t>
    </r>
    <r>
      <rPr>
        <b/>
        <sz val="10"/>
        <rFont val="Arial"/>
        <family val="2"/>
      </rPr>
      <t>nontaxable combat pay</t>
    </r>
    <r>
      <rPr>
        <sz val="10"/>
        <rFont val="Arial"/>
        <family val="2"/>
      </rPr>
      <t xml:space="preserve"> received.</t>
    </r>
  </si>
  <si>
    <t>This amount will automatically be entered on Schedule 8812, line 6b.</t>
  </si>
  <si>
    <t>This amount should be shown in Form(s) W-2, box 12, with code Q</t>
  </si>
  <si>
    <r>
      <rPr>
        <b/>
        <sz val="10"/>
        <rFont val="Arial"/>
        <family val="2"/>
      </rPr>
      <t>NEXT:</t>
    </r>
    <r>
      <rPr>
        <sz val="10"/>
        <rFont val="Arial"/>
        <family val="2"/>
      </rPr>
      <t xml:space="preserve">  If you are filing Schedule C, F, or SE, or you received a Schedule K-1 (Form 1065), go to line 2a. </t>
    </r>
  </si>
  <si>
    <t>Otherwise, skip lines 2a through 2e and go to line 3.</t>
  </si>
  <si>
    <t>2a.</t>
  </si>
  <si>
    <t>Enter any statutory employee income reported on line 1 of Schedule C.</t>
  </si>
  <si>
    <t>Sch. C, line 1</t>
  </si>
  <si>
    <r>
      <t xml:space="preserve">Enter any </t>
    </r>
    <r>
      <rPr>
        <b/>
        <sz val="10"/>
        <rFont val="Arial"/>
        <family val="2"/>
      </rPr>
      <t>net profit or (loss) from Schedule C</t>
    </r>
    <r>
      <rPr>
        <sz val="10"/>
        <rFont val="Arial"/>
        <family val="2"/>
      </rPr>
      <t>, line 31, and Schedule K-1 (Form 1065), box 14,</t>
    </r>
  </si>
  <si>
    <t>(if box is checked)</t>
  </si>
  <si>
    <t>code A (other than farming). Reduce any Schedule K-1 amounts as described in the instructions for</t>
  </si>
  <si>
    <t>completing Schedule SE in the Partner's Instructions for Schedule K-1. Do not include on this line</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</si>
  <si>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</si>
  <si>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</si>
  <si>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</si>
  <si>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2b.</t>
  </si>
  <si>
    <t>Sch. C, line 31</t>
  </si>
  <si>
    <t>c.</t>
  </si>
  <si>
    <r>
      <t xml:space="preserve">Enter any </t>
    </r>
    <r>
      <rPr>
        <b/>
        <sz val="10"/>
        <rFont val="Arial"/>
        <family val="2"/>
      </rPr>
      <t>net farm profit or (loss) from Schedule F</t>
    </r>
    <r>
      <rPr>
        <sz val="10"/>
        <rFont val="Arial"/>
        <family val="2"/>
      </rPr>
      <t>, line 34, and from farm</t>
    </r>
  </si>
  <si>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</si>
  <si>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</si>
  <si>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</si>
  <si>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</si>
  <si>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t>2c.</t>
  </si>
  <si>
    <t>Sch. F, line 34</t>
  </si>
  <si>
    <t>d.</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</si>
  <si>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</si>
  <si>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</si>
  <si>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and enter on line 2e the amount from line 2c</t>
  </si>
  <si>
    <t>2d.</t>
  </si>
  <si>
    <t>Sch. SE, line 15</t>
  </si>
  <si>
    <t>(Sum of both forms)</t>
  </si>
  <si>
    <t>e.</t>
  </si>
  <si>
    <t>If line 2c is a profit, enter the smaller of line 2c or line 2d. If line 2c is a (loss), enter the (loss)</t>
  </si>
  <si>
    <t>from line 2c</t>
  </si>
  <si>
    <t>2e.</t>
  </si>
  <si>
    <t>If zero or less, stop. Do not complete the rest of this worksheet.</t>
  </si>
  <si>
    <t>Instead, enter -0- on line 3 of the Line 14 Worksheet or line 6a of Schedule 8812, whichever applies.</t>
  </si>
  <si>
    <t>Form 1040 Instructions (Line 27 - Earned Income Credit)</t>
  </si>
  <si>
    <t>Enter any amount included on line 1a that is:</t>
  </si>
  <si>
    <t>a.</t>
  </si>
  <si>
    <r>
      <t xml:space="preserve">A </t>
    </r>
    <r>
      <rPr>
        <b/>
        <sz val="10"/>
        <rFont val="Arial"/>
        <family val="2"/>
      </rPr>
      <t>scholarship or fellowship grant not reported on Form W-2</t>
    </r>
  </si>
  <si>
    <t>4a.</t>
  </si>
  <si>
    <r>
      <t xml:space="preserve">For </t>
    </r>
    <r>
      <rPr>
        <b/>
        <sz val="10"/>
        <rFont val="Arial"/>
        <family val="2"/>
      </rPr>
      <t>work done while an inmate in a penal institution</t>
    </r>
    <r>
      <rPr>
        <sz val="10"/>
        <rFont val="Arial"/>
        <family val="2"/>
      </rPr>
      <t xml:space="preserve"> (enter “PRI” and this amount</t>
    </r>
  </si>
  <si>
    <t>on the dotted line next to line 1 of Form 1040 or 1040-SR, or line 8 of Form 1040-NR)</t>
  </si>
  <si>
    <t>4b.</t>
  </si>
  <si>
    <r>
      <t>A</t>
    </r>
    <r>
      <rPr>
        <b/>
        <sz val="10"/>
        <rFont val="Arial"/>
        <family val="2"/>
      </rPr>
      <t xml:space="preserve"> pension or annuity from a nonqualified deferred compensation plan</t>
    </r>
    <r>
      <rPr>
        <sz val="10"/>
        <rFont val="Arial"/>
        <family val="2"/>
      </rPr>
      <t xml:space="preserve"> or a</t>
    </r>
  </si>
  <si>
    <t>nongovernmental section 457 plan (enter “DFC” and this amount on the dotted</t>
  </si>
  <si>
    <t xml:space="preserve">line next to line 1 of Form 1040 or 1040-SR). </t>
  </si>
  <si>
    <t>This amount may be shown in box 11 of your Form W-2. If you received such an</t>
  </si>
  <si>
    <t xml:space="preserve">amount but box 11 is blank, contact your employer for the amount received. </t>
  </si>
  <si>
    <t>4c.</t>
  </si>
  <si>
    <r>
      <rPr>
        <b/>
        <sz val="10"/>
        <rFont val="Arial"/>
        <family val="2"/>
      </rPr>
      <t>Medicaid waiver payments you exclude from income</t>
    </r>
    <r>
      <rPr>
        <sz val="10"/>
        <rFont val="Arial"/>
        <family val="2"/>
      </rPr>
      <t xml:space="preserve"> (see the instructions for</t>
    </r>
  </si>
  <si>
    <t>Schedule 1 (Form 1040 or 1040-SR), line 8, unless you choose to include this</t>
  </si>
  <si>
    <t>amount in earned income, in which case enter zero.</t>
  </si>
  <si>
    <t>4d.</t>
  </si>
  <si>
    <t>Enter the amount from Schedule 1 (Form 1040 or 1040-SR), line 14, or Form 1040-NR, line 27.</t>
  </si>
  <si>
    <t>Add lines 4a, 4b, 4c, 4d, and 5</t>
  </si>
  <si>
    <r>
      <rPr>
        <b/>
        <sz val="10"/>
        <rFont val="Arial"/>
        <family val="2"/>
      </rPr>
      <t>Earned Income.</t>
    </r>
    <r>
      <rPr>
        <sz val="10"/>
        <rFont val="Arial"/>
        <family val="2"/>
      </rPr>
      <t xml:space="preserve">   Subtract line 6 from line 3</t>
    </r>
  </si>
  <si>
    <r>
      <t xml:space="preserve">If you were sent here from </t>
    </r>
    <r>
      <rPr>
        <b/>
        <sz val="10"/>
        <rFont val="Arial"/>
        <family val="2"/>
      </rPr>
      <t>Line 12a, Standard Deduction for Dependents Worksheet,</t>
    </r>
  </si>
  <si>
    <t>To:</t>
  </si>
  <si>
    <t>Sheet 'Line 12a (SD Depnts)'</t>
  </si>
  <si>
    <t>enter this amount in the space provided prior to line 2.</t>
  </si>
  <si>
    <r>
      <t xml:space="preserve">If you were sent here from </t>
    </r>
    <r>
      <rPr>
        <b/>
        <sz val="10"/>
        <rFont val="Arial"/>
        <family val="2"/>
      </rPr>
      <t>Schedule 8812</t>
    </r>
    <r>
      <rPr>
        <sz val="10"/>
        <rFont val="Arial"/>
        <family val="2"/>
      </rPr>
      <t>, enter this amount on line 18a of that form.</t>
    </r>
  </si>
  <si>
    <t>Sheet '8812', line 18</t>
  </si>
  <si>
    <t>*If you have any Schedule K-1 amounts and you are not required to file Schedule SE, complete the appropriate</t>
  </si>
  <si>
    <t>line(s) of Schedule SE, Section A. Put your name and social security number on Schedule SE and attach it to</t>
  </si>
  <si>
    <t>your return.</t>
  </si>
  <si>
    <t>Important Instructions for use of this Worksheet:</t>
  </si>
  <si>
    <r>
      <t>l</t>
    </r>
    <r>
      <rPr>
        <sz val="8"/>
        <rFont val="Arial"/>
        <family val="2"/>
      </rPr>
      <t xml:space="preserve"> </t>
    </r>
  </si>
  <si>
    <t xml:space="preserve">If your Form 1099-R doesn't show the taxable amount, you must use the General Rule explained in Pub. 939 to figure the </t>
  </si>
  <si>
    <t>if you must use that method to figure the taxable part.  You can ask the IRS to figure the taxable for a $1,000 fee.</t>
  </si>
  <si>
    <t>If your Form 1099-R shows a taxable amount, you can report that amount on Form 1040, line 5b. But you may be able to report</t>
  </si>
  <si>
    <t>a lower taxable amount by using the General Rule or the Simplified Method or if the exclusion for retired public safety officers applies.</t>
  </si>
  <si>
    <r>
      <t xml:space="preserve">This worksheet is used as a tool for calculating the taxable amount of </t>
    </r>
    <r>
      <rPr>
        <u/>
        <sz val="10"/>
        <rFont val="Arial"/>
        <family val="2"/>
      </rPr>
      <t>one</t>
    </r>
    <r>
      <rPr>
        <sz val="10"/>
        <rFont val="Arial"/>
        <family val="2"/>
      </rPr>
      <t xml:space="preserve"> annuity.  </t>
    </r>
  </si>
  <si>
    <t>The output of this worksheet must be manually entered into line 2a of the sheet labeled "1099-R",</t>
  </si>
  <si>
    <t>Taxable Amount, for the annuity for which the Taxable Amount has not been determined OR</t>
  </si>
  <si>
    <t>for which a lower taxable amount is applicable for retired public safety officers.</t>
  </si>
  <si>
    <t>Annuity Starting Date</t>
  </si>
  <si>
    <t>Your annuity starting date is the later of the first day of:</t>
  </si>
  <si>
    <t>Annuity starting date</t>
  </si>
  <si>
    <t>or</t>
  </si>
  <si>
    <t>Simplified Method</t>
  </si>
  <si>
    <t>You must use the Simplified Method if either of the following applies.</t>
  </si>
  <si>
    <t xml:space="preserve"> Yes</t>
  </si>
  <si>
    <t>Were annuity payments for your life</t>
  </si>
  <si>
    <r>
      <t>and</t>
    </r>
    <r>
      <rPr>
        <sz val="10"/>
        <rFont val="Arial"/>
        <family val="2"/>
      </rPr>
      <t xml:space="preserve"> </t>
    </r>
    <r>
      <rPr>
        <b/>
        <sz val="10"/>
        <rFont val="Arial"/>
        <family val="2"/>
      </rPr>
      <t>both</t>
    </r>
    <r>
      <rPr>
        <sz val="10"/>
        <rFont val="Arial"/>
        <family val="2"/>
      </rPr>
      <t xml:space="preserve"> of the following apply.</t>
    </r>
  </si>
  <si>
    <r>
      <rPr>
        <u/>
        <sz val="8"/>
        <rFont val="Arial"/>
        <family val="2"/>
      </rPr>
      <t>and</t>
    </r>
    <r>
      <rPr>
        <sz val="8"/>
        <rFont val="Arial"/>
        <family val="2"/>
      </rPr>
      <t xml:space="preserve"> that of your beneficiary?</t>
    </r>
  </si>
  <si>
    <t>a. The payments are from a qualified employee plan, a qualified employee annuity, or a tax-sheltered annuity.</t>
  </si>
  <si>
    <t>b. On your annuity starting date, either:</t>
  </si>
  <si>
    <t xml:space="preserve">       or</t>
  </si>
  <si>
    <t>at annuity starting date</t>
  </si>
  <si>
    <t>Simplified Method Worksheet—Lines 5a and 5b</t>
  </si>
  <si>
    <r>
      <t xml:space="preserve">If you are the beneficiary of a deceased employee or former employee who died </t>
    </r>
    <r>
      <rPr>
        <b/>
        <sz val="10"/>
        <rFont val="Arial"/>
        <family val="2"/>
      </rPr>
      <t>before</t>
    </r>
    <r>
      <rPr>
        <sz val="10"/>
        <rFont val="Arial"/>
        <family val="2"/>
      </rPr>
      <t xml:space="preserve"> August 21, 1996, include</t>
    </r>
  </si>
  <si>
    <t>any death benefit exclusion that you are entitled to (up to $5,000) in the amount entered on line 2 below.</t>
  </si>
  <si>
    <r>
      <t>More than one pension or annuity:</t>
    </r>
    <r>
      <rPr>
        <sz val="9"/>
        <rFont val="Arial"/>
        <family val="2"/>
      </rPr>
      <t xml:space="preserve">  If you had more than one partially taxable pension or annuity, </t>
    </r>
    <r>
      <rPr>
        <b/>
        <sz val="9"/>
        <rFont val="Arial"/>
        <family val="2"/>
      </rPr>
      <t>figure the taxable part of each separately.</t>
    </r>
  </si>
  <si>
    <t>Enter the total of the taxable parts on Form 1040 or 1040-SR, line 5b.</t>
  </si>
  <si>
    <t>If you manually enter the taxable amount from line 9 of this worksheet into 1099-R, line 2a, this spreadsheet will automatically update Form 1040, line 5a.</t>
  </si>
  <si>
    <t>Also, include this amount on Form 1040 or 1040-SR, line 5a</t>
  </si>
  <si>
    <t>.   .   .   .   .   .   .   .   .   .   .   .   .   .   .   .   .</t>
  </si>
  <si>
    <t>Enter your cost in the plan at the annuity starting date</t>
  </si>
  <si>
    <t>.   .   .   .   .   .   .   .   .   .   .</t>
  </si>
  <si>
    <r>
      <t>Note.</t>
    </r>
    <r>
      <rPr>
        <sz val="9"/>
        <rFont val="Arial"/>
        <family val="2"/>
      </rPr>
      <t xml:space="preserve"> If you completed this worksheet last year, skip line 3 and enter the amount from line 4</t>
    </r>
  </si>
  <si>
    <t>of last year’s worksheet on line 4 below (even if the amount of your pension or annuity has changed).</t>
  </si>
  <si>
    <t xml:space="preserve">  Check here if you completed this worksheet last year.</t>
  </si>
  <si>
    <t>Otherwise, go to line 3.</t>
  </si>
  <si>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</si>
  <si>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1997 </t>
    </r>
    <r>
      <rPr>
        <b/>
        <sz val="9"/>
        <rFont val="Arial"/>
        <family val="2"/>
      </rPr>
      <t>and</t>
    </r>
    <r>
      <rPr>
        <sz val="9"/>
        <rFont val="Arial"/>
        <family val="2"/>
      </rPr>
      <t xml:space="preserve"> the payments are for your life and that of your beneficiary, enter the appropriate</t>
    </r>
  </si>
  <si>
    <r>
      <t xml:space="preserve">number from </t>
    </r>
    <r>
      <rPr>
        <b/>
        <sz val="9"/>
        <rFont val="Arial"/>
        <family val="2"/>
      </rPr>
      <t>Table 2</t>
    </r>
    <r>
      <rPr>
        <sz val="9"/>
        <rFont val="Arial"/>
        <family val="2"/>
      </rPr>
      <t xml:space="preserve"> below</t>
    </r>
  </si>
  <si>
    <t xml:space="preserve"> .   .   .   .   .   .   .   .   .   .   .   .   .   .   .   .   .   .   .</t>
  </si>
  <si>
    <t>Last year's amount</t>
  </si>
  <si>
    <t>Divide line 2 by the number on line 3</t>
  </si>
  <si>
    <t>.   .   .   .   .   .   .   .   .   .   .   .   .   .   .</t>
  </si>
  <si>
    <t>Multiply line 4 by the number of months for which this year’s payments were made. If your</t>
  </si>
  <si>
    <t>The number</t>
  </si>
  <si>
    <r>
      <t xml:space="preserve">annuity starting date was </t>
    </r>
    <r>
      <rPr>
        <b/>
        <sz val="9"/>
        <rFont val="Arial"/>
        <family val="2"/>
      </rPr>
      <t>before</t>
    </r>
    <r>
      <rPr>
        <sz val="9"/>
        <rFont val="Arial"/>
        <family val="2"/>
      </rPr>
      <t xml:space="preserve"> 1987, skip lines 6 and 7 and enter this amount on line 8.</t>
    </r>
  </si>
  <si>
    <t>of months</t>
  </si>
  <si>
    <t>Enter number of months for which</t>
  </si>
  <si>
    <t>Otherwise, go to line 6</t>
  </si>
  <si>
    <t>cannot be</t>
  </si>
  <si>
    <t>this year's payments were made.</t>
  </si>
  <si>
    <t>Enter the amount, if any, recovered tax free in years after 1986. If you completed this</t>
  </si>
  <si>
    <t>more than 12.</t>
  </si>
  <si>
    <r>
      <t>worksheet last year, enter the amount from line 10 of last year’s worksheet.</t>
    </r>
    <r>
      <rPr>
        <b/>
        <sz val="9"/>
        <rFont val="Arial"/>
        <family val="2"/>
      </rPr>
      <t xml:space="preserve">   .    .    .</t>
    </r>
  </si>
  <si>
    <t>Subtract line 6 from line 2.</t>
  </si>
  <si>
    <t>.   .   .   .   .   .   .   .   .   .   .   .   .   .   .   .   .   .   .</t>
  </si>
  <si>
    <r>
      <t xml:space="preserve">Enter the </t>
    </r>
    <r>
      <rPr>
        <b/>
        <sz val="9"/>
        <rFont val="Arial"/>
        <family val="2"/>
      </rPr>
      <t>smaller</t>
    </r>
    <r>
      <rPr>
        <sz val="9"/>
        <rFont val="Arial"/>
        <family val="2"/>
      </rPr>
      <t xml:space="preserve"> of line 5 or line 7</t>
    </r>
  </si>
  <si>
    <t>.   .   .   .   .   .   .   .   .   .   .   .   .   .   .   .   .   .   .   .   .   .   .   .</t>
  </si>
  <si>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</si>
  <si>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r>
      <t xml:space="preserve">Form 1099-R. If you are a retired public safety officer, see </t>
    </r>
    <r>
      <rPr>
        <i/>
        <sz val="9"/>
        <rFont val="Arial"/>
        <family val="2"/>
      </rPr>
      <t>Insurance Premiums for Retired Public Safety Officers</t>
    </r>
  </si>
  <si>
    <t>before entering an amount on line 5b of '1099-R'</t>
  </si>
  <si>
    <t>.   .   .   .   .   .   .   .   .   .   .   .   .   .   .   .   .   .   .   .   .   .</t>
  </si>
  <si>
    <t>Was your annuity starting date before 1987?</t>
  </si>
  <si>
    <r>
      <t xml:space="preserve"> Yes. </t>
    </r>
    <r>
      <rPr>
        <sz val="10"/>
        <rFont val="Arial"/>
        <family val="2"/>
      </rPr>
      <t xml:space="preserve">              STOP</t>
    </r>
  </si>
  <si>
    <t>Do not complete the rest of this worksheet.</t>
  </si>
  <si>
    <r>
      <t>No.</t>
    </r>
    <r>
      <rPr>
        <sz val="10"/>
        <rFont val="Arial"/>
        <family val="2"/>
      </rPr>
      <t xml:space="preserve">    Add lines 6 and 8.</t>
    </r>
  </si>
  <si>
    <r>
      <t xml:space="preserve">This is the </t>
    </r>
    <r>
      <rPr>
        <b/>
        <sz val="10"/>
        <rFont val="Arial"/>
        <family val="2"/>
      </rPr>
      <t>amount you have recovered tax free</t>
    </r>
    <r>
      <rPr>
        <sz val="10"/>
        <rFont val="Arial"/>
        <family val="2"/>
      </rPr>
      <t xml:space="preserve"> through</t>
    </r>
  </si>
  <si>
    <t xml:space="preserve">       You will need this number when you fill out this worksheet next year</t>
  </si>
  <si>
    <t xml:space="preserve">  .   .   .   .   .   .   .   .   .   .</t>
  </si>
  <si>
    <r>
      <rPr>
        <b/>
        <sz val="10"/>
        <rFont val="Arial"/>
        <family val="2"/>
      </rPr>
      <t>Balance of cost to be recovered.</t>
    </r>
    <r>
      <rPr>
        <sz val="10"/>
        <rFont val="Arial"/>
        <family val="2"/>
      </rPr>
      <t xml:space="preserve"> Subtract line 10 from line 2. If zero, you won’t have to complete this</t>
    </r>
  </si>
  <si>
    <t>worksheet next year. The payments you receive next year will generally be fully taxable</t>
  </si>
  <si>
    <t>.   .   .   .   .   .</t>
  </si>
  <si>
    <t>Table 1 For Line 3 Above</t>
  </si>
  <si>
    <t>Enter age</t>
  </si>
  <si>
    <t>AND your annuity starting date was----</t>
  </si>
  <si>
    <t>at annuity</t>
  </si>
  <si>
    <t>IF the age at annuity starting</t>
  </si>
  <si>
    <t>before</t>
  </si>
  <si>
    <t>after</t>
  </si>
  <si>
    <t>starting date</t>
  </si>
  <si>
    <t>date was …</t>
  </si>
  <si>
    <t xml:space="preserve">     enter on line 3 …</t>
  </si>
  <si>
    <t>enter on line 3 …</t>
  </si>
  <si>
    <t>(above)</t>
  </si>
  <si>
    <t>Table 2 For Line 3 Above</t>
  </si>
  <si>
    <t>IF the combined ages at annuity</t>
  </si>
  <si>
    <t xml:space="preserve"> starting date were . . .</t>
  </si>
  <si>
    <t>THEN enter on line 3. . .</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</si>
  <si>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</si>
  <si>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</si>
  <si>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</si>
  <si>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worksheet instead of a publication to find out if any of your benefits are taxable.</t>
  </si>
  <si>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</si>
  <si>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r>
      <t xml:space="preserve">RRB-1099. </t>
    </r>
    <r>
      <rPr>
        <sz val="9"/>
        <rFont val="Arial"/>
        <family val="2"/>
      </rPr>
      <t xml:space="preserve"> Also, enter this amount on Form 1040 or 1040-SR, </t>
    </r>
  </si>
  <si>
    <t>line 6a</t>
  </si>
  <si>
    <t>.   .   .   .   .   .   .   .   .   .   .   .   .   .   .   .   .   .   .   .   .   .  1.</t>
  </si>
  <si>
    <t xml:space="preserve"> .   .   .   .   .   .   .   .   .   .   .   .   .   .   .   .   .   .   .   .   .   .   .   .   .   .</t>
  </si>
  <si>
    <t xml:space="preserve">Publication 915, Social Security and Equivalent Railroad Retirement Benefits </t>
  </si>
  <si>
    <t>Combine the amounts from Form 1040 or 1040-SR, lines 1z, 2b, 3b, 4b, 5b, 7, and 8</t>
  </si>
  <si>
    <r>
      <t xml:space="preserve">Enter your total income that is taxable (excluding line A), such as </t>
    </r>
    <r>
      <rPr>
        <b/>
        <sz val="10"/>
        <rFont val="Arial"/>
        <family val="2"/>
      </rPr>
      <t>pensions</t>
    </r>
    <r>
      <rPr>
        <sz val="10"/>
        <rFont val="Arial"/>
        <family val="2"/>
      </rPr>
      <t>, wages, interest,</t>
    </r>
  </si>
  <si>
    <t>Enter the amount, if any, from Form 1040 or 1040-SR, line 2a</t>
  </si>
  <si>
    <t>ordinary dividends, and capital gain distributions. Don’t reduce your income by any deductions,</t>
  </si>
  <si>
    <t>Combine lines 2, 3, and 4</t>
  </si>
  <si>
    <t>.   .   .   .   .   .   .   .   .   .   .   .   .   .   .   .   .   .   .   .   .   .   .   .   .   .   .</t>
  </si>
  <si>
    <t>exclusions (listed earlier), or exemptions</t>
  </si>
  <si>
    <t>Is the amount on line 6 less than the amount on line 5?</t>
  </si>
  <si>
    <r>
      <rPr>
        <b/>
        <sz val="10"/>
        <rFont val="Arial"/>
        <family val="2"/>
      </rPr>
      <t xml:space="preserve"> No.                </t>
    </r>
    <r>
      <rPr>
        <sz val="10"/>
        <rFont val="Arial"/>
        <family val="2"/>
      </rPr>
      <t>None of your social security benefits are taxable.  Enter -0- on Form 1040</t>
    </r>
  </si>
  <si>
    <t xml:space="preserve">                       or 1040-SR, line 6b.</t>
  </si>
  <si>
    <r>
      <t xml:space="preserve"> Yes.</t>
    </r>
    <r>
      <rPr>
        <sz val="10"/>
        <rFont val="Arial"/>
        <family val="2"/>
      </rPr>
      <t xml:space="preserve">  Subtract line 6 from line 5</t>
    </r>
    <r>
      <rPr>
        <b/>
        <sz val="10"/>
        <rFont val="Arial"/>
        <family val="2"/>
      </rPr>
      <t xml:space="preserve">     .   .   .   .   .   .   .   .   .   .   .</t>
    </r>
  </si>
  <si>
    <t>.   .   .   .   .   .   .   .   .   .   .   .   .</t>
  </si>
  <si>
    <t>If you are:</t>
  </si>
  <si>
    <r>
      <t>l</t>
    </r>
    <r>
      <rPr>
        <sz val="10"/>
        <rFont val="Arial"/>
        <family val="2"/>
      </rPr>
      <t xml:space="preserve"> </t>
    </r>
  </si>
  <si>
    <t>Single, head of household, qualifying widow(er), or married filing</t>
  </si>
  <si>
    <r>
      <t xml:space="preserve">separately  and  you  </t>
    </r>
    <r>
      <rPr>
        <b/>
        <sz val="10"/>
        <rFont val="Arial"/>
        <family val="2"/>
      </rPr>
      <t>lived apart</t>
    </r>
    <r>
      <rPr>
        <sz val="10"/>
        <rFont val="Arial"/>
        <family val="2"/>
      </rPr>
      <t xml:space="preserve">  from your spouse  for all</t>
    </r>
  </si>
  <si>
    <t>Married filing separately and you lived with your spouse at any time</t>
  </si>
  <si>
    <t>enter the result on line 16. Then go to line 17</t>
  </si>
  <si>
    <t>Is the amount on line 8 less than the amount on line 7?</t>
  </si>
  <si>
    <r>
      <t xml:space="preserve">No.               </t>
    </r>
    <r>
      <rPr>
        <sz val="10"/>
        <rFont val="Arial"/>
        <family val="2"/>
      </rPr>
      <t>None of your social security benefits are taxable. Enter -0- on Form 1040 or 1040-SR, line 6b.</t>
    </r>
  </si>
  <si>
    <r>
      <t xml:space="preserve">If you are married filing separately and you </t>
    </r>
    <r>
      <rPr>
        <b/>
        <sz val="10"/>
        <rFont val="Arial"/>
        <family val="2"/>
      </rPr>
      <t>lived apart</t>
    </r>
    <r>
      <rPr>
        <sz val="10"/>
        <rFont val="Arial"/>
        <family val="2"/>
      </rPr>
      <t xml:space="preserve"> from your spouse for all of</t>
    </r>
  </si>
  <si>
    <r>
      <t xml:space="preserve">Yes. </t>
    </r>
    <r>
      <rPr>
        <sz val="10"/>
        <rFont val="Arial"/>
        <family val="2"/>
      </rPr>
      <t xml:space="preserve"> Subtract line 8 from line 7</t>
    </r>
    <r>
      <rPr>
        <b/>
        <sz val="10"/>
        <rFont val="Arial"/>
        <family val="2"/>
      </rPr>
      <t xml:space="preserve">.   .   .   .   .   .   .   .   .   .   .   </t>
    </r>
  </si>
  <si>
    <t>.   .   .   .   .   .   .   .   .   .   .   .   .   .   .   .   .   .   .   .   .   .   .   .   .   .   .   .   .   .   .   .   .</t>
  </si>
  <si>
    <r>
      <t xml:space="preserve">widow(er), or married filing separately and you </t>
    </r>
    <r>
      <rPr>
        <b/>
        <sz val="10"/>
        <rFont val="Arial"/>
        <family val="2"/>
      </rPr>
      <t>lived apart</t>
    </r>
    <r>
      <rPr>
        <sz val="10"/>
        <rFont val="Arial"/>
        <family val="2"/>
      </rPr>
      <t xml:space="preserve"> from your spouse for all of</t>
    </r>
  </si>
  <si>
    <t xml:space="preserve">Subtract line 10 from line 9. If zero or less, enter -0- </t>
  </si>
  <si>
    <r>
      <t xml:space="preserve">Enter the </t>
    </r>
    <r>
      <rPr>
        <b/>
        <sz val="10"/>
        <rFont val="Arial"/>
        <family val="2"/>
      </rPr>
      <t>smaller</t>
    </r>
    <r>
      <rPr>
        <sz val="10"/>
        <rFont val="Arial"/>
        <family val="2"/>
      </rPr>
      <t xml:space="preserve"> of line 9 or line 10</t>
    </r>
  </si>
  <si>
    <t>.   .   .   .   .   .   .   .   .   .   .   .   .   .   .   .   .   .   .   .   .   .   .</t>
  </si>
  <si>
    <t>Enter one-half of line 12</t>
  </si>
  <si>
    <r>
      <t xml:space="preserve">Enter the </t>
    </r>
    <r>
      <rPr>
        <b/>
        <sz val="10"/>
        <rFont val="Arial"/>
        <family val="2"/>
      </rPr>
      <t>smaller</t>
    </r>
    <r>
      <rPr>
        <sz val="10"/>
        <rFont val="Arial"/>
        <family val="2"/>
      </rPr>
      <t xml:space="preserve"> of line 2 or line 13</t>
    </r>
  </si>
  <si>
    <t>.   .   .   .   .   .   .   .   .   .   .   .   .   .   .   .</t>
  </si>
  <si>
    <t>Add lines 14 and 15</t>
  </si>
  <si>
    <t>.   .   .   .   .   .   .   .   .   .   .   .   .   .   .   .   .   .   .   .   .   .   .   .   .   .   .   .</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</si>
  <si>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</si>
  <si>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Also, enter this amount on Form 1040 or 1040-SR, line 6b.</t>
  </si>
  <si>
    <r>
      <t xml:space="preserve">   year, you may be able to reduce the taxable amount. See </t>
    </r>
    <r>
      <rPr>
        <sz val="10"/>
        <rFont val="Arial"/>
        <family val="2"/>
      </rPr>
      <t>Lump-Sum Election</t>
    </r>
    <r>
      <rPr>
        <i/>
        <sz val="10"/>
        <rFont val="Arial"/>
        <family val="2"/>
      </rPr>
      <t xml:space="preserve"> in Pub. 915 for details.</t>
    </r>
  </si>
  <si>
    <t xml:space="preserve">    Standard Deduction Worksheet for Dependents -- Line 12</t>
  </si>
  <si>
    <t>Applicable?</t>
  </si>
  <si>
    <t>Use form anyway.</t>
  </si>
  <si>
    <r>
      <t xml:space="preserve">Use the worksheet </t>
    </r>
    <r>
      <rPr>
        <b/>
        <sz val="10"/>
        <rFont val="Arial"/>
        <family val="2"/>
      </rPr>
      <t>only</t>
    </r>
    <r>
      <rPr>
        <sz val="10"/>
        <rFont val="Arial"/>
        <family val="2"/>
      </rPr>
      <t xml:space="preserve"> if someone can claim you, or your spouse, if filing jointly, as a dependent.</t>
    </r>
  </si>
  <si>
    <r>
      <rPr>
        <b/>
        <sz val="10"/>
        <rFont val="Arial"/>
        <family val="2"/>
      </rPr>
      <t>You</t>
    </r>
    <r>
      <rPr>
        <sz val="10"/>
        <rFont val="Arial"/>
        <family val="2"/>
      </rPr>
      <t xml:space="preserve">  were  born   before</t>
    </r>
  </si>
  <si>
    <t>You  are blind</t>
  </si>
  <si>
    <t>Total number of boxes</t>
  </si>
  <si>
    <r>
      <rPr>
        <sz val="10"/>
        <rFont val="Arial"/>
        <family val="2"/>
      </rPr>
      <t xml:space="preserve">checked  </t>
    </r>
    <r>
      <rPr>
        <b/>
        <sz val="10"/>
        <rFont val="Arial"/>
        <family val="2"/>
      </rPr>
      <t xml:space="preserve">.   .   .   .   .   .   .   .   .   .   .   .   .   .  </t>
    </r>
  </si>
  <si>
    <r>
      <rPr>
        <b/>
        <sz val="10"/>
        <rFont val="Arial"/>
        <family val="2"/>
      </rPr>
      <t>Spouse</t>
    </r>
    <r>
      <rPr>
        <sz val="10"/>
        <rFont val="Arial"/>
        <family val="2"/>
      </rPr>
      <t xml:space="preserve"> was born before</t>
    </r>
  </si>
  <si>
    <t>Spouse is blind</t>
  </si>
  <si>
    <r>
      <t>Earned Income (from '</t>
    </r>
    <r>
      <rPr>
        <i/>
        <sz val="10"/>
        <rFont val="Arial"/>
        <family val="2"/>
      </rPr>
      <t>Earned Inc WS</t>
    </r>
    <r>
      <rPr>
        <sz val="10"/>
        <rFont val="Arial"/>
        <family val="2"/>
      </rPr>
      <t>', line 7)</t>
    </r>
  </si>
  <si>
    <r>
      <t xml:space="preserve">Is  your  </t>
    </r>
    <r>
      <rPr>
        <b/>
        <sz val="10"/>
        <rFont val="Arial"/>
        <family val="2"/>
      </rPr>
      <t>earned income*</t>
    </r>
    <r>
      <rPr>
        <sz val="10"/>
        <rFont val="Arial"/>
        <family val="2"/>
      </rPr>
      <t xml:space="preserve"> </t>
    </r>
  </si>
  <si>
    <t>Standard deduction.</t>
  </si>
  <si>
    <r>
      <rPr>
        <b/>
        <sz val="10"/>
        <rFont val="Arial"/>
        <family val="2"/>
      </rPr>
      <t>stop here</t>
    </r>
    <r>
      <rPr>
        <sz val="10"/>
        <rFont val="Arial"/>
        <family val="2"/>
      </rPr>
      <t xml:space="preserve"> and enter</t>
    </r>
  </si>
  <si>
    <t>this amount on Form 1040 or 1040-SR, line 12. Otherwise, go to line 4b</t>
  </si>
  <si>
    <t xml:space="preserve"> 4a.</t>
  </si>
  <si>
    <t>.   .   .   .   .   .   .   .   .   .   .   .   .   .   .   .   .   .   .   .   .   .   .   .   4b.</t>
  </si>
  <si>
    <t>Add lines 4a and 4b. Enter the total here and on Form 1040 or 1040-SR, line 12</t>
  </si>
  <si>
    <t>.   .   .   .   .   .   .   .   .   4c.</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</si>
  <si>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</si>
  <si>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</si>
  <si>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 xml:space="preserve">   1040 or 1040-SR, line 1z,  and Schedule 1, lines 3, 6, 8r, 8t, and 8u, minus the amount, if any, on Schedule 1, line 15. </t>
  </si>
  <si>
    <t>NOTE:  This spreadsheet includes an "Earned Inc WS" which is designed to help you calculate your earned income.</t>
  </si>
  <si>
    <t>Qualified Dividends and</t>
  </si>
  <si>
    <t>Amount from Form 1040, Line 3a.</t>
  </si>
  <si>
    <t>Capital Gain Tax Worksheet</t>
  </si>
  <si>
    <t>Amount from Form 1040, Line 7, or smallest of Sch. D, Line 15 or 16.</t>
  </si>
  <si>
    <t>Sum of Lines 2 and 3.</t>
  </si>
  <si>
    <r>
      <t xml:space="preserve">Use this worksheet to figure your tax if </t>
    </r>
    <r>
      <rPr>
        <u/>
        <sz val="10"/>
        <rFont val="Arial"/>
        <family val="2"/>
      </rPr>
      <t>any</t>
    </r>
    <r>
      <rPr>
        <sz val="10"/>
        <rFont val="Arial"/>
        <family val="2"/>
      </rPr>
      <t xml:space="preserve"> of the following applies:</t>
    </r>
  </si>
  <si>
    <r>
      <t>h</t>
    </r>
    <r>
      <rPr>
        <sz val="10"/>
        <rFont val="Arial"/>
        <family val="2"/>
      </rPr>
      <t xml:space="preserve">  You are not filing Schedule D, and you reported qualified dividends on Form 1040 or 1040-SR, line 3a,</t>
    </r>
  </si>
  <si>
    <r>
      <t>h</t>
    </r>
    <r>
      <rPr>
        <sz val="10"/>
        <rFont val="Arial"/>
        <family val="2"/>
      </rPr>
      <t xml:space="preserve">  You are filing Schedule D, the answer to Schedule D, either line 20 or line 22, is "Yes."</t>
    </r>
  </si>
  <si>
    <r>
      <t>h</t>
    </r>
    <r>
      <rPr>
        <sz val="10"/>
        <rFont val="Arial"/>
        <family val="2"/>
      </rPr>
      <t xml:space="preserve">  You don't have to file Schedule D and you reported capital gain distributions on Form 1040 or 1040-SR, line 7.</t>
    </r>
  </si>
  <si>
    <r>
      <t>h</t>
    </r>
    <r>
      <rPr>
        <sz val="10"/>
        <rFont val="Arial"/>
        <family val="2"/>
      </rPr>
      <t xml:space="preserve">  You are filing Schedule D and Schedule D, lines 15 and 16, are both more than zero </t>
    </r>
    <r>
      <rPr>
        <u/>
        <sz val="10"/>
        <rFont val="Arial"/>
        <family val="2"/>
      </rPr>
      <t>and</t>
    </r>
  </si>
  <si>
    <t>Line 26</t>
  </si>
  <si>
    <r>
      <t xml:space="preserve">      you are </t>
    </r>
    <r>
      <rPr>
        <u/>
        <sz val="10"/>
        <rFont val="Arial"/>
        <family val="2"/>
      </rPr>
      <t>not</t>
    </r>
    <r>
      <rPr>
        <sz val="10"/>
        <rFont val="Arial"/>
        <family val="2"/>
      </rPr>
      <t xml:space="preserve"> required to complete the </t>
    </r>
    <r>
      <rPr>
        <b/>
        <sz val="10"/>
        <rFont val="Arial"/>
        <family val="2"/>
      </rPr>
      <t>28% Rate Gain Worksheet</t>
    </r>
    <r>
      <rPr>
        <sz val="10"/>
        <rFont val="Arial"/>
        <family val="2"/>
      </rPr>
      <t xml:space="preserve"> (Sch. D, line 18) </t>
    </r>
    <r>
      <rPr>
        <u/>
        <sz val="10"/>
        <rFont val="Arial"/>
        <family val="2"/>
      </rPr>
      <t>and</t>
    </r>
  </si>
  <si>
    <r>
      <t xml:space="preserve">      you are </t>
    </r>
    <r>
      <rPr>
        <u/>
        <sz val="10"/>
        <rFont val="Arial"/>
        <family val="2"/>
      </rPr>
      <t>not</t>
    </r>
    <r>
      <rPr>
        <sz val="10"/>
        <rFont val="Arial"/>
        <family val="2"/>
      </rPr>
      <t xml:space="preserve"> required to complete the </t>
    </r>
    <r>
      <rPr>
        <b/>
        <sz val="10"/>
        <rFont val="Arial"/>
        <family val="2"/>
      </rPr>
      <t>Unrecaptured Section 1250 Gain Worksheet</t>
    </r>
    <r>
      <rPr>
        <sz val="10"/>
        <rFont val="Arial"/>
        <family val="2"/>
      </rPr>
      <t xml:space="preserve"> (Schedule D, line 19), </t>
    </r>
    <r>
      <rPr>
        <u/>
        <sz val="10"/>
        <rFont val="Arial"/>
        <family val="2"/>
      </rPr>
      <t>and</t>
    </r>
  </si>
  <si>
    <r>
      <t xml:space="preserve">      you are </t>
    </r>
    <r>
      <rPr>
        <u/>
        <sz val="10"/>
        <rFont val="Arial"/>
        <family val="2"/>
      </rPr>
      <t>not</t>
    </r>
    <r>
      <rPr>
        <sz val="10"/>
        <rFont val="Arial"/>
        <family val="2"/>
      </rPr>
      <t xml:space="preserve"> filing Form 4952. (See Schedule D, line 20.) </t>
    </r>
  </si>
  <si>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</si>
  <si>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12.</t>
  </si>
  <si>
    <t>(Form 1040, Schedule J, Income Averaging for Farmers and Fishermen, is NOT included in this spreadsheet.)</t>
  </si>
  <si>
    <t>13.</t>
  </si>
  <si>
    <t>14.</t>
  </si>
  <si>
    <t>Check here to use this worksheet anyway.</t>
  </si>
  <si>
    <t>15.</t>
  </si>
  <si>
    <t>16.</t>
  </si>
  <si>
    <t>17.</t>
  </si>
  <si>
    <t>18.</t>
  </si>
  <si>
    <t>Line 24</t>
  </si>
  <si>
    <t>Keep for your records.</t>
  </si>
  <si>
    <t>19.</t>
  </si>
  <si>
    <t xml:space="preserve">Before you begin: </t>
  </si>
  <si>
    <t>P</t>
  </si>
  <si>
    <t>See the earlier instructions for line 16 to see if you can use this worksheet to figure your tax.</t>
  </si>
  <si>
    <t>20.</t>
  </si>
  <si>
    <t>Before completing this worksheet, complete Form 1040 or 1040-SR through line 15.</t>
  </si>
  <si>
    <t>21.</t>
  </si>
  <si>
    <t>If you do not have to file Schedule D and you received capital gain distributions, be sure</t>
  </si>
  <si>
    <t>22.</t>
  </si>
  <si>
    <t>Tax on Line 5.</t>
  </si>
  <si>
    <t>you checked the box on Form 1040 or 1040-SR, line 7.</t>
  </si>
  <si>
    <t>23.</t>
  </si>
  <si>
    <t>Enter the amount from Form 1040 or 1040-SR, line 15.  However, if you are filing Form</t>
  </si>
  <si>
    <t>24.</t>
  </si>
  <si>
    <t>Tax on Line 1.</t>
  </si>
  <si>
    <t>2555 (relating to foreign earned income), enter the amount from</t>
  </si>
  <si>
    <t>25.</t>
  </si>
  <si>
    <t>Tax on all taxable income.</t>
  </si>
  <si>
    <t>line 3 of the Foreign Earned Income Tax Worksheet</t>
  </si>
  <si>
    <t xml:space="preserve"> .    .    .    .    .    .    .    .    .    .    . </t>
  </si>
  <si>
    <t>Enter the amount from Form 1040 or 1040-SR, line 3a* .    .    .    .    .    .    .</t>
  </si>
  <si>
    <t>Are you filing Schedule D?*</t>
  </si>
  <si>
    <t xml:space="preserve">  Yes.</t>
  </si>
  <si>
    <r>
      <t xml:space="preserve">Enter the </t>
    </r>
    <r>
      <rPr>
        <b/>
        <sz val="9"/>
        <rFont val="Arial"/>
        <family val="2"/>
      </rPr>
      <t>smaller</t>
    </r>
    <r>
      <rPr>
        <sz val="9"/>
        <rFont val="Arial"/>
        <family val="2"/>
      </rPr>
      <t xml:space="preserve"> of line 15 or 16 of</t>
    </r>
  </si>
  <si>
    <t>Schedule D. If either line 15 or line 16 is</t>
  </si>
  <si>
    <t>blank or a loss, enter -0-.</t>
  </si>
  <si>
    <t xml:space="preserve">  No.</t>
  </si>
  <si>
    <t xml:space="preserve">Enter the amount from Form 1040 or </t>
  </si>
  <si>
    <t>1040-SR, line 7</t>
  </si>
  <si>
    <t>Add lines 2 and 3</t>
  </si>
  <si>
    <t xml:space="preserve"> .    .    .    .    .    .    .    .    .    .    .    .    . </t>
  </si>
  <si>
    <t>Subtract line 4 from line 1.  If zero or less, enter -0-</t>
  </si>
  <si>
    <t xml:space="preserve"> .    .    .    .    .    .    .    .    .    .    .    . </t>
  </si>
  <si>
    <r>
      <t>Enter</t>
    </r>
    <r>
      <rPr>
        <sz val="9"/>
        <rFont val="Arial"/>
        <family val="2"/>
      </rPr>
      <t>:</t>
    </r>
  </si>
  <si>
    <t xml:space="preserve"> .    .    .    .    .    .    .    . </t>
  </si>
  <si>
    <t>Enter the smaller of line 1 or line 6</t>
  </si>
  <si>
    <t xml:space="preserve"> .    .    .    .    .    .    .    .    .    .    .    .    .    .    .    .    . </t>
  </si>
  <si>
    <t>Enter the smaller of line 5 or line 7</t>
  </si>
  <si>
    <t xml:space="preserve">.    .    .    .    .    .    .    .    .    .    .    .    .    .    .    .    . </t>
  </si>
  <si>
    <t>Subtract line 8 from line 7. This amount is taxed at 0%</t>
  </si>
  <si>
    <t xml:space="preserve"> .    .    .    .    .    .    .    .    .    . </t>
  </si>
  <si>
    <t>Enter the smaller of line 1 or line 4</t>
  </si>
  <si>
    <t xml:space="preserve">  .    .    .    .    .    .    .    .    .    .    .    .    .    .    .    . </t>
  </si>
  <si>
    <t>Enter the amount from line 9</t>
  </si>
  <si>
    <t>Subtract line 11 from line 10</t>
  </si>
  <si>
    <t xml:space="preserve">   .    .    .    .    .    .    .    .    .    .    .    .    .    .    .    .    .    . </t>
  </si>
  <si>
    <t>CGTW_Line5</t>
  </si>
  <si>
    <t>Enter the smaller of line 1 or line 13</t>
  </si>
  <si>
    <t>Add lines 5 and 9</t>
  </si>
  <si>
    <t>Subtract line 15 from line 14. If zero or less, enter -0-</t>
  </si>
  <si>
    <t>Enter the smaller of line 12 or line 16</t>
  </si>
  <si>
    <t xml:space="preserve"> .    .    .    .    .    .    .    .    .    .    .    .    .    .    .    .    .    .    .    .    .    .    .    .    .    .  </t>
  </si>
  <si>
    <t>Add lines 9 and 17</t>
  </si>
  <si>
    <t xml:space="preserve">.    .    .    .    .    .    .    .    .    .    .    .    .    .    .    .    .    .    .    . </t>
  </si>
  <si>
    <t>Subtract line 19 from line 10</t>
  </si>
  <si>
    <t>CGTW_Line1</t>
  </si>
  <si>
    <t>Figure the tax on the amount on line 5. If the amount on line 5 is less than $100,000, use the Tax</t>
  </si>
  <si>
    <t>Table to figure this tax. If the amount on line 5 is $100,000 or more, use the Tax Computation</t>
  </si>
  <si>
    <t>Worksheet</t>
  </si>
  <si>
    <t xml:space="preserve">   .    .    .    .    .    .    .    .    .    .    .    .    .    .    .    .    .    .    .    .    .    .    .    .    .    .    .    .    .    .    .    .    . </t>
  </si>
  <si>
    <t>Add lines 18, 21, and 22</t>
  </si>
  <si>
    <t xml:space="preserve">.    .    .    .    .    .    .    .    .    .    .    .    .    .    .    .    .    .    .    .    .    .    .    .    .    .    .    . </t>
  </si>
  <si>
    <t>Figure the tax on the amount on line 1. If the amount on line 1 is less than $100,000, use the Tax</t>
  </si>
  <si>
    <t>Table to figure this tax. If the amount on line 1 is $100,000 or more, use the Tax Computation</t>
  </si>
  <si>
    <t xml:space="preserve">   .    .    .    .    .    .    .    .    .    .    .    .    .    .    .    .    .    .    .    .    .    .    .    .    .    .    .    .    .    .    .    .    .    . </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</si>
  <si>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</si>
  <si>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</si>
  <si>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entry space on Form 1040 or 1040-SR, line 16. Instead, enter it on line 4 of the Foreign Earned Income</t>
  </si>
  <si>
    <t>Tax Worksheet</t>
  </si>
  <si>
    <t xml:space="preserve">.    .    .    .    .    .    .    .    .    .    .    .    .    .    .    .    .    .    .    .    .    .    .    .    .    .    .    .    .    .    .    .    . </t>
  </si>
  <si>
    <t>* If you are filing Form 2555, see the footnote in the Foreign Earned Income Tax Worksheet before completing this line.</t>
  </si>
  <si>
    <t>FEI_TW_Line3</t>
  </si>
  <si>
    <t>Foreign Earned Income Tax Worksheet — Line 16</t>
  </si>
  <si>
    <t>If Form 1040 or 1040-SR, line 15, is zero, do not complete this worksheet.</t>
  </si>
  <si>
    <t>Enter the amount from Form 1040 or 1040-SR, line 15</t>
  </si>
  <si>
    <t xml:space="preserve">.    .    .    .    .    .    .    .    .    .    .    .    .    .    .    .    .    . </t>
  </si>
  <si>
    <t>FEI_TW_Line2c</t>
  </si>
  <si>
    <r>
      <t xml:space="preserve">Enter the amount from your (and your spouse's, if filing jointly) Form 2555, lines 45 and 50  </t>
    </r>
    <r>
      <rPr>
        <b/>
        <sz val="10"/>
        <rFont val="Arial"/>
        <family val="2"/>
      </rPr>
      <t>.    .    .    .    .    .    .    .    .</t>
    </r>
  </si>
  <si>
    <t>Enter the total amount of any itemized deductions or exclusions you couldn't claim because they are</t>
  </si>
  <si>
    <t>related to excluded income</t>
  </si>
  <si>
    <t xml:space="preserve"> .    .    .    .    .    .    .    .    .    .    .    .    .    .    .    .    .    .    .    .    .    .    .    .    .    . </t>
  </si>
  <si>
    <t>Subtract line 2b from line 2a. If zero or less, enter -0-</t>
  </si>
  <si>
    <t xml:space="preserve">.    .    .    .    .    .    .    .    .    .    .    .    .    .    .    .    .    .    . </t>
  </si>
  <si>
    <t>Add lines 1 and 2c</t>
  </si>
  <si>
    <t xml:space="preserve">.    .    .    .    .    .    .    .    .    .    .    .    .    .    .    .    .    .    .    .    .    .    .    .    .    .    .    .    .    . </t>
  </si>
  <si>
    <t>FEITW, Line 3</t>
  </si>
  <si>
    <r>
      <rPr>
        <b/>
        <sz val="10"/>
        <rFont val="Arial"/>
        <family val="2"/>
      </rPr>
      <t>Figure the tax on the amount on line 3.</t>
    </r>
    <r>
      <rPr>
        <sz val="10"/>
        <rFont val="Arial"/>
        <family val="2"/>
      </rPr>
      <t xml:space="preserve"> Use the Tax Table, Tax Computation Worksheet,</t>
    </r>
  </si>
  <si>
    <t>Qualified Dividends and Capital Gain Tax Worksheet*, Schedule D Tax Worksheet*, or Form</t>
  </si>
  <si>
    <t>8615, whichever applies. See the instructions for Form 1040 or 1040-SR, line 16 to see which tax</t>
  </si>
  <si>
    <t>computation method applies. (Do not use a second Foreign Earned Income Tax Worksheet to figure</t>
  </si>
  <si>
    <t>V85</t>
  </si>
  <si>
    <t>the tax on this line)</t>
  </si>
  <si>
    <t xml:space="preserve">.    .    .    .    .    .    .    .    .    .    .    .    .    .    .    .    .    .    .    .    .    .    .    .    .    .    .    .    . </t>
  </si>
  <si>
    <r>
      <rPr>
        <b/>
        <sz val="10"/>
        <rFont val="Arial"/>
        <family val="2"/>
      </rPr>
      <t>Figure the tax on the amount on line 2c.</t>
    </r>
    <r>
      <rPr>
        <sz val="10"/>
        <rFont val="Arial"/>
        <family val="2"/>
      </rPr>
      <t xml:space="preserve"> If the amount on line 2c is less than $100,000, use the</t>
    </r>
  </si>
  <si>
    <t>Tax Table to figure this tax. If the amount on line 2c is $100,000 or more, use the Tax Computation</t>
  </si>
  <si>
    <t xml:space="preserve">.    .    .    .    .    .    .    .    .    .    .    .    .    .    .    .    .    .    .    .    .    .    .    .    .    .    .    .    .    .    .    . </t>
  </si>
  <si>
    <t>Subtract line 5 from line 4. Enter the result. If zero or less, enter -0-. Also include this amount on</t>
  </si>
  <si>
    <t>Form 1040 or 1040-SR, line 16</t>
  </si>
  <si>
    <t xml:space="preserve">.    .    .    .    .    .    .    .    .    .    .    .    .    .    .    .    .    .    .    .    .    .    .    .    . </t>
  </si>
  <si>
    <t>V89</t>
  </si>
  <si>
    <t>*Enter the amount from line 3 above on line 1 of the Qualified Dividends and Capital Gain Tax Worksheet or Schedule D Tax Worksheet if you</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</si>
  <si>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</si>
  <si>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</si>
  <si>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Form 1040 or 1040-SR, line 15, from line 4 of your Qualified Dividends and Capital Gain Tax Worksheet (line 10 of your Schedule D Tax</t>
  </si>
  <si>
    <t>Worksheet).  If the result is more than zero, that amount is your capital gain excess.</t>
  </si>
  <si>
    <t>If you don't have a capital gain excess, complete the rest of either of those worksheets according to the worksheet's instructions. Then</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</si>
  <si>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</si>
  <si>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</si>
  <si>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</si>
  <si>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</si>
  <si>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</si>
  <si>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</si>
  <si>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</si>
  <si>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Schedule D Tax Worksheet</t>
  </si>
  <si>
    <t>&lt;&lt; Used?</t>
  </si>
  <si>
    <t>or line 6 of your Schedule D Tax Worksheet by any of your capital gain excess not used in (1) above.</t>
  </si>
  <si>
    <t>&lt; FEITW, Line 3 &gt;</t>
  </si>
  <si>
    <t>3. Reduce (but not below zero) the amount on your Schedule D (Form 1040), line 18, by your capital gain excess.</t>
  </si>
  <si>
    <t>Form 1040, line 3a</t>
  </si>
  <si>
    <t>4. Include your capital gain excess as a loss on line 16 of your Unrecaptured Section 1250 Gain Worksheet in the Instructions for</t>
  </si>
  <si>
    <t>Form 4952, line 4g</t>
  </si>
  <si>
    <t>Schedule D (Form 1040).</t>
  </si>
  <si>
    <t>Form 4952, line 4e</t>
  </si>
  <si>
    <t>Subtract line 4 from 3</t>
  </si>
  <si>
    <t>Subtract line 5 from 2</t>
  </si>
  <si>
    <t>Smaller of Sch. D, L15 or 16</t>
  </si>
  <si>
    <t>Smaller of line 3 or 4</t>
  </si>
  <si>
    <t>Subtract line 8 from 7</t>
  </si>
  <si>
    <t>Add lines 6 and 9</t>
  </si>
  <si>
    <t>Add Sch. D, L 18 &amp; 19</t>
  </si>
  <si>
    <t>Smaller of line 9 or 11</t>
  </si>
  <si>
    <t>Subtract line 12 from 10</t>
  </si>
  <si>
    <t>Subtract line 13 from 1</t>
  </si>
  <si>
    <t>Sch. DTW line 15</t>
  </si>
  <si>
    <t>Smaller of line 1 or 15</t>
  </si>
  <si>
    <t>Smaller of line 14 or 16</t>
  </si>
  <si>
    <t>Subtract line 10 from 1</t>
  </si>
  <si>
    <t>Smaller of line 1 or Amt.</t>
  </si>
  <si>
    <t>Smaller of line 14 or 19</t>
  </si>
  <si>
    <t>Larger of line 18 or 20</t>
  </si>
  <si>
    <t>Subtract line 17 from 16</t>
  </si>
  <si>
    <t>Enter smaller of line 1 or 13</t>
  </si>
  <si>
    <t>Amt. from line 22.</t>
  </si>
  <si>
    <t>Subt. Line 24 from 23 (&gt;=0)</t>
  </si>
  <si>
    <t>Amt. from line 26</t>
  </si>
  <si>
    <t>27.</t>
  </si>
  <si>
    <t>Smaller of line 1 or 26</t>
  </si>
  <si>
    <t>28.</t>
  </si>
  <si>
    <t>Add lines 21 and 22</t>
  </si>
  <si>
    <t>29.</t>
  </si>
  <si>
    <t>Subt. line 28 from 27. (&gt;=0)</t>
  </si>
  <si>
    <t xml:space="preserve">   30</t>
  </si>
  <si>
    <t>Smaller of line 23 or 27</t>
  </si>
  <si>
    <t>31.</t>
  </si>
  <si>
    <t>32.</t>
  </si>
  <si>
    <t>Add lines 24 and 30</t>
  </si>
  <si>
    <t>33.</t>
  </si>
  <si>
    <t>Subtract line 32 from 23</t>
  </si>
  <si>
    <t>34.</t>
  </si>
  <si>
    <t>35.</t>
  </si>
  <si>
    <t>Smaller of L9 or SchD L19</t>
  </si>
  <si>
    <t>36.</t>
  </si>
  <si>
    <t>Add lines 10 and 21</t>
  </si>
  <si>
    <t>37.</t>
  </si>
  <si>
    <t>Amount from line 1</t>
  </si>
  <si>
    <t>38.</t>
  </si>
  <si>
    <t>Subt. line 37 from 36 (&gt;=0)</t>
  </si>
  <si>
    <t>39.</t>
  </si>
  <si>
    <t>Subt. line 38 from 35 (&gt;=0)</t>
  </si>
  <si>
    <t>40.</t>
  </si>
  <si>
    <t>41.</t>
  </si>
  <si>
    <t>Add line 21, 22, 30, 33, &amp; 39</t>
  </si>
  <si>
    <t>42.</t>
  </si>
  <si>
    <t>Subtract line 41 from 1</t>
  </si>
  <si>
    <t>43.</t>
  </si>
  <si>
    <t>44.</t>
  </si>
  <si>
    <t>Tax on Line 21</t>
  </si>
  <si>
    <t>X132</t>
  </si>
  <si>
    <t>45.</t>
  </si>
  <si>
    <t>Add line 31, 34, 40, 43, &amp; 44</t>
  </si>
  <si>
    <t>46.</t>
  </si>
  <si>
    <t>Tax on Line 1</t>
  </si>
  <si>
    <t>X112</t>
  </si>
  <si>
    <t>47.</t>
  </si>
  <si>
    <r>
      <rPr>
        <b/>
        <sz val="10"/>
        <rFont val="Arial"/>
        <family val="2"/>
      </rPr>
      <t>TAX:</t>
    </r>
    <r>
      <rPr>
        <sz val="10"/>
        <rFont val="Arial"/>
        <family val="2"/>
      </rPr>
      <t xml:space="preserve"> Smaller of line 45 or 46</t>
    </r>
  </si>
  <si>
    <t>Line 27 --</t>
  </si>
  <si>
    <t>Earned Income Credit (EIC)</t>
  </si>
  <si>
    <t>Step 1</t>
  </si>
  <si>
    <t>All Filers</t>
  </si>
  <si>
    <t>Number of qualified children</t>
  </si>
  <si>
    <t>●</t>
  </si>
  <si>
    <t>3 or more children lived with you,</t>
  </si>
  <si>
    <t>MFJ</t>
  </si>
  <si>
    <t>2 children lived with you,</t>
  </si>
  <si>
    <t>1 child lived with you,</t>
  </si>
  <si>
    <t>No children lived with you,</t>
  </si>
  <si>
    <r>
      <rPr>
        <b/>
        <sz val="10"/>
        <rFont val="Arial"/>
        <family val="2"/>
      </rPr>
      <t>Yes.</t>
    </r>
    <r>
      <rPr>
        <sz val="10"/>
        <rFont val="Arial"/>
        <family val="2"/>
      </rPr>
      <t xml:space="preserve">  Continue.</t>
    </r>
  </si>
  <si>
    <r>
      <rPr>
        <b/>
        <sz val="10"/>
        <rFont val="Arial"/>
        <family val="2"/>
      </rPr>
      <t xml:space="preserve">No. </t>
    </r>
    <r>
      <rPr>
        <sz val="10"/>
        <rFont val="Arial"/>
        <family val="2"/>
      </rPr>
      <t xml:space="preserve"> STOP  You can't take the credit.</t>
    </r>
  </si>
  <si>
    <t>Do you, and your spouse if filing a joint return, have a social security number issued on or before the due date</t>
  </si>
  <si>
    <r>
      <rPr>
        <b/>
        <sz val="10"/>
        <rFont val="Arial"/>
        <family val="2"/>
      </rPr>
      <t>No.</t>
    </r>
    <r>
      <rPr>
        <sz val="10"/>
        <rFont val="Arial"/>
        <family val="2"/>
      </rPr>
      <t xml:space="preserve">  STOP  You cannot take the credit.</t>
    </r>
  </si>
  <si>
    <t>Enter “No” on the dotted line next to Form 1040, line 27.</t>
  </si>
  <si>
    <t>Are you filing Form 2555 (relating to foreign earned income)?</t>
  </si>
  <si>
    <r>
      <rPr>
        <b/>
        <sz val="10"/>
        <rFont val="Arial"/>
        <family val="2"/>
      </rPr>
      <t>Yes.</t>
    </r>
    <r>
      <rPr>
        <sz val="10"/>
        <rFont val="Arial"/>
        <family val="2"/>
      </rPr>
      <t xml:space="preserve">  STOP  You can't take the credit.</t>
    </r>
  </si>
  <si>
    <r>
      <rPr>
        <b/>
        <sz val="10"/>
        <color rgb="FF008000"/>
        <rFont val="Arial"/>
        <family val="2"/>
      </rPr>
      <t>No.</t>
    </r>
    <r>
      <rPr>
        <sz val="10"/>
        <rFont val="Arial"/>
        <family val="2"/>
      </rPr>
      <t xml:space="preserve">  </t>
    </r>
    <r>
      <rPr>
        <sz val="10"/>
        <color rgb="FF008000"/>
        <rFont val="Arial"/>
        <family val="2"/>
      </rPr>
      <t>Continue</t>
    </r>
  </si>
  <si>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</si>
  <si>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</si>
  <si>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t>Step 2</t>
  </si>
  <si>
    <t>Investment Income</t>
  </si>
  <si>
    <r>
      <t xml:space="preserve">Add the amounts from Form 1040 or 1040-SR:       </t>
    </r>
    <r>
      <rPr>
        <i/>
        <sz val="10"/>
        <rFont val="Arial"/>
        <family val="2"/>
      </rPr>
      <t>(This is automatically completed.)</t>
    </r>
  </si>
  <si>
    <t xml:space="preserve">Line 2a     </t>
  </si>
  <si>
    <t>Line 2b   +</t>
  </si>
  <si>
    <t>Line 3b   +</t>
  </si>
  <si>
    <t>Line 7*   +</t>
  </si>
  <si>
    <r>
      <rPr>
        <b/>
        <sz val="10"/>
        <rFont val="Arial"/>
        <family val="2"/>
      </rPr>
      <t>Investment Income</t>
    </r>
    <r>
      <rPr>
        <sz val="10"/>
        <rFont val="Arial"/>
        <family val="2"/>
      </rPr>
      <t xml:space="preserve"> =</t>
    </r>
  </si>
  <si>
    <t>*If line 7 is a loss, enter -0-.</t>
  </si>
  <si>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</si>
  <si>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</si>
  <si>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t>Are you filing Form 4797 (relating to sales of business property)?</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</si>
  <si>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</si>
  <si>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</si>
  <si>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t xml:space="preserve">You are filing Schedule E.      </t>
    </r>
    <r>
      <rPr>
        <i/>
        <sz val="10"/>
        <rFont val="Arial"/>
        <family val="2"/>
      </rPr>
      <t xml:space="preserve"> (This is automatically completed.)</t>
    </r>
  </si>
  <si>
    <t xml:space="preserve">You are reporting income or a loss from the rental of </t>
  </si>
  <si>
    <t>You are filing Form 8814 (relating to election to report child’s interest</t>
  </si>
  <si>
    <t>and dividends on your return).</t>
  </si>
  <si>
    <t>You have income or loss from a passive activity.</t>
  </si>
  <si>
    <r>
      <rPr>
        <b/>
        <sz val="10"/>
        <rFont val="Arial"/>
        <family val="2"/>
      </rPr>
      <t>Yes.</t>
    </r>
    <r>
      <rPr>
        <sz val="10"/>
        <rFont val="Arial"/>
        <family val="2"/>
      </rPr>
      <t xml:space="preserve">  Use Worksheet 1</t>
    </r>
  </si>
  <si>
    <t xml:space="preserve">         in Pub. 596 to see if you</t>
  </si>
  <si>
    <t xml:space="preserve">         can take the credit.</t>
  </si>
  <si>
    <t xml:space="preserve">Step 3 </t>
  </si>
  <si>
    <t>Qualifying Child</t>
  </si>
  <si>
    <t>See CAUTIONS and TIP in the instructions.</t>
  </si>
  <si>
    <t>A qualifying child for the EIC is a child who is your…</t>
  </si>
  <si>
    <t xml:space="preserve">Son, daughter, stepchild, foster child, brother, sister, stepbrother, stepsister, </t>
  </si>
  <si>
    <t>CAUTION:</t>
  </si>
  <si>
    <t>half brother, half sister, or a descendant of any of them</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</si>
  <si>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</si>
  <si>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(for example, your grandchild, niece, or nephew)</t>
  </si>
  <si>
    <r>
      <t>and</t>
    </r>
    <r>
      <rPr>
        <sz val="10"/>
        <rFont val="Arial"/>
        <family val="2"/>
      </rPr>
      <t>,</t>
    </r>
  </si>
  <si>
    <t>was …</t>
  </si>
  <si>
    <t>(or your spouse, if filing jointly),</t>
  </si>
  <si>
    <t>TIP:</t>
  </si>
  <si>
    <t>Any age and permanently and totally disabled (defined later)</t>
  </si>
  <si>
    <t>estimated tax paid (see Pub. 596 for examples)</t>
  </si>
  <si>
    <t>&lt;-- Enter number of qualifying children here.</t>
  </si>
  <si>
    <t>Qualifying Child (Con't.)</t>
  </si>
  <si>
    <t>(Con't.)</t>
  </si>
  <si>
    <t>Do you have at least one child who meets the conditions to</t>
  </si>
  <si>
    <t>be your qualifying child for the purpose of claiming the EIC?</t>
  </si>
  <si>
    <r>
      <rPr>
        <b/>
        <sz val="10"/>
        <rFont val="Arial"/>
        <family val="2"/>
      </rPr>
      <t>No.</t>
    </r>
    <r>
      <rPr>
        <sz val="10"/>
        <rFont val="Arial"/>
        <family val="2"/>
      </rPr>
      <t xml:space="preserve">  Skip questions 2 through 6; go to Step 4.</t>
    </r>
  </si>
  <si>
    <r>
      <rPr>
        <b/>
        <sz val="10"/>
        <rFont val="Arial"/>
        <family val="2"/>
      </rPr>
      <t>Yes.</t>
    </r>
    <r>
      <rPr>
        <sz val="10"/>
        <rFont val="Arial"/>
        <family val="2"/>
      </rPr>
      <t xml:space="preserve">  Skip questions 3 through 6 and</t>
    </r>
  </si>
  <si>
    <r>
      <rPr>
        <b/>
        <sz val="10"/>
        <rFont val="Arial"/>
        <family val="2"/>
      </rPr>
      <t>No.</t>
    </r>
    <r>
      <rPr>
        <sz val="10"/>
        <rFont val="Arial"/>
        <family val="2"/>
      </rPr>
      <t xml:space="preserve">  Continue.</t>
    </r>
  </si>
  <si>
    <t xml:space="preserve">         Step 4; go to Step 5.</t>
  </si>
  <si>
    <t>Are you a married taxpayer whose filing status is married</t>
  </si>
  <si>
    <t>filing separately or head of household?</t>
  </si>
  <si>
    <r>
      <rPr>
        <b/>
        <sz val="10"/>
        <rFont val="Arial"/>
        <family val="2"/>
      </rPr>
      <t>No.</t>
    </r>
    <r>
      <rPr>
        <sz val="10"/>
        <rFont val="Arial"/>
        <family val="2"/>
      </rPr>
      <t xml:space="preserve">  Skip questions 4 and 5; </t>
    </r>
  </si>
  <si>
    <t>go to question 6.</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</si>
  <si>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</si>
  <si>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</si>
  <si>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</si>
  <si>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</si>
  <si>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</si>
  <si>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r>
      <rPr>
        <b/>
        <sz val="10"/>
        <rFont val="Arial"/>
        <family val="2"/>
      </rPr>
      <t>No.</t>
    </r>
    <r>
      <rPr>
        <sz val="10"/>
        <rFont val="Arial"/>
        <family val="2"/>
      </rPr>
      <t xml:space="preserve">  Stop</t>
    </r>
  </si>
  <si>
    <t>You can't take the credit.</t>
  </si>
  <si>
    <t xml:space="preserve">(Check "No" if the other person is not rquired to file, and </t>
  </si>
  <si>
    <t>to claim a refund of withheld income tax or estimated tax</t>
  </si>
  <si>
    <t>paid (see Pub. 596 for examples).)</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</si>
  <si>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</si>
  <si>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Skip Step 4; go to Step 5.</t>
    </r>
  </si>
  <si>
    <t xml:space="preserve">         Enter “No” on the dotted line</t>
  </si>
  <si>
    <t xml:space="preserve">         next to line 27.</t>
  </si>
  <si>
    <t xml:space="preserve">Step 4 </t>
  </si>
  <si>
    <t>Filers Without a Qualifying Child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</si>
  <si>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</si>
  <si>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</si>
  <si>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Were you, or your spouse if filing a joint return, at least age</t>
  </si>
  <si>
    <t>(Check "Yes" if you, or your spouse if filing a joint return</t>
  </si>
  <si>
    <r>
      <rPr>
        <b/>
        <sz val="10"/>
        <rFont val="Arial"/>
        <family val="2"/>
      </rPr>
      <t>Yes.</t>
    </r>
    <r>
      <rPr>
        <sz val="10"/>
        <rFont val="Arial"/>
        <family val="2"/>
      </rPr>
      <t xml:space="preserve">   Continue</t>
    </r>
  </si>
  <si>
    <r>
      <rPr>
        <b/>
        <sz val="10"/>
        <rFont val="Arial"/>
        <family val="2"/>
      </rPr>
      <t>No.</t>
    </r>
    <r>
      <rPr>
        <sz val="10"/>
        <rFont val="Arial"/>
        <family val="2"/>
      </rPr>
      <t xml:space="preserve">    Stop.</t>
    </r>
  </si>
  <si>
    <t>You can't take the credit</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</si>
  <si>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</si>
  <si>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</si>
  <si>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later, before you answer.</t>
    </r>
  </si>
  <si>
    <r>
      <rPr>
        <b/>
        <sz val="10"/>
        <rFont val="Arial"/>
        <family val="2"/>
      </rPr>
      <t>No.</t>
    </r>
    <r>
      <rPr>
        <sz val="10"/>
        <rFont val="Arial"/>
        <family val="2"/>
      </rPr>
      <t xml:space="preserve">    </t>
    </r>
    <r>
      <rPr>
        <b/>
        <sz val="10"/>
        <rFont val="Arial"/>
        <family val="2"/>
      </rPr>
      <t>STOP</t>
    </r>
  </si>
  <si>
    <t>Enter "No" on the dotted</t>
  </si>
  <si>
    <t>line next to line 27.</t>
  </si>
  <si>
    <r>
      <rPr>
        <b/>
        <sz val="10"/>
        <rFont val="Arial"/>
        <family val="2"/>
      </rPr>
      <t>Yes.</t>
    </r>
    <r>
      <rPr>
        <sz val="10"/>
        <rFont val="Arial"/>
        <family val="2"/>
      </rPr>
      <t xml:space="preserve">  Skip questions 5 and 6;</t>
    </r>
  </si>
  <si>
    <r>
      <rPr>
        <b/>
        <sz val="10"/>
        <rFont val="Arial"/>
        <family val="2"/>
      </rPr>
      <t>No.</t>
    </r>
    <r>
      <rPr>
        <sz val="10"/>
        <rFont val="Arial"/>
        <family val="2"/>
      </rPr>
      <t xml:space="preserve">    </t>
    </r>
    <r>
      <rPr>
        <b/>
        <sz val="10"/>
        <rFont val="Arial"/>
        <family val="2"/>
      </rPr>
      <t>Continue</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</si>
  <si>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</si>
  <si>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</si>
  <si>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</si>
  <si>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</si>
  <si>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 xml:space="preserve">Step 5 </t>
  </si>
  <si>
    <t>Earned Income</t>
  </si>
  <si>
    <t>Are you filing Schedule SE because you were a member of the clergy or you had church employee income of $108.28 or more?</t>
  </si>
  <si>
    <r>
      <rPr>
        <b/>
        <sz val="10"/>
        <rFont val="Arial"/>
        <family val="2"/>
      </rPr>
      <t>No.</t>
    </r>
    <r>
      <rPr>
        <sz val="10"/>
        <rFont val="Arial"/>
        <family val="2"/>
      </rPr>
      <t xml:space="preserve">  Complete the</t>
    </r>
  </si>
  <si>
    <r>
      <t xml:space="preserve">See </t>
    </r>
    <r>
      <rPr>
        <i/>
        <sz val="10"/>
        <rFont val="Arial"/>
        <family val="2"/>
      </rPr>
      <t>Clergy or Church employees</t>
    </r>
    <r>
      <rPr>
        <sz val="10"/>
        <rFont val="Arial"/>
        <family val="2"/>
      </rPr>
      <t xml:space="preserve">, </t>
    </r>
  </si>
  <si>
    <t>following worksheet.</t>
  </si>
  <si>
    <t>whichever applies.</t>
  </si>
  <si>
    <t>Enter the amount from Form 1040, line 1z</t>
  </si>
  <si>
    <t>Enter all of your nontaxable combat pay if you</t>
  </si>
  <si>
    <t>elect to include it in earned income. Also enter</t>
  </si>
  <si>
    <t>the amount of your nontaxable combat pay</t>
  </si>
  <si>
    <t>on line 1i of Form 1040 or 1040-SR.</t>
  </si>
  <si>
    <t>Sources:</t>
  </si>
  <si>
    <r>
      <t xml:space="preserve">See </t>
    </r>
    <r>
      <rPr>
        <i/>
        <sz val="10"/>
        <rFont val="Arial"/>
        <family val="2"/>
      </rPr>
      <t>Combat pay, nontaxable</t>
    </r>
    <r>
      <rPr>
        <sz val="10"/>
        <rFont val="Arial"/>
        <family val="2"/>
      </rPr>
      <t>, later</t>
    </r>
  </si>
  <si>
    <t>W-2, line 12a, Code 12Q</t>
  </si>
  <si>
    <t>Form 1040, line 1i</t>
  </si>
  <si>
    <t>Electing to include nontaxable combat</t>
  </si>
  <si>
    <t>pay may increase or decrease your EIC. Figure</t>
  </si>
  <si>
    <t>the credit with and without your nontaxable</t>
  </si>
  <si>
    <t>combat pay before making the election.</t>
  </si>
  <si>
    <t>clergy or you had church employee income, or are you filing Schedule C as a statutory employee?</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</si>
  <si>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</si>
  <si>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</si>
  <si>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t>go to Worksheet B.</t>
  </si>
  <si>
    <t>If you have:</t>
  </si>
  <si>
    <t>3 or more qualifying children,</t>
  </si>
  <si>
    <t>2 qualifying children,</t>
  </si>
  <si>
    <t>1 qualifying child,</t>
  </si>
  <si>
    <t>No qualifying children,</t>
  </si>
  <si>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</si>
  <si>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</si>
  <si>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 xml:space="preserve">Step 6 </t>
  </si>
  <si>
    <t>How To Figure the Credit</t>
  </si>
  <si>
    <t>Do you want the IRS to figure the credit for you?</t>
  </si>
  <si>
    <r>
      <t xml:space="preserve">Yes.  See </t>
    </r>
    <r>
      <rPr>
        <i/>
        <sz val="10"/>
        <rFont val="Arial"/>
        <family val="2"/>
      </rPr>
      <t>Credit figured by the IRS.</t>
    </r>
  </si>
  <si>
    <t>No.  Go to Worksheet A.</t>
  </si>
  <si>
    <r>
      <rPr>
        <i/>
        <sz val="10"/>
        <rFont val="Arial"/>
        <family val="2"/>
      </rPr>
      <t>figured by the IRS</t>
    </r>
    <r>
      <rPr>
        <sz val="10"/>
        <rFont val="Arial"/>
        <family val="2"/>
      </rPr>
      <t>, in the instructions.</t>
    </r>
  </si>
  <si>
    <r>
      <t xml:space="preserve">Worksheet </t>
    </r>
    <r>
      <rPr>
        <b/>
        <sz val="18"/>
        <rFont val="Arial"/>
        <family val="2"/>
      </rPr>
      <t>A</t>
    </r>
    <r>
      <rPr>
        <b/>
        <sz val="12"/>
        <rFont val="Arial"/>
        <family val="2"/>
      </rPr>
      <t xml:space="preserve">  —</t>
    </r>
  </si>
  <si>
    <t>PART 1</t>
  </si>
  <si>
    <t xml:space="preserve"> - All Filers Using Worksheet A</t>
  </si>
  <si>
    <r>
      <rPr>
        <b/>
        <i/>
        <sz val="10"/>
        <rFont val="Arial"/>
        <family val="2"/>
      </rPr>
      <t xml:space="preserve">Before you begin: </t>
    </r>
    <r>
      <rPr>
        <sz val="10"/>
        <rFont val="Arial"/>
        <family val="2"/>
      </rPr>
      <t xml:space="preserve"> Be sure you are using the correct worksheet.</t>
    </r>
  </si>
  <si>
    <t>Use this worksheet only if you answered "No" to Step 5, question 2.</t>
  </si>
  <si>
    <t>Otherwise, use Worksheet B.</t>
  </si>
  <si>
    <t>Enter your earned income from Step 5.</t>
  </si>
  <si>
    <t>EIC_EarnedIncome</t>
  </si>
  <si>
    <t>Look up the amount on line 1 above in the EIC Table (right</t>
  </si>
  <si>
    <t>No Qual. Children</t>
  </si>
  <si>
    <t>One Qualifying Child</t>
  </si>
  <si>
    <t>Two Qualify Children</t>
  </si>
  <si>
    <t>Three Qualify Children</t>
  </si>
  <si>
    <t>after Worksheet B) to find the credit. Be sure you use the correct column</t>
  </si>
  <si>
    <t>All others</t>
  </si>
  <si>
    <t>for your filing status and the number of children you have. Enter the</t>
  </si>
  <si>
    <t>credit here.</t>
  </si>
  <si>
    <t>If line 2 is zero, STOP you can't take the credit.</t>
  </si>
  <si>
    <t>Enter “No” in the space to the left of Form 1040 or 1040-SR, line 27.</t>
  </si>
  <si>
    <t>Enter the amount from Form 1040 or 1040-SR, line 11.</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</si>
  <si>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</si>
  <si>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</si>
  <si>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</si>
  <si>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PART 2</t>
  </si>
  <si>
    <t>- Filers who answered "No" on Line 4.</t>
  </si>
  <si>
    <t>No qualifying children who have a valid SSN, is the amount on</t>
  </si>
  <si>
    <t>1 or more qualifying children who have a valid SSN, is the amount</t>
  </si>
  <si>
    <r>
      <t>Yes.</t>
    </r>
    <r>
      <rPr>
        <sz val="10"/>
        <rFont val="Arial"/>
        <family val="2"/>
      </rPr>
      <t xml:space="preserve">  Leave line 5 blank; enter the amount from line 2 on line 6.</t>
    </r>
  </si>
  <si>
    <t>Adj_Gross_Inc</t>
  </si>
  <si>
    <r>
      <t>No.</t>
    </r>
    <r>
      <rPr>
        <sz val="10"/>
        <rFont val="Arial"/>
        <family val="2"/>
      </rPr>
      <t xml:space="preserve">   Look up the amount on line 3 in the EIC Table to find the</t>
    </r>
  </si>
  <si>
    <t xml:space="preserve">        credit. Be sure you use the correct column for your filing</t>
  </si>
  <si>
    <t xml:space="preserve">        status and the number of children you have. Enter the credit</t>
  </si>
  <si>
    <t xml:space="preserve">        here.</t>
  </si>
  <si>
    <t xml:space="preserve">        Look at the amounts on lines 5 and 2.</t>
  </si>
  <si>
    <r>
      <t xml:space="preserve">        Then, enter the </t>
    </r>
    <r>
      <rPr>
        <b/>
        <sz val="10"/>
        <rFont val="Arial"/>
        <family val="2"/>
      </rPr>
      <t>smaller</t>
    </r>
    <r>
      <rPr>
        <sz val="10"/>
        <rFont val="Arial"/>
        <family val="2"/>
      </rPr>
      <t xml:space="preserve"> amount on line 6.</t>
    </r>
  </si>
  <si>
    <t>PART 3</t>
  </si>
  <si>
    <t>- Your Earned Income Credit</t>
  </si>
  <si>
    <t>This is your earned income credit.</t>
  </si>
  <si>
    <t>Reminder—</t>
  </si>
  <si>
    <t>If you have a qualifying child, complete and attach Schedule EIC.</t>
  </si>
  <si>
    <t>https://www.irs.gov/pub/irs-pdf/f1040sei.pdf</t>
  </si>
  <si>
    <t>If your EIC for a year after 1996 was reduced or disallowed, see</t>
  </si>
  <si>
    <t>Form 8862, who must  file, earlier, to find out if you must file Form 8862 to</t>
  </si>
  <si>
    <r>
      <t xml:space="preserve">Worksheet </t>
    </r>
    <r>
      <rPr>
        <b/>
        <sz val="18"/>
        <rFont val="Arial"/>
        <family val="2"/>
      </rPr>
      <t>B</t>
    </r>
    <r>
      <rPr>
        <b/>
        <sz val="12"/>
        <rFont val="Arial"/>
        <family val="2"/>
      </rPr>
      <t xml:space="preserve">  —</t>
    </r>
  </si>
  <si>
    <t>Use this worksheet if you answered “Yes” to Step 5, question 2.</t>
  </si>
  <si>
    <t>Complete the parts below (Parts 1 through 3) that apply to you. Then, continue to Part 4.</t>
  </si>
  <si>
    <t>If you are married filing a joint return, include your spouse’s amounts, if any, with yours to figure the amounts to enter in Parts 1 through 3.</t>
  </si>
  <si>
    <t>- Self-Employed, Members of the Clergy, and People With Church Employee Income Filing Schedule SE</t>
  </si>
  <si>
    <t>Check if PART 1 applies to you.</t>
  </si>
  <si>
    <t>Enter the amount from Schedule SE, Part I, line 3.</t>
  </si>
  <si>
    <t xml:space="preserve">1a.        </t>
  </si>
  <si>
    <t>Enter any amount from Schedule SE, Part I, line 4b and line 5a.</t>
  </si>
  <si>
    <t xml:space="preserve">1b.     + </t>
  </si>
  <si>
    <t>Combine lines 1a and 1b.</t>
  </si>
  <si>
    <t xml:space="preserve">1c.     = </t>
  </si>
  <si>
    <t>Enter the amount from Schedule SE, Part I, line 13.</t>
  </si>
  <si>
    <t xml:space="preserve">1d.      - </t>
  </si>
  <si>
    <t>Subtract line 1d from 1c.</t>
  </si>
  <si>
    <r>
      <t xml:space="preserve">1e.      </t>
    </r>
    <r>
      <rPr>
        <sz val="10"/>
        <rFont val="Arial"/>
        <family val="2"/>
      </rPr>
      <t xml:space="preserve">= </t>
    </r>
  </si>
  <si>
    <t>- Self-Employed NOT Required To File Schedule SE</t>
  </si>
  <si>
    <t>For example, your net earnings from self-employment were less than $400.</t>
  </si>
  <si>
    <t>Check if PART 2 applies to you.</t>
  </si>
  <si>
    <t>Don't include on these lines any statutory employee income, any net profit from services performed as a notary public,</t>
  </si>
  <si>
    <t>any amount exempt from self-employment tax as the result of the filing and approval of Form 4029 or Form 4361,</t>
  </si>
  <si>
    <t>or any other amounts exempt from self-employment tax.</t>
  </si>
  <si>
    <t>Schedule F, line 34</t>
  </si>
  <si>
    <t>Enter any net farm profit or (loss) from Schedule F, line 34, and</t>
  </si>
  <si>
    <t xml:space="preserve">2a.        </t>
  </si>
  <si>
    <t>Schedule K-1 (Form 1065), box 14, code A*</t>
  </si>
  <si>
    <t>from farm partnerships, Schedule K-1 (Form 1065), box 14, code A*.</t>
  </si>
  <si>
    <t>Schedule C, line 31 (excluding statutory employee income, etc.)</t>
  </si>
  <si>
    <t>Enter any net profit or (loss) from Schedule C, line 31; and</t>
  </si>
  <si>
    <t xml:space="preserve">2b.     + </t>
  </si>
  <si>
    <t>Schedule K-1 (Form 1065), box 14, code A (other than farming)</t>
  </si>
  <si>
    <t>Schedule K-1 (Form 1065), box 14, code A (other than farming)*.</t>
  </si>
  <si>
    <t>Combine lines 2a and 2b.</t>
  </si>
  <si>
    <t xml:space="preserve">2c.     = </t>
  </si>
  <si>
    <t>Reduce the Schedule K-1 amounts as described in the Partner’s Instructions for Schedule K-1. Enter</t>
  </si>
  <si>
    <t>your name and social security number on Schedule SE and attach it to your return.</t>
  </si>
  <si>
    <r>
      <t xml:space="preserve">Worksheet </t>
    </r>
    <r>
      <rPr>
        <b/>
        <sz val="16"/>
        <rFont val="Arial"/>
        <family val="2"/>
      </rPr>
      <t>B</t>
    </r>
  </si>
  <si>
    <r>
      <t xml:space="preserve">Line 27 — </t>
    </r>
    <r>
      <rPr>
        <b/>
        <i/>
        <sz val="12"/>
        <rFont val="Arial"/>
        <family val="2"/>
      </rPr>
      <t>Continued</t>
    </r>
  </si>
  <si>
    <t>- Statutory Employees Filing Schedule C</t>
  </si>
  <si>
    <t>Enter the amount from Schedule C, line 1, that</t>
  </si>
  <si>
    <t xml:space="preserve">3.   </t>
  </si>
  <si>
    <t>you are filing as a statutory employee.</t>
  </si>
  <si>
    <t>PART 4</t>
  </si>
  <si>
    <t>- All Filers Using Worksheet B</t>
  </si>
  <si>
    <r>
      <t>Note.</t>
    </r>
    <r>
      <rPr>
        <sz val="10"/>
        <rFont val="Arial"/>
        <family val="2"/>
      </rPr>
      <t xml:space="preserve"> If line 4b includes income on which you should have paid self-employment tax but didn't,</t>
    </r>
  </si>
  <si>
    <t>we may reduce your credit by the amount of self-employment tax not paid.</t>
  </si>
  <si>
    <t xml:space="preserve">4a.   </t>
  </si>
  <si>
    <t>Combine lines 1e, 2c, 3, and 4a.</t>
  </si>
  <si>
    <t>This is your total earned income.</t>
  </si>
  <si>
    <t xml:space="preserve">4b.   </t>
  </si>
  <si>
    <t xml:space="preserve">3 or more qualifying children, </t>
  </si>
  <si>
    <r>
      <t>Yes.</t>
    </r>
    <r>
      <rPr>
        <sz val="10"/>
        <rFont val="Arial"/>
        <family val="2"/>
      </rPr>
      <t xml:space="preserve">  If you want the IRS to figure your credit, see </t>
    </r>
    <r>
      <rPr>
        <i/>
        <sz val="10"/>
        <rFont val="Arial"/>
        <family val="2"/>
      </rPr>
      <t>Credit figured by the IRS</t>
    </r>
    <r>
      <rPr>
        <sz val="10"/>
        <rFont val="Arial"/>
        <family val="2"/>
      </rPr>
      <t>, earlier.</t>
    </r>
  </si>
  <si>
    <t xml:space="preserve">        If you want to figure the credit yourself, enter the amount from line 4b on line 6 of this worksheet.</t>
  </si>
  <si>
    <r>
      <rPr>
        <b/>
        <sz val="10"/>
        <rFont val="Arial"/>
        <family val="2"/>
      </rPr>
      <t>No.</t>
    </r>
    <r>
      <rPr>
        <sz val="10"/>
        <rFont val="Arial"/>
        <family val="2"/>
      </rPr>
      <t xml:space="preserve">   STOP  You can't take the credit. Enter “No” in the space to the left of Form 1040, line 27.</t>
    </r>
  </si>
  <si>
    <t>PART 5</t>
  </si>
  <si>
    <t>Enter your total earned income from Part 4, line 4b.</t>
  </si>
  <si>
    <t xml:space="preserve">6.  </t>
  </si>
  <si>
    <t>M481</t>
  </si>
  <si>
    <t>Look up the amount on line 6 above in the EIC Table to find</t>
  </si>
  <si>
    <t>the credit. Be sure you use the correct column for your filing status</t>
  </si>
  <si>
    <t xml:space="preserve">7. </t>
  </si>
  <si>
    <t>and the number of children you have. Enter the credit here.</t>
  </si>
  <si>
    <t>If line 7 is zero,  STOP  you can't take the credit.</t>
  </si>
  <si>
    <t>Enter “No” on the dotted line next to Form 1040 or 1040-SR, line 27.</t>
  </si>
  <si>
    <t xml:space="preserve">8.  </t>
  </si>
  <si>
    <t>Are the amounts on lines 8 and 6 the same?</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</si>
  <si>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</si>
  <si>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</si>
  <si>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t>PART 6</t>
  </si>
  <si>
    <t>- Filers Who Answered “No” on Line 9</t>
  </si>
  <si>
    <t xml:space="preserve">● </t>
  </si>
  <si>
    <t>1 or more qualifying children,</t>
  </si>
  <si>
    <t>M490</t>
  </si>
  <si>
    <r>
      <rPr>
        <b/>
        <sz val="10"/>
        <rFont val="Arial"/>
        <family val="2"/>
      </rPr>
      <t>Yes.</t>
    </r>
    <r>
      <rPr>
        <sz val="10"/>
        <rFont val="Arial"/>
        <family val="2"/>
      </rPr>
      <t xml:space="preserve">  Leave line 10 blank; enter the amount from line 7 on line 11.</t>
    </r>
  </si>
  <si>
    <r>
      <rPr>
        <b/>
        <sz val="10"/>
        <rFont val="Arial"/>
        <family val="2"/>
      </rPr>
      <t>No.</t>
    </r>
    <r>
      <rPr>
        <sz val="10"/>
        <rFont val="Arial"/>
        <family val="2"/>
      </rPr>
      <t xml:space="preserve">  Look up the amount on line 8 in the EIC Table to find the</t>
    </r>
  </si>
  <si>
    <t>credit. Be sure you use the correct column for your filing</t>
  </si>
  <si>
    <t xml:space="preserve">10.      </t>
  </si>
  <si>
    <t>Look at the amounts on lines 10 and 7.</t>
  </si>
  <si>
    <r>
      <t xml:space="preserve">Then, enter the </t>
    </r>
    <r>
      <rPr>
        <b/>
        <sz val="10"/>
        <rFont val="Arial"/>
        <family val="2"/>
      </rPr>
      <t>smaller</t>
    </r>
    <r>
      <rPr>
        <sz val="10"/>
        <rFont val="Arial"/>
        <family val="2"/>
      </rPr>
      <t xml:space="preserve"> amount on line 11.</t>
    </r>
  </si>
  <si>
    <t>PART 7</t>
  </si>
  <si>
    <t xml:space="preserve">11.      </t>
  </si>
  <si>
    <t>Reminder  —</t>
  </si>
  <si>
    <r>
      <t>Form 8862,</t>
    </r>
    <r>
      <rPr>
        <i/>
        <sz val="10"/>
        <rFont val="Arial"/>
        <family val="2"/>
      </rPr>
      <t xml:space="preserve"> who must fi_x001F_le, earlier, to find out if you must file Form</t>
    </r>
  </si>
  <si>
    <t>Earned Income Credit =&gt;</t>
  </si>
  <si>
    <t>Medical and Dental Expenses Worksheet -- Line 1</t>
  </si>
  <si>
    <t>(There is no IRS worksheet like this.)</t>
  </si>
  <si>
    <r>
      <t xml:space="preserve">o   You can deduct the part of your </t>
    </r>
    <r>
      <rPr>
        <b/>
        <sz val="8"/>
        <rFont val="Arial"/>
        <family val="2"/>
      </rPr>
      <t>medical and dental expenses</t>
    </r>
    <r>
      <rPr>
        <sz val="8"/>
        <rFont val="Arial"/>
        <family val="2"/>
      </rPr>
      <t xml:space="preserve"> that exceed </t>
    </r>
  </si>
  <si>
    <t>Instruction for Line 5a</t>
  </si>
  <si>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</si>
  <si>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t>The spreadsheet automatically includes, on line 5a, income taxes paid based on W-2 &amp; 1099 information.</t>
  </si>
  <si>
    <t>Worksheets for</t>
  </si>
  <si>
    <t xml:space="preserve"> of the person for whom the premiums were paid.</t>
  </si>
  <si>
    <t>LTC Contr.</t>
  </si>
  <si>
    <t>Lines 1, 5, 8, and 14 are</t>
  </si>
  <si>
    <t>Limit</t>
  </si>
  <si>
    <r>
      <t xml:space="preserve">If you wish to deduct </t>
    </r>
    <r>
      <rPr>
        <i/>
        <sz val="9"/>
        <rFont val="Arial"/>
        <family val="2"/>
      </rPr>
      <t>General sales taxes</t>
    </r>
    <r>
      <rPr>
        <sz val="9"/>
        <rFont val="Arial"/>
        <family val="2"/>
      </rPr>
      <t>, enter the tax amount in Column Q and place an 'X' in box 5a.</t>
    </r>
  </si>
  <si>
    <t xml:space="preserve">available at the right. </t>
  </si>
  <si>
    <t>Enter total amount of premiums for qualified long-term insurance contracts</t>
  </si>
  <si>
    <t>SCHEDULE A</t>
  </si>
  <si>
    <t>Itemized Deductions</t>
  </si>
  <si>
    <t>Enter limit on long-term contract premiums (see instructions)</t>
  </si>
  <si>
    <t>(Form 1040)</t>
  </si>
  <si>
    <r>
      <t xml:space="preserve">Go to </t>
    </r>
    <r>
      <rPr>
        <b/>
        <i/>
        <sz val="9"/>
        <rFont val="Arial"/>
        <family val="2"/>
      </rPr>
      <t>www.irs.gov/ScheduleA</t>
    </r>
    <r>
      <rPr>
        <b/>
        <sz val="9"/>
        <rFont val="Arial"/>
        <family val="2"/>
      </rPr>
      <t xml:space="preserve"> for instructions and the latest information.</t>
    </r>
  </si>
  <si>
    <t>Attach to Form 1040 or 1040-SR.</t>
  </si>
  <si>
    <r>
      <rPr>
        <b/>
        <sz val="9"/>
        <rFont val="Arial"/>
        <family val="2"/>
      </rPr>
      <t>Caution:</t>
    </r>
    <r>
      <rPr>
        <sz val="9"/>
        <rFont val="Arial"/>
        <family val="2"/>
      </rPr>
      <t xml:space="preserve"> If you are claiming a net qualified disaster loss on Form 4684, see the instructions for line 16.</t>
    </r>
  </si>
  <si>
    <r>
      <t xml:space="preserve">Sequence No. </t>
    </r>
    <r>
      <rPr>
        <b/>
        <sz val="12"/>
        <rFont val="Arial"/>
        <family val="2"/>
      </rPr>
      <t>07</t>
    </r>
  </si>
  <si>
    <t>Name(s) shown on Form 1040 or 1040-SR</t>
  </si>
  <si>
    <r>
      <t xml:space="preserve">Column </t>
    </r>
    <r>
      <rPr>
        <b/>
        <sz val="10"/>
        <rFont val="Wingdings"/>
        <charset val="2"/>
      </rPr>
      <t>ê</t>
    </r>
  </si>
  <si>
    <t>Medical</t>
  </si>
  <si>
    <r>
      <t>Caution:</t>
    </r>
    <r>
      <rPr>
        <sz val="10"/>
        <rFont val="Arial"/>
        <family val="2"/>
      </rPr>
      <t xml:space="preserve"> Do not include expenses reimbursed or paid by others.</t>
    </r>
  </si>
  <si>
    <t>Medical and dental expenses (see instructions)</t>
  </si>
  <si>
    <t>.   .   .   .   .   .   .   .   .</t>
  </si>
  <si>
    <t>Dental</t>
  </si>
  <si>
    <t>Enter amount from Form 1040 or 1040-SR, line 11</t>
  </si>
  <si>
    <t>Add lines 4 and 5.  Include this amount on Schedule A, line 1.</t>
  </si>
  <si>
    <t>Expenses</t>
  </si>
  <si>
    <t>Subtract line 3 from line 1.  If line 3 is more than line 1, enter -0-</t>
  </si>
  <si>
    <t>Taxes You</t>
  </si>
  <si>
    <t>State and local taxes</t>
  </si>
  <si>
    <t>Paid</t>
  </si>
  <si>
    <t>State and local income taxes or general sales taxes. You may include</t>
  </si>
  <si>
    <t>↓  Income Tax Override</t>
  </si>
  <si>
    <t>Additional State and Local Income Taxes Paid Worksheet—Line 5a</t>
  </si>
  <si>
    <t>either income taxes or general sales taxes on line 5a, but not both.</t>
  </si>
  <si>
    <t>If you elect to include general sales taxes instead of income taxes,</t>
  </si>
  <si>
    <t>check this box</t>
  </si>
  <si>
    <t xml:space="preserve">State and local real estate taxes (see instructions) </t>
  </si>
  <si>
    <t xml:space="preserve">.   .   .   .   .   .  </t>
  </si>
  <si>
    <t>↑  General Sales Tax</t>
  </si>
  <si>
    <t>State and local personal property taxes</t>
  </si>
  <si>
    <t>5c</t>
  </si>
  <si>
    <t>Add lines 5a through 5c</t>
  </si>
  <si>
    <t>5d</t>
  </si>
  <si>
    <t>separately)</t>
  </si>
  <si>
    <t>5e</t>
  </si>
  <si>
    <t xml:space="preserve">Other taxes.   List type and amount </t>
  </si>
  <si>
    <t>Mandatory contributions you made to state disability benefit funds, temporary disability benefit funds, etc.</t>
  </si>
  <si>
    <t>(See instructions.)</t>
  </si>
  <si>
    <t>Add lines 5e and 6</t>
  </si>
  <si>
    <t>.   .   .   .   .   .   .   .   .   .   .   .   .   .   .   .   .   .   .   .   .   .   .   .   .   .   .   .   .</t>
  </si>
  <si>
    <t>Home mortgage interest and points. If you didn't use all of your</t>
  </si>
  <si>
    <t>State taxes paid and reflected on Form 1099-G, Other Government Payments, Line 19, State Income</t>
  </si>
  <si>
    <t>home mortgage loan(s) to buy, build, or improve your home,</t>
  </si>
  <si>
    <t>Tax Withheld</t>
  </si>
  <si>
    <t>see instructions and check this box</t>
  </si>
  <si>
    <t>Home mortgage interest</t>
  </si>
  <si>
    <r>
      <rPr>
        <b/>
        <sz val="8"/>
        <rFont val="Arial"/>
        <family val="2"/>
      </rPr>
      <t>Caution:</t>
    </r>
    <r>
      <rPr>
        <sz val="8"/>
        <rFont val="Arial"/>
        <family val="2"/>
      </rPr>
      <t xml:space="preserve">  Your mortgage interest deduction may be limited (see instructions).</t>
    </r>
  </si>
  <si>
    <t>Home mortgage interest and points reported to you on Form 1098.</t>
  </si>
  <si>
    <r>
      <rPr>
        <b/>
        <sz val="10"/>
        <rFont val="Arial"/>
        <family val="2"/>
      </rPr>
      <t>Additional State and Local Income Taxes Paid.</t>
    </r>
    <r>
      <rPr>
        <sz val="10"/>
        <rFont val="Arial"/>
        <family val="2"/>
      </rPr>
      <t xml:space="preserve">   Add lines 1 through 4.  </t>
    </r>
  </si>
  <si>
    <t>See instructions if limited</t>
  </si>
  <si>
    <t xml:space="preserve"> If box 5a (for General Sales Tax) is NOT checked, these amounts will be added into Line 5a.</t>
  </si>
  <si>
    <t>Home mortgage interest not reported to you on Form 1098.  See</t>
  </si>
  <si>
    <t>instructions if limited. If paid to the person from whom you bought the</t>
  </si>
  <si>
    <r>
      <rPr>
        <sz val="10"/>
        <rFont val="Arial"/>
        <family val="2"/>
      </rPr>
      <t>(</t>
    </r>
    <r>
      <rPr>
        <i/>
        <sz val="10"/>
        <rFont val="Arial"/>
        <family val="2"/>
      </rPr>
      <t>dd-mmm-yyyy</t>
    </r>
    <r>
      <rPr>
        <sz val="10"/>
        <rFont val="Arial"/>
        <family val="2"/>
      </rPr>
      <t>)</t>
    </r>
  </si>
  <si>
    <t>home, see instructions and show that person's name, identifying no.,</t>
  </si>
  <si>
    <t>and address</t>
  </si>
  <si>
    <t xml:space="preserve">.   .   .   .   .   .   .   .   .   .   .   .   .   .   .   .   .   .   .   .   .   .   .   .  </t>
  </si>
  <si>
    <t xml:space="preserve">  Limits on Home Mortgage Interest — Line 8a</t>
  </si>
  <si>
    <t>Debt Limit</t>
  </si>
  <si>
    <t>Loans taken out:</t>
  </si>
  <si>
    <t>Points not reported to you on Form 1098. See instructions for special</t>
  </si>
  <si>
    <t xml:space="preserve">rules </t>
  </si>
  <si>
    <t>(See instructions for exception for loans taken out prior to October 13, 1987.)</t>
  </si>
  <si>
    <t>Mortgage Insurance</t>
  </si>
  <si>
    <t>(See instructions for other limits on home mortgage interest deductions.)</t>
  </si>
  <si>
    <t>Investment interest. Attach Form 4952 if required.  See instructions</t>
  </si>
  <si>
    <t>Premiums</t>
  </si>
  <si>
    <t>.   .   .   .   .   .   .   .   .   .   .   .   .   .   .   .   .   .   .   .   .   .   .   .   .   .   .   .   .   .</t>
  </si>
  <si>
    <t>Gifts to</t>
  </si>
  <si>
    <t>Gifts by cash or check. If you made any gift of $250 or more, see</t>
  </si>
  <si>
    <t>Charity</t>
  </si>
  <si>
    <t>instructions</t>
  </si>
  <si>
    <t>Other than by cash or check. If any gift of $250 or more,</t>
  </si>
  <si>
    <r>
      <t xml:space="preserve">see instructions. You </t>
    </r>
    <r>
      <rPr>
        <b/>
        <sz val="11"/>
        <rFont val="Arial"/>
        <family val="2"/>
      </rPr>
      <t>must</t>
    </r>
    <r>
      <rPr>
        <sz val="11"/>
        <rFont val="Arial"/>
        <family val="2"/>
      </rPr>
      <t xml:space="preserve"> attach Form 8283 if over $500</t>
    </r>
  </si>
  <si>
    <t>Carryover from prior year</t>
  </si>
  <si>
    <t xml:space="preserve">.   .   .   .   .   .   .   .   .   .   .   .   .   .   .   .   .   .   . </t>
  </si>
  <si>
    <t xml:space="preserve">.   .   .   .   .   .   .   .   .   .   .   .   .   .   .   .   .   .   .   .   .   .   .   .   .   .   .   .   .   . </t>
  </si>
  <si>
    <t>Casualty and</t>
  </si>
  <si>
    <t>Casualty and theft loss(es) from a federally declared disaster (other than net qualified</t>
  </si>
  <si>
    <t>Other Itemized</t>
  </si>
  <si>
    <t>Theft Losses</t>
  </si>
  <si>
    <t>disaster losses). Attach Form 4684 and enter the amount from line 18 of that form. See</t>
  </si>
  <si>
    <t>Deductions</t>
  </si>
  <si>
    <t xml:space="preserve">.   .   .   .   .   .   .   .   .   .   .   .   .   .   .   .   .   .   .   .   .   .   .   .   .   .   .   .   .   .   .   .   .   .   . </t>
  </si>
  <si>
    <t>Other--from list in instructions.  List type and amount.</t>
  </si>
  <si>
    <t>↑ Description ↑</t>
  </si>
  <si>
    <t>↑  Amount  ↑</t>
  </si>
  <si>
    <t>Add the amounts in the far right column for lines 4 through 16. Also, enter this amount on</t>
  </si>
  <si>
    <t>Form 1040 or 1040-SR, line 12</t>
  </si>
  <si>
    <t>If you elect to itemize deductions even though they are less than your standard</t>
  </si>
  <si>
    <t xml:space="preserve">.   .   .   .   .   .   .   .   .   .   .   .   .   .   .   .   .   .   .   .   .   .   .   .   .   .   .   .   .   .   .  </t>
  </si>
  <si>
    <t>For Paperwork Reduction Act Notice, see the Instructions for Form 1040.</t>
  </si>
  <si>
    <t>Cat. No. 17145C</t>
  </si>
  <si>
    <t>Download Form 1040 Schedule A</t>
  </si>
  <si>
    <t>`</t>
  </si>
  <si>
    <t>.   .   .   .   .   .   .   .   .   .</t>
  </si>
  <si>
    <t>Download Form 1040 Schedule A Instructions</t>
  </si>
  <si>
    <t>.   .   .   .   .   .   .   .   .   .   .   .   .   .   .   .   .   .   .   .   .   .   .   .   .   .   .   .   .   .   .   .   .   .</t>
  </si>
  <si>
    <t xml:space="preserve">  Limits on Deductions — Line 14</t>
  </si>
  <si>
    <t>Reference:</t>
  </si>
  <si>
    <t>IRS Publication 526, Charitable Contributions</t>
  </si>
  <si>
    <t xml:space="preserve"> do not apply to you.</t>
  </si>
  <si>
    <t>The amount you can deduct for charitable contributions generally is limited to no more than 60% of your adjusted gross income (AGI).</t>
  </si>
  <si>
    <t>Your deduction may be further limited to 50%, 30%, or 20% of your AGI, depending on the type of property you give</t>
  </si>
  <si>
    <t>and the type of organization you give it to. A higher limit applies to certain qualified conservation contributions.</t>
  </si>
  <si>
    <t>These limits are described in detail in Publication 526.</t>
  </si>
  <si>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</si>
  <si>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</si>
  <si>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</si>
  <si>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</si>
  <si>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</si>
  <si>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</si>
  <si>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</si>
  <si>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You had a financial interest in, or signature authority over, a financial account in a foreign country or you</t>
  </si>
  <si>
    <t xml:space="preserve"> received a distribution from, or were a grantor of, or transfer-or to, a foreign trust. </t>
  </si>
  <si>
    <t>SCHEDULE B</t>
  </si>
  <si>
    <t>Interest and Ordinary Dividends</t>
  </si>
  <si>
    <r>
      <t xml:space="preserve">Go to </t>
    </r>
    <r>
      <rPr>
        <b/>
        <i/>
        <sz val="9"/>
        <rFont val="Arial"/>
        <family val="2"/>
      </rPr>
      <t>www.irs.gov/ScheduleB</t>
    </r>
    <r>
      <rPr>
        <b/>
        <sz val="9"/>
        <rFont val="Arial"/>
        <family val="2"/>
      </rPr>
      <t xml:space="preserve"> for instructions and the latest information.</t>
    </r>
  </si>
  <si>
    <t xml:space="preserve"> Attachment</t>
  </si>
  <si>
    <t>Internal Revenue Service (99)</t>
  </si>
  <si>
    <r>
      <t xml:space="preserve"> Sequence No. </t>
    </r>
    <r>
      <rPr>
        <b/>
        <sz val="12"/>
        <rFont val="Arial"/>
        <family val="2"/>
      </rPr>
      <t>08</t>
    </r>
  </si>
  <si>
    <t>Name(s) shown on return</t>
  </si>
  <si>
    <t>List name of payer. If any interest is from a seller-financed mortgage and the</t>
  </si>
  <si>
    <t>Interest</t>
  </si>
  <si>
    <t>buyer used the property as a personal residence, see instructions and list this</t>
  </si>
  <si>
    <t>(See instructions</t>
  </si>
  <si>
    <t>and the</t>
  </si>
  <si>
    <t>The lines in Part I, Line 1, include hidden formula to automatically import information from the sheet labeled '1099-INT'.</t>
  </si>
  <si>
    <t>instructions for</t>
  </si>
  <si>
    <t xml:space="preserve">However, these formula are NOT PROTECTED. </t>
  </si>
  <si>
    <t>If you type in the lines in Step 1, this import feature will no longer work.</t>
  </si>
  <si>
    <r>
      <t>Note:</t>
    </r>
    <r>
      <rPr>
        <sz val="9"/>
        <rFont val="Arial"/>
        <family val="2"/>
      </rPr>
      <t xml:space="preserve"> If you</t>
    </r>
  </si>
  <si>
    <r>
      <t xml:space="preserve">Add the amounts on line 1  </t>
    </r>
    <r>
      <rPr>
        <b/>
        <sz val="10"/>
        <rFont val="Arial"/>
        <family val="2"/>
      </rPr>
      <t>.   .   .   .   .   .   .   .   .   .   .   .   .   .   .   .   .   .   .   .   .   .   .   .   .   .   .   .   .   .   .   .   .   .   .   .</t>
    </r>
  </si>
  <si>
    <t xml:space="preserve">Excludable interest on series EE and I U.S. savings bonds issued after 1989. </t>
  </si>
  <si>
    <t>Attach Form 8815</t>
  </si>
  <si>
    <t xml:space="preserve"> .   .   .   .   .   .   .   .   .   .   .   .   .   .   .   .   .   .   .   .   .   .   .   .   .   .   .   .   .   .   .   .   .   .   .   .   .   .</t>
  </si>
  <si>
    <r>
      <t>Subtract line 3 from line 2. Enter the result here and on Form 1040 or 1040-SR, line 2b</t>
    </r>
    <r>
      <rPr>
        <b/>
        <sz val="9"/>
        <rFont val="Arial"/>
        <family val="2"/>
      </rPr>
      <t xml:space="preserve"> .</t>
    </r>
  </si>
  <si>
    <t>Note:</t>
  </si>
  <si>
    <t>List name of payer</t>
  </si>
  <si>
    <t>Ordinary</t>
  </si>
  <si>
    <t>The top 15 full width lines in Part II, Line 5, include hidden formula to automatically import information from the sheet labeled '1099-DIV'.</t>
  </si>
  <si>
    <t>Dividends</t>
  </si>
  <si>
    <t>If you type in these lines in Step 5, this import feature will no longer work.</t>
  </si>
  <si>
    <r>
      <t xml:space="preserve">Note: </t>
    </r>
    <r>
      <rPr>
        <sz val="8"/>
        <rFont val="Arial"/>
        <family val="2"/>
      </rPr>
      <t>If you</t>
    </r>
  </si>
  <si>
    <t>received a Form</t>
  </si>
  <si>
    <t>1099-DIV or</t>
  </si>
  <si>
    <t>substitute</t>
  </si>
  <si>
    <t>statement from</t>
  </si>
  <si>
    <t>a brokerage firm,</t>
  </si>
  <si>
    <t>list the firm's</t>
  </si>
  <si>
    <t>name as the</t>
  </si>
  <si>
    <t>payer and enter</t>
  </si>
  <si>
    <t>the ordinary</t>
  </si>
  <si>
    <t>dividends shown</t>
  </si>
  <si>
    <t>on that form.</t>
  </si>
  <si>
    <r>
      <t xml:space="preserve">Add the amounts on line 5. Enter the total here and on Form 1040 or 1040-SR, line 3b </t>
    </r>
    <r>
      <rPr>
        <b/>
        <sz val="9"/>
        <rFont val="Arial"/>
        <family val="2"/>
      </rPr>
      <t>.   .</t>
    </r>
  </si>
  <si>
    <t>Part III</t>
  </si>
  <si>
    <t>Foreign Accounts 
and Trusts</t>
  </si>
  <si>
    <r>
      <rPr>
        <b/>
        <sz val="8"/>
        <rFont val="Arial"/>
        <family val="2"/>
      </rPr>
      <t>Caution:</t>
    </r>
    <r>
      <rPr>
        <sz val="8"/>
        <rFont val="Arial"/>
        <family val="2"/>
      </rPr>
      <t xml:space="preserve"> If 
required, failure to file FinCEN Form 114 may result in substantial penalties. 
Additionally, you may be required to file Form 8938, Statement of Specified Foreign Financial Assets.
See instructions.</t>
    </r>
  </si>
  <si>
    <t>account (such as a bank account, securities account, or brokerage account) located in a foreign</t>
  </si>
  <si>
    <t>country? See instructions</t>
  </si>
  <si>
    <t>If “Yes,” are you required to file FinCEN Form 114, Report of Foreign Bank and Financial</t>
  </si>
  <si>
    <t>Accounts (FBAR), to report that financial interest or signature authority? See FinCEN Form 114</t>
  </si>
  <si>
    <t>and its instructions for filing requirements and exceptions to those requirements</t>
  </si>
  <si>
    <t>If you are required to file FinCEN Form 114, enter the name of the foreign country where the</t>
  </si>
  <si>
    <t>financial account is located</t>
  </si>
  <si>
    <t>foreign trust?  If "Yes," you may have to file Form 3520.  See instructions</t>
  </si>
  <si>
    <t xml:space="preserve">.   .   .   .   .   .   .   .   .   .   </t>
  </si>
  <si>
    <t>Cat. No. 17146N</t>
  </si>
  <si>
    <t>Download Form 1040 Schedule B</t>
  </si>
  <si>
    <t>Note:  This sheet includes 2 Schedule C forms.</t>
  </si>
  <si>
    <t>SCHEDULE C</t>
  </si>
  <si>
    <t>Profit or Loss from Business</t>
  </si>
  <si>
    <t>Your SSN</t>
  </si>
  <si>
    <t>(Sole Proprietorship)</t>
  </si>
  <si>
    <t>Spouse's SSN</t>
  </si>
  <si>
    <t>Department of the Treasury
Internal Revenue Service  (99)</t>
  </si>
  <si>
    <r>
      <t xml:space="preserve">Go to </t>
    </r>
    <r>
      <rPr>
        <b/>
        <i/>
        <sz val="10"/>
        <rFont val="Arial"/>
        <family val="2"/>
      </rPr>
      <t>www.irs.gov/ScheduleC</t>
    </r>
    <r>
      <rPr>
        <b/>
        <sz val="10"/>
        <rFont val="Arial"/>
        <family val="2"/>
      </rPr>
      <t xml:space="preserve"> for instructions and the latest information.</t>
    </r>
  </si>
  <si>
    <t>Attachment
Sequence No.</t>
  </si>
  <si>
    <t>09</t>
  </si>
  <si>
    <t>Attach to Form 1040, 1040-SR, 1040-NR, or 1041; partnerships generally must file Form 1065.</t>
  </si>
  <si>
    <t>x</t>
  </si>
  <si>
    <t>#1</t>
  </si>
  <si>
    <t>Name of Proprietor</t>
  </si>
  <si>
    <t xml:space="preserve">  Social security number (SSN)</t>
  </si>
  <si>
    <t>#2</t>
  </si>
  <si>
    <t>Principal business or profession, including product or service (see instructions)</t>
  </si>
  <si>
    <r>
      <rPr>
        <b/>
        <sz val="10"/>
        <rFont val="Arial"/>
        <family val="2"/>
      </rPr>
      <t>B</t>
    </r>
    <r>
      <rPr>
        <b/>
        <sz val="9"/>
        <rFont val="Arial"/>
        <family val="2"/>
      </rPr>
      <t xml:space="preserve">  Enter code from instructions</t>
    </r>
  </si>
  <si>
    <t>Neither</t>
  </si>
  <si>
    <t>Business name.  If no separate business name, leave blank.</t>
  </si>
  <si>
    <r>
      <rPr>
        <b/>
        <sz val="10"/>
        <rFont val="Arial"/>
        <family val="2"/>
      </rPr>
      <t>D</t>
    </r>
    <r>
      <rPr>
        <b/>
        <sz val="9"/>
        <rFont val="Arial"/>
        <family val="2"/>
      </rPr>
      <t xml:space="preserve">  Employer ID number (EIN)</t>
    </r>
    <r>
      <rPr>
        <sz val="9"/>
        <rFont val="Arial"/>
        <family val="2"/>
      </rPr>
      <t xml:space="preserve"> (see instr.)</t>
    </r>
  </si>
  <si>
    <t>Business address (including suite or room no.)</t>
  </si>
  <si>
    <t>City, town or post office, state, and ZIP code</t>
  </si>
  <si>
    <t>F</t>
  </si>
  <si>
    <r>
      <t xml:space="preserve">Accounting method:          </t>
    </r>
    <r>
      <rPr>
        <b/>
        <sz val="10"/>
        <rFont val="Arial"/>
        <family val="2"/>
      </rPr>
      <t>(1)</t>
    </r>
  </si>
  <si>
    <t>Cash</t>
  </si>
  <si>
    <t>Accrual</t>
  </si>
  <si>
    <t>Other (specify)</t>
  </si>
  <si>
    <t>G</t>
  </si>
  <si>
    <t>H</t>
  </si>
  <si>
    <t>I</t>
  </si>
  <si>
    <t>J</t>
  </si>
  <si>
    <t>If "Yes," did you or will you file all required Forms 1099?</t>
  </si>
  <si>
    <t xml:space="preserve"> .   .   .   .   .   .   .   .   .   .   .   .   .   .   .   .   .   .   .   .   .   .   .  </t>
  </si>
  <si>
    <t xml:space="preserve">   Income</t>
  </si>
  <si>
    <t>Gross receipts or sales. See instructions for line 1 and check the box if this income was reported to you on</t>
  </si>
  <si>
    <t>Form W-2 and the “Statutory employee” box on that form was checked</t>
  </si>
  <si>
    <t>Returns and allowances</t>
  </si>
  <si>
    <t>Subtract line 2 from line 1</t>
  </si>
  <si>
    <t xml:space="preserve">.   .   .   .   .   .   .   .   .   .   .   .   .   .   .   .   .   .   .   .   .   .   .   .   .   .   .   .   .   .   .   .   .   .   .   .  </t>
  </si>
  <si>
    <t>Cost of goods sold  (from line 42)</t>
  </si>
  <si>
    <t xml:space="preserve">.   .   .   .   .   .   .   .   .   .   .   .   .   .   .   .   .   .   .   .   .   .   .   .   .   .   .   .   .   .   .   .   .   .  </t>
  </si>
  <si>
    <r>
      <t>Gross profit.</t>
    </r>
    <r>
      <rPr>
        <sz val="10"/>
        <rFont val="Arial"/>
        <family val="2"/>
      </rPr>
      <t xml:space="preserve">  Subtract line 4 from line 3</t>
    </r>
  </si>
  <si>
    <t>Other income, including federal and state gasoline or fuel tax credit or refund  (see instructions)</t>
  </si>
  <si>
    <r>
      <t>Gross income.</t>
    </r>
    <r>
      <rPr>
        <sz val="10"/>
        <rFont val="Arial"/>
        <family val="2"/>
      </rPr>
      <t xml:space="preserve">  Add lines 5 and 6</t>
    </r>
  </si>
  <si>
    <t>Expenses.</t>
  </si>
  <si>
    <r>
      <t xml:space="preserve">Enter expenses for business use of your home </t>
    </r>
    <r>
      <rPr>
        <b/>
        <sz val="12"/>
        <rFont val="Arial"/>
        <family val="2"/>
      </rPr>
      <t>only</t>
    </r>
    <r>
      <rPr>
        <sz val="12"/>
        <rFont val="Arial"/>
        <family val="2"/>
      </rPr>
      <t xml:space="preserve"> on line 30.</t>
    </r>
  </si>
  <si>
    <r>
      <t>Advertising</t>
    </r>
    <r>
      <rPr>
        <b/>
        <sz val="10"/>
        <rFont val="Arial"/>
        <family val="2"/>
      </rPr>
      <t xml:space="preserve"> .   .   .   .   .   .   .   .   .   .   .   .   .   .   .   .   .   .   .   .   .</t>
    </r>
  </si>
  <si>
    <t>Office Expense (see instructions)</t>
  </si>
  <si>
    <t>Car and truck expenses</t>
  </si>
  <si>
    <t>Pension and profit-sharing plans</t>
  </si>
  <si>
    <r>
      <t>(see instructions)</t>
    </r>
    <r>
      <rPr>
        <b/>
        <sz val="10"/>
        <rFont val="Arial"/>
        <family val="2"/>
      </rPr>
      <t xml:space="preserve">  .   .   .   .   .   .   .   .   .   .   .   .</t>
    </r>
  </si>
  <si>
    <t>Rent or lease (see instructions):</t>
  </si>
  <si>
    <t>Commissions and fees</t>
  </si>
  <si>
    <t xml:space="preserve"> .   .   .   .   .   .   .   .   .  </t>
  </si>
  <si>
    <t>Vehicles, machinery and equipment</t>
  </si>
  <si>
    <t>20a</t>
  </si>
  <si>
    <t>Contract labor (see instructions)</t>
  </si>
  <si>
    <t xml:space="preserve"> .   .   .   .   .  </t>
  </si>
  <si>
    <t>Other business property</t>
  </si>
  <si>
    <t xml:space="preserve"> .   .   .   .   .   .   .   .   . </t>
  </si>
  <si>
    <t>20b</t>
  </si>
  <si>
    <r>
      <t xml:space="preserve">Depletion  </t>
    </r>
    <r>
      <rPr>
        <b/>
        <sz val="10"/>
        <rFont val="Arial"/>
        <family val="2"/>
      </rPr>
      <t xml:space="preserve">  .   .   .   .   .   .   .   .   .   .   .   .   .</t>
    </r>
  </si>
  <si>
    <t>Repairs and maintenance</t>
  </si>
  <si>
    <t xml:space="preserve">  .   .   .   .   .   .   .   . </t>
  </si>
  <si>
    <t>Depreciation and section 179 expense</t>
  </si>
  <si>
    <t>Supplies (not included in Part III)</t>
  </si>
  <si>
    <t>deduction (not included in Part III)</t>
  </si>
  <si>
    <t>Taxes and licenses</t>
  </si>
  <si>
    <t>(see instructions)</t>
  </si>
  <si>
    <t>Travel and meals:</t>
  </si>
  <si>
    <t>Employee benefit programs</t>
  </si>
  <si>
    <t>Travel</t>
  </si>
  <si>
    <t>(other than on line 19)</t>
  </si>
  <si>
    <t>Insurance (other than health)</t>
  </si>
  <si>
    <t>Interest:</t>
  </si>
  <si>
    <t>Utilities</t>
  </si>
  <si>
    <r>
      <t xml:space="preserve">Mortgage (paid to banks, etc.) </t>
    </r>
    <r>
      <rPr>
        <b/>
        <sz val="10"/>
        <rFont val="Arial"/>
        <family val="2"/>
      </rPr>
      <t xml:space="preserve">  .   .   .   .   .   .</t>
    </r>
  </si>
  <si>
    <t>16a</t>
  </si>
  <si>
    <t>Wages (less employment credits)</t>
  </si>
  <si>
    <r>
      <t>Other</t>
    </r>
    <r>
      <rPr>
        <b/>
        <sz val="10"/>
        <rFont val="Arial"/>
        <family val="2"/>
      </rPr>
      <t xml:space="preserve"> .   .   .   .   .   .   .   .   .   .   .   .   .   .   .   .</t>
    </r>
  </si>
  <si>
    <t>16b</t>
  </si>
  <si>
    <t>Other expenses (from line 48)</t>
  </si>
  <si>
    <t>27a</t>
  </si>
  <si>
    <t>Legal and professional services</t>
  </si>
  <si>
    <t>27b</t>
  </si>
  <si>
    <t xml:space="preserve">.   .   .   .   .   .   .   .   .   .   .      </t>
  </si>
  <si>
    <t>Tentative profit (loss).  Subtract line 28 from line 7</t>
  </si>
  <si>
    <t>Expenses for business use of your home. Do not report these expenses elsewhere. Attach Form 8829</t>
  </si>
  <si>
    <t>unless using the simplified method (see instructions).</t>
  </si>
  <si>
    <t>Simplified Method Worksheet  (See instructions for Schedule C, line 30.)</t>
  </si>
  <si>
    <r>
      <rPr>
        <b/>
        <sz val="10"/>
        <rFont val="Arial"/>
        <family val="2"/>
      </rPr>
      <t>Simplified method filers only:</t>
    </r>
    <r>
      <rPr>
        <sz val="10"/>
        <rFont val="Arial"/>
        <family val="2"/>
      </rPr>
      <t xml:space="preserve"> enter the total square footage of: (a) your home:</t>
    </r>
  </si>
  <si>
    <t>Gross income limitation</t>
  </si>
  <si>
    <t>and (b) the part of your home used for business:</t>
  </si>
  <si>
    <t>A.</t>
  </si>
  <si>
    <t>Sch. C, Line 29</t>
  </si>
  <si>
    <t>Use the Simplified Method Worksheet in the instructions to figure the amount to enter on line 30</t>
  </si>
  <si>
    <t>B.</t>
  </si>
  <si>
    <t>Use of home gain (F8949)</t>
  </si>
  <si>
    <r>
      <t>Net profit or (loss).</t>
    </r>
    <r>
      <rPr>
        <sz val="10"/>
        <rFont val="Arial"/>
        <family val="2"/>
      </rPr>
      <t xml:space="preserve">  Subtract line 30 from line 29.</t>
    </r>
  </si>
  <si>
    <t>C.</t>
  </si>
  <si>
    <t>Add lines A and B</t>
  </si>
  <si>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</si>
  <si>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D.</t>
  </si>
  <si>
    <t>(as positive number)</t>
  </si>
  <si>
    <r>
      <t xml:space="preserve">checked the box on line 1, see instructions). Estates and trusts, enter on </t>
    </r>
    <r>
      <rPr>
        <b/>
        <sz val="11"/>
        <rFont val="Arial"/>
        <family val="2"/>
      </rPr>
      <t>Form 1041, line 3</t>
    </r>
    <r>
      <rPr>
        <sz val="11"/>
        <rFont val="Arial"/>
        <family val="2"/>
      </rPr>
      <t>.</t>
    </r>
  </si>
  <si>
    <t>E.</t>
  </si>
  <si>
    <t>Subtract line D from line C.</t>
  </si>
  <si>
    <r>
      <t xml:space="preserve">• If a loss, you </t>
    </r>
    <r>
      <rPr>
        <b/>
        <sz val="11"/>
        <rFont val="Arial"/>
        <family val="2"/>
      </rPr>
      <t>must</t>
    </r>
    <r>
      <rPr>
        <sz val="11"/>
        <rFont val="Arial"/>
        <family val="2"/>
      </rPr>
      <t xml:space="preserve"> go to line 32.</t>
    </r>
  </si>
  <si>
    <t>Allowable square footage.</t>
  </si>
  <si>
    <t>If you have a loss, check the box that describes your investment in this activity. See instructions.</t>
  </si>
  <si>
    <t>Simplified method amount</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</si>
  <si>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</si>
  <si>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 xml:space="preserve">32a </t>
  </si>
  <si>
    <t>All investment at risk.</t>
  </si>
  <si>
    <t>Maximum allowable amount</t>
  </si>
  <si>
    <r>
      <rPr>
        <b/>
        <sz val="10"/>
        <rFont val="Arial"/>
        <family val="2"/>
      </rPr>
      <t>SE, line 2</t>
    </r>
    <r>
      <rPr>
        <sz val="10"/>
        <rFont val="Arial"/>
        <family val="2"/>
      </rPr>
      <t>. (If you checked the box on line 1, see the line 31 instructions). Estates and trusts, enter on</t>
    </r>
  </si>
  <si>
    <t xml:space="preserve">32b </t>
  </si>
  <si>
    <t>Some investment is not</t>
  </si>
  <si>
    <t>Daycare decimal (See instr.)</t>
  </si>
  <si>
    <t>Enter as decimal.</t>
  </si>
  <si>
    <r>
      <rPr>
        <b/>
        <sz val="10"/>
        <rFont val="Arial"/>
        <family val="2"/>
      </rPr>
      <t>Form 1041, line 3</t>
    </r>
    <r>
      <rPr>
        <sz val="10"/>
        <rFont val="Arial"/>
        <family val="2"/>
      </rPr>
      <t>.</t>
    </r>
  </si>
  <si>
    <t>at risk.</t>
  </si>
  <si>
    <t>Multiply line 3a by line 3b.</t>
  </si>
  <si>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</si>
  <si>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t>Multiply line 2 by line 3c</t>
  </si>
  <si>
    <t>For Paperwork Reduction Act Notice, see the separate instructions.</t>
  </si>
  <si>
    <t xml:space="preserve">Cat. No. 11334P   </t>
  </si>
  <si>
    <t>Smaller of line 1 or 4. If &lt;=0, then 0.</t>
  </si>
  <si>
    <t>Enter on Sch C line 30</t>
  </si>
  <si>
    <t>Page</t>
  </si>
  <si>
    <r>
      <rPr>
        <b/>
        <sz val="11"/>
        <rFont val="Arial"/>
        <family val="2"/>
      </rPr>
      <t xml:space="preserve">   Cost of Goods Sold</t>
    </r>
    <r>
      <rPr>
        <sz val="11"/>
        <rFont val="Arial"/>
        <family val="2"/>
      </rPr>
      <t xml:space="preserve">  (see instructions)</t>
    </r>
  </si>
  <si>
    <t>Method(s) used to</t>
  </si>
  <si>
    <r>
      <t xml:space="preserve">value closing inventory    </t>
    </r>
    <r>
      <rPr>
        <b/>
        <sz val="10"/>
        <rFont val="Arial"/>
        <family val="2"/>
      </rPr>
      <t>a</t>
    </r>
  </si>
  <si>
    <t xml:space="preserve">Cost </t>
  </si>
  <si>
    <t xml:space="preserve">b </t>
  </si>
  <si>
    <t xml:space="preserve"> Lower cost or market</t>
  </si>
  <si>
    <t xml:space="preserve">c </t>
  </si>
  <si>
    <t xml:space="preserve"> Other (attach explanation)</t>
  </si>
  <si>
    <t>Was there any change in determining quantities, cost or valuations between opening and closing inventory?</t>
  </si>
  <si>
    <t>If "Yes", attach explanation</t>
  </si>
  <si>
    <t xml:space="preserve">.   .   .   .   .   .   .   .   .   .   .   .   .   .   .   .   .   .   .   .   .   .   .   .   .   .   .   .   .   .   .   .   .  </t>
  </si>
  <si>
    <t>Inventory at beginning of the year.  If different from last year's closing inventory, attach explanation</t>
  </si>
  <si>
    <t>Purchases less cost of items withdrawn for personal use</t>
  </si>
  <si>
    <t>Cost of labor.  Do not include any amounts paid to yourself</t>
  </si>
  <si>
    <t>Materials and supplies</t>
  </si>
  <si>
    <t xml:space="preserve">.   .   .   .   .   .   .   .   .   .   .   .   .   .   .   .   .   .   .   .   .   .   .   .   .   .   .   .   .   .   .   .   .   .   .   .   .   .   . </t>
  </si>
  <si>
    <t>Other costs</t>
  </si>
  <si>
    <t xml:space="preserve">.   .   .   .   .   .   .   .   .   .   .   .   .   .   .   .   .   .   .   .   .   .   .   .   .   .   .   .   .   .   .   .   .   .   .   .   .   .   .   .   .   .   .   .   .   . </t>
  </si>
  <si>
    <t>Add lines 35 through 39</t>
  </si>
  <si>
    <t xml:space="preserve">.   .   .   .   .   .   .   .   .   .   .   .   .   .   .   .   .   .   .   .   .   .   .   .   .   .   .   .   .   .   .   .   .   .   .   .   .   . </t>
  </si>
  <si>
    <t>Inventory at end of year</t>
  </si>
  <si>
    <r>
      <t>Cost of goods sold.</t>
    </r>
    <r>
      <rPr>
        <sz val="10"/>
        <rFont val="Arial"/>
        <family val="2"/>
      </rPr>
      <t xml:space="preserve">   Subtract line 41 from line 40.  Enter the result here and on line 4</t>
    </r>
  </si>
  <si>
    <t>Part IV</t>
  </si>
  <si>
    <r>
      <t xml:space="preserve">   </t>
    </r>
    <r>
      <rPr>
        <b/>
        <sz val="11"/>
        <rFont val="Arial"/>
        <family val="2"/>
      </rPr>
      <t>Information on Your Vehicle.</t>
    </r>
    <r>
      <rPr>
        <sz val="10"/>
        <rFont val="Arial"/>
        <family val="2"/>
      </rPr>
      <t/>
    </r>
  </si>
  <si>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</si>
  <si>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</si>
  <si>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</si>
  <si>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r>
      <t>When did you place your vehicle in service for business purposes?   (month/day/year)</t>
    </r>
    <r>
      <rPr>
        <sz val="10"/>
        <rFont val="Arial"/>
        <family val="2"/>
      </rPr>
      <t/>
    </r>
  </si>
  <si>
    <t>/</t>
  </si>
  <si>
    <r>
      <t xml:space="preserve"> </t>
    </r>
    <r>
      <rPr>
        <b/>
        <sz val="10"/>
        <rFont val="Arial"/>
        <family val="2"/>
      </rPr>
      <t xml:space="preserve"> a</t>
    </r>
    <r>
      <rPr>
        <sz val="9"/>
        <rFont val="Arial"/>
        <family val="2"/>
      </rPr>
      <t xml:space="preserve">   </t>
    </r>
    <r>
      <rPr>
        <sz val="8"/>
        <rFont val="Arial"/>
        <family val="2"/>
      </rPr>
      <t xml:space="preserve">Business  </t>
    </r>
  </si>
  <si>
    <r>
      <rPr>
        <b/>
        <sz val="10"/>
        <rFont val="Arial"/>
        <family val="2"/>
      </rPr>
      <t>b</t>
    </r>
    <r>
      <rPr>
        <sz val="8"/>
        <rFont val="Arial"/>
        <family val="2"/>
      </rPr>
      <t xml:space="preserve"> Commuting (see instructions)</t>
    </r>
  </si>
  <si>
    <t>Was your vehicle available for use during off-duty hours?</t>
  </si>
  <si>
    <t>Do you (or your spouse) have another vehicle available for personal use?</t>
  </si>
  <si>
    <t xml:space="preserve">    47  a</t>
  </si>
  <si>
    <t>Do you have evidence to support your deduction?</t>
  </si>
  <si>
    <t>If "Yes", is the evidence written?</t>
  </si>
  <si>
    <t xml:space="preserve">.    .    .    .    .    .    .    .    .    .    .    .    .    .    .    .    .   .    .    .    .    .    .    .    .    .    . </t>
  </si>
  <si>
    <t>Part V</t>
  </si>
  <si>
    <r>
      <t>Total other expenses.</t>
    </r>
    <r>
      <rPr>
        <sz val="10"/>
        <rFont val="Arial"/>
        <family val="2"/>
      </rPr>
      <t xml:space="preserve">   Enter here and on line 27a</t>
    </r>
  </si>
  <si>
    <t xml:space="preserve">.   .    .   .   .   .   .   .   .   .   .   .   .   .   .   .   .   .   .   .    .   .   .   .   .   .   . </t>
  </si>
  <si>
    <t>Attachment Sequence No.</t>
  </si>
  <si>
    <t>X</t>
  </si>
  <si>
    <t xml:space="preserve"> .   .   .   .   .   .   .   .   .   .   .   .   .   .  </t>
  </si>
  <si>
    <r>
      <t>Gross profit.</t>
    </r>
    <r>
      <rPr>
        <sz val="9"/>
        <rFont val="Arial"/>
        <family val="2"/>
      </rPr>
      <t xml:space="preserve">  Subtract line 4 from line 3</t>
    </r>
  </si>
  <si>
    <r>
      <t>Gross income.</t>
    </r>
    <r>
      <rPr>
        <sz val="9"/>
        <rFont val="Arial"/>
        <family val="2"/>
      </rPr>
      <t xml:space="preserve">  Add lines 5 and 6</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</si>
  <si>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</si>
  <si>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</si>
  <si>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t xml:space="preserve">   .   .   .   .   .   .   .   .   .   .   .   .</t>
  </si>
  <si>
    <r>
      <t>(other than on line 19)</t>
    </r>
    <r>
      <rPr>
        <b/>
        <sz val="10"/>
        <rFont val="Arial"/>
        <family val="2"/>
      </rPr>
      <t xml:space="preserve">   .   .   .   .   .   .   .   .   .</t>
    </r>
  </si>
  <si>
    <r>
      <t>Insurance (other than health)</t>
    </r>
    <r>
      <rPr>
        <b/>
        <sz val="10"/>
        <rFont val="Arial"/>
        <family val="2"/>
      </rPr>
      <t>.   .   .   .   .   .   .</t>
    </r>
  </si>
  <si>
    <t xml:space="preserve">.   .   .   .   .   .   .   .   .      </t>
  </si>
  <si>
    <t>If you have a loss, check the box that describes your investment in this activity.  See instructions.</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</si>
  <si>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</si>
  <si>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32a</t>
  </si>
  <si>
    <t>32b</t>
  </si>
  <si>
    <t>Form 1041, line 3.</t>
  </si>
  <si>
    <r>
      <t xml:space="preserve">value closing inventory     </t>
    </r>
    <r>
      <rPr>
        <b/>
        <sz val="10"/>
        <rFont val="Arial"/>
        <family val="2"/>
      </rPr>
      <t>a</t>
    </r>
  </si>
  <si>
    <t>Cost</t>
  </si>
  <si>
    <t>Lower cost or market</t>
  </si>
  <si>
    <t>Other (attach explanation)</t>
  </si>
  <si>
    <r>
      <t xml:space="preserve"> </t>
    </r>
    <r>
      <rPr>
        <b/>
        <sz val="10"/>
        <rFont val="Arial"/>
        <family val="2"/>
      </rPr>
      <t xml:space="preserve"> a</t>
    </r>
    <r>
      <rPr>
        <sz val="10"/>
        <rFont val="Arial"/>
        <family val="2"/>
      </rPr>
      <t xml:space="preserve">   Business</t>
    </r>
  </si>
  <si>
    <r>
      <t>b</t>
    </r>
    <r>
      <rPr>
        <sz val="8"/>
        <rFont val="Arial"/>
        <family val="2"/>
      </rPr>
      <t xml:space="preserve"> Commuting (see instructions)</t>
    </r>
  </si>
  <si>
    <t xml:space="preserve">  47  a</t>
  </si>
  <si>
    <t>Download Form 1040 Schedule C</t>
  </si>
  <si>
    <t>Download Form 1040 Schedule C Instructions</t>
  </si>
  <si>
    <t>SCHEDULE D</t>
  </si>
  <si>
    <t>Capital Gains and Losses</t>
  </si>
  <si>
    <t xml:space="preserve">  OMB No. 1545-0074</t>
  </si>
  <si>
    <t>Attach to Form 1040, 1040-SR, or Form 1040-NR.</t>
  </si>
  <si>
    <r>
      <t xml:space="preserve">   Go to </t>
    </r>
    <r>
      <rPr>
        <b/>
        <i/>
        <sz val="9"/>
        <rFont val="Arial"/>
        <family val="2"/>
      </rPr>
      <t>www.irs.gov/ScheduleD</t>
    </r>
    <r>
      <rPr>
        <b/>
        <sz val="9"/>
        <rFont val="Arial"/>
        <family val="2"/>
      </rPr>
      <t xml:space="preserve"> for instructions and the latest information.</t>
    </r>
  </si>
  <si>
    <t xml:space="preserve">    Attachment</t>
  </si>
  <si>
    <t>Use Form 8949 to list your transactions for lines 1b, 2, 3, 8b, 9, and 10.</t>
  </si>
  <si>
    <t xml:space="preserve">    Sequence No.</t>
  </si>
  <si>
    <t>(Applicability)</t>
  </si>
  <si>
    <t>(d)</t>
  </si>
  <si>
    <t>(e)</t>
  </si>
  <si>
    <t>(g)</t>
  </si>
  <si>
    <t>(h)</t>
  </si>
  <si>
    <t>Did you dispose of any investment(s) in a qualified opportunity fund during the tax year?</t>
  </si>
  <si>
    <t>If “Yes,” attach Form 8949 and see its instructions for additional requirements for reporting your gain or loss.</t>
  </si>
  <si>
    <t xml:space="preserve">Part I </t>
  </si>
  <si>
    <t>Short-Term Capital Gains and Losses</t>
  </si>
  <si>
    <t>–  Generally Assets Held One Year or Less</t>
  </si>
  <si>
    <t>See instructions for how to figure the amounts to enter on the 
lines below.
This form may be easier to complete if you round off cents to whole dollars.</t>
  </si>
  <si>
    <r>
      <rPr>
        <b/>
        <sz val="7"/>
        <rFont val="Arial"/>
        <family val="2"/>
      </rPr>
      <t>(d)</t>
    </r>
    <r>
      <rPr>
        <sz val="7"/>
        <rFont val="Arial"/>
        <family val="2"/>
      </rPr>
      <t xml:space="preserve"> 
Proceeds 
(sales price)</t>
    </r>
  </si>
  <si>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</si>
  <si>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</si>
  <si>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</si>
  <si>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</si>
  <si>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
line 2, column (g)</t>
    </r>
  </si>
  <si>
    <r>
      <t xml:space="preserve">Override  </t>
    </r>
    <r>
      <rPr>
        <b/>
        <sz val="10"/>
        <rFont val="Wingdings"/>
        <charset val="2"/>
      </rPr>
      <t>è</t>
    </r>
  </si>
  <si>
    <t>F8949A</t>
  </si>
  <si>
    <t>F8949B</t>
  </si>
  <si>
    <t>F8949C</t>
  </si>
  <si>
    <t>F8949D</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</si>
  <si>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</si>
  <si>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</si>
  <si>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</si>
  <si>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</si>
  <si>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Short-term gain from Form 6252, and short-term gain or (loss) from Forms 4684, 6781, and 8824</t>
    </r>
    <r>
      <rPr>
        <b/>
        <sz val="10"/>
        <rFont val="Arial"/>
        <family val="2"/>
      </rPr>
      <t xml:space="preserve">  .   .   .   .</t>
    </r>
  </si>
  <si>
    <t xml:space="preserve">Net short-term gain or (loss) from partnerships, S corporations, estates, and trusts from </t>
  </si>
  <si>
    <t>Schedules(s) K-1</t>
  </si>
  <si>
    <t xml:space="preserve">.   .   .   .   .   .   .   .   .   .   .   .   .   .   .   .   .   .   .   .   .   .   .   .   .   .   .   .   .   .   . </t>
  </si>
  <si>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</si>
  <si>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</si>
  <si>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t>Long-Term Capital Gains and Losses</t>
  </si>
  <si>
    <t>–  Generally Assets Held More Than One Year</t>
  </si>
  <si>
    <t>See instructions for how to figure the amounts to enter on the 
lines below.  
This form may be easier to complete if you round off cents to 
whole dollars.</t>
  </si>
  <si>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</si>
  <si>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</si>
  <si>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</si>
  <si>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</si>
  <si>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</si>
  <si>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</si>
  <si>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</si>
  <si>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</si>
  <si>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t>Net long-term gain or (loss) from partnerships, S corporations, estates, &amp; trusts from Schedules(s) K-1</t>
  </si>
  <si>
    <t>Capital gain distributions. See the instructions</t>
  </si>
  <si>
    <r>
      <t xml:space="preserve">Long-term capital loss carryover. Enter the amount, if any, from line 13 of your </t>
    </r>
    <r>
      <rPr>
        <b/>
        <sz val="10"/>
        <rFont val="Arial"/>
        <family val="2"/>
      </rPr>
      <t>Capital Loss Carryover</t>
    </r>
  </si>
  <si>
    <t>Cat. No. 11338H</t>
  </si>
  <si>
    <r>
      <t>Page</t>
    </r>
    <r>
      <rPr>
        <sz val="9"/>
        <rFont val="Arial"/>
        <family val="2"/>
      </rPr>
      <t xml:space="preserve"> </t>
    </r>
    <r>
      <rPr>
        <sz val="12"/>
        <rFont val="Arial"/>
        <family val="2"/>
      </rPr>
      <t xml:space="preserve"> </t>
    </r>
    <r>
      <rPr>
        <b/>
        <sz val="12"/>
        <rFont val="Arial"/>
        <family val="2"/>
      </rPr>
      <t>2</t>
    </r>
  </si>
  <si>
    <t>PART III</t>
  </si>
  <si>
    <t xml:space="preserve"> Summary</t>
  </si>
  <si>
    <t>Combine lines 7 and 15 and enter the result.</t>
  </si>
  <si>
    <t xml:space="preserve"> .   .   .   .   .   .   .   .   .   .   .   .   .   .   .   .   .   .   .   .   .   . </t>
  </si>
  <si>
    <t>Then go to line 17 below.</t>
  </si>
  <si>
    <t>line 22.</t>
  </si>
  <si>
    <t>Then go to line 22.</t>
  </si>
  <si>
    <r>
      <t xml:space="preserve">Are lines 15 and 16 </t>
    </r>
    <r>
      <rPr>
        <b/>
        <sz val="11"/>
        <rFont val="Arial"/>
        <family val="2"/>
      </rPr>
      <t>both</t>
    </r>
    <r>
      <rPr>
        <sz val="11"/>
        <rFont val="Arial"/>
        <family val="2"/>
      </rPr>
      <t xml:space="preserve"> gains?</t>
    </r>
  </si>
  <si>
    <r>
      <t xml:space="preserve">Yes. </t>
    </r>
    <r>
      <rPr>
        <sz val="10"/>
        <rFont val="Arial"/>
        <family val="2"/>
      </rPr>
      <t>Go to line 18.</t>
    </r>
  </si>
  <si>
    <r>
      <t>No.</t>
    </r>
    <r>
      <rPr>
        <sz val="10"/>
        <rFont val="Arial"/>
        <family val="2"/>
      </rPr>
      <t xml:space="preserve"> Skip lines 18 through 21, and go to line 22.</t>
    </r>
  </si>
  <si>
    <r>
      <t xml:space="preserve">If you are required to complete the </t>
    </r>
    <r>
      <rPr>
        <b/>
        <sz val="11"/>
        <rFont val="Arial"/>
        <family val="2"/>
      </rPr>
      <t>28% Rate Gain Worksheet</t>
    </r>
    <r>
      <rPr>
        <sz val="11"/>
        <rFont val="Arial"/>
        <family val="2"/>
      </rPr>
      <t xml:space="preserve"> (see instructions), enter</t>
    </r>
  </si>
  <si>
    <t>the amount, if any, from line 7 of that worksheet</t>
  </si>
  <si>
    <t xml:space="preserve">.   .   .   .   .   .   .   .   .   .   .   .   .   .   .   .   .   .   .   . </t>
  </si>
  <si>
    <r>
      <t xml:space="preserve">If you are required to complete the </t>
    </r>
    <r>
      <rPr>
        <b/>
        <sz val="11"/>
        <rFont val="Arial"/>
        <family val="2"/>
      </rPr>
      <t>Unrecaptured Section 1250 Gain Worksheet</t>
    </r>
    <r>
      <rPr>
        <sz val="11"/>
        <rFont val="Arial"/>
        <family val="2"/>
      </rPr>
      <t xml:space="preserve"> (see</t>
    </r>
  </si>
  <si>
    <t>instructions), enter the amount, if any, from line 18 of that worksheet</t>
  </si>
  <si>
    <t>Are lines 18 and 19 both zero or blank and are you not filing Form 4952?</t>
  </si>
  <si>
    <t>Check here if</t>
  </si>
  <si>
    <t>filing Form 4952.</t>
  </si>
  <si>
    <t>and 22 below.</t>
  </si>
  <si>
    <r>
      <t>l</t>
    </r>
    <r>
      <rPr>
        <sz val="10"/>
        <rFont val="Arial"/>
        <family val="2"/>
      </rPr>
      <t xml:space="preserve">  The loss on line 16 or</t>
    </r>
  </si>
  <si>
    <t>The loss on line 16 or</t>
  </si>
  <si>
    <r>
      <t>l</t>
    </r>
    <r>
      <rPr>
        <sz val="10"/>
        <rFont val="Arial"/>
        <family val="2"/>
      </rPr>
      <t xml:space="preserve">  ($3,000), or if married filing separately, ($1,500)  </t>
    </r>
  </si>
  <si>
    <t>Do you have qualified dividends on Form 1040, 1040-SR, or 1040-NR, line 3a?</t>
  </si>
  <si>
    <t>Download Form 1040 Schedule D</t>
  </si>
  <si>
    <t>Download Form 1040 Schedule D Instructions</t>
  </si>
  <si>
    <t>Capital Loss Carryover Worksheet—Lines 6 and 14</t>
  </si>
  <si>
    <t>&lt;-- Any entries?</t>
  </si>
  <si>
    <t>(a)</t>
  </si>
  <si>
    <t>(b)</t>
  </si>
  <si>
    <t xml:space="preserve"> less than zero if a negative amount on that line. Otherwise, you don't have any carryovers.</t>
  </si>
  <si>
    <t>any capital loss carryover from the joint return can be deducted only on the return of the spouse who actually had the loss.</t>
  </si>
  <si>
    <t>If the amount would have been a loss if you could enter a negative number on that line, enclose the amount in parentheses</t>
  </si>
  <si>
    <t>Combine lines 1 and 2. If zero or less, enter -0-</t>
  </si>
  <si>
    <t xml:space="preserve">.   .   .   .   .   .   .   .   .   .   .   .   .   .   .   .   .   .   .   .   .   .   .   .   .   .   .   .   .   .   .   .   .   .   .   </t>
  </si>
  <si>
    <r>
      <t xml:space="preserve">Enter the </t>
    </r>
    <r>
      <rPr>
        <b/>
        <sz val="10"/>
        <rFont val="Arial"/>
        <family val="2"/>
      </rPr>
      <t>smaller</t>
    </r>
    <r>
      <rPr>
        <sz val="10"/>
        <rFont val="Arial"/>
        <family val="2"/>
      </rPr>
      <t xml:space="preserve"> of line 2 or line 3</t>
    </r>
  </si>
  <si>
    <t xml:space="preserve"> .   .   .   .   .   .   .   .   .   .   .   .   .   .   .   .   .   . </t>
  </si>
  <si>
    <t>Add lines 4 and 6</t>
  </si>
  <si>
    <t xml:space="preserve">.   .   .   .   .   .   .   .   .   .   .   .   .   .   .   .   .   .   .   .   .   .   .   .   .   .   .   .   .   .   .   .   .   .   .   .   .   .   .   .   .   .   .   .   .   .   .   .   </t>
  </si>
  <si>
    <t>Subtract line 7 from line 5. If zero or less, enter -0-.</t>
  </si>
  <si>
    <t xml:space="preserve"> If more than zero, also enter this amount on Schedule D, line 6</t>
  </si>
  <si>
    <t>Subtract line 5 from line 4. If zero or less, enter -0-</t>
  </si>
  <si>
    <t>Add lines 10 and 11</t>
  </si>
  <si>
    <t xml:space="preserve">.   .   .   .   .   .   .   .   .   .   .   .   .   .   .   .   .   .   .   .   .   .   .   .   .   .   .   .   .   .   .   .   .   .   .   .   .   .   .   .   .   .   .   .   .   .   </t>
  </si>
  <si>
    <t>Subtract line 12 from line 9. If zero or less, enter -0-.</t>
  </si>
  <si>
    <t xml:space="preserve"> If more than zero, also enter this amount on Schedule D, line 14</t>
  </si>
  <si>
    <t xml:space="preserve">.   .   .   .   .   .   .   .   .   .   .   .   .   .   .   .   .   .   .   .   .   .   .   .   .   .   .   .   </t>
  </si>
  <si>
    <t>28% Rate Gain Worksheet — Line 18</t>
  </si>
  <si>
    <t xml:space="preserve">Keep for Your Records          </t>
  </si>
  <si>
    <r>
      <t>Enter the total of all collectibles gain or (loss) from items you reported on Form 8949, Part II</t>
    </r>
    <r>
      <rPr>
        <b/>
        <sz val="9"/>
        <rFont val="Arial"/>
        <family val="2"/>
      </rPr>
      <t>.   .   .   .   .   .   .   .   .</t>
    </r>
  </si>
  <si>
    <t>Enter as a positive number the total of:</t>
  </si>
  <si>
    <r>
      <t>l</t>
    </r>
    <r>
      <rPr>
        <sz val="9"/>
        <rFont val="Arial"/>
        <family val="2"/>
      </rPr>
      <t xml:space="preserve"> </t>
    </r>
  </si>
  <si>
    <t>Any section 1202 exclusion you reported in column (g) of Form 8949,</t>
  </si>
  <si>
    <t>2/3 of any section 1202 exclusion you reported in column (g) of Form</t>
  </si>
  <si>
    <t>1/3 of any section 1202 exclusion you reported in column (g) of Form</t>
  </si>
  <si>
    <t>Don't make an entry for any section 1202 exclusion that is 100% of the gain.</t>
  </si>
  <si>
    <t>Enter the total of any collectibles gain reported to you on:</t>
  </si>
  <si>
    <t>Form 1099-DIV, box 2d;</t>
  </si>
  <si>
    <t>Form 2439, box 1d; and</t>
  </si>
  <si>
    <t>Schedule K-1 from a partnership, S corporation, estate, or trust.</t>
  </si>
  <si>
    <t>Enter your long-term capital loss carryovers from Schedule D, line 14, and Schedule K-1 (Form 1041),</t>
  </si>
  <si>
    <t>box 11, code D</t>
  </si>
  <si>
    <t xml:space="preserve">.   .   .   .   .   .   .   .   .   .   .   .   .   .   .   .   .   .   .   .   .   .   .   .   .   .   .   .   .   .   .   .   .   .   .   .   .   .   .   .  </t>
  </si>
  <si>
    <t>Schedule K-1 (Form 1041)</t>
  </si>
  <si>
    <t>If Schedule D, line 7, is a (loss), enter that (loss) here. Otherwise, enter -0-</t>
  </si>
  <si>
    <t>Combine lines 1 through 6. If zero or less, enter -0-. If more than zero, also enter this amount on</t>
  </si>
  <si>
    <t>Schedule D, line 18</t>
  </si>
  <si>
    <t>.   .   .   .   .   .   .   .   .   .   .   .   .   .   .   .   .   .   .   .   .   .   .   .   .   .   .   .   .   .   .   .   .   .   .   .   .   .   .</t>
  </si>
  <si>
    <t>Schedule D</t>
  </si>
  <si>
    <t>Line 20</t>
  </si>
  <si>
    <t>Form 1040</t>
  </si>
  <si>
    <t>&gt;</t>
  </si>
  <si>
    <t>Complete this worksheet only if line 18 or line 19 of Schedule D is more than zero and lines 15 and 16 of Schedule D are gains or</t>
  </si>
  <si>
    <t>Line 18 &gt; 0</t>
  </si>
  <si>
    <t>Line 19 &gt; 0</t>
  </si>
  <si>
    <t>Line 3a = 0</t>
  </si>
  <si>
    <t>Line 15 &lt;= 0</t>
  </si>
  <si>
    <t>Worksheet used?</t>
  </si>
  <si>
    <t>Otherwise, complete the Qualified Dividends and Capital Gain Tax Worksheet in the Instructions for Form 1040, line 16, (or in the instructions for</t>
  </si>
  <si>
    <t>Form 1040-NR, line 16) to figure your tax.</t>
  </si>
  <si>
    <t>Before completing this worksheet, complete Form 1040, 1040-SR, or 1040-NR through line 15.</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</si>
  <si>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</si>
  <si>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r>
      <t xml:space="preserve">Line 15 or line 16 of Schedule D is zero or less </t>
    </r>
    <r>
      <rPr>
        <b/>
        <sz val="9"/>
        <rFont val="Arial"/>
        <family val="2"/>
      </rPr>
      <t>and</t>
    </r>
    <r>
      <rPr>
        <sz val="9"/>
        <rFont val="Arial"/>
        <family val="2"/>
      </rPr>
      <t xml:space="preserve"> you have no qualified dividends on Form 1040 or 1040-SR, line 3a;</t>
    </r>
  </si>
  <si>
    <t>Form 1040 or 1040-SR, line 15 (Taxable Income), is zero or less.</t>
  </si>
  <si>
    <t>Instead, see the instructions for Forms 1040 and 1040-SR, line 16 (or Form 1040-NR, line 16).</t>
  </si>
  <si>
    <t xml:space="preserve">Enter your taxable income from Form 1040 or 1040-SR, line 15. (However, if you are filing </t>
  </si>
  <si>
    <t>Check here to</t>
  </si>
  <si>
    <t>&lt; Customize &gt;</t>
  </si>
  <si>
    <t xml:space="preserve">Form 2555 (relating to foreign earned income), enter instead the amount from line 3 of the </t>
  </si>
  <si>
    <t xml:space="preserve">complete this </t>
  </si>
  <si>
    <t>Foreign Earned Income Tax Worksheet in the Instructions for Form 1040 or 1040-SR, line 16)</t>
  </si>
  <si>
    <t>worksheet anyway.</t>
  </si>
  <si>
    <t>Enter your qualified dividends from Form 1040, 1040-SR,</t>
  </si>
  <si>
    <t>1040-SR, or 1040-NR, line 3a</t>
  </si>
  <si>
    <t>Enter the amount from Form 4952 (used to figure investment interest</t>
  </si>
  <si>
    <r>
      <t xml:space="preserve">expense deduction), line 4g  </t>
    </r>
    <r>
      <rPr>
        <b/>
        <sz val="10"/>
        <rFont val="Arial"/>
        <family val="2"/>
      </rPr>
      <t xml:space="preserve"> .   .   .   .   .   .   .   .   .   .</t>
    </r>
  </si>
  <si>
    <r>
      <t xml:space="preserve">Enter the amount from Form 4952, line 4e* </t>
    </r>
    <r>
      <rPr>
        <b/>
        <sz val="10"/>
        <rFont val="Arial"/>
        <family val="2"/>
      </rPr>
      <t>.   .   .   .   .   .   .   .   .   .</t>
    </r>
  </si>
  <si>
    <t>Subtract line 4 from line 3. If zero or less, enter -0-</t>
  </si>
  <si>
    <t>Subtract line 5 from line 2. If zero or less, enter -0-**</t>
  </si>
  <si>
    <t>.   .   .   .   .   .   .   .   .   .   .   .   .   .   .   .   .   .   .   .</t>
  </si>
  <si>
    <r>
      <t xml:space="preserve">Enter the </t>
    </r>
    <r>
      <rPr>
        <b/>
        <sz val="10"/>
        <rFont val="Arial"/>
        <family val="2"/>
      </rPr>
      <t>smaller</t>
    </r>
    <r>
      <rPr>
        <sz val="10"/>
        <rFont val="Arial"/>
        <family val="2"/>
      </rPr>
      <t xml:space="preserve"> of line 15 or line 16 of Schedule D</t>
    </r>
  </si>
  <si>
    <r>
      <t xml:space="preserve">Enter the </t>
    </r>
    <r>
      <rPr>
        <b/>
        <sz val="10"/>
        <rFont val="Arial"/>
        <family val="2"/>
      </rPr>
      <t>smaller</t>
    </r>
    <r>
      <rPr>
        <sz val="10"/>
        <rFont val="Arial"/>
        <family val="2"/>
      </rPr>
      <t xml:space="preserve"> of line 3 or line 4</t>
    </r>
  </si>
  <si>
    <t>Subtract line 8 from line 7. If zero or less, enter -0-**</t>
  </si>
  <si>
    <t>Add lines 18 and 19 of Schedule D**</t>
  </si>
  <si>
    <r>
      <t xml:space="preserve">Enter the </t>
    </r>
    <r>
      <rPr>
        <b/>
        <sz val="10"/>
        <rFont val="Arial"/>
        <family val="2"/>
      </rPr>
      <t>smaller</t>
    </r>
    <r>
      <rPr>
        <sz val="10"/>
        <rFont val="Arial"/>
        <family val="2"/>
      </rPr>
      <t xml:space="preserve"> of line 9 or line 11</t>
    </r>
  </si>
  <si>
    <t>Subtract line 12 from line 10</t>
  </si>
  <si>
    <t>.   .   .   .   .   .   .   .   .   .   .   .   .   .   .   .   .   .   .   .   .   .   .   .   .   .   .   .   .   .   .   .   .   .   .   .</t>
  </si>
  <si>
    <t>Subtract line 13 from line 1. If zero or less, enter -0-</t>
  </si>
  <si>
    <r>
      <t>Enter</t>
    </r>
    <r>
      <rPr>
        <sz val="10"/>
        <rFont val="Arial"/>
        <family val="2"/>
      </rPr>
      <t>:</t>
    </r>
  </si>
  <si>
    <t>.   .   .</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</si>
  <si>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</si>
  <si>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</si>
  <si>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Subtract line 10 from line 1. If zero or less, enter -0-</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</si>
  <si>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</si>
  <si>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</si>
  <si>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</si>
  <si>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Subtract line 17 from line 16. This amount is taxed at 0%.</t>
  </si>
  <si>
    <t>If lines 1 and 16 are the same, skip lines 23 through 43 and go to line 44. Otherwise, go to line 23.</t>
  </si>
  <si>
    <r>
      <t xml:space="preserve">Enter the </t>
    </r>
    <r>
      <rPr>
        <b/>
        <sz val="10"/>
        <rFont val="Arial"/>
        <family val="2"/>
      </rPr>
      <t>smaller</t>
    </r>
    <r>
      <rPr>
        <sz val="10"/>
        <rFont val="Arial"/>
        <family val="2"/>
      </rPr>
      <t xml:space="preserve"> of line 1 or line 13 </t>
    </r>
  </si>
  <si>
    <t>Enter the amount from line 22 (if line 22 is blank, enter -0-)</t>
  </si>
  <si>
    <t>Subtract line 24 from line 23. If zero or less, enter -0-</t>
  </si>
  <si>
    <t>Enter the smaller of line 1 or line 26</t>
  </si>
  <si>
    <t>Subtract line 28 from line 27. If zero or less, enter -0-</t>
  </si>
  <si>
    <r>
      <t xml:space="preserve">Enter the </t>
    </r>
    <r>
      <rPr>
        <b/>
        <sz val="10"/>
        <rFont val="Arial"/>
        <family val="2"/>
      </rPr>
      <t>smaller</t>
    </r>
    <r>
      <rPr>
        <sz val="10"/>
        <rFont val="Arial"/>
        <family val="2"/>
      </rPr>
      <t xml:space="preserve"> of line 25 or line 29</t>
    </r>
  </si>
  <si>
    <t>AA91</t>
  </si>
  <si>
    <t>If lines 1 and 32 are the same, skip lines 33 through 43 and go to line 44. Otherwise, go to line 33.</t>
  </si>
  <si>
    <t>Subtract line 32 from line 23</t>
  </si>
  <si>
    <t>If Schedule D, line 19, is zero or blank, skip lines 35 through 40 and go to line 41. Otherwise, go to line 35.</t>
  </si>
  <si>
    <r>
      <t xml:space="preserve">Enter the </t>
    </r>
    <r>
      <rPr>
        <b/>
        <sz val="10"/>
        <rFont val="Arial"/>
        <family val="2"/>
      </rPr>
      <t>smaller</t>
    </r>
    <r>
      <rPr>
        <sz val="10"/>
        <rFont val="Arial"/>
        <family val="2"/>
      </rPr>
      <t xml:space="preserve"> of line 9 above or Schedule D, line 19</t>
    </r>
  </si>
  <si>
    <t>AA71</t>
  </si>
  <si>
    <t>Enter the amount from line 1 above</t>
  </si>
  <si>
    <t xml:space="preserve"> .   .   .   .   .   .   . </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</si>
  <si>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</si>
  <si>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</si>
  <si>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</si>
  <si>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</si>
  <si>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</si>
  <si>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</si>
  <si>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</si>
  <si>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</si>
  <si>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</si>
  <si>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 xml:space="preserve">Figure the tax on the amount on </t>
    </r>
    <r>
      <rPr>
        <b/>
        <sz val="10"/>
        <rFont val="Arial"/>
        <family val="2"/>
      </rPr>
      <t>line 1</t>
    </r>
    <r>
      <rPr>
        <sz val="10"/>
        <rFont val="Arial"/>
        <family val="2"/>
      </rPr>
      <t>. If the amount on line 1 is less than $100,000, use the Tax Table to figure the tax.</t>
    </r>
  </si>
  <si>
    <t>If the amount on line 1 is $100,000 or more, use the Tax Computation Worksheet</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</si>
  <si>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</si>
  <si>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include this amount on Form 1040 or 1040-SR, line 16. (If you are filing Form 2555, don't enter this amount</t>
  </si>
  <si>
    <t>on Form 1040 or 1040-SR, line 16. Instead, enter it on line 4 of the Foreign Earned Income Tax Worksheet in the instructions</t>
  </si>
  <si>
    <t>SchDTW_Line1</t>
  </si>
  <si>
    <t>*If applicable, enter instead the smaller amount you entered on the dotted line next to line 4e of Form 4952.</t>
  </si>
  <si>
    <t>**If you are filing Form 2555, see the footnote in the Foreign Earned Income Tax Worksheet in the Instructions for</t>
  </si>
  <si>
    <t>Form 1040 and 1040-SR, line 16, before completing this line.</t>
  </si>
  <si>
    <t>Note:  This sheet includes two Schedule E forms.</t>
  </si>
  <si>
    <t>SCHEDULE E</t>
  </si>
  <si>
    <t>Supplemental Income and Loss</t>
  </si>
  <si>
    <t>Department of the Treasury Internal Revenue Service</t>
  </si>
  <si>
    <t>Attach to Form 1040, 1040-SR, 1040NR, or Form 1041.</t>
  </si>
  <si>
    <t>Attachment 
Sequence No.</t>
  </si>
  <si>
    <r>
      <t xml:space="preserve">Go to </t>
    </r>
    <r>
      <rPr>
        <b/>
        <i/>
        <sz val="10"/>
        <rFont val="Arial"/>
        <family val="2"/>
      </rPr>
      <t>www.irs.gov/ScheduleE</t>
    </r>
    <r>
      <rPr>
        <b/>
        <sz val="10"/>
        <rFont val="Arial"/>
        <family val="2"/>
      </rPr>
      <t xml:space="preserve"> for instructions and the latest information.</t>
    </r>
  </si>
  <si>
    <t>Income or Loss From Rental Real Estate and Royalties</t>
  </si>
  <si>
    <r>
      <rPr>
        <b/>
        <sz val="11"/>
        <rFont val="Arial"/>
        <family val="2"/>
      </rPr>
      <t>Note:</t>
    </r>
    <r>
      <rPr>
        <sz val="11"/>
        <rFont val="Arial"/>
        <family val="2"/>
      </rPr>
      <t xml:space="preserve"> If you are in business of renting personal property, use </t>
    </r>
    <r>
      <rPr>
        <b/>
        <sz val="11"/>
        <rFont val="Arial"/>
        <family val="2"/>
      </rPr>
      <t>Schedule C</t>
    </r>
    <r>
      <rPr>
        <sz val="11"/>
        <rFont val="Arial"/>
        <family val="2"/>
      </rPr>
      <t>.  See instructions.  If you are an individual,</t>
    </r>
  </si>
  <si>
    <r>
      <t xml:space="preserve">report farm rental income or loss from </t>
    </r>
    <r>
      <rPr>
        <b/>
        <sz val="10"/>
        <rFont val="Arial"/>
        <family val="2"/>
      </rPr>
      <t>Form 4835</t>
    </r>
    <r>
      <rPr>
        <sz val="10"/>
        <rFont val="Arial"/>
        <family val="2"/>
      </rPr>
      <t xml:space="preserve"> on page 2, line 40.</t>
    </r>
  </si>
  <si>
    <t xml:space="preserve">  Yes</t>
  </si>
  <si>
    <t xml:space="preserve">  No</t>
  </si>
  <si>
    <t>Physical address of each property (street, city, state, ZIP code)</t>
  </si>
  <si>
    <t>Single Family Residence</t>
  </si>
  <si>
    <t>Type of Property (from list below)</t>
  </si>
  <si>
    <t>For each rental real estate property listed 
above, report the number of fair rental and 
personal use days. Check the QJV box only
if you meet the requirements to file as a 
qualified joint venture. See instructions.</t>
  </si>
  <si>
    <t>Fair Rental
Days</t>
  </si>
  <si>
    <t>Personal Use
Days</t>
  </si>
  <si>
    <t>QJV</t>
  </si>
  <si>
    <t>Multi-Family Residence</t>
  </si>
  <si>
    <t>Vacation / S.T. Rental</t>
  </si>
  <si>
    <t>Error?</t>
  </si>
  <si>
    <t>Commercial</t>
  </si>
  <si>
    <t>Land</t>
  </si>
  <si>
    <t>Royalties</t>
  </si>
  <si>
    <t>Type of Property:</t>
  </si>
  <si>
    <t>Self-Rental</t>
  </si>
  <si>
    <t>Vacation/Short-Term Rental</t>
  </si>
  <si>
    <t>Other  (describe)</t>
  </si>
  <si>
    <t>Properties:</t>
  </si>
  <si>
    <t>Income:</t>
  </si>
  <si>
    <t>Rents received</t>
  </si>
  <si>
    <t>Royalties received</t>
  </si>
  <si>
    <t>Expenses:</t>
  </si>
  <si>
    <t>Advertising</t>
  </si>
  <si>
    <t>Auto and travel (see instructions)</t>
  </si>
  <si>
    <t>Cleaning and maintenance</t>
  </si>
  <si>
    <t>Commissions</t>
  </si>
  <si>
    <t>Insurance</t>
  </si>
  <si>
    <t>Legal and other professional fees</t>
  </si>
  <si>
    <t>Management fees</t>
  </si>
  <si>
    <t>Mortgage interest paid to banks, etc. (see instructions)</t>
  </si>
  <si>
    <t>Other interest</t>
  </si>
  <si>
    <t>Repairs</t>
  </si>
  <si>
    <t>Supplies</t>
  </si>
  <si>
    <t>Taxes</t>
  </si>
  <si>
    <t>Depreciation expense or depletion</t>
  </si>
  <si>
    <t>Overrides</t>
  </si>
  <si>
    <t>Other (list)</t>
  </si>
  <si>
    <t>Total expenses. Add lines 5 through 19</t>
  </si>
  <si>
    <t>Subtract line 20 from line 3 (rents) and/or 4 (royalties).</t>
  </si>
  <si>
    <t>If result is a (loss), see instructions to find out if you</t>
  </si>
  <si>
    <t>Gains</t>
  </si>
  <si>
    <t>Losses</t>
  </si>
  <si>
    <r>
      <t xml:space="preserve">must file </t>
    </r>
    <r>
      <rPr>
        <b/>
        <sz val="11"/>
        <rFont val="Arial"/>
        <family val="2"/>
      </rPr>
      <t>Form 6198</t>
    </r>
  </si>
  <si>
    <t>Line 21</t>
  </si>
  <si>
    <t>Deductible rental real estate loss after limitation, if any,</t>
  </si>
  <si>
    <t>Line 22</t>
  </si>
  <si>
    <r>
      <t xml:space="preserve">on </t>
    </r>
    <r>
      <rPr>
        <b/>
        <sz val="11"/>
        <rFont val="Arial"/>
        <family val="2"/>
      </rPr>
      <t>Form 8582</t>
    </r>
    <r>
      <rPr>
        <sz val="11"/>
        <rFont val="Arial"/>
        <family val="2"/>
      </rPr>
      <t xml:space="preserve"> (see instructions)</t>
    </r>
  </si>
  <si>
    <t>Royalty losses</t>
  </si>
  <si>
    <t>23a</t>
  </si>
  <si>
    <t>Total of all amounts reported on line 3 for all rental properties</t>
  </si>
  <si>
    <t>Rental Real Estate Losses</t>
  </si>
  <si>
    <t>Total of all amounts reported on line 4 for all royalty properties</t>
  </si>
  <si>
    <t>23b</t>
  </si>
  <si>
    <t>Total of all amounts reported on line 12 for all properties</t>
  </si>
  <si>
    <t>23c</t>
  </si>
  <si>
    <t>Total of all amounts reported on line 18 for all properties</t>
  </si>
  <si>
    <t>23d</t>
  </si>
  <si>
    <t>Total of all amounts reported on line 20 for all properties</t>
  </si>
  <si>
    <t>23e</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</si>
  <si>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</si>
  <si>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</si>
  <si>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r>
      <rPr>
        <b/>
        <sz val="11"/>
        <rFont val="Arial"/>
        <family val="2"/>
      </rPr>
      <t>Total rental real estate and royalty income or (loss).</t>
    </r>
    <r>
      <rPr>
        <sz val="11"/>
        <rFont val="Arial"/>
        <family val="2"/>
      </rPr>
      <t xml:space="preserve"> Combine lines 24 and 25. Enter the result</t>
    </r>
  </si>
  <si>
    <t>here. If Parts II, III, IV, and line 40 on page 2 do not apply to you, also enter this amount on</t>
  </si>
  <si>
    <t>Schedule 1 (Form 1040), line 5. Otherwise, include this amount in the total on line 41 on page 2</t>
  </si>
  <si>
    <t xml:space="preserve">.   . </t>
  </si>
  <si>
    <t>Cat. No. 11344L</t>
  </si>
  <si>
    <t>Name(s) shown on return.</t>
  </si>
  <si>
    <t>Do not enter name and social security number if shown on other side.</t>
  </si>
  <si>
    <r>
      <rPr>
        <b/>
        <sz val="12"/>
        <rFont val="Arial"/>
        <family val="2"/>
      </rPr>
      <t>Caution:</t>
    </r>
    <r>
      <rPr>
        <sz val="11"/>
        <rFont val="Arial"/>
        <family val="2"/>
      </rPr>
      <t xml:space="preserve"> The IRS compares amounts reported on your tax return with amounts shown on Schedule(s) K-1.</t>
    </r>
  </si>
  <si>
    <t>Income or Loss From Partnerships and S Corporations</t>
  </si>
  <si>
    <r>
      <rPr>
        <b/>
        <sz val="10"/>
        <rFont val="Arial"/>
        <family val="2"/>
      </rPr>
      <t>Note:</t>
    </r>
    <r>
      <rPr>
        <sz val="10"/>
        <rFont val="Arial"/>
        <family val="2"/>
      </rPr>
      <t xml:space="preserve">  If you report a loss, receive a distribution, dispose of stock, or receive a loan repayment from an S corporation, you </t>
    </r>
    <r>
      <rPr>
        <b/>
        <sz val="10"/>
        <rFont val="Arial"/>
        <family val="2"/>
      </rPr>
      <t>must</t>
    </r>
    <r>
      <rPr>
        <sz val="10"/>
        <rFont val="Arial"/>
        <family val="2"/>
      </rPr>
      <t xml:space="preserve"> check</t>
    </r>
  </si>
  <si>
    <r>
      <t xml:space="preserve">the box in column (e) on line 28 and attach the required basis computation. If you report a loss from an at-risk activity for which </t>
    </r>
    <r>
      <rPr>
        <b/>
        <sz val="10"/>
        <rFont val="Arial"/>
        <family val="2"/>
      </rPr>
      <t>any</t>
    </r>
    <r>
      <rPr>
        <sz val="10"/>
        <rFont val="Arial"/>
        <family val="2"/>
      </rPr>
      <t xml:space="preserve"> </t>
    </r>
  </si>
  <si>
    <r>
      <t xml:space="preserve">amount is not at risk, you must check the box in column </t>
    </r>
    <r>
      <rPr>
        <b/>
        <sz val="10"/>
        <rFont val="Arial"/>
        <family val="2"/>
      </rPr>
      <t>(f)</t>
    </r>
    <r>
      <rPr>
        <sz val="10"/>
        <rFont val="Arial"/>
        <family val="2"/>
      </rPr>
      <t xml:space="preserve"> on line 28 and attach </t>
    </r>
    <r>
      <rPr>
        <b/>
        <sz val="10"/>
        <rFont val="Arial"/>
        <family val="2"/>
      </rPr>
      <t>Form 6198</t>
    </r>
    <r>
      <rPr>
        <sz val="10"/>
        <rFont val="Arial"/>
        <family val="2"/>
      </rPr>
      <t xml:space="preserve"> (see instructions).</t>
    </r>
  </si>
  <si>
    <t>Are you reporting any loss not allowed in a prior year due to the at-risk or basis limitations, a prior year unallowed loss from a</t>
  </si>
  <si>
    <t>passive activity (if that loss was not reported on Form 8582), or unreimbursed partnership expenses?</t>
  </si>
  <si>
    <t>If you answered “Yes,” see instructions before completing this section</t>
  </si>
  <si>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</si>
  <si>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</si>
  <si>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</si>
  <si>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(e)</t>
    </r>
    <r>
      <rPr>
        <sz val="8"/>
        <rFont val="Arial"/>
        <family val="2"/>
      </rPr>
      <t xml:space="preserve"> Check if 
basis computation 
is required</t>
    </r>
  </si>
  <si>
    <r>
      <rPr>
        <b/>
        <sz val="8"/>
        <rFont val="Arial"/>
        <family val="2"/>
      </rPr>
      <t>(f)</t>
    </r>
    <r>
      <rPr>
        <sz val="8"/>
        <rFont val="Arial"/>
        <family val="2"/>
      </rPr>
      <t xml:space="preserve">  Check if 
any amount is 
not at risk</t>
    </r>
  </si>
  <si>
    <r>
      <rPr>
        <b/>
        <sz val="10"/>
        <rFont val="Arial"/>
        <family val="2"/>
      </rPr>
      <t>(a)</t>
    </r>
    <r>
      <rPr>
        <sz val="10"/>
        <rFont val="Arial"/>
        <family val="2"/>
      </rPr>
      <t xml:space="preserve">  Name</t>
    </r>
  </si>
  <si>
    <t>Passive Income and Loss</t>
  </si>
  <si>
    <t>Nonpassive Income and Loss</t>
  </si>
  <si>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</si>
  <si>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</si>
  <si>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(i)</t>
    </r>
    <r>
      <rPr>
        <sz val="9"/>
        <rFont val="Arial"/>
        <family val="2"/>
      </rPr>
      <t xml:space="preserve">  Nonpassive loss allowed
(see </t>
    </r>
    <r>
      <rPr>
        <b/>
        <sz val="9"/>
        <rFont val="Arial"/>
        <family val="2"/>
      </rPr>
      <t>Schedule K-1</t>
    </r>
    <r>
      <rPr>
        <sz val="9"/>
        <rFont val="Arial"/>
        <family val="2"/>
      </rPr>
      <t>)</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</si>
  <si>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</si>
  <si>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</si>
  <si>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29a</t>
  </si>
  <si>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</si>
  <si>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</si>
  <si>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</si>
  <si>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</si>
  <si>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</si>
  <si>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</si>
  <si>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</si>
  <si>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r>
      <rPr>
        <b/>
        <sz val="10"/>
        <rFont val="Arial"/>
        <family val="2"/>
      </rPr>
      <t>(d)</t>
    </r>
    <r>
      <rPr>
        <sz val="10"/>
        <rFont val="Arial"/>
        <family val="2"/>
      </rPr>
      <t xml:space="preserve"> Passive income
from </t>
    </r>
    <r>
      <rPr>
        <b/>
        <sz val="10"/>
        <rFont val="Arial"/>
        <family val="2"/>
      </rPr>
      <t>Schedule K-1</t>
    </r>
  </si>
  <si>
    <r>
      <rPr>
        <b/>
        <sz val="10"/>
        <rFont val="Arial"/>
        <family val="2"/>
      </rPr>
      <t>(e)</t>
    </r>
    <r>
      <rPr>
        <sz val="10"/>
        <rFont val="Arial"/>
        <family val="2"/>
      </rPr>
      <t xml:space="preserve"> Deduction or loss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</si>
  <si>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</si>
  <si>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</si>
  <si>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</si>
  <si>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</si>
  <si>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</si>
  <si>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</si>
  <si>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(a)</t>
    </r>
    <r>
      <rPr>
        <sz val="9"/>
        <rFont val="Arial"/>
        <family val="2"/>
      </rPr>
      <t xml:space="preserve">  Name</t>
    </r>
  </si>
  <si>
    <r>
      <rPr>
        <b/>
        <sz val="9"/>
        <rFont val="Arial"/>
        <family val="2"/>
      </rPr>
      <t>(b)</t>
    </r>
    <r>
      <rPr>
        <sz val="9"/>
        <rFont val="Arial"/>
        <family val="2"/>
      </rPr>
      <t xml:space="preserve"> Employer identification
number</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</si>
  <si>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</si>
  <si>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</si>
  <si>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</si>
  <si>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</si>
  <si>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</si>
  <si>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</si>
  <si>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r>
      <rPr>
        <b/>
        <sz val="11"/>
        <rFont val="Arial"/>
        <family val="2"/>
      </rPr>
      <t>Total income or (loss).</t>
    </r>
    <r>
      <rPr>
        <sz val="11"/>
        <rFont val="Arial"/>
        <family val="2"/>
      </rPr>
      <t xml:space="preserve"> Combine lines 26, 32, 37, 39, and 40. Enter the result here and on Schedule</t>
    </r>
  </si>
  <si>
    <t>1 (Form 1040), line 5</t>
  </si>
  <si>
    <r>
      <rPr>
        <b/>
        <sz val="12"/>
        <rFont val="Arial"/>
        <family val="2"/>
      </rPr>
      <t>Reconciliation of farming and fishing income.</t>
    </r>
    <r>
      <rPr>
        <sz val="11"/>
        <rFont val="Arial"/>
        <family val="2"/>
      </rPr>
      <t xml:space="preserve">  Enter your </t>
    </r>
    <r>
      <rPr>
        <b/>
        <sz val="11"/>
        <rFont val="Arial"/>
        <family val="2"/>
      </rPr>
      <t>gross</t>
    </r>
  </si>
  <si>
    <t>farming and fishing income reported on Form 4835, line 7; Schedule K-1</t>
  </si>
  <si>
    <t>Form 1065), box 14, code B; Schedule K-1 (Form 1120S), box 17, code</t>
  </si>
  <si>
    <t>AD; and Schedule K-1 (Form 1041), box 14, code F (see instructions)</t>
  </si>
  <si>
    <t xml:space="preserve"> . </t>
  </si>
  <si>
    <r>
      <rPr>
        <b/>
        <sz val="11"/>
        <rFont val="Arial"/>
        <family val="2"/>
      </rPr>
      <t>Reconciliation for real estate professionals.</t>
    </r>
    <r>
      <rPr>
        <sz val="11"/>
        <rFont val="Arial"/>
        <family val="2"/>
      </rPr>
      <t xml:space="preserve"> If you were a real estate</t>
    </r>
  </si>
  <si>
    <t>professional (see instructions),  enter the net income or (loss) you</t>
  </si>
  <si>
    <t>reported  anywhere on Form 1040, Form 1040-SR, or Form 1040-NR</t>
  </si>
  <si>
    <t>from all rental real estate activities in which you materially participated</t>
  </si>
  <si>
    <t>under the passive activity loss rules</t>
  </si>
  <si>
    <t>Type of Property (from list below</t>
  </si>
  <si>
    <t>Fair Rental Days</t>
  </si>
  <si>
    <t>Personal Use Days</t>
  </si>
  <si>
    <t>Other (describe)</t>
  </si>
  <si>
    <r>
      <rPr>
        <b/>
        <sz val="12"/>
        <rFont val="Arial"/>
        <family val="2"/>
      </rPr>
      <t>Caution:</t>
    </r>
    <r>
      <rPr>
        <sz val="12"/>
        <rFont val="Arial"/>
        <family val="2"/>
      </rPr>
      <t xml:space="preserve"> </t>
    </r>
    <r>
      <rPr>
        <sz val="11"/>
        <rFont val="Arial"/>
        <family val="2"/>
      </rPr>
      <t>The IRS compares amounts reported on your tax return with amounts shown on Schedule(s) K-1.</t>
    </r>
  </si>
  <si>
    <t>Total income or (loss). Combine lines 26, 32, 37, 39, and 40. Enter the result here and on Schedule</t>
  </si>
  <si>
    <t>1 (Form 1040), line 5.</t>
  </si>
  <si>
    <r>
      <rPr>
        <b/>
        <sz val="14"/>
        <rFont val="Arial"/>
        <family val="2"/>
      </rPr>
      <t>SCHEDULE F</t>
    </r>
    <r>
      <rPr>
        <b/>
        <sz val="11"/>
        <rFont val="Arial"/>
        <family val="2"/>
      </rPr>
      <t xml:space="preserve">
(Form 1040)</t>
    </r>
  </si>
  <si>
    <t>Use which SSN?</t>
  </si>
  <si>
    <t>Profit or Loss from Farming</t>
  </si>
  <si>
    <t>Attach to Form 1040, Form 1040-SR, Form 1040NR, Form 1041, or Form 1065.</t>
  </si>
  <si>
    <r>
      <t xml:space="preserve">Attachment
Sequence No. </t>
    </r>
    <r>
      <rPr>
        <b/>
        <sz val="12"/>
        <rFont val="Arial"/>
        <family val="2"/>
      </rPr>
      <t>14</t>
    </r>
  </si>
  <si>
    <t>Go to www.irs.gov/ScheduleF for instructions and the latest information.</t>
  </si>
  <si>
    <t>Your's</t>
  </si>
  <si>
    <t>Name of proprietor</t>
  </si>
  <si>
    <t xml:space="preserve"> Social security number (SSN)</t>
  </si>
  <si>
    <t>Your spouse's</t>
  </si>
  <si>
    <t>Principal crop or activity</t>
  </si>
  <si>
    <r>
      <rPr>
        <b/>
        <sz val="10"/>
        <rFont val="Arial"/>
        <family val="2"/>
      </rPr>
      <t>B</t>
    </r>
    <r>
      <rPr>
        <b/>
        <sz val="9"/>
        <rFont val="Arial"/>
        <family val="2"/>
      </rPr>
      <t xml:space="preserve">  Enter code from Part IV</t>
    </r>
  </si>
  <si>
    <r>
      <rPr>
        <b/>
        <sz val="10"/>
        <rFont val="Arial"/>
        <family val="2"/>
      </rPr>
      <t xml:space="preserve"> C</t>
    </r>
    <r>
      <rPr>
        <sz val="9"/>
        <rFont val="Arial"/>
        <family val="2"/>
      </rPr>
      <t xml:space="preserve">  Accounting method:</t>
    </r>
  </si>
  <si>
    <r>
      <t xml:space="preserve">D  Employer ID number (EIN), </t>
    </r>
    <r>
      <rPr>
        <sz val="8"/>
        <rFont val="Arial"/>
        <family val="2"/>
      </rPr>
      <t>(see instr)</t>
    </r>
  </si>
  <si>
    <t xml:space="preserve"> .   .   .   .   .   .   .   .   .   .   .   .   .   .   .   .   .   .   .   .   .   .   .   </t>
  </si>
  <si>
    <t>Farm Income—Cash Method.</t>
  </si>
  <si>
    <t>Complete Parts I and II (Accrual method. Complete Parts II and III, and Part I, line 9.)</t>
  </si>
  <si>
    <t>Sales of livestock and other resale items (see instructions)</t>
  </si>
  <si>
    <t xml:space="preserve">.   .   .   .   .   .   .   .   .   .   .   .   .   .   .   </t>
  </si>
  <si>
    <t>Cost or other basis of livestock or other items reported on line 1a</t>
  </si>
  <si>
    <t>Subtract line 1b from line 1a</t>
  </si>
  <si>
    <t xml:space="preserve">.   .   .   .   .   .   .   .   .   .   .   .   .   .   .   .   .   .   .   .   .   .   .   .   .   .   .   .   .   .   .   .   .   .   .   .   .   </t>
  </si>
  <si>
    <t>Sales of livestock, produce, grains, and other products you raised</t>
  </si>
  <si>
    <t xml:space="preserve">.   .   .   .   .   .   .   .   .   .   .   .   .   .   .   .   .   .   .   .   .   .   .   </t>
  </si>
  <si>
    <t>3a</t>
  </si>
  <si>
    <t>Cooperative distributions (Form(s) 1099-PATR)</t>
  </si>
  <si>
    <t>3b</t>
  </si>
  <si>
    <t>Agricultural program payments (see instructions)</t>
  </si>
  <si>
    <t>4b</t>
  </si>
  <si>
    <t>Commodity Credit Corporation (CCC) loans reported under election</t>
  </si>
  <si>
    <t xml:space="preserve">.   .   .   .   .   .   .   .   .   .   .   .   .   .   .   .   .   .   .   .   .   </t>
  </si>
  <si>
    <t>CCC loans forfeited</t>
  </si>
  <si>
    <t>Crop insurance proceeds and federal crop disaster payments (see instructions)</t>
  </si>
  <si>
    <t xml:space="preserve">.   .   .   .   .   .   .   .   .   .   .   .   .   .   </t>
  </si>
  <si>
    <t>Custom hire (machine work) income</t>
  </si>
  <si>
    <t xml:space="preserve">.   .   .   .   .   .   .   .   .   .   .   .   .   .   .   .   .   .   .   .   .   .   .   .   .   .   .   .   .   .   .   .   .   .   .   .   </t>
  </si>
  <si>
    <t>Other income, including federal and state gasoline or fuel tax credit or refund (see instructions)</t>
  </si>
  <si>
    <r>
      <rPr>
        <b/>
        <sz val="10"/>
        <rFont val="Arial"/>
        <family val="2"/>
      </rPr>
      <t xml:space="preserve">Gross income.  </t>
    </r>
    <r>
      <rPr>
        <sz val="10"/>
        <rFont val="Arial"/>
        <family val="2"/>
      </rPr>
      <t>Add amounts in the right column (lines 1c, 2, 3b, 4b, 5a, 5c, 6b, 6d, 7, and 8). If you use the</t>
    </r>
  </si>
  <si>
    <t>accrual method, enter the amount from Part III, line 50.  See instructions</t>
  </si>
  <si>
    <t>Farm Expenses—Cash and Accrual Method.</t>
  </si>
  <si>
    <t>Do not include personal or living expenses. See instructions.</t>
  </si>
  <si>
    <t>Car   and   truck  expenses   (see</t>
  </si>
  <si>
    <r>
      <t xml:space="preserve">instructions). Also attach </t>
    </r>
    <r>
      <rPr>
        <b/>
        <sz val="10"/>
        <rFont val="Arial"/>
        <family val="2"/>
      </rPr>
      <t>Form 4562</t>
    </r>
  </si>
  <si>
    <t>Chemicals</t>
  </si>
  <si>
    <t>Vehicles, machinery, equipment</t>
  </si>
  <si>
    <t>Conservation expenses (see instructions)</t>
  </si>
  <si>
    <t>Other (land, animals, etc.)</t>
  </si>
  <si>
    <t>Custom hire (machine work)</t>
  </si>
  <si>
    <t xml:space="preserve"> .   .   .   .   .   . </t>
  </si>
  <si>
    <t>Depreciation and section 179</t>
  </si>
  <si>
    <t>Seeds and plants</t>
  </si>
  <si>
    <t>expense (see instructions)</t>
  </si>
  <si>
    <t xml:space="preserve">   .   .   .   .   .   .   .   .</t>
  </si>
  <si>
    <t>Storage and warehousing</t>
  </si>
  <si>
    <t>Employee benefit programs other than</t>
  </si>
  <si>
    <t>on line 23</t>
  </si>
  <si>
    <t xml:space="preserve"> .   .   .   .   .   .   .   .   .   .   .   .   .   . </t>
  </si>
  <si>
    <t>Feed</t>
  </si>
  <si>
    <t xml:space="preserve">   .   .   .   .   .   .   .   .   .   .   .   .   .   .   .   .   .   . </t>
  </si>
  <si>
    <t>Fertilizers and lime</t>
  </si>
  <si>
    <t xml:space="preserve"> .   .   .   .   .   .   .   .   .   .   . </t>
  </si>
  <si>
    <t>Veterinary, breeding, and medicine</t>
  </si>
  <si>
    <t>Freight and trucking</t>
  </si>
  <si>
    <t>Other expenses (specify):</t>
  </si>
  <si>
    <t>Gasoline, fuel, and oil</t>
  </si>
  <si>
    <t>.   .   .   .   .   .   .</t>
  </si>
  <si>
    <t>32c</t>
  </si>
  <si>
    <t>21a</t>
  </si>
  <si>
    <t>32d</t>
  </si>
  <si>
    <t>21b</t>
  </si>
  <si>
    <t>32e</t>
  </si>
  <si>
    <t>Labor hired (less employment credits)</t>
  </si>
  <si>
    <t>32f</t>
  </si>
  <si>
    <r>
      <t xml:space="preserve">Total expenses.  </t>
    </r>
    <r>
      <rPr>
        <sz val="10"/>
        <rFont val="Arial"/>
        <family val="2"/>
      </rPr>
      <t>Add lines 10 through 32f. If line 32f is negative, see instructions</t>
    </r>
  </si>
  <si>
    <t xml:space="preserve">.   .   .   .   .   .   .   .   .   .   .   .   .   </t>
  </si>
  <si>
    <r>
      <rPr>
        <b/>
        <sz val="10"/>
        <rFont val="Arial"/>
        <family val="2"/>
      </rPr>
      <t>Net farm profit or (loss).</t>
    </r>
    <r>
      <rPr>
        <sz val="10"/>
        <rFont val="Arial"/>
        <family val="2"/>
      </rPr>
      <t xml:space="preserve"> Subtract line 33 from line 9</t>
    </r>
  </si>
  <si>
    <t>If a profit, stop here and see instructions for where to report. If a loss, complete lines 35 and 36.</t>
  </si>
  <si>
    <t>Reserved for future use.</t>
  </si>
  <si>
    <t>Check the box that describes your investment in this activity and see instructions for where to report your loss.</t>
  </si>
  <si>
    <t>All investment is at risk.</t>
  </si>
  <si>
    <t>Some investment is not at risk.</t>
  </si>
  <si>
    <t>Cat. No. 11346H</t>
  </si>
  <si>
    <t>Sales of livestock, produce, grains, and other products (see instructions)</t>
  </si>
  <si>
    <t>38a</t>
  </si>
  <si>
    <t xml:space="preserve">.   .   .   .   .   </t>
  </si>
  <si>
    <t>38b</t>
  </si>
  <si>
    <t>39a</t>
  </si>
  <si>
    <t>Agricultural program payments</t>
  </si>
  <si>
    <t>39b</t>
  </si>
  <si>
    <t>Commodity Credit Corporation (CCC) loans:</t>
  </si>
  <si>
    <t>CCC loans reported under election</t>
  </si>
  <si>
    <t>40a</t>
  </si>
  <si>
    <t>40b</t>
  </si>
  <si>
    <t>40c</t>
  </si>
  <si>
    <t>Crop insurance proceeds</t>
  </si>
  <si>
    <t xml:space="preserve">.   .   .   .   .   .   .   .   .   .   .   .   .   .   .   .   .   .   .   .   .   .   .   .   .   .   .   .   .   .   .   .   .   .   .   .   .   .   .   .   .   .   </t>
  </si>
  <si>
    <t>Other income (see instructions)</t>
  </si>
  <si>
    <t xml:space="preserve">.   .   .   .   .   .   .   .   .   .   .   .   .   .   .   .   .   .   .   .   .   .   .   .   .   .   .   .   .   .   .   .   .   .   .   .   .   .   .   </t>
  </si>
  <si>
    <t>Add amounts in the right column for lines 37 through 43 (lines 37, 38b, 39b, 40a, 40c, 41, 42, and 43)</t>
  </si>
  <si>
    <t>Cost of livestock, produce, grains, and other products purchased during the</t>
  </si>
  <si>
    <t>year</t>
  </si>
  <si>
    <t xml:space="preserve">.   .   .   .   .   .   .   .   .   .   .   .   .   .   .   .   .   .   .   .   .   .   .   .   .   .   .   .   .   .   .   .   .   .   .   .   .   .   .   .   .   .  </t>
  </si>
  <si>
    <t>Add lines 45 and 46</t>
  </si>
  <si>
    <t>Inventory of livestock, produce, grains, and other products at end of year</t>
  </si>
  <si>
    <t>Cost of livestock, produce, grains, and other products sold. Subtract line 48 from line 47*</t>
  </si>
  <si>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</si>
  <si>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</si>
  <si>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 xml:space="preserve">  Principal Agricultural Activity Codes</t>
  </si>
  <si>
    <t>Fruit and tree nut farming</t>
  </si>
  <si>
    <t>Greenhouse, nursery, and floriculture production</t>
  </si>
  <si>
    <t>• Income from providing agricultural services such as</t>
  </si>
  <si>
    <t>Other crop farming</t>
  </si>
  <si>
    <t>Animal Production</t>
  </si>
  <si>
    <t>Beef cattle ranching and farming</t>
  </si>
  <si>
    <t>Cattle feedlots</t>
  </si>
  <si>
    <t>• Income from breeding, raising, or caring for dogs, cats, or</t>
  </si>
  <si>
    <t>Dairy cattle and milk production</t>
  </si>
  <si>
    <t>Hog and pig farming</t>
  </si>
  <si>
    <t>• Sales of livestock held for draft, breeding, sport, or dairy</t>
  </si>
  <si>
    <t>Poultry and egg production</t>
  </si>
  <si>
    <t>Sheep and goat farming</t>
  </si>
  <si>
    <t>These codes for the Principal Agricultural Activity classify</t>
  </si>
  <si>
    <t>Aquaculture</t>
  </si>
  <si>
    <t>farms by their primary activity to facilitate the administration of</t>
  </si>
  <si>
    <t>Other animal production</t>
  </si>
  <si>
    <t>the Internal Revenue Code. These six-digit codes are based on</t>
  </si>
  <si>
    <t>Forestry and Logging</t>
  </si>
  <si>
    <t>the North American Industry Classification System (NAICS).</t>
  </si>
  <si>
    <t>Forestry and logging (including forest nurseries and</t>
  </si>
  <si>
    <t>Select the code that best identifies your primary farming</t>
  </si>
  <si>
    <t>timber tracts)</t>
  </si>
  <si>
    <t>activity and enter the six-digit number on line B.</t>
  </si>
  <si>
    <t>Timber tract operations</t>
  </si>
  <si>
    <t>Crop Production</t>
  </si>
  <si>
    <t>Forest nurseries and gathering of forest products</t>
  </si>
  <si>
    <t>Oilseed and grain farming</t>
  </si>
  <si>
    <t>Logging</t>
  </si>
  <si>
    <t>Vegetable and melon farming</t>
  </si>
  <si>
    <t>Download Form 1040 Schedule F</t>
  </si>
  <si>
    <t>Download Form 1040 Schedule F Instructions</t>
  </si>
  <si>
    <t xml:space="preserve">Under age 65? </t>
  </si>
  <si>
    <t>Only one.</t>
  </si>
  <si>
    <t>Schedule R
(Form 1040)</t>
  </si>
  <si>
    <t>Credit for the Elderly or the Disabled</t>
  </si>
  <si>
    <r>
      <t xml:space="preserve">Attachment
Sequence No. </t>
    </r>
    <r>
      <rPr>
        <b/>
        <sz val="12"/>
        <rFont val="Arial"/>
        <family val="2"/>
      </rPr>
      <t>16</t>
    </r>
  </si>
  <si>
    <t>Department of the Treasury
Internal Revenue Service</t>
  </si>
  <si>
    <t>Go to www.irs.gov/ScheduleR for instructions and latest information.</t>
  </si>
  <si>
    <t>Name(s) shown on Form 1040</t>
  </si>
  <si>
    <t xml:space="preserve">• </t>
  </si>
  <si>
    <t>You were age 65 or older</t>
  </si>
  <si>
    <r>
      <t xml:space="preserve">You were under age 65, you retired on </t>
    </r>
    <r>
      <rPr>
        <b/>
        <sz val="9"/>
        <rFont val="Arial"/>
        <family val="2"/>
      </rPr>
      <t xml:space="preserve">permanent and total </t>
    </r>
    <r>
      <rPr>
        <sz val="9"/>
        <rFont val="Arial"/>
        <family val="2"/>
      </rPr>
      <t>disability, and</t>
    </r>
  </si>
  <si>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</si>
  <si>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</si>
  <si>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</si>
  <si>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</si>
  <si>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</si>
  <si>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</si>
  <si>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</si>
  <si>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You were 65 or older</t>
  </si>
  <si>
    <t>Head of household, or</t>
  </si>
  <si>
    <t>To override,</t>
  </si>
  <si>
    <t>Qualifying surviving spouse</t>
  </si>
  <si>
    <t>You were under 65 and you retired on permanent and total disability</t>
  </si>
  <si>
    <t>enter number</t>
  </si>
  <si>
    <t>of box to be</t>
  </si>
  <si>
    <t>checked.</t>
  </si>
  <si>
    <t>Both spouses were 65 or older</t>
  </si>
  <si>
    <t>Both spouses were under 65, but only one spouse retired on permanent and</t>
  </si>
  <si>
    <t>total disability</t>
  </si>
  <si>
    <t>Both spouses were under 65, and both retired on permanent and total</t>
  </si>
  <si>
    <t>jointly</t>
  </si>
  <si>
    <t>disability</t>
  </si>
  <si>
    <t>One spouse was 65 or older, and the other spouse was under 65 and retired</t>
  </si>
  <si>
    <t>on permanent and total disability</t>
  </si>
  <si>
    <t>One spouse was 65 or older, and the other spouse was under 65 and not</t>
  </si>
  <si>
    <t>retired on permanent and total disability</t>
  </si>
  <si>
    <t>separately</t>
  </si>
  <si>
    <t>You were under 65, you retired on permanent and total disability, and you</t>
  </si>
  <si>
    <t>Did you check</t>
  </si>
  <si>
    <t>—————</t>
  </si>
  <si>
    <t>——————————</t>
  </si>
  <si>
    <t xml:space="preserve">  Skip Part II and complete Part III on the back.</t>
  </si>
  <si>
    <t>box 1, 3, 7 or 8?</t>
  </si>
  <si>
    <t xml:space="preserve">  Complete Parts II and III.</t>
  </si>
  <si>
    <t xml:space="preserve">   Statement of Permanent and Total Disability</t>
  </si>
  <si>
    <r>
      <t xml:space="preserve">(Complete </t>
    </r>
    <r>
      <rPr>
        <b/>
        <sz val="10"/>
        <rFont val="Arial"/>
        <family val="2"/>
      </rPr>
      <t>only</t>
    </r>
    <r>
      <rPr>
        <sz val="10"/>
        <rFont val="Arial"/>
        <family val="2"/>
      </rPr>
      <t xml:space="preserve"> if you checked box 2, 4, 5, 6, or 9 above.)</t>
    </r>
  </si>
  <si>
    <t>If:</t>
  </si>
  <si>
    <t>You filed a physician’s statement for this disability for 1983 or an earlier year, or you filed or got a</t>
  </si>
  <si>
    <r>
      <t xml:space="preserve">statement for tax years after 1983 and your physician signed line B on the statement, </t>
    </r>
    <r>
      <rPr>
        <b/>
        <sz val="11"/>
        <rFont val="Arial"/>
        <family val="2"/>
      </rPr>
      <t>and</t>
    </r>
  </si>
  <si>
    <t>Due to your continued disabled condition, you were unable to engage in any substantial gainful activity</t>
  </si>
  <si>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</si>
  <si>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t>keep the statement for your records.</t>
  </si>
  <si>
    <t xml:space="preserve">Cat. No. 11359K </t>
  </si>
  <si>
    <t xml:space="preserve">   Figure Your Credit</t>
  </si>
  <si>
    <t>If you checked (in Part I):</t>
  </si>
  <si>
    <t>Enter:</t>
  </si>
  <si>
    <t>Box 1, 2, 4, or 7</t>
  </si>
  <si>
    <t>Box 3, 5, or 6</t>
  </si>
  <si>
    <t>Box 8 or 9</t>
  </si>
  <si>
    <t xml:space="preserve"> Did you check</t>
  </si>
  <si>
    <r>
      <t xml:space="preserve">You </t>
    </r>
    <r>
      <rPr>
        <b/>
        <sz val="9"/>
        <rFont val="Arial"/>
        <family val="2"/>
      </rPr>
      <t>must</t>
    </r>
    <r>
      <rPr>
        <sz val="9"/>
        <rFont val="Arial"/>
        <family val="2"/>
      </rPr>
      <t xml:space="preserve"> complete line 11.</t>
    </r>
  </si>
  <si>
    <t xml:space="preserve"> box 2, 4, 5, 6,</t>
  </si>
  <si>
    <t xml:space="preserve"> or 9 in Part I?</t>
  </si>
  <si>
    <t>spouse who was under age 65. Enter the total.</t>
  </si>
  <si>
    <t>Box 2, 4, or 9, enter your taxable disability income.</t>
  </si>
  <si>
    <t>Box 5, add your taxable disability income to your spouse’s</t>
  </si>
  <si>
    <t>taxable disability income. Enter the total.</t>
  </si>
  <si>
    <t>amount from line 10</t>
  </si>
  <si>
    <t>Enter the following pensions, annuities, or disability income that</t>
  </si>
  <si>
    <t>Nontaxable part of social security benefits and nontaxable part</t>
  </si>
  <si>
    <t>of railroad retirement benefits treated as social security (see</t>
  </si>
  <si>
    <t xml:space="preserve">.   .   .   .   .   .   .   .   .   .   .   .   .   .   .   .   .   .   .   .   .   .   .   .   .   .   .   .   .   .   .   .  </t>
  </si>
  <si>
    <t>Nontaxable veterans’ pensions and any other pension, annuity,</t>
  </si>
  <si>
    <t>or disability benefit that is excluded from income under any</t>
  </si>
  <si>
    <t>other provision of law (see instructions)</t>
  </si>
  <si>
    <t>Add lines 13a and 13b. (Even though these income items aren’t</t>
  </si>
  <si>
    <t>didn’t receive any of the types of nontaxable income listed on</t>
  </si>
  <si>
    <t>line 13a or 13b, enter -0- on line 13c</t>
  </si>
  <si>
    <t>Enter the amount from Form 1040,</t>
  </si>
  <si>
    <t>line 11</t>
  </si>
  <si>
    <t>Box 1 or 2</t>
  </si>
  <si>
    <t>Box 3, 4, 5, 6, or 7</t>
  </si>
  <si>
    <t>Subtract line 15 from line 14. If zero or</t>
  </si>
  <si>
    <t>less, enter -0-</t>
  </si>
  <si>
    <t>Enter one-half of line 16</t>
  </si>
  <si>
    <t>Add lines 13c and 17</t>
  </si>
  <si>
    <t>Subtract line 18 from line 12.</t>
  </si>
  <si>
    <t>Otherwise,</t>
  </si>
  <si>
    <t>go to line 20</t>
  </si>
  <si>
    <t xml:space="preserve">.   .   .   .   .   .   .   .   .   .   .   .   .   .   .   .   .   .   .   .   .   .   .   .   .   .   .   .   .   .   .   .   .   .   .   .   .   .   .  </t>
  </si>
  <si>
    <t>Tax liability limit. Enter the amount from the Credit Limit Worksheet in the instructions</t>
  </si>
  <si>
    <t>this amount on Schedule 3 (Form 1040), line 6d</t>
  </si>
  <si>
    <t>Credit Limit Worksheet—Line 21</t>
  </si>
  <si>
    <t>Keep for your records</t>
  </si>
  <si>
    <t>Download Form 1040 Schedule R</t>
  </si>
  <si>
    <t>Use this worksheet to figure your credit limit.</t>
  </si>
  <si>
    <t>Enter the amount from Form 1040, line 18</t>
  </si>
  <si>
    <t>Download Form 1040 Schedule R Instructions</t>
  </si>
  <si>
    <t>Enter the amount from Schedule 3 (Form 1040), lines 1, 2, and 6l</t>
  </si>
  <si>
    <t>.   .   .   .</t>
  </si>
  <si>
    <t>Subtract line 2 from line 1. Enter this amount on Schedule R (Form 1040),</t>
  </si>
  <si>
    <t xml:space="preserve">line 21. </t>
  </si>
  <si>
    <r>
      <t xml:space="preserve">But if zero or less, </t>
    </r>
    <r>
      <rPr>
        <b/>
        <sz val="9"/>
        <rFont val="Arial"/>
        <family val="2"/>
      </rPr>
      <t>STOP</t>
    </r>
    <r>
      <rPr>
        <sz val="9"/>
        <rFont val="Arial"/>
        <family val="2"/>
      </rPr>
      <t>, you can't take this credit</t>
    </r>
  </si>
  <si>
    <t>.   .   .   .   .</t>
  </si>
  <si>
    <t>NOTE:  This sheet includes 2 Schedule SE forms.</t>
  </si>
  <si>
    <t>SCHEDULE SE</t>
  </si>
  <si>
    <t>Schedule SE #1</t>
  </si>
  <si>
    <t>Self-Employment Tax</t>
  </si>
  <si>
    <t>This Schedule SE is being completed for:</t>
  </si>
  <si>
    <r>
      <t xml:space="preserve">Attachment
Sequence No. </t>
    </r>
    <r>
      <rPr>
        <b/>
        <sz val="12"/>
        <rFont val="Arial"/>
        <family val="2"/>
      </rPr>
      <t>17</t>
    </r>
  </si>
  <si>
    <t xml:space="preserve">  Yourself</t>
  </si>
  <si>
    <t>Name of person with self-employment income (as shown on Form 1040 or 1040-NR)</t>
  </si>
  <si>
    <r>
      <t xml:space="preserve">Manual
Overide </t>
    </r>
    <r>
      <rPr>
        <b/>
        <sz val="10"/>
        <rFont val="Wingdings"/>
        <charset val="2"/>
      </rPr>
      <t>ê</t>
    </r>
  </si>
  <si>
    <t>Note: Information from these check boxes are used in:  
Sch. SE, Section B, Line 8a, and  
Form 2441, Lines 4 and 5.</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</si>
  <si>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</si>
  <si>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</si>
  <si>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r>
      <t xml:space="preserve">If you are a minister, member of a religious order, or Christian Science practitioner </t>
    </r>
    <r>
      <rPr>
        <b/>
        <sz val="10"/>
        <rFont val="Arial"/>
        <family val="2"/>
      </rPr>
      <t>and</t>
    </r>
    <r>
      <rPr>
        <sz val="10"/>
        <rFont val="Arial"/>
        <family val="2"/>
      </rPr>
      <t xml:space="preserve"> you filed Form 4361, but you had</t>
    </r>
  </si>
  <si>
    <r>
      <rPr>
        <b/>
        <sz val="10"/>
        <rFont val="Arial"/>
        <family val="2"/>
      </rPr>
      <t>other</t>
    </r>
    <r>
      <rPr>
        <sz val="10"/>
        <rFont val="Arial"/>
        <family val="2"/>
      </rPr>
      <t xml:space="preserve"> net earnings</t>
    </r>
  </si>
  <si>
    <t>from self-employment, check here and continue with Part I</t>
  </si>
  <si>
    <t>Skip lines 1a and 1b if you use the farm optional method in Part II. See instructions.</t>
  </si>
  <si>
    <t>Net farm profit or (loss) from Schedule F, line 34, and farm partnerships, Schedule K-1 (Form 1065),</t>
  </si>
  <si>
    <r>
      <t xml:space="preserve">For </t>
    </r>
    <r>
      <rPr>
        <b/>
        <sz val="10"/>
        <rFont val="Arial"/>
        <family val="2"/>
      </rPr>
      <t>line 1a</t>
    </r>
    <r>
      <rPr>
        <sz val="10"/>
        <rFont val="Arial"/>
        <family val="2"/>
      </rPr>
      <t>, enter amount from Sch. K-1 (Form 1065),</t>
    </r>
  </si>
  <si>
    <t>box 14, code A</t>
  </si>
  <si>
    <t xml:space="preserve">.   .   .   .   .   .   .   .   .   .   .   .   .   .   .   .   .   .   .   .   .   .   .   .   .   .   .   .   .   .   .   .   . </t>
  </si>
  <si>
    <t>box 14, code A (for farm partnerships)</t>
  </si>
  <si>
    <t>If you received social security retirement or disability benefits, enter the amount of Conservation Reserve</t>
  </si>
  <si>
    <r>
      <t xml:space="preserve">For </t>
    </r>
    <r>
      <rPr>
        <b/>
        <sz val="10"/>
        <rFont val="Arial"/>
        <family val="2"/>
      </rPr>
      <t>line 1b</t>
    </r>
    <r>
      <rPr>
        <sz val="10"/>
        <rFont val="Arial"/>
        <family val="2"/>
      </rPr>
      <t>, enter amount of Conservation Reserve Program payments</t>
    </r>
  </si>
  <si>
    <t>Program paymts included on Schedule F, line 4b, or listed on Schedule K-1 (Form 1065), box 20, code AH</t>
  </si>
  <si>
    <t>from Sch. F, line 4b, or Sch. K-1, box 20, code AH</t>
  </si>
  <si>
    <t>Skip line 2 if you use the nonfarm optional method in Part II. See instructions.</t>
  </si>
  <si>
    <t>Net profit or (loss) from Schedule C, line 31; and Schedule K-1 (Form 1065), box 14, code A (other than</t>
  </si>
  <si>
    <r>
      <t xml:space="preserve">For </t>
    </r>
    <r>
      <rPr>
        <b/>
        <sz val="10"/>
        <rFont val="Arial"/>
        <family val="2"/>
      </rPr>
      <t>line 2</t>
    </r>
    <r>
      <rPr>
        <sz val="10"/>
        <rFont val="Arial"/>
        <family val="2"/>
      </rPr>
      <t>, enter amount from Sch. K-1 (Form 1065),</t>
    </r>
  </si>
  <si>
    <t>farming). See instructions for other income to report or if you are a minister or member of a religious order</t>
  </si>
  <si>
    <t>box 14, code A (other than farming)</t>
  </si>
  <si>
    <t xml:space="preserve">Combine lines 1a, 1b, and 2. </t>
  </si>
  <si>
    <t>Otherwise, enter the amount from line 3</t>
  </si>
  <si>
    <t>If you elect one or both of the optional methods, enter the total of lines 15 and 17 here</t>
  </si>
  <si>
    <t>No CEI and 4c&lt;$400</t>
  </si>
  <si>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</si>
  <si>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t>CEI and 4c&lt;$400</t>
  </si>
  <si>
    <r>
      <t>you had c</t>
    </r>
    <r>
      <rPr>
        <b/>
        <sz val="10"/>
        <rFont val="Arial"/>
        <family val="2"/>
      </rPr>
      <t>hurch employee income</t>
    </r>
    <r>
      <rPr>
        <sz val="10"/>
        <rFont val="Arial"/>
        <family val="2"/>
      </rPr>
      <t>, enter -0- and continue</t>
    </r>
  </si>
  <si>
    <t>4c</t>
  </si>
  <si>
    <r>
      <t>Enter your</t>
    </r>
    <r>
      <rPr>
        <b/>
        <sz val="10"/>
        <rFont val="Arial"/>
        <family val="2"/>
      </rPr>
      <t xml:space="preserve">  church employee income</t>
    </r>
    <r>
      <rPr>
        <sz val="10"/>
        <rFont val="Arial"/>
        <family val="2"/>
      </rPr>
      <t xml:space="preserve">  from Form W-2.</t>
    </r>
  </si>
  <si>
    <t>See instructions for</t>
  </si>
  <si>
    <t>definition of church employee income</t>
  </si>
  <si>
    <t>Add lines 4c and 5b</t>
  </si>
  <si>
    <t>Maximum amount of combined wages and self-employment earnings subject to social security tax or</t>
  </si>
  <si>
    <t>Line</t>
  </si>
  <si>
    <t>Source</t>
  </si>
  <si>
    <t>Sch. F Line 34</t>
  </si>
  <si>
    <t>Total social security wages and tips (total of boxes 3 and 7 on Form(s) W-2)</t>
  </si>
  <si>
    <t>Railroad retirement 
(tier 1) compensation</t>
  </si>
  <si>
    <t>Sch. C1 &amp; C2 Line 31</t>
  </si>
  <si>
    <t>8a.</t>
  </si>
  <si>
    <t>W-2 SS W&amp;T</t>
  </si>
  <si>
    <t>lines 8b through 10, and go to line 11</t>
  </si>
  <si>
    <t>Sch C1 &amp; C2 St Emp</t>
  </si>
  <si>
    <t>Unreported tips subject to social security tax from Form 4137, line 10</t>
  </si>
  <si>
    <t>Wages subject to social security tax from Form 8919, line 10</t>
  </si>
  <si>
    <t>Add lines 8a, 8b, and 8c</t>
  </si>
  <si>
    <t>Subtract line 8d from line 7. If zero or less, enter -0- here and on line 10 and go to line 11</t>
  </si>
  <si>
    <t>Input to Form 2441</t>
  </si>
  <si>
    <r>
      <t xml:space="preserve">Multiply the  </t>
    </r>
    <r>
      <rPr>
        <b/>
        <sz val="10"/>
        <rFont val="Arial"/>
        <family val="2"/>
      </rPr>
      <t>smaller</t>
    </r>
    <r>
      <rPr>
        <sz val="10"/>
        <rFont val="Arial"/>
        <family val="2"/>
      </rPr>
      <t xml:space="preserve">  of  line 6  or  line 9 by</t>
    </r>
  </si>
  <si>
    <t>Line 3</t>
  </si>
  <si>
    <r>
      <rPr>
        <b/>
        <sz val="10"/>
        <rFont val="Arial"/>
        <family val="2"/>
      </rPr>
      <t>Self-employment tax.</t>
    </r>
    <r>
      <rPr>
        <sz val="10"/>
        <rFont val="Arial"/>
        <family val="2"/>
      </rPr>
      <t xml:space="preserve"> Add lines 10 and 11. Enter here and on </t>
    </r>
    <r>
      <rPr>
        <b/>
        <sz val="10"/>
        <rFont val="Arial"/>
        <family val="2"/>
      </rPr>
      <t>Schedule 2 (Form 1040), line 4</t>
    </r>
  </si>
  <si>
    <t>Clergy or Church Employee Income</t>
  </si>
  <si>
    <t>Deduction for one-half of self-employment tax.</t>
  </si>
  <si>
    <r>
      <t xml:space="preserve">Enter the result here and on </t>
    </r>
    <r>
      <rPr>
        <b/>
        <sz val="10"/>
        <rFont val="Arial"/>
        <family val="2"/>
      </rPr>
      <t>Schedule 1  (1040),</t>
    </r>
  </si>
  <si>
    <t>line 15</t>
  </si>
  <si>
    <t>Sch. SE 1</t>
  </si>
  <si>
    <t>Sch. SE 2</t>
  </si>
  <si>
    <r>
      <t xml:space="preserve">   Optional Methods To Figure Net Earnings </t>
    </r>
    <r>
      <rPr>
        <sz val="11"/>
        <rFont val="Arial"/>
        <family val="2"/>
      </rPr>
      <t>(see instructions)</t>
    </r>
  </si>
  <si>
    <t>Sch. C1 Line 31</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</si>
  <si>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</si>
  <si>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Sch. C2 Line 31</t>
  </si>
  <si>
    <t>Maximum income for optional methods</t>
  </si>
  <si>
    <t>Sch C1 St Emp</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</si>
  <si>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</si>
  <si>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</si>
  <si>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t>Sch C2 St Emp</t>
  </si>
  <si>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</si>
  <si>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</si>
  <si>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</si>
  <si>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</si>
  <si>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Subtract line 15 from line 14</t>
  </si>
  <si>
    <t xml:space="preserve"> .   .   .   .   .   .   .   .   .   .   .   .   .   .   .   .   .   .   .   .   .   .   .   .   .   .   . </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</si>
  <si>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</si>
  <si>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</si>
  <si>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t>From Sch. F, line 9, and Sch. K-1 (Form 1065), box 14, code B.</t>
  </si>
  <si>
    <t>From Sch. C, line 31; and Sch. K-1 (Form 1065), box 14, code A.</t>
  </si>
  <si>
    <t>From Sch. F, line 34, and Sch. K-1 (Form 1065),  box 14, code A - minus the amount you would've entered on line 1b had you not used the optional method.</t>
  </si>
  <si>
    <t>From Sch. C, line 7; and Sch. K-1 (Form 1065), box 14, code C.</t>
  </si>
  <si>
    <t>Cat. No. 11358Z</t>
  </si>
  <si>
    <t>Schedule SE #2</t>
  </si>
  <si>
    <t>Program paymnts included on Schedule F, line 4b, or listed on Schedule K-1 (Form 1065), box 20, code AH</t>
  </si>
  <si>
    <r>
      <t xml:space="preserve">you had </t>
    </r>
    <r>
      <rPr>
        <b/>
        <sz val="10"/>
        <rFont val="Arial"/>
        <family val="2"/>
      </rPr>
      <t>church employee income</t>
    </r>
    <r>
      <rPr>
        <sz val="10"/>
        <rFont val="Arial"/>
        <family val="2"/>
      </rPr>
      <t>, enter -0- and continue</t>
    </r>
  </si>
  <si>
    <t>TOTAL Clergy or Church Employee Income</t>
  </si>
  <si>
    <t>Sch. SE #1 Line 12</t>
  </si>
  <si>
    <t>Sch. SE #2 Line 12</t>
  </si>
  <si>
    <t>Yourself</t>
  </si>
  <si>
    <t>Both</t>
  </si>
  <si>
    <t>Sch. SE #1 Line 13</t>
  </si>
  <si>
    <t>Sch. SE #2 Line 13</t>
  </si>
  <si>
    <t>Grand Total</t>
  </si>
  <si>
    <t xml:space="preserve"> &gt; to Sch. 1, line 15</t>
  </si>
  <si>
    <t>Download Form 1040 Schedule SE</t>
  </si>
  <si>
    <t>Download Form 1040 Schedule SE Instructions</t>
  </si>
  <si>
    <r>
      <rPr>
        <sz val="9"/>
        <rFont val="Arial"/>
        <family val="2"/>
      </rPr>
      <t>Form</t>
    </r>
    <r>
      <rPr>
        <sz val="10"/>
        <rFont val="Arial"/>
        <family val="2"/>
      </rPr>
      <t xml:space="preserve"> </t>
    </r>
    <r>
      <rPr>
        <b/>
        <sz val="24"/>
        <rFont val="Arial"/>
        <family val="2"/>
      </rPr>
      <t>1116</t>
    </r>
  </si>
  <si>
    <t>Foreign Tax Credit</t>
  </si>
  <si>
    <t>OMB No. 1545-0121</t>
  </si>
  <si>
    <t>(Individual, Estate, or Trust)</t>
  </si>
  <si>
    <t>Attach to Form 1040, 1040-SR, 1040-NR, 1041, or 990-T.</t>
  </si>
  <si>
    <r>
      <t xml:space="preserve">Go to </t>
    </r>
    <r>
      <rPr>
        <b/>
        <i/>
        <sz val="9"/>
        <rFont val="Arial"/>
        <family val="2"/>
      </rPr>
      <t>www.irs.gov/Form1116</t>
    </r>
    <r>
      <rPr>
        <b/>
        <sz val="9"/>
        <rFont val="Arial"/>
        <family val="2"/>
      </rPr>
      <t xml:space="preserve"> for instructions and the latest information.</t>
    </r>
  </si>
  <si>
    <t>Name</t>
  </si>
  <si>
    <r>
      <rPr>
        <b/>
        <sz val="8"/>
        <rFont val="Arial"/>
        <family val="2"/>
      </rPr>
      <t>Identifying number</t>
    </r>
    <r>
      <rPr>
        <sz val="8"/>
        <rFont val="Arial"/>
        <family val="2"/>
      </rPr>
      <t xml:space="preserve"> as shown on page 1 of your tax return</t>
    </r>
  </si>
  <si>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</si>
  <si>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</si>
  <si>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</si>
  <si>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</si>
  <si>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Section 951A income</t>
  </si>
  <si>
    <t>Passive category income</t>
  </si>
  <si>
    <t>Section 901(j) income</t>
  </si>
  <si>
    <t>Lump-sum distributions</t>
  </si>
  <si>
    <t>Foreign branch income</t>
  </si>
  <si>
    <t>General category income</t>
  </si>
  <si>
    <t>Certain income re-sourced by treaty</t>
  </si>
  <si>
    <t>Resident of (name of country)</t>
  </si>
  <si>
    <t>If you paid taxes to only one foreign country or U.S. possession, use column A in Part I and line A in Part II. If you paid taxes to</t>
  </si>
  <si>
    <r>
      <rPr>
        <b/>
        <sz val="10"/>
        <rFont val="Arial"/>
        <family val="2"/>
      </rPr>
      <t>more than one</t>
    </r>
    <r>
      <rPr>
        <sz val="10"/>
        <rFont val="Arial"/>
        <family val="2"/>
      </rPr>
      <t xml:space="preserve"> foreign country or U.S. possession, use a separate column and line for each country or possession.</t>
    </r>
  </si>
  <si>
    <r>
      <t xml:space="preserve"> Taxable Income or Loss From Sources Outside the United States </t>
    </r>
    <r>
      <rPr>
        <sz val="11"/>
        <rFont val="Arial"/>
        <family val="2"/>
      </rPr>
      <t>(for category checked above)</t>
    </r>
  </si>
  <si>
    <t>Foreign Country or U.S. Possession</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</si>
  <si>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</si>
  <si>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</si>
  <si>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</si>
  <si>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</si>
  <si>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</si>
  <si>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</si>
  <si>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</si>
  <si>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</si>
  <si>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</si>
  <si>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</si>
  <si>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</si>
  <si>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9"/>
        <rFont val="Arial"/>
        <family val="2"/>
      </rPr>
      <t>Deductions and losses (Caution:</t>
    </r>
    <r>
      <rPr>
        <sz val="9"/>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</si>
  <si>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</si>
  <si>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</si>
  <si>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r>
      <t xml:space="preserve">Pro rata share of other deductions </t>
    </r>
    <r>
      <rPr>
        <b/>
        <sz val="9"/>
        <rFont val="Arial"/>
        <family val="2"/>
      </rPr>
      <t>not definitely</t>
    </r>
  </si>
  <si>
    <t>related:</t>
  </si>
  <si>
    <t>Certain itemized deductions or standard deduction</t>
  </si>
  <si>
    <t>Other deductions (attach statement)</t>
  </si>
  <si>
    <t>Add lines 3a and 3b</t>
  </si>
  <si>
    <t>Gross foreign source income (see instructions)</t>
  </si>
  <si>
    <t xml:space="preserve"> .  </t>
  </si>
  <si>
    <t>Gross income from all sources (see instructions)</t>
  </si>
  <si>
    <t>Divide line 3d by line 3e (see instructions)</t>
  </si>
  <si>
    <t>Multiply line 3c by line 3f</t>
  </si>
  <si>
    <t>Pro rata share of interest expense (see instructions):</t>
  </si>
  <si>
    <t>Home mortgage interest (use the Worksheet for</t>
  </si>
  <si>
    <t>Home Mortgage Interest in the instructions)</t>
  </si>
  <si>
    <t>Other interest expense</t>
  </si>
  <si>
    <t>Losses from foreign sources</t>
  </si>
  <si>
    <t>Add lines 2, 3g, 4a, 4b, and 5</t>
  </si>
  <si>
    <t>Subtract line 6 from line 1a. Enter the result here and on line 15, page 2</t>
  </si>
  <si>
    <r>
      <t xml:space="preserve">Foreign Taxes Paid or Accrued </t>
    </r>
    <r>
      <rPr>
        <sz val="12"/>
        <rFont val="Arial"/>
        <family val="2"/>
      </rPr>
      <t xml:space="preserve"> (see instructions)</t>
    </r>
  </si>
  <si>
    <t>Country</t>
  </si>
  <si>
    <t>Credit is claimed 
for taxes 
(you must check one)</t>
  </si>
  <si>
    <t>Foreign taxes paid or accrued</t>
  </si>
  <si>
    <t>(j)</t>
  </si>
  <si>
    <t xml:space="preserve"> Paid</t>
  </si>
  <si>
    <t>In foreign currency</t>
  </si>
  <si>
    <t>In U.S. dollars</t>
  </si>
  <si>
    <t>(k)</t>
  </si>
  <si>
    <t>Accrued</t>
  </si>
  <si>
    <t>Taxes withheld at source on:</t>
  </si>
  <si>
    <r>
      <rPr>
        <b/>
        <sz val="8"/>
        <rFont val="Arial"/>
        <family val="2"/>
      </rPr>
      <t>(p)</t>
    </r>
    <r>
      <rPr>
        <sz val="8"/>
        <rFont val="Arial"/>
        <family val="2"/>
      </rPr>
      <t xml:space="preserve"> Other
foreign taxes
paid or
accrued</t>
    </r>
  </si>
  <si>
    <r>
      <rPr>
        <b/>
        <sz val="8"/>
        <rFont val="Arial"/>
        <family val="2"/>
      </rPr>
      <t>(t)</t>
    </r>
    <r>
      <rPr>
        <sz val="8"/>
        <rFont val="Arial"/>
        <family val="2"/>
      </rPr>
      <t xml:space="preserve"> Other
foreign taxes
paid or
accrued</t>
    </r>
  </si>
  <si>
    <r>
      <rPr>
        <b/>
        <sz val="8"/>
        <rFont val="Arial"/>
        <family val="2"/>
      </rPr>
      <t>(u)</t>
    </r>
    <r>
      <rPr>
        <sz val="8"/>
        <rFont val="Arial"/>
        <family val="2"/>
      </rPr>
      <t xml:space="preserve"> Total foreign
taxes paid or
accrued (add cols.
(q) through (t))</t>
    </r>
  </si>
  <si>
    <t>(l) Date paid</t>
  </si>
  <si>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</si>
  <si>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</si>
  <si>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</si>
  <si>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</si>
  <si>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</si>
  <si>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</si>
  <si>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t>or accrued</t>
  </si>
  <si>
    <t>Add lines A through C, column (u). Enter the total here and on line 9, page 2</t>
  </si>
  <si>
    <t>For Paperwork Reduction Act Notice, see instructions.</t>
  </si>
  <si>
    <t>Cat. No. 11440U</t>
  </si>
  <si>
    <r>
      <t>Form</t>
    </r>
    <r>
      <rPr>
        <b/>
        <sz val="14"/>
        <rFont val="Arial"/>
        <family val="2"/>
      </rPr>
      <t xml:space="preserve"> </t>
    </r>
    <r>
      <rPr>
        <b/>
        <sz val="12"/>
        <rFont val="Arial"/>
        <family val="2"/>
      </rPr>
      <t>1116</t>
    </r>
  </si>
  <si>
    <r>
      <rPr>
        <sz val="9"/>
        <rFont val="Arial"/>
        <family val="2"/>
      </rPr>
      <t xml:space="preserve">Page </t>
    </r>
    <r>
      <rPr>
        <b/>
        <sz val="12"/>
        <rFont val="Arial"/>
        <family val="2"/>
      </rPr>
      <t>2</t>
    </r>
  </si>
  <si>
    <t>Figuring the Credit</t>
  </si>
  <si>
    <t>Enter the amount from line 8. These are your total foreign taxes paid</t>
  </si>
  <si>
    <t>or accrued for the category of income checked above Part I</t>
  </si>
  <si>
    <t>Enter the sum of any carryover of foreign taxes (from Schedule B, line 3,</t>
  </si>
  <si>
    <t>column (xiv)) plus any carrybacks to the current tax year</t>
  </si>
  <si>
    <t>(If your income was section 951A income (box a above Part I),</t>
  </si>
  <si>
    <t>leave line 10 blank.)</t>
  </si>
  <si>
    <t>Add lines 9 and 10</t>
  </si>
  <si>
    <t>Reduction in foreign taxes (see instructions)</t>
  </si>
  <si>
    <t>Taxes reclassified under high tax kickout (see instructions)</t>
  </si>
  <si>
    <t>Combine lines 11, 12, and 13. This is the total amount of foreign taxes available for credit</t>
  </si>
  <si>
    <t>If you completed the Qualified Dividends and Capital Gain Tax Worksheet, you must figure the amount to enter on line 18 if:</t>
  </si>
  <si>
    <t>Enter the amount from line 7. This is your taxable income or (loss) from</t>
  </si>
  <si>
    <t>1. Line 5 of your Qualified Dividends and Capital Gain Tax Worksheet is greater than zero, and</t>
  </si>
  <si>
    <t>sources outside the United States (before adjustments) for the category</t>
  </si>
  <si>
    <t>2. Line 23 of your Qualified Dividends and Capital Gain Tax Worksheet is less than line 24 of that worksheet.</t>
  </si>
  <si>
    <t>of income checked above Part I (see instructions)</t>
  </si>
  <si>
    <t>Adjustments to line 15 (see instructions)</t>
  </si>
  <si>
    <t>See instructions for Form 1116 to see if you qualify for an exception that allows you to elect to NOT adjust your qualified</t>
  </si>
  <si>
    <t>Combine the amounts on lines 15 and 16. This is your net foreign</t>
  </si>
  <si>
    <r>
      <t xml:space="preserve">dividends and capital gains. If so, you must make this election by </t>
    </r>
    <r>
      <rPr>
        <u/>
        <sz val="10"/>
        <rFont val="Arial"/>
        <family val="2"/>
      </rPr>
      <t>not</t>
    </r>
    <r>
      <rPr>
        <sz val="10"/>
        <rFont val="Arial"/>
        <family val="2"/>
      </rPr>
      <t xml:space="preserve"> completing ths worsheet.</t>
    </r>
  </si>
  <si>
    <t>source taxable income. (If the result is zero or less, you have no</t>
  </si>
  <si>
    <t>Worksheet for Line 18 (Worldwide Qualified Dividends and Capital Gains)</t>
  </si>
  <si>
    <t>foreign tax credit for the category of income you checked above</t>
  </si>
  <si>
    <t>Part I. Skip lines 18 through 24. However, if you are filing more than</t>
  </si>
  <si>
    <t>one Form 1116, you must complete line 20.)</t>
  </si>
  <si>
    <t>See the instructions for line 18 below before starting this worksheet.</t>
  </si>
  <si>
    <r>
      <rPr>
        <b/>
        <sz val="10"/>
        <rFont val="Arial"/>
        <family val="2"/>
      </rPr>
      <t>Individuals:</t>
    </r>
    <r>
      <rPr>
        <sz val="10"/>
        <rFont val="Arial"/>
        <family val="2"/>
      </rPr>
      <t xml:space="preserve"> Enter the amount from line 15 of your Form 1040,</t>
    </r>
  </si>
  <si>
    <r>
      <t xml:space="preserve">1040-SR, or 1040-NR. </t>
    </r>
    <r>
      <rPr>
        <b/>
        <sz val="10"/>
        <rFont val="Arial"/>
        <family val="2"/>
      </rPr>
      <t>Estates and trusts:</t>
    </r>
    <r>
      <rPr>
        <sz val="10"/>
        <rFont val="Arial"/>
        <family val="2"/>
      </rPr>
      <t xml:space="preserve">  Enter your taxable</t>
    </r>
  </si>
  <si>
    <t>income without the deduction for your exemption</t>
  </si>
  <si>
    <r>
      <rPr>
        <b/>
        <sz val="10"/>
        <rFont val="Arial"/>
        <family val="2"/>
      </rPr>
      <t>Individuals:</t>
    </r>
    <r>
      <rPr>
        <sz val="10"/>
        <rFont val="Arial"/>
        <family val="2"/>
      </rPr>
      <t xml:space="preserve"> Enter the amount from Form 1040, 1040-SR, or 1040-NR, line 15.</t>
    </r>
  </si>
  <si>
    <r>
      <rPr>
        <b/>
        <sz val="10"/>
        <rFont val="Arial"/>
        <family val="2"/>
      </rPr>
      <t>Caution:</t>
    </r>
    <r>
      <rPr>
        <sz val="10"/>
        <rFont val="Arial"/>
        <family val="2"/>
      </rPr>
      <t xml:space="preserve"> If you figured your tax using the lower rates on qualified dividends or capital gains, see</t>
    </r>
  </si>
  <si>
    <r>
      <rPr>
        <b/>
        <sz val="10"/>
        <rFont val="Arial"/>
        <family val="2"/>
      </rPr>
      <t xml:space="preserve">Estates and trusts: </t>
    </r>
    <r>
      <rPr>
        <sz val="10"/>
        <rFont val="Arial"/>
        <family val="2"/>
      </rPr>
      <t>Enter taxable income without the deduction for your exemption</t>
    </r>
  </si>
  <si>
    <t>instructions.</t>
  </si>
  <si>
    <t>Divide line 17 by line 18. If line 17 is more than line 18, enter “1”</t>
  </si>
  <si>
    <r>
      <rPr>
        <b/>
        <sz val="10"/>
        <rFont val="Arial"/>
        <family val="2"/>
      </rPr>
      <t>Individuals:</t>
    </r>
    <r>
      <rPr>
        <sz val="10"/>
        <rFont val="Arial"/>
        <family val="2"/>
      </rPr>
      <t xml:space="preserve"> Enter the total of Form 1040 or 1040-SR, line 16, and Schedule 2 (Form 1040),</t>
    </r>
  </si>
  <si>
    <r>
      <t xml:space="preserve">line 2. </t>
    </r>
    <r>
      <rPr>
        <b/>
        <sz val="10"/>
        <rFont val="Arial"/>
        <family val="2"/>
      </rPr>
      <t>Estates and trusts:</t>
    </r>
    <r>
      <rPr>
        <sz val="10"/>
        <rFont val="Arial"/>
        <family val="2"/>
      </rPr>
      <t xml:space="preserve"> Enter the amount from Form 1041, Schedule G, line 1a; or the total of</t>
    </r>
  </si>
  <si>
    <t>Form 990-T, Part II, lines 2, 3, 4, and 6. Foreign estates and trusts should enter the amount from</t>
  </si>
  <si>
    <t>Form 1040-NR, line 16. See instructions</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</si>
  <si>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or, if you file</t>
    </r>
  </si>
  <si>
    <t>Form 8978, Partner’s Additional Reporting Year Tax, see instructions.</t>
  </si>
  <si>
    <t>Multiply line 20 by line 19 (maximum amount of credit)</t>
  </si>
  <si>
    <t>Add lines 3, 5, 7, 9, and 10</t>
  </si>
  <si>
    <t>Increase in limitation (section 960(c))</t>
  </si>
  <si>
    <t>Subtract line 11 from line 1. Enter the result here and on Form 1116, line 18</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</si>
  <si>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</si>
  <si>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</si>
  <si>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r>
      <t xml:space="preserve">Summary of Credits From Separate Parts III   </t>
    </r>
    <r>
      <rPr>
        <sz val="10"/>
        <rFont val="Arial"/>
        <family val="2"/>
      </rPr>
      <t>(see instructions)</t>
    </r>
  </si>
  <si>
    <t>Credit for taxes on section 951A income</t>
  </si>
  <si>
    <t>Credit for taxes on foreign branch income</t>
  </si>
  <si>
    <t>Credit for taxes on passive category income</t>
  </si>
  <si>
    <t>CarryBack from Current Year</t>
  </si>
  <si>
    <t>Line 21 less Line 33 (Must be &gt;=0)</t>
  </si>
  <si>
    <t>Credit for taxes on general category income</t>
  </si>
  <si>
    <t>CarryForward to Next Year</t>
  </si>
  <si>
    <t>Line 14 less Line 33 (Must be &gt;=0)</t>
  </si>
  <si>
    <t>Credit for taxes on section 901(j) income</t>
  </si>
  <si>
    <t>Credit for taxes on certain income re-sourced by treaty</t>
  </si>
  <si>
    <t>Important! - Retain these CarryBack and CarryForward amounts for EACH year you file Form 1116.</t>
  </si>
  <si>
    <t>Credit for taxes on lump-sum distributions</t>
  </si>
  <si>
    <t>They will be needed in future years when you can get a REFUND from CarryBack and for utilizing</t>
  </si>
  <si>
    <t>Add lines 25 through 31</t>
  </si>
  <si>
    <t>Unused CarryForward next year on Form 1116 Line 10.</t>
  </si>
  <si>
    <r>
      <t xml:space="preserve">Enter the </t>
    </r>
    <r>
      <rPr>
        <b/>
        <sz val="10"/>
        <rFont val="Arial"/>
        <family val="2"/>
      </rPr>
      <t>smaller</t>
    </r>
    <r>
      <rPr>
        <sz val="10"/>
        <rFont val="Arial"/>
        <family val="2"/>
      </rPr>
      <t xml:space="preserve"> of line 20 or line 32</t>
    </r>
  </si>
  <si>
    <t>Reduction of credit for international boycott operations. See instructions for line 12</t>
  </si>
  <si>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</si>
  <si>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</si>
  <si>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t>Form</t>
    </r>
    <r>
      <rPr>
        <b/>
        <sz val="14"/>
        <rFont val="Arial"/>
        <family val="2"/>
      </rPr>
      <t xml:space="preserve"> 1116</t>
    </r>
  </si>
  <si>
    <r>
      <rPr>
        <sz val="9"/>
        <rFont val="Arial"/>
        <family val="2"/>
      </rPr>
      <t xml:space="preserve">Form </t>
    </r>
    <r>
      <rPr>
        <b/>
        <sz val="24"/>
        <rFont val="Arial"/>
        <family val="2"/>
      </rPr>
      <t>1116</t>
    </r>
  </si>
  <si>
    <r>
      <t xml:space="preserve"> </t>
    </r>
    <r>
      <rPr>
        <b/>
        <sz val="10"/>
        <rFont val="Arial"/>
        <family val="2"/>
      </rPr>
      <t>Deductions and losses (Caution:</t>
    </r>
    <r>
      <rPr>
        <sz val="10"/>
        <rFont val="Arial"/>
        <family val="2"/>
      </rPr>
      <t xml:space="preserve"> See instructions.):</t>
    </r>
  </si>
  <si>
    <r>
      <t xml:space="preserve">(l) </t>
    </r>
    <r>
      <rPr>
        <sz val="8"/>
        <rFont val="Arial"/>
        <family val="2"/>
      </rPr>
      <t>Date paid</t>
    </r>
  </si>
  <si>
    <t>Add lines A through C, column (s). Enter the total here and on line 9, page 2</t>
  </si>
  <si>
    <r>
      <t xml:space="preserve">1040-SR, or 1040-NR. </t>
    </r>
    <r>
      <rPr>
        <b/>
        <sz val="10"/>
        <rFont val="Arial"/>
        <family val="2"/>
      </rPr>
      <t>Estates and trusts:</t>
    </r>
    <r>
      <rPr>
        <sz val="10"/>
        <rFont val="Arial"/>
        <family val="2"/>
      </rPr>
      <t xml:space="preserve"> Enter your taxable</t>
    </r>
  </si>
  <si>
    <t xml:space="preserve"> .   .   .   .   .   .   .   .   .   .   .   .   .   .   .   .   .   .   .   .   .   .   .   .   .   .   .   .   .   .   .   .   .  </t>
  </si>
  <si>
    <r>
      <t xml:space="preserve">Form </t>
    </r>
    <r>
      <rPr>
        <b/>
        <sz val="24"/>
        <rFont val="Arial"/>
        <family val="2"/>
      </rPr>
      <t>1116</t>
    </r>
  </si>
  <si>
    <t>Attachment   
Sequence No.</t>
  </si>
  <si>
    <r>
      <t xml:space="preserve">Foreign Taxes Paid or Accrued </t>
    </r>
    <r>
      <rPr>
        <sz val="14"/>
        <rFont val="Arial"/>
        <family val="2"/>
      </rPr>
      <t xml:space="preserve"> (see instructions)</t>
    </r>
  </si>
  <si>
    <t>Underpayment of Estimated Tax
by Individuals, Estates, and Trusts</t>
  </si>
  <si>
    <t>IF you file Form 1040, THEN include on line 2 the amounts on...</t>
  </si>
  <si>
    <t xml:space="preserve">(1) </t>
  </si>
  <si>
    <t>Attach to Form 1040, 1040-SR, 1040-NR, 1040NR-EZ, or 1041.</t>
  </si>
  <si>
    <r>
      <t xml:space="preserve">Sequence No. </t>
    </r>
    <r>
      <rPr>
        <b/>
        <sz val="12"/>
        <rFont val="Arial"/>
        <family val="2"/>
      </rPr>
      <t>06</t>
    </r>
  </si>
  <si>
    <t>Name(s) shown on tax return</t>
  </si>
  <si>
    <t>Identifying number</t>
  </si>
  <si>
    <t>Do You Have To File Form 2210?</t>
  </si>
  <si>
    <t>Refundable
Credits</t>
  </si>
  <si>
    <r>
      <rPr>
        <b/>
        <sz val="10"/>
        <rFont val="Arial"/>
        <family val="2"/>
      </rPr>
      <t>Don't file Form 2210.</t>
    </r>
    <r>
      <rPr>
        <sz val="10"/>
        <rFont val="Arial"/>
        <family val="2"/>
      </rPr>
      <t xml:space="preserve"> You don't owe a penalty.</t>
    </r>
  </si>
  <si>
    <t xml:space="preserve">(2) </t>
  </si>
  <si>
    <t>Complete lines 8 and 9 below. Is line 6 equal to or more than line 9?</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</si>
  <si>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</si>
  <si>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</si>
  <si>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You may owe a penalty. Does any box in Part II below apply?</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</si>
  <si>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</si>
  <si>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t xml:space="preserve">Yes </t>
  </si>
  <si>
    <t>You must figure your penalty.</t>
  </si>
  <si>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t>
    </r>
    <r>
      <rPr>
        <sz val="11"/>
        <rFont val="Arial"/>
        <family val="2"/>
      </rPr>
      <t xml:space="preserve">
</t>
    </r>
    <r>
      <rPr>
        <b/>
        <sz val="11"/>
        <rFont val="Arial"/>
        <family val="2"/>
      </rPr>
      <t>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</si>
  <si>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</si>
  <si>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Married Filing Jointly</t>
  </si>
  <si>
    <t>Line 3 -- Subtract refundable credits listed below:</t>
  </si>
  <si>
    <t>Head of Household</t>
  </si>
  <si>
    <t>Qualifying Widow(er)</t>
  </si>
  <si>
    <t>Earned income credit.</t>
  </si>
  <si>
    <t>Married Filing Separately</t>
  </si>
  <si>
    <t>Additional child tax credit.</t>
  </si>
  <si>
    <t xml:space="preserve"> Part I</t>
  </si>
  <si>
    <t>Required Annual Payment</t>
  </si>
  <si>
    <t>Refundable part of the American opportunity credit (Form 8863, line 8).</t>
  </si>
  <si>
    <t>instructions if not filing Form 1040.)</t>
  </si>
  <si>
    <t>Premium tax credit (Form 8962).</t>
  </si>
  <si>
    <t>Other taxes, including self-employment tax and, if applicable, Additional Medicare Tax and/or Net</t>
  </si>
  <si>
    <t>Credit for federal tax paid on fuels.</t>
  </si>
  <si>
    <t>Investment Income Tax (see instructions)</t>
  </si>
  <si>
    <t>Other payments and refundable credits (see instructions)</t>
  </si>
  <si>
    <t>Current year tax. Combine lines 1, 2, and 3.</t>
  </si>
  <si>
    <r>
      <rPr>
        <b/>
        <sz val="10"/>
        <rFont val="Arial"/>
        <family val="2"/>
      </rPr>
      <t>stop</t>
    </r>
    <r>
      <rPr>
        <sz val="10"/>
        <rFont val="Arial"/>
        <family val="2"/>
      </rPr>
      <t>; you don't owe a penalty.</t>
    </r>
  </si>
  <si>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</si>
  <si>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</si>
  <si>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Credit determined under section 1341(a)(5)(B).</t>
  </si>
  <si>
    <t xml:space="preserve">Subtract line 6 from line 4. </t>
  </si>
  <si>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</si>
  <si>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t>Maximum required annual payment based on prior year’s tax (see instructions)</t>
  </si>
  <si>
    <t xml:space="preserve"> .   .   .   .   .   .   .   . </t>
  </si>
  <si>
    <t>Line 8 - Maximum required annual payment</t>
  </si>
  <si>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</si>
  <si>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rPr>
        <b/>
        <sz val="10"/>
        <rFont val="Arial"/>
        <family val="2"/>
      </rPr>
      <t>Next:</t>
    </r>
    <r>
      <rPr>
        <sz val="10"/>
        <rFont val="Arial"/>
        <family val="2"/>
      </rPr>
      <t xml:space="preserve"> Is line 9 more than line 6?</t>
    </r>
  </si>
  <si>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</si>
  <si>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r>
      <t xml:space="preserve">  </t>
    </r>
    <r>
      <rPr>
        <b/>
        <sz val="10"/>
        <rFont val="Arial"/>
        <family val="2"/>
      </rPr>
      <t>Don't</t>
    </r>
    <r>
      <rPr>
        <sz val="10"/>
        <rFont val="Arial"/>
        <family val="2"/>
      </rPr>
      <t xml:space="preserve"> file Form 2210 unless</t>
    </r>
  </si>
  <si>
    <r>
      <t xml:space="preserve">box </t>
    </r>
    <r>
      <rPr>
        <b/>
        <sz val="10"/>
        <rFont val="Arial"/>
        <family val="2"/>
      </rPr>
      <t>E</t>
    </r>
    <r>
      <rPr>
        <sz val="10"/>
        <rFont val="Arial"/>
        <family val="2"/>
      </rPr>
      <t xml:space="preserve"> below applies.</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</si>
  <si>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</si>
  <si>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</si>
  <si>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</si>
  <si>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as a worksheet</t>
  </si>
  <si>
    <t xml:space="preserve">                                                                         </t>
  </si>
  <si>
    <r>
      <t xml:space="preserve">and enter your penalty on your tax return, but </t>
    </r>
    <r>
      <rPr>
        <b/>
        <sz val="10"/>
        <rFont val="Arial"/>
        <family val="2"/>
      </rPr>
      <t>file only page 1 of Form 2210.</t>
    </r>
  </si>
  <si>
    <t xml:space="preserve"> Part II</t>
  </si>
  <si>
    <r>
      <rPr>
        <b/>
        <sz val="11"/>
        <rFont val="Arial"/>
        <family val="2"/>
      </rPr>
      <t>Reasons for Filing.</t>
    </r>
    <r>
      <rPr>
        <sz val="11"/>
        <rFont val="Arial"/>
        <family val="2"/>
      </rPr>
      <t xml:space="preserve">   </t>
    </r>
    <r>
      <rPr>
        <sz val="10"/>
        <rFont val="Arial"/>
        <family val="2"/>
      </rPr>
      <t>Check applicable boxes.</t>
    </r>
  </si>
  <si>
    <t>If none apply, don't file Form 2210.</t>
  </si>
  <si>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</si>
  <si>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</si>
  <si>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 xml:space="preserve">You request a </t>
    </r>
    <r>
      <rPr>
        <b/>
        <sz val="10"/>
        <rFont val="Arial"/>
        <family val="2"/>
      </rPr>
      <t>waiver</t>
    </r>
    <r>
      <rPr>
        <sz val="10"/>
        <rFont val="Arial"/>
        <family val="2"/>
      </rPr>
      <t xml:space="preserve"> (see instructions) of part of your penalty. You must figure your penalty and waiver amount and file</t>
    </r>
  </si>
  <si>
    <t>Form 2210.</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</si>
  <si>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</si>
  <si>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</si>
  <si>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</si>
  <si>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</si>
  <si>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t xml:space="preserve"> line 8 above is smaller than line 5        </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</si>
  <si>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</si>
  <si>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t>For Paperwork Reduction Act Notice, see separate instructions.</t>
  </si>
  <si>
    <t>Cat. No. 11744P</t>
  </si>
  <si>
    <r>
      <t xml:space="preserve">Form  </t>
    </r>
    <r>
      <rPr>
        <b/>
        <sz val="11"/>
        <rFont val="Arial"/>
        <family val="2"/>
      </rPr>
      <t>2210</t>
    </r>
  </si>
  <si>
    <r>
      <t xml:space="preserve">Page </t>
    </r>
    <r>
      <rPr>
        <b/>
        <sz val="11"/>
        <rFont val="Arial"/>
        <family val="2"/>
      </rPr>
      <t>2</t>
    </r>
  </si>
  <si>
    <r>
      <t xml:space="preserve">Overrides   </t>
    </r>
    <r>
      <rPr>
        <b/>
        <sz val="9"/>
        <rFont val="Symbol"/>
        <family val="1"/>
        <charset val="2"/>
      </rPr>
      <t>®</t>
    </r>
  </si>
  <si>
    <t xml:space="preserve"> Part III</t>
  </si>
  <si>
    <t>Penalty Computation</t>
  </si>
  <si>
    <t>(See the instructions if you are filing Form 1040-NR.)</t>
  </si>
  <si>
    <t>See columns</t>
  </si>
  <si>
    <t>Section A—Figure Your Underpayment</t>
  </si>
  <si>
    <t>Payment Due Dates</t>
  </si>
  <si>
    <t>AJ through AP</t>
  </si>
  <si>
    <t xml:space="preserve">(c) </t>
  </si>
  <si>
    <r>
      <rPr>
        <b/>
        <sz val="12"/>
        <rFont val="Arial"/>
        <family val="2"/>
      </rPr>
      <t xml:space="preserve">Required installments. </t>
    </r>
    <r>
      <rPr>
        <sz val="12"/>
        <rFont val="Arial"/>
        <family val="2"/>
      </rPr>
      <t>If box C in Part II applies,</t>
    </r>
  </si>
  <si>
    <t>enter the amounts from Schedule AI, line 27.</t>
  </si>
  <si>
    <t>each column. For fiscal year filers, see instructions</t>
  </si>
  <si>
    <t>AJ through AQ</t>
  </si>
  <si>
    <t>Estimated tax paid and tax withheld (see the</t>
  </si>
  <si>
    <t>instructions). For column (a) only, also enter the</t>
  </si>
  <si>
    <t>amount from line 11 on line 15 column (a). If line 11</t>
  </si>
  <si>
    <t>is equal to or more than line 10 for all payment periods,</t>
  </si>
  <si>
    <t>stop here; you don't owe a penalty.</t>
  </si>
  <si>
    <t>Don't file</t>
  </si>
  <si>
    <t>Form 2210 unless you checked a box in Part II</t>
  </si>
  <si>
    <t>Enter the amount, if any, from line 18 in the previous</t>
  </si>
  <si>
    <t>column</t>
  </si>
  <si>
    <t>Add lines 11 and 12</t>
  </si>
  <si>
    <t>Add the amounts on lines 16 and 17 in the previous</t>
  </si>
  <si>
    <t xml:space="preserve">Subtract line 14 from line 13. If zero or less, enter -0-. </t>
  </si>
  <si>
    <t>For column (a) only, enter the amount from line 11</t>
  </si>
  <si>
    <t>If line 15 is zero, subtract line 13 from line 14.</t>
  </si>
  <si>
    <t>Otherwise, enter -0-</t>
  </si>
  <si>
    <r>
      <rPr>
        <b/>
        <sz val="12"/>
        <rFont val="Arial"/>
        <family val="2"/>
      </rPr>
      <t>Underpayment.</t>
    </r>
    <r>
      <rPr>
        <sz val="12"/>
        <rFont val="Arial"/>
        <family val="2"/>
      </rPr>
      <t xml:space="preserve"> If line 10 is equal to or more than</t>
    </r>
  </si>
  <si>
    <t>line 15, subtract line 10 from line 15. Then go to line 12</t>
  </si>
  <si>
    <t>of the next column. Otherwise, go to line 18</t>
  </si>
  <si>
    <t xml:space="preserve"> .   .   .   . </t>
  </si>
  <si>
    <r>
      <rPr>
        <b/>
        <sz val="12"/>
        <rFont val="Arial"/>
        <family val="2"/>
      </rPr>
      <t>Overpayment.</t>
    </r>
    <r>
      <rPr>
        <sz val="12"/>
        <rFont val="Arial"/>
        <family val="2"/>
      </rPr>
      <t xml:space="preserve"> If line 15 is more than line 10,</t>
    </r>
  </si>
  <si>
    <t>subtract line 10 from line 15. Then go to line 12 of</t>
  </si>
  <si>
    <t>the next column</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</si>
  <si>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</si>
  <si>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r>
      <rPr>
        <b/>
        <sz val="11"/>
        <rFont val="Arial"/>
        <family val="2"/>
      </rPr>
      <t>Penalty.</t>
    </r>
    <r>
      <rPr>
        <sz val="11"/>
        <rFont val="Arial"/>
        <family val="2"/>
      </rPr>
      <t xml:space="preserve"> Enter the total penalty from line 14 of the Worksheet for Form 2210, Part IV, Section B -</t>
    </r>
  </si>
  <si>
    <t>Figure the Penalty. Also include this amount on Form 1040, 1040-SR, or 1040-NR, line 38; or</t>
  </si>
  <si>
    <t>(c)</t>
  </si>
  <si>
    <t>14a</t>
  </si>
  <si>
    <t>14b</t>
  </si>
  <si>
    <t>14c</t>
  </si>
  <si>
    <t>Add lines 24 and 25</t>
  </si>
  <si>
    <t>Worksheet for Form 2210, Part III, Section B—Figure the Penalty</t>
  </si>
  <si>
    <t>(Penalty Worksheet)</t>
  </si>
  <si>
    <t xml:space="preserve">Complete Rate Period 1 of each column before going to the next column; then go to Rate Periods 2, 3, and 4 in the </t>
  </si>
  <si>
    <t>same manner. If multiple estimated tax payments are applied to the underpayment amount in a column of line 1a,</t>
  </si>
  <si>
    <t>you will need to make more than one computation for that column.</t>
  </si>
  <si>
    <t xml:space="preserve">1a  </t>
  </si>
  <si>
    <t>Enter your underpayment from Part III, Section A, line 17</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</si>
  <si>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</si>
  <si>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1.b</t>
  </si>
  <si>
    <t>Rate Period 1:</t>
  </si>
  <si>
    <t>Computation starting dates for this period</t>
  </si>
  <si>
    <t>Days:</t>
  </si>
  <si>
    <r>
      <t xml:space="preserve">Number of days </t>
    </r>
    <r>
      <rPr>
        <b/>
        <sz val="9"/>
        <rFont val="Arial"/>
        <family val="2"/>
      </rPr>
      <t>from</t>
    </r>
    <r>
      <rPr>
        <sz val="9"/>
        <rFont val="Arial"/>
        <family val="2"/>
      </rPr>
      <t xml:space="preserve"> the date on line 2 to the date the amount </t>
    </r>
  </si>
  <si>
    <r>
      <t xml:space="preserve">on line 1a was paid   </t>
    </r>
    <r>
      <rPr>
        <b/>
        <sz val="9"/>
        <rFont val="Arial"/>
        <family val="2"/>
      </rPr>
      <t>or</t>
    </r>
  </si>
  <si>
    <t>Underpayment</t>
  </si>
  <si>
    <t>Number of days</t>
  </si>
  <si>
    <t>on line 1a</t>
  </si>
  <si>
    <t>on line 3</t>
  </si>
  <si>
    <t>Rate Period 2:</t>
  </si>
  <si>
    <r>
      <t xml:space="preserve">Number of days </t>
    </r>
    <r>
      <rPr>
        <b/>
        <sz val="9"/>
        <rFont val="Arial"/>
        <family val="2"/>
      </rPr>
      <t>from</t>
    </r>
    <r>
      <rPr>
        <sz val="9"/>
        <rFont val="Arial"/>
        <family val="2"/>
      </rPr>
      <t xml:space="preserve"> the date on line 5 to the date the amount </t>
    </r>
  </si>
  <si>
    <t>on line 6</t>
  </si>
  <si>
    <t>Rate Period 3:</t>
  </si>
  <si>
    <r>
      <t xml:space="preserve">Number of days </t>
    </r>
    <r>
      <rPr>
        <b/>
        <sz val="9"/>
        <rFont val="Arial"/>
        <family val="2"/>
      </rPr>
      <t>from</t>
    </r>
    <r>
      <rPr>
        <sz val="9"/>
        <rFont val="Arial"/>
        <family val="2"/>
      </rPr>
      <t xml:space="preserve"> the date on line 8 to the date the amount </t>
    </r>
  </si>
  <si>
    <t>on line 9</t>
  </si>
  <si>
    <t>Rate Period 4:</t>
  </si>
  <si>
    <r>
      <t xml:space="preserve">Number of days </t>
    </r>
    <r>
      <rPr>
        <b/>
        <sz val="9"/>
        <rFont val="Arial"/>
        <family val="2"/>
      </rPr>
      <t>from</t>
    </r>
    <r>
      <rPr>
        <sz val="9"/>
        <rFont val="Arial"/>
        <family val="2"/>
      </rPr>
      <t xml:space="preserve"> the date on line 11 to the date the amount </t>
    </r>
  </si>
  <si>
    <t>on line 12</t>
  </si>
  <si>
    <t>Penalty. Add all amounts on lines 4, 7, 10, and 13 in all columns. Enter the total here and on line 19 of Part III,</t>
  </si>
  <si>
    <t>Section B</t>
  </si>
  <si>
    <t>-7-</t>
  </si>
  <si>
    <t>Download Form 2210</t>
  </si>
  <si>
    <t>Download Form 2210 Instructions</t>
  </si>
  <si>
    <t>PYMNT</t>
  </si>
  <si>
    <t>UNDER</t>
  </si>
  <si>
    <t>DATE</t>
  </si>
  <si>
    <t>AMT.</t>
  </si>
  <si>
    <t>TOTAL</t>
  </si>
  <si>
    <t>PYMT</t>
  </si>
  <si>
    <t>Add lines 1 and 2</t>
  </si>
  <si>
    <t>Tax on the amount on line 3.</t>
  </si>
  <si>
    <t>Married Persons Filing Separately  (See Form 2441 instructions.)</t>
  </si>
  <si>
    <t>Child and Dependent Care Expenses</t>
  </si>
  <si>
    <t xml:space="preserve">Generally, married persons must file a joint return to claim the credit. </t>
  </si>
  <si>
    <t xml:space="preserve">If your filing status is married filing separately and all of the following apply, </t>
  </si>
  <si>
    <t xml:space="preserve">Department of the Treasury  </t>
  </si>
  <si>
    <t xml:space="preserve">   Attach to Form 1040, 1040-SR, or 1040-NR.</t>
  </si>
  <si>
    <t xml:space="preserve">        Attachment </t>
  </si>
  <si>
    <t>you are considered unmarried for purposes of claiming the credit on Form 2441.</t>
  </si>
  <si>
    <r>
      <t xml:space="preserve">Go to </t>
    </r>
    <r>
      <rPr>
        <b/>
        <i/>
        <sz val="9"/>
        <rFont val="Arial"/>
        <family val="2"/>
      </rPr>
      <t>www.irs.gov/Form2441</t>
    </r>
    <r>
      <rPr>
        <b/>
        <sz val="9"/>
        <rFont val="Arial"/>
        <family val="2"/>
      </rPr>
      <t xml:space="preserve"> for instructions and the latest information.</t>
    </r>
  </si>
  <si>
    <t>Sequence No.</t>
  </si>
  <si>
    <t>Check 'Yes' or 'No'</t>
  </si>
  <si>
    <t>box to the right</t>
  </si>
  <si>
    <t>and below as to</t>
  </si>
  <si>
    <r>
      <rPr>
        <b/>
        <sz val="11"/>
        <rFont val="Arial"/>
        <family val="2"/>
      </rPr>
      <t>A</t>
    </r>
    <r>
      <rPr>
        <sz val="11"/>
        <rFont val="Arial"/>
        <family val="2"/>
      </rPr>
      <t xml:space="preserve">  You can't claim a credit for  child and dependent care expenses if your filing status is  married filing separately  unless you meet the</t>
    </r>
  </si>
  <si>
    <t xml:space="preserve">whether or not you </t>
  </si>
  <si>
    <r>
      <t xml:space="preserve">requirements listed in the instructions under </t>
    </r>
    <r>
      <rPr>
        <i/>
        <sz val="11"/>
        <rFont val="Arial"/>
        <family val="2"/>
      </rPr>
      <t>Married Persons Filing Separately</t>
    </r>
    <r>
      <rPr>
        <sz val="11"/>
        <rFont val="Arial"/>
        <family val="2"/>
      </rPr>
      <t>.</t>
    </r>
  </si>
  <si>
    <t>meet the requirements</t>
  </si>
  <si>
    <t>to be considered</t>
  </si>
  <si>
    <t>See instructions for Form 2441.</t>
  </si>
  <si>
    <t>unmarried' for the</t>
  </si>
  <si>
    <r>
      <t xml:space="preserve">   Persons or Organizations Who Provided the Care – </t>
    </r>
    <r>
      <rPr>
        <sz val="12"/>
        <rFont val="Arial"/>
        <family val="2"/>
      </rPr>
      <t xml:space="preserve">You </t>
    </r>
    <r>
      <rPr>
        <b/>
        <sz val="12"/>
        <rFont val="Arial"/>
        <family val="2"/>
      </rPr>
      <t>must</t>
    </r>
    <r>
      <rPr>
        <sz val="12"/>
        <rFont val="Arial"/>
        <family val="2"/>
      </rPr>
      <t xml:space="preserve"> complete this part.</t>
    </r>
  </si>
  <si>
    <t>purposes of claiming</t>
  </si>
  <si>
    <r>
      <t xml:space="preserve">If you meet all the requirements to be treated as unmarried </t>
    </r>
    <r>
      <rPr>
        <u/>
        <sz val="10"/>
        <rFont val="Arial"/>
        <family val="2"/>
      </rPr>
      <t>and</t>
    </r>
    <r>
      <rPr>
        <sz val="10"/>
        <rFont val="Arial"/>
        <family val="2"/>
      </rPr>
      <t xml:space="preserve"> meet items 2</t>
    </r>
  </si>
  <si>
    <t>If you have more than three care providers, see the instructions and check this box</t>
  </si>
  <si>
    <t>the credit on</t>
  </si>
  <si>
    <t>through 5 listed in the instructions, you can take the credit or the exclusion. If you</t>
  </si>
  <si>
    <t xml:space="preserve"> 1     (a)</t>
  </si>
  <si>
    <t xml:space="preserve"> Care provider's</t>
  </si>
  <si>
    <r>
      <t>(b)</t>
    </r>
    <r>
      <rPr>
        <sz val="8"/>
        <rFont val="Arial"/>
        <family val="2"/>
      </rPr>
      <t xml:space="preserve"> Address</t>
    </r>
  </si>
  <si>
    <r>
      <rPr>
        <b/>
        <sz val="8"/>
        <rFont val="Arial"/>
        <family val="2"/>
      </rPr>
      <t>(c)</t>
    </r>
    <r>
      <rPr>
        <sz val="8"/>
        <rFont val="Arial"/>
        <family val="2"/>
      </rPr>
      <t xml:space="preserve"> Identifying number 
(SSN or EIN)</t>
    </r>
  </si>
  <si>
    <r>
      <t xml:space="preserve">        (e)</t>
    </r>
    <r>
      <rPr>
        <sz val="8"/>
        <rFont val="Arial"/>
        <family val="2"/>
      </rPr>
      <t xml:space="preserve"> Amount paid</t>
    </r>
  </si>
  <si>
    <t>Form 2441.</t>
  </si>
  <si>
    <t>don't meet all the requirements to be treated as unmarried, you can't take the credit.</t>
  </si>
  <si>
    <t xml:space="preserve">    name</t>
  </si>
  <si>
    <t xml:space="preserve">     (number, street, apt. no., city, state, and ZIP code)</t>
  </si>
  <si>
    <t xml:space="preserve">        (see instructions)</t>
  </si>
  <si>
    <r>
      <t xml:space="preserve"> </t>
    </r>
    <r>
      <rPr>
        <b/>
        <sz val="10"/>
        <rFont val="Arial"/>
        <family val="2"/>
      </rPr>
      <t>Yes.</t>
    </r>
    <r>
      <rPr>
        <sz val="10"/>
        <rFont val="Arial"/>
        <family val="2"/>
      </rPr>
      <t xml:space="preserve">  I meet these requirements to be considered unmarried.</t>
    </r>
  </si>
  <si>
    <r>
      <t xml:space="preserve"> </t>
    </r>
    <r>
      <rPr>
        <b/>
        <sz val="10"/>
        <rFont val="Arial"/>
        <family val="2"/>
      </rPr>
      <t>No.</t>
    </r>
    <r>
      <rPr>
        <sz val="10"/>
        <rFont val="Arial"/>
        <family val="2"/>
      </rPr>
      <t xml:space="preserve">   I don't meet these requirements and, therefore, I can't take the credit.</t>
    </r>
  </si>
  <si>
    <t>Lines 4 and 5</t>
  </si>
  <si>
    <t>Did you receive</t>
  </si>
  <si>
    <t>Complete only Part II below.</t>
  </si>
  <si>
    <t>Earned income for figuring the credit includes the following amounts.</t>
  </si>
  <si>
    <t xml:space="preserve"> dependent care benefits?</t>
  </si>
  <si>
    <t>Complete Part III on page 2 next.</t>
  </si>
  <si>
    <r>
      <t xml:space="preserve">1. The amount shown on </t>
    </r>
    <r>
      <rPr>
        <b/>
        <sz val="10"/>
        <rFont val="Arial"/>
        <family val="2"/>
      </rPr>
      <t>Form 1040</t>
    </r>
    <r>
      <rPr>
        <sz val="10"/>
        <rFont val="Arial"/>
        <family val="2"/>
      </rPr>
      <t xml:space="preserve">, </t>
    </r>
    <r>
      <rPr>
        <b/>
        <sz val="10"/>
        <rFont val="Arial"/>
        <family val="2"/>
      </rPr>
      <t>line 1</t>
    </r>
    <r>
      <rPr>
        <sz val="10"/>
        <rFont val="Arial"/>
        <family val="2"/>
      </rPr>
      <t>;  (W-2, line 1)</t>
    </r>
  </si>
  <si>
    <r>
      <t xml:space="preserve">     </t>
    </r>
    <r>
      <rPr>
        <u/>
        <sz val="10"/>
        <rFont val="Arial"/>
        <family val="2"/>
      </rPr>
      <t>minus</t>
    </r>
    <r>
      <rPr>
        <sz val="10"/>
        <rFont val="Arial"/>
        <family val="2"/>
      </rPr>
      <t xml:space="preserve"> any amout:</t>
    </r>
  </si>
  <si>
    <t>Credit for Child and Dependent Care Expenses</t>
  </si>
  <si>
    <r>
      <t xml:space="preserve">a. Excluded as foreign earned income (including any
housing exclusion) on </t>
    </r>
    <r>
      <rPr>
        <b/>
        <sz val="10"/>
        <rFont val="Arial"/>
        <family val="2"/>
      </rPr>
      <t>Form 2555, line 43</t>
    </r>
    <r>
      <rPr>
        <sz val="10"/>
        <rFont val="Arial"/>
        <family val="2"/>
      </rPr>
      <t>,</t>
    </r>
  </si>
  <si>
    <t>)(</t>
  </si>
  <si>
    <r>
      <t xml:space="preserve">Information about your </t>
    </r>
    <r>
      <rPr>
        <b/>
        <sz val="10"/>
        <rFont val="Arial"/>
        <family val="2"/>
      </rPr>
      <t>qualifying person(s).</t>
    </r>
    <r>
      <rPr>
        <sz val="10"/>
        <rFont val="Arial"/>
        <family val="2"/>
      </rPr>
      <t xml:space="preserve"> If you have more than three qualifying persons, see the instructions and check this box.</t>
    </r>
  </si>
  <si>
    <r>
      <t>(a)</t>
    </r>
    <r>
      <rPr>
        <sz val="8"/>
        <rFont val="Arial"/>
        <family val="2"/>
      </rPr>
      <t xml:space="preserve"> Qualifying person's name</t>
    </r>
  </si>
  <si>
    <r>
      <t xml:space="preserve"> </t>
    </r>
    <r>
      <rPr>
        <b/>
        <sz val="8"/>
        <rFont val="Arial"/>
        <family val="2"/>
      </rPr>
      <t>(b)</t>
    </r>
    <r>
      <rPr>
        <sz val="8"/>
        <rFont val="Arial"/>
        <family val="2"/>
      </rPr>
      <t xml:space="preserve"> Qualifying person's social
security number</t>
    </r>
  </si>
  <si>
    <t>(c) Check here if the qualifying person was over age 12 and disabled. (see instructions)</t>
  </si>
  <si>
    <r>
      <t>(d)</t>
    </r>
    <r>
      <rPr>
        <sz val="8"/>
        <rFont val="Arial"/>
        <family val="2"/>
      </rPr>
      <t xml:space="preserve"> </t>
    </r>
    <r>
      <rPr>
        <b/>
        <sz val="8"/>
        <rFont val="Arial"/>
        <family val="2"/>
      </rPr>
      <t>Qualified expenses</t>
    </r>
    <r>
      <rPr>
        <sz val="8"/>
        <rFont val="Arial"/>
        <family val="2"/>
      </rPr>
      <t xml:space="preserve"> you</t>
    </r>
  </si>
  <si>
    <t>c. Also reported on Schedule SE (Form 1040)</t>
  </si>
  <si>
    <t>First</t>
  </si>
  <si>
    <t>Last</t>
  </si>
  <si>
    <t>the person listed in column (a)</t>
  </si>
  <si>
    <r>
      <t>because you were a member of the</t>
    </r>
    <r>
      <rPr>
        <b/>
        <sz val="10"/>
        <rFont val="Arial"/>
        <family val="2"/>
      </rPr>
      <t xml:space="preserve"> clergy</t>
    </r>
    <r>
      <rPr>
        <sz val="10"/>
        <rFont val="Arial"/>
        <family val="2"/>
      </rPr>
      <t xml:space="preserve"> </t>
    </r>
    <r>
      <rPr>
        <b/>
        <u/>
        <sz val="10"/>
        <rFont val="Arial"/>
        <family val="2"/>
      </rPr>
      <t>OR</t>
    </r>
    <r>
      <rPr>
        <sz val="10"/>
        <rFont val="Arial"/>
        <family val="2"/>
      </rPr>
      <t xml:space="preserve"> </t>
    </r>
  </si>
  <si>
    <r>
      <t xml:space="preserve">you received $108.28  or more of </t>
    </r>
    <r>
      <rPr>
        <b/>
        <sz val="10"/>
        <rFont val="Arial"/>
        <family val="2"/>
      </rPr>
      <t>church employee income</t>
    </r>
    <r>
      <rPr>
        <sz val="10"/>
        <rFont val="Arial"/>
        <family val="2"/>
      </rPr>
      <t xml:space="preserve">. </t>
    </r>
  </si>
  <si>
    <t>No. of qualifying persons.</t>
  </si>
  <si>
    <r>
      <t xml:space="preserve">2. The amount shown on </t>
    </r>
    <r>
      <rPr>
        <b/>
        <sz val="10"/>
        <rFont val="Arial"/>
        <family val="2"/>
      </rPr>
      <t>Schedule SE, line 3</t>
    </r>
    <r>
      <rPr>
        <sz val="10"/>
        <rFont val="Arial"/>
        <family val="2"/>
      </rPr>
      <t xml:space="preserve">, </t>
    </r>
  </si>
  <si>
    <t>&lt;&lt;</t>
  </si>
  <si>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</si>
  <si>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Don't</t>
  </si>
  <si>
    <t>If you use either optional method to figure self-employment</t>
  </si>
  <si>
    <t>tax, subtract any deduction you claim on</t>
  </si>
  <si>
    <r>
      <t xml:space="preserve">Enter your </t>
    </r>
    <r>
      <rPr>
        <b/>
        <sz val="10"/>
        <rFont val="Arial"/>
        <family val="2"/>
      </rPr>
      <t xml:space="preserve">earned income.   </t>
    </r>
    <r>
      <rPr>
        <sz val="10"/>
        <rFont val="Arial"/>
        <family val="2"/>
      </rPr>
      <t>See instructions</t>
    </r>
  </si>
  <si>
    <t>Schedule 1 (Form 1040), line 15; from the total of the</t>
  </si>
  <si>
    <t>If married filing jointly,  enter your spouse’s earned income  (if you or your spouse was a student</t>
  </si>
  <si>
    <t>amounts shown on Schedule SE, lines 3 and 4b.</t>
  </si>
  <si>
    <r>
      <t xml:space="preserve">or was disabled, see the instructions); </t>
    </r>
    <r>
      <rPr>
        <b/>
        <sz val="10"/>
        <rFont val="Arial"/>
        <family val="2"/>
      </rPr>
      <t>all others</t>
    </r>
    <r>
      <rPr>
        <sz val="10"/>
        <rFont val="Arial"/>
        <family val="2"/>
      </rPr>
      <t>, enter the amount from line 4</t>
    </r>
  </si>
  <si>
    <r>
      <t xml:space="preserve">Enter the </t>
    </r>
    <r>
      <rPr>
        <b/>
        <sz val="10"/>
        <rFont val="Arial"/>
        <family val="2"/>
      </rPr>
      <t>smallest</t>
    </r>
    <r>
      <rPr>
        <sz val="10"/>
        <rFont val="Arial"/>
        <family val="2"/>
      </rPr>
      <t xml:space="preserve"> of line 3, 4, or 5</t>
    </r>
  </si>
  <si>
    <t>If you received church employee income of $108.28 or more,</t>
  </si>
  <si>
    <t>Enter the amount from Form 1040, 1040-SR, or 1040-NR, line 11</t>
  </si>
  <si>
    <t>subtract any deduction you claim on Schedule 1 (Form 1040),</t>
  </si>
  <si>
    <t>Enter on line 8 the decimal amount shown below that applies to the amount on line 7.</t>
  </si>
  <si>
    <t xml:space="preserve">line 15, from the total of the amounts shown on Schedule SE, </t>
  </si>
  <si>
    <t>If line 7 is:</t>
  </si>
  <si>
    <t>lines 3 and 4b.</t>
  </si>
  <si>
    <t>But not</t>
  </si>
  <si>
    <t>Dec. amt.</t>
  </si>
  <si>
    <t>Over</t>
  </si>
  <si>
    <t>Decimal</t>
  </si>
  <si>
    <r>
      <t xml:space="preserve">3. If you are filing </t>
    </r>
    <r>
      <rPr>
        <b/>
        <sz val="10"/>
        <rFont val="Arial"/>
        <family val="2"/>
      </rPr>
      <t xml:space="preserve">Schedule C (Form 1040) </t>
    </r>
  </si>
  <si>
    <t>over</t>
  </si>
  <si>
    <t>amount is</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</si>
  <si>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</si>
  <si>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t>
  </si>
  <si>
    <t>schedule.</t>
  </si>
  <si>
    <t xml:space="preserve">X </t>
  </si>
  <si>
    <r>
      <t xml:space="preserve">4. </t>
    </r>
    <r>
      <rPr>
        <b/>
        <sz val="10"/>
        <rFont val="Arial"/>
        <family val="2"/>
      </rPr>
      <t>Nontaxable combat pay</t>
    </r>
    <r>
      <rPr>
        <sz val="10"/>
        <rFont val="Arial"/>
        <family val="2"/>
      </rPr>
      <t>, if you elect to include it in</t>
    </r>
  </si>
  <si>
    <t>earned income. However, including this income will only</t>
  </si>
  <si>
    <t>No limit</t>
  </si>
  <si>
    <t>give you a larger credit if your (or your spouse's) other</t>
  </si>
  <si>
    <t>earned income is less than the amount entered on line 3.</t>
  </si>
  <si>
    <t>To make the election, include all of your nontaxable</t>
  </si>
  <si>
    <t>Multiply line 6 by the decimal amount on line 8</t>
  </si>
  <si>
    <t>combat pay in the amount you enter on line 4 (line 5 for</t>
  </si>
  <si>
    <t xml:space="preserve">  b</t>
  </si>
  <si>
    <t>your spouse if filing jointly).</t>
  </si>
  <si>
    <t>If you are filing jointly and both you and your spouse</t>
  </si>
  <si>
    <t xml:space="preserve">  c</t>
  </si>
  <si>
    <t>Add lines 9a and 9b and enter the result.</t>
  </si>
  <si>
    <t>9c</t>
  </si>
  <si>
    <t>received nontaxable combat pay, you can each make</t>
  </si>
  <si>
    <r>
      <t xml:space="preserve">Tax liability limit. </t>
    </r>
    <r>
      <rPr>
        <sz val="9"/>
        <rFont val="Arial"/>
        <family val="2"/>
      </rPr>
      <t>Enter amount from the Credit Limit Worksheet in the instructions</t>
    </r>
  </si>
  <si>
    <t>your own election. (In other words, if one of you makes the</t>
  </si>
  <si>
    <t>election, the other one can also make it but does not have</t>
  </si>
  <si>
    <t>on Schedule 3 (Form 1040), line 2</t>
  </si>
  <si>
    <t>to.) The amount of your nontaxable combat pay should be</t>
  </si>
  <si>
    <t>Cat. No. 11862M</t>
  </si>
  <si>
    <t>shown in box 12 of your Form(s) W-2 with code Q.</t>
  </si>
  <si>
    <t xml:space="preserve">  Dependent Care Benefits</t>
  </si>
  <si>
    <r>
      <t xml:space="preserve">Enter total  amount of </t>
    </r>
    <r>
      <rPr>
        <b/>
        <sz val="10"/>
        <rFont val="Arial"/>
        <family val="2"/>
      </rPr>
      <t>dependent care benefits</t>
    </r>
  </si>
  <si>
    <t xml:space="preserve">Amounts  you received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</si>
  <si>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</si>
  <si>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</si>
  <si>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amount.  See instructions</t>
  </si>
  <si>
    <t>Combine lines 12 through 14. See instructions</t>
  </si>
  <si>
    <t>Input to:</t>
  </si>
  <si>
    <r>
      <t xml:space="preserve">Enter the total amount of </t>
    </r>
    <r>
      <rPr>
        <b/>
        <sz val="11"/>
        <rFont val="Arial"/>
        <family val="2"/>
      </rPr>
      <t xml:space="preserve">qualified expenses </t>
    </r>
    <r>
      <rPr>
        <sz val="11"/>
        <rFont val="Arial"/>
        <family val="2"/>
      </rPr>
      <t xml:space="preserve"> incurred</t>
    </r>
  </si>
  <si>
    <r>
      <t xml:space="preserve">the care of </t>
    </r>
    <r>
      <rPr>
        <b/>
        <sz val="11"/>
        <rFont val="Arial"/>
        <family val="2"/>
      </rPr>
      <t>qualifying person(s)</t>
    </r>
  </si>
  <si>
    <r>
      <t xml:space="preserve">Enter the </t>
    </r>
    <r>
      <rPr>
        <b/>
        <sz val="12"/>
        <rFont val="Arial"/>
        <family val="2"/>
      </rPr>
      <t>smaller</t>
    </r>
    <r>
      <rPr>
        <sz val="12"/>
        <rFont val="Arial"/>
        <family val="2"/>
      </rPr>
      <t xml:space="preserve"> of line 15 or 16</t>
    </r>
  </si>
  <si>
    <t>Indicate at the top</t>
  </si>
  <si>
    <r>
      <t xml:space="preserve">Enter your </t>
    </r>
    <r>
      <rPr>
        <b/>
        <sz val="12"/>
        <rFont val="Arial"/>
        <family val="2"/>
      </rPr>
      <t>earned income.</t>
    </r>
    <r>
      <rPr>
        <sz val="12"/>
        <rFont val="Arial"/>
        <family val="2"/>
      </rPr>
      <t xml:space="preserve">  See instructions</t>
    </r>
  </si>
  <si>
    <t>and to the right</t>
  </si>
  <si>
    <t>Enter the amount shown below that applies</t>
  </si>
  <si>
    <t>as to whether or</t>
  </si>
  <si>
    <t>to you.</t>
  </si>
  <si>
    <t>not you meet the</t>
  </si>
  <si>
    <r>
      <t>h</t>
    </r>
    <r>
      <rPr>
        <sz val="12"/>
        <rFont val="Arial"/>
        <family val="2"/>
      </rPr>
      <t xml:space="preserve"> If married filing a joint return, enter your</t>
    </r>
  </si>
  <si>
    <t>requirements to</t>
  </si>
  <si>
    <t xml:space="preserve">     spouse's earned income (if your spouse</t>
  </si>
  <si>
    <t xml:space="preserve">be considered </t>
  </si>
  <si>
    <t xml:space="preserve">     was a student or was disabled, see the</t>
  </si>
  <si>
    <t xml:space="preserve">     instructions for line 5).</t>
  </si>
  <si>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</si>
  <si>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</si>
  <si>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t xml:space="preserve"> filing separately </t>
    </r>
    <r>
      <rPr>
        <b/>
        <sz val="12"/>
        <rFont val="Arial"/>
        <family val="2"/>
      </rPr>
      <t>and</t>
    </r>
    <r>
      <rPr>
        <sz val="12"/>
        <rFont val="Arial"/>
        <family val="2"/>
      </rPr>
      <t xml:space="preserve"> you were</t>
    </r>
  </si>
  <si>
    <t>Is any amount on line 12 from your sole proprietorship or partnership?</t>
  </si>
  <si>
    <r>
      <rPr>
        <b/>
        <u/>
        <sz val="10"/>
        <rFont val="Arial"/>
        <family val="2"/>
      </rPr>
      <t xml:space="preserve">Lines 27 through 31 </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</si>
  <si>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</si>
  <si>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</si>
  <si>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Subtract line 22 from line 15</t>
  </si>
  <si>
    <r>
      <rPr>
        <b/>
        <sz val="12"/>
        <rFont val="Arial"/>
        <family val="2"/>
      </rPr>
      <t>Excluded benefits.</t>
    </r>
    <r>
      <rPr>
        <sz val="12"/>
        <rFont val="Arial"/>
        <family val="2"/>
      </rPr>
      <t xml:space="preserve"> </t>
    </r>
    <r>
      <rPr>
        <b/>
        <sz val="12"/>
        <rFont val="Arial"/>
        <family val="2"/>
      </rPr>
      <t xml:space="preserve"> </t>
    </r>
    <r>
      <rPr>
        <sz val="12"/>
        <rFont val="Arial"/>
        <family val="2"/>
      </rPr>
      <t>If you checked "No" on line 22, enter the smaller of line 20 or 21.</t>
    </r>
  </si>
  <si>
    <r>
      <t>Otherwise, subtract line 24 from the smaller of line 20 or line 21. If zero or less, enter -0-.</t>
    </r>
    <r>
      <rPr>
        <b/>
        <sz val="10"/>
        <rFont val="Arial"/>
        <family val="2"/>
      </rPr>
      <t/>
    </r>
  </si>
  <si>
    <r>
      <rPr>
        <b/>
        <sz val="11"/>
        <rFont val="Arial"/>
        <family val="2"/>
      </rPr>
      <t>Taxable benefits.</t>
    </r>
    <r>
      <rPr>
        <sz val="11"/>
        <rFont val="Arial"/>
        <family val="2"/>
      </rPr>
      <t xml:space="preserve"> Subtract line 25 from line 23. If zero or less, enter -0-. Also, enter this amount</t>
    </r>
  </si>
  <si>
    <t>on Form 1040, 1040-SR or 1040-NR, line 1e</t>
  </si>
  <si>
    <t>To claim the child and dependent care credit,</t>
  </si>
  <si>
    <t>complete lines 27 through 31 below.</t>
  </si>
  <si>
    <t>Subtract line 28 from line 27.</t>
  </si>
  <si>
    <r>
      <t xml:space="preserve">If zero or less, </t>
    </r>
    <r>
      <rPr>
        <b/>
        <sz val="11"/>
        <rFont val="Arial"/>
        <family val="2"/>
      </rPr>
      <t>stop</t>
    </r>
    <r>
      <rPr>
        <sz val="11"/>
        <rFont val="Arial"/>
        <family val="2"/>
      </rPr>
      <t>.    You can't take the credit.</t>
    </r>
  </si>
  <si>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</si>
  <si>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(d) any benefits shown on</t>
    </r>
  </si>
  <si>
    <r>
      <t xml:space="preserve">Enter the </t>
    </r>
    <r>
      <rPr>
        <b/>
        <sz val="11"/>
        <rFont val="Arial"/>
        <family val="2"/>
      </rPr>
      <t>smaller</t>
    </r>
    <r>
      <rPr>
        <sz val="11"/>
        <rFont val="Arial"/>
        <family val="2"/>
      </rPr>
      <t xml:space="preserve"> of line 29 or 30. Also, enter this amount on line 3 on page 1 of this form and</t>
    </r>
  </si>
  <si>
    <t>complete lines 4 through 11</t>
  </si>
  <si>
    <t>Attachment to:</t>
  </si>
  <si>
    <r>
      <t xml:space="preserve">   Persons or Organizations Who Provided the Care –</t>
    </r>
    <r>
      <rPr>
        <sz val="12"/>
        <rFont val="Arial"/>
        <family val="2"/>
      </rPr>
      <t xml:space="preserve"> (Continued)</t>
    </r>
  </si>
  <si>
    <r>
      <rPr>
        <b/>
        <sz val="11"/>
        <rFont val="Arial"/>
        <family val="2"/>
      </rPr>
      <t xml:space="preserve"> 1</t>
    </r>
    <r>
      <rPr>
        <b/>
        <sz val="8"/>
        <rFont val="Arial"/>
        <family val="2"/>
      </rPr>
      <t xml:space="preserve">     (a)</t>
    </r>
  </si>
  <si>
    <r>
      <rPr>
        <b/>
        <sz val="8"/>
        <rFont val="Arial"/>
        <family val="2"/>
      </rPr>
      <t>(c)</t>
    </r>
    <r>
      <rPr>
        <sz val="8"/>
        <rFont val="Arial"/>
        <family val="2"/>
      </rPr>
      <t xml:space="preserve"> Identifying number</t>
    </r>
  </si>
  <si>
    <t>(SSN or EIN)</t>
  </si>
  <si>
    <r>
      <t xml:space="preserve">Credit for Child and Dependent Care Expenses </t>
    </r>
    <r>
      <rPr>
        <sz val="11"/>
        <rFont val="Arial"/>
        <family val="2"/>
      </rPr>
      <t>– (Continued)</t>
    </r>
  </si>
  <si>
    <r>
      <t xml:space="preserve">Information about your </t>
    </r>
    <r>
      <rPr>
        <b/>
        <sz val="10"/>
        <rFont val="Arial"/>
        <family val="2"/>
      </rPr>
      <t>qualifying person(s).</t>
    </r>
    <r>
      <rPr>
        <sz val="10"/>
        <rFont val="Arial"/>
        <family val="2"/>
      </rPr>
      <t xml:space="preserve"> </t>
    </r>
  </si>
  <si>
    <r>
      <t>(c)</t>
    </r>
    <r>
      <rPr>
        <sz val="7"/>
        <rFont val="Arial"/>
        <family val="2"/>
      </rPr>
      <t xml:space="preserve"> </t>
    </r>
    <r>
      <rPr>
        <b/>
        <sz val="7"/>
        <rFont val="Arial"/>
        <family val="2"/>
      </rPr>
      <t>Qualified expenses</t>
    </r>
    <r>
      <rPr>
        <sz val="7"/>
        <rFont val="Arial"/>
        <family val="2"/>
      </rPr>
      <t xml:space="preserve"> you</t>
    </r>
  </si>
  <si>
    <t>Credit Limit Worksheet -- For Line 10.</t>
  </si>
  <si>
    <t>Complete this worksheet to figure the amount to enter on line 10.</t>
  </si>
  <si>
    <t>Enter the amount from Form 1040, 1040-SR, or</t>
  </si>
  <si>
    <t>1040-NR, line 18</t>
  </si>
  <si>
    <t>Enter the amount from Schedule 3 (Form 1040), line 1</t>
  </si>
  <si>
    <t>(foreign tax credit) and line 6l (Form 8978, line 14)</t>
  </si>
  <si>
    <t>Subtract line 2 from line 1. also, enter this amount on</t>
  </si>
  <si>
    <t>Form 2441, line 10. But If zero or less, stop; you can’t take the credit</t>
  </si>
  <si>
    <t>Worksheet A.</t>
  </si>
  <si>
    <t>Add the amounts on lines 1 and 2</t>
  </si>
  <si>
    <t>Number of qualifiying</t>
  </si>
  <si>
    <t>Subtract the amount on line 5 from the amount on line 4 and enter the result</t>
  </si>
  <si>
    <t>smaller amount</t>
  </si>
  <si>
    <t>Compare the amounts on lines 3, 6, and 7, and enter the smallest amount</t>
  </si>
  <si>
    <t>Subtract the amount on line 9 from the amount on line 8 and enter the result.</t>
  </si>
  <si>
    <t>If zero or less, stop here.</t>
  </si>
  <si>
    <t>line 11)</t>
  </si>
  <si>
    <t>But not over:</t>
  </si>
  <si>
    <t>THEN the decimal 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</si>
  <si>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</si>
  <si>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</si>
  <si>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</si>
  <si>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</si>
  <si>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</si>
  <si>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</si>
  <si>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</si>
  <si>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Download Form 2441</t>
  </si>
  <si>
    <t>Download Form 2441 Instructions</t>
  </si>
  <si>
    <t>Foreign Earned Income</t>
  </si>
  <si>
    <t>This form is for:</t>
  </si>
  <si>
    <t xml:space="preserve">   Attachment     </t>
  </si>
  <si>
    <t>Your spouse</t>
  </si>
  <si>
    <r>
      <t xml:space="preserve">Go to </t>
    </r>
    <r>
      <rPr>
        <b/>
        <i/>
        <sz val="9"/>
        <rFont val="Arial"/>
        <family val="2"/>
      </rPr>
      <t>www.irs.gov/Form2555</t>
    </r>
    <r>
      <rPr>
        <b/>
        <sz val="9"/>
        <rFont val="Arial"/>
        <family val="2"/>
      </rPr>
      <t xml:space="preserve"> for instructions and the latest information.</t>
    </r>
  </si>
  <si>
    <t>For Use by U.S. Citizens and Resident Aliens Only</t>
  </si>
  <si>
    <t>Name shown on Form 1040 or 1040-SR</t>
  </si>
  <si>
    <t>General Information</t>
  </si>
  <si>
    <t>Your foreign address (including country)</t>
  </si>
  <si>
    <t>Employer’s name</t>
  </si>
  <si>
    <t>4 a</t>
  </si>
  <si>
    <t>Employer’s U.S. address</t>
  </si>
  <si>
    <t>Employer’s foreign address</t>
  </si>
  <si>
    <t>Employer is (check
any that apply):</t>
  </si>
  <si>
    <t xml:space="preserve">a </t>
  </si>
  <si>
    <t xml:space="preserve"> A foreign entity</t>
  </si>
  <si>
    <t xml:space="preserve"> A U.S. company</t>
  </si>
  <si>
    <t xml:space="preserve"> Self</t>
  </si>
  <si>
    <t xml:space="preserve">d </t>
  </si>
  <si>
    <t xml:space="preserve"> A foreign affiliate of a U.S. company</t>
  </si>
  <si>
    <t xml:space="preserve">e </t>
  </si>
  <si>
    <t xml:space="preserve"> Other (specify)</t>
  </si>
  <si>
    <t>6 a</t>
  </si>
  <si>
    <t>If you previously filed Form 2555 or Form 2555-EZ, enter the last year you filed the form.</t>
  </si>
  <si>
    <t>If you didn't previously file Form 2555 or 2555-EZ to claim either of the exclusions, check here</t>
  </si>
  <si>
    <t xml:space="preserve"> and go to line 7.</t>
  </si>
  <si>
    <t>Have you ever revoked either of the exclusions?</t>
  </si>
  <si>
    <t>If you answered “Yes,” enter the type of exclusion and the tax year for which the revocation was effective.</t>
  </si>
  <si>
    <t>Of what country are you a citizen/national?</t>
  </si>
  <si>
    <t>8 a</t>
  </si>
  <si>
    <t>Did you maintain a separate foreign residence for your family because of adverse living conditions at your</t>
  </si>
  <si>
    <r>
      <t xml:space="preserve">tax home? See </t>
    </r>
    <r>
      <rPr>
        <b/>
        <i/>
        <sz val="10"/>
        <rFont val="Arial"/>
        <family val="2"/>
      </rPr>
      <t>Second foreign household</t>
    </r>
    <r>
      <rPr>
        <sz val="10"/>
        <rFont val="Arial"/>
        <family val="2"/>
      </rPr>
      <t xml:space="preserve"> in the instructions</t>
    </r>
  </si>
  <si>
    <t>If “Yes,” enter city and country of the separate foreign residence. Also, enter the number of days during your tax year that you</t>
  </si>
  <si>
    <t>maintained a second household at that address.</t>
  </si>
  <si>
    <t>List your tax home(s) during your tax year and date(s) established.</t>
  </si>
  <si>
    <t>Next, complete either Part II or Part III. If an item doesn't apply, enter “N/A.” If you don't give</t>
  </si>
  <si>
    <t>the information asked for, any exclusion or deduction you claim may be disallowed.</t>
  </si>
  <si>
    <t>Taxpayers Qualifying Under Bona Fide Residence Test</t>
  </si>
  <si>
    <r>
      <rPr>
        <b/>
        <sz val="12"/>
        <rFont val="Arial"/>
        <family val="2"/>
      </rPr>
      <t>Note:</t>
    </r>
    <r>
      <rPr>
        <sz val="12"/>
        <rFont val="Arial"/>
        <family val="2"/>
      </rPr>
      <t xml:space="preserve"> Only U.S. citizens and resident aliens who are citizens or nationals of U.S. treaty countries can use this</t>
    </r>
  </si>
  <si>
    <t>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</si>
  <si>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</si>
  <si>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</si>
  <si>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</si>
  <si>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</si>
  <si>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</si>
  <si>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</si>
  <si>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</si>
  <si>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 xml:space="preserve">12 a </t>
  </si>
  <si>
    <t>Did any of your family live with you abroad during any part of the tax year?</t>
  </si>
  <si>
    <t>If “Yes,” who and for what period?</t>
  </si>
  <si>
    <t xml:space="preserve">13 a </t>
  </si>
  <si>
    <t>Have you submitted a statement to the authorities of the foreign country where you claim bona fide</t>
  </si>
  <si>
    <t>residence that you aren't a resident of that country? See instructions</t>
  </si>
  <si>
    <t>Are you required to pay income tax to the country where you claim bona fide residence? See instructions</t>
  </si>
  <si>
    <t>If you answered “Yes” to 13a and “No” to 13b, you don't qualify as a bona fide resident. Don't complete the rest of</t>
  </si>
  <si>
    <t>this part.</t>
  </si>
  <si>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</si>
  <si>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t xml:space="preserve">the income from column </t>
    </r>
    <r>
      <rPr>
        <b/>
        <sz val="11"/>
        <rFont val="Arial"/>
        <family val="2"/>
      </rPr>
      <t>(d)</t>
    </r>
    <r>
      <rPr>
        <sz val="11"/>
        <rFont val="Arial"/>
        <family val="2"/>
      </rPr>
      <t xml:space="preserve"> in Part IV, but report it on Form 1040 or 1040-SR.</t>
    </r>
  </si>
  <si>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</si>
  <si>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</si>
  <si>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</si>
  <si>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</si>
  <si>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</si>
  <si>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 xml:space="preserve">15 a </t>
  </si>
  <si>
    <t>List any contractual terms or other conditions relating to the length of your employment abroad.</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</si>
  <si>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</si>
  <si>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</si>
  <si>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</si>
  <si>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</si>
  <si>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For Paperwork Reduction Act Notice, see the Form 1040 instructions.</t>
  </si>
  <si>
    <t>Cat. No. 11900P</t>
  </si>
  <si>
    <r>
      <rPr>
        <sz val="8"/>
        <rFont val="Arial"/>
        <family val="2"/>
      </rPr>
      <t xml:space="preserve">Form </t>
    </r>
    <r>
      <rPr>
        <b/>
        <sz val="14"/>
        <rFont val="Arial"/>
        <family val="2"/>
      </rPr>
      <t>2555</t>
    </r>
  </si>
  <si>
    <t>Taxpayers Qualifying Under Physical Presence Test</t>
  </si>
  <si>
    <r>
      <t xml:space="preserve">Note: </t>
    </r>
    <r>
      <rPr>
        <sz val="14"/>
        <rFont val="Arial"/>
        <family val="2"/>
      </rPr>
      <t>U.S. citizens and all resident aliens can use this test. See instructions.</t>
    </r>
  </si>
  <si>
    <t>The physical presence test is based on the 12-month period from</t>
  </si>
  <si>
    <t>through</t>
  </si>
  <si>
    <t>Enter your principal country of employment during your tax year.</t>
  </si>
  <si>
    <r>
      <t xml:space="preserve">If you traveled abroad during the 12-month period entered on line 16, complete columns </t>
    </r>
    <r>
      <rPr>
        <b/>
        <sz val="11"/>
        <rFont val="Arial"/>
        <family val="2"/>
      </rPr>
      <t>(a)–(f)</t>
    </r>
    <r>
      <rPr>
        <sz val="11"/>
        <rFont val="Arial"/>
        <family val="2"/>
      </rPr>
      <t xml:space="preserve"> below. Exclude travel between</t>
    </r>
  </si>
  <si>
    <t>foreign countries that didn't involve travel on or over international waters, or in or over the United States, for 24 hours or more.</t>
  </si>
  <si>
    <t>If you have no travel to report during the period, enter “Physically present in a foreign country or countries for the entire 12-</t>
  </si>
  <si>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</si>
  <si>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(a) Name of country 
(including U.S.)</t>
  </si>
  <si>
    <t>(b) Date arrived</t>
  </si>
  <si>
    <t>(c) Date left</t>
  </si>
  <si>
    <t>(d) Full days 
present 
in country</t>
  </si>
  <si>
    <t>(e) Number of 
days in U.S. 
on business</t>
  </si>
  <si>
    <t>(f) Income earned in U.S. 
on business 
(attach computation)</t>
  </si>
  <si>
    <t>All Taxpayers</t>
  </si>
  <si>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</si>
  <si>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</si>
  <si>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</si>
  <si>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t>constructively received the income.</t>
  </si>
  <si>
    <t>performed the service.</t>
  </si>
  <si>
    <t>Amount 
(in U.S. dollars)</t>
  </si>
  <si>
    <t xml:space="preserve">19 </t>
  </si>
  <si>
    <t>Total wages, salaries, bonuses, commissions, etc.</t>
  </si>
  <si>
    <t xml:space="preserve"> .   .   .   .   .   .   .   .   .   .   .   .   .   .   .   .   .   .   .   . </t>
  </si>
  <si>
    <t xml:space="preserve">20 </t>
  </si>
  <si>
    <t>Allowable share of income for personal services performed (see instructions):</t>
  </si>
  <si>
    <t>In a business (including farming) or profession</t>
  </si>
  <si>
    <t>In a partnership. List partnership’s name and address and type of income.</t>
  </si>
  <si>
    <t xml:space="preserve">21 </t>
  </si>
  <si>
    <t>Noncash income (market value of property or facilities furnished by employer—attach statement</t>
  </si>
  <si>
    <t>showing how it was determined):</t>
  </si>
  <si>
    <t>Home (lodging)</t>
  </si>
  <si>
    <t xml:space="preserve">.   .   .   .   .   .   .   .   .   .   .   .   .   .   .   .   .   .   .   .   .   .   .   .   .   .   .   .   .   .   .   .   .   . </t>
  </si>
  <si>
    <t>Meals</t>
  </si>
  <si>
    <t>Car</t>
  </si>
  <si>
    <t xml:space="preserve">.   .   .   .   .   .   .   .   .   .   .   .   .   .   .   .   .   .   .   .   .   .   .   .   .   .   .   .   .   .   .   .   .   .   .   .   .   .   .   . </t>
  </si>
  <si>
    <t>21c</t>
  </si>
  <si>
    <t>Other property or facilities. List type and amount.</t>
  </si>
  <si>
    <t>21d</t>
  </si>
  <si>
    <t xml:space="preserve">22 </t>
  </si>
  <si>
    <t>Allowances, reimbursements, or expenses paid on your behalf for services you performed:</t>
  </si>
  <si>
    <t>Cost of living and overseas differential</t>
  </si>
  <si>
    <t>22a</t>
  </si>
  <si>
    <t>Family</t>
  </si>
  <si>
    <t>22b</t>
  </si>
  <si>
    <t>Education</t>
  </si>
  <si>
    <t>22c</t>
  </si>
  <si>
    <t>Home leave</t>
  </si>
  <si>
    <t>22d</t>
  </si>
  <si>
    <t>Quarters</t>
  </si>
  <si>
    <t>22e</t>
  </si>
  <si>
    <t xml:space="preserve">f </t>
  </si>
  <si>
    <t>For any other purpose. List type and amount.</t>
  </si>
  <si>
    <t>22f</t>
  </si>
  <si>
    <t xml:space="preserve">g </t>
  </si>
  <si>
    <t>Add lines 22a through 22f</t>
  </si>
  <si>
    <t>22g</t>
  </si>
  <si>
    <t xml:space="preserve">23 </t>
  </si>
  <si>
    <t>Other foreign earned income. List type and amount.</t>
  </si>
  <si>
    <t xml:space="preserve">24 </t>
  </si>
  <si>
    <t>Add lines 19 through 21d, line 22g, and line 23</t>
  </si>
  <si>
    <t xml:space="preserve">25 </t>
  </si>
  <si>
    <t>Total amount of meals and lodging included on line 24 that is excludable (see instructions)</t>
  </si>
  <si>
    <t xml:space="preserve">26 </t>
  </si>
  <si>
    <t>Subtract line 25 from line 24. Enter the result here and on line 27 on page 3.</t>
  </si>
  <si>
    <t>foreign earned income.</t>
  </si>
  <si>
    <r>
      <rPr>
        <sz val="10"/>
        <rFont val="Arial"/>
        <family val="2"/>
      </rPr>
      <t>Form</t>
    </r>
    <r>
      <rPr>
        <sz val="11"/>
        <rFont val="Arial"/>
        <family val="2"/>
      </rPr>
      <t xml:space="preserve"> </t>
    </r>
    <r>
      <rPr>
        <b/>
        <sz val="14"/>
        <rFont val="Arial"/>
        <family val="2"/>
      </rPr>
      <t>2555</t>
    </r>
  </si>
  <si>
    <t xml:space="preserve">27 </t>
  </si>
  <si>
    <t>Enter the amount from line 26</t>
  </si>
  <si>
    <t>Are you claiming the housing exclusion or housing deduction?</t>
  </si>
  <si>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</si>
  <si>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</si>
  <si>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t>Part VI</t>
  </si>
  <si>
    <t>Taxpayers Claiming the Housing Exclusion and/or Deduction</t>
  </si>
  <si>
    <t>28</t>
  </si>
  <si>
    <t>Qualified housing expenses for the tax year (see instructions)</t>
  </si>
  <si>
    <t xml:space="preserve">29 a </t>
  </si>
  <si>
    <t>Enter location where housing expenses incurred (see instructions)</t>
  </si>
  <si>
    <t>Enter limit on housing expenses (see instructions)</t>
  </si>
  <si>
    <t>29b</t>
  </si>
  <si>
    <t>30</t>
  </si>
  <si>
    <r>
      <t xml:space="preserve">Enter the </t>
    </r>
    <r>
      <rPr>
        <b/>
        <sz val="11"/>
        <rFont val="Arial"/>
        <family val="2"/>
      </rPr>
      <t>smaller</t>
    </r>
    <r>
      <rPr>
        <sz val="11"/>
        <rFont val="Arial"/>
        <family val="2"/>
      </rPr>
      <t xml:space="preserve"> of line 28 or line 29b</t>
    </r>
  </si>
  <si>
    <t>31</t>
  </si>
  <si>
    <t>Days in qualifying</t>
  </si>
  <si>
    <t>days</t>
  </si>
  <si>
    <t>&lt;</t>
  </si>
  <si>
    <t>period.</t>
  </si>
  <si>
    <t>32</t>
  </si>
  <si>
    <t>33</t>
  </si>
  <si>
    <t xml:space="preserve">Subtract line 32 from line 30. </t>
  </si>
  <si>
    <t>If the result is zero or less, don't complete the rest of this part or</t>
  </si>
  <si>
    <t>any of Part IX</t>
  </si>
  <si>
    <t>34</t>
  </si>
  <si>
    <t>Enter employer-provided amounts (see instructions)</t>
  </si>
  <si>
    <t>35</t>
  </si>
  <si>
    <t>Divide line 34 by line 27. Enter the result as a decimal (rounded to at least three places), but</t>
  </si>
  <si>
    <t>don't enter more than “1.000”</t>
  </si>
  <si>
    <t>36</t>
  </si>
  <si>
    <r>
      <rPr>
        <b/>
        <sz val="11"/>
        <rFont val="Arial"/>
        <family val="2"/>
      </rPr>
      <t xml:space="preserve">Housing exclusion. </t>
    </r>
    <r>
      <rPr>
        <sz val="11"/>
        <rFont val="Arial"/>
        <family val="2"/>
      </rPr>
      <t>Multiply line 33 by line 35. Enter the result but don't enter more than the</t>
    </r>
  </si>
  <si>
    <t>amount on line 34. Also, complete Part VIII</t>
  </si>
  <si>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</si>
  <si>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</si>
  <si>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Part VII</t>
  </si>
  <si>
    <t>Taxpayers Claiming the Foreign Earned Income Exclusion</t>
  </si>
  <si>
    <t>37</t>
  </si>
  <si>
    <t>38</t>
  </si>
  <si>
    <t>If you completed Part VI, enter the number from line 31.</t>
  </si>
  <si>
    <t>All others, enter the number of days in your qualifying period that</t>
  </si>
  <si>
    <t>No. of days of your</t>
  </si>
  <si>
    <t>qualifying period that fall within your</t>
  </si>
  <si>
    <t>39</t>
  </si>
  <si>
    <t>a decimal (rounded to at least three places).</t>
  </si>
  <si>
    <t>40</t>
  </si>
  <si>
    <t>Multiply line 37 by line 39</t>
  </si>
  <si>
    <t>41</t>
  </si>
  <si>
    <t>Subtract line 36 from line 27</t>
  </si>
  <si>
    <t>42</t>
  </si>
  <si>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</si>
  <si>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 xml:space="preserve"> .   .   . </t>
  </si>
  <si>
    <t>Part VIII</t>
  </si>
  <si>
    <t>Taxpayers Claiming the Housing Exclusion, Foreign Earned Income Exclusion, or Both</t>
  </si>
  <si>
    <t>43</t>
  </si>
  <si>
    <t>Add lines 36 and 42</t>
  </si>
  <si>
    <t>44</t>
  </si>
  <si>
    <t>Deductions allowed in figuring your adjusted gross income (Form 1040 or 1040-SR, line 11) that are</t>
  </si>
  <si>
    <t>allocable to the excluded income. See instructions and attach computation</t>
  </si>
  <si>
    <t>45</t>
  </si>
  <si>
    <t>Subtract line 44 from line 43. Enter the result here and in parentheses on Schedule 1 (Form 1040),</t>
  </si>
  <si>
    <t>line 8d. Complete the Foreign Earned Income Tax Worksheet in the Instructions for Forms 1040 and</t>
  </si>
  <si>
    <t>1040-SR if you enter an amount on this line</t>
  </si>
  <si>
    <r>
      <t>Taxpayers Claiming the Housing Deduction</t>
    </r>
    <r>
      <rPr>
        <sz val="12"/>
        <rFont val="Arial"/>
        <family val="2"/>
      </rPr>
      <t>—Complete this part only if (a) line 33 is more than line 36, and
(b) line 27 is more than line 43.</t>
    </r>
  </si>
  <si>
    <t>Part IX</t>
  </si>
  <si>
    <t>46</t>
  </si>
  <si>
    <t>Subtract line 36 from line 33</t>
  </si>
  <si>
    <t>47</t>
  </si>
  <si>
    <t>Subtract line 43 from line 27</t>
  </si>
  <si>
    <t>48</t>
  </si>
  <si>
    <r>
      <t xml:space="preserve">Enter the </t>
    </r>
    <r>
      <rPr>
        <b/>
        <sz val="11"/>
        <rFont val="Arial"/>
        <family val="2"/>
      </rPr>
      <t>smaller</t>
    </r>
    <r>
      <rPr>
        <sz val="11"/>
        <rFont val="Arial"/>
        <family val="2"/>
      </rPr>
      <t xml:space="preserve"> of line 46 or line 47</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</si>
  <si>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</si>
  <si>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figure the amount to enter on line 49. Otherwise, go to line 50.</t>
  </si>
  <si>
    <t>49</t>
  </si>
  <si>
    <t>the instructions)</t>
  </si>
  <si>
    <t>50</t>
  </si>
  <si>
    <r>
      <rPr>
        <b/>
        <sz val="11"/>
        <rFont val="Arial"/>
        <family val="2"/>
      </rPr>
      <t>Housing deduction.</t>
    </r>
    <r>
      <rPr>
        <sz val="11"/>
        <rFont val="Arial"/>
        <family val="2"/>
      </rPr>
      <t xml:space="preserve">  Add lines 48 and 49. Enter the total here and on Schedule 1 (Form 1040),</t>
    </r>
  </si>
  <si>
    <t>line 24j. Complete the Foreign Earned Income Tax Worksheet in the Instructions for Forms 1040</t>
  </si>
  <si>
    <t>and 1040-SR an amount on this line</t>
  </si>
  <si>
    <r>
      <t xml:space="preserve">Form </t>
    </r>
    <r>
      <rPr>
        <b/>
        <sz val="14"/>
        <rFont val="Arial"/>
        <family val="2"/>
      </rPr>
      <t xml:space="preserve">2555 </t>
    </r>
  </si>
  <si>
    <t>Line 42, Foreign Income Exclusion</t>
  </si>
  <si>
    <t>42-1</t>
  </si>
  <si>
    <t>42-2</t>
  </si>
  <si>
    <t>42-Y</t>
  </si>
  <si>
    <t>42-S</t>
  </si>
  <si>
    <t>42-T</t>
  </si>
  <si>
    <t>Line 45</t>
  </si>
  <si>
    <t>45-1</t>
  </si>
  <si>
    <t>45-2</t>
  </si>
  <si>
    <t>45-Y</t>
  </si>
  <si>
    <t>45-S</t>
  </si>
  <si>
    <t>45-T</t>
  </si>
  <si>
    <t>Line 50, Foreign Housing Deduction</t>
  </si>
  <si>
    <t>50-1</t>
  </si>
  <si>
    <t>50-2</t>
  </si>
  <si>
    <t>50-Y</t>
  </si>
  <si>
    <t>50-S</t>
  </si>
  <si>
    <t>50-T</t>
  </si>
  <si>
    <r>
      <rPr>
        <b/>
        <sz val="18"/>
        <rFont val="Arial"/>
        <family val="2"/>
      </rPr>
      <t>Depreciation and Amortization</t>
    </r>
    <r>
      <rPr>
        <b/>
        <sz val="14"/>
        <rFont val="Arial"/>
        <family val="2"/>
      </rPr>
      <t xml:space="preserve">
</t>
    </r>
    <r>
      <rPr>
        <b/>
        <sz val="12"/>
        <rFont val="Arial"/>
        <family val="2"/>
      </rPr>
      <t>(Including Information on Listed Property)</t>
    </r>
  </si>
  <si>
    <t>Depreciation Worksheet (Keep for your records.)</t>
  </si>
  <si>
    <t>Attach to your tax return.</t>
  </si>
  <si>
    <t xml:space="preserve">   Attachment</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</si>
  <si>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</si>
  <si>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</si>
  <si>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</si>
  <si>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</si>
  <si>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</si>
  <si>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</si>
  <si>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</si>
  <si>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</si>
  <si>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</si>
  <si>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</si>
  <si>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</si>
  <si>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r>
      <t xml:space="preserve">Go to </t>
    </r>
    <r>
      <rPr>
        <b/>
        <i/>
        <sz val="10"/>
        <rFont val="Arial"/>
        <family val="2"/>
      </rPr>
      <t>www.irs.gov/Form4562</t>
    </r>
    <r>
      <rPr>
        <b/>
        <sz val="10"/>
        <rFont val="Arial"/>
        <family val="2"/>
      </rPr>
      <t xml:space="preserve"> for instructions and the latest information.</t>
    </r>
  </si>
  <si>
    <t xml:space="preserve">Sequence No.  </t>
  </si>
  <si>
    <t>Name shown on your return</t>
  </si>
  <si>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</si>
  <si>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</si>
  <si>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</si>
  <si>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</si>
  <si>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</si>
  <si>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</si>
  <si>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</si>
  <si>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</si>
  <si>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</si>
  <si>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</si>
  <si>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</si>
  <si>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</si>
  <si>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</si>
  <si>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</si>
  <si>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</si>
  <si>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r>
      <t xml:space="preserve">Tentative deduction. Enter the </t>
    </r>
    <r>
      <rPr>
        <b/>
        <sz val="12"/>
        <rFont val="Arial"/>
        <family val="2"/>
      </rPr>
      <t>smaller</t>
    </r>
    <r>
      <rPr>
        <sz val="12"/>
        <rFont val="Arial"/>
        <family val="2"/>
      </rPr>
      <t xml:space="preserve"> of line 5 or line 8</t>
    </r>
  </si>
  <si>
    <t>Business Income</t>
  </si>
  <si>
    <t>Business income limitation. Enter the smaller of business income (not less than zero) or line 5. See instructions</t>
  </si>
  <si>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</si>
  <si>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</si>
  <si>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</si>
  <si>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</si>
  <si>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</si>
  <si>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 xml:space="preserve">.   .   .   .   .   .   .   .   .   .   .   .   .   .   .   .   .   .   .   .   .   .   .   .   .   .   .  </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</si>
  <si>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</si>
  <si>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</si>
  <si>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</si>
  <si>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Section A</t>
  </si>
  <si>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</si>
  <si>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</si>
  <si>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</si>
  <si>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</si>
  <si>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</si>
  <si>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</si>
  <si>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</si>
  <si>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</si>
  <si>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</si>
  <si>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</si>
  <si>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</si>
  <si>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</si>
  <si>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</si>
  <si>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</si>
  <si>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</si>
  <si>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</si>
  <si>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</si>
  <si>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</si>
  <si>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</si>
  <si>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</si>
  <si>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</si>
  <si>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</si>
  <si>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</si>
  <si>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</si>
  <si>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</si>
  <si>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</si>
  <si>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</si>
  <si>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</si>
  <si>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</si>
  <si>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</si>
  <si>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</si>
  <si>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</si>
  <si>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</si>
  <si>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</si>
  <si>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</si>
  <si>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</si>
  <si>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</si>
  <si>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</si>
  <si>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</si>
  <si>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</si>
  <si>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</si>
  <si>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r>
      <rPr>
        <b/>
        <sz val="12"/>
        <rFont val="Arial"/>
        <family val="2"/>
      </rPr>
      <t>Total.</t>
    </r>
    <r>
      <rPr>
        <sz val="12"/>
        <rFont val="Arial"/>
        <family val="2"/>
      </rPr>
      <t xml:space="preserve"> </t>
    </r>
    <r>
      <rPr>
        <sz val="11"/>
        <rFont val="Arial"/>
        <family val="2"/>
      </rPr>
      <t>Add amounts from line 12, lines 14 through 17, lines 19 and 20 in column (g), and line 21.</t>
    </r>
    <r>
      <rPr>
        <sz val="12"/>
        <rFont val="Arial"/>
        <family val="2"/>
      </rPr>
      <t xml:space="preserve"> </t>
    </r>
    <r>
      <rPr>
        <sz val="11"/>
        <rFont val="Arial"/>
        <family val="2"/>
      </rPr>
      <t xml:space="preserve">  Enter</t>
    </r>
  </si>
  <si>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</si>
  <si>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</si>
  <si>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</si>
  <si>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</si>
  <si>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</si>
  <si>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</si>
  <si>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</si>
  <si>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</si>
  <si>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</si>
  <si>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</si>
  <si>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</si>
  <si>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</si>
  <si>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</si>
  <si>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</si>
  <si>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</si>
  <si>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</si>
  <si>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</si>
  <si>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</si>
  <si>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</si>
  <si>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</si>
  <si>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</si>
  <si>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</si>
  <si>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</si>
  <si>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</si>
  <si>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</si>
  <si>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</si>
  <si>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</si>
  <si>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t>
  </si>
  <si>
    <t>Property used 50% or less in a qualified business use :</t>
  </si>
  <si>
    <t>S/L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</si>
  <si>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</si>
  <si>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</si>
  <si>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</si>
  <si>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</si>
  <si>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</si>
  <si>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</si>
  <si>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</si>
  <si>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</si>
  <si>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</si>
  <si>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</si>
  <si>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</si>
  <si>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</si>
  <si>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</si>
  <si>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</si>
  <si>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</si>
  <si>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</si>
  <si>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</si>
  <si>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</si>
  <si>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 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</si>
  <si>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</si>
  <si>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</si>
  <si>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</si>
  <si>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</si>
  <si>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</si>
  <si>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</si>
  <si>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</si>
  <si>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</si>
  <si>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</si>
  <si>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 xml:space="preserve">.   .   .   .   .   .   .   .   .   .   .   .   .   .   .   .   .   .   .   .   .   .   .   .   .   .   .   .   .   .   .   .   .   .   .   .   .   .   .   .   .   .   .   .   .  </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</si>
  <si>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</si>
  <si>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</si>
  <si>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</si>
  <si>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</si>
  <si>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</si>
  <si>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</si>
  <si>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</si>
  <si>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</si>
  <si>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</si>
  <si>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</si>
  <si>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</si>
  <si>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</si>
  <si>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</si>
  <si>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</si>
  <si>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</si>
  <si>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</si>
  <si>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</si>
  <si>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</si>
  <si>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</si>
  <si>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</si>
  <si>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</si>
  <si>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</si>
  <si>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</si>
  <si>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</si>
  <si>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</si>
  <si>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 xml:space="preserve">Does Form 6251 need to be completed?    →  </t>
  </si>
  <si>
    <t>Alternative Minimum Tax—Individuals</t>
  </si>
  <si>
    <t>Worksheet To See if You Should Fill in Form 6251—Schedule 2, Line 1</t>
  </si>
  <si>
    <r>
      <t xml:space="preserve">Be sure you have read the </t>
    </r>
    <r>
      <rPr>
        <b/>
        <sz val="10"/>
        <rFont val="Arial"/>
        <family val="2"/>
      </rPr>
      <t>Exception</t>
    </r>
    <r>
      <rPr>
        <sz val="10"/>
        <rFont val="Arial"/>
        <family val="2"/>
      </rPr>
      <t xml:space="preserve"> in the instructions for this line to see if you must fill in</t>
    </r>
  </si>
  <si>
    <r>
      <rPr>
        <b/>
        <sz val="9"/>
        <rFont val="Arial"/>
        <family val="2"/>
      </rPr>
      <t xml:space="preserve">Go to </t>
    </r>
    <r>
      <rPr>
        <b/>
        <i/>
        <sz val="9"/>
        <rFont val="Arial"/>
        <family val="2"/>
      </rPr>
      <t>www.irs.gov/Form6251</t>
    </r>
    <r>
      <rPr>
        <b/>
        <sz val="9"/>
        <rFont val="Arial"/>
        <family val="2"/>
      </rPr>
      <t xml:space="preserve"> for instructions and the latest information.</t>
    </r>
  </si>
  <si>
    <t>Form 6251 instead of using this worksheet.</t>
  </si>
  <si>
    <r>
      <t xml:space="preserve">Sequence No. </t>
    </r>
    <r>
      <rPr>
        <b/>
        <sz val="12"/>
        <rFont val="Arial"/>
        <family val="2"/>
      </rPr>
      <t>32</t>
    </r>
  </si>
  <si>
    <t>Your deduction is being</t>
  </si>
  <si>
    <r>
      <t xml:space="preserve">Are you filing </t>
    </r>
    <r>
      <rPr>
        <b/>
        <sz val="10"/>
        <rFont val="Arial"/>
        <family val="2"/>
      </rPr>
      <t>Schedule A</t>
    </r>
    <r>
      <rPr>
        <sz val="10"/>
        <rFont val="Arial"/>
        <family val="2"/>
      </rPr>
      <t>?</t>
    </r>
  </si>
  <si>
    <r>
      <t xml:space="preserve">  Alternative Minimum Taxable Income </t>
    </r>
    <r>
      <rPr>
        <sz val="12"/>
        <rFont val="Arial"/>
        <family val="2"/>
      </rPr>
      <t xml:space="preserve">   (See instructions for how to complete each line.)</t>
    </r>
  </si>
  <si>
    <t>Skip lines 1 and 2; subtract Form 1040 or 1040-SR, line 13, or Form 1040-NR, line 13a, from Form</t>
  </si>
  <si>
    <t>Enter the amount from Form 1040, line 15, if more than zero. If Form 1040, line 15,</t>
  </si>
  <si>
    <t>1040, 1040-SR, or 1040-NR, line 11, and enter the result on line 3 and go to line 4.</t>
  </si>
  <si>
    <t>is zero, subtract lines 12 and 13 of Form 1040 from line 11 of Form 1040 and enter the result</t>
  </si>
  <si>
    <t>here. (If less than zero, enter as a negative amount.)</t>
  </si>
  <si>
    <t>Enter the amount from Form 1040, 1040-SR, or 1040-NR, line 15</t>
  </si>
  <si>
    <t>2   a</t>
  </si>
  <si>
    <t>If filing Schedule A (Form 1040), enter the taxes from Schedule A, line 7; otherwise, enter the amount from</t>
  </si>
  <si>
    <t>Enter the amount from Schedule A, line 7</t>
  </si>
  <si>
    <t>Tax refund from Schedule 1 (Form 1040), line 1 or line 8z</t>
  </si>
  <si>
    <t>Investment interest expense (difference between regular tax and AMT)</t>
  </si>
  <si>
    <t>Depletion (difference between regular tax and AMT)</t>
  </si>
  <si>
    <t>Net operating loss deduction from Schedule 1 (Form 1040), line 8a.</t>
  </si>
  <si>
    <t>Enter as positive amount.</t>
  </si>
  <si>
    <t>Enter any tax refund from Schedule 1, lines 1 and 8z</t>
  </si>
  <si>
    <t>Alternative tax net operating loss deduction</t>
  </si>
  <si>
    <r>
      <t xml:space="preserve">Portion of Line 8z attributed to tax refund  </t>
    </r>
    <r>
      <rPr>
        <b/>
        <sz val="9"/>
        <rFont val="Arial"/>
        <family val="2"/>
      </rPr>
      <t>↑</t>
    </r>
  </si>
  <si>
    <t>Interest from specified private activity bonds exempt from the regular tax</t>
  </si>
  <si>
    <t>(This is used here and Form 6251, Line 2b.)</t>
  </si>
  <si>
    <t>Qualified small business stock, see instructions</t>
  </si>
  <si>
    <t>Subtract line 4 from line 3</t>
  </si>
  <si>
    <t>Exercise of incentive stock options (excess of AMT income over regular tax income)</t>
  </si>
  <si>
    <t>Line 4 —  Alternative Minimum</t>
  </si>
  <si>
    <t>Estates and trusts (amount from Schedule K-1 (Form 1041), box 12, code A)</t>
  </si>
  <si>
    <t>Enter the amount shown below for your filing status</t>
  </si>
  <si>
    <t>Disposition of property (difference between AMT and regular tax gain or loss)</t>
  </si>
  <si>
    <t>If your filing status is married filing</t>
  </si>
  <si>
    <r>
      <t xml:space="preserve"> </t>
    </r>
    <r>
      <rPr>
        <sz val="8"/>
        <rFont val="Wingdings"/>
        <charset val="2"/>
      </rPr>
      <t>l</t>
    </r>
  </si>
  <si>
    <r>
      <t>Depreciation on assets placed in service after 1986 (difference between regular tax and AMT)</t>
    </r>
    <r>
      <rPr>
        <b/>
        <sz val="10"/>
        <rFont val="Arial"/>
        <family val="2"/>
      </rPr>
      <t xml:space="preserve"> .   .   .   .   .</t>
    </r>
  </si>
  <si>
    <t>separately and line 4 is more than</t>
  </si>
  <si>
    <r>
      <t>Passive activities (difference between AMT and regular tax income or loss)</t>
    </r>
    <r>
      <rPr>
        <b/>
        <sz val="10"/>
        <rFont val="Arial"/>
        <family val="2"/>
      </rPr>
      <t xml:space="preserve"> </t>
    </r>
  </si>
  <si>
    <t xml:space="preserve">Loss limitations (difference between AMT and regular tax income or loss) </t>
  </si>
  <si>
    <t>additional amount on line 4. If line 4 is</t>
  </si>
  <si>
    <t xml:space="preserve">Circulation costs (difference between regular tax and AMT) </t>
  </si>
  <si>
    <t>Is the amount on line 5 more than the amount on line 6?</t>
  </si>
  <si>
    <t>Long-term contracts (difference between AMT and regular tax income)</t>
  </si>
  <si>
    <t>Mining costs (difference between regular tax and AMT)</t>
  </si>
  <si>
    <t>excess of the amount on line 28 over</t>
  </si>
  <si>
    <t>STOP  Don’t complete the rest of this worksheet. You don’t owe alternative minimum</t>
  </si>
  <si>
    <t>Research and experimental costs (difference between regular tax and AMT)</t>
  </si>
  <si>
    <t>tax and don’t need to fill out Form 6251. Leave Schedule 2, line 1 blank.</t>
  </si>
  <si>
    <t>Income from certain installment sales before January 1, 1987</t>
  </si>
  <si>
    <t>Subtract line 6 from line 5</t>
  </si>
  <si>
    <t>Intangible drilling costs preference</t>
  </si>
  <si>
    <t>Other adjustments, including income-based related adjustments</t>
  </si>
  <si>
    <r>
      <t xml:space="preserve">Alternative minimum taxable income. </t>
    </r>
    <r>
      <rPr>
        <sz val="10"/>
        <rFont val="Arial"/>
        <family val="2"/>
      </rPr>
      <t>Combine lines 1 through 3. (If married filing separately and line 4</t>
    </r>
  </si>
  <si>
    <t xml:space="preserve">     Alternative Minimum Tax (AMT)</t>
  </si>
  <si>
    <t>Exemption.</t>
  </si>
  <si>
    <t>IF your filing status is . . .</t>
  </si>
  <si>
    <t>AND line 4 is not over . . .</t>
  </si>
  <si>
    <t>THEN enter on line 5 . . .</t>
  </si>
  <si>
    <t xml:space="preserve"> Is the amount on line 5 more than the amount on line 8?</t>
  </si>
  <si>
    <t>Single or head of household</t>
  </si>
  <si>
    <t>Married filing jointly or qualifying widow(er)</t>
  </si>
  <si>
    <t>Enter -0-. Skip line 10. Enter on line 11 the amount from line 7, and go to line 12.</t>
  </si>
  <si>
    <t>Married filing separately</t>
  </si>
  <si>
    <t>.   .   .   .   .   .   .   .   .   .   .   .</t>
  </si>
  <si>
    <r>
      <t xml:space="preserve">If line 4 is </t>
    </r>
    <r>
      <rPr>
        <b/>
        <sz val="10"/>
        <rFont val="Arial"/>
        <family val="2"/>
      </rPr>
      <t>over</t>
    </r>
    <r>
      <rPr>
        <sz val="10"/>
        <rFont val="Arial"/>
        <family val="2"/>
      </rPr>
      <t xml:space="preserve"> the amount shown above for your filing status, see instructions.</t>
    </r>
  </si>
  <si>
    <t>Subtract line 8 from line 5</t>
  </si>
  <si>
    <t>Subtract line 5 from line 4. If more than zero, go to line 7. If zero or less, enter -0- here and on lines 7, 9,</t>
  </si>
  <si>
    <t>and 11 and go to line 10</t>
  </si>
  <si>
    <t>If you are filing Form 2555, see instructions for the amount to enter.</t>
  </si>
  <si>
    <t>If you reported capital gain distributions directly on Form 1040 or 1040-SR, line 7; you reported</t>
  </si>
  <si>
    <t xml:space="preserve"> Add lines 7 and 10</t>
  </si>
  <si>
    <t>qualified dividends on Form 1040 or 1040-SR, line 3a; or you had a gain on both lines 15 and</t>
  </si>
  <si>
    <t>16 of Schedule D (Form 1040) (as refigured for the AMT, if necessary), complete Part III on the</t>
  </si>
  <si>
    <t>back and enter the amount from line 40 here.</t>
  </si>
  <si>
    <r>
      <rPr>
        <sz val="8"/>
        <rFont val="Arial"/>
        <family val="2"/>
      </rPr>
      <t xml:space="preserve"> </t>
    </r>
    <r>
      <rPr>
        <sz val="8"/>
        <rFont val="Wingdings"/>
        <charset val="2"/>
      </rPr>
      <t>l</t>
    </r>
  </si>
  <si>
    <t>All others:</t>
  </si>
  <si>
    <t>STOP  Fill in Form 6251 to see if you owe the alternative minimum tax.</t>
  </si>
  <si>
    <t>married filing separately) from the result.</t>
  </si>
  <si>
    <t>Alternative minimum tax foreign tax credit (see instructions)</t>
  </si>
  <si>
    <t>Enter tax from</t>
  </si>
  <si>
    <t>Add Form 1040, 1040-SR, or 1040-NR, line 16 (minus any tax from Form 4972), and Schedule 2, line 2.</t>
  </si>
  <si>
    <t>Add Form 1040 or 1040-SR, line 16 (minus any tax from Form 4972), and Schedule 2 (Form 1040), line 2.</t>
  </si>
  <si>
    <r>
      <t xml:space="preserve">Form 4972 here </t>
    </r>
    <r>
      <rPr>
        <sz val="8"/>
        <rFont val="Symbol"/>
        <family val="1"/>
        <charset val="2"/>
      </rPr>
      <t>¯</t>
    </r>
  </si>
  <si>
    <t>(If you used Schedule J to figure your tax on the entry space on Form 1040, 1040-SR, or 1040-NR, line 16, refigure that tax</t>
  </si>
  <si>
    <t>Subtract from the result Schedule 3 (Form 1040), line 1 and any negative amount reported on Form 8978,</t>
  </si>
  <si>
    <t xml:space="preserve"> without using Schedule J before including it in this calculation)</t>
  </si>
  <si>
    <t xml:space="preserve">line 14 (treated as a positive number). If zero or less, enter -0-. If you used Schedule J to figure your tax on </t>
  </si>
  <si>
    <r>
      <t xml:space="preserve">Tax from Form 4972  </t>
    </r>
    <r>
      <rPr>
        <b/>
        <sz val="10"/>
        <rFont val="Arial"/>
        <family val="2"/>
      </rPr>
      <t>↑</t>
    </r>
  </si>
  <si>
    <t>Form 1040 or 1040-SR, line 16, refigure that tax without using Schedule J before completing this line. See</t>
  </si>
  <si>
    <t xml:space="preserve"> .   .   .   .   .   .   .   .   .   .   .   .   .   .   .   .   .   .   .   .   .   .   .   .   .   .   .   .   .   .   .   .   .   .   . </t>
  </si>
  <si>
    <t>Next. Is the amount on line 12 more than the amount on line 13?</t>
  </si>
  <si>
    <r>
      <rPr>
        <b/>
        <sz val="10"/>
        <rFont val="Arial"/>
        <family val="2"/>
      </rPr>
      <t>AMT.</t>
    </r>
    <r>
      <rPr>
        <sz val="10"/>
        <rFont val="Arial"/>
        <family val="2"/>
      </rPr>
      <t xml:space="preserve"> Subtract line 10 from line 9. If zero or less, enter -0-. Enter here and on Schedule 2 (1040), line 1</t>
    </r>
  </si>
  <si>
    <t>Cat. No. 13600G</t>
  </si>
  <si>
    <r>
      <t>Form</t>
    </r>
    <r>
      <rPr>
        <sz val="10"/>
        <rFont val="Arial"/>
        <family val="2"/>
      </rPr>
      <t xml:space="preserve"> </t>
    </r>
    <r>
      <rPr>
        <b/>
        <sz val="11"/>
        <rFont val="Arial"/>
        <family val="2"/>
      </rPr>
      <t>6251</t>
    </r>
  </si>
  <si>
    <t>Fill in Form 6251 to see if you owe the alternative minimum tax.</t>
  </si>
  <si>
    <r>
      <t xml:space="preserve">Page   </t>
    </r>
    <r>
      <rPr>
        <b/>
        <sz val="12"/>
        <rFont val="Arial"/>
        <family val="2"/>
      </rPr>
      <t>2</t>
    </r>
  </si>
  <si>
    <t>You don’t owe alternative minimum tax and don’t need to fill out Form 6251. Leave Schedule 2, line 1, blank.</t>
  </si>
  <si>
    <t xml:space="preserve">  Tax Computation Using Maximum Capital Gains Rates</t>
  </si>
  <si>
    <t>Complete Part III only if you are required to do so by line 7 or by the Foreign Earned Income Tax Worksheet in the instructions.</t>
  </si>
  <si>
    <t>https://www.irs.gov/pub/irs-pdf/i6251.pdf</t>
  </si>
  <si>
    <t>worksheet in the instructions for line 7</t>
  </si>
  <si>
    <t>Exemption Worksheet—
Line 5</t>
  </si>
  <si>
    <t>Enter the amount from line 4 of the Qualified Dividends and Capital Gain Tax Worksheet in the Instructions</t>
  </si>
  <si>
    <t>for Forms 1040 or the amount from line 13 of the Schedule D Tax Worksheet in the Instructions for Schedule</t>
  </si>
  <si>
    <t xml:space="preserve">     Keep for Your Records                </t>
  </si>
  <si>
    <t>D (Form 1040), whichever applies (as refigured for the AMT, if necessary). See instructions. If you are filing</t>
  </si>
  <si>
    <t>Form 2555, see instructions for the amount to enter</t>
  </si>
  <si>
    <t>Enter the amount from Schedule D (Form 1040), line 19  (as refigured for the AMT, if</t>
  </si>
  <si>
    <r>
      <t xml:space="preserve">  your exemption is zero. </t>
    </r>
    <r>
      <rPr>
        <b/>
        <sz val="10"/>
        <rFont val="Arial"/>
        <family val="2"/>
      </rPr>
      <t>Don't</t>
    </r>
    <r>
      <rPr>
        <sz val="10"/>
        <rFont val="Arial"/>
        <family val="2"/>
      </rPr>
      <t xml:space="preserve"> complete this worksheet; instead, enter the amount from Form 6251,</t>
    </r>
  </si>
  <si>
    <r>
      <t>necessary) (see instructions). If you are filing Form 2555, see instructions for the amount to enter</t>
    </r>
    <r>
      <rPr>
        <b/>
        <sz val="10"/>
        <rFont val="Arial"/>
        <family val="2"/>
      </rPr>
      <t>.   .   .   .</t>
    </r>
  </si>
  <si>
    <t xml:space="preserve">  line 4, on line 6 and go to line 7.</t>
  </si>
  <si>
    <t>If you did not complete a Schedule D Tax Worksheet for the regular tax or the AMT, enter the amount</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</si>
  <si>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</si>
  <si>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</si>
  <si>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see instructions for the amount to enter</t>
  </si>
  <si>
    <t xml:space="preserve"> .   .   .   .   .   .   .   .   .   .   .   .   .   .   .   .   .   .   .   .   .   .   .   .   .   .   .   .   .   .   .   .   .   .   .   .   .   .   .   .   .   . </t>
  </si>
  <si>
    <r>
      <t xml:space="preserve">Enter the </t>
    </r>
    <r>
      <rPr>
        <b/>
        <sz val="10"/>
        <rFont val="Arial"/>
        <family val="2"/>
      </rPr>
      <t>smaller</t>
    </r>
    <r>
      <rPr>
        <sz val="10"/>
        <rFont val="Arial"/>
        <family val="2"/>
      </rPr>
      <t xml:space="preserve"> of line 12 or line 15</t>
    </r>
  </si>
  <si>
    <t>Enter your alternative minimum taxable income</t>
  </si>
  <si>
    <t>(AMTI) from Form 6251, line 4</t>
  </si>
  <si>
    <t>Subtract line 3 from line 2. If zero or less,</t>
  </si>
  <si>
    <r>
      <t>enter -0-</t>
    </r>
    <r>
      <rPr>
        <b/>
        <sz val="10"/>
        <rFont val="Arial"/>
        <family val="2"/>
      </rPr>
      <t xml:space="preserve"> </t>
    </r>
  </si>
  <si>
    <t xml:space="preserve">.   .   .   .   .   .   .   .   .   .   .   .   .   .   .   .   .   .   .   .   .   .   .   .   .   .   .   .   .   .   .   .   .   .   .   .   .   .   .   .   .   . </t>
  </si>
  <si>
    <t>Enter the amount from line 5 of the Qualified Dividends and Capital Gain Tax Worksheet or the amount from</t>
  </si>
  <si>
    <t>line 14 of the Schedule D Tax Worksheet, whichever applies (as figured for the regular tax). If you did not</t>
  </si>
  <si>
    <t>Subtract line 5 from line 1. If zero or less, enter -0-.</t>
  </si>
  <si>
    <t>complete either worksheet for the regular tax, enter the amount from Form 1040 or 1040-SR, line 15; if</t>
  </si>
  <si>
    <t>Also, enter this amount on Form 6251, line 5, and</t>
  </si>
  <si>
    <t>zero or less, enter -0-.</t>
  </si>
  <si>
    <t>If you are filing Form 2555, see instructions for the amount to enter</t>
  </si>
  <si>
    <t>Subtract line 20 from line 19. If zero or less, enter -0-</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</si>
  <si>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</si>
  <si>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</si>
  <si>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</si>
  <si>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 xml:space="preserve">.   .   .   .   .   .   .   .   .   .   .   .   .   .   .   .   .   .   .   .   .   .   .   .   .   .   .   .   .   .   .   . </t>
  </si>
  <si>
    <t>Foreign Earned Income Tax Worksheet—Line 7</t>
  </si>
  <si>
    <t xml:space="preserve">  Before you begin:</t>
  </si>
  <si>
    <t>If Form 6251, line 6, is zero, don't complete this worksheet.</t>
  </si>
  <si>
    <t>Enter the amount from Form 6251, line 6</t>
  </si>
  <si>
    <t>Enter the amount from your (and your spouse's if filing jointly) Form 2555,</t>
  </si>
  <si>
    <t>Enter the amount from line 21</t>
  </si>
  <si>
    <t xml:space="preserve">  .   .   .   .   .   .   .   .   .   .   .   .   .   .   .   .   .   .   .   .   .   .   .   .   .   .   .   .   . </t>
  </si>
  <si>
    <t>lines 45 and 50</t>
  </si>
  <si>
    <t>Enter the amount from line 5 of the Qualified Dividends &amp; Capital Gain Tax Worksheet or the amount from</t>
  </si>
  <si>
    <t>Enter the total amount of any itemized deductions or exclusions you</t>
  </si>
  <si>
    <t>line 21 of the Schedule D Tax Worksheet, whichever applies (as figured for the regular tax). If you did not</t>
  </si>
  <si>
    <t>couldn't claim because they are related to excluded income</t>
  </si>
  <si>
    <t>amount from Form 1040, line 11b; if zero or less, enter -0-. If you are filing Form 2555,</t>
  </si>
  <si>
    <t>Add line 26 and line 27</t>
  </si>
  <si>
    <t>If you reported capital gain distributions directly on Form 1040 or 1040-SR, line 7; or you reported</t>
  </si>
  <si>
    <t>Subtract line 28 from line 25. If zero or less, enter -0-</t>
  </si>
  <si>
    <t>qualified dividends on Form 1040, line 3a; or you had a gain on both lines 15 and 16 of Schedule D</t>
  </si>
  <si>
    <t>Enter the smaller of line 24 or line 29</t>
  </si>
  <si>
    <t>(Form 1040)(as refigured for the AMT, if necessary), enter the amount from line 3 of this worksheet</t>
  </si>
  <si>
    <t>on Form 6251, line 12. Complete the rest of Part III of Form 6251. However, before completing Part III, see</t>
  </si>
  <si>
    <t>Add lines 23 and 30</t>
  </si>
  <si>
    <r>
      <rPr>
        <i/>
        <sz val="8"/>
        <rFont val="Arial"/>
        <family val="2"/>
      </rPr>
      <t>Form 2555</t>
    </r>
    <r>
      <rPr>
        <sz val="8"/>
        <rFont val="Arial"/>
        <family val="2"/>
      </rPr>
      <t>, later, to see if you must complete Part III with certain modifications. Then</t>
    </r>
  </si>
  <si>
    <t>If lines 32 and 12 are same, skip lines 33 through 37 and go to line 38. Otherwise, go to line 33.</t>
  </si>
  <si>
    <t>enter the amount from Form 6251, line 40, here.</t>
  </si>
  <si>
    <t>Subtract line 32 from line 22</t>
  </si>
  <si>
    <t>If line 14 is zero or blank, skip lines 35 through 37 and go to line 38. Otherwise, go to line 35.</t>
  </si>
  <si>
    <t>separately) from the result.</t>
  </si>
  <si>
    <t>Add lines 17, 32, and 33</t>
  </si>
  <si>
    <t xml:space="preserve">   .   .   .   .   .   .   .   .   .   .   .   .   .   .   .   .   .   .   .   .   .   .   .   .   .   .   .   .   .   .   . </t>
  </si>
  <si>
    <t>Subtract line 35 from line 12</t>
  </si>
  <si>
    <t>married filing separately) from the result</t>
  </si>
  <si>
    <t>Add lines 18, 31, 34, and 37</t>
  </si>
  <si>
    <t>Subtract line 5 from line 4. Enter the result here and on Form 6251, line 7</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</si>
  <si>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</si>
  <si>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</si>
  <si>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</si>
  <si>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t>Download Form 6251</t>
  </si>
  <si>
    <t>Download Form 6251 Instructions</t>
  </si>
  <si>
    <r>
      <t xml:space="preserve">Form </t>
    </r>
    <r>
      <rPr>
        <b/>
        <sz val="22"/>
        <rFont val="Arial"/>
        <family val="2"/>
      </rPr>
      <t>8283</t>
    </r>
  </si>
  <si>
    <t>Noncash Charitable Contributions</t>
  </si>
  <si>
    <t>Attach one or more Forms 8283 to your tax return if you claimed a total deduction</t>
  </si>
  <si>
    <t>of over $500 for all contributed property.</t>
  </si>
  <si>
    <r>
      <t xml:space="preserve">Go to </t>
    </r>
    <r>
      <rPr>
        <i/>
        <sz val="10"/>
        <rFont val="Arial"/>
        <family val="2"/>
      </rPr>
      <t>www.irs.gov/Form8283</t>
    </r>
    <r>
      <rPr>
        <sz val="10"/>
        <rFont val="Arial"/>
        <family val="2"/>
      </rPr>
      <t xml:space="preserve"> for instructions and the latest information.</t>
    </r>
  </si>
  <si>
    <t>Name(s) shown on your income tax return</t>
  </si>
  <si>
    <r>
      <rPr>
        <b/>
        <sz val="11"/>
        <rFont val="Arial"/>
        <family val="2"/>
      </rPr>
      <t>Note:</t>
    </r>
    <r>
      <rPr>
        <sz val="11"/>
        <rFont val="Arial"/>
        <family val="2"/>
      </rPr>
      <t xml:space="preserve"> </t>
    </r>
  </si>
  <si>
    <t>Figure the amount of your contribution deduction before completing this form. See your tax return instructions.</t>
  </si>
  <si>
    <r>
      <rPr>
        <b/>
        <sz val="13"/>
        <rFont val="Arial"/>
        <family val="2"/>
      </rPr>
      <t>Section A</t>
    </r>
    <r>
      <rPr>
        <sz val="13"/>
        <rFont val="Arial"/>
        <family val="2"/>
      </rPr>
      <t>.</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</si>
  <si>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</si>
  <si>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</si>
  <si>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</si>
  <si>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</si>
  <si>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</si>
  <si>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(b) If donated property is a vehicle (see instructions),
check the box. Also enter the vehicle identification 
number (unless Form 1098-C is attached).</t>
  </si>
  <si>
    <t>(c) Description and condition of donated property 
(For a vehicle, enter the year, make, model, and 
mileage. For securities and other property, 
see instructions.)</t>
  </si>
  <si>
    <t>Hint:  Use Alt-Enter for carriage return.</t>
  </si>
  <si>
    <t>If the amount you claimed as a deduction for an item is $500 or less, you do not have to complete columns (e), (f), and (g).</t>
  </si>
  <si>
    <r>
      <rPr>
        <b/>
        <sz val="8"/>
        <rFont val="Arial"/>
        <family val="2"/>
      </rPr>
      <t>(d)</t>
    </r>
    <r>
      <rPr>
        <sz val="8"/>
        <rFont val="Arial"/>
        <family val="2"/>
      </rPr>
      <t xml:space="preserve"> Date of the contribution</t>
    </r>
  </si>
  <si>
    <r>
      <rPr>
        <b/>
        <sz val="8"/>
        <rFont val="Arial"/>
        <family val="2"/>
      </rPr>
      <t>(e)</t>
    </r>
    <r>
      <rPr>
        <sz val="8"/>
        <rFont val="Arial"/>
        <family val="2"/>
      </rPr>
      <t xml:space="preserve"> Date acquired 
by donor (mo., yr.)</t>
    </r>
  </si>
  <si>
    <r>
      <rPr>
        <b/>
        <sz val="8"/>
        <rFont val="Arial"/>
        <family val="2"/>
      </rPr>
      <t>(f)</t>
    </r>
    <r>
      <rPr>
        <sz val="8"/>
        <rFont val="Arial"/>
        <family val="2"/>
      </rPr>
      <t xml:space="preserve"> How acquired 
by donor</t>
    </r>
  </si>
  <si>
    <r>
      <rPr>
        <b/>
        <sz val="8"/>
        <rFont val="Arial"/>
        <family val="2"/>
      </rPr>
      <t>(g)</t>
    </r>
    <r>
      <rPr>
        <sz val="8"/>
        <rFont val="Arial"/>
        <family val="2"/>
      </rPr>
      <t xml:space="preserve"> Donor’s cost 
or adjusted basis</t>
    </r>
  </si>
  <si>
    <r>
      <rPr>
        <b/>
        <sz val="8"/>
        <rFont val="Arial"/>
        <family val="2"/>
      </rPr>
      <t>(h)</t>
    </r>
    <r>
      <rPr>
        <sz val="8"/>
        <rFont val="Arial"/>
        <family val="2"/>
      </rPr>
      <t xml:space="preserve"> Fair market value 
(see instructions)</t>
    </r>
  </si>
  <si>
    <r>
      <rPr>
        <b/>
        <sz val="8"/>
        <rFont val="Arial"/>
        <family val="2"/>
      </rPr>
      <t>(i)</t>
    </r>
    <r>
      <rPr>
        <sz val="8"/>
        <rFont val="Arial"/>
        <family val="2"/>
      </rPr>
      <t xml:space="preserve"> Method used to determine 
the fair market value</t>
    </r>
  </si>
  <si>
    <r>
      <rPr>
        <b/>
        <sz val="13"/>
        <rFont val="Arial"/>
        <family val="2"/>
      </rPr>
      <t>Section B</t>
    </r>
    <r>
      <rPr>
        <sz val="13"/>
        <rFont val="Arial"/>
        <family val="2"/>
      </rPr>
      <t>.</t>
    </r>
  </si>
  <si>
    <t>Donated Property Over $5,000 (Except Publicly Traded Securities, Vehicles, Intellectual Property or</t>
  </si>
  <si>
    <t>Information on Donated Property</t>
  </si>
  <si>
    <t xml:space="preserve"> Other Real Estate</t>
  </si>
  <si>
    <t xml:space="preserve"> Vehicles</t>
  </si>
  <si>
    <t xml:space="preserve"> Qualified Conservation Contribution</t>
  </si>
  <si>
    <t xml:space="preserve"> Securities</t>
  </si>
  <si>
    <t xml:space="preserve"> Equipment</t>
  </si>
  <si>
    <t xml:space="preserve"> Other</t>
  </si>
  <si>
    <t xml:space="preserve"> Art* (contribution of less than $20,000)</t>
  </si>
  <si>
    <t xml:space="preserve"> Intellectual Property</t>
  </si>
  <si>
    <r>
      <rPr>
        <b/>
        <sz val="9"/>
        <rFont val="Arial"/>
        <family val="2"/>
      </rPr>
      <t>(a)</t>
    </r>
    <r>
      <rPr>
        <sz val="9"/>
        <rFont val="Arial"/>
        <family val="2"/>
      </rPr>
      <t xml:space="preserve"> Description of donated property (if you need
more space, attach a separate statement)</t>
    </r>
  </si>
  <si>
    <r>
      <rPr>
        <b/>
        <sz val="9"/>
        <rFont val="Arial"/>
        <family val="2"/>
      </rPr>
      <t>(b)</t>
    </r>
    <r>
      <rPr>
        <sz val="9"/>
        <rFont val="Arial"/>
        <family val="2"/>
      </rPr>
      <t xml:space="preserve"> If any tangible personal property or real property was donated, give a brief
summary of the overall physical condition of the property at the time of the gift.</t>
    </r>
  </si>
  <si>
    <t>(c) Appraised fair
market value</t>
  </si>
  <si>
    <t>(d) Date acquired
by donor
(mo., yr.)</t>
  </si>
  <si>
    <t>(e) How acquired by donor</t>
  </si>
  <si>
    <t>(f) Donor’s cost or
adjusted basis</t>
  </si>
  <si>
    <t>(g) For bargain sales, enter amount received</t>
  </si>
  <si>
    <t>(h) Amount claimed 
as a deduction 
(see instructions)</t>
  </si>
  <si>
    <t>(i) Date of 
contribution 
(see instructions)</t>
  </si>
  <si>
    <t>Cat. No. 62299J</t>
  </si>
  <si>
    <r>
      <t>Form</t>
    </r>
    <r>
      <rPr>
        <b/>
        <sz val="14"/>
        <rFont val="Arial"/>
        <family val="2"/>
      </rPr>
      <t xml:space="preserve"> </t>
    </r>
    <r>
      <rPr>
        <b/>
        <sz val="12"/>
        <rFont val="Arial"/>
        <family val="2"/>
      </rPr>
      <t>8283</t>
    </r>
  </si>
  <si>
    <t>Partial Interests and Restricted Use Property (Other Than Qualified Conservation Contributions)—</t>
  </si>
  <si>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</si>
  <si>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</si>
  <si>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</si>
  <si>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t>Enter the letter from Section B, Part I that identifies the property for which you gave less than an entire interest</t>
  </si>
  <si>
    <t>If Section B,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</si>
  <si>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</si>
  <si>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</si>
  <si>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</si>
  <si>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</si>
  <si>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</si>
  <si>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</si>
  <si>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in Section B, Part V, below):</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</si>
  <si>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</si>
  <si>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</si>
  <si>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</si>
  <si>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</si>
  <si>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</si>
  <si>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</si>
  <si>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</si>
  <si>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</si>
  <si>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</si>
  <si>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</si>
  <si>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</si>
  <si>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</si>
  <si>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</si>
  <si>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</si>
  <si>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</si>
  <si>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Signature of taxpayer (donor)</t>
  </si>
  <si>
    <t>Declaration of Appraiser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</si>
  <si>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</si>
  <si>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</si>
  <si>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</si>
  <si>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Appraiser name</t>
  </si>
  <si>
    <t>Title</t>
  </si>
  <si>
    <t>Business address (including room or suite no.)</t>
  </si>
  <si>
    <t>Donee Acknowledgment</t>
  </si>
  <si>
    <t>This charitable organization acknowledges that it is a qualified organization under section 170(c) and that it received the donated property as described</t>
  </si>
  <si>
    <t>as described in Section B, Part I, above on the following date</t>
  </si>
  <si>
    <t>Does the organization intend to use the property for an unrelated use?</t>
  </si>
  <si>
    <t>Employer identification number</t>
  </si>
  <si>
    <t>Authorized signature</t>
  </si>
  <si>
    <t>Passive Activity Loss Limitations</t>
  </si>
  <si>
    <t>See separate instructions.</t>
  </si>
  <si>
    <t>Attach for Form 1040, 1040-SR, or 1041.</t>
  </si>
  <si>
    <t>This Form 8582 is for:</t>
  </si>
  <si>
    <t>Go to www.irs.gov/Form8582 for instructions and the latest information.</t>
  </si>
  <si>
    <t>Names(s) shown on return</t>
  </si>
  <si>
    <r>
      <rPr>
        <b/>
        <sz val="12"/>
        <rFont val="Arial"/>
        <family val="2"/>
      </rPr>
      <t>Caution:</t>
    </r>
    <r>
      <rPr>
        <sz val="12"/>
        <rFont val="Arial"/>
        <family val="2"/>
      </rPr>
      <t xml:space="preserve"> Complete Parts IV and V before completing Part I.</t>
    </r>
  </si>
  <si>
    <t>Rental Real Estate Activities With Active Participation</t>
  </si>
  <si>
    <t>Activities with net income (enter the amount from Part IV, column (a))</t>
  </si>
  <si>
    <t xml:space="preserve"> b</t>
  </si>
  <si>
    <t>Activities with net loss (enter the amount from Part IV, column (b))</t>
  </si>
  <si>
    <t xml:space="preserve"> c</t>
  </si>
  <si>
    <t>Prior years’ unallowed losses (enter the amount from Part IV, column (c))</t>
  </si>
  <si>
    <t xml:space="preserve"> d</t>
  </si>
  <si>
    <t>Combine lines 1a, 1b, and 1c</t>
  </si>
  <si>
    <t>All Other Passive Activities</t>
  </si>
  <si>
    <t>Activities with net income (enter the amount from Part V, column (a))</t>
  </si>
  <si>
    <t>Activities with net loss (enter the amount from Part V, column (b))</t>
  </si>
  <si>
    <t>If line 3 is a loss and:</t>
  </si>
  <si>
    <t>Line 1d is a loss, go to Part II.</t>
  </si>
  <si>
    <t>Line 2d is a loss (and line 1d is zero or more), skip Part II and go to line 10.</t>
  </si>
  <si>
    <r>
      <rPr>
        <b/>
        <sz val="12"/>
        <rFont val="Arial"/>
        <family val="2"/>
      </rPr>
      <t>Caution:</t>
    </r>
    <r>
      <rPr>
        <sz val="12"/>
        <rFont val="Arial"/>
        <family val="2"/>
      </rPr>
      <t xml:space="preserve"> If your filing status is married filing separately and you lived with your spouse at any time during the year, do not complete</t>
    </r>
  </si>
  <si>
    <t>Part II. Instead, go to line 10.</t>
  </si>
  <si>
    <t>Special Allowance for Rental Real Estate Activities With Active Participation</t>
  </si>
  <si>
    <t>Enter modified adjusted gross income, but not less than zero. See instructions</t>
  </si>
  <si>
    <t>on line 9. Otherwise, go to line 7.</t>
  </si>
  <si>
    <t>If married filing separately, see instructions.</t>
  </si>
  <si>
    <t>Total Losses Allowed</t>
  </si>
  <si>
    <t>Add the income, if any, on lines 1a and 2a and enter the total</t>
  </si>
  <si>
    <t>Add lines 9 and 10. See instructions to find</t>
  </si>
  <si>
    <t>out how to report the losses on your tax return</t>
  </si>
  <si>
    <r>
      <t xml:space="preserve">Complete This Part Before Part I, Lines 1a, 1b, and 1c. </t>
    </r>
    <r>
      <rPr>
        <sz val="14"/>
        <rFont val="Arial"/>
        <family val="2"/>
      </rPr>
      <t>See instructions.</t>
    </r>
  </si>
  <si>
    <t>Name of activity</t>
  </si>
  <si>
    <t>Current year</t>
  </si>
  <si>
    <t>Prior years</t>
  </si>
  <si>
    <t>Overall gain or loss</t>
  </si>
  <si>
    <r>
      <t>(d)</t>
    </r>
    <r>
      <rPr>
        <sz val="12"/>
        <rFont val="Arial"/>
        <family val="2"/>
      </rPr>
      <t xml:space="preserve"> Gain</t>
    </r>
  </si>
  <si>
    <r>
      <t>(e)</t>
    </r>
    <r>
      <rPr>
        <sz val="12"/>
        <rFont val="Arial"/>
        <family val="2"/>
      </rPr>
      <t xml:space="preserve">  Loss</t>
    </r>
  </si>
  <si>
    <r>
      <t xml:space="preserve">Total. </t>
    </r>
    <r>
      <rPr>
        <sz val="12"/>
        <rFont val="Arial"/>
        <family val="2"/>
      </rPr>
      <t>Enter on Part I, lines 1a, 1b, and 1c</t>
    </r>
  </si>
  <si>
    <t>For Privacy Act and Paperwork Reduction Act Notice, see separate instructions.</t>
  </si>
  <si>
    <t>Cat. No. 63704F</t>
  </si>
  <si>
    <r>
      <t xml:space="preserve">Use This Part if an Amount Is Shown on Part II, Line 9. </t>
    </r>
    <r>
      <rPr>
        <sz val="14"/>
        <rFont val="Arial"/>
        <family val="2"/>
      </rPr>
      <t>See instructions.</t>
    </r>
  </si>
  <si>
    <t>Form or schedule
and line number
to be reported on
(see instructions)</t>
  </si>
  <si>
    <r>
      <rPr>
        <b/>
        <sz val="12"/>
        <rFont val="Arial"/>
        <family val="2"/>
      </rPr>
      <t>(b)</t>
    </r>
    <r>
      <rPr>
        <sz val="12"/>
        <rFont val="Arial"/>
        <family val="2"/>
      </rPr>
      <t xml:space="preserve"> Ratio</t>
    </r>
  </si>
  <si>
    <r>
      <t>(c)</t>
    </r>
    <r>
      <rPr>
        <sz val="12"/>
        <rFont val="Arial"/>
        <family val="2"/>
      </rPr>
      <t xml:space="preserve"> Special allowance</t>
    </r>
  </si>
  <si>
    <r>
      <t>(d)</t>
    </r>
    <r>
      <rPr>
        <sz val="12"/>
        <rFont val="Arial"/>
        <family val="2"/>
      </rPr>
      <t xml:space="preserve">  Subtract
column (c) from
column (a).</t>
    </r>
  </si>
  <si>
    <t>If you completed Part I, enter the amount from line 11. Otherwise, enter your basis in the amount on</t>
  </si>
  <si>
    <t>line 16 (see instructions)</t>
  </si>
  <si>
    <t>Taxable  amount.</t>
  </si>
  <si>
    <t>Form 1040, 1040-SR, or 1040-NR, line 4b</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</si>
  <si>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</si>
  <si>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</si>
  <si>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by the total of all your prior qualified first-time homebuyer distributions</t>
  </si>
  <si>
    <t>21</t>
  </si>
  <si>
    <t xml:space="preserve">.   .   .   .   .   .   .   .   .   .   .   .   .   .   .   .   .   .   .   .   </t>
  </si>
  <si>
    <t>22</t>
  </si>
  <si>
    <t>Subtract line 22 from line 21. If zero or less, enter -0- and skip lines 24 and 25. If more than zero, you</t>
  </si>
  <si>
    <t>may be subject to an additional tax (see instructions)</t>
  </si>
  <si>
    <t>25 a</t>
  </si>
  <si>
    <t>Subtract line 24 from line 23. If zero or less, enter -0- and skip lines 25b and 25c</t>
  </si>
  <si>
    <r>
      <t xml:space="preserve">Form 1040, 1040-SR, </t>
    </r>
    <r>
      <rPr>
        <b/>
        <sz val="11"/>
        <rFont val="Arial"/>
        <family val="2"/>
      </rPr>
      <t>or</t>
    </r>
    <r>
      <rPr>
        <sz val="11"/>
        <rFont val="Arial"/>
        <family val="2"/>
      </rPr>
      <t xml:space="preserve"> 1040-NR, line 4b</t>
    </r>
  </si>
  <si>
    <t>Sign Here Only if You</t>
  </si>
  <si>
    <t>Under penalties of perjury, I declare that I have examined this form, including accompanying attachments, and to the best of my knowledge and</t>
  </si>
  <si>
    <t>belief, it is true, correct, and complete. Declaration of preparer (other than taxpayer) is based on all information of which preparer has any knowledge.</t>
  </si>
  <si>
    <t>Are Filing This Form</t>
  </si>
  <si>
    <t>by Itself and Not With</t>
  </si>
  <si>
    <t>Your Tax Return</t>
  </si>
  <si>
    <t>Paid Preparer Use Only</t>
  </si>
  <si>
    <t xml:space="preserve">  Print/Type preparer’s name</t>
  </si>
  <si>
    <t xml:space="preserve">  Preparer’s signature</t>
  </si>
  <si>
    <t xml:space="preserve">  Date</t>
  </si>
  <si>
    <t>Check</t>
  </si>
  <si>
    <t>if</t>
  </si>
  <si>
    <t xml:space="preserve"> PTIN</t>
  </si>
  <si>
    <t>self-employed</t>
  </si>
  <si>
    <t xml:space="preserve">  Firm's name</t>
  </si>
  <si>
    <t xml:space="preserve">  Firm's EIN</t>
  </si>
  <si>
    <t xml:space="preserve">  Firm's address</t>
  </si>
  <si>
    <t xml:space="preserve">  Phone no.</t>
  </si>
  <si>
    <r>
      <rPr>
        <sz val="8"/>
        <rFont val="Arial"/>
        <family val="2"/>
      </rPr>
      <t xml:space="preserve">Form </t>
    </r>
    <r>
      <rPr>
        <b/>
        <sz val="12"/>
        <rFont val="Arial"/>
        <family val="2"/>
      </rPr>
      <t>8606</t>
    </r>
  </si>
  <si>
    <t>Nondeductible IRAs</t>
  </si>
  <si>
    <t>Go to www.irs.gov/Form8606 for instructions and the latest information.</t>
  </si>
  <si>
    <t>This Form 8606 is for:</t>
  </si>
  <si>
    <t xml:space="preserve">   Your social security number</t>
  </si>
  <si>
    <t>Fill in Your Address
Only if You Are 
Filing This Form by 
Itself and Not With
Your Tax Return</t>
  </si>
  <si>
    <t xml:space="preserve"> Home address (number and street, or P.O. box if mail is not delivered to your home)</t>
  </si>
  <si>
    <t>Apt. no.</t>
  </si>
  <si>
    <t xml:space="preserve"> City, town or post office, state, and ZIP code. If you have a foreign address, also complete the spaces below (see instructions).</t>
  </si>
  <si>
    <t xml:space="preserve">  Foreign country name</t>
  </si>
  <si>
    <t xml:space="preserve"> Foreign province/state/county</t>
  </si>
  <si>
    <t xml:space="preserve"> Foreign postal code</t>
  </si>
  <si>
    <t>Complete this part only if one or more of the following apply.</t>
  </si>
  <si>
    <r>
      <rPr>
        <b/>
        <sz val="11"/>
        <rFont val="Arial"/>
        <family val="2"/>
      </rPr>
      <t>and</t>
    </r>
    <r>
      <rPr>
        <sz val="11"/>
        <rFont val="Arial"/>
        <family val="2"/>
      </rPr>
      <t xml:space="preserve">  you made nondeductible contributions to a</t>
    </r>
  </si>
  <si>
    <t>one-time distribution to fund an HSA, conversion, recharacterization, or return of certain contributions.</t>
  </si>
  <si>
    <r>
      <rPr>
        <b/>
        <sz val="11"/>
        <rFont val="Arial"/>
        <family val="2"/>
      </rPr>
      <t>and</t>
    </r>
    <r>
      <rPr>
        <sz val="11"/>
        <rFont val="Arial"/>
        <family val="2"/>
      </rPr>
      <t xml:space="preserve">  you made</t>
    </r>
  </si>
  <si>
    <t>Enter your total basis in traditional IRAs. See instructions</t>
  </si>
  <si>
    <t xml:space="preserve">  Enter the amount from line 3 on line 14.</t>
  </si>
  <si>
    <t xml:space="preserve">  Do not complete the rest of Part I.</t>
  </si>
  <si>
    <t>Go to line 4.</t>
  </si>
  <si>
    <r>
      <t xml:space="preserve">Enter the value of </t>
    </r>
    <r>
      <rPr>
        <b/>
        <sz val="11"/>
        <rFont val="Arial"/>
        <family val="2"/>
      </rPr>
      <t xml:space="preserve">all </t>
    </r>
    <r>
      <rPr>
        <sz val="11"/>
        <rFont val="Arial"/>
        <family val="2"/>
      </rPr>
      <t>your traditional, SEP, and SIMPLE IRAs as of December 31,</t>
    </r>
  </si>
  <si>
    <t>contributions  (see instructions)</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</si>
  <si>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</si>
  <si>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</si>
  <si>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</si>
  <si>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</si>
  <si>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</si>
  <si>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Add lines 11 and 12. This is the nontaxable portion of all your distributions</t>
  </si>
  <si>
    <t>Subtract line 13 from line 3.</t>
  </si>
  <si>
    <t>This is</t>
  </si>
  <si>
    <t>15 a</t>
  </si>
  <si>
    <t>Subtract line 12 from line 7</t>
  </si>
  <si>
    <t>15a</t>
  </si>
  <si>
    <t>15b</t>
  </si>
  <si>
    <t>Taxable amount.</t>
  </si>
  <si>
    <t>15c</t>
  </si>
  <si>
    <r>
      <rPr>
        <b/>
        <sz val="12"/>
        <rFont val="Arial"/>
        <family val="2"/>
      </rPr>
      <t>Note:</t>
    </r>
    <r>
      <rPr>
        <sz val="12"/>
        <rFont val="Arial"/>
        <family val="2"/>
      </rPr>
      <t xml:space="preserve"> You may be subject to an additional 10% tax on the amount on line 15c if you were under age</t>
    </r>
  </si>
  <si>
    <t>59½ at the time of the distribution. See instructions.</t>
  </si>
  <si>
    <t>Cat. No. 63966F</t>
  </si>
  <si>
    <t xml:space="preserve">
</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</si>
  <si>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</si>
  <si>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</si>
  <si>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</si>
  <si>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r>
      <t xml:space="preserve">This sheet includes </t>
    </r>
    <r>
      <rPr>
        <b/>
        <u/>
        <sz val="12"/>
        <color rgb="FF008000"/>
        <rFont val="Arial"/>
        <family val="2"/>
      </rPr>
      <t>two</t>
    </r>
    <r>
      <rPr>
        <sz val="12"/>
        <color rgb="FF008000"/>
        <rFont val="Arial"/>
        <family val="2"/>
      </rPr>
      <t xml:space="preserve"> Form 8606 forms.</t>
    </r>
  </si>
  <si>
    <t>distribution, one-time distribution to fund an HSA, conversion, recharacterization, or return of certain contributions.</t>
  </si>
  <si>
    <t>SCHEDULE 8812</t>
  </si>
  <si>
    <t>Credits for Qualifying Children
and Other Dependents</t>
  </si>
  <si>
    <r>
      <t xml:space="preserve">Go to </t>
    </r>
    <r>
      <rPr>
        <b/>
        <i/>
        <sz val="9"/>
        <rFont val="Arial"/>
        <family val="2"/>
      </rPr>
      <t>www.irs.gov/Schedule8812</t>
    </r>
    <r>
      <rPr>
        <b/>
        <sz val="9"/>
        <rFont val="Arial"/>
        <family val="2"/>
      </rPr>
      <t xml:space="preserve"> for instructions and the latest information.</t>
    </r>
  </si>
  <si>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</si>
  <si>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</si>
  <si>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</si>
  <si>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</si>
  <si>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</si>
  <si>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</si>
  <si>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</si>
  <si>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</si>
  <si>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Number of other dependents, including any qualifying children who are not under age</t>
  </si>
  <si>
    <t>Add lines 5 and 7</t>
  </si>
  <si>
    <t>Married filing jointly   ---</t>
  </si>
  <si>
    <t>All other filing statuses   ---</t>
  </si>
  <si>
    <t>Subtract line 9 from line 3.</t>
  </si>
  <si>
    <t>If more than zero and not a multiple of $1,000, enter the next multiple of $1,000.  For</t>
  </si>
  <si>
    <t>example, if the result is $425, enter $1,000; if the result is $1,025, enter $2,000, etc.</t>
  </si>
  <si>
    <t>Is the amount on line 8 more than the amount on line 11</t>
  </si>
  <si>
    <t>No. STOP.</t>
  </si>
  <si>
    <t>You cannot take the child tax credit, credit for other dependents, or additional child tax credit.</t>
  </si>
  <si>
    <t>Skip Parts II-A and II-B. Enter -0- on lines 14 and 27.</t>
  </si>
  <si>
    <r>
      <rPr>
        <b/>
        <sz val="10"/>
        <rFont val="Cambria"/>
        <family val="1"/>
        <scheme val="major"/>
      </rPr>
      <t>Yes</t>
    </r>
    <r>
      <rPr>
        <sz val="10"/>
        <rFont val="Cambria"/>
        <family val="1"/>
        <scheme val="major"/>
      </rPr>
      <t>. Subtract line 11 from line 8. Enter the result.</t>
    </r>
  </si>
  <si>
    <r>
      <t xml:space="preserve">Enter the amount from the </t>
    </r>
    <r>
      <rPr>
        <b/>
        <sz val="10"/>
        <rFont val="Cambria"/>
        <family val="1"/>
        <scheme val="major"/>
      </rPr>
      <t>Credit Limit Worksheet A</t>
    </r>
  </si>
  <si>
    <r>
      <t xml:space="preserve">Enter the smaller of line 12 or 13. </t>
    </r>
    <r>
      <rPr>
        <b/>
        <sz val="10"/>
        <rFont val="Cambria"/>
        <family val="1"/>
        <scheme val="major"/>
      </rPr>
      <t>This is your child tax credit and credit for other dependents</t>
    </r>
  </si>
  <si>
    <t>Enter this amount on Form 1040, 1040-SR, or 1040-NR, line 19.</t>
  </si>
  <si>
    <r>
      <t xml:space="preserve">If the amount on line 12 is more than the amount on line 14, you may be able to take the </t>
    </r>
    <r>
      <rPr>
        <b/>
        <sz val="11"/>
        <rFont val="Cambria"/>
        <family val="1"/>
        <scheme val="major"/>
      </rPr>
      <t>additional child tax credit</t>
    </r>
  </si>
  <si>
    <t>on Form 1040, 1040-SR, or 1040-NR, line 28. Complete your Form 1040, 1040-SR, or 1040-NR through line 27</t>
  </si>
  <si>
    <t>(also complete Schedule 3, line 11) before completing Part II-A.</t>
  </si>
  <si>
    <t>Cat. No. 59761M</t>
  </si>
  <si>
    <r>
      <rPr>
        <sz val="9"/>
        <rFont val="Arial"/>
        <family val="2"/>
      </rPr>
      <t>Page</t>
    </r>
    <r>
      <rPr>
        <b/>
        <sz val="9"/>
        <rFont val="Arial"/>
        <family val="2"/>
      </rPr>
      <t xml:space="preserve"> </t>
    </r>
    <r>
      <rPr>
        <b/>
        <sz val="14"/>
        <rFont val="Arial"/>
        <family val="2"/>
      </rPr>
      <t>2</t>
    </r>
  </si>
  <si>
    <t>Additional Child Tax Credit</t>
  </si>
  <si>
    <t>Part II-A</t>
  </si>
  <si>
    <t>Additional Child Tax Credit for All Filers</t>
  </si>
  <si>
    <t>(Entered into Form 1040, line 28.)</t>
  </si>
  <si>
    <r>
      <t>Caution:</t>
    </r>
    <r>
      <rPr>
        <sz val="10"/>
        <rFont val="Cambria"/>
        <family val="1"/>
        <scheme val="major"/>
      </rPr>
      <t xml:space="preserve"> If you file Form 2555, you cannot claim the additional child tax credit.</t>
    </r>
  </si>
  <si>
    <r>
      <t xml:space="preserve">Check this box if you </t>
    </r>
    <r>
      <rPr>
        <b/>
        <sz val="10"/>
        <rFont val="Cambria"/>
        <family val="1"/>
        <scheme val="major"/>
      </rPr>
      <t>do not</t>
    </r>
    <r>
      <rPr>
        <sz val="10"/>
        <rFont val="Cambria"/>
        <family val="1"/>
        <scheme val="major"/>
      </rPr>
      <t xml:space="preserve"> want to claim the additional child tax credit. Skip Parts II-A and II-B. Enter -0- on line 27</t>
    </r>
  </si>
  <si>
    <t>Subtract line 14 from line 12.</t>
  </si>
  <si>
    <t xml:space="preserve">If zero, </t>
  </si>
  <si>
    <r>
      <t xml:space="preserve">  </t>
    </r>
    <r>
      <rPr>
        <b/>
        <sz val="10"/>
        <rFont val="Arial"/>
        <family val="2"/>
      </rPr>
      <t>stop here</t>
    </r>
    <r>
      <rPr>
        <sz val="10"/>
        <rFont val="Arial"/>
        <family val="2"/>
      </rPr>
      <t>;</t>
    </r>
  </si>
  <si>
    <t>you cannot take the additional child tax credit. Skip Parts II-A</t>
  </si>
  <si>
    <t>and II-B. Enter -0- on line 27</t>
  </si>
  <si>
    <t>Number of qualifying children under 17 with the required social security number:</t>
  </si>
  <si>
    <t>Enter the result.</t>
  </si>
  <si>
    <r>
      <t>stop here</t>
    </r>
    <r>
      <rPr>
        <sz val="10"/>
        <rFont val="Cambria"/>
        <family val="1"/>
        <scheme val="major"/>
      </rPr>
      <t>;</t>
    </r>
  </si>
  <si>
    <t>you cannot claim the additional child tax credit. Skip Parts II-A and II-B.</t>
  </si>
  <si>
    <t>Enter -0- on line 27</t>
  </si>
  <si>
    <r>
      <rPr>
        <b/>
        <sz val="10"/>
        <rFont val="Cambria"/>
        <family val="1"/>
        <scheme val="major"/>
      </rPr>
      <t>TIP:</t>
    </r>
    <r>
      <rPr>
        <sz val="10"/>
        <rFont val="Cambria"/>
        <family val="1"/>
        <scheme val="major"/>
      </rPr>
      <t xml:space="preserve"> The number of children you use for this line is the same as the number of children you used for line 4.</t>
    </r>
  </si>
  <si>
    <r>
      <t xml:space="preserve">Enter the </t>
    </r>
    <r>
      <rPr>
        <b/>
        <sz val="10"/>
        <rFont val="Cambria"/>
        <family val="1"/>
        <scheme val="major"/>
      </rPr>
      <t xml:space="preserve">smaller </t>
    </r>
    <r>
      <rPr>
        <sz val="10"/>
        <rFont val="Cambria"/>
        <family val="1"/>
        <scheme val="major"/>
      </rPr>
      <t>of line 16a or line 16b</t>
    </r>
  </si>
  <si>
    <t>18a</t>
  </si>
  <si>
    <t>Earned income (see instructions)</t>
  </si>
  <si>
    <t>Nontaxable combat pay (from Form 1040, line 27b)</t>
  </si>
  <si>
    <t>18b</t>
  </si>
  <si>
    <r>
      <rPr>
        <b/>
        <sz val="10"/>
        <rFont val="Cambria"/>
        <family val="1"/>
        <scheme val="major"/>
      </rPr>
      <t xml:space="preserve"> No.</t>
    </r>
    <r>
      <rPr>
        <sz val="10"/>
        <rFont val="Cambria"/>
        <family val="1"/>
        <scheme val="major"/>
      </rPr>
      <t xml:space="preserve"> </t>
    </r>
  </si>
  <si>
    <t>Leave line 19 blank and enter -0- on line 20.</t>
  </si>
  <si>
    <t>Next.</t>
  </si>
  <si>
    <t>If you are a bona fide resident of Puerto Rico, go to line 21.  Otherwise, skip Part II-B and enter the</t>
  </si>
  <si>
    <t>smaller of line 17 or line 20 on line 27.</t>
  </si>
  <si>
    <t>If line 20 is equal to or more than line 17, skip Part II-B and enter the amount from line 17 on line 27.</t>
  </si>
  <si>
    <t>Otherwise, go to line 21.</t>
  </si>
  <si>
    <t>Part II-B</t>
  </si>
  <si>
    <t xml:space="preserve">  Certain Filers Who Have Three or More Qualifying Children and Bona Fide Residents of Puerto Rico</t>
  </si>
  <si>
    <t>Withheld social security, Medicare, and Additional Medicare taxes from Form(s) W-2,</t>
  </si>
  <si>
    <t>boxes 4 and 6. If married filing jointly, include your spouse’s amounts with yours.  If</t>
  </si>
  <si>
    <t>Enter the total of the amounts from Schedule 1 (Form 1040), line 15; Schedule 2 (Form</t>
  </si>
  <si>
    <t>1040), line 5; Schedule 2 (Form 1040), line 6; and Schedule 2 (Form 1040), line 13</t>
  </si>
  <si>
    <t>23</t>
  </si>
  <si>
    <t>24</t>
  </si>
  <si>
    <t>1040 and</t>
  </si>
  <si>
    <t>1040-SR filers:</t>
  </si>
  <si>
    <t>Enter the total of the amounts from Form 1040 or 1040-SR, line 27,</t>
  </si>
  <si>
    <t>and Schedule 3 (Form 1040), line 11.</t>
  </si>
  <si>
    <t>1040-NR filers:</t>
  </si>
  <si>
    <t>Enter the amount from Schedule 3 (Form 1040), line 11.</t>
  </si>
  <si>
    <t>25</t>
  </si>
  <si>
    <t>26</t>
  </si>
  <si>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</si>
  <si>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</si>
  <si>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t>Part II-C</t>
  </si>
  <si>
    <t>This is your additional child tax credit. Enter this amount on Form 1040, 1040-SR, or 1040-NR, line 28</t>
  </si>
  <si>
    <t>Schedule 8812 (Form 1040)</t>
  </si>
  <si>
    <t>Credit Limit Worksheet A</t>
  </si>
  <si>
    <t>Enter the amount from line 18 of your Form 1040, 1040-SR, or 1040-NR</t>
  </si>
  <si>
    <t>Add the following amounts (if applicable) from:</t>
  </si>
  <si>
    <r>
      <rPr>
        <b/>
        <sz val="9"/>
        <rFont val="Arial"/>
        <family val="2"/>
      </rPr>
      <t>Schedule 3,</t>
    </r>
    <r>
      <rPr>
        <sz val="9"/>
        <rFont val="Arial"/>
        <family val="2"/>
      </rPr>
      <t xml:space="preserve"> line 1</t>
    </r>
  </si>
  <si>
    <t>+</t>
  </si>
  <si>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</si>
  <si>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</si>
  <si>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</si>
  <si>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3,</t>
    </r>
    <r>
      <rPr>
        <sz val="9"/>
        <rFont val="Arial"/>
        <family val="2"/>
      </rPr>
      <t xml:space="preserve"> line 6d</t>
    </r>
  </si>
  <si>
    <r>
      <rPr>
        <b/>
        <sz val="9"/>
        <rFont val="Arial"/>
        <family val="2"/>
      </rPr>
      <t>Schedule 3,</t>
    </r>
    <r>
      <rPr>
        <sz val="9"/>
        <rFont val="Arial"/>
        <family val="2"/>
      </rPr>
      <t xml:space="preserve"> line 6f</t>
    </r>
  </si>
  <si>
    <r>
      <rPr>
        <b/>
        <sz val="9"/>
        <rFont val="Arial"/>
        <family val="2"/>
      </rPr>
      <t>Schedule 3,</t>
    </r>
    <r>
      <rPr>
        <sz val="9"/>
        <rFont val="Arial"/>
        <family val="2"/>
      </rPr>
      <t xml:space="preserve"> line 6l (6L)</t>
    </r>
  </si>
  <si>
    <t xml:space="preserve"> .   .   .   .   .   .   .   .   .   .   .   .   .   .   .   .   .   .   .   .   . </t>
  </si>
  <si>
    <t>Enter the total.</t>
  </si>
  <si>
    <t>Complete
Credit Limit
Worksheet B?</t>
  </si>
  <si>
    <t>You are claiming one or more of the following credits.</t>
  </si>
  <si>
    <t>3.1</t>
  </si>
  <si>
    <t>Mortgage interest credit, Form 8396.</t>
  </si>
  <si>
    <t>Adoption credit, Form 8839.</t>
  </si>
  <si>
    <t>Residential energy efficient property credit, Form 5695, Part I.</t>
  </si>
  <si>
    <t>AND</t>
  </si>
  <si>
    <t>District of Columbia First-time homebuyer credit, Form 8859.</t>
  </si>
  <si>
    <t>You are not filing Form 2555.</t>
  </si>
  <si>
    <t>3.2</t>
  </si>
  <si>
    <t>Line 4 of Schedule 8812 is more than zero.</t>
  </si>
  <si>
    <t>3.3</t>
  </si>
  <si>
    <t>If you are not completing Credit Limit Worksheet B, enter -0-; otherwise, enter</t>
  </si>
  <si>
    <t>the amount from the Credit Limit Worksheet B.</t>
  </si>
  <si>
    <t xml:space="preserve">Subtract line 4 from line 3. Enter here and on Schedule 8812, line 13. </t>
  </si>
  <si>
    <t>- 4 -</t>
  </si>
  <si>
    <t>Credit Limit Worksheet B</t>
  </si>
  <si>
    <t>ü</t>
  </si>
  <si>
    <t>Complete the Earned Income Worksheet, later, in these instructions.</t>
  </si>
  <si>
    <t>Schedule 3, line 11 of your return if they apply to you.</t>
  </si>
  <si>
    <t>of your return if they apply to you.</t>
  </si>
  <si>
    <t>Enter the amount from Schedule 8812, line 12</t>
  </si>
  <si>
    <t>number:</t>
  </si>
  <si>
    <r>
      <rPr>
        <b/>
        <sz val="9"/>
        <rFont val="Arial"/>
        <family val="2"/>
      </rPr>
      <t>TIP:</t>
    </r>
    <r>
      <rPr>
        <sz val="9"/>
        <rFont val="Arial"/>
        <family val="2"/>
      </rPr>
      <t xml:space="preserve">  The number of children you use for this line is the same as the number of</t>
    </r>
  </si>
  <si>
    <t>children you used for line 4 of Schedule 8812.</t>
  </si>
  <si>
    <t>Enter your earned income from line 7 of the Earned</t>
  </si>
  <si>
    <t>Income Worksheet.</t>
  </si>
  <si>
    <t>Leave line 4 blank, enter -0- on line 5, and go</t>
  </si>
  <si>
    <t>to line 6.</t>
  </si>
  <si>
    <t>If you are a bona fide resident of Puerto Rico and line 5 above is less than</t>
  </si>
  <si>
    <t>line 1 above, go to line 7.</t>
  </si>
  <si>
    <t>If line 5 above is equal to or more than line 1 above, leave lines 7 through 10</t>
  </si>
  <si>
    <t>blank, enter -0- on line 11, and go to line 12. Otherwise, go to line 7.</t>
  </si>
  <si>
    <t>taxes, use the Additional Medicare Tax and RRTA Tax</t>
  </si>
  <si>
    <r>
      <rPr>
        <b/>
        <sz val="9"/>
        <rFont val="Arial"/>
        <family val="2"/>
      </rPr>
      <t>Schedule 1</t>
    </r>
    <r>
      <rPr>
        <sz val="9"/>
        <rFont val="Arial"/>
        <family val="2"/>
      </rPr>
      <t>, line 15;</t>
    </r>
  </si>
  <si>
    <r>
      <rPr>
        <b/>
        <sz val="9"/>
        <rFont val="Arial"/>
        <family val="2"/>
      </rPr>
      <t>Schedule 2</t>
    </r>
    <r>
      <rPr>
        <sz val="9"/>
        <rFont val="Arial"/>
        <family val="2"/>
      </rPr>
      <t>, line 5;</t>
    </r>
  </si>
  <si>
    <r>
      <rPr>
        <b/>
        <sz val="9"/>
        <rFont val="Arial"/>
        <family val="2"/>
      </rPr>
      <t>Schedule 2</t>
    </r>
    <r>
      <rPr>
        <sz val="9"/>
        <rFont val="Arial"/>
        <family val="2"/>
      </rPr>
      <t>, line 6; and</t>
    </r>
  </si>
  <si>
    <r>
      <rPr>
        <b/>
        <sz val="9"/>
        <rFont val="Arial"/>
        <family val="2"/>
      </rPr>
      <t>Schedule 2</t>
    </r>
    <r>
      <rPr>
        <sz val="9"/>
        <rFont val="Arial"/>
        <family val="2"/>
      </rPr>
      <t>, line 13.</t>
    </r>
  </si>
  <si>
    <t>- 5 -</t>
  </si>
  <si>
    <r>
      <rPr>
        <b/>
        <sz val="9"/>
        <rFont val="Arial"/>
        <family val="2"/>
      </rPr>
      <t>1040 and 1040-SR filers.</t>
    </r>
    <r>
      <rPr>
        <sz val="9"/>
        <rFont val="Arial"/>
        <family val="2"/>
      </rPr>
      <t xml:space="preserve"> Enter the total of the amounts</t>
    </r>
  </si>
  <si>
    <t>from Form 1040 or 1040-SR, line 27, and Schedule 3,</t>
  </si>
  <si>
    <t>line 11.</t>
  </si>
  <si>
    <r>
      <rPr>
        <b/>
        <sz val="9"/>
        <rFont val="Arial"/>
        <family val="2"/>
      </rPr>
      <t>1040-NR filers.</t>
    </r>
    <r>
      <rPr>
        <sz val="9"/>
        <rFont val="Arial"/>
        <family val="2"/>
      </rPr>
      <t xml:space="preserve"> Enter the amount from Schedule 3,</t>
    </r>
  </si>
  <si>
    <t>Is the amount on line 13 of this worksheet more than the amount on line 1?</t>
  </si>
  <si>
    <t>Subtract line 13 from line 1. Enter the result.</t>
  </si>
  <si>
    <t>Enter -0-.</t>
  </si>
  <si>
    <r>
      <rPr>
        <b/>
        <sz val="9"/>
        <rFont val="Arial"/>
        <family val="2"/>
      </rPr>
      <t xml:space="preserve">Next, </t>
    </r>
    <r>
      <rPr>
        <sz val="9"/>
        <rFont val="Arial"/>
        <family val="2"/>
      </rPr>
      <t>figure the amount of any of the following credits that you are claiming.</t>
    </r>
  </si>
  <si>
    <t>Residential energy ef_x001F_cient property credit, Form 5695, Part I.</t>
  </si>
  <si>
    <t>District of Columbia _x001F_rst-time homebuyer credit, Form 8859.</t>
  </si>
  <si>
    <t>Then, go to line 15.</t>
  </si>
  <si>
    <t>Enter the total of the amounts from—</t>
  </si>
  <si>
    <r>
      <rPr>
        <b/>
        <sz val="9"/>
        <rFont val="Arial"/>
        <family val="2"/>
      </rPr>
      <t>Schedule 3</t>
    </r>
    <r>
      <rPr>
        <sz val="9"/>
        <rFont val="Arial"/>
        <family val="2"/>
      </rPr>
      <t>, line 6c</t>
    </r>
  </si>
  <si>
    <t>Enter this amount on</t>
  </si>
  <si>
    <t>line 4 of Credit Limit</t>
  </si>
  <si>
    <t>8829</t>
  </si>
  <si>
    <t>Expenses for Business Use of Your Home</t>
  </si>
  <si>
    <t>File only with Schedule C (Form 1040). Use a separate Form 8829 for each home you used</t>
  </si>
  <si>
    <t>for business during the year.</t>
  </si>
  <si>
    <r>
      <t xml:space="preserve">Go to </t>
    </r>
    <r>
      <rPr>
        <i/>
        <sz val="10"/>
        <rFont val="Arial"/>
        <family val="2"/>
      </rPr>
      <t>www.irs.gov/Form8962</t>
    </r>
    <r>
      <rPr>
        <sz val="10"/>
        <rFont val="Arial"/>
        <family val="2"/>
      </rPr>
      <t xml:space="preserve"> for instructions and the latest information.</t>
    </r>
  </si>
  <si>
    <t>Name(s) of proprietor(s)</t>
  </si>
  <si>
    <t>Part of Your Home Used for Business</t>
  </si>
  <si>
    <t>Area used regularly and exclusively for business, regularly for daycare, or for storage of inventory</t>
  </si>
  <si>
    <t>or product samples (see instructions)</t>
  </si>
  <si>
    <t>Total area of home</t>
  </si>
  <si>
    <t xml:space="preserve">.   .   .   .   .   .   .   .   .   .   .   .   .   .   .   .   .   .   .   .   .   .   .   .   .   .   .   .   .   .   .   .   .   .   .   .   . </t>
  </si>
  <si>
    <t>Divide line 1 by line 2. Enter the result as a percentage</t>
  </si>
  <si>
    <t>For daycare facilities not used exclusively for business, go to line 4. All others, go to line 7.</t>
  </si>
  <si>
    <t>Multiply days used for daycare during year by hours used per day</t>
  </si>
  <si>
    <t>hr.</t>
  </si>
  <si>
    <t>Check here if your busines was for 'daycare'.</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</si>
  <si>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</si>
  <si>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</si>
  <si>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</si>
  <si>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</si>
  <si>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</si>
  <si>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Sch. C Line 29</t>
  </si>
  <si>
    <t>Sch. C Form</t>
  </si>
  <si>
    <r>
      <t xml:space="preserve">Enter the amount from Schedule C, line 29, </t>
    </r>
    <r>
      <rPr>
        <b/>
        <sz val="11"/>
        <rFont val="Arial"/>
        <family val="2"/>
      </rPr>
      <t xml:space="preserve">plus </t>
    </r>
    <r>
      <rPr>
        <sz val="11"/>
        <rFont val="Arial"/>
        <family val="2"/>
      </rPr>
      <t>any gain derived from the business use of your home,</t>
    </r>
  </si>
  <si>
    <t>minus any loss from the trade or business not derived from the business use of your home. See instructions.</t>
  </si>
  <si>
    <t>Check if applicable.</t>
  </si>
  <si>
    <t>See instructions for columns (a) and (b) before completing lines 9–22.</t>
  </si>
  <si>
    <t>(a) Direct expenses</t>
  </si>
  <si>
    <t>(b) Indirect expenses</t>
  </si>
  <si>
    <t>Casualty losses (see instructions)</t>
  </si>
  <si>
    <t>NOTE:  Use this worksheet only if the total of your attributable state and</t>
  </si>
  <si>
    <t>Deductible mortgage interest (see instructions)</t>
  </si>
  <si>
    <t>Real estate taxes (see instructions)</t>
  </si>
  <si>
    <t>Add lines 9, 10, and 11</t>
  </si>
  <si>
    <t>Line 11 Worksheet</t>
  </si>
  <si>
    <t>Multiply line 12, column (b), by line 7</t>
  </si>
  <si>
    <t>Enter your state and local income taxes</t>
  </si>
  <si>
    <t>Add line 12, column (a), and line 13</t>
  </si>
  <si>
    <t xml:space="preserve"> (or, if you elect on Schedule A, your state</t>
  </si>
  <si>
    <t>Subtract line 14 from line 8. If zero or less, enter -0-</t>
  </si>
  <si>
    <t>and local general sales taxes) that are</t>
  </si>
  <si>
    <t>Excess mortgage interest (see instructions)</t>
  </si>
  <si>
    <t>personal expenses</t>
  </si>
  <si>
    <t>Excess real estate taxes (see instructions)</t>
  </si>
  <si>
    <t>Enter all the state and local real estate</t>
  </si>
  <si>
    <t>taxes you paid on the home in which you</t>
  </si>
  <si>
    <t>Rent</t>
  </si>
  <si>
    <t>conducted business</t>
  </si>
  <si>
    <t>Enter any other state and local real estate</t>
  </si>
  <si>
    <t>taxes you paid that are a personal expense</t>
  </si>
  <si>
    <t>Other expenses (see instructions)</t>
  </si>
  <si>
    <t>and not included in line 2</t>
  </si>
  <si>
    <t>Add lines 16 through 22</t>
  </si>
  <si>
    <t>Enter your state and local personal property</t>
  </si>
  <si>
    <t>Multiply line 23, column (b), by line 7</t>
  </si>
  <si>
    <t>taxes that are a personal expense</t>
  </si>
  <si>
    <t>Carryover of prior year operating expenses (see instructions)</t>
  </si>
  <si>
    <t xml:space="preserve">   .   .   .   .   .   .   .   .  </t>
  </si>
  <si>
    <t>Add lines 1 through 4</t>
  </si>
  <si>
    <t>Add line 23, column (a), line 24, and line 25</t>
  </si>
  <si>
    <t>Multiply line 2 by the percentage on</t>
  </si>
  <si>
    <r>
      <t xml:space="preserve">Allowable operating expenses. Enter the </t>
    </r>
    <r>
      <rPr>
        <b/>
        <sz val="11"/>
        <rFont val="Arial"/>
        <family val="2"/>
      </rPr>
      <t>smaller</t>
    </r>
    <r>
      <rPr>
        <sz val="11"/>
        <rFont val="Arial"/>
        <family val="2"/>
      </rPr>
      <t xml:space="preserve"> of line 15 or line 26</t>
    </r>
  </si>
  <si>
    <t>Form 8829, line 7</t>
  </si>
  <si>
    <t>Limit on excess casualty losses and depreciation. Subtract line 27 from line 15</t>
  </si>
  <si>
    <t>Excess casualty losses (see instructions)</t>
  </si>
  <si>
    <t>Depreciation of your home from line 42 below</t>
  </si>
  <si>
    <t>filing separately). If zero or less, enter -0-</t>
  </si>
  <si>
    <t>Carryover of prior year excess casualty losses and depreciation (see instructions)</t>
  </si>
  <si>
    <t>Real estate taxes reported on line 11.</t>
  </si>
  <si>
    <t>Add lines 29 through 31</t>
  </si>
  <si>
    <t>Enter the smaller of line 6 or line 8 here and in</t>
  </si>
  <si>
    <r>
      <t xml:space="preserve">Allowable excess casualty losses and depreciation. Enter the </t>
    </r>
    <r>
      <rPr>
        <b/>
        <sz val="11"/>
        <rFont val="Arial"/>
        <family val="2"/>
      </rPr>
      <t>smaller</t>
    </r>
    <r>
      <rPr>
        <sz val="11"/>
        <rFont val="Arial"/>
        <family val="2"/>
      </rPr>
      <t xml:space="preserve"> of line 28 or line 32</t>
    </r>
  </si>
  <si>
    <t>column (a) of Form 8829, line 11</t>
  </si>
  <si>
    <t>Add lines 14, 27, and 33</t>
  </si>
  <si>
    <t>Excess real estate taxes reported on line 17.</t>
  </si>
  <si>
    <r>
      <t xml:space="preserve">Casualty loss portion, if any, from lines 14 and 33. Carry amount to </t>
    </r>
    <r>
      <rPr>
        <b/>
        <sz val="11"/>
        <rFont val="Arial"/>
        <family val="2"/>
      </rPr>
      <t>Form 4684</t>
    </r>
    <r>
      <rPr>
        <sz val="11"/>
        <rFont val="Arial"/>
        <family val="2"/>
      </rPr>
      <t>. See instructions</t>
    </r>
  </si>
  <si>
    <t>Subtract line 9 from line 6</t>
  </si>
  <si>
    <r>
      <rPr>
        <b/>
        <sz val="11"/>
        <rFont val="Arial"/>
        <family val="2"/>
      </rPr>
      <t xml:space="preserve">Allowable expenses for business use of your home. </t>
    </r>
    <r>
      <rPr>
        <sz val="11"/>
        <rFont val="Arial"/>
        <family val="2"/>
      </rPr>
      <t>Subtract line 35 from line 34. Enter here</t>
    </r>
  </si>
  <si>
    <t>and on Schedule C, line 30. If your home was used for more than one business, see instructions</t>
  </si>
  <si>
    <t>Depreciation of Your Home</t>
  </si>
  <si>
    <r>
      <t xml:space="preserve">Enter the </t>
    </r>
    <r>
      <rPr>
        <b/>
        <sz val="11"/>
        <rFont val="Arial"/>
        <family val="2"/>
      </rPr>
      <t>smaller</t>
    </r>
    <r>
      <rPr>
        <sz val="11"/>
        <rFont val="Arial"/>
        <family val="2"/>
      </rPr>
      <t xml:space="preserve"> of your home’s adjusted basis or its fair market value. See instructions</t>
    </r>
  </si>
  <si>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</si>
  <si>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</si>
  <si>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</si>
  <si>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</si>
  <si>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</si>
  <si>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Override (Line 42)</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</si>
  <si>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</si>
  <si>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</si>
  <si>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</si>
  <si>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</si>
  <si>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</si>
  <si>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</si>
  <si>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r>
      <t xml:space="preserve">Go to </t>
    </r>
    <r>
      <rPr>
        <i/>
        <sz val="10"/>
        <rFont val="Arial"/>
        <family val="2"/>
      </rPr>
      <t>www.irs.gov/Form8863</t>
    </r>
    <r>
      <rPr>
        <sz val="10"/>
        <rFont val="Arial"/>
        <family val="2"/>
      </rPr>
      <t xml:space="preserve"> for instructions and the latest information.</t>
    </r>
  </si>
  <si>
    <t>American Opportunity Credit</t>
  </si>
  <si>
    <t>Student</t>
  </si>
  <si>
    <t>Complete a separate Part III on page 2 for each student for whom you’re claiming either credit before</t>
  </si>
  <si>
    <t>you complete Parts I and II.</t>
  </si>
  <si>
    <t>See below for</t>
  </si>
  <si>
    <t>Refundable American Opportunity Credit</t>
  </si>
  <si>
    <t>Part III, Line 30</t>
  </si>
  <si>
    <t>After completing Part III for each student, enter the total of all amounts from all Parts III, line 30</t>
  </si>
  <si>
    <t>or qualifying widow(er)</t>
  </si>
  <si>
    <t>Enter the amount from Form 1040 or 1040-SR, line 11. If you’re filing Form</t>
  </si>
  <si>
    <t>T</t>
  </si>
  <si>
    <t>2555 or 4563, or you’re excluding income from Puerto Rico, see Pub. 970 for</t>
  </si>
  <si>
    <t>the amount to enter</t>
  </si>
  <si>
    <r>
      <rPr>
        <b/>
        <sz val="11"/>
        <rFont val="Arial"/>
        <family val="2"/>
      </rPr>
      <t>stop</t>
    </r>
    <r>
      <rPr>
        <sz val="11"/>
        <rFont val="Arial"/>
        <family val="2"/>
      </rPr>
      <t>; you can’t take any</t>
    </r>
  </si>
  <si>
    <t>education credit</t>
  </si>
  <si>
    <t xml:space="preserve"> .   .   .   .   .   .   .   .   .   .   .   .   .   .   .   .   .   .   .   .   .   .   .   .   .   .   .   . </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</si>
  <si>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</si>
  <si>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</si>
  <si>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</si>
  <si>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</si>
  <si>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</si>
  <si>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</si>
  <si>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</si>
  <si>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</si>
  <si>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skip line 8, enter the amount from line 7 on line 9, and check this box</t>
  </si>
  <si>
    <t>Refundable American opportunity credit.</t>
  </si>
  <si>
    <t>on Form 1040 or 1040-SR, line 29. Then go to line 9 below</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</si>
  <si>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</si>
  <si>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</si>
  <si>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</si>
  <si>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</si>
  <si>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Lifetime Learning Credit</t>
  </si>
  <si>
    <t>Part III, Line 31</t>
  </si>
  <si>
    <t>Enter the amount from Form 1040 or 1040-SR, line 11. If you're filing Form</t>
  </si>
  <si>
    <t>Subtract line 14 from line 13. If zero or less, skip lines 16 and 17, enter -0- on</t>
  </si>
  <si>
    <t>Credit Limit Worksheet from Instructions for Form 8863</t>
  </si>
  <si>
    <t>line 18, and go to line 19</t>
  </si>
  <si>
    <t>Complete this worksheet to figure the amount to enter on line 19.</t>
  </si>
  <si>
    <t>1.  Enter the amount from Form 8863, line 18.</t>
  </si>
  <si>
    <t>2.  Enter the amount from Form 8863, line 9.</t>
  </si>
  <si>
    <t>If line 15 is:</t>
  </si>
  <si>
    <t>3.  Add lines 1 and 2.</t>
  </si>
  <si>
    <t>Equal to or more than line 16, enter 1.000 on line 17 and go to line 18</t>
  </si>
  <si>
    <t>4.  Enter the amount from Form 1040 or 1040-SR, line 18</t>
  </si>
  <si>
    <t>Less than line 16, divide line 15 by line 16. Enter the result as a decimal (rounded to at least three</t>
  </si>
  <si>
    <t>5.  Enter the total of your credits from:</t>
  </si>
  <si>
    <t>places)</t>
  </si>
  <si>
    <t xml:space="preserve">.   .   .   .   .   .   .   .   .   .   .   .    .   .   .   .   .   .   .   .    .   .   .   .   .   .   .   .   .   .   .   .   .   .   .   .   . </t>
  </si>
  <si>
    <t xml:space="preserve">           Schedule 3 (Form 1040), lines 1, 2, 6d and 6l</t>
  </si>
  <si>
    <t>Multiply line 12 by line 17. Enter here and on line 1 of the Credit Limit Worksheet (see instructions)</t>
  </si>
  <si>
    <t xml:space="preserve">  .   .   .   . </t>
  </si>
  <si>
    <t>6.  Subtract line 5 from line 4.</t>
  </si>
  <si>
    <r>
      <rPr>
        <b/>
        <sz val="11"/>
        <rFont val="Arial"/>
        <family val="2"/>
      </rPr>
      <t>Nonrefundable education credits.</t>
    </r>
    <r>
      <rPr>
        <sz val="11"/>
        <rFont val="Arial"/>
        <family val="2"/>
      </rPr>
      <t xml:space="preserve"> Enter the amount from line 7 of the Credit Limit Worksheet (see</t>
    </r>
  </si>
  <si>
    <t>7.  Enter the smaller of line 3 or line 6 here and on Form 8863, line 19.</t>
  </si>
  <si>
    <t>instructions) here and on Schedule 3 (Form 1040), line 3</t>
  </si>
  <si>
    <t>Cat. No. 25379M</t>
  </si>
  <si>
    <r>
      <rPr>
        <sz val="8"/>
        <rFont val="Arial"/>
        <family val="2"/>
      </rPr>
      <t xml:space="preserve">Form </t>
    </r>
    <r>
      <rPr>
        <b/>
        <sz val="12"/>
        <rFont val="Arial"/>
        <family val="2"/>
      </rPr>
      <t>8863</t>
    </r>
  </si>
  <si>
    <t>Complete Part III for each student for whom you’re claiming either the American opportunity 
credit or lifetime learning credit. Use additional copies of page 2 as needed for each student.</t>
  </si>
  <si>
    <r>
      <t xml:space="preserve">Student and Educational Institution Information. </t>
    </r>
    <r>
      <rPr>
        <sz val="14"/>
        <rFont val="Arial"/>
        <family val="2"/>
      </rPr>
      <t>See instructions.</t>
    </r>
  </si>
  <si>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</si>
  <si>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</si>
  <si>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</si>
  <si>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</si>
  <si>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</si>
  <si>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</si>
  <si>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</si>
  <si>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</si>
  <si>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</si>
  <si>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r>
      <t>Enter the institution’s employer identification number (EIN)
if you’re claiming the American opportunity credit or if you
checked “Yes” in (</t>
    </r>
    <r>
      <rPr>
        <b/>
        <sz val="11"/>
        <rFont val="Arial"/>
        <family val="2"/>
      </rPr>
      <t>2</t>
    </r>
    <r>
      <rPr>
        <sz val="11"/>
        <rFont val="Arial"/>
        <family val="2"/>
      </rPr>
      <t>) or (</t>
    </r>
    <r>
      <rPr>
        <b/>
        <sz val="11"/>
        <rFont val="Arial"/>
        <family val="2"/>
      </rPr>
      <t>3</t>
    </r>
    <r>
      <rPr>
        <sz val="11"/>
        <rFont val="Arial"/>
        <family val="2"/>
      </rPr>
      <t>). You can get the EIN from Form
1098-T or from the institution.</t>
    </r>
  </si>
  <si>
    <t>Adjusted Qualified Education Expenses Worksheet</t>
  </si>
  <si>
    <t>Complete a separate worksheet for each student for each academic period beginning or treated as beginning</t>
  </si>
  <si>
    <t>-</t>
  </si>
  <si>
    <t>Has the American opportunity credit been claimed for this</t>
  </si>
  <si>
    <r>
      <rPr>
        <b/>
        <sz val="10"/>
        <rFont val="Arial"/>
        <family val="2"/>
      </rPr>
      <t xml:space="preserve">1.  </t>
    </r>
    <r>
      <rPr>
        <sz val="10"/>
        <rFont val="Arial"/>
        <family val="2"/>
      </rPr>
      <t>Total qualified education expenses paid for or on behalf of the student in</t>
    </r>
  </si>
  <si>
    <t>student for any 4 prior tax years?</t>
  </si>
  <si>
    <r>
      <t xml:space="preserve">Yes -- </t>
    </r>
    <r>
      <rPr>
        <b/>
        <sz val="10"/>
        <rFont val="Arial"/>
        <family val="2"/>
      </rPr>
      <t>Stop!</t>
    </r>
  </si>
  <si>
    <t>No -- Go to line 24.</t>
  </si>
  <si>
    <t>Go to line 31 for this student.</t>
  </si>
  <si>
    <t>Was the student enrolled at least half-time for at least one</t>
  </si>
  <si>
    <r>
      <rPr>
        <b/>
        <sz val="10"/>
        <rFont val="Arial"/>
        <family val="2"/>
      </rPr>
      <t xml:space="preserve">2.  </t>
    </r>
    <r>
      <rPr>
        <sz val="10"/>
        <rFont val="Arial"/>
        <family val="2"/>
      </rPr>
      <t>Less adjustments</t>
    </r>
  </si>
  <si>
    <t>academic period that began or is treated as having begun</t>
  </si>
  <si>
    <t>the academic period</t>
  </si>
  <si>
    <t>leading towards a postsecondary degree, certificate, or</t>
  </si>
  <si>
    <t>Yes -- Go to line 25.</t>
  </si>
  <si>
    <r>
      <t xml:space="preserve">No -- </t>
    </r>
    <r>
      <rPr>
        <b/>
        <sz val="10"/>
        <rFont val="Arial"/>
        <family val="2"/>
      </rPr>
      <t>Stop!</t>
    </r>
    <r>
      <rPr>
        <sz val="10"/>
        <rFont val="Arial"/>
        <family val="2"/>
      </rPr>
      <t xml:space="preserve">  Go to Line 31.</t>
    </r>
  </si>
  <si>
    <t>other recognized postsecondary educational credential?</t>
  </si>
  <si>
    <t>for this student</t>
  </si>
  <si>
    <t>Did the student complete the first 4 years of post secondary</t>
  </si>
  <si>
    <t>No -- Go to line 26.</t>
  </si>
  <si>
    <r>
      <rPr>
        <b/>
        <sz val="10"/>
        <rFont val="Arial"/>
        <family val="2"/>
      </rPr>
      <t xml:space="preserve">3.  </t>
    </r>
    <r>
      <rPr>
        <sz val="10"/>
        <rFont val="Arial"/>
        <family val="2"/>
      </rPr>
      <t>Total adjustments (add lines 2a, 2b, and 2c)</t>
    </r>
  </si>
  <si>
    <t>felony for possession or distribution of a controlled</t>
  </si>
  <si>
    <t>No -- Complete lines 27</t>
  </si>
  <si>
    <t>4.  Adjusted qualified education expenses. Subtract line 3 from line 1</t>
  </si>
  <si>
    <t>substance?</t>
  </si>
  <si>
    <t>through 30 for this student.</t>
  </si>
  <si>
    <t>If zero or less, enter -0-</t>
  </si>
  <si>
    <r>
      <t xml:space="preserve">Enter result into Part III, line 27  </t>
    </r>
    <r>
      <rPr>
        <u/>
        <sz val="10"/>
        <rFont val="Arial"/>
        <family val="2"/>
      </rPr>
      <t>OR</t>
    </r>
    <r>
      <rPr>
        <sz val="10"/>
        <rFont val="Arial"/>
        <family val="2"/>
      </rPr>
      <t xml:space="preserve">  line 31.</t>
    </r>
  </si>
  <si>
    <r>
      <t xml:space="preserve">You </t>
    </r>
    <r>
      <rPr>
        <b/>
        <i/>
        <sz val="12"/>
        <rFont val="Arial"/>
        <family val="2"/>
      </rPr>
      <t>can't</t>
    </r>
    <r>
      <rPr>
        <i/>
        <sz val="12"/>
        <rFont val="Arial"/>
        <family val="2"/>
      </rPr>
      <t xml:space="preserve"> take the American opportunity credit and the lifetime learning credit for the </t>
    </r>
    <r>
      <rPr>
        <b/>
        <i/>
        <sz val="12"/>
        <rFont val="Arial"/>
        <family val="2"/>
      </rPr>
      <t>same student</t>
    </r>
    <r>
      <rPr>
        <i/>
        <sz val="12"/>
        <rFont val="Arial"/>
        <family val="2"/>
      </rPr>
      <t xml:space="preserve"> in the same year.</t>
    </r>
  </si>
  <si>
    <t>If you complete lines 27 through 30 for this student, don’t complete line 31.</t>
  </si>
  <si>
    <t>&lt;&lt;&lt; Check here to use Lifetime Learnng Credit.</t>
  </si>
  <si>
    <t>Adjusted qualified education expenses (see instructions).</t>
  </si>
  <si>
    <t xml:space="preserve">.   .   .   .    .   .   .   .   .   .   .   .   .   .   .   .   .   .   .   .   . </t>
  </si>
  <si>
    <t xml:space="preserve">.   .   .   .   .    .   .   .   .   .   .   .   .    .   .   .   .   .   .   .   .   .   .   .   .   .   .   .   .   . </t>
  </si>
  <si>
    <t>If line 28 is zero, enter the amount from line 27. Otherwise, add $2,000 to the amount on line 29 and</t>
  </si>
  <si>
    <t>enter the result. Skip line 31. Include the total of all amounts from all Parts III, line 30, on Part I, line 1.</t>
  </si>
  <si>
    <t>Adjusted qualified education expenses (see instructions). Include the total of all amounts from all Parts</t>
  </si>
  <si>
    <t>III, line 31, on Part II, line 10</t>
  </si>
  <si>
    <r>
      <t>Enter the institution’s employer identification number (EIN)
if you’re claiming the American opportunity credit or if you
checked “Yes” in (</t>
    </r>
    <r>
      <rPr>
        <b/>
        <sz val="11"/>
        <rFont val="Arial"/>
        <family val="2"/>
      </rPr>
      <t>2)</t>
    </r>
    <r>
      <rPr>
        <sz val="11"/>
        <rFont val="Arial"/>
        <family val="2"/>
      </rPr>
      <t xml:space="preserve"> or (</t>
    </r>
    <r>
      <rPr>
        <b/>
        <sz val="11"/>
        <rFont val="Arial"/>
        <family val="2"/>
      </rPr>
      <t>3</t>
    </r>
    <r>
      <rPr>
        <sz val="11"/>
        <rFont val="Arial"/>
        <family val="2"/>
      </rPr>
      <t>). You can get the EIN from Form
1098-T or from the institution.</t>
    </r>
  </si>
  <si>
    <t>4.  Adjusted qualified education expenses. Subtract line 3 from line 1.</t>
  </si>
  <si>
    <t xml:space="preserve">4.  Adjusted qualified education expenses. Subtract line 3 from line 1. </t>
  </si>
  <si>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</si>
  <si>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</si>
  <si>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</si>
  <si>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</si>
  <si>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t>married filing jointly.</t>
  </si>
  <si>
    <r>
      <t xml:space="preserve">The person(s) who made the qualified contribution or elective deferral  </t>
    </r>
    <r>
      <rPr>
        <b/>
        <i/>
        <sz val="11"/>
        <rFont val="Arial"/>
        <family val="2"/>
      </rPr>
      <t>(a)</t>
    </r>
    <r>
      <rPr>
        <i/>
        <sz val="11"/>
        <rFont val="Arial"/>
        <family val="2"/>
      </rPr>
      <t xml:space="preserve"> </t>
    </r>
    <r>
      <rPr>
        <sz val="11"/>
        <rFont val="Arial"/>
        <family val="2"/>
      </rPr>
      <t>was</t>
    </r>
  </si>
  <si>
    <r>
      <rPr>
        <b/>
        <i/>
        <sz val="11"/>
        <rFont val="Arial"/>
        <family val="2"/>
      </rPr>
      <t>(b)</t>
    </r>
    <r>
      <rPr>
        <i/>
        <sz val="11"/>
        <rFont val="Arial"/>
        <family val="2"/>
      </rPr>
      <t xml:space="preserve"> is claimed as a</t>
    </r>
  </si>
  <si>
    <r>
      <t xml:space="preserve">or </t>
    </r>
    <r>
      <rPr>
        <b/>
        <i/>
        <sz val="11"/>
        <rFont val="Arial"/>
        <family val="2"/>
      </rPr>
      <t xml:space="preserve">(c) </t>
    </r>
    <r>
      <rPr>
        <i/>
        <sz val="11"/>
        <rFont val="Arial"/>
        <family val="2"/>
      </rPr>
      <t xml:space="preserve">was a </t>
    </r>
    <r>
      <rPr>
        <b/>
        <i/>
        <sz val="11"/>
        <rFont val="Arial"/>
        <family val="2"/>
      </rPr>
      <t>student</t>
    </r>
    <r>
      <rPr>
        <i/>
        <sz val="11"/>
        <rFont val="Arial"/>
        <family val="2"/>
      </rPr>
      <t xml:space="preserve"> (see instructions).</t>
    </r>
  </si>
  <si>
    <t>(a) You</t>
  </si>
  <si>
    <t>(b) Your spouse</t>
  </si>
  <si>
    <t>Traditional and Roth IRA contributions, and ABLE account contributions by the</t>
  </si>
  <si>
    <r>
      <rPr>
        <b/>
        <sz val="12"/>
        <rFont val="Arial"/>
        <family val="2"/>
      </rPr>
      <t>Do not</t>
    </r>
    <r>
      <rPr>
        <sz val="12"/>
        <rFont val="Arial"/>
        <family val="2"/>
      </rPr>
      <t xml:space="preserve"> include rollover contributions</t>
    </r>
  </si>
  <si>
    <t>Elective deferrals to 401(k) or other qualified employer plan, voluntary employee</t>
  </si>
  <si>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</si>
  <si>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</si>
  <si>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t xml:space="preserve">include </t>
    </r>
    <r>
      <rPr>
        <b/>
        <sz val="12"/>
        <rFont val="Arial"/>
        <family val="2"/>
      </rPr>
      <t>both</t>
    </r>
    <r>
      <rPr>
        <sz val="12"/>
        <rFont val="Arial"/>
        <family val="2"/>
      </rPr>
      <t xml:space="preserve"> spouses’ amounts in </t>
    </r>
    <r>
      <rPr>
        <b/>
        <sz val="12"/>
        <rFont val="Arial"/>
        <family val="2"/>
      </rPr>
      <t>both</t>
    </r>
    <r>
      <rPr>
        <sz val="12"/>
        <rFont val="Arial"/>
        <family val="2"/>
      </rPr>
      <t xml:space="preserve"> columns. See instructions for exceptions</t>
    </r>
  </si>
  <si>
    <r>
      <t xml:space="preserve">In each column,  enter the  </t>
    </r>
    <r>
      <rPr>
        <b/>
        <sz val="12"/>
        <rFont val="Arial"/>
        <family val="2"/>
      </rPr>
      <t>smaller</t>
    </r>
    <r>
      <rPr>
        <sz val="12"/>
        <rFont val="Arial"/>
        <family val="2"/>
      </rPr>
      <t xml:space="preserve"> of  line  5  or</t>
    </r>
  </si>
  <si>
    <t>Add the amounts on line 6.</t>
  </si>
  <si>
    <r>
      <t xml:space="preserve">If zero, </t>
    </r>
    <r>
      <rPr>
        <b/>
        <sz val="12"/>
        <rFont val="Arial"/>
        <family val="2"/>
      </rPr>
      <t>stop</t>
    </r>
    <r>
      <rPr>
        <sz val="12"/>
        <rFont val="Arial"/>
        <family val="2"/>
      </rPr>
      <t>; you can’t take this credit</t>
    </r>
  </si>
  <si>
    <t>Enter the amount from Form 1040, 1040-SR, or 1040-NR, line 11*</t>
  </si>
  <si>
    <t>Enter the applicable decimal amount from the table below</t>
  </si>
  <si>
    <t>Line 11</t>
  </si>
  <si>
    <t>If line 8 is —</t>
  </si>
  <si>
    <t>And your filing status is—</t>
  </si>
  <si>
    <t>Before you complete the following worksheet, figure the amount of any</t>
  </si>
  <si>
    <t>Over ---</t>
  </si>
  <si>
    <t>But not
over ---</t>
  </si>
  <si>
    <t>Married
filing jointly</t>
  </si>
  <si>
    <t>Head of
household</t>
  </si>
  <si>
    <t>Single, Married filing separately, or 
Qualifying widow(er)</t>
  </si>
  <si>
    <t>credit for the elderly or the disabled you’re claiming on Schedule 3</t>
  </si>
  <si>
    <t>(Form 1040), line 6d. See Schedule R (Form 1040) to figure the credit.</t>
  </si>
  <si>
    <t>Enter on line 9 --</t>
  </si>
  <si>
    <t>Credit Limit Worksheet</t>
  </si>
  <si>
    <t>Complete this worksheet to figure the amount to enter on line 11.</t>
  </si>
  <si>
    <t>x 0.</t>
  </si>
  <si>
    <t>Enter the total of your credits from Schedule 3,</t>
  </si>
  <si>
    <t xml:space="preserve"> lines 1 through 3, 6d, and 6l</t>
  </si>
  <si>
    <t>Subtract line 2 from line 1. Also enter this amount</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</si>
  <si>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</si>
  <si>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r>
      <t xml:space="preserve">on Form 8880, line 11.  But if zero or less, </t>
    </r>
    <r>
      <rPr>
        <b/>
        <sz val="10"/>
        <rFont val="Arial"/>
        <family val="2"/>
      </rPr>
      <t>stop;</t>
    </r>
  </si>
  <si>
    <t>Multiply line 7 by line 9</t>
  </si>
  <si>
    <t>you can’t take the credit—don’t file this form</t>
  </si>
  <si>
    <t>Limitation based on tax liability. Enter the amount from the Credit Limit Worksheet in the instructions</t>
  </si>
  <si>
    <r>
      <rPr>
        <b/>
        <sz val="12"/>
        <rFont val="Arial"/>
        <family val="2"/>
      </rPr>
      <t>Credit for qualified retirement savings contributions.</t>
    </r>
    <r>
      <rPr>
        <sz val="12"/>
        <rFont val="Arial"/>
        <family val="2"/>
      </rPr>
      <t xml:space="preserve"> Enter the smaller of line 10 or line 11 here</t>
    </r>
  </si>
  <si>
    <t>and on Schedule 3 (Form 1040), line 4</t>
  </si>
  <si>
    <t>*See Pub. 590-A for the amount to enter if you claim any exclusion or deduction for foreign earned income, foreign housing, or income from</t>
  </si>
  <si>
    <t>Puerto Rico or for bona fide residents of American Samoa.</t>
  </si>
  <si>
    <t>Cat. No. 33394D</t>
  </si>
  <si>
    <r>
      <rPr>
        <sz val="8"/>
        <rFont val="Arial"/>
        <family val="2"/>
      </rPr>
      <t xml:space="preserve">Form </t>
    </r>
    <r>
      <rPr>
        <b/>
        <sz val="14"/>
        <rFont val="Arial"/>
        <family val="2"/>
      </rPr>
      <t>8880</t>
    </r>
  </si>
  <si>
    <t>Download Form 8880 &amp; Instructions</t>
  </si>
  <si>
    <t>Dependent?</t>
  </si>
  <si>
    <t>Health Savings Accounts (HSAs)</t>
  </si>
  <si>
    <r>
      <t xml:space="preserve">Manual
Override </t>
    </r>
    <r>
      <rPr>
        <b/>
        <sz val="10"/>
        <rFont val="Wingdings"/>
        <charset val="2"/>
      </rPr>
      <t>ê</t>
    </r>
  </si>
  <si>
    <t>Attach to Form 1040 or 1040-SR or Form 1040-NR.</t>
  </si>
  <si>
    <t xml:space="preserve">      Attachment</t>
  </si>
  <si>
    <t>HSA</t>
  </si>
  <si>
    <t>Coverage Type?</t>
  </si>
  <si>
    <r>
      <t xml:space="preserve">Go to </t>
    </r>
    <r>
      <rPr>
        <b/>
        <i/>
        <sz val="8"/>
        <rFont val="Arial"/>
        <family val="2"/>
      </rPr>
      <t>www.irs.gov/Form8889</t>
    </r>
    <r>
      <rPr>
        <b/>
        <sz val="8"/>
        <rFont val="Arial"/>
        <family val="2"/>
      </rPr>
      <t xml:space="preserve"> for instructions and the latest information.</t>
    </r>
  </si>
  <si>
    <r>
      <t xml:space="preserve">Sequence No. </t>
    </r>
    <r>
      <rPr>
        <b/>
        <sz val="12"/>
        <rFont val="Arial"/>
        <family val="2"/>
      </rPr>
      <t>52</t>
    </r>
  </si>
  <si>
    <t>Beneficiary</t>
  </si>
  <si>
    <t>What coverage type did your HDHP provide on the 1st day of the month?</t>
  </si>
  <si>
    <t>Name(s) shown on Form 1040, 1040-SR, or Form 1040-NR</t>
  </si>
  <si>
    <t>Social security number of HSA beneficiary. 
If both spouses have HSAs, see instructions</t>
  </si>
  <si>
    <t>Line 3 Limitation Chart and Worksheet</t>
  </si>
  <si>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</si>
  <si>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t>Enrolled in Medicare? (Y/N)</t>
  </si>
  <si>
    <t>Eligible on 1st of Month? (Y/N)</t>
  </si>
  <si>
    <t>Coverage Type?  (Self/Family)</t>
  </si>
  <si>
    <r>
      <t xml:space="preserve"> </t>
    </r>
    <r>
      <rPr>
        <b/>
        <sz val="11"/>
        <rFont val="Arial"/>
        <family val="2"/>
      </rPr>
      <t>HSA Contributions and Deduction.</t>
    </r>
    <r>
      <rPr>
        <sz val="11"/>
        <rFont val="Arial"/>
        <family val="2"/>
      </rPr>
      <t xml:space="preserve"> See the instructions before completing this part. If you are filing jointly</t>
    </r>
  </si>
  <si>
    <t xml:space="preserve"> and both you and your spouse each have separate HSAs, complete a separate Part I for each spouse.</t>
  </si>
  <si>
    <t xml:space="preserve"> Self-only</t>
  </si>
  <si>
    <t xml:space="preserve"> Family</t>
  </si>
  <si>
    <r>
      <rPr>
        <b/>
        <sz val="10"/>
        <rFont val="Arial"/>
        <family val="2"/>
      </rPr>
      <t>Do not</t>
    </r>
    <r>
      <rPr>
        <sz val="10"/>
        <rFont val="Arial"/>
        <family val="2"/>
      </rPr>
      <t xml:space="preserve"> include employer contributions</t>
    </r>
  </si>
  <si>
    <t>Y or S</t>
  </si>
  <si>
    <t>contributions through a cafeteria plan, or rollovers.  See instructions</t>
  </si>
  <si>
    <t>Self</t>
  </si>
  <si>
    <t>&lt;55</t>
  </si>
  <si>
    <t>January</t>
  </si>
  <si>
    <t>Y</t>
  </si>
  <si>
    <r>
      <t xml:space="preserve">were,  or  were  considered,  an  eligible  individual  with  the  </t>
    </r>
    <r>
      <rPr>
        <b/>
        <sz val="9"/>
        <rFont val="Arial"/>
        <family val="2"/>
      </rPr>
      <t>same</t>
    </r>
    <r>
      <rPr>
        <sz val="9"/>
        <rFont val="Arial"/>
        <family val="2"/>
      </rPr>
      <t xml:space="preserve">  coverage, </t>
    </r>
  </si>
  <si>
    <t>&gt;=55</t>
  </si>
  <si>
    <t>Single*</t>
  </si>
  <si>
    <t>February</t>
  </si>
  <si>
    <r>
      <t xml:space="preserve">family coverage).   </t>
    </r>
    <r>
      <rPr>
        <b/>
        <sz val="9"/>
        <rFont val="Arial"/>
        <family val="2"/>
      </rPr>
      <t>All others</t>
    </r>
    <r>
      <rPr>
        <sz val="9"/>
        <rFont val="Arial"/>
        <family val="2"/>
      </rPr>
      <t>, see instructions for the amount to enter</t>
    </r>
  </si>
  <si>
    <t>Married</t>
  </si>
  <si>
    <t>March</t>
  </si>
  <si>
    <t>April</t>
  </si>
  <si>
    <t>*Or Married with Self Only Coverage Type</t>
  </si>
  <si>
    <t>include any amount contributed to your spouse’s Archer MSAs</t>
  </si>
  <si>
    <t>June</t>
  </si>
  <si>
    <t>Family coverage at any time?</t>
  </si>
  <si>
    <t>July</t>
  </si>
  <si>
    <t>Enter the amount from line 5. But if you and your spouse each have separate HSAs and had family</t>
  </si>
  <si>
    <t>Allocation</t>
  </si>
  <si>
    <t>August</t>
  </si>
  <si>
    <r>
      <rPr>
        <sz val="9"/>
        <rFont val="Arial"/>
        <family val="2"/>
      </rPr>
      <t xml:space="preserve">enter </t>
    </r>
    <r>
      <rPr>
        <b/>
        <sz val="10"/>
        <rFont val="Arial"/>
        <family val="2"/>
      </rPr>
      <t xml:space="preserve">.   .   .   .   .  </t>
    </r>
  </si>
  <si>
    <t>Family?</t>
  </si>
  <si>
    <t>September</t>
  </si>
  <si>
    <t>Rule 1</t>
  </si>
  <si>
    <t>October</t>
  </si>
  <si>
    <t>Rule 2</t>
  </si>
  <si>
    <t>November</t>
  </si>
  <si>
    <t>December</t>
  </si>
  <si>
    <t>Add lines 6 and 7</t>
  </si>
  <si>
    <t>Total for all months</t>
  </si>
  <si>
    <r>
      <rPr>
        <b/>
        <sz val="8"/>
        <rFont val="Arial"/>
        <family val="2"/>
      </rPr>
      <t>Limitation.</t>
    </r>
    <r>
      <rPr>
        <sz val="8"/>
        <rFont val="Arial"/>
        <family val="2"/>
      </rPr>
      <t xml:space="preserve"> Divide the total by 12.</t>
    </r>
  </si>
  <si>
    <t>Qualified HSA funding distributions</t>
  </si>
  <si>
    <t>Step 3</t>
  </si>
  <si>
    <t xml:space="preserve">.   .   .   .    .   .   .   .   .   .   .   .   .   .   .   .   .   .   .   .   .   .   .   .   .   .   .   .   .   .   .   .   . </t>
  </si>
  <si>
    <t>Step 4</t>
  </si>
  <si>
    <t>Subtract line 11 from line 8. If zero or less, enter -0-</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</si>
  <si>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</si>
  <si>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r>
      <rPr>
        <b/>
        <sz val="10"/>
        <rFont val="Arial"/>
        <family val="2"/>
      </rPr>
      <t>Caution:</t>
    </r>
    <r>
      <rPr>
        <sz val="9"/>
        <rFont val="Arial"/>
        <family val="2"/>
      </rPr>
      <t xml:space="preserve">  If line 2 is more than line 13, you may have to pay an additional tax.  See instructions.</t>
    </r>
  </si>
  <si>
    <t xml:space="preserve"> .   .   .   .   .   .   .   .   .   .   .   . </t>
  </si>
  <si>
    <t>Distributions included on line 14a that you rolled over to another HSA. Also include any excess</t>
  </si>
  <si>
    <t>contributions (and the earnings on those excess contributions) included on line 14a that were</t>
  </si>
  <si>
    <t>withdrawn by the due date of your return (see instructions)</t>
  </si>
  <si>
    <t xml:space="preserve"> .   .   .   .   .   .   .   .   .   .   .   .   .   .   .   . </t>
  </si>
  <si>
    <t>Subtract line 14b from line 14a</t>
  </si>
  <si>
    <t xml:space="preserve"> .   .   .   .   .   .   .   .   .   .   .   .   .   .   .   .   .   .   .   .   .   .   .   .   .   . </t>
  </si>
  <si>
    <t>Qualified medical expenses paid using HSA distributions (see instructions)</t>
  </si>
  <si>
    <t xml:space="preserve"> .   .   .   .   .   .   .   .   .   . </t>
  </si>
  <si>
    <t>(Form 1040), Part II, line 17c</t>
  </si>
  <si>
    <r>
      <rPr>
        <b/>
        <sz val="11"/>
        <rFont val="Arial"/>
        <family val="2"/>
      </rPr>
      <t xml:space="preserve"> Income and Additional Tax for Failure To Maintain HDHP Coverage</t>
    </r>
    <r>
      <rPr>
        <sz val="11"/>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</si>
  <si>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</si>
  <si>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</si>
  <si>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</si>
  <si>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</si>
  <si>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r>
      <t xml:space="preserve">Total income. </t>
    </r>
    <r>
      <rPr>
        <sz val="10"/>
        <rFont val="Arial"/>
        <family val="2"/>
      </rPr>
      <t>Add lines 18 and 19. Include this amount on Schedule 1 (Form 1040), Part I, line 8f</t>
    </r>
  </si>
  <si>
    <t>Additional tax.</t>
  </si>
  <si>
    <t>(Form 1040), Part II, line 17d</t>
  </si>
  <si>
    <t>Cat. No. 37621P</t>
  </si>
  <si>
    <r>
      <t>Form</t>
    </r>
    <r>
      <rPr>
        <sz val="10"/>
        <rFont val="Arial"/>
        <family val="2"/>
      </rPr>
      <t xml:space="preserve"> </t>
    </r>
    <r>
      <rPr>
        <b/>
        <sz val="11"/>
        <rFont val="Arial"/>
        <family val="2"/>
      </rPr>
      <t>8889</t>
    </r>
  </si>
  <si>
    <r>
      <t xml:space="preserve">  </t>
    </r>
    <r>
      <rPr>
        <b/>
        <sz val="9"/>
        <rFont val="Marlett"/>
        <charset val="2"/>
      </rPr>
      <t>4</t>
    </r>
    <r>
      <rPr>
        <b/>
        <sz val="9"/>
        <rFont val="Arial"/>
        <family val="2"/>
      </rPr>
      <t xml:space="preserve">  Attach to Form 1040 or 1040-SR or Form 1040-NR.</t>
    </r>
  </si>
  <si>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</si>
  <si>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Social security number of HSA beneficiary. If both spouses have HSAs, see instructions</t>
  </si>
  <si>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</si>
  <si>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 </t>
    </r>
    <r>
      <rPr>
        <b/>
        <sz val="10"/>
        <rFont val="Arial"/>
        <family val="2"/>
      </rPr>
      <t>HSA Contributions and Deduction.</t>
    </r>
    <r>
      <rPr>
        <sz val="10"/>
        <rFont val="Arial"/>
        <family val="2"/>
      </rPr>
      <t xml:space="preserve"> See the instructions before completing this part. If you are filing jointly</t>
    </r>
  </si>
  <si>
    <t xml:space="preserve">.   .   .   .   .   .   .   .   .   .   .   .   .   .   .   .   .   .   .   .   .   .   .   .   .   .   .   .   .   .   .   .   .   .   .   .   .   .   .   .   .   .   .   .   .   .   .   .   .   .   .   .   .   .   .   .   .   .   .   .   .   .   .    </t>
  </si>
  <si>
    <r>
      <rPr>
        <b/>
        <sz val="9"/>
        <rFont val="Arial"/>
        <family val="2"/>
      </rPr>
      <t>Do not</t>
    </r>
    <r>
      <rPr>
        <sz val="9"/>
        <rFont val="Arial"/>
        <family val="2"/>
      </rPr>
      <t xml:space="preserve"> include employer</t>
    </r>
  </si>
  <si>
    <t>contributions, contributions through a cafeteria plan, or rollovers (see instructions)</t>
  </si>
  <si>
    <t xml:space="preserve">every </t>
  </si>
  <si>
    <r>
      <t xml:space="preserve">family coverage). </t>
    </r>
    <r>
      <rPr>
        <b/>
        <sz val="9"/>
        <rFont val="Arial"/>
        <family val="2"/>
      </rPr>
      <t>All others</t>
    </r>
    <r>
      <rPr>
        <sz val="9"/>
        <rFont val="Arial"/>
        <family val="2"/>
      </rPr>
      <t>, see the instructions for the amount to enter</t>
    </r>
  </si>
  <si>
    <t>Enter the amount from line 5. But if you and your spouse each have separate HSAs and had</t>
  </si>
  <si>
    <t>enter</t>
  </si>
  <si>
    <t xml:space="preserve">   .   .   .   .   .   .   .   .   .   .   .   .   .   .   .   .   .   .   . </t>
  </si>
  <si>
    <t xml:space="preserve">.   .   .   .   .    .   .   .   .   .   .   .   .   .   .   .   .   .   .   .   .   .   .   .   .   .   .   .   .   .   .   .   .   . </t>
  </si>
  <si>
    <t>Line 6  (Step 1) W/S (Married w/separate HSAs)</t>
  </si>
  <si>
    <r>
      <rPr>
        <b/>
        <sz val="10"/>
        <rFont val="Arial"/>
        <family val="2"/>
      </rPr>
      <t xml:space="preserve"> Income and Additional Tax for Failure To Maintain HDHP Coverage</t>
    </r>
    <r>
      <rPr>
        <sz val="10"/>
        <rFont val="Arial"/>
        <family val="2"/>
      </rPr>
      <t>. See the instructions before</t>
    </r>
  </si>
  <si>
    <r>
      <t>Form</t>
    </r>
    <r>
      <rPr>
        <sz val="10"/>
        <rFont val="Arial"/>
        <family val="2"/>
      </rPr>
      <t xml:space="preserve"> </t>
    </r>
    <r>
      <rPr>
        <b/>
        <sz val="10"/>
        <rFont val="Arial"/>
        <family val="2"/>
      </rPr>
      <t>8889</t>
    </r>
  </si>
  <si>
    <t>Download Form 8889</t>
  </si>
  <si>
    <t>Line 13</t>
  </si>
  <si>
    <t>Line 16</t>
  </si>
  <si>
    <t>Download Form 8889 Instructions</t>
  </si>
  <si>
    <t>F1040 Line 25</t>
  </si>
  <si>
    <t>F1040 Line 21</t>
  </si>
  <si>
    <t>Destination</t>
  </si>
  <si>
    <t>Form 8889</t>
  </si>
  <si>
    <t>Schedule 1, Line 13</t>
  </si>
  <si>
    <t>Schedule 1, Line 8f</t>
  </si>
  <si>
    <t>Schedule 2, Line 17c</t>
  </si>
  <si>
    <t>Line 17b</t>
  </si>
  <si>
    <t>Schedule 2, Line 17d</t>
  </si>
  <si>
    <t>Check here to hide red formatting.   &gt;</t>
  </si>
  <si>
    <r>
      <rPr>
        <sz val="8"/>
        <rFont val="Arial"/>
        <family val="2"/>
      </rPr>
      <t>Form</t>
    </r>
    <r>
      <rPr>
        <sz val="10"/>
        <rFont val="Arial"/>
        <family val="2"/>
      </rPr>
      <t xml:space="preserve"> </t>
    </r>
    <r>
      <rPr>
        <b/>
        <sz val="26"/>
        <rFont val="Arial"/>
        <family val="2"/>
      </rPr>
      <t>8949</t>
    </r>
  </si>
  <si>
    <t>Sales and Other Dispositions of Capital Assets</t>
  </si>
  <si>
    <t>File with your Schedule D to list your transactions for lines 1b, 2, 3, 8b, 9, and 10 of Schedule D.</t>
  </si>
  <si>
    <t>12A</t>
  </si>
  <si>
    <t>Social security number or taxpayer identification number</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</si>
  <si>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</si>
  <si>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 xml:space="preserve">Short-Term. </t>
    </r>
    <r>
      <rPr>
        <sz val="11"/>
        <rFont val="Arial"/>
        <family val="2"/>
      </rPr>
      <t xml:space="preserve">Transactions involving capital assets you  held </t>
    </r>
  </si>
  <si>
    <t>1  year  or  less</t>
  </si>
  <si>
    <t>are generally short-term (see</t>
  </si>
  <si>
    <t>instructions). For long-term transactions, see page 2.</t>
  </si>
  <si>
    <r>
      <rPr>
        <b/>
        <sz val="11"/>
        <rFont val="Arial"/>
        <family val="2"/>
      </rPr>
      <t>Note.</t>
    </r>
    <r>
      <rPr>
        <sz val="11"/>
        <rFont val="Arial"/>
        <family val="2"/>
      </rPr>
      <t xml:space="preserve"> You may aggregate all short-term transactions reported on Form(s) 1099-B showing basis was</t>
    </r>
  </si>
  <si>
    <t>reported to the IRS and for which no adjustments or codes are required. Enter the total directly on</t>
  </si>
  <si>
    <t>Schedule D, line 1a; you aren't required to report these transactions on Form 8949 (see instructions).</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</si>
  <si>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</si>
  <si>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 xml:space="preserve"> Check only one box. </t>
  </si>
  <si>
    <t>If more than one box applies for your short-term transactions,</t>
  </si>
  <si>
    <t>complete a separate Form 8949, page 1, for each applicable box. If you have more short-term transactions than will fit on this page</t>
  </si>
  <si>
    <t>Less than One Year</t>
  </si>
  <si>
    <t>for one or more of the boxes, complete as many forms with the same box checked as you need.</t>
  </si>
  <si>
    <t>Calendar Year is SAME</t>
  </si>
  <si>
    <t>Before This Month (Last Year)</t>
  </si>
  <si>
    <t>Before This Day and Month (Last Year)</t>
  </si>
  <si>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</si>
  <si>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</si>
  <si>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 xml:space="preserve">(C) </t>
    </r>
    <r>
      <rPr>
        <sz val="10"/>
        <rFont val="Arial"/>
        <family val="2"/>
      </rPr>
      <t>Short-term transactions not reported to you on Form 1099-B</t>
    </r>
  </si>
  <si>
    <t>Paste data from other spreadsheets, reports, etc. here.  (Use 'Paste Special, Values')</t>
  </si>
  <si>
    <r>
      <rPr>
        <b/>
        <sz val="8"/>
        <rFont val="Arial"/>
        <family val="2"/>
      </rPr>
      <t>(a)</t>
    </r>
    <r>
      <rPr>
        <sz val="8"/>
        <rFont val="Arial"/>
        <family val="2"/>
      </rPr>
      <t xml:space="preserve">
Description of property
(Example: 100 sh. XYZ Co.)</t>
    </r>
  </si>
  <si>
    <t>(b)
Date acquired
(Mo., day, yr.)</t>
  </si>
  <si>
    <r>
      <rPr>
        <b/>
        <sz val="8"/>
        <rFont val="Arial"/>
        <family val="2"/>
      </rPr>
      <t>(c)</t>
    </r>
    <r>
      <rPr>
        <sz val="8"/>
        <rFont val="Arial"/>
        <family val="2"/>
      </rPr>
      <t xml:space="preserve">
Date sold or
disposed of
(Mo., day, yr.)</t>
    </r>
  </si>
  <si>
    <r>
      <rPr>
        <b/>
        <sz val="8"/>
        <rFont val="Arial"/>
        <family val="2"/>
      </rPr>
      <t>(d)</t>
    </r>
    <r>
      <rPr>
        <sz val="8"/>
        <rFont val="Arial"/>
        <family val="2"/>
      </rPr>
      <t xml:space="preserve">
Proceeds 
(sales price) 
(see instructions)</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</si>
  <si>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</si>
  <si>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</si>
  <si>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</si>
  <si>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t>(a)
Description of property
(Example: 100 sh. XYZ Co.)</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</si>
  <si>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</si>
  <si>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</si>
  <si>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</si>
  <si>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</si>
  <si>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</si>
  <si>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t>(h) 
Gain or (loss). 
Subtract column (e) 
from column (d) and 
combine the result 
with column (g)</t>
  </si>
  <si>
    <r>
      <rPr>
        <b/>
        <sz val="8"/>
        <rFont val="Arial"/>
        <family val="2"/>
      </rPr>
      <t xml:space="preserve">(f) </t>
    </r>
    <r>
      <rPr>
        <sz val="8"/>
        <rFont val="Arial"/>
        <family val="2"/>
      </rPr>
      <t xml:space="preserve">
Code(s) from 
instructions</t>
    </r>
  </si>
  <si>
    <r>
      <rPr>
        <b/>
        <sz val="8"/>
        <rFont val="Arial"/>
        <family val="2"/>
      </rPr>
      <t xml:space="preserve">(g) </t>
    </r>
    <r>
      <rPr>
        <sz val="8"/>
        <rFont val="Arial"/>
        <family val="2"/>
      </rPr>
      <t xml:space="preserve">
Amount of 
adjustment</t>
    </r>
  </si>
  <si>
    <t>(f) 
Code(s) from 
instructions</t>
  </si>
  <si>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</si>
  <si>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</si>
  <si>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Cat. No. 37768Z</t>
  </si>
  <si>
    <r>
      <rPr>
        <sz val="8"/>
        <rFont val="Arial"/>
        <family val="2"/>
      </rPr>
      <t xml:space="preserve">Form </t>
    </r>
    <r>
      <rPr>
        <b/>
        <sz val="12"/>
        <rFont val="Arial"/>
        <family val="2"/>
      </rPr>
      <t>8949</t>
    </r>
  </si>
  <si>
    <r>
      <t xml:space="preserve">Attachment Sequence No. </t>
    </r>
    <r>
      <rPr>
        <b/>
        <sz val="12"/>
        <rFont val="Arial"/>
        <family val="2"/>
      </rPr>
      <t>12A</t>
    </r>
  </si>
  <si>
    <t>Name(s) shown on return. Name and SSN or taxpayer identification no. not required if shown on other side</t>
  </si>
  <si>
    <r>
      <t>Long-Term.</t>
    </r>
    <r>
      <rPr>
        <sz val="11"/>
        <rFont val="Arial"/>
        <family val="2"/>
      </rPr>
      <t xml:space="preserve"> Transactions involving capital assets  you  held </t>
    </r>
  </si>
  <si>
    <t>more  than  1  year</t>
  </si>
  <si>
    <t>are generally long-term (see</t>
  </si>
  <si>
    <t>instructions). For short-term transactions, see page 1.</t>
  </si>
  <si>
    <r>
      <rPr>
        <b/>
        <sz val="11"/>
        <rFont val="Arial"/>
        <family val="2"/>
      </rPr>
      <t>Note.</t>
    </r>
    <r>
      <rPr>
        <sz val="11"/>
        <rFont val="Arial"/>
        <family val="2"/>
      </rPr>
      <t xml:space="preserve"> You may aggregate all long-term transactions reported on Form(s) 1099-B showing basis was reported</t>
    </r>
  </si>
  <si>
    <t xml:space="preserve">to the IRS and for which no adjustments or codes are required. Enter the total directly on Schedule D, line 8a; 
</t>
  </si>
  <si>
    <t>you aren't required to report these transactions on Form 8949 (see instructions).</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</si>
  <si>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</si>
  <si>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</si>
  <si>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</si>
  <si>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</si>
  <si>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</si>
  <si>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</si>
  <si>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</si>
  <si>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8"/>
        <rFont val="Arial"/>
        <family val="2"/>
      </rPr>
      <t>(b)</t>
    </r>
    <r>
      <rPr>
        <sz val="8"/>
        <rFont val="Arial"/>
        <family val="2"/>
      </rPr>
      <t xml:space="preserve">
Date acquired
(Mo., day, yr.)</t>
    </r>
  </si>
  <si>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</si>
  <si>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</si>
  <si>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</si>
  <si>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</si>
  <si>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</si>
  <si>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</si>
  <si>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Who Must File -</t>
    </r>
    <r>
      <rPr>
        <sz val="10"/>
        <rFont val="Arial"/>
        <family val="2"/>
      </rPr>
      <t xml:space="preserve"> You must file Form 8959 if one or more of the following applies to you:</t>
    </r>
  </si>
  <si>
    <t>Check here to use this form.</t>
  </si>
  <si>
    <t>Additional Medicare Tax</t>
  </si>
  <si>
    <t>If any line doesn't apply to you, leave it blank. See separate instructions.</t>
  </si>
  <si>
    <t>Attach to Form 1040, 1040-SR, 1040NR, 1040-PR, or 1040-SS.</t>
  </si>
  <si>
    <r>
      <t xml:space="preserve">Go to </t>
    </r>
    <r>
      <rPr>
        <b/>
        <i/>
        <sz val="9"/>
        <rFont val="Arial"/>
        <family val="2"/>
      </rPr>
      <t>www.irs.gov/Form8959</t>
    </r>
    <r>
      <rPr>
        <b/>
        <sz val="9"/>
        <rFont val="Arial"/>
        <family val="2"/>
      </rPr>
      <t xml:space="preserve"> for instructions and the latest information.</t>
    </r>
  </si>
  <si>
    <r>
      <t xml:space="preserve">Sequence No. </t>
    </r>
    <r>
      <rPr>
        <b/>
        <sz val="12"/>
        <rFont val="Arial"/>
        <family val="2"/>
      </rPr>
      <t>71</t>
    </r>
  </si>
  <si>
    <t xml:space="preserve">  Additional Medicare Tax on Medicare Wages </t>
  </si>
  <si>
    <t>Medicare wages and tips from Form W-2, box 5. If you have more than</t>
  </si>
  <si>
    <t>one Form W-2, enter the total of the amounts from box 5</t>
  </si>
  <si>
    <t>Unreported tips from Form 4137, line 6</t>
  </si>
  <si>
    <t>Add lines 1 through 3</t>
  </si>
  <si>
    <t>Enter the following amount for your filing status:</t>
  </si>
  <si>
    <t>Married filing jointly</t>
  </si>
  <si>
    <t>Subtract line 5 from line 4. If the result is zero or less, enter -0-</t>
  </si>
  <si>
    <t xml:space="preserve"> .   .   .   .   .   .   .   .   .   .   .   .   .   .   . </t>
  </si>
  <si>
    <t>go to Part II</t>
  </si>
  <si>
    <t xml:space="preserve">     Additional Medicare Tax on Self-Employment Income</t>
  </si>
  <si>
    <t>Sch. SE Line 6</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</si>
  <si>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</si>
  <si>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</si>
  <si>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</si>
  <si>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</si>
  <si>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</si>
  <si>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Enter here and go to Part IV</t>
  </si>
  <si>
    <t xml:space="preserve">     Total Additional Medicare Tax</t>
  </si>
  <si>
    <t xml:space="preserve">    Withholding Reconciliation</t>
  </si>
  <si>
    <t>Medicare tax withheld from Form W-2, box 6.  If you have more than one</t>
  </si>
  <si>
    <t>Form W-2, enter the total of the amounts from box 6</t>
  </si>
  <si>
    <t>Enter the amount from line 1</t>
  </si>
  <si>
    <t>withholding on Medicare wages</t>
  </si>
  <si>
    <t>Subtract line 21 from line 19.  If zero or less, enter -0-. This is your Additional Medicare Tax</t>
  </si>
  <si>
    <t>Additional Medicare Tax withholding on railroad retirement (RRTA) compensation from Form</t>
  </si>
  <si>
    <t>W-2, box 14 (see instructions)</t>
  </si>
  <si>
    <r>
      <rPr>
        <b/>
        <sz val="10"/>
        <rFont val="Arial"/>
        <family val="2"/>
      </rPr>
      <t>Total Additional Medicare Tax withholding.</t>
    </r>
    <r>
      <rPr>
        <sz val="10"/>
        <rFont val="Arial"/>
        <family val="2"/>
      </rPr>
      <t xml:space="preserve"> Add lines 22 and 23. Also include this amount</t>
    </r>
  </si>
  <si>
    <t>with federal income tax withholding on Form 1040, 1040-SR, or 1040-NR, line 25c</t>
  </si>
  <si>
    <t>Cat. No. 59475X</t>
  </si>
  <si>
    <r>
      <t>Form</t>
    </r>
    <r>
      <rPr>
        <sz val="10"/>
        <rFont val="Arial"/>
        <family val="2"/>
      </rPr>
      <t xml:space="preserve"> </t>
    </r>
    <r>
      <rPr>
        <b/>
        <sz val="12"/>
        <rFont val="Arial"/>
        <family val="2"/>
      </rPr>
      <t>8959</t>
    </r>
  </si>
  <si>
    <t>Download Form 8959</t>
  </si>
  <si>
    <t>Download Form 8959 Instructions</t>
  </si>
  <si>
    <r>
      <rPr>
        <b/>
        <sz val="9"/>
        <rFont val="Arial"/>
        <family val="2"/>
      </rPr>
      <t>Who Must File:</t>
    </r>
    <r>
      <rPr>
        <sz val="9"/>
        <rFont val="Arial"/>
        <family val="2"/>
      </rPr>
      <t xml:space="preserve">  Attach Form 8960 to your return if your modified adjusted gross income (MAGI) is greater than the applicable threshold amount.</t>
    </r>
  </si>
  <si>
    <r>
      <rPr>
        <b/>
        <sz val="10"/>
        <rFont val="Arial"/>
        <family val="2"/>
      </rPr>
      <t>Application to Individuals</t>
    </r>
    <r>
      <rPr>
        <sz val="10"/>
        <rFont val="Arial"/>
        <family val="2"/>
      </rPr>
      <t xml:space="preserve">
</t>
    </r>
  </si>
  <si>
    <r>
      <rPr>
        <b/>
        <sz val="10"/>
        <rFont val="Arial"/>
        <family val="2"/>
      </rPr>
      <t>U.S. citizens and residents.</t>
    </r>
    <r>
      <rPr>
        <sz val="10"/>
        <rFont val="Arial"/>
        <family val="2"/>
      </rPr>
      <t xml:space="preserve"> Individuals who have for the tax year </t>
    </r>
  </si>
  <si>
    <t xml:space="preserve">(a) MAGI that’s over an applicable threshold amount, and </t>
  </si>
  <si>
    <t xml:space="preserve">  OMB No. 1545-2227</t>
  </si>
  <si>
    <t xml:space="preserve">(b) net investment income, </t>
  </si>
  <si>
    <t>Net Investment Income Tax—</t>
  </si>
  <si>
    <t>Individuals, Estates, and Trusts</t>
  </si>
  <si>
    <t>The applicable threshold amount is based on your filing status.</t>
  </si>
  <si>
    <t>Go to www.irs.gov/Form8960 for instructions and the latest information.</t>
  </si>
  <si>
    <r>
      <t xml:space="preserve">Sequence No. </t>
    </r>
    <r>
      <rPr>
        <b/>
        <sz val="14"/>
        <rFont val="Arial"/>
        <family val="2"/>
      </rPr>
      <t>72</t>
    </r>
  </si>
  <si>
    <t>Name(s) shown on your tax return</t>
  </si>
  <si>
    <t>Your social security number or EIN</t>
  </si>
  <si>
    <t xml:space="preserve"> Investment Income</t>
  </si>
  <si>
    <t>Section 6013(g) election (see instructions)</t>
  </si>
  <si>
    <r>
      <rPr>
        <b/>
        <sz val="10"/>
        <rFont val="Arial"/>
        <family val="2"/>
      </rPr>
      <t>Net investment income.</t>
    </r>
    <r>
      <rPr>
        <sz val="10"/>
        <rFont val="Arial"/>
        <family val="2"/>
      </rPr>
      <t xml:space="preserve"> Generally, net investment income includes gross income from interest, dividends, annuities,</t>
    </r>
  </si>
  <si>
    <t>Section 6013(h) election (see instructions)</t>
  </si>
  <si>
    <t>royalties, and rents, unless they’re derived from the ordinary course of a trade or business that isn’t (a) a passive activity, or</t>
  </si>
  <si>
    <t>Regulations section 1.1411-10(g) election (see instructions)</t>
  </si>
  <si>
    <t xml:space="preserve"> (b) a trade or business of trading in financial instruments or commodities.  (See IRS Form 8960 instructions for more detail.)</t>
  </si>
  <si>
    <t>Taxable interest (see instructions)</t>
  </si>
  <si>
    <t>Ordinary dividends (see instructions)</t>
  </si>
  <si>
    <t>Annuities (see instructions)</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</si>
  <si>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</si>
  <si>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Adjustment for net income or loss derived in the ordinary course of a non-</t>
  </si>
  <si>
    <t>section 1411 trade or business (see instructions)</t>
  </si>
  <si>
    <t>Combine lines 4a and 4b</t>
  </si>
  <si>
    <t>Net gain or loss from disposition of property (see instructions)</t>
  </si>
  <si>
    <t>Combine lines 5a through 5c</t>
  </si>
  <si>
    <t>Changes to investment income for certain CFCs and PFICs (see instructions)</t>
  </si>
  <si>
    <t>Other modifications to investment income (see instructions)</t>
  </si>
  <si>
    <t>Total investment income. Combine lines 1, 2, 3, 4c, 5d, 6, and 7</t>
  </si>
  <si>
    <t>Line 1, Wages</t>
  </si>
  <si>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</si>
  <si>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 xml:space="preserve">     Investment Expenses Allocable to Investment Income and Modifications</t>
  </si>
  <si>
    <t>Line 2b, Taxable Interest</t>
  </si>
  <si>
    <t>Investment interest expenses (see instructions)</t>
  </si>
  <si>
    <t>Line 3b, Ordinary dividends</t>
  </si>
  <si>
    <t>State, local, and foreign income tax (see instructions)</t>
  </si>
  <si>
    <t>Line 7, Capital gains</t>
  </si>
  <si>
    <t>Miscellaneous investment expenses (see instructions)</t>
  </si>
  <si>
    <t>1099-R (Dist. Code D)</t>
  </si>
  <si>
    <t>Add lines 9a, 9b, and 9c</t>
  </si>
  <si>
    <t>9d</t>
  </si>
  <si>
    <t>Line 11, Adjusted gross income</t>
  </si>
  <si>
    <t>Additional modifications (see instructions)</t>
  </si>
  <si>
    <t>Total deductions and modifications. Add lines 9d and 10</t>
  </si>
  <si>
    <t>Form 1040, Schedule A</t>
  </si>
  <si>
    <t xml:space="preserve">     Tax Computation</t>
  </si>
  <si>
    <t>Line 5a, State &amp; local income taxes</t>
  </si>
  <si>
    <t>Net investment income. Subtract Part II, line 11 from Part I, line 8. Individuals complete lines 13–17.</t>
  </si>
  <si>
    <t>Estates and trusts complete lines 18a–21. If zero or less, enter -0-</t>
  </si>
  <si>
    <t xml:space="preserve"> .   .   .   .   .   .   .   .   .   .   .   .   . </t>
  </si>
  <si>
    <t>Form 8960</t>
  </si>
  <si>
    <t>Individuals:</t>
  </si>
  <si>
    <t>Line 8, Total investment income</t>
  </si>
  <si>
    <t>Modified adjusted gross income (see instructions)</t>
  </si>
  <si>
    <t>Threshold based on filing status (see instructions)</t>
  </si>
  <si>
    <t>Subtract line 14 from line 13. If zero or less, enter -0-</t>
  </si>
  <si>
    <t>Line 9b, State income tax</t>
  </si>
  <si>
    <t>B*C/A</t>
  </si>
  <si>
    <t>Enter the smaller of line 12 or line 15</t>
  </si>
  <si>
    <r>
      <rPr>
        <b/>
        <sz val="11"/>
        <rFont val="Arial"/>
        <family val="2"/>
      </rPr>
      <t>Enter here and include on your tax return</t>
    </r>
    <r>
      <rPr>
        <sz val="11"/>
        <rFont val="Arial"/>
        <family val="2"/>
      </rPr>
      <t xml:space="preserve"> </t>
    </r>
  </si>
  <si>
    <t>Hide
note.</t>
  </si>
  <si>
    <t>Estates and Trusts:</t>
  </si>
  <si>
    <t>Net investment income (line 12 above)</t>
  </si>
  <si>
    <t>Line 13 — MAGI Worksheet</t>
  </si>
  <si>
    <t>Undistributed net investment income. Subtract line 18b from 18a (see</t>
  </si>
  <si>
    <t>1. Enter your Adjusted Gross Income</t>
  </si>
  <si>
    <t xml:space="preserve">instructions). </t>
  </si>
  <si>
    <t>18c</t>
  </si>
  <si>
    <t>Adjusted gross income (see instructions)</t>
  </si>
  <si>
    <t>2. Foreign Earned Income Exclusion:</t>
  </si>
  <si>
    <t>Highest tax bracket for estates and trusts for the year (see instructions)</t>
  </si>
  <si>
    <t>19b</t>
  </si>
  <si>
    <t>Enter your Foreign Earned Income Exclusion (from</t>
  </si>
  <si>
    <t>Subtract line 19b from line 19a.</t>
  </si>
  <si>
    <t>19c</t>
  </si>
  <si>
    <t>Line 42 of Form 2555)</t>
  </si>
  <si>
    <t>Enter the smaller of line 18c or line 19c</t>
  </si>
  <si>
    <t>Enter the deductions reported on Line 44 of Form</t>
  </si>
  <si>
    <t>2555 allocable to your Foreign Earned Income</t>
  </si>
  <si>
    <r>
      <t>Enter here and include on your tax return</t>
    </r>
    <r>
      <rPr>
        <sz val="10"/>
        <rFont val="Arial"/>
        <family val="2"/>
      </rPr>
      <t xml:space="preserve"> (see instructions)</t>
    </r>
  </si>
  <si>
    <t>Exclusion</t>
  </si>
  <si>
    <t>Cat. No. 59474M</t>
  </si>
  <si>
    <r>
      <t>Form</t>
    </r>
    <r>
      <rPr>
        <sz val="10"/>
        <rFont val="Arial"/>
        <family val="2"/>
      </rPr>
      <t xml:space="preserve"> </t>
    </r>
    <r>
      <rPr>
        <b/>
        <sz val="10"/>
        <rFont val="Arial"/>
        <family val="2"/>
      </rPr>
      <t>8960</t>
    </r>
  </si>
  <si>
    <t>Combine Lines 2(a) and 2(b)</t>
  </si>
  <si>
    <t>3. Adjustments for Certain CFCs and Certain PFICs</t>
  </si>
  <si>
    <t>Download Form 8960</t>
  </si>
  <si>
    <t>4. Enter the sum of Line 1, Line 2(c), and Line 3. (Enter this amount on Form 8960,</t>
  </si>
  <si>
    <t xml:space="preserve">    Line 13.)</t>
  </si>
  <si>
    <t>Download Form 8960 Instructions</t>
  </si>
  <si>
    <t>Please check one box to indicate where you live:</t>
  </si>
  <si>
    <t>Contiguous States or D.C.</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</si>
  <si>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</si>
  <si>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Premium Tax Credit (PTC)</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</si>
  <si>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</si>
  <si>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t>
  </si>
  <si>
    <t>Annual and Monthly Contribution Amount</t>
  </si>
  <si>
    <t>Tax family size. Enter your tax family size (see instructions).</t>
  </si>
  <si>
    <r>
      <rPr>
        <b/>
        <sz val="10"/>
        <rFont val="Arial"/>
        <family val="2"/>
      </rPr>
      <t xml:space="preserve">Line 2a </t>
    </r>
    <r>
      <rPr>
        <sz val="10"/>
        <rFont val="Arial"/>
        <family val="2"/>
      </rPr>
      <t xml:space="preserve">Enter your modified AGI on line 2a. Use the worksheet next to figure your modified AGI from your tax return. </t>
    </r>
  </si>
  <si>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</si>
  <si>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t>Modified AGI. Enter your modified AGI (see instructions)</t>
  </si>
  <si>
    <t>Enter the total of your dependents' modified AGI (see instructions)</t>
  </si>
  <si>
    <t>Household income. Add the amounts on lines 2a and 2b (see instructions)</t>
  </si>
  <si>
    <r>
      <t xml:space="preserve">Worksheet 1-1. </t>
    </r>
    <r>
      <rPr>
        <b/>
        <sz val="12"/>
        <rFont val="Arial"/>
        <family val="2"/>
      </rPr>
      <t>Taxpayer's Modified AGI—Line 2a</t>
    </r>
  </si>
  <si>
    <r>
      <t xml:space="preserve">Worksheet 1-2. </t>
    </r>
    <r>
      <rPr>
        <b/>
        <sz val="12"/>
        <rFont val="Arial"/>
        <family val="2"/>
      </rPr>
      <t>Dependents' Combined Modified AGI—Line 2b</t>
    </r>
  </si>
  <si>
    <t>Enter your adjusted gross income (AGI)* from Form 1040,</t>
  </si>
  <si>
    <t>Enter the AGI* for your dependents from Form 1040,</t>
  </si>
  <si>
    <t>Other 48 states and DC</t>
  </si>
  <si>
    <t>1040-SR, or Form 1040-NR, line 11.  .  .  .  .  .  .  .</t>
  </si>
  <si>
    <t>1040-SR, or Form 1040-NR, line 11.  .  .  .  .  .  .  .  .  .  .  .  .  .  .  .  .  .  .  .  .  .  .  .  .  .  .  .  .</t>
  </si>
  <si>
    <t>Household income as a percentage of federal poverty line (see instructions)</t>
  </si>
  <si>
    <t>Applicable Figure: Using your line 5 percentage, locate your “applicable figure” on the table in the instructions</t>
  </si>
  <si>
    <t>Enter any tax-exempt interest from Form 1040,</t>
  </si>
  <si>
    <t>Enter any tax-exempt interest for your dependents</t>
  </si>
  <si>
    <t>Annual contrib. amt. Multiply line 3 by</t>
  </si>
  <si>
    <t>Monthly contribution amount. Divide line 8a</t>
  </si>
  <si>
    <t>1040-SR, Form 1040-NR, line 2a.  .  .</t>
  </si>
  <si>
    <t>from Form 1040, 1040-SR, or Form 1040-NR,</t>
  </si>
  <si>
    <t>line 7. Round to nearest whole dollar.</t>
  </si>
  <si>
    <t>line 2a.  .  .  .  .  .  .  .  .  .  .  .  .  .  .  .  .  .  .  .  .  .  .  .  .  .  .  .  .</t>
  </si>
  <si>
    <t>Premium Tax Credit Claim and Reconciliation of Advance Payment of Premium Tax Credit</t>
  </si>
  <si>
    <t>Are you allocating policy amounts with another taxpayer or do you want to use the alternative calculation for year of marriage?  See instructions.</t>
  </si>
  <si>
    <t>Enter any amounts from Form 2555,</t>
  </si>
  <si>
    <t>Skip to</t>
  </si>
  <si>
    <t xml:space="preserve">Part IV, Allocation of Policy Amounts, or </t>
  </si>
  <si>
    <r>
      <t>No.</t>
    </r>
    <r>
      <rPr>
        <sz val="10"/>
        <rFont val="Arial"/>
        <family val="2"/>
      </rPr>
      <t xml:space="preserve"> Continue to line 10.</t>
    </r>
  </si>
  <si>
    <t>lines 45 and 50.  .  .  .  .  .  .  .  .  .  .  .  .  .  .  .  .  .  .  .  .</t>
  </si>
  <si>
    <t>Enter any amounts for your dependents from</t>
  </si>
  <si>
    <t>Part V, Alternative Calculation for Year of Marriage.</t>
  </si>
  <si>
    <t>Form 2555, lines 45 and 50.  .  .  .  .  .  .  .  .  .  .  .  .  .  .  .  .  .  .  .  .  .  .  .  .  .  .  .  .</t>
  </si>
  <si>
    <t>See the instructions to determine if you can use line 11 or must complete lines 12 through 23.</t>
  </si>
  <si>
    <r>
      <rPr>
        <b/>
        <sz val="10"/>
        <rFont val="Arial"/>
        <family val="2"/>
      </rPr>
      <t>Yes.</t>
    </r>
    <r>
      <rPr>
        <sz val="10"/>
        <rFont val="Arial"/>
        <family val="2"/>
      </rPr>
      <t xml:space="preserve"> Continue to line 11. Compute your annual PTC. Skip lines 12–23</t>
    </r>
  </si>
  <si>
    <r>
      <rPr>
        <b/>
        <sz val="10"/>
        <rFont val="Arial"/>
        <family val="2"/>
      </rPr>
      <t xml:space="preserve">No. </t>
    </r>
    <r>
      <rPr>
        <sz val="10"/>
        <rFont val="Arial"/>
        <family val="2"/>
      </rPr>
      <t>Continue to lines 12–23. Compute</t>
    </r>
  </si>
  <si>
    <t>and continue to line 24.</t>
  </si>
  <si>
    <t>your monthly PTC and continue to line 24.</t>
  </si>
  <si>
    <r>
      <rPr>
        <b/>
        <sz val="9"/>
        <rFont val="Arial"/>
        <family val="2"/>
      </rPr>
      <t>Form 1040 or 1040-SR filers:</t>
    </r>
    <r>
      <rPr>
        <sz val="9"/>
        <rFont val="Arial"/>
        <family val="2"/>
      </rPr>
      <t xml:space="preserve"> If line 6a is more than</t>
    </r>
  </si>
  <si>
    <t>For each dependent filing Form 1040 or 1040-SR:</t>
  </si>
  <si>
    <t>line 6b, subtract line 6b from line 6a and enter the</t>
  </si>
  <si>
    <t>If line 6a is more than Form 1040, line 6b,</t>
  </si>
  <si>
    <t>Annual
Calculation</t>
  </si>
  <si>
    <r>
      <rPr>
        <b/>
        <sz val="9"/>
        <rFont val="Arial"/>
        <family val="2"/>
      </rPr>
      <t>(a)</t>
    </r>
    <r>
      <rPr>
        <sz val="9"/>
        <rFont val="Arial"/>
        <family val="2"/>
      </rPr>
      <t xml:space="preserve"> Annual enrollment premiums (Form(s) 
1095-A, line 33A)</t>
    </r>
  </si>
  <si>
    <r>
      <rPr>
        <b/>
        <sz val="9"/>
        <rFont val="Arial"/>
        <family val="2"/>
      </rPr>
      <t xml:space="preserve">(b) </t>
    </r>
    <r>
      <rPr>
        <sz val="9"/>
        <rFont val="Arial"/>
        <family val="2"/>
      </rPr>
      <t>Annual applicable 
SLCSP premium 
(Form(s) 1095-A, 
line 33B)</t>
    </r>
  </si>
  <si>
    <r>
      <rPr>
        <b/>
        <sz val="9"/>
        <rFont val="Arial"/>
        <family val="2"/>
      </rPr>
      <t>(c)</t>
    </r>
    <r>
      <rPr>
        <sz val="9"/>
        <rFont val="Arial"/>
        <family val="2"/>
      </rPr>
      <t xml:space="preserve"> Annual 
contribution amount 
(line 8a)</t>
    </r>
  </si>
  <si>
    <r>
      <rPr>
        <b/>
        <sz val="9"/>
        <rFont val="Arial"/>
        <family val="2"/>
      </rPr>
      <t>(d)</t>
    </r>
    <r>
      <rPr>
        <sz val="9"/>
        <rFont val="Arial"/>
        <family val="2"/>
      </rPr>
      <t xml:space="preserve"> Annual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</si>
  <si>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</si>
  <si>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(f)</t>
    </r>
    <r>
      <rPr>
        <sz val="9"/>
        <rFont val="Arial"/>
        <family val="2"/>
      </rPr>
      <t xml:space="preserve"> Annual advance 
payment of PTC 
(Form(s) 1095-A, 
line 33C)</t>
    </r>
  </si>
  <si>
    <t>result.  .  .  .  .  .  .  .  .  .  .  .  .  .  .  .  .  .  .  .  .  .  .  .  .  .  .  .  .</t>
  </si>
  <si>
    <t>subtract line 6b from line 6a and enter the result.  .  .  .</t>
  </si>
  <si>
    <t>Add lines 1 through 4. Enter here and on Form 8962,</t>
  </si>
  <si>
    <t xml:space="preserve">Annual Totals </t>
  </si>
  <si>
    <t>11c</t>
  </si>
  <si>
    <t>line 2a.  .  .  .  .  .  .  .  .  .  .  .  .  .  .  .  .  .  .  .  .  .  .  .  .  .  .  .  .  .</t>
  </si>
  <si>
    <t>line 2b</t>
  </si>
  <si>
    <t>Monthly
Calculation</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</si>
  <si>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</si>
  <si>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</si>
  <si>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(c)</t>
    </r>
    <r>
      <rPr>
        <sz val="9"/>
        <rFont val="Arial"/>
        <family val="2"/>
      </rPr>
      <t xml:space="preserve"> Monthly contribution amount (amount from line 8b or alternative marriage monthly calculation)</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</si>
  <si>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</si>
  <si>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</si>
  <si>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Monthly advance payment of PTC (Form(s) 1095-A, 
lines 21–32, column C)</t>
    </r>
  </si>
  <si>
    <t>*Only include your dependents who are required to file an income tax return because their income meets the income tax return filing threshold.</t>
  </si>
  <si>
    <t>Worksheet 2 -- Household Income as a Percentage of Poverty Line</t>
  </si>
  <si>
    <t>Amount from Line 3 of Form 8962.</t>
  </si>
  <si>
    <t xml:space="preserve">1. </t>
  </si>
  <si>
    <t>Table 2. 
Applicable Figure</t>
  </si>
  <si>
    <t>16c</t>
  </si>
  <si>
    <t>Amount from Line 4 of Form 8962.</t>
  </si>
  <si>
    <t xml:space="preserve">2. </t>
  </si>
  <si>
    <t xml:space="preserve">3. </t>
  </si>
  <si>
    <t>Is the amount on line 1 more than the amount on line 3?</t>
  </si>
  <si>
    <r>
      <t xml:space="preserve">•  </t>
    </r>
    <r>
      <rPr>
        <b/>
        <sz val="8.5"/>
        <color rgb="FF000000"/>
        <rFont val="Arial"/>
        <family val="2"/>
      </rPr>
      <t>Yes.</t>
    </r>
  </si>
  <si>
    <t>The amount one line 1 is more than 400% of the federal poverty line.</t>
  </si>
  <si>
    <t>Manual &gt;</t>
  </si>
  <si>
    <t>20c</t>
  </si>
  <si>
    <t>Enter 401 here and on line 5 of Form 8962.</t>
  </si>
  <si>
    <t>Line 7</t>
  </si>
  <si>
    <r>
      <t xml:space="preserve">•  </t>
    </r>
    <r>
      <rPr>
        <b/>
        <sz val="8.5"/>
        <color rgb="FF000000"/>
        <rFont val="Arial"/>
        <family val="2"/>
      </rPr>
      <t>No.</t>
    </r>
  </si>
  <si>
    <t>Divide the amount on line 1 above by</t>
  </si>
  <si>
    <t>the amount on line 2 above.  Do not round;</t>
  </si>
  <si>
    <t>instead, multiply this number by 100 (to express</t>
  </si>
  <si>
    <t>Total premium tax credit. Enter the amount from line 11(e) or add lines 12(e) through 23(e) and enter the total here</t>
  </si>
  <si>
    <t>it as a percentage) and then drop any numbers</t>
  </si>
  <si>
    <t>Advance payment of PTC. Enter the amount from line 11(f) or add lines 12(f) through 23(f) and enter the total here</t>
  </si>
  <si>
    <t>after the decimal point.  For example, for 0.9984,</t>
  </si>
  <si>
    <t>Net Premium Tax Credit. If line 24 is greater than line 25, subtract line 25 from line 24. Enter the difference here and</t>
  </si>
  <si>
    <t>enter the result as 99; for 1.8565, enter the</t>
  </si>
  <si>
    <t>on Schedule 3 (Form 1040), line 9. If line 24 equals line 25, enter -0- .</t>
  </si>
  <si>
    <t>Stop here.</t>
  </si>
  <si>
    <t>If line 25 is greater than line 24,</t>
  </si>
  <si>
    <t>result as 185; and for 3.997, enter the result as</t>
  </si>
  <si>
    <t>leave this line blank and continue to line 27</t>
  </si>
  <si>
    <t>399.* Enter the result here and on line 5 of Form</t>
  </si>
  <si>
    <t>Repayment of Excess Advance Payment of the Premium Tax Credit</t>
  </si>
  <si>
    <t>Excess advance payment of PTC. If line 25 is greater than line 24, subtract line 24 from line 25. Enter the difference here</t>
  </si>
  <si>
    <t>Repayment limitation (see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</si>
  <si>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</si>
  <si>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29</t>
  </si>
  <si>
    <t>Excess advance premium tax credit repayment: Enter the smaller of line 27 or line 28 here and on Schedule 2</t>
  </si>
  <si>
    <t>in the instructions.</t>
  </si>
  <si>
    <t>(Form 1040) line 2</t>
  </si>
  <si>
    <t>Cat. No. 37784Z</t>
  </si>
  <si>
    <r>
      <rPr>
        <sz val="8"/>
        <rFont val="Arial"/>
        <family val="2"/>
      </rPr>
      <t xml:space="preserve">Form </t>
    </r>
    <r>
      <rPr>
        <b/>
        <sz val="12"/>
        <rFont val="Arial"/>
        <family val="2"/>
      </rPr>
      <t>8962</t>
    </r>
  </si>
  <si>
    <t>Table 5. Repayment Limitation</t>
  </si>
  <si>
    <t>Line 5 &gt;=</t>
  </si>
  <si>
    <t>Line 5 &lt;</t>
  </si>
  <si>
    <t>Allocation of Policy Amounts</t>
  </si>
  <si>
    <t>Complete the following information for up to four shared policy allocations. See instructions for allocation details.</t>
  </si>
  <si>
    <t>Allocation 1</t>
  </si>
  <si>
    <t>Policy Number (Form 1095-A, line 2)</t>
  </si>
  <si>
    <t>SSN of other taxpayer</t>
  </si>
  <si>
    <t>Allocation start month</t>
  </si>
  <si>
    <t>Allocation stop month</t>
  </si>
  <si>
    <t>400 or more  .   .   .   .   .   .  leave line 28 blank</t>
  </si>
  <si>
    <t>Allocation percentage 
applied to monthly 
amounts</t>
  </si>
  <si>
    <t>(e) Premium Percentage</t>
  </si>
  <si>
    <t>(f) SLCSP Percentage</t>
  </si>
  <si>
    <t>(g) Advance Payment of the PTC
Percentage</t>
  </si>
  <si>
    <t>Year:</t>
  </si>
  <si>
    <t>Note: Previous year poverty line numbers are used by the IRS.</t>
  </si>
  <si>
    <t>Tables 1-1, 1-2 &amp; 1-3 Federal Poverty Line</t>
  </si>
  <si>
    <t>Fam. Size</t>
  </si>
  <si>
    <t>Contiguous</t>
  </si>
  <si>
    <t>Allocation 2</t>
  </si>
  <si>
    <t>More</t>
  </si>
  <si>
    <t>Allocation 3</t>
  </si>
  <si>
    <t>https://aspe.hhs.gov/poverty-guidelines</t>
  </si>
  <si>
    <t>Allocation 4</t>
  </si>
  <si>
    <t>Have you completed all policy amount allocations?</t>
  </si>
  <si>
    <t>Multiply the amounts on Form 1095-A by the allocation percentages entered by policy. Add all allocated policy amounts and non-</t>
  </si>
  <si>
    <t>allocated policy amounts from Forms 1095-A, if any, to compute a combined total for each month. Enter the combined total for each month on</t>
  </si>
  <si>
    <t>lines 12–23, columns (a), (b), and (f). Compute the amounts for lines 12–23, columns (c)–(e), and continue to line 24.</t>
  </si>
  <si>
    <t>See the instructions to report additional policy amount allocations.</t>
  </si>
  <si>
    <t>Alternative Calculation for Year of Marriage</t>
  </si>
  <si>
    <t>Complete line(s) 35 and/or 36 to elect the alternative calculation for year of marriage. For eligibility to make the election, see instructions for line 9.</t>
  </si>
  <si>
    <t>To complete line(s) 35 and/or 36 and compute the amounts for lines 12–23, see the instructions for this Part V.</t>
  </si>
  <si>
    <t>Alternative entries 
for your SSN</t>
  </si>
  <si>
    <t>Alternative family size</t>
  </si>
  <si>
    <t>Alternative monthly
contribution amount</t>
  </si>
  <si>
    <t>Alternative start month</t>
  </si>
  <si>
    <t>Alternative stop month</t>
  </si>
  <si>
    <t>Alternative entries
for your spouse's 
SSN</t>
  </si>
  <si>
    <r>
      <rPr>
        <sz val="8"/>
        <rFont val="Arial"/>
        <family val="2"/>
      </rPr>
      <t xml:space="preserve">Form </t>
    </r>
    <r>
      <rPr>
        <b/>
        <sz val="14"/>
        <rFont val="Arial"/>
        <family val="2"/>
      </rPr>
      <t>8962</t>
    </r>
  </si>
  <si>
    <t>Download Form 8962</t>
  </si>
  <si>
    <t>Download Form 8962 Instructions</t>
  </si>
  <si>
    <r>
      <t xml:space="preserve"> </t>
    </r>
    <r>
      <rPr>
        <sz val="9"/>
        <rFont val="Arial"/>
        <family val="2"/>
      </rPr>
      <t>Form</t>
    </r>
  </si>
  <si>
    <t>OMB No. 1545-0123</t>
  </si>
  <si>
    <t>Dates</t>
  </si>
  <si>
    <t>Qualified Business Income Deduction</t>
  </si>
  <si>
    <t>Simplified Computation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</si>
  <si>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</si>
  <si>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</si>
  <si>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</si>
  <si>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</si>
  <si>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</si>
  <si>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</si>
  <si>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</si>
  <si>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ii</t>
  </si>
  <si>
    <t>iii</t>
  </si>
  <si>
    <t>iv</t>
  </si>
  <si>
    <t>v</t>
  </si>
  <si>
    <t xml:space="preserve">Total qualified business income or (loss). Combine lines 1i through 1v, </t>
  </si>
  <si>
    <t>column (c )</t>
  </si>
  <si>
    <t>Qualified business net (loss) carryforward from the prior year</t>
  </si>
  <si>
    <t>Total qualified business income. Combine lines 2 &amp; 3. If zero or less, enter -0-</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</si>
  <si>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</si>
  <si>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</si>
  <si>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</si>
  <si>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</si>
  <si>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Qualified business income deduction before the income limitation. Add lines 5 and 9</t>
  </si>
  <si>
    <t>Subtract line 12 from line 11. If zero or less, enter -0-</t>
  </si>
  <si>
    <t>Qualified business income deduction. Enter the lesser of line 10 or line 14. Also enter this amount</t>
  </si>
  <si>
    <t>on the applicable line of your return</t>
  </si>
  <si>
    <t>Total qualified business (loss) carryforward. Combine lines 2 and 3. If greater than zero, enter -0-</t>
  </si>
  <si>
    <t>Total qualified REIT dividends and PTP (loss) carryforward. Combine lines 6 &amp; 7.  If greater than</t>
  </si>
  <si>
    <t>zero, enter -0-</t>
  </si>
  <si>
    <t>For Privacy Act and Paperwork Reduction Act Notice, see instructions.</t>
  </si>
  <si>
    <t>Cat. No. 37806C</t>
  </si>
  <si>
    <r>
      <t xml:space="preserve">Form </t>
    </r>
    <r>
      <rPr>
        <b/>
        <sz val="12"/>
        <rFont val="Arial"/>
        <family val="2"/>
      </rPr>
      <t>8995</t>
    </r>
  </si>
  <si>
    <t>If the Worksheet Amount is:</t>
  </si>
  <si>
    <t>Single, Head of Household, or Qualifying Widow(er)</t>
  </si>
  <si>
    <t>At least</t>
  </si>
  <si>
    <t>But less than</t>
  </si>
  <si>
    <t>No Children</t>
  </si>
  <si>
    <t>One Child</t>
  </si>
  <si>
    <t>Two Children</t>
  </si>
  <si>
    <t>Three Children+</t>
  </si>
  <si>
    <t>AGI</t>
  </si>
  <si>
    <t>MaxEITC</t>
  </si>
  <si>
    <t>MaxAGI-1</t>
  </si>
  <si>
    <t>MaxAGI-2</t>
  </si>
  <si>
    <t>MaxAGI-3</t>
  </si>
  <si>
    <t>Slope-1</t>
  </si>
  <si>
    <t>Slope-2</t>
  </si>
  <si>
    <t>Slope-3</t>
  </si>
  <si>
    <t>Adjust next year.</t>
  </si>
  <si>
    <t>Remove next year.</t>
  </si>
  <si>
    <t>Adjust after 2023.</t>
  </si>
  <si>
    <t>Remove after 2023.</t>
  </si>
  <si>
    <t>At Least</t>
  </si>
  <si>
    <t>But Less Than</t>
  </si>
  <si>
    <t>Married filing          separately</t>
  </si>
  <si>
    <t>Head of household</t>
  </si>
  <si>
    <t>OFFICIAL TAX RATES</t>
  </si>
  <si>
    <t>RATE</t>
  </si>
  <si>
    <t>BOTT</t>
  </si>
  <si>
    <t>BASE</t>
  </si>
  <si>
    <r>
      <t xml:space="preserve">Filing status:  </t>
    </r>
    <r>
      <rPr>
        <b/>
        <sz val="10"/>
        <rFont val="Courier New"/>
        <family val="3"/>
      </rPr>
      <t>Single</t>
    </r>
  </si>
  <si>
    <r>
      <rPr>
        <b/>
        <sz val="10"/>
        <rFont val="Arial"/>
        <family val="2"/>
      </rPr>
      <t>Schedule X</t>
    </r>
    <r>
      <rPr>
        <sz val="10"/>
        <rFont val="Arial"/>
        <family val="2"/>
      </rPr>
      <t xml:space="preserve"> -- If your filing status is </t>
    </r>
    <r>
      <rPr>
        <b/>
        <sz val="10"/>
        <rFont val="Arial"/>
        <family val="2"/>
      </rPr>
      <t>Single</t>
    </r>
  </si>
  <si>
    <t>But Not</t>
  </si>
  <si>
    <t>Rate</t>
  </si>
  <si>
    <t>Bottom of bracket</t>
  </si>
  <si>
    <t>Base amount</t>
  </si>
  <si>
    <t>Additional amount = Rate x (Taxable Income - Bottom of bracket)</t>
  </si>
  <si>
    <t>10% of Taxable Income</t>
  </si>
  <si>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</si>
  <si>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t xml:space="preserve">Filing status:  </t>
    </r>
    <r>
      <rPr>
        <b/>
        <sz val="10"/>
        <rFont val="Courier New"/>
        <family val="3"/>
      </rPr>
      <t>Married Filing Jointly</t>
    </r>
  </si>
  <si>
    <t>Enter</t>
  </si>
  <si>
    <t>But Not Over</t>
  </si>
  <si>
    <t>10% of taxable income</t>
  </si>
  <si>
    <r>
      <rPr>
        <b/>
        <sz val="10"/>
        <rFont val="Arial"/>
        <family val="2"/>
      </rPr>
      <t>Schedule Y-2</t>
    </r>
    <r>
      <rPr>
        <sz val="10"/>
        <rFont val="Arial"/>
        <family val="2"/>
      </rPr>
      <t xml:space="preserve"> -- If your filing status is </t>
    </r>
    <r>
      <rPr>
        <b/>
        <sz val="10"/>
        <rFont val="Arial"/>
        <family val="2"/>
      </rPr>
      <t>Married filing separately</t>
    </r>
  </si>
  <si>
    <t>Section C</t>
  </si>
  <si>
    <r>
      <t xml:space="preserve">Filing status:  </t>
    </r>
    <r>
      <rPr>
        <b/>
        <sz val="9"/>
        <rFont val="Courier New"/>
        <family val="3"/>
      </rPr>
      <t>Married Filing Separately</t>
    </r>
  </si>
  <si>
    <t>Section D</t>
  </si>
  <si>
    <r>
      <rPr>
        <b/>
        <sz val="10"/>
        <rFont val="Arial"/>
        <family val="2"/>
      </rPr>
      <t>Schedule Z</t>
    </r>
    <r>
      <rPr>
        <sz val="10"/>
        <rFont val="Arial"/>
        <family val="2"/>
      </rPr>
      <t xml:space="preserve"> -- If your filing status is </t>
    </r>
    <r>
      <rPr>
        <b/>
        <sz val="10"/>
        <rFont val="Arial"/>
        <family val="2"/>
      </rPr>
      <t>Head of household</t>
    </r>
  </si>
  <si>
    <r>
      <t xml:space="preserve">Filing status:  </t>
    </r>
    <r>
      <rPr>
        <b/>
        <sz val="10"/>
        <rFont val="Courier New"/>
        <family val="3"/>
      </rPr>
      <t>Head of Household</t>
    </r>
  </si>
  <si>
    <t>Date &amp; Time</t>
  </si>
  <si>
    <t>Affected Sheet</t>
  </si>
  <si>
    <t>Changes Made</t>
  </si>
  <si>
    <t>http://www.excel1040.com</t>
  </si>
  <si>
    <t>&lt;&lt; Current Revision Date &amp; Time</t>
  </si>
  <si>
    <t>ALL</t>
  </si>
  <si>
    <r>
      <t xml:space="preserve">(b) </t>
    </r>
    <r>
      <rPr>
        <sz val="12"/>
        <rFont val="Arial"/>
        <family val="2"/>
      </rPr>
      <t>Net loss
(line 1b)</t>
    </r>
  </si>
  <si>
    <r>
      <rPr>
        <b/>
        <sz val="12"/>
        <rFont val="Arial"/>
        <family val="2"/>
      </rPr>
      <t>(c)</t>
    </r>
    <r>
      <rPr>
        <sz val="12"/>
        <rFont val="Arial"/>
        <family val="2"/>
      </rPr>
      <t xml:space="preserve"> Unallowed
loss (line 1c)</t>
    </r>
  </si>
  <si>
    <r>
      <t xml:space="preserve">(a) </t>
    </r>
    <r>
      <rPr>
        <sz val="12"/>
        <rFont val="Arial"/>
        <family val="2"/>
      </rPr>
      <t>Net income
(line 1a)</t>
    </r>
  </si>
  <si>
    <r>
      <t xml:space="preserve">Allocation of Unallowed Losses. </t>
    </r>
    <r>
      <rPr>
        <sz val="14"/>
        <rFont val="Arial"/>
        <family val="2"/>
      </rPr>
      <t>See instructions.</t>
    </r>
  </si>
  <si>
    <r>
      <t xml:space="preserve">(a) </t>
    </r>
    <r>
      <rPr>
        <sz val="12"/>
        <rFont val="Arial"/>
        <family val="2"/>
      </rPr>
      <t>Loss</t>
    </r>
  </si>
  <si>
    <r>
      <t>(c)</t>
    </r>
    <r>
      <rPr>
        <sz val="12"/>
        <rFont val="Arial"/>
        <family val="2"/>
      </rPr>
      <t xml:space="preserve"> Allowed loss</t>
    </r>
  </si>
  <si>
    <r>
      <rPr>
        <b/>
        <sz val="12"/>
        <rFont val="Arial"/>
        <family val="2"/>
      </rPr>
      <t>(b)</t>
    </r>
    <r>
      <rPr>
        <sz val="12"/>
        <rFont val="Arial"/>
        <family val="2"/>
      </rPr>
      <t xml:space="preserve"> Unallowed loss</t>
    </r>
  </si>
  <si>
    <t>Activities With Losses Reported on Two or More Forms or Schedules.</t>
  </si>
  <si>
    <t>Name of activity:</t>
  </si>
  <si>
    <r>
      <t>(c)</t>
    </r>
    <r>
      <rPr>
        <sz val="12"/>
        <rFont val="Arial"/>
        <family val="2"/>
      </rPr>
      <t xml:space="preserve"> Ratio</t>
    </r>
  </si>
  <si>
    <r>
      <rPr>
        <b/>
        <sz val="12"/>
        <rFont val="Arial"/>
        <family val="2"/>
      </rPr>
      <t xml:space="preserve">(d) </t>
    </r>
    <r>
      <rPr>
        <sz val="12"/>
        <rFont val="Arial"/>
        <family val="2"/>
      </rPr>
      <t>Unallowed
loss</t>
    </r>
  </si>
  <si>
    <r>
      <t>(e)</t>
    </r>
    <r>
      <rPr>
        <sz val="12"/>
        <rFont val="Arial"/>
        <family val="2"/>
      </rPr>
      <t xml:space="preserve"> Allowed
loss</t>
    </r>
  </si>
  <si>
    <t>Net loss plus prior year unnallowed</t>
  </si>
  <si>
    <t>loss from form or schedule</t>
  </si>
  <si>
    <t>Form or schedule and line number to</t>
  </si>
  <si>
    <t>be reported on (see instructions):</t>
  </si>
  <si>
    <t>Subtract line 1b from line 1a. If zero or less, enter -0-</t>
  </si>
  <si>
    <t>Net income from form or schedule</t>
  </si>
  <si>
    <r>
      <rPr>
        <b/>
        <i/>
        <sz val="12"/>
        <rFont val="Arial"/>
        <family val="2"/>
      </rPr>
      <t>Allowance for Rental Real Estate Activities</t>
    </r>
    <r>
      <rPr>
        <sz val="12"/>
        <rFont val="Arial"/>
        <family val="2"/>
      </rPr>
      <t xml:space="preserve"> in the instructions.)</t>
    </r>
  </si>
  <si>
    <r>
      <t xml:space="preserve">Allowed Losses. </t>
    </r>
    <r>
      <rPr>
        <sz val="14"/>
        <rFont val="Arial"/>
        <family val="2"/>
      </rPr>
      <t>See instructions.</t>
    </r>
  </si>
  <si>
    <r>
      <t xml:space="preserve">Total.  </t>
    </r>
    <r>
      <rPr>
        <sz val="12"/>
        <rFont val="Arial"/>
        <family val="2"/>
      </rPr>
      <t>Enter on Part I, lines 2a, 2b, and 2c</t>
    </r>
  </si>
  <si>
    <t>Combine lines 2a, 2b, and 2c</t>
  </si>
  <si>
    <r>
      <rPr>
        <b/>
        <sz val="12"/>
        <rFont val="Arial"/>
        <family val="2"/>
      </rPr>
      <t>Note:</t>
    </r>
    <r>
      <rPr>
        <sz val="12"/>
        <rFont val="Arial"/>
        <family val="2"/>
      </rPr>
      <t xml:space="preserve"> If line 6 is greater than or equal to line 5, skip lines 7 and 8 and enter -0-</t>
    </r>
  </si>
  <si>
    <r>
      <t xml:space="preserve">Enter the </t>
    </r>
    <r>
      <rPr>
        <b/>
        <sz val="12"/>
        <rFont val="Arial"/>
        <family val="2"/>
      </rPr>
      <t>smaller</t>
    </r>
    <r>
      <rPr>
        <sz val="12"/>
        <rFont val="Arial"/>
        <family val="2"/>
      </rPr>
      <t xml:space="preserve"> of the loss on line 1d or the loss on line 3</t>
    </r>
  </si>
  <si>
    <r>
      <t xml:space="preserve"> </t>
    </r>
    <r>
      <rPr>
        <b/>
        <sz val="12"/>
        <rFont val="Arial"/>
        <family val="2"/>
      </rPr>
      <t>Do not</t>
    </r>
    <r>
      <rPr>
        <sz val="12"/>
        <rFont val="Arial"/>
        <family val="2"/>
      </rPr>
      <t xml:space="preserve"> enter more than </t>
    </r>
  </si>
  <si>
    <r>
      <t xml:space="preserve">(For definition of active participation, see </t>
    </r>
    <r>
      <rPr>
        <b/>
        <i/>
        <sz val="12"/>
        <rFont val="Arial"/>
        <family val="2"/>
      </rPr>
      <t>Special</t>
    </r>
  </si>
  <si>
    <r>
      <rPr>
        <b/>
        <sz val="12"/>
        <rFont val="Arial"/>
        <family val="2"/>
      </rPr>
      <t>Note:</t>
    </r>
    <r>
      <rPr>
        <sz val="12"/>
        <rFont val="Arial"/>
        <family val="2"/>
      </rPr>
      <t xml:space="preserve"> Enter all numbers in Part II as positive amounts. See instructions for an example.</t>
    </r>
  </si>
  <si>
    <t>Overall</t>
  </si>
  <si>
    <t>1. Adjusted Gross Income (1040, line 11)</t>
  </si>
  <si>
    <r>
      <t xml:space="preserve">• </t>
    </r>
    <r>
      <rPr>
        <sz val="9.5"/>
        <color rgb="FF221E1F"/>
        <rFont val="Arial"/>
        <family val="2"/>
      </rPr>
      <t>Any overall loss from a PTP,</t>
    </r>
  </si>
  <si>
    <t>• The deduction allowed for the deductible part of self-employment taxes,</t>
  </si>
  <si>
    <t>• Deductible contributions to traditional individual retirement accounts (IRAs) and section 501(c)(18) pension plans,</t>
  </si>
  <si>
    <t>• The exclusion of amounts received under an employer's adoption assistance program,</t>
  </si>
  <si>
    <t>• The student loan interest deduction, or</t>
  </si>
  <si>
    <t>• The deduction allowed for foreign-derived intangible income and global intangible low-taxed income.</t>
  </si>
  <si>
    <t>• The taxable amount of social security and tier 1 railroad retirement benefits,</t>
  </si>
  <si>
    <t>• Any rental real estate loss allowed to real estate professionals</t>
  </si>
  <si>
    <t>• Passive income or loss included on Form 8582,</t>
  </si>
  <si>
    <t>except for:</t>
  </si>
  <si>
    <t>(Check both for 'Both')</t>
  </si>
  <si>
    <t>8582</t>
  </si>
  <si>
    <t>Form, 8582, Passive Activity Loss Limitations</t>
  </si>
  <si>
    <t>Modified Adjusted Gross Income  &gt; Part II, line 6</t>
  </si>
  <si>
    <t>Part VII, Column (c) Computation</t>
  </si>
  <si>
    <t>of Form 8582</t>
  </si>
  <si>
    <t>Enter as a positive amount, Part I, line 3,</t>
  </si>
  <si>
    <t>Enter Part II, line 9, of Form 8582</t>
  </si>
  <si>
    <t>Subtract line B from line A</t>
  </si>
  <si>
    <t>Multiply each ratio in column (b) by the amount on line C above,</t>
  </si>
  <si>
    <t>and enter the result in column (c).</t>
  </si>
  <si>
    <r>
      <t xml:space="preserve">Complete This Part Before Part I, Lines 2a, 2b, and 2c. </t>
    </r>
    <r>
      <rPr>
        <sz val="14"/>
        <rFont val="Arial"/>
        <family val="2"/>
      </rPr>
      <t>See instructions.</t>
    </r>
  </si>
  <si>
    <t>Form 8582 - Modified Adjusted Gross Income Worksheet - Line 6</t>
  </si>
  <si>
    <t>Enter all numbers in this calculation as positive amounts (greater than zero)</t>
  </si>
  <si>
    <t>Enter the loss from Part I, line 3</t>
  </si>
  <si>
    <t>smaller of Part II, line 4 or line 8</t>
  </si>
  <si>
    <t>Reduce line B by the amount of the</t>
  </si>
  <si>
    <t>prior unallowed CRD (as a positive</t>
  </si>
  <si>
    <t>amount), the amount on line A, or the</t>
  </si>
  <si>
    <t>amount on line C</t>
  </si>
  <si>
    <t>* Enter $12,500 (reduced by the amount, if any, of the smaller of Part II, line 4</t>
  </si>
  <si>
    <t>your spouse lived apart at all times during the year.</t>
  </si>
  <si>
    <t>or line 8) on line A if you’re married but filing a separate return and you and</t>
  </si>
  <si>
    <t>• The exclusion from income of interest from series EE and I U.S. savings bonds used to 
pay higher education expenses,</t>
  </si>
  <si>
    <t>any, of the smaller of Part II, line 4 or</t>
  </si>
  <si>
    <t>line 8.</t>
  </si>
  <si>
    <t>Enter the smallest of the amount of the prior</t>
  </si>
  <si>
    <t>Unallowed CRDs</t>
  </si>
  <si>
    <t>Prior year</t>
  </si>
  <si>
    <r>
      <t xml:space="preserve">Worksheet for Special Allowance for </t>
    </r>
    <r>
      <rPr>
        <b/>
        <u/>
        <sz val="12"/>
        <rFont val="Arial"/>
        <family val="2"/>
      </rPr>
      <t>Prior</t>
    </r>
    <r>
      <rPr>
        <b/>
        <sz val="12"/>
        <rFont val="Arial"/>
        <family val="2"/>
      </rPr>
      <t xml:space="preserve"> </t>
    </r>
    <r>
      <rPr>
        <b/>
        <u/>
        <sz val="12"/>
        <rFont val="Arial"/>
        <family val="2"/>
      </rPr>
      <t>Year</t>
    </r>
    <r>
      <rPr>
        <b/>
        <sz val="12"/>
        <rFont val="Arial"/>
        <family val="2"/>
      </rPr>
      <t xml:space="preserve"> Unallowed
Commercial Revitalization Deductions (CRDs) From Rental Real Estate</t>
    </r>
  </si>
  <si>
    <t>If line 1d of Part I is zero or more, and line 3 is a loss, complete this Worksheet and enter the result on line 9 as described below.
The remaining portion of the $25,000 allowance, if any, is available for the prior year unallowed CRD from rental real estate activities. Use the Worksheet to figure the maximum amount of prior year unallowed CRD allowed from rental real estate activities.</t>
  </si>
  <si>
    <t>Combine line D with the smaller of Line 4 or line 8 and enter the combined amount on line 9. Enter "CRD" and the dollar amount of the special allowance for CRD on the dotted line.</t>
  </si>
  <si>
    <r>
      <t xml:space="preserve">Check here to hide </t>
    </r>
    <r>
      <rPr>
        <b/>
        <sz val="9"/>
        <color theme="4" tint="-0.249977111117893"/>
        <rFont val="Arial"/>
        <family val="2"/>
      </rPr>
      <t>Social Security numbers</t>
    </r>
    <r>
      <rPr>
        <b/>
        <sz val="9"/>
        <color rgb="FF008000"/>
        <rFont val="Arial"/>
        <family val="2"/>
      </rPr>
      <t xml:space="preserve"> on forms.</t>
    </r>
  </si>
  <si>
    <r>
      <t>(4)</t>
    </r>
    <r>
      <rPr>
        <sz val="9"/>
        <rFont val="Arial"/>
        <family val="2"/>
      </rPr>
      <t xml:space="preserve"> Check the box if qualified for (see instructions):</t>
    </r>
  </si>
  <si>
    <t>medals and USOC prize money reported on line 8m</t>
  </si>
  <si>
    <t>Repayment of supplemental unemployment benefits under the Trade</t>
  </si>
  <si>
    <t>Act of 1974</t>
  </si>
  <si>
    <t>see instructions</t>
  </si>
  <si>
    <t>Recapture of federal mortgage subsidy. If you sold your home</t>
  </si>
  <si>
    <t>Form 8889, line 17b</t>
  </si>
  <si>
    <t>Residential energy credit.  Attach Form 5695, line 15</t>
  </si>
  <si>
    <t>Energy efficient home improvement credit from Form 5695, line 32</t>
  </si>
  <si>
    <t>Credit for previously owned clean vehicles. Attach Form 8936</t>
  </si>
  <si>
    <t xml:space="preserve">.   .   .   </t>
  </si>
  <si>
    <t>Add lines 1 through 4, 5a, 5b, and 7. Enter here and on Form 1040, 1040-SR, or 1040-NR,</t>
  </si>
  <si>
    <t>Elective payment election amount from Form 3800, Part III, line</t>
  </si>
  <si>
    <t>6, column (i)</t>
  </si>
  <si>
    <t>Clergy or Church Emp. Income</t>
  </si>
  <si>
    <r>
      <t xml:space="preserve">Multiply  the  </t>
    </r>
    <r>
      <rPr>
        <b/>
        <sz val="10"/>
        <rFont val="Arial"/>
        <family val="2"/>
      </rPr>
      <t>smaller</t>
    </r>
    <r>
      <rPr>
        <sz val="10"/>
        <rFont val="Arial"/>
        <family val="2"/>
      </rPr>
      <t xml:space="preserve">  of  line 6 or line 9 by</t>
    </r>
  </si>
  <si>
    <t>Line 8d</t>
  </si>
  <si>
    <t>Line 9</t>
  </si>
  <si>
    <t>You Paid</t>
  </si>
  <si>
    <r>
      <rPr>
        <b/>
        <sz val="8"/>
        <rFont val="Arial"/>
        <family val="2"/>
      </rPr>
      <t>Caution:</t>
    </r>
    <r>
      <rPr>
        <sz val="8"/>
        <rFont val="Arial"/>
        <family val="2"/>
      </rPr>
      <t xml:space="preserve"> If you 
made a gift and
got a benefit for it, 
see instructions.</t>
    </r>
  </si>
  <si>
    <t>deduction, check this box</t>
  </si>
  <si>
    <t>line 2b.)</t>
  </si>
  <si>
    <t>Form 1040,</t>
  </si>
  <si>
    <t>received a 
Form 1099-INT, 
Form 1099-OID, 
or substitute
statement from 
a brokerage firm, 
list the firm’s 
name as the 
payer and enter 
the total interest 
shown on that 
form.</t>
  </si>
  <si>
    <t>interest first. Also, show that buyer’s social security number and address:</t>
  </si>
  <si>
    <t>line 3b.)</t>
  </si>
  <si>
    <r>
      <t xml:space="preserve">account; or </t>
    </r>
    <r>
      <rPr>
        <b/>
        <sz val="10"/>
        <rFont val="Arial"/>
        <family val="2"/>
      </rPr>
      <t>(c)</t>
    </r>
    <r>
      <rPr>
        <sz val="10"/>
        <rFont val="Arial"/>
        <family val="2"/>
      </rPr>
      <t xml:space="preserve"> received a distribution from, or were a grantor of, or a transferor to, a foreign trust.</t>
    </r>
  </si>
  <si>
    <r>
      <t>(b)</t>
    </r>
    <r>
      <rPr>
        <sz val="10"/>
        <rFont val="Arial"/>
        <family val="2"/>
      </rPr>
      <t xml:space="preserve"> had a foreign</t>
    </r>
  </si>
  <si>
    <r>
      <t xml:space="preserve">You  must  complete  this  part if you  </t>
    </r>
    <r>
      <rPr>
        <b/>
        <sz val="10"/>
        <rFont val="Arial"/>
        <family val="2"/>
      </rPr>
      <t>(a)</t>
    </r>
    <r>
      <rPr>
        <sz val="10"/>
        <rFont val="Arial"/>
        <family val="2"/>
      </rPr>
      <t xml:space="preserve"> had over</t>
    </r>
  </si>
  <si>
    <t xml:space="preserve">.   .   .   .   .   .   .   .   .   .   .   .   .   .   .   .   .   .   .   .   .   .   .   .   .   .   .   .   .   .   .   </t>
  </si>
  <si>
    <t>Energy efficient commercial bldgs</t>
  </si>
  <si>
    <t>deduction (attach Form 7205)</t>
  </si>
  <si>
    <t>Deductible meals (see instructions)</t>
  </si>
  <si>
    <t>Deductible meals (see instructions</t>
  </si>
  <si>
    <t>deduction (not included in Part III</t>
  </si>
  <si>
    <r>
      <t>Total expenses</t>
    </r>
    <r>
      <rPr>
        <sz val="10"/>
        <rFont val="Arial"/>
        <family val="2"/>
      </rPr>
      <t xml:space="preserve"> before expenses for business use of home.  Add lines 8 through 27b</t>
    </r>
  </si>
  <si>
    <r>
      <rPr>
        <b/>
        <sz val="11"/>
        <rFont val="Arial"/>
        <family val="2"/>
      </rPr>
      <t xml:space="preserve">   Cost of Goods Sold </t>
    </r>
    <r>
      <rPr>
        <sz val="11"/>
        <rFont val="Arial"/>
        <family val="2"/>
      </rPr>
      <t xml:space="preserve"> (see instructions)</t>
    </r>
  </si>
  <si>
    <t>alien. Also, do not include anyone you included on line 4.</t>
  </si>
  <si>
    <r>
      <rPr>
        <b/>
        <sz val="11"/>
        <rFont val="Cambria"/>
        <family val="1"/>
        <scheme val="major"/>
      </rPr>
      <t>Caution:</t>
    </r>
    <r>
      <rPr>
        <sz val="11"/>
        <rFont val="Cambria"/>
        <family val="1"/>
        <scheme val="major"/>
      </rPr>
      <t xml:space="preserve"> Do not include yourself, your spouse, or anyone who is not a U.S. citizen, U.S. national, or U.S. resident</t>
    </r>
  </si>
  <si>
    <t>Enter the amount from line 10 on line 12 and</t>
  </si>
  <si>
    <t>go to line 13.</t>
  </si>
  <si>
    <r>
      <t xml:space="preserve">For more details on what to include on line 11, see </t>
    </r>
    <r>
      <rPr>
        <sz val="10"/>
        <rFont val="Arial"/>
        <family val="2"/>
      </rPr>
      <t>Figure Your Credit</t>
    </r>
    <r>
      <rPr>
        <i/>
        <sz val="10"/>
        <rFont val="Arial"/>
        <family val="2"/>
      </rPr>
      <t xml:space="preserve"> in the instructions.</t>
    </r>
  </si>
  <si>
    <r>
      <t xml:space="preserve">If you completed line 11, enter the </t>
    </r>
    <r>
      <rPr>
        <b/>
        <sz val="10"/>
        <rFont val="Arial"/>
        <family val="2"/>
      </rPr>
      <t>smaller</t>
    </r>
    <r>
      <rPr>
        <sz val="10"/>
        <rFont val="Arial"/>
        <family val="2"/>
      </rPr>
      <t xml:space="preserve"> of line 10 or line 11. </t>
    </r>
    <r>
      <rPr>
        <b/>
        <sz val="10"/>
        <rFont val="Arial"/>
        <family val="2"/>
      </rPr>
      <t>All others</t>
    </r>
    <r>
      <rPr>
        <sz val="10"/>
        <rFont val="Arial"/>
        <family val="2"/>
      </rPr>
      <t>, enter the</t>
    </r>
  </si>
  <si>
    <r>
      <t xml:space="preserve">taxable, they </t>
    </r>
    <r>
      <rPr>
        <b/>
        <sz val="10"/>
        <rFont val="Arial"/>
        <family val="2"/>
      </rPr>
      <t>must</t>
    </r>
    <r>
      <rPr>
        <sz val="10"/>
        <rFont val="Arial"/>
        <family val="2"/>
      </rPr>
      <t xml:space="preserve"> be included here to figure your credit.) If you</t>
    </r>
  </si>
  <si>
    <t xml:space="preserve"> .   .   .   .   .   .   .   .   .   .   .   .   .   .   .   .   .   .   .   .   .   .   .   .   .   .   .   .   .   .   .  </t>
  </si>
  <si>
    <r>
      <rPr>
        <b/>
        <sz val="10"/>
        <rFont val="Arial"/>
        <family val="2"/>
      </rPr>
      <t>Credit for the elderly or the disabled.</t>
    </r>
    <r>
      <rPr>
        <sz val="10"/>
        <rFont val="Arial"/>
        <family val="2"/>
      </rPr>
      <t xml:space="preserve"> Enter the </t>
    </r>
    <r>
      <rPr>
        <b/>
        <sz val="10"/>
        <rFont val="Arial"/>
        <family val="2"/>
      </rPr>
      <t>smaller</t>
    </r>
    <r>
      <rPr>
        <sz val="10"/>
        <rFont val="Arial"/>
        <family val="2"/>
      </rPr>
      <t xml:space="preserve"> of line 20 or line 21. Also enter</t>
    </r>
  </si>
  <si>
    <r>
      <t xml:space="preserve">If zero or less, </t>
    </r>
    <r>
      <rPr>
        <b/>
        <sz val="10"/>
        <rFont val="Arial"/>
        <family val="2"/>
      </rPr>
      <t>stop</t>
    </r>
    <r>
      <rPr>
        <sz val="10"/>
        <rFont val="Arial"/>
        <family val="2"/>
      </rPr>
      <t xml:space="preserve">; you </t>
    </r>
    <r>
      <rPr>
        <b/>
        <sz val="10"/>
        <rFont val="Arial"/>
        <family val="2"/>
      </rPr>
      <t>can’t</t>
    </r>
    <r>
      <rPr>
        <sz val="10"/>
        <rFont val="Arial"/>
        <family val="2"/>
      </rPr>
      <t xml:space="preserve"> take the credit.</t>
    </r>
  </si>
  <si>
    <t>tax year (see instructions)</t>
  </si>
  <si>
    <r>
      <t xml:space="preserve">Were you covered by a retirement plan (see </t>
    </r>
    <r>
      <rPr>
        <i/>
        <sz val="11"/>
        <rFont val="Arial"/>
        <family val="2"/>
      </rPr>
      <t>Were You Covered by a</t>
    </r>
  </si>
  <si>
    <r>
      <t>Next.</t>
    </r>
    <r>
      <rPr>
        <sz val="11"/>
        <rFont val="Arial"/>
        <family val="2"/>
      </rPr>
      <t xml:space="preserve"> If you checked “No” on line 1a (and “No” on line 1b if married filing jointly), </t>
    </r>
  </si>
  <si>
    <r>
      <t>For more details, see Pub. 590-A</t>
    </r>
    <r>
      <rPr>
        <b/>
        <sz val="11"/>
        <rFont val="Arial"/>
        <family val="2"/>
      </rPr>
      <t xml:space="preserve">.   .   .   .   .   .   .   .   .   .   .   .   .   .   .   .   .   .   .   .   .   .   . </t>
    </r>
  </si>
  <si>
    <r>
      <t xml:space="preserve">On line 12a, enter the </t>
    </r>
    <r>
      <rPr>
        <b/>
        <sz val="11"/>
        <rFont val="Arial"/>
        <family val="2"/>
      </rPr>
      <t>smallest</t>
    </r>
    <r>
      <rPr>
        <sz val="11"/>
        <rFont val="Arial"/>
        <family val="2"/>
      </rPr>
      <t xml:space="preserve"> of line 7a, 10, or 11a. On line 12b, enter the</t>
    </r>
  </si>
  <si>
    <r>
      <rPr>
        <b/>
        <sz val="11"/>
        <rFont val="Arial"/>
        <family val="2"/>
      </rPr>
      <t>smallest</t>
    </r>
    <r>
      <rPr>
        <sz val="11"/>
        <rFont val="Arial"/>
        <family val="2"/>
      </rPr>
      <t xml:space="preserve"> of line 7b, 10, or 11b. This is the most you can deduct. Add the amounts on lines 12a</t>
    </r>
  </si>
  <si>
    <t>Subtract line 5 from line 2 in each column.  Follow the instruction below</t>
  </si>
  <si>
    <r>
      <t xml:space="preserve">Single, head of household, or married filing separately and you </t>
    </r>
    <r>
      <rPr>
        <b/>
        <sz val="11"/>
        <rFont val="Arial"/>
        <family val="2"/>
      </rPr>
      <t>lived apart</t>
    </r>
  </si>
  <si>
    <t xml:space="preserve">    on net capital gain and qualified dividends in certain situations.</t>
  </si>
  <si>
    <t xml:space="preserve">    the same person.</t>
  </si>
  <si>
    <r>
      <rPr>
        <b/>
        <sz val="10"/>
        <rFont val="Arial"/>
        <family val="2"/>
      </rPr>
      <t>No.</t>
    </r>
    <r>
      <rPr>
        <sz val="10"/>
        <rFont val="Arial"/>
        <family val="2"/>
      </rPr>
      <t xml:space="preserve">  Go to Step 3.</t>
    </r>
  </si>
  <si>
    <t>If you and your spouse both received Medicaid waiver payments during the year, you and your spouse can make different choices about including the full amount of your payments in earned income. Enter only the amount of Medicaid waiver payments that you or your spouse, if filing a joint return, do not want to include in earned income. To include all nontaxable Medicaid waiver payment amounts in earned income, enter -0-.</t>
  </si>
  <si>
    <t>T I P</t>
  </si>
  <si>
    <t>This is your earned income.</t>
  </si>
  <si>
    <t>Add lines 3 and 4.</t>
  </si>
  <si>
    <t>your employer withheld or you paid Additional Medicare Tax or tier 1 RRTA taxes, or</t>
  </si>
  <si>
    <t>if you are a bona fide resident of Puerto Rico, see instructions</t>
  </si>
  <si>
    <r>
      <rPr>
        <b/>
        <sz val="9"/>
        <rFont val="Arial"/>
        <family val="2"/>
      </rPr>
      <t>Schedule 3,</t>
    </r>
    <r>
      <rPr>
        <sz val="9"/>
        <rFont val="Arial"/>
        <family val="2"/>
      </rPr>
      <t xml:space="preserve"> line 5b</t>
    </r>
  </si>
  <si>
    <r>
      <rPr>
        <b/>
        <sz val="9"/>
        <rFont val="Arial"/>
        <family val="2"/>
      </rPr>
      <t>Schedule 3,</t>
    </r>
    <r>
      <rPr>
        <sz val="9"/>
        <rFont val="Arial"/>
        <family val="2"/>
      </rPr>
      <t xml:space="preserve"> line 6m</t>
    </r>
  </si>
  <si>
    <t>6m</t>
  </si>
  <si>
    <r>
      <t xml:space="preserve">Complete the Credit Limit Worksheet B </t>
    </r>
    <r>
      <rPr>
        <b/>
        <sz val="10"/>
        <color theme="4" tint="-0.249977111117893"/>
        <rFont val="Arial"/>
        <family val="2"/>
      </rPr>
      <t xml:space="preserve">only </t>
    </r>
    <r>
      <rPr>
        <sz val="10"/>
        <color theme="4" tint="-0.249977111117893"/>
        <rFont val="Arial"/>
        <family val="2"/>
      </rPr>
      <t>if you meet all of the following:</t>
    </r>
  </si>
  <si>
    <r>
      <rPr>
        <b/>
        <sz val="9"/>
        <rFont val="Arial"/>
        <family val="2"/>
      </rPr>
      <t>1040 and 1040-SR filers.</t>
    </r>
    <r>
      <rPr>
        <sz val="9"/>
        <rFont val="Arial"/>
        <family val="2"/>
      </rPr>
      <t xml:space="preserve"> Complete line 27; Schedule 2, lines 5, 6, and 13; and</t>
    </r>
  </si>
  <si>
    <r>
      <rPr>
        <b/>
        <sz val="9"/>
        <rFont val="Arial"/>
        <family val="2"/>
      </rPr>
      <t>1040-NR filers.</t>
    </r>
    <r>
      <rPr>
        <sz val="9"/>
        <rFont val="Arial"/>
        <family val="2"/>
      </rPr>
      <t xml:space="preserve"> Complete Schedule 2, lines 5, 6, and 13; and Schedule 3, line 11</t>
    </r>
  </si>
  <si>
    <r>
      <rPr>
        <b/>
        <sz val="9"/>
        <rFont val="Arial"/>
        <family val="2"/>
      </rPr>
      <t>Caution.</t>
    </r>
    <r>
      <rPr>
        <i/>
        <sz val="9"/>
        <rFont val="Arial"/>
        <family val="2"/>
      </rPr>
      <t xml:space="preserve"> Use this worksheet only if you meet each of the items discussed under line 3 of Credit Limit Worksheet A,</t>
    </r>
  </si>
  <si>
    <t>enter -0- on line 11, and go to line 12.</t>
  </si>
  <si>
    <t xml:space="preserve">Otherwise, leave lines 7 through 10 blank, </t>
  </si>
  <si>
    <t>*If your employer withheld or you paid Additional Medicare Tax or Tier 1 RRTA</t>
  </si>
  <si>
    <t>Worksheet to figure the amount to enter; otherwise enter</t>
  </si>
  <si>
    <t>the total of the following amounts</t>
  </si>
  <si>
    <t>Social security tax withheld from Form(s) W-2, box 4,</t>
  </si>
  <si>
    <t>and Puerto Rico Form(s) 499-R2/W-2PR, box 21, and</t>
  </si>
  <si>
    <t>Puerto Rico Form(s) 499R-2/W-2PR, box 23.</t>
  </si>
  <si>
    <t>Medicare tax withheld from Form(s) W-2, box 6, and</t>
  </si>
  <si>
    <t>*If married filing jointly, include your spouse’s amounts with yours when completing lines 7 and 8.</t>
  </si>
  <si>
    <t>*Enter the total of any amounts from—</t>
  </si>
  <si>
    <t>Add lines 7 and 8. Enter the total</t>
  </si>
  <si>
    <r>
      <t>Credit Limit Worksheet B—</t>
    </r>
    <r>
      <rPr>
        <b/>
        <i/>
        <sz val="12"/>
        <rFont val="Arial"/>
        <family val="2"/>
      </rPr>
      <t>Continued</t>
    </r>
  </si>
  <si>
    <t>Subtract line 10 from line 9. If the result is zero or less, enter -0-</t>
  </si>
  <si>
    <t>Enter the larger of line 5 or line 11</t>
  </si>
  <si>
    <t>Enter the smaller of line 2 or line 12</t>
  </si>
  <si>
    <r>
      <rPr>
        <b/>
        <sz val="9"/>
        <rFont val="Arial"/>
        <family val="2"/>
      </rPr>
      <t>Schedule 3</t>
    </r>
    <r>
      <rPr>
        <sz val="9"/>
        <rFont val="Arial"/>
        <family val="2"/>
      </rPr>
      <t>, line 6h</t>
    </r>
  </si>
  <si>
    <r>
      <rPr>
        <b/>
        <sz val="9"/>
        <rFont val="Arial"/>
        <family val="2"/>
      </rPr>
      <t>Schedule 3</t>
    </r>
    <r>
      <rPr>
        <sz val="9"/>
        <rFont val="Arial"/>
        <family val="2"/>
      </rPr>
      <t>, line 6g, and</t>
    </r>
  </si>
  <si>
    <r>
      <rPr>
        <b/>
        <sz val="9"/>
        <rFont val="Arial"/>
        <family val="2"/>
      </rPr>
      <t>Schedule 3</t>
    </r>
    <r>
      <rPr>
        <sz val="9"/>
        <rFont val="Arial"/>
        <family val="2"/>
      </rPr>
      <t>, line 5a</t>
    </r>
  </si>
  <si>
    <t>including that you are not filing Form 2555.</t>
  </si>
  <si>
    <t>Gain from Form 4797, Part I; long-term gain from Forms 2439 and 6252; and long-term gain or (loss)</t>
  </si>
  <si>
    <t xml:space="preserve">from Forms 4684, 6781, and 8824 </t>
  </si>
  <si>
    <t xml:space="preserve"> .   .   .   .   .   .   .   .   .   .   .   .   .   .   .   .   .   .   .   .   .   .   .   .   .   .   .  </t>
  </si>
  <si>
    <r>
      <t xml:space="preserve">Net long-term capital gain or (loss). </t>
    </r>
    <r>
      <rPr>
        <sz val="10"/>
        <rFont val="Arial"/>
        <family val="2"/>
      </rPr>
      <t>Combine lines 8a thru 14 in column (h). Then go to Part III on</t>
    </r>
  </si>
  <si>
    <t>the back</t>
  </si>
  <si>
    <r>
      <t>Net short-term capital gain or (loss).</t>
    </r>
    <r>
      <rPr>
        <sz val="10"/>
        <rFont val="Arial"/>
        <family val="2"/>
      </rPr>
      <t xml:space="preserve"> Combine lines 1a through 6 in column (h). If you have any long-</t>
    </r>
  </si>
  <si>
    <t>term capital gains or losses, go to Part II below. Otherwise, go to Part III on the back</t>
  </si>
  <si>
    <r>
      <t xml:space="preserve">If line 16 is a </t>
    </r>
    <r>
      <rPr>
        <b/>
        <sz val="11"/>
        <rFont val="Arial"/>
        <family val="2"/>
      </rPr>
      <t>gain</t>
    </r>
    <r>
      <rPr>
        <sz val="11"/>
        <rFont val="Arial"/>
        <family val="2"/>
      </rPr>
      <t>, enter the amount from line 16 on Form 1040, 1040-SR, or 1040-NR, line 7.</t>
    </r>
  </si>
  <si>
    <r>
      <t xml:space="preserve">If line 16 is a </t>
    </r>
    <r>
      <rPr>
        <b/>
        <sz val="11"/>
        <rFont val="Arial"/>
        <family val="2"/>
      </rPr>
      <t>loss</t>
    </r>
    <r>
      <rPr>
        <sz val="11"/>
        <rFont val="Arial"/>
        <family val="2"/>
      </rPr>
      <t>, skip lines 17 through 20 below. Then go to line 21. Also be sure to complete</t>
    </r>
  </si>
  <si>
    <r>
      <t xml:space="preserve">If line 16 is </t>
    </r>
    <r>
      <rPr>
        <b/>
        <sz val="11"/>
        <rFont val="Arial"/>
        <family val="2"/>
      </rPr>
      <t>zero</t>
    </r>
    <r>
      <rPr>
        <sz val="11"/>
        <rFont val="Arial"/>
        <family val="2"/>
      </rPr>
      <t>, skip lines 17 through 21 below and enter -0- on Form 1040 or 1040-SR, line 7.</t>
    </r>
  </si>
  <si>
    <r>
      <t xml:space="preserve">No. </t>
    </r>
    <r>
      <rPr>
        <sz val="11"/>
        <rFont val="Arial"/>
        <family val="2"/>
      </rPr>
      <t xml:space="preserve">Complete the </t>
    </r>
    <r>
      <rPr>
        <b/>
        <sz val="11"/>
        <rFont val="Arial"/>
        <family val="2"/>
      </rPr>
      <t>Schedule D Tax Worksheet</t>
    </r>
    <r>
      <rPr>
        <sz val="11"/>
        <rFont val="Arial"/>
        <family val="2"/>
      </rPr>
      <t xml:space="preserve"> in the instructions. </t>
    </r>
    <r>
      <rPr>
        <b/>
        <sz val="11"/>
        <rFont val="Arial"/>
        <family val="2"/>
      </rPr>
      <t>Don't</t>
    </r>
    <r>
      <rPr>
        <sz val="11"/>
        <rFont val="Arial"/>
        <family val="2"/>
      </rPr>
      <t xml:space="preserve"> complete lines 21</t>
    </r>
  </si>
  <si>
    <r>
      <t xml:space="preserve">If line 16 is a loss, enter here and on Form 1040, 1040-SR, 1040-NR, line 7, the </t>
    </r>
    <r>
      <rPr>
        <b/>
        <sz val="11"/>
        <rFont val="Arial"/>
        <family val="2"/>
      </rPr>
      <t>smaller</t>
    </r>
    <r>
      <rPr>
        <sz val="11"/>
        <rFont val="Arial"/>
        <family val="2"/>
      </rPr>
      <t xml:space="preserve"> of:</t>
    </r>
  </si>
  <si>
    <r>
      <t>Note:</t>
    </r>
    <r>
      <rPr>
        <sz val="11"/>
        <rFont val="Arial"/>
        <family val="2"/>
      </rPr>
      <t xml:space="preserve"> When figuring which amount is smaller, treat both amounts as positive numbers.</t>
    </r>
  </si>
  <si>
    <r>
      <t>No.</t>
    </r>
    <r>
      <rPr>
        <sz val="11"/>
        <rFont val="Arial"/>
        <family val="2"/>
      </rPr>
      <t xml:space="preserve">  Complete the rest of Form 1040, 1040-SR, or 1040-NR.</t>
    </r>
  </si>
  <si>
    <t>instructions for Form 1040 or 1040-SR, line 16.</t>
  </si>
  <si>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</si>
  <si>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r>
      <t xml:space="preserve">instructions for Form 1040 or 1040-SR, line 16. </t>
    </r>
    <r>
      <rPr>
        <b/>
        <sz val="11"/>
        <rFont val="Arial"/>
        <family val="2"/>
      </rPr>
      <t>Don't</t>
    </r>
    <r>
      <rPr>
        <sz val="11"/>
        <rFont val="Arial"/>
        <family val="2"/>
      </rPr>
      <t xml:space="preserve"> complete lines 21 and 22 below</t>
    </r>
  </si>
  <si>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</si>
  <si>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t>Prior to printing, to remove colors from all forms and worksheets, place an 'X' in Cell AL2 on the '1040' sheet.</t>
  </si>
  <si>
    <t>Part II, with code “Q” in column (f), that is 50% of the gain;</t>
  </si>
  <si>
    <t>8949, Part II, with code “Q” in column (f), that is 60% of the gain; and</t>
  </si>
  <si>
    <t>8949, Part II, with code “Q” in column (f), that is 75% of the gain.</t>
  </si>
  <si>
    <r>
      <t>more than zero); Form 6252; Form 6781, Part II; and Form 8824</t>
    </r>
    <r>
      <rPr>
        <b/>
        <sz val="10"/>
        <rFont val="Arial"/>
        <family val="2"/>
      </rPr>
      <t xml:space="preserve">.   .   .   .   .   .   .   .   .   .   .   .   .   .   .   .   .   .   .   .   .   .   .   .   .   </t>
    </r>
  </si>
  <si>
    <t>Enter the total of all collectibles gain or (loss) from Form 4684, line 4 (but only if Form 4684, line 15, is</t>
  </si>
  <si>
    <r>
      <rPr>
        <sz val="12"/>
        <rFont val="Arial"/>
        <family val="2"/>
      </rPr>
      <t xml:space="preserve">   </t>
    </r>
    <r>
      <rPr>
        <b/>
        <sz val="12"/>
        <rFont val="Arial"/>
        <family val="2"/>
      </rPr>
      <t>Other expenses.</t>
    </r>
    <r>
      <rPr>
        <sz val="11"/>
        <rFont val="Arial"/>
        <family val="2"/>
      </rPr>
      <t xml:space="preserve"> </t>
    </r>
    <r>
      <rPr>
        <sz val="12"/>
        <rFont val="Arial"/>
        <family val="2"/>
      </rPr>
      <t xml:space="preserve"> List below business expenses not included on lines 8-26, line 27b, or line 30.</t>
    </r>
  </si>
  <si>
    <t>F8949 losses allocable to the business</t>
  </si>
  <si>
    <t>but not to business use of home</t>
  </si>
  <si>
    <t>If “Yes,” did you or will you file all required Form(s) 1099?</t>
  </si>
  <si>
    <t>If "Yes," did you or will you file all required Form(s) 1099?</t>
  </si>
  <si>
    <t xml:space="preserve">6d </t>
  </si>
  <si>
    <r>
      <t xml:space="preserve">   Farm Income — Accrual Method</t>
    </r>
    <r>
      <rPr>
        <sz val="10"/>
        <rFont val="Arial"/>
        <family val="2"/>
      </rPr>
      <t xml:space="preserve"> (see instructions)</t>
    </r>
  </si>
  <si>
    <t xml:space="preserve"> .    .    .   .   .   .   .   </t>
  </si>
  <si>
    <t>Inventory of livestock, produce, grains, and other products at beginning of the year.</t>
  </si>
  <si>
    <t>Do not include sales reported on Form 4797</t>
  </si>
  <si>
    <r>
      <rPr>
        <b/>
        <sz val="10"/>
        <rFont val="Arial"/>
        <family val="2"/>
      </rPr>
      <t>Gross income.</t>
    </r>
    <r>
      <rPr>
        <sz val="10"/>
        <rFont val="Arial"/>
        <family val="2"/>
      </rPr>
      <t xml:space="preserve"> Subtract line 49 from line 44. Enter the result here and on Part I, line 9</t>
    </r>
  </si>
  <si>
    <t>Do not file Schedule F (Form 1040) to report the</t>
  </si>
  <si>
    <t>following.</t>
  </si>
  <si>
    <t>soil preparation, veterinary, farm labor, horticultural services</t>
  </si>
  <si>
    <t>if your principal source of income is from providing such services.</t>
  </si>
  <si>
    <t>Instead, see the Instructions for Schedule C (Form 1040).</t>
  </si>
  <si>
    <t>(Form 1040).</t>
  </si>
  <si>
    <t>other pet animals. Instead, see the Instructions for Schedule C</t>
  </si>
  <si>
    <t>• Income from managing a farm for a fee or on a contract basis.</t>
  </si>
  <si>
    <t>purposes. Instead, see the Instructions for Form 4797.</t>
  </si>
  <si>
    <t xml:space="preserve">Attach to Form 1040, 1040-SR,  1040-SS, or  1040NR.   </t>
  </si>
  <si>
    <r>
      <t xml:space="preserve">Go to </t>
    </r>
    <r>
      <rPr>
        <b/>
        <i/>
        <sz val="9"/>
        <rFont val="Arial"/>
        <family val="2"/>
      </rPr>
      <t>www.irs.gov/ScheduleSE</t>
    </r>
    <r>
      <rPr>
        <b/>
        <sz val="9"/>
        <rFont val="Arial"/>
        <family val="2"/>
      </rPr>
      <t xml:space="preserve"> for instructions and the latest information.</t>
    </r>
  </si>
  <si>
    <t>Form 1040-SS, Part I, line 3</t>
  </si>
  <si>
    <r>
      <rPr>
        <b/>
        <sz val="10"/>
        <rFont val="Arial"/>
        <family val="2"/>
      </rPr>
      <t>Self-employment tax.</t>
    </r>
    <r>
      <rPr>
        <sz val="10"/>
        <rFont val="Arial"/>
        <family val="2"/>
      </rPr>
      <t xml:space="preserve"> Add lines 10 and 11. Enter here and on </t>
    </r>
    <r>
      <rPr>
        <b/>
        <sz val="10"/>
        <rFont val="Arial"/>
        <family val="2"/>
      </rPr>
      <t>Schedule 2 (Form 1040), line 4</t>
    </r>
    <r>
      <rPr>
        <sz val="10"/>
        <rFont val="Arial"/>
        <family val="2"/>
      </rPr>
      <t>, or</t>
    </r>
  </si>
  <si>
    <t xml:space="preserve">.  . </t>
  </si>
  <si>
    <r>
      <t xml:space="preserve"> </t>
    </r>
    <r>
      <rPr>
        <b/>
        <sz val="10"/>
        <rFont val="Arial"/>
        <family val="2"/>
      </rPr>
      <t>HSA Distributions.</t>
    </r>
    <r>
      <rPr>
        <sz val="10"/>
        <rFont val="Arial"/>
        <family val="2"/>
      </rPr>
      <t xml:space="preserve"> If you are filing jointly and both you and your spouse each have separate HSAs, complete
a separate Part II for each spouse.</t>
    </r>
  </si>
  <si>
    <r>
      <rPr>
        <b/>
        <sz val="10"/>
        <rFont val="Arial"/>
        <family val="2"/>
      </rPr>
      <t>Taxable HSA distributions.</t>
    </r>
    <r>
      <rPr>
        <sz val="10"/>
        <rFont val="Arial"/>
        <family val="2"/>
      </rPr>
      <t xml:space="preserve">  Subtract line 15 from line 14c. If zero or less, enter -0-. Also, include</t>
    </r>
  </si>
  <si>
    <t>this amount in the total on Schedule 1 (Form 1040), Part I, line 8f</t>
  </si>
  <si>
    <t>If any of the distributions included on line 16 meet any of the</t>
  </si>
  <si>
    <r>
      <t>Tax</t>
    </r>
    <r>
      <rPr>
        <sz val="10"/>
        <rFont val="Arial"/>
        <family val="2"/>
      </rPr>
      <t xml:space="preserve"> (see instructions), check here</t>
    </r>
  </si>
  <si>
    <r>
      <t>(c)</t>
    </r>
    <r>
      <rPr>
        <sz val="12"/>
        <rFont val="Arial"/>
        <family val="2"/>
      </rPr>
      <t xml:space="preserve"> Unallowed loss</t>
    </r>
  </si>
  <si>
    <t>OMB No. 1545-1008</t>
  </si>
  <si>
    <t>Combine lines 1d and 2d and subtract any prior year unallowed CRD. See instructions. If this line is</t>
  </si>
  <si>
    <t>prior year unallowed losses entered on line 1c or 2c. Report the losses on the forms and schedules normally used.</t>
  </si>
  <si>
    <t>zero or more,</t>
  </si>
  <si>
    <t xml:space="preserve">and include this form with your return; all losses are allowed, including any </t>
  </si>
  <si>
    <r>
      <t xml:space="preserve">Enter the </t>
    </r>
    <r>
      <rPr>
        <b/>
        <sz val="12"/>
        <rFont val="Arial"/>
        <family val="2"/>
      </rPr>
      <t>smaller</t>
    </r>
    <r>
      <rPr>
        <sz val="12"/>
        <rFont val="Arial"/>
        <family val="2"/>
      </rPr>
      <t xml:space="preserve"> of line 4 or line 8.</t>
    </r>
  </si>
  <si>
    <t>If line 3 includes any CRD, see instructions</t>
  </si>
  <si>
    <r>
      <t xml:space="preserve">(a) </t>
    </r>
    <r>
      <rPr>
        <sz val="12"/>
        <rFont val="Arial"/>
        <family val="2"/>
      </rPr>
      <t>Net income
(line 2a)</t>
    </r>
  </si>
  <si>
    <r>
      <t xml:space="preserve">(b) </t>
    </r>
    <r>
      <rPr>
        <sz val="12"/>
        <rFont val="Arial"/>
        <family val="2"/>
      </rPr>
      <t>Net loss
(line 2b)</t>
    </r>
  </si>
  <si>
    <r>
      <rPr>
        <b/>
        <sz val="12"/>
        <rFont val="Arial"/>
        <family val="2"/>
      </rPr>
      <t>(c)</t>
    </r>
    <r>
      <rPr>
        <sz val="12"/>
        <rFont val="Arial"/>
        <family val="2"/>
      </rPr>
      <t xml:space="preserve"> Unallowed
loss (line 2c)</t>
    </r>
  </si>
  <si>
    <t>*If you are filing Form 8814 and the amount on Form 8814, line 4, is more than $1,250, you must enter certain amounts from that form on Worksheet 1-2. See Form 8814 under line 2b in the instructions.</t>
  </si>
  <si>
    <t>Qualifying Surviving Spouse (QSS)</t>
  </si>
  <si>
    <t xml:space="preserve"> Filing Status</t>
  </si>
  <si>
    <t xml:space="preserve"> Check only
 one box</t>
  </si>
  <si>
    <t xml:space="preserve">   .   .   .   .   .   .   .   .   .   .   .   . </t>
  </si>
  <si>
    <t>If you had a loss, enter -0-</t>
  </si>
  <si>
    <t>Self-employment income from Schedule SE (Form 1040), Part I, line 6.</t>
  </si>
  <si>
    <t>and go to Part III</t>
  </si>
  <si>
    <t>Railroad retirement (RRTA) compensation and tips from Form(s) W-2, box 14</t>
  </si>
  <si>
    <r>
      <t xml:space="preserve">Single, Head of household, or Qualifying surviving spouse </t>
    </r>
    <r>
      <rPr>
        <b/>
        <sz val="10"/>
        <rFont val="Arial"/>
        <family val="2"/>
      </rPr>
      <t xml:space="preserve">  .   .</t>
    </r>
  </si>
  <si>
    <t>Add lines 7, 13, and 17. Also include this amount on Schedule 2 (Form 1040), line 11, (Form 1040-SS</t>
  </si>
  <si>
    <t>filers, see instructions), and go to Part V</t>
  </si>
  <si>
    <t>(Form 1040-SS filers, see instructions)</t>
  </si>
  <si>
    <t>You cannot claim the PTC if your filing status is married filing separately unless you qualify for an exception (see instructions).</t>
  </si>
  <si>
    <t>If you qualify, check the box.</t>
  </si>
  <si>
    <t>appropriate box for the federal poverty table used.</t>
  </si>
  <si>
    <t>Federal poverty line. Enter the federal poverty line amount from Table 1-1, 1-2, or 1-3.  See instructions. Check the</t>
  </si>
  <si>
    <t>by 12. Round to whole dollar amount</t>
  </si>
  <si>
    <r>
      <t xml:space="preserve">Go to </t>
    </r>
    <r>
      <rPr>
        <b/>
        <i/>
        <sz val="9"/>
        <rFont val="Arial"/>
        <family val="2"/>
      </rPr>
      <t>www.irs.gov/Form1040</t>
    </r>
    <r>
      <rPr>
        <b/>
        <sz val="9"/>
        <rFont val="Arial"/>
        <family val="2"/>
      </rPr>
      <t xml:space="preserve"> for instructions and the latest information.</t>
    </r>
  </si>
  <si>
    <r>
      <t xml:space="preserve">Rental real estate, royalties, partnerships, S corporations, trusts, etc. </t>
    </r>
    <r>
      <rPr>
        <sz val="10"/>
        <rFont val="Arial"/>
        <family val="2"/>
      </rPr>
      <t>Attach Schedule E</t>
    </r>
  </si>
  <si>
    <t>1040, 1040-SR, or 1040-NR, line 8</t>
  </si>
  <si>
    <t>here and on Form 1040, 1040-SR, or 1040-NR, line 10</t>
  </si>
  <si>
    <t xml:space="preserve">   .   .   .   .   .   .   .   .   .   .   .   .   .  </t>
  </si>
  <si>
    <t>Clean vehicle credit. Attach Form 8936</t>
  </si>
  <si>
    <r>
      <rPr>
        <b/>
        <sz val="11"/>
        <rFont val="Arial"/>
        <family val="2"/>
      </rPr>
      <t>B</t>
    </r>
    <r>
      <rPr>
        <sz val="11"/>
        <rFont val="Arial"/>
        <family val="2"/>
      </rPr>
      <t xml:space="preserve">  If you</t>
    </r>
  </si>
  <si>
    <r>
      <t xml:space="preserve">Form 2441 based on the income rules listed in the instructions under </t>
    </r>
    <r>
      <rPr>
        <i/>
        <sz val="10"/>
        <rFont val="Arial"/>
        <family val="2"/>
      </rPr>
      <t>If You or Your Spouse Was a Student or Disabled</t>
    </r>
    <r>
      <rPr>
        <sz val="10"/>
        <rFont val="Arial"/>
        <family val="2"/>
      </rPr>
      <t>, check this box</t>
    </r>
    <r>
      <rPr>
        <b/>
        <sz val="10"/>
        <rFont val="Arial"/>
        <family val="2"/>
      </rPr>
      <t xml:space="preserve">      .   .</t>
    </r>
  </si>
  <si>
    <t>(number, street, apt. no., city, state, and ZIP code)</t>
  </si>
  <si>
    <r>
      <t>Caution:</t>
    </r>
    <r>
      <rPr>
        <sz val="11"/>
        <rFont val="Arial"/>
        <family val="2"/>
      </rPr>
      <t xml:space="preserve"> If the care provider is your household employee, you may owe employment taxes. For details, see the Instructions for</t>
    </r>
  </si>
  <si>
    <r>
      <t xml:space="preserve"> </t>
    </r>
    <r>
      <rPr>
        <b/>
        <sz val="8"/>
        <rFont val="Arial"/>
        <family val="2"/>
      </rPr>
      <t>(b)</t>
    </r>
    <r>
      <rPr>
        <sz val="8"/>
        <rFont val="Arial"/>
        <family val="2"/>
      </rPr>
      <t xml:space="preserve"> Qualifying person's 
social security number</t>
    </r>
  </si>
  <si>
    <t>from line 13 of the worksheet here. Otherwise, enter -0- on line 9b and go to line 9c</t>
  </si>
  <si>
    <r>
      <t>Credit for child and dependent care expenses.</t>
    </r>
    <r>
      <rPr>
        <sz val="11"/>
        <rFont val="Arial"/>
        <family val="2"/>
      </rPr>
      <t xml:space="preserve"> Enter the smaller of line 9c or line 10 here and</t>
    </r>
  </si>
  <si>
    <t>amounts you received under a dependent care assistance program from your sole proprietorship</t>
  </si>
  <si>
    <t>or partnership</t>
  </si>
  <si>
    <t xml:space="preserve">required to enter spouse’s earned income on line 19). </t>
  </si>
  <si>
    <t>However, don’t enter more than maximum amount allowed</t>
  </si>
  <si>
    <t>under your dependent care plan. See instructions</t>
  </si>
  <si>
    <r>
      <t>h</t>
    </r>
    <r>
      <rPr>
        <sz val="12"/>
        <rFont val="Arial"/>
        <family val="2"/>
      </rPr>
      <t xml:space="preserve"> If married filing separately, see instructions</t>
    </r>
  </si>
  <si>
    <t>on the appropriate line(s) of your return. See instructions</t>
  </si>
  <si>
    <r>
      <t>Deductible benefits.</t>
    </r>
    <r>
      <rPr>
        <sz val="12"/>
        <rFont val="Arial"/>
        <family val="2"/>
      </rPr>
      <t xml:space="preserve"> Enter the </t>
    </r>
    <r>
      <rPr>
        <b/>
        <sz val="12"/>
        <rFont val="Arial"/>
        <family val="2"/>
      </rPr>
      <t>smallest</t>
    </r>
    <r>
      <rPr>
        <sz val="12"/>
        <rFont val="Arial"/>
        <family val="2"/>
      </rPr>
      <t xml:space="preserve"> of line 20, 21, or 22. Also, include this amount</t>
    </r>
  </si>
  <si>
    <t>line 28 above. Then, add the amounts in column (d) and enter the total here</t>
  </si>
  <si>
    <t>Over:</t>
  </si>
  <si>
    <t>14a.</t>
  </si>
  <si>
    <t>14b.</t>
  </si>
  <si>
    <t>Was the care provider your household employee?</t>
  </si>
  <si>
    <t>15a.</t>
  </si>
  <si>
    <t>15b.</t>
  </si>
  <si>
    <t>Check here if the qualifying person was over age 12 at the time the care was provided and was disabled.</t>
  </si>
  <si>
    <r>
      <rPr>
        <b/>
        <sz val="10"/>
        <rFont val="Arial"/>
        <family val="2"/>
      </rPr>
      <t xml:space="preserve">TIP: </t>
    </r>
    <r>
      <rPr>
        <sz val="10"/>
        <rFont val="Arial"/>
        <family val="2"/>
      </rPr>
      <t xml:space="preserve">You can elect to include your nontaxable combat pay in earned income when figuring your credit, even if you elect not to include it in earned income for the earned income credit (EIC) or the exclusion or deduction for child and dependent care benefits. 
</t>
    </r>
    <r>
      <rPr>
        <b/>
        <sz val="10"/>
        <rFont val="Arial"/>
        <family val="2"/>
      </rPr>
      <t xml:space="preserve">CAUTION: </t>
    </r>
    <r>
      <rPr>
        <sz val="10"/>
        <rFont val="Arial"/>
        <family val="2"/>
      </rPr>
      <t>You must reduce your earned income by any loss from self-employment.
Child support payments received by you aren't included in your gross income and aren't considered as earned income for figuring this credit.
See Pub. 503 for additional details on what is considered earned income.  See instructions.</t>
    </r>
  </si>
  <si>
    <r>
      <rPr>
        <b/>
        <sz val="14"/>
        <rFont val="Arial"/>
        <family val="2"/>
      </rPr>
      <t>Education Credits</t>
    </r>
    <r>
      <rPr>
        <b/>
        <sz val="12"/>
        <rFont val="Arial"/>
        <family val="2"/>
      </rPr>
      <t xml:space="preserve">
(American Opportunity and Lifetime Learning Credits)</t>
    </r>
  </si>
  <si>
    <t xml:space="preserve">Subtract line 3 from line 2. </t>
  </si>
  <si>
    <t>If zero or less,</t>
  </si>
  <si>
    <r>
      <t>a smaller amount and treat the rest as a nondeductible contribution (see Form 8606)</t>
    </r>
    <r>
      <rPr>
        <sz val="10"/>
        <rFont val="Arial"/>
        <family val="2"/>
      </rPr>
      <t xml:space="preserve"> </t>
    </r>
    <r>
      <rPr>
        <b/>
        <sz val="10"/>
        <rFont val="Arial"/>
        <family val="2"/>
      </rPr>
      <t>.   .   .   .   .</t>
    </r>
  </si>
  <si>
    <r>
      <rPr>
        <b/>
        <sz val="10"/>
        <rFont val="Arial"/>
        <family val="2"/>
      </rPr>
      <t xml:space="preserve">Don't </t>
    </r>
    <r>
      <rPr>
        <sz val="10"/>
        <rFont val="Arial"/>
        <family val="2"/>
      </rPr>
      <t>include this amount in figuring any other deduction on your return (such as on Schedule A, C, E, etc.)</t>
    </r>
  </si>
  <si>
    <r>
      <t xml:space="preserve">Combine lines 1 through 7 and 9. This is your </t>
    </r>
    <r>
      <rPr>
        <b/>
        <sz val="11"/>
        <rFont val="Arial"/>
        <family val="2"/>
      </rPr>
      <t>additional income</t>
    </r>
    <r>
      <rPr>
        <sz val="11"/>
        <rFont val="Arial"/>
        <family val="2"/>
      </rPr>
      <t>. Enter here and on Form</t>
    </r>
  </si>
  <si>
    <t>Sheet "Line 21 (Stu Loan)", Line 12</t>
  </si>
  <si>
    <r>
      <t xml:space="preserve"> (see the instructions for line 20).  </t>
    </r>
    <r>
      <rPr>
        <b/>
        <sz val="10"/>
        <rFont val="Arial"/>
        <family val="2"/>
      </rPr>
      <t>Don't</t>
    </r>
  </si>
  <si>
    <r>
      <t>go to Form 6251, line 6</t>
    </r>
    <r>
      <rPr>
        <b/>
        <sz val="9"/>
        <rFont val="Arial"/>
        <family val="2"/>
      </rPr>
      <t xml:space="preserve"> .   .   .   .   .   .   .   .   .   .   .   .   .   .   .   .   .   .   .   .   .   .   .   .   .   .   .   .   .   .   .   .   .   .   .   .   .   .</t>
    </r>
  </si>
  <si>
    <t>Recapture of other credits. List type, form number, and amount:</t>
  </si>
  <si>
    <r>
      <t xml:space="preserve">here  </t>
    </r>
    <r>
      <rPr>
        <b/>
        <sz val="10"/>
        <rFont val="Arial"/>
        <family val="2"/>
      </rPr>
      <t>.   .   .   .</t>
    </r>
  </si>
  <si>
    <t xml:space="preserve">Enter the total pension or annuity payments from Form 1099-R, box 1. </t>
  </si>
  <si>
    <r>
      <t>'</t>
    </r>
    <r>
      <rPr>
        <b/>
        <sz val="9"/>
        <color rgb="FFFF0000"/>
        <rFont val="Arial"/>
        <family val="2"/>
      </rPr>
      <t xml:space="preserve">1099-R', line 5b. </t>
    </r>
    <r>
      <rPr>
        <sz val="9"/>
        <rFont val="Arial"/>
        <family val="2"/>
      </rPr>
      <t xml:space="preserve"> If your Form 1099-R shows a larger amount, use the amount on this line instead of the amount from</t>
    </r>
  </si>
  <si>
    <r>
      <t xml:space="preserve">taxable part to enter on line 5b.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</si>
  <si>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r>
      <t>Enter the</t>
    </r>
    <r>
      <rPr>
        <b/>
        <sz val="10"/>
        <rFont val="Arial"/>
        <family val="2"/>
      </rPr>
      <t xml:space="preserve"> smaller</t>
    </r>
    <r>
      <rPr>
        <sz val="10"/>
        <rFont val="Arial"/>
        <family val="2"/>
      </rPr>
      <t xml:space="preserve"> of line 2 or line 3.</t>
    </r>
  </si>
  <si>
    <t>If born after January 1,</t>
  </si>
  <si>
    <t>Enter the Medicaid waiver payment amounts excluded</t>
  </si>
  <si>
    <t>unless you choose to include these amounts in earned</t>
  </si>
  <si>
    <t>See the instructions for Schedule 1, line 8s.</t>
  </si>
  <si>
    <t>income, in which case enter -0-.</t>
  </si>
  <si>
    <t xml:space="preserve">from income on  Schedule 1 (Form 1040), line 8s, </t>
  </si>
  <si>
    <t>*If you have any Schedule K-1 amounts, complete the appropriate line(s) of Schedule SE, Part I.</t>
  </si>
  <si>
    <t>If line 4b is zero or less,   STOP  you can't take the credit.</t>
  </si>
  <si>
    <t>Enter “No” in the space to the left of Form 1040, line 27.</t>
  </si>
  <si>
    <t>have a valid SSN. Enter the credit here.</t>
  </si>
  <si>
    <t>status and the number of qualifying children you have who</t>
  </si>
  <si>
    <t>Add lines 8a through 8c</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</si>
  <si>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  </t>
    </r>
    <r>
      <rPr>
        <i/>
        <sz val="10"/>
        <rFont val="Arial"/>
        <family val="2"/>
      </rPr>
      <t>(See instructions for Schedule A, line 1.)</t>
    </r>
  </si>
  <si>
    <t>for Form 1040.)</t>
  </si>
  <si>
    <t xml:space="preserve">  .   .   .   .   .   .   .   .   .   .   .   .   .   .   .   .   .   .   .   .   .   .   .   .   .   .   .   .   .   .   .   .   .   .   .   .   .   .   .   .   .   . </t>
  </si>
  <si>
    <t>For purposes of these Exceptions, Roth IRA includes Roth SEP IRA and Roth SIMPLE IRAs.</t>
  </si>
  <si>
    <r>
      <t xml:space="preserve">unless </t>
    </r>
    <r>
      <rPr>
        <b/>
        <i/>
        <sz val="11"/>
        <color rgb="FF000000"/>
        <rFont val="Times New Roman"/>
        <family val="1"/>
      </rPr>
      <t>Exception 2</t>
    </r>
    <r>
      <rPr>
        <sz val="11"/>
        <color rgb="FF000000"/>
        <rFont val="Times New Roman"/>
        <family val="1"/>
      </rPr>
      <t xml:space="preserve"> applies to that part.</t>
    </r>
  </si>
  <si>
    <r>
      <t xml:space="preserve">unless </t>
    </r>
    <r>
      <rPr>
        <b/>
        <i/>
        <sz val="11"/>
        <color rgb="FF000000"/>
        <rFont val="Times New Roman"/>
        <family val="1"/>
      </rPr>
      <t>Exception 2</t>
    </r>
    <r>
      <rPr>
        <sz val="11"/>
        <color rgb="FF000000"/>
        <rFont val="Times New Roman"/>
        <family val="1"/>
      </rPr>
      <t xml:space="preserve"> applies to the part not rolled over.</t>
    </r>
  </si>
  <si>
    <t>Generally, your total QCDs for the year can't be more than $100,000. This includes any amount (up to $50,000) of a one-time QCD to a split-interest entity.</t>
  </si>
  <si>
    <t>If you file a joint return, the same rules apply to your spouse.</t>
  </si>
  <si>
    <r>
      <t xml:space="preserve">unless </t>
    </r>
    <r>
      <rPr>
        <b/>
        <i/>
        <sz val="11"/>
        <rFont val="Times New Roman"/>
        <family val="1"/>
      </rPr>
      <t>Exception 2</t>
    </r>
    <r>
      <rPr>
        <sz val="11"/>
        <rFont val="Times New Roman"/>
        <family val="1"/>
      </rPr>
      <t xml:space="preserve"> applies to that part.</t>
    </r>
  </si>
  <si>
    <t xml:space="preserve">CAUTION! </t>
  </si>
  <si>
    <r>
      <t xml:space="preserve">For example: “Line 4b – $1,000 Rollover and $500 HFD.” But you do not need to attach a statement if only </t>
    </r>
    <r>
      <rPr>
        <b/>
        <i/>
        <sz val="11"/>
        <rFont val="Times New Roman"/>
        <family val="1"/>
      </rPr>
      <t>Exception 2</t>
    </r>
    <r>
      <rPr>
        <sz val="11"/>
        <rFont val="Times New Roman"/>
        <family val="1"/>
      </rPr>
      <t xml:space="preserve"> and one other exception apply. </t>
    </r>
  </si>
  <si>
    <t xml:space="preserve"> If you don’t receive the minimum distribution amount, you may have to pay an additional tax on the amount that should have been distributed.</t>
  </si>
  <si>
    <t>For details, including how to figure the minimum required distribution, see Pub. 590-B.</t>
  </si>
  <si>
    <t>Amounts of more than $600 will NOT typically be reported on Schedule 1 (Form 1040), Line 8 a - z.</t>
  </si>
  <si>
    <t>Form 1099-MISC and Instructions may be downloaded from the IRS:"</t>
  </si>
  <si>
    <r>
      <t xml:space="preserve">Enter the amount of </t>
    </r>
    <r>
      <rPr>
        <b/>
        <i/>
        <sz val="10"/>
        <rFont val="Arial"/>
        <family val="2"/>
      </rPr>
      <t>Earned Income</t>
    </r>
    <r>
      <rPr>
        <sz val="10"/>
        <rFont val="Arial"/>
        <family val="2"/>
      </rPr>
      <t xml:space="preserve"> from Form 1040 or 1040-SR, line 1</t>
    </r>
  </si>
  <si>
    <t>Income from a job where your employer didn’t withhold tax (such as gig economy work)</t>
  </si>
  <si>
    <t>1c.</t>
  </si>
  <si>
    <t>1d.</t>
  </si>
  <si>
    <t>Benefits from a union strike</t>
  </si>
  <si>
    <t>Combine lines 1a, 1b, 1c, 1d, 2a, 2b, and 2e.</t>
  </si>
  <si>
    <t>Source: Form 1040, line 1i.</t>
  </si>
  <si>
    <t>Go to www.irs.gov/Form8949 for instructions and the latest information.</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</si>
  <si>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</si>
  <si>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Nondeductible Contributions to Traditional IRAs and Distributions From Traditional, Traditional SEP,</t>
  </si>
  <si>
    <t>and Traditional SIMPLE IRAs</t>
  </si>
  <si>
    <t>Do not</t>
  </si>
  <si>
    <t>include rollovers (other than repayments of qualified disaster distributions, if any,</t>
  </si>
  <si>
    <t>a one-time distribution to fund an HSA, conversions to a Roth, Roth SEP, or Roth</t>
  </si>
  <si>
    <t>SIMPLE IRA, certain returned contributions, or recharacterizations of traditional IRA</t>
  </si>
  <si>
    <t>Enter the net amount you converted from traditional, traditional SEP, and traditional SIMPLE</t>
  </si>
  <si>
    <t>Multiply line 7 by line 10. This is the nontaxable portion of your distributions that you</t>
  </si>
  <si>
    <t>did not convert to a Roth, Roth SEP, or Roth SIMPLE IRA</t>
  </si>
  <si>
    <t>or Roth SIMPLE IRAs</t>
  </si>
  <si>
    <t>Complete this part if you converted part or all of your traditional, traditional SEP, and traditional SIMPLE IRAs to a Roth,</t>
  </si>
  <si>
    <t>If you completed Part I, enter the amount from line 8. Otherwise, enter the net amount you converted from</t>
  </si>
  <si>
    <t>Distributions From Roth, Roth SEP, or Roth SIMPLE IRAs</t>
  </si>
  <si>
    <t>8915-F (see instructions)), qualified charitable distribution, one-time distribution to fund an HSA, recharacterization, or</t>
  </si>
  <si>
    <t>return of certain contributions (see instructions).</t>
  </si>
  <si>
    <t>including any qualified first-time homebuyer distributions, and any qualified disaster distributions from</t>
  </si>
  <si>
    <t xml:space="preserve">.   .   .   .   .   .   .   .   .   .   .   .   .   .   .   .   .   .   .   .   .   .   .   .   </t>
  </si>
  <si>
    <t>Enter your basis in Roth, Roth SEP, and Roth SIMPLE IRA contributions (see instructions).</t>
  </si>
  <si>
    <t>If line 21 is zero,</t>
  </si>
  <si>
    <t>stop here.</t>
  </si>
  <si>
    <t>Enter your basis in conversions from traditional, traditional SEP, and traditional SIMPLE IRAs and</t>
  </si>
  <si>
    <t>rollovers from qualified retirement plans to a Roth, Roth SEP, or Roth SIMPLE IRA. See instructions</t>
  </si>
  <si>
    <t>Rental real estate, royalties, partnerships, S corporations, trusts, trades or</t>
  </si>
  <si>
    <t>businesses, etc. (see instructions)</t>
  </si>
  <si>
    <t>Net gain or loss from disposition of property that is not subject to net</t>
  </si>
  <si>
    <t>investment income tax (see instructions)</t>
  </si>
  <si>
    <t>Adjustment from disposition of partnership interest or S corporation stock</t>
  </si>
  <si>
    <t>Deductions for distributions of net investment income and charitable</t>
  </si>
  <si>
    <t>deductions  (see instructions)</t>
  </si>
  <si>
    <r>
      <t>l</t>
    </r>
    <r>
      <rPr>
        <sz val="8"/>
        <rFont val="Arial"/>
        <family val="2"/>
      </rPr>
      <t xml:space="preserve"> </t>
    </r>
    <r>
      <rPr>
        <sz val="9"/>
        <rFont val="Arial"/>
        <family val="2"/>
      </rPr>
      <t xml:space="preserve"> Form 1040 or 1040-SR filers: Include this amount on</t>
    </r>
  </si>
  <si>
    <r>
      <t>l</t>
    </r>
    <r>
      <rPr>
        <sz val="8"/>
        <rFont val="Arial"/>
        <family val="2"/>
      </rPr>
      <t xml:space="preserve"> </t>
    </r>
    <r>
      <rPr>
        <sz val="9"/>
        <rFont val="Arial"/>
        <family val="2"/>
      </rPr>
      <t xml:space="preserve"> Form 1040-NR filers: Include this amount on the line of your</t>
    </r>
  </si>
  <si>
    <t>U.S. residency statement corresponding to Schedule 2 (Form</t>
  </si>
  <si>
    <t>1040), line 12, and see the Instructions for Form 1040-NR</t>
  </si>
  <si>
    <t>for the amount to report on your tax return.</t>
  </si>
  <si>
    <r>
      <t>l</t>
    </r>
    <r>
      <rPr>
        <sz val="8"/>
        <rFont val="Arial"/>
        <family val="2"/>
      </rPr>
      <t xml:space="preserve"> </t>
    </r>
    <r>
      <rPr>
        <sz val="9"/>
        <rFont val="Arial"/>
        <family val="2"/>
      </rPr>
      <t xml:space="preserve"> Form 1041 filers: Include this amount on Form 1041,</t>
    </r>
  </si>
  <si>
    <t>Schedule G, line 5, and see the instructions there.</t>
  </si>
  <si>
    <r>
      <t>l</t>
    </r>
    <r>
      <rPr>
        <sz val="8"/>
        <rFont val="Arial"/>
        <family val="2"/>
      </rPr>
      <t xml:space="preserve"> </t>
    </r>
    <r>
      <rPr>
        <sz val="9"/>
        <rFont val="Arial"/>
        <family val="2"/>
      </rPr>
      <t xml:space="preserve"> Form 1041-QFT filers: Include this amount on</t>
    </r>
  </si>
  <si>
    <t>on Form 1041-QFT, line 15, and see the instructions there.</t>
  </si>
  <si>
    <t>NOTE: This line is used only if you itemized you deductions on Schedule A (Form 1040).</t>
  </si>
  <si>
    <t>Line 21—Net Investment Income Tax for</t>
  </si>
  <si>
    <t>Estates and Trusts</t>
  </si>
  <si>
    <t>Line 17—Net Investment Income Tax for</t>
  </si>
  <si>
    <t>Individuals</t>
  </si>
  <si>
    <t>Schedule 2 (Form 1040), line 12, and see the instructions</t>
  </si>
  <si>
    <t>there.</t>
  </si>
  <si>
    <r>
      <t>Taxable income before qualified business income deduction (see instructions)</t>
    </r>
    <r>
      <rPr>
        <sz val="10"/>
        <rFont val="Arial"/>
        <family val="2"/>
      </rPr>
      <t xml:space="preserve">  </t>
    </r>
    <r>
      <rPr>
        <b/>
        <sz val="10"/>
        <rFont val="Arial"/>
        <family val="2"/>
      </rPr>
      <t>.</t>
    </r>
  </si>
  <si>
    <t>Enter your net capital gain, if any, increased by any qualified dividends</t>
  </si>
  <si>
    <t>(Rev. November 2022)</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</si>
  <si>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</si>
  <si>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</si>
  <si>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</si>
  <si>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</si>
  <si>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t>Check the box that describes the type of property donated:</t>
  </si>
  <si>
    <t xml:space="preserve"> Art* (contribution of $20,000 or more)</t>
  </si>
  <si>
    <t>Clothing and household items</t>
  </si>
  <si>
    <t xml:space="preserve"> Collectibles**</t>
  </si>
  <si>
    <t>*Art includes paintings, sculptures, watercolors, prints, drawings, ceramics, antiques, decorative arts, textiles, carpets, silver, rare manuscripts,</t>
  </si>
  <si>
    <t>historical memorabilia, and other similar objects.</t>
  </si>
  <si>
    <t>**Collectibles include coins, stamps, books, gems, jewelry, sports memorabilia, dolls, etc., but not art as defined above.</t>
  </si>
  <si>
    <r>
      <rPr>
        <b/>
        <sz val="11"/>
        <rFont val="Arial"/>
        <family val="2"/>
      </rPr>
      <t xml:space="preserve">Note. </t>
    </r>
    <r>
      <rPr>
        <sz val="11"/>
        <rFont val="Arial"/>
        <family val="2"/>
      </rPr>
      <t xml:space="preserve"> In certain cases, you must attach a qualified appraisal of the property.  See instructions.</t>
    </r>
  </si>
  <si>
    <t>(Rev. 11-2022)</t>
  </si>
  <si>
    <t>Form 8283 (Rev. 12-2021)</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</si>
  <si>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</si>
  <si>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t>Furthermore, this organization affirms that in the event it sells, exchanges, or otherwise disposes of the property described in Section B, Part I</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</si>
  <si>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</si>
  <si>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donor a copy of that form. This acknowledgment does not represent agreement with the claimed fair market value.</t>
  </si>
  <si>
    <r>
      <t xml:space="preserve">Go to </t>
    </r>
    <r>
      <rPr>
        <b/>
        <i/>
        <sz val="8"/>
        <rFont val="Arial"/>
        <family val="2"/>
      </rPr>
      <t>www.irs.gov/Form2210</t>
    </r>
    <r>
      <rPr>
        <b/>
        <sz val="8"/>
        <rFont val="Arial"/>
        <family val="2"/>
      </rPr>
      <t xml:space="preserve"> for instructions and the latest information.</t>
    </r>
  </si>
  <si>
    <r>
      <rPr>
        <b/>
        <sz val="12"/>
        <rFont val="Arial"/>
        <family val="2"/>
      </rPr>
      <t>NOTE:</t>
    </r>
    <r>
      <rPr>
        <sz val="10"/>
        <rFont val="Arial"/>
        <family val="2"/>
      </rPr>
      <t xml:space="preserve">
In each quarter, this spreadsheet uses the latest
date on which the underpayment was paid to determine the penalty.
If multiple payments were made in that quarter, a slightly higher penalty would be calculated.</t>
    </r>
  </si>
  <si>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</si>
  <si>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and
Line 17z.</t>
  </si>
  <si>
    <t xml:space="preserve">Qualified sick and family leave credits from Schedule(s) H </t>
  </si>
  <si>
    <t>(Schedule 3 (Form 1040), line 13z).</t>
  </si>
  <si>
    <t>Credit determined under section 1341(a)(5)(B). To figure the</t>
  </si>
  <si>
    <r>
      <t xml:space="preserve">amount of the section 1341 credit, see </t>
    </r>
    <r>
      <rPr>
        <i/>
        <sz val="10"/>
        <rFont val="Arial"/>
        <family val="2"/>
      </rPr>
      <t>Repayments</t>
    </r>
    <r>
      <rPr>
        <sz val="10"/>
        <rFont val="Arial"/>
        <family val="2"/>
      </rPr>
      <t xml:space="preserve"> in Pub. 525.</t>
    </r>
  </si>
  <si>
    <t>(2) Subtract refundable credits listed below.</t>
  </si>
  <si>
    <t>Subtract the total of the following refundable credits, if any, that you</t>
  </si>
  <si>
    <t>Premium tax Credit (Form 8962)</t>
  </si>
  <si>
    <t>Recovery rebate credit</t>
  </si>
  <si>
    <t>Credit for federal Tax paid on fuels</t>
  </si>
  <si>
    <t>Qualified sick and family leave credits from Schedule(s) H</t>
  </si>
  <si>
    <t>(Schedule 3 (Form 1040), lines 13b and 13h).</t>
  </si>
  <si>
    <t>Health coverage tax credit</t>
  </si>
  <si>
    <t>Form 1041, line 27.</t>
  </si>
  <si>
    <t>Don't file Form 2210 unless you checked a box in Part II.</t>
  </si>
  <si>
    <t>Form 2210, Underpayment of Estimated Tax by Individuals, Estates, and Trusts</t>
  </si>
  <si>
    <t xml:space="preserve">Initial Publication for 2023 Federal Income Tax Spreadsheet </t>
  </si>
  <si>
    <t>Draft / Final</t>
  </si>
  <si>
    <t>Date of Single Payment</t>
  </si>
  <si>
    <t>Number to lookup in 'TOTAL' column.</t>
  </si>
  <si>
    <t>Row number where U.P. was met.</t>
  </si>
  <si>
    <t>Lesser of 'Line a' or amount paid.</t>
  </si>
  <si>
    <t>1.a</t>
  </si>
  <si>
    <t>Taxes Withheld</t>
  </si>
  <si>
    <t>Significant changes to correct penalty calculation for Form 2210, Underpayment of Estimated Tax by Individuals, Estates, and Trusts.</t>
  </si>
  <si>
    <t xml:space="preserve">  .   .   .   .   .   .   . </t>
  </si>
  <si>
    <t>Lines 4b &amp; 5b Notes</t>
  </si>
  <si>
    <t>Minor adjustment to align check boxes on 2nd Schedule C (Rows 119 through 123). Thank you, Tim H.</t>
  </si>
  <si>
    <t>Improved overrides related to the notes on dotted lines next to line 4b and 5b. Thank you, Burt J.</t>
  </si>
  <si>
    <t>Replace calculations with numbers pasted from official IRS EIC Table. Thank you, David H.</t>
  </si>
  <si>
    <t xml:space="preserve">Corrected calculation for line 6 to bring in Form 1040, line 25d, and Sch. 3, line 11. Previously, if was bringing in Form 1040, line 33. Thank you, Colter H. </t>
  </si>
  <si>
    <t>Net Qualified Disaster Loss</t>
  </si>
  <si>
    <t>Line 16 (+ or - )</t>
  </si>
  <si>
    <t>Line 17 (+ or - )</t>
  </si>
  <si>
    <t>Improved how lines 16 and 17 are handled when a Net Qualified Disaster Loss is reported in cell Q57. Thank you, Greg.</t>
  </si>
  <si>
    <t>Improved functionality of the override related to line 1. Thank you, C Wyatt.</t>
  </si>
  <si>
    <t>Estimated</t>
  </si>
  <si>
    <t>Hide details.</t>
  </si>
  <si>
    <t>Corrected calculation for line 11 to correctly reflect the taxes withheld and the estimated taxes paid in each quarter.  Thank you, Jessica M.</t>
  </si>
  <si>
    <t>Corrected calculation of line 9 in the 2nd Sch. SE form. Thank you, Michael B. and William W.</t>
  </si>
  <si>
    <t>Corrected the printing properties on all four sheets (i.e. 8949A, 8949B, 8949C, 8949D)</t>
  </si>
  <si>
    <t>Likewise, to remove social security numbers from all forms and worksheets, place an "X" in Cell AL3</t>
  </si>
  <si>
    <t>on the '1040' sheet.</t>
  </si>
  <si>
    <t xml:space="preserve">Enter your birthdate and, if filing Married - Filing Jointly, enter your spouse's birthdate to the right of </t>
  </si>
  <si>
    <t>the Form 1040.</t>
  </si>
  <si>
    <t>NOTES for LibreOffice Users:</t>
  </si>
  <si>
    <t>Corrected line 1a. It was bringing in the amount from Form 2441, line 26. Form 1040, line 1e, also includes that amount. Thank you, Hien P!</t>
  </si>
  <si>
    <t>Corrected calculation for line 2g. Thank you Bruce D.</t>
  </si>
  <si>
    <t xml:space="preserve">On line 6, fixed the way the override cell works. Thank you John G. and Kevin S. </t>
  </si>
  <si>
    <t>1099-INT, 1099-DIV, Sch. B</t>
  </si>
  <si>
    <t>Changed rounding so tha rounding of amounts to the nearest dollar does not occur until Schedule B. I've be around and around on this issue. This might not be the way TurboTax, etc. does it, but it is consistent with IRS rules. Thanks for the suggestion, Peter K.</t>
  </si>
  <si>
    <t>Corrected logic assicated with completing Part II-A and Part II-B. Also, corrected the calculation associated with line 27. Thank you, Lyric N.</t>
  </si>
  <si>
    <r>
      <rPr>
        <b/>
        <sz val="10"/>
        <rFont val="Arial"/>
        <family val="2"/>
      </rPr>
      <t>No.</t>
    </r>
    <r>
      <rPr>
        <sz val="10"/>
        <rFont val="Arial"/>
        <family val="2"/>
      </rPr>
      <t xml:space="preserve">  Go to Step 2. [Default]</t>
    </r>
  </si>
  <si>
    <t xml:space="preserve"> If you checked the HOH or QSS box, enter child’s name if the qualifying </t>
  </si>
  <si>
    <t>Unprotected "Hide emphasis" and "Override CAUTION" cells that appear when the first bulleted caution is emphasized. Also, corrected logic for emphasis to only appear if AGI is less than the required threshhold. Thank You, C. L.</t>
  </si>
  <si>
    <t>Corrected calculation for line 11 of the "Worksheet for Line 18 (Worldwide Qualified Dividends and Capital Gains)" for the 2nd and 3rd copies of the Foreign Tax Credit form. Thank you, John M.</t>
  </si>
  <si>
    <t>Add  the  amounts  in  column (d)  of line 2.</t>
  </si>
  <si>
    <t>(Taxable Inc.)</t>
  </si>
  <si>
    <t>Line 15 &lt;=0 AND No QDs</t>
  </si>
  <si>
    <t>Line 16 &lt;=0 AND No QDs</t>
  </si>
  <si>
    <t>Sch D Line 18 &gt; 0  OR  Sch D Line 19 &gt; 0</t>
  </si>
  <si>
    <t>Sch D Line 15 &gt; 0 AND Sch D Line 16 &gt; 0</t>
  </si>
  <si>
    <t>Form 4952</t>
  </si>
  <si>
    <t>Line 4g &gt;0</t>
  </si>
  <si>
    <t>=&gt;</t>
  </si>
  <si>
    <r>
      <t xml:space="preserve">Don't use the QDCG TW </t>
    </r>
    <r>
      <rPr>
        <b/>
        <u/>
        <sz val="10"/>
        <rFont val="Arial"/>
        <family val="2"/>
      </rPr>
      <t>or</t>
    </r>
    <r>
      <rPr>
        <sz val="10"/>
        <rFont val="Arial"/>
        <family val="2"/>
      </rPr>
      <t xml:space="preserve"> the Sch D TW.</t>
    </r>
  </si>
  <si>
    <t>Form 4952, line 4g includes an amount</t>
  </si>
  <si>
    <r>
      <t xml:space="preserve">if you file Form 4952, </t>
    </r>
    <r>
      <rPr>
        <b/>
        <u/>
        <sz val="9"/>
        <rFont val="Arial"/>
        <family val="2"/>
      </rPr>
      <t>Investment Interest Expense Deduction</t>
    </r>
    <r>
      <rPr>
        <b/>
        <sz val="9"/>
        <rFont val="Arial"/>
        <family val="2"/>
      </rPr>
      <t>, and you have an amount on line 4g, even if you don’t need to file Schedule D. (See Cell P63)</t>
    </r>
  </si>
  <si>
    <t xml:space="preserve"> (See Cell P63.) (used to figure investment interest expense deduction)</t>
  </si>
  <si>
    <r>
      <rPr>
        <b/>
        <sz val="10"/>
        <rFont val="Arial"/>
        <family val="2"/>
      </rPr>
      <t>SchD TW Used</t>
    </r>
    <r>
      <rPr>
        <sz val="10"/>
        <rFont val="Arial"/>
        <family val="2"/>
      </rPr>
      <t xml:space="preserve"> = Override  OR  [Cell W59 AND NOT Exception (Cell W65)]</t>
    </r>
  </si>
  <si>
    <t>OR( AND (Lines 18 or 19 &gt; 0, Lines 15 and 16 &gt; 0), Form 4952, line 4g includes an amount)</t>
  </si>
  <si>
    <t>Exception: Don't use the QDCG TW OR the Sch D TW</t>
  </si>
  <si>
    <r>
      <t xml:space="preserve">Use the </t>
    </r>
    <r>
      <rPr>
        <b/>
        <sz val="10"/>
        <rFont val="Arial"/>
        <family val="2"/>
      </rPr>
      <t>Schedule D Tax Worksheet</t>
    </r>
    <r>
      <rPr>
        <sz val="10"/>
        <rFont val="Arial"/>
        <family val="2"/>
      </rPr>
      <t xml:space="preserve"> in the Instructions for Schedule D to figure the amount to enter on 
Form 1040 or 1040-SR, line 16, if:</t>
    </r>
  </si>
  <si>
    <t>Line 15 &gt; 0</t>
  </si>
  <si>
    <t>Line 16 &gt; 0</t>
  </si>
  <si>
    <t>Sch D WS</t>
  </si>
  <si>
    <t>Reworked logic relative to when the Schedule D WS is to be completed.  Thank you, Marcel M.</t>
  </si>
  <si>
    <t>Reworked logic relative to when the QDCG Tax Worksheet is to be completed.  Thank you, Marcel M.</t>
  </si>
  <si>
    <r>
      <rPr>
        <sz val="10"/>
        <rFont val="Marlett"/>
        <charset val="2"/>
      </rPr>
      <t>h</t>
    </r>
    <r>
      <rPr>
        <sz val="10"/>
        <rFont val="Arial"/>
        <family val="2"/>
      </rPr>
      <t xml:space="preserve">  you have to file Form 4952 and you have an amount on line 4g, even if you don't need to file Schedule D.</t>
    </r>
  </si>
  <si>
    <r>
      <rPr>
        <sz val="10"/>
        <rFont val="Marlett"/>
        <charset val="2"/>
      </rPr>
      <t>h</t>
    </r>
    <r>
      <rPr>
        <sz val="10"/>
        <rFont val="Arial"/>
        <family val="2"/>
      </rPr>
      <t xml:space="preserve">  Schedule D lines 15 and 16 are more than zero </t>
    </r>
    <r>
      <rPr>
        <u/>
        <sz val="10"/>
        <rFont val="Arial"/>
        <family val="2"/>
      </rPr>
      <t>and</t>
    </r>
    <r>
      <rPr>
        <sz val="10"/>
        <rFont val="Arial"/>
        <family val="2"/>
      </rPr>
      <t xml:space="preserve"> Schedule D, line 18 or 19, is more than zero, OR</t>
    </r>
  </si>
  <si>
    <t>If you claimed the foreign earned income exclusion, housing exclusion, or housing deduction on Form 2555, 
you must figure your tax using the Foreign Earned Income Tax Worksheet.</t>
  </si>
  <si>
    <t>FEI_HousingExclusion</t>
  </si>
  <si>
    <t>FEI_HousingDeduction</t>
  </si>
  <si>
    <t>ForeignIncExclusionTotal</t>
  </si>
  <si>
    <t>FEI_Tax_WS_Required</t>
  </si>
  <si>
    <r>
      <t xml:space="preserve">If you are filing Form 2555 or 2555-EZ, you must use the </t>
    </r>
    <r>
      <rPr>
        <b/>
        <sz val="10"/>
        <rFont val="Arial"/>
        <family val="2"/>
      </rPr>
      <t>Foreign Earned Income Tax Worksheet</t>
    </r>
    <r>
      <rPr>
        <sz val="10"/>
        <rFont val="Arial"/>
        <family val="2"/>
      </rPr>
      <t xml:space="preserve"> (below) instead.</t>
    </r>
  </si>
  <si>
    <t>Improved logic relative to use of QDCG Tax Worksheet, Foreign Earned Income Tax Worksheet, and Schedule D Tax Worksheet.</t>
  </si>
  <si>
    <t>Corrected inputs to line 4a to include Schedule 1, line 3, in addition to Schedule 1, line 5. Thank you, Andrew C!</t>
  </si>
  <si>
    <t xml:space="preserve">All the income and any foreign taxes paid on it were reported to you on a qualified payee statement. </t>
  </si>
  <si>
    <t>Foreign taxes were paid on foreign “passive category income” (Box 'c') (which includes most interest and dividends).</t>
  </si>
  <si>
    <t>Improved aids to assit in completing necessary parts of this form.</t>
  </si>
  <si>
    <t>Removed test data from lines 1 and 2 of the first form. Removed test data from lines 19 and 20 of the second form. Thank you, Jack, for taking the time to bring this to my attention.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</si>
</sst>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00_);\(0.000\)"/>
    <numFmt numFmtId="196" formatCode="0.00000_);\(0.00000\)"/>
    <numFmt numFmtId="197" formatCode="00000"/>
    <numFmt numFmtId="198" formatCode="mmm\-yyyy"/>
    <numFmt numFmtId="199" formatCode="0.00_);\(0.00\)"/>
    <numFmt numFmtId="200" formatCode="0.0_);\(0.0\)"/>
    <numFmt numFmtId="201" formatCode=".00"/>
    <numFmt numFmtId="202" formatCode="&quot;$&quot;0"/>
    <numFmt numFmtId="203" formatCode="0.000%"/>
    <numFmt numFmtId="204" formatCode="mmm\.\ d\,\ yyyy"/>
    <numFmt numFmtId="205" formatCode="mm/dd/yy;@"/>
  </numFmts>
  <fonts count="329">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sz val="8"/>
      <name val="Arial"/>
      <family val="2"/>
    </font>
    <font>
      <b/>
      <sz val="12"/>
      <name val="Arial"/>
      <family val="2"/>
    </font>
    <font>
      <b/>
      <sz val="8"/>
      <name val="Arial"/>
      <family val="2"/>
    </font>
    <font>
      <sz val="8"/>
      <name val="Arial"/>
      <family val="2"/>
    </font>
    <font>
      <sz val="12"/>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sz val="8"/>
      <color indexed="9"/>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10"/>
      <name val="Marlett"/>
      <charset val="2"/>
    </font>
    <font>
      <b/>
      <sz val="18"/>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b/>
      <sz val="10"/>
      <color indexed="9"/>
      <name val="Marlett"/>
      <charset val="2"/>
    </font>
    <font>
      <sz val="10"/>
      <color indexed="17"/>
      <name val="Arial"/>
      <family val="2"/>
    </font>
    <font>
      <sz val="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2"/>
      <name val="Calibri"/>
      <family val="2"/>
    </font>
    <font>
      <sz val="10"/>
      <color indexed="9"/>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sz val="7"/>
      <color theme="0"/>
      <name val="Arial"/>
      <family val="2"/>
    </font>
    <font>
      <b/>
      <u/>
      <sz val="11"/>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b/>
      <sz val="14"/>
      <name val="Arial Narrow"/>
      <family val="2"/>
    </font>
    <font>
      <sz val="11"/>
      <name val="Microsoft YaHei Light"/>
      <family val="2"/>
    </font>
    <font>
      <sz val="12"/>
      <name val="Microsoft YaHei UI Light"/>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
      <sz val="11"/>
      <color rgb="FFC00000"/>
      <name val="Cambria"/>
      <family val="1"/>
    </font>
    <font>
      <b/>
      <u/>
      <sz val="9"/>
      <name val="Arial"/>
      <family val="2"/>
    </font>
    <font>
      <sz val="12"/>
      <name val="Wingdings"/>
      <charset val="2"/>
    </font>
    <font>
      <sz val="9"/>
      <color theme="0" tint="-0.14999847407452621"/>
      <name val="Arial"/>
      <family val="2"/>
    </font>
    <font>
      <b/>
      <sz val="9"/>
      <color theme="0" tint="-0.14999847407452621"/>
      <name val="Arial"/>
      <family val="2"/>
    </font>
    <font>
      <b/>
      <sz val="12"/>
      <name val="Courier New"/>
      <family val="3"/>
    </font>
    <font>
      <sz val="8.5"/>
      <color rgb="FFC00000"/>
      <name val="Arial"/>
      <family val="2"/>
    </font>
    <font>
      <b/>
      <sz val="14"/>
      <color rgb="FFC00000"/>
      <name val="Arial"/>
      <family val="2"/>
    </font>
    <font>
      <b/>
      <sz val="16"/>
      <color rgb="FFC00000"/>
      <name val="Arial"/>
      <family val="2"/>
    </font>
    <font>
      <b/>
      <u/>
      <sz val="14"/>
      <name val="Arial"/>
      <family val="2"/>
    </font>
    <font>
      <b/>
      <sz val="16"/>
      <color rgb="FF000000"/>
      <name val="Times New Roman"/>
      <family val="1"/>
    </font>
    <font>
      <sz val="18"/>
      <color theme="4" tint="-0.249977111117893"/>
      <name val="Times New Roman"/>
      <family val="1"/>
    </font>
    <font>
      <b/>
      <sz val="12"/>
      <color rgb="FFC00000"/>
      <name val="Times New Roman"/>
      <family val="1"/>
    </font>
    <font>
      <b/>
      <sz val="12"/>
      <color rgb="FF000000"/>
      <name val="Times New Roman"/>
      <family val="1"/>
    </font>
    <font>
      <sz val="11"/>
      <color rgb="FF000000"/>
      <name val="Times New Roman"/>
      <family val="1"/>
    </font>
    <font>
      <sz val="12"/>
      <color rgb="FFC00000"/>
      <name val="Arial"/>
      <family val="2"/>
    </font>
    <font>
      <b/>
      <sz val="16"/>
      <color rgb="FF008000"/>
      <name val="Times New Roman"/>
      <family val="1"/>
    </font>
    <font>
      <b/>
      <u/>
      <sz val="12"/>
      <color rgb="FF000000"/>
      <name val="Times New Roman"/>
      <family val="1"/>
    </font>
    <font>
      <sz val="11"/>
      <color rgb="FF000000"/>
      <name val="Symbol"/>
      <family val="1"/>
      <charset val="2"/>
    </font>
    <font>
      <b/>
      <sz val="11"/>
      <name val="Times New Roman"/>
      <family val="1"/>
    </font>
    <font>
      <i/>
      <sz val="11"/>
      <name val="Times New Roman"/>
      <family val="1"/>
    </font>
    <font>
      <b/>
      <sz val="10"/>
      <color theme="0"/>
      <name val="Cambria"/>
      <family val="1"/>
    </font>
    <font>
      <sz val="10"/>
      <color rgb="FF008000"/>
      <name val="Courier New"/>
      <family val="3"/>
    </font>
    <font>
      <b/>
      <sz val="10"/>
      <color rgb="FF008000"/>
      <name val="Courier New"/>
      <family val="3"/>
    </font>
    <font>
      <sz val="9.5"/>
      <color rgb="FF221E1F"/>
      <name val="Arial"/>
      <family val="2"/>
    </font>
    <font>
      <sz val="10"/>
      <color rgb="FF221E1F"/>
      <name val="Arial"/>
      <family val="2"/>
    </font>
    <font>
      <sz val="10"/>
      <color rgb="FF000000"/>
      <name val="HelveticaWorld-Regular"/>
    </font>
    <font>
      <b/>
      <sz val="12"/>
      <color rgb="FF000000"/>
      <name val="HelveticaWorld-Regular"/>
    </font>
    <font>
      <sz val="11"/>
      <color rgb="FF000000"/>
      <name val="HelveticaWorld-Regular"/>
    </font>
    <font>
      <sz val="11"/>
      <color rgb="FF221E1F"/>
      <name val="Arial"/>
      <family val="2"/>
    </font>
    <font>
      <sz val="7"/>
      <color rgb="FFC00000"/>
      <name val="Arial"/>
      <family val="2"/>
    </font>
    <font>
      <b/>
      <sz val="8"/>
      <color rgb="FF0070C0"/>
      <name val="Arial"/>
      <family val="2"/>
    </font>
    <font>
      <sz val="11"/>
      <name val="Symbol"/>
      <family val="1"/>
      <charset val="2"/>
    </font>
    <font>
      <sz val="10"/>
      <color theme="4" tint="-0.249977111117893"/>
      <name val="Arial"/>
      <family val="2"/>
    </font>
    <font>
      <b/>
      <sz val="14"/>
      <color rgb="FF0070C0"/>
      <name val="Arial"/>
      <family val="2"/>
    </font>
    <font>
      <sz val="8"/>
      <color rgb="FF0070C0"/>
      <name val="Arial"/>
      <family val="2"/>
    </font>
    <font>
      <b/>
      <sz val="10"/>
      <color rgb="FF0070C0"/>
      <name val="Arial"/>
      <family val="2"/>
    </font>
    <font>
      <sz val="20"/>
      <name val="Arial"/>
      <family val="2"/>
    </font>
    <font>
      <b/>
      <i/>
      <sz val="11"/>
      <color rgb="FF000000"/>
      <name val="Times New Roman"/>
      <family val="1"/>
    </font>
    <font>
      <b/>
      <i/>
      <sz val="11"/>
      <name val="Times New Roman"/>
      <family val="1"/>
    </font>
    <font>
      <b/>
      <sz val="12"/>
      <name val="Times New Roman"/>
      <family val="1"/>
    </font>
    <font>
      <sz val="9"/>
      <color theme="0" tint="-0.24994659260841701"/>
      <name val="Arial"/>
      <family val="2"/>
    </font>
    <font>
      <sz val="9"/>
      <color theme="0" tint="-0.249977111117893"/>
      <name val="Arial"/>
      <family val="2"/>
    </font>
    <font>
      <b/>
      <u/>
      <sz val="10"/>
      <color rgb="FFC00000"/>
      <name val="Arial"/>
      <family val="2"/>
    </font>
    <font>
      <sz val="11"/>
      <color rgb="FFFF0000"/>
      <name val="Arial"/>
      <family val="2"/>
    </font>
    <font>
      <sz val="10"/>
      <name val="Arial"/>
      <family val="2"/>
      <charset val="2"/>
    </font>
    <font>
      <sz val="10"/>
      <color rgb="FFC00000"/>
      <name val="Cambria"/>
      <family val="1"/>
    </font>
  </fonts>
  <fills count="45">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
      <patternFill patternType="solid">
        <fgColor theme="4" tint="0.79998168889431442"/>
        <bgColor auto="1"/>
      </patternFill>
    </fill>
    <fill>
      <patternFill patternType="solid">
        <fgColor theme="0"/>
        <bgColor theme="0"/>
      </patternFill>
    </fill>
    <fill>
      <patternFill patternType="solid">
        <fgColor theme="0" tint="-0.24994659260841701"/>
        <bgColor auto="1"/>
      </patternFill>
    </fill>
    <fill>
      <patternFill patternType="solid">
        <fgColor indexed="9"/>
        <bgColor theme="0"/>
      </patternFill>
    </fill>
  </fills>
  <borders count="228">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right style="thick">
        <color indexed="64"/>
      </right>
      <top style="thin">
        <color indexed="64"/>
      </top>
      <bottom/>
      <diagonal/>
    </border>
    <border>
      <left style="thick">
        <color indexed="64"/>
      </left>
      <right/>
      <top style="thin">
        <color indexed="64"/>
      </top>
      <bottom/>
      <diagonal/>
    </border>
    <border>
      <left style="hair">
        <color indexed="64"/>
      </left>
      <right style="hair">
        <color indexed="64"/>
      </right>
      <top style="dashed">
        <color indexed="64"/>
      </top>
      <bottom style="dashed">
        <color indexed="64"/>
      </bottom>
      <diagonal/>
    </border>
    <border>
      <left/>
      <right style="hair">
        <color indexed="64"/>
      </right>
      <top style="hair">
        <color indexed="64"/>
      </top>
      <bottom/>
      <diagonal/>
    </border>
    <border>
      <left style="hair">
        <color indexed="64"/>
      </left>
      <right style="thin">
        <color indexed="64"/>
      </right>
      <top style="dashed">
        <color indexed="64"/>
      </top>
      <bottom style="thin">
        <color indexed="64"/>
      </bottom>
      <diagonal/>
    </border>
    <border>
      <left/>
      <right/>
      <top/>
      <bottom style="dotted">
        <color indexed="64"/>
      </bottom>
      <diagonal/>
    </border>
  </borders>
  <cellStyleXfs count="11">
    <xf numFmtId="0" fontId="0" fillId="0" borderId="0"/>
    <xf numFmtId="44" fontId="5" fillId="0" borderId="0" applyFont="0" applyFill="0" applyBorder="0" applyAlignment="0" applyProtection="0"/>
    <xf numFmtId="0" fontId="66" fillId="0" borderId="0" applyNumberFormat="0" applyFill="0" applyBorder="0" applyAlignment="0" applyProtection="0">
      <alignment vertical="top"/>
      <protection locked="0"/>
    </xf>
    <xf numFmtId="0" fontId="105" fillId="0" borderId="0" applyNumberFormat="0" applyFill="0" applyBorder="0" applyAlignment="0" applyProtection="0">
      <alignment vertical="top"/>
      <protection locked="0"/>
    </xf>
    <xf numFmtId="0" fontId="5" fillId="0" borderId="0"/>
    <xf numFmtId="0" fontId="143" fillId="0" borderId="0" applyNumberFormat="0" applyFill="0" applyBorder="0" applyAlignment="0" applyProtection="0">
      <alignment vertical="top"/>
      <protection locked="0"/>
    </xf>
    <xf numFmtId="0" fontId="248" fillId="38" borderId="210" applyNumberFormat="0" applyAlignment="0" applyProtection="0"/>
    <xf numFmtId="0" fontId="2" fillId="0" borderId="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1" fillId="0" borderId="0"/>
  </cellStyleXfs>
  <cellXfs count="10424">
    <xf numFmtId="0" fontId="0" fillId="0" borderId="0" xfId="0"/>
    <xf numFmtId="0" fontId="3" fillId="0" borderId="0" xfId="0" applyFont="1"/>
    <xf numFmtId="4" fontId="7" fillId="0" borderId="0" xfId="0" applyNumberFormat="1" applyFont="1"/>
    <xf numFmtId="0" fontId="9" fillId="0" borderId="0" xfId="0" applyFont="1"/>
    <xf numFmtId="4" fontId="0" fillId="0" borderId="0" xfId="0" applyNumberFormat="1"/>
    <xf numFmtId="0" fontId="21" fillId="0" borderId="0" xfId="0" applyFont="1"/>
    <xf numFmtId="4" fontId="21"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1"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9"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9" fillId="2" borderId="5" xfId="0" applyFont="1" applyFill="1" applyBorder="1" applyProtection="1">
      <protection hidden="1"/>
    </xf>
    <xf numFmtId="0" fontId="9" fillId="2" borderId="4" xfId="0" applyFont="1" applyFill="1" applyBorder="1" applyAlignment="1" applyProtection="1">
      <alignment horizontal="right"/>
      <protection hidden="1"/>
    </xf>
    <xf numFmtId="0" fontId="9" fillId="2" borderId="4" xfId="0" applyFont="1" applyFill="1" applyBorder="1" applyProtection="1">
      <protection hidden="1"/>
    </xf>
    <xf numFmtId="0" fontId="9" fillId="2" borderId="0" xfId="0" applyFont="1" applyFill="1" applyProtection="1">
      <protection hidden="1"/>
    </xf>
    <xf numFmtId="0" fontId="0" fillId="2" borderId="7" xfId="0" applyFill="1" applyBorder="1" applyProtection="1">
      <protection hidden="1"/>
    </xf>
    <xf numFmtId="0" fontId="9" fillId="2" borderId="1" xfId="0" applyFont="1" applyFill="1" applyBorder="1" applyProtection="1">
      <protection hidden="1"/>
    </xf>
    <xf numFmtId="0" fontId="9" fillId="2" borderId="0" xfId="0" applyFont="1" applyFill="1" applyAlignment="1" applyProtection="1">
      <alignment horizontal="left"/>
      <protection hidden="1"/>
    </xf>
    <xf numFmtId="0" fontId="9" fillId="2" borderId="3" xfId="0" applyFont="1" applyFill="1" applyBorder="1" applyProtection="1">
      <protection hidden="1"/>
    </xf>
    <xf numFmtId="0" fontId="0" fillId="2" borderId="4" xfId="0" applyFill="1" applyBorder="1" applyProtection="1">
      <protection hidden="1"/>
    </xf>
    <xf numFmtId="0" fontId="9" fillId="2" borderId="8" xfId="0" applyFont="1" applyFill="1" applyBorder="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9" xfId="0" applyFill="1" applyBorder="1" applyProtection="1">
      <protection hidden="1"/>
    </xf>
    <xf numFmtId="0" fontId="7" fillId="2" borderId="4" xfId="0" applyFont="1" applyFill="1" applyBorder="1" applyProtection="1">
      <protection hidden="1"/>
    </xf>
    <xf numFmtId="0" fontId="0" fillId="2" borderId="11" xfId="0" applyFill="1" applyBorder="1" applyProtection="1">
      <protection hidden="1"/>
    </xf>
    <xf numFmtId="0" fontId="9" fillId="5" borderId="0" xfId="0" applyFont="1" applyFill="1" applyProtection="1">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1" fillId="2" borderId="0" xfId="0" applyFont="1" applyFill="1" applyAlignment="1" applyProtection="1">
      <alignment horizontal="right"/>
      <protection hidden="1"/>
    </xf>
    <xf numFmtId="0" fontId="0" fillId="2" borderId="14" xfId="0" applyFill="1" applyBorder="1" applyProtection="1">
      <protection hidden="1"/>
    </xf>
    <xf numFmtId="0" fontId="0" fillId="2" borderId="15" xfId="0" applyFill="1" applyBorder="1" applyProtection="1">
      <protection hidden="1"/>
    </xf>
    <xf numFmtId="0" fontId="0" fillId="2" borderId="8" xfId="0" applyFill="1" applyBorder="1" applyProtection="1">
      <protection hidden="1"/>
    </xf>
    <xf numFmtId="0" fontId="0" fillId="2" borderId="5" xfId="0" applyFill="1" applyBorder="1" applyProtection="1">
      <protection hidden="1"/>
    </xf>
    <xf numFmtId="0" fontId="7" fillId="2" borderId="0" xfId="0" applyFont="1" applyFill="1" applyProtection="1">
      <protection hidden="1"/>
    </xf>
    <xf numFmtId="4" fontId="0" fillId="3" borderId="16" xfId="0" applyNumberFormat="1" applyFill="1" applyBorder="1" applyProtection="1">
      <protection hidden="1"/>
    </xf>
    <xf numFmtId="0" fontId="0" fillId="3" borderId="16" xfId="0" applyFill="1" applyBorder="1" applyProtection="1">
      <protection hidden="1"/>
    </xf>
    <xf numFmtId="40" fontId="0" fillId="2" borderId="0" xfId="0" applyNumberFormat="1" applyFill="1" applyProtection="1">
      <protection hidden="1"/>
    </xf>
    <xf numFmtId="40" fontId="0" fillId="2" borderId="7" xfId="0" applyNumberFormat="1" applyFill="1" applyBorder="1" applyProtection="1">
      <protection hidden="1"/>
    </xf>
    <xf numFmtId="40" fontId="0" fillId="2" borderId="19" xfId="0" applyNumberFormat="1" applyFill="1" applyBorder="1" applyProtection="1">
      <protection hidden="1"/>
    </xf>
    <xf numFmtId="40" fontId="0" fillId="2" borderId="20" xfId="0" applyNumberFormat="1" applyFill="1" applyBorder="1" applyProtection="1">
      <protection hidden="1"/>
    </xf>
    <xf numFmtId="0" fontId="16"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40" fontId="0" fillId="2" borderId="0" xfId="0" applyNumberFormat="1" applyFill="1" applyAlignment="1" applyProtection="1">
      <alignment horizontal="right"/>
      <protection hidden="1"/>
    </xf>
    <xf numFmtId="40" fontId="0" fillId="2" borderId="4" xfId="0" applyNumberFormat="1" applyFill="1" applyBorder="1" applyProtection="1">
      <protection hidden="1"/>
    </xf>
    <xf numFmtId="40" fontId="0" fillId="2" borderId="22"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1" fillId="5" borderId="0" xfId="0" applyNumberFormat="1" applyFont="1" applyFill="1" applyProtection="1">
      <protection hidden="1"/>
    </xf>
    <xf numFmtId="0" fontId="0" fillId="5" borderId="4" xfId="0" applyFill="1" applyBorder="1" applyProtection="1">
      <protection hidden="1"/>
    </xf>
    <xf numFmtId="0" fontId="0" fillId="2" borderId="0" xfId="0" applyFill="1" applyAlignment="1" applyProtection="1">
      <alignment wrapText="1"/>
      <protection hidden="1"/>
    </xf>
    <xf numFmtId="40" fontId="19" fillId="2" borderId="0" xfId="0" applyNumberFormat="1" applyFont="1" applyFill="1" applyAlignment="1" applyProtection="1">
      <alignment horizontal="right"/>
      <protection hidden="1"/>
    </xf>
    <xf numFmtId="0" fontId="0" fillId="2" borderId="23" xfId="0" applyFill="1" applyBorder="1" applyProtection="1">
      <protection hidden="1"/>
    </xf>
    <xf numFmtId="0" fontId="0" fillId="2" borderId="21" xfId="0" applyFill="1" applyBorder="1" applyProtection="1">
      <protection hidden="1"/>
    </xf>
    <xf numFmtId="0" fontId="0" fillId="5" borderId="23" xfId="0" applyFill="1" applyBorder="1" applyProtection="1">
      <protection hidden="1"/>
    </xf>
    <xf numFmtId="0" fontId="0" fillId="5" borderId="7" xfId="0" applyFill="1" applyBorder="1" applyProtection="1">
      <protection hidden="1"/>
    </xf>
    <xf numFmtId="0" fontId="0" fillId="5" borderId="5" xfId="0" applyFill="1" applyBorder="1" applyProtection="1">
      <protection hidden="1"/>
    </xf>
    <xf numFmtId="0" fontId="9" fillId="5" borderId="0" xfId="0" applyFont="1" applyFill="1" applyAlignment="1" applyProtection="1">
      <alignment horizontal="center"/>
      <protection hidden="1"/>
    </xf>
    <xf numFmtId="0" fontId="0" fillId="5" borderId="21" xfId="0" applyFill="1" applyBorder="1" applyProtection="1">
      <protection hidden="1"/>
    </xf>
    <xf numFmtId="0" fontId="9" fillId="5" borderId="4" xfId="0" applyFont="1" applyFill="1" applyBorder="1" applyAlignment="1" applyProtection="1">
      <alignment horizontal="center"/>
      <protection hidden="1"/>
    </xf>
    <xf numFmtId="0" fontId="0" fillId="2" borderId="19" xfId="0" applyFill="1" applyBorder="1" applyProtection="1">
      <protection hidden="1"/>
    </xf>
    <xf numFmtId="0" fontId="0" fillId="2" borderId="20" xfId="0" applyFill="1" applyBorder="1" applyProtection="1">
      <protection hidden="1"/>
    </xf>
    <xf numFmtId="0" fontId="0" fillId="2" borderId="22" xfId="0" applyFill="1" applyBorder="1" applyProtection="1">
      <protection hidden="1"/>
    </xf>
    <xf numFmtId="0" fontId="22"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4"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0"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40" fontId="0" fillId="2" borderId="5" xfId="0" applyNumberFormat="1" applyFill="1" applyBorder="1" applyAlignment="1" applyProtection="1">
      <alignment horizontal="left"/>
      <protection hidden="1"/>
    </xf>
    <xf numFmtId="0" fontId="0" fillId="2" borderId="4" xfId="0" applyFill="1" applyBorder="1" applyAlignment="1" applyProtection="1">
      <alignment wrapText="1"/>
      <protection hidden="1"/>
    </xf>
    <xf numFmtId="0" fontId="23" fillId="2" borderId="1" xfId="0" applyFont="1" applyFill="1" applyBorder="1" applyProtection="1">
      <protection hidden="1"/>
    </xf>
    <xf numFmtId="0" fontId="22" fillId="2" borderId="1" xfId="0" applyFont="1" applyFill="1" applyBorder="1" applyProtection="1">
      <protection hidden="1"/>
    </xf>
    <xf numFmtId="0" fontId="13" fillId="2" borderId="1" xfId="0" applyFont="1" applyFill="1" applyBorder="1" applyProtection="1">
      <protection hidden="1"/>
    </xf>
    <xf numFmtId="0" fontId="3" fillId="2" borderId="2" xfId="0" applyFont="1" applyFill="1" applyBorder="1" applyAlignment="1" applyProtection="1">
      <alignment horizontal="center"/>
      <protection hidden="1"/>
    </xf>
    <xf numFmtId="0" fontId="26" fillId="2" borderId="0" xfId="0" applyFont="1" applyFill="1" applyProtection="1">
      <protection hidden="1"/>
    </xf>
    <xf numFmtId="40" fontId="4" fillId="2" borderId="0" xfId="0" applyNumberFormat="1" applyFont="1" applyFill="1" applyAlignment="1" applyProtection="1">
      <alignment horizontal="left"/>
      <protection hidden="1"/>
    </xf>
    <xf numFmtId="0" fontId="22" fillId="2" borderId="1" xfId="0" applyFont="1" applyFill="1" applyBorder="1" applyAlignment="1" applyProtection="1">
      <alignment vertical="center"/>
      <protection hidden="1"/>
    </xf>
    <xf numFmtId="0" fontId="13"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40" fontId="3" fillId="2" borderId="0" xfId="0" applyNumberFormat="1" applyFont="1" applyFill="1" applyAlignment="1" applyProtection="1">
      <alignment horizontal="center"/>
      <protection hidden="1"/>
    </xf>
    <xf numFmtId="40" fontId="3" fillId="2" borderId="20" xfId="0" applyNumberFormat="1" applyFont="1" applyFill="1" applyBorder="1" applyProtection="1">
      <protection hidden="1"/>
    </xf>
    <xf numFmtId="40" fontId="5" fillId="2" borderId="0" xfId="0" applyNumberFormat="1" applyFont="1" applyFill="1" applyProtection="1">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0" fontId="13"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0" fillId="3" borderId="1" xfId="0" applyFill="1" applyBorder="1" applyAlignment="1" applyProtection="1">
      <alignment vertical="center"/>
      <protection hidden="1"/>
    </xf>
    <xf numFmtId="0" fontId="11" fillId="3" borderId="0" xfId="0" applyFont="1" applyFill="1" applyProtection="1">
      <protection hidden="1"/>
    </xf>
    <xf numFmtId="0" fontId="9" fillId="3" borderId="1" xfId="0" applyFont="1" applyFill="1" applyBorder="1" applyProtection="1">
      <protection hidden="1"/>
    </xf>
    <xf numFmtId="4" fontId="7" fillId="3" borderId="0" xfId="0" applyNumberFormat="1" applyFont="1" applyFill="1" applyProtection="1">
      <protection hidden="1"/>
    </xf>
    <xf numFmtId="0" fontId="11"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4" fontId="0" fillId="3" borderId="14" xfId="0" applyNumberFormat="1" applyFill="1" applyBorder="1" applyProtection="1">
      <protection hidden="1"/>
    </xf>
    <xf numFmtId="0" fontId="3" fillId="3" borderId="8" xfId="0" applyFont="1" applyFill="1" applyBorder="1" applyProtection="1">
      <protection hidden="1"/>
    </xf>
    <xf numFmtId="0" fontId="9" fillId="3" borderId="25" xfId="0" applyFont="1" applyFill="1" applyBorder="1" applyProtection="1">
      <protection hidden="1"/>
    </xf>
    <xf numFmtId="4" fontId="0" fillId="3" borderId="8" xfId="0" applyNumberFormat="1" applyFill="1" applyBorder="1" applyProtection="1">
      <protection hidden="1"/>
    </xf>
    <xf numFmtId="0" fontId="3" fillId="3" borderId="0" xfId="0" applyFont="1" applyFill="1" applyAlignment="1" applyProtection="1">
      <alignment horizontal="right"/>
      <protection hidden="1"/>
    </xf>
    <xf numFmtId="0" fontId="3" fillId="3" borderId="4" xfId="0" applyFont="1" applyFill="1" applyBorder="1" applyProtection="1">
      <protection hidden="1"/>
    </xf>
    <xf numFmtId="0" fontId="0" fillId="3" borderId="4" xfId="0" applyFill="1" applyBorder="1" applyProtection="1">
      <protection hidden="1"/>
    </xf>
    <xf numFmtId="0" fontId="9" fillId="3" borderId="4" xfId="0" applyFont="1" applyFill="1" applyBorder="1" applyProtection="1">
      <protection hidden="1"/>
    </xf>
    <xf numFmtId="0" fontId="8" fillId="3" borderId="7" xfId="0" applyFont="1" applyFill="1" applyBorder="1" applyProtection="1">
      <protection hidden="1"/>
    </xf>
    <xf numFmtId="0" fontId="3" fillId="3" borderId="7"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19" fillId="3" borderId="0" xfId="0" applyNumberFormat="1" applyFont="1" applyFill="1" applyAlignment="1" applyProtection="1">
      <alignment horizontal="center"/>
      <protection hidden="1"/>
    </xf>
    <xf numFmtId="0" fontId="51" fillId="3" borderId="0" xfId="0" applyFont="1" applyFill="1" applyAlignment="1" applyProtection="1">
      <alignment vertical="center"/>
      <protection hidden="1"/>
    </xf>
    <xf numFmtId="0" fontId="8" fillId="3" borderId="20" xfId="0" applyFont="1" applyFill="1" applyBorder="1" applyProtection="1">
      <protection hidden="1"/>
    </xf>
    <xf numFmtId="4" fontId="0" fillId="3" borderId="24" xfId="0" applyNumberFormat="1" applyFill="1" applyBorder="1" applyProtection="1">
      <protection hidden="1"/>
    </xf>
    <xf numFmtId="0" fontId="8" fillId="3" borderId="3" xfId="0" applyFont="1" applyFill="1" applyBorder="1" applyProtection="1">
      <protection hidden="1"/>
    </xf>
    <xf numFmtId="0" fontId="14" fillId="3" borderId="25" xfId="0" applyFont="1" applyFill="1" applyBorder="1" applyProtection="1">
      <protection hidden="1"/>
    </xf>
    <xf numFmtId="0" fontId="46" fillId="3" borderId="25" xfId="0" applyFont="1" applyFill="1" applyBorder="1" applyProtection="1">
      <protection hidden="1"/>
    </xf>
    <xf numFmtId="4" fontId="46" fillId="3" borderId="25" xfId="0" applyNumberFormat="1" applyFont="1" applyFill="1" applyBorder="1" applyProtection="1">
      <protection hidden="1"/>
    </xf>
    <xf numFmtId="39" fontId="46" fillId="3" borderId="25" xfId="0" applyNumberFormat="1" applyFont="1" applyFill="1" applyBorder="1" applyProtection="1">
      <protection hidden="1"/>
    </xf>
    <xf numFmtId="0" fontId="47" fillId="3" borderId="0" xfId="0" applyFont="1" applyFill="1" applyProtection="1">
      <protection hidden="1"/>
    </xf>
    <xf numFmtId="0" fontId="47" fillId="3" borderId="4" xfId="0" applyFont="1" applyFill="1" applyBorder="1" applyProtection="1">
      <protection hidden="1"/>
    </xf>
    <xf numFmtId="0" fontId="15" fillId="3" borderId="4" xfId="0" applyFont="1" applyFill="1" applyBorder="1" applyAlignment="1" applyProtection="1">
      <alignment horizontal="left"/>
      <protection hidden="1"/>
    </xf>
    <xf numFmtId="39" fontId="7"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46" fillId="3" borderId="27" xfId="0" applyFont="1" applyFill="1" applyBorder="1" applyProtection="1">
      <protection hidden="1"/>
    </xf>
    <xf numFmtId="39" fontId="18" fillId="3" borderId="0" xfId="0" applyNumberFormat="1" applyFont="1" applyFill="1" applyProtection="1">
      <protection hidden="1"/>
    </xf>
    <xf numFmtId="0" fontId="46" fillId="3" borderId="7" xfId="0" applyFont="1" applyFill="1" applyBorder="1" applyProtection="1">
      <protection hidden="1"/>
    </xf>
    <xf numFmtId="39" fontId="46" fillId="3" borderId="0" xfId="0" applyNumberFormat="1" applyFont="1" applyFill="1" applyProtection="1">
      <protection hidden="1"/>
    </xf>
    <xf numFmtId="0" fontId="3" fillId="3" borderId="0" xfId="0" applyFont="1" applyFill="1" applyAlignment="1" applyProtection="1">
      <alignment horizontal="left"/>
      <protection hidden="1"/>
    </xf>
    <xf numFmtId="0" fontId="14"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9" fillId="3" borderId="0" xfId="0" applyNumberFormat="1" applyFont="1" applyFill="1" applyProtection="1">
      <protection hidden="1"/>
    </xf>
    <xf numFmtId="4" fontId="11" fillId="3" borderId="0" xfId="0" applyNumberFormat="1" applyFont="1" applyFill="1" applyProtection="1">
      <protection hidden="1"/>
    </xf>
    <xf numFmtId="4" fontId="11" fillId="3" borderId="1" xfId="0" applyNumberFormat="1" applyFont="1" applyFill="1" applyBorder="1" applyProtection="1">
      <protection hidden="1"/>
    </xf>
    <xf numFmtId="0" fontId="9" fillId="3" borderId="0" xfId="0" applyFont="1" applyFill="1" applyAlignment="1" applyProtection="1">
      <alignment horizontal="left"/>
      <protection hidden="1"/>
    </xf>
    <xf numFmtId="4" fontId="9"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left"/>
      <protection hidden="1"/>
    </xf>
    <xf numFmtId="0" fontId="9" fillId="0" borderId="0" xfId="0" applyFont="1" applyProtection="1">
      <protection hidden="1"/>
    </xf>
    <xf numFmtId="0" fontId="17" fillId="0" borderId="0" xfId="0" applyFont="1"/>
    <xf numFmtId="40" fontId="21" fillId="2" borderId="0" xfId="0" applyNumberFormat="1" applyFont="1" applyFill="1" applyProtection="1">
      <protection hidden="1"/>
    </xf>
    <xf numFmtId="4" fontId="9" fillId="7" borderId="0" xfId="0" applyNumberFormat="1" applyFont="1" applyFill="1" applyProtection="1">
      <protection hidden="1"/>
    </xf>
    <xf numFmtId="0" fontId="0" fillId="3" borderId="7" xfId="0" applyFill="1" applyBorder="1" applyProtection="1">
      <protection hidden="1"/>
    </xf>
    <xf numFmtId="0" fontId="0" fillId="3" borderId="19" xfId="0" applyFill="1" applyBorder="1" applyProtection="1">
      <protection hidden="1"/>
    </xf>
    <xf numFmtId="0" fontId="3" fillId="3" borderId="0" xfId="0" applyFont="1" applyFill="1" applyAlignment="1" applyProtection="1">
      <alignment horizontal="center"/>
      <protection hidden="1"/>
    </xf>
    <xf numFmtId="0" fontId="11" fillId="3" borderId="4" xfId="0" applyFont="1" applyFill="1" applyBorder="1" applyProtection="1">
      <protection hidden="1"/>
    </xf>
    <xf numFmtId="0" fontId="8" fillId="3" borderId="4" xfId="0" applyFont="1" applyFill="1" applyBorder="1" applyProtection="1">
      <protection hidden="1"/>
    </xf>
    <xf numFmtId="0" fontId="3" fillId="3" borderId="10" xfId="0" applyFont="1" applyFill="1" applyBorder="1" applyAlignment="1" applyProtection="1">
      <alignment horizontal="right"/>
      <protection hidden="1"/>
    </xf>
    <xf numFmtId="0" fontId="7" fillId="3" borderId="1" xfId="0" applyFont="1" applyFill="1" applyBorder="1" applyProtection="1">
      <protection hidden="1"/>
    </xf>
    <xf numFmtId="4" fontId="9" fillId="3" borderId="0" xfId="0" applyNumberFormat="1" applyFont="1" applyFill="1" applyAlignment="1" applyProtection="1">
      <alignment horizontal="right"/>
      <protection hidden="1"/>
    </xf>
    <xf numFmtId="0" fontId="35" fillId="3" borderId="0" xfId="0" applyFont="1" applyFill="1" applyProtection="1">
      <protection hidden="1"/>
    </xf>
    <xf numFmtId="1" fontId="19"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53" fillId="3" borderId="0" xfId="0" applyNumberFormat="1" applyFont="1" applyFill="1" applyProtection="1">
      <protection hidden="1"/>
    </xf>
    <xf numFmtId="39" fontId="9" fillId="3" borderId="0" xfId="0" applyNumberFormat="1" applyFont="1" applyFill="1" applyAlignment="1" applyProtection="1">
      <alignment horizontal="right"/>
      <protection hidden="1"/>
    </xf>
    <xf numFmtId="39" fontId="28"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46" fillId="0" borderId="0" xfId="0" applyFont="1" applyProtection="1">
      <protection hidden="1"/>
    </xf>
    <xf numFmtId="0" fontId="9" fillId="0" borderId="0" xfId="0" applyFont="1" applyAlignment="1" applyProtection="1">
      <alignment horizontal="center"/>
      <protection hidden="1"/>
    </xf>
    <xf numFmtId="0" fontId="11" fillId="3" borderId="7" xfId="0" applyFont="1" applyFill="1" applyBorder="1" applyProtection="1">
      <protection hidden="1"/>
    </xf>
    <xf numFmtId="4" fontId="0" fillId="0" borderId="0" xfId="0" applyNumberFormat="1" applyProtection="1">
      <protection hidden="1"/>
    </xf>
    <xf numFmtId="0" fontId="9" fillId="2" borderId="20" xfId="0" applyFont="1" applyFill="1" applyBorder="1" applyProtection="1">
      <protection hidden="1"/>
    </xf>
    <xf numFmtId="0" fontId="0" fillId="0" borderId="0" xfId="0" applyAlignment="1">
      <alignment horizontal="center"/>
    </xf>
    <xf numFmtId="39" fontId="7" fillId="3" borderId="15"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right"/>
      <protection hidden="1"/>
    </xf>
    <xf numFmtId="0" fontId="19" fillId="3" borderId="0" xfId="0" applyFont="1" applyFill="1" applyAlignment="1" applyProtection="1">
      <alignment horizontal="left"/>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164" fontId="58" fillId="2" borderId="0" xfId="0" applyNumberFormat="1" applyFont="1" applyFill="1" applyAlignment="1" applyProtection="1">
      <alignment horizontal="center"/>
      <protection hidden="1"/>
    </xf>
    <xf numFmtId="0" fontId="13" fillId="2" borderId="0" xfId="0" applyFont="1" applyFill="1" applyAlignment="1" applyProtection="1">
      <alignment wrapText="1"/>
      <protection hidden="1"/>
    </xf>
    <xf numFmtId="40" fontId="13" fillId="2" borderId="0" xfId="0" applyNumberFormat="1" applyFont="1" applyFill="1" applyAlignment="1" applyProtection="1">
      <alignment horizontal="right"/>
      <protection hidden="1"/>
    </xf>
    <xf numFmtId="40" fontId="13"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7" xfId="0" applyFill="1" applyBorder="1"/>
    <xf numFmtId="0" fontId="0" fillId="2" borderId="19" xfId="0" applyFill="1" applyBorder="1"/>
    <xf numFmtId="0" fontId="0" fillId="2" borderId="20" xfId="0" applyFill="1" applyBorder="1"/>
    <xf numFmtId="0" fontId="0" fillId="2" borderId="4" xfId="0" applyFill="1" applyBorder="1"/>
    <xf numFmtId="38" fontId="0" fillId="2" borderId="20" xfId="0" applyNumberFormat="1" applyFill="1" applyBorder="1" applyProtection="1">
      <protection hidden="1"/>
    </xf>
    <xf numFmtId="40" fontId="59" fillId="2" borderId="0" xfId="0" applyNumberFormat="1" applyFont="1" applyFill="1" applyAlignment="1" applyProtection="1">
      <alignment horizontal="right"/>
      <protection hidden="1"/>
    </xf>
    <xf numFmtId="0" fontId="13" fillId="2" borderId="29" xfId="0" applyFont="1" applyFill="1" applyBorder="1" applyAlignment="1" applyProtection="1">
      <alignment vertical="center"/>
      <protection hidden="1"/>
    </xf>
    <xf numFmtId="0" fontId="0" fillId="4" borderId="20" xfId="0" applyFill="1" applyBorder="1" applyProtection="1">
      <protection locked="0" hidden="1"/>
    </xf>
    <xf numFmtId="38" fontId="0" fillId="2" borderId="0" xfId="0" applyNumberFormat="1" applyFill="1" applyProtection="1">
      <protection hidden="1"/>
    </xf>
    <xf numFmtId="40" fontId="0" fillId="2" borderId="4" xfId="0" applyNumberFormat="1" applyFill="1" applyBorder="1" applyAlignment="1" applyProtection="1">
      <alignment horizontal="center"/>
      <protection hidden="1"/>
    </xf>
    <xf numFmtId="38" fontId="0" fillId="2" borderId="4" xfId="0" applyNumberFormat="1" applyFill="1" applyBorder="1" applyProtection="1">
      <protection hidden="1"/>
    </xf>
    <xf numFmtId="0" fontId="0" fillId="2" borderId="0" xfId="0" applyFill="1" applyAlignment="1" applyProtection="1">
      <alignment horizontal="left" vertical="center"/>
      <protection hidden="1"/>
    </xf>
    <xf numFmtId="0" fontId="0" fillId="2" borderId="0" xfId="0" applyFill="1" applyAlignment="1" applyProtection="1">
      <alignment horizontal="center"/>
      <protection hidden="1"/>
    </xf>
    <xf numFmtId="0" fontId="0" fillId="0" borderId="0" xfId="0" applyAlignment="1" applyProtection="1">
      <alignment horizontal="center"/>
      <protection hidden="1"/>
    </xf>
    <xf numFmtId="1" fontId="62" fillId="2" borderId="0" xfId="0" applyNumberFormat="1" applyFont="1" applyFill="1" applyProtection="1">
      <protection hidden="1"/>
    </xf>
    <xf numFmtId="3" fontId="21" fillId="2" borderId="0" xfId="0" applyNumberFormat="1" applyFont="1" applyFill="1" applyProtection="1">
      <protection hidden="1"/>
    </xf>
    <xf numFmtId="0" fontId="6" fillId="0" borderId="0" xfId="0" applyFont="1" applyAlignment="1" applyProtection="1">
      <alignment horizontal="center"/>
      <protection hidden="1"/>
    </xf>
    <xf numFmtId="0" fontId="9" fillId="3" borderId="7" xfId="0" applyFont="1" applyFill="1" applyBorder="1" applyProtection="1">
      <protection hidden="1"/>
    </xf>
    <xf numFmtId="0" fontId="46" fillId="3" borderId="0" xfId="0" applyFont="1" applyFill="1" applyProtection="1">
      <protection hidden="1"/>
    </xf>
    <xf numFmtId="0" fontId="46" fillId="3" borderId="1" xfId="0" applyFont="1" applyFill="1" applyBorder="1" applyProtection="1">
      <protection hidden="1"/>
    </xf>
    <xf numFmtId="38" fontId="7" fillId="2" borderId="0" xfId="0" applyNumberFormat="1" applyFont="1" applyFill="1" applyProtection="1">
      <protection hidden="1"/>
    </xf>
    <xf numFmtId="38" fontId="0" fillId="2" borderId="8" xfId="0" applyNumberFormat="1" applyFill="1" applyBorder="1" applyProtection="1">
      <protection hidden="1"/>
    </xf>
    <xf numFmtId="0" fontId="9" fillId="3" borderId="1" xfId="0" applyFont="1" applyFill="1" applyBorder="1" applyAlignment="1" applyProtection="1">
      <alignment horizontal="left"/>
      <protection hidden="1"/>
    </xf>
    <xf numFmtId="0" fontId="3" fillId="3" borderId="9" xfId="0" applyFont="1" applyFill="1" applyBorder="1" applyAlignment="1" applyProtection="1">
      <alignment horizontal="center"/>
      <protection hidden="1"/>
    </xf>
    <xf numFmtId="0" fontId="3" fillId="3" borderId="10" xfId="0" applyFont="1" applyFill="1" applyBorder="1" applyAlignment="1" applyProtection="1">
      <alignment horizontal="center"/>
      <protection hidden="1"/>
    </xf>
    <xf numFmtId="0" fontId="14" fillId="3" borderId="0" xfId="0" applyFont="1" applyFill="1" applyProtection="1">
      <protection hidden="1"/>
    </xf>
    <xf numFmtId="0" fontId="3" fillId="3" borderId="15" xfId="0" applyFont="1" applyFill="1" applyBorder="1" applyAlignment="1" applyProtection="1">
      <alignment horizontal="center"/>
      <protection hidden="1"/>
    </xf>
    <xf numFmtId="0" fontId="3" fillId="3" borderId="6" xfId="0" applyFont="1" applyFill="1" applyBorder="1" applyAlignment="1" applyProtection="1">
      <alignment horizontal="center"/>
      <protection hidden="1"/>
    </xf>
    <xf numFmtId="0" fontId="3" fillId="3" borderId="12" xfId="0" applyFont="1" applyFill="1" applyBorder="1" applyAlignment="1" applyProtection="1">
      <alignment horizontal="center"/>
      <protection hidden="1"/>
    </xf>
    <xf numFmtId="0" fontId="15" fillId="2" borderId="0" xfId="0" applyFont="1" applyFill="1" applyProtection="1">
      <protection hidden="1"/>
    </xf>
    <xf numFmtId="0" fontId="9" fillId="8" borderId="0" xfId="0" applyFont="1" applyFill="1" applyProtection="1">
      <protection hidden="1"/>
    </xf>
    <xf numFmtId="0" fontId="14" fillId="2" borderId="0" xfId="0" applyFont="1" applyFill="1" applyProtection="1">
      <protection hidden="1"/>
    </xf>
    <xf numFmtId="0" fontId="14" fillId="2" borderId="0" xfId="0" applyFont="1" applyFill="1" applyAlignment="1" applyProtection="1">
      <alignment horizontal="left"/>
      <protection hidden="1"/>
    </xf>
    <xf numFmtId="164" fontId="23" fillId="2" borderId="0" xfId="0" applyNumberFormat="1" applyFont="1" applyFill="1" applyAlignment="1" applyProtection="1">
      <alignment horizontal="center"/>
      <protection hidden="1"/>
    </xf>
    <xf numFmtId="40" fontId="0" fillId="2" borderId="8" xfId="0" applyNumberFormat="1" applyFill="1" applyBorder="1" applyProtection="1">
      <protection hidden="1"/>
    </xf>
    <xf numFmtId="40" fontId="7" fillId="2" borderId="20" xfId="0" applyNumberFormat="1" applyFont="1" applyFill="1" applyBorder="1" applyProtection="1">
      <protection hidden="1"/>
    </xf>
    <xf numFmtId="0" fontId="0" fillId="0" borderId="0" xfId="0" applyAlignment="1" applyProtection="1">
      <alignment wrapText="1"/>
      <protection hidden="1"/>
    </xf>
    <xf numFmtId="40" fontId="0" fillId="2" borderId="7" xfId="0" applyNumberFormat="1" applyFill="1" applyBorder="1" applyAlignment="1" applyProtection="1">
      <alignment horizontal="left"/>
      <protection hidden="1"/>
    </xf>
    <xf numFmtId="40" fontId="7" fillId="2" borderId="0" xfId="0" applyNumberFormat="1" applyFont="1" applyFill="1" applyProtection="1">
      <protection hidden="1"/>
    </xf>
    <xf numFmtId="164" fontId="23" fillId="2" borderId="0" xfId="0" applyNumberFormat="1" applyFont="1" applyFill="1" applyAlignment="1" applyProtection="1">
      <alignment horizontal="right"/>
      <protection hidden="1"/>
    </xf>
    <xf numFmtId="40" fontId="54" fillId="2" borderId="0" xfId="0" applyNumberFormat="1" applyFont="1" applyFill="1" applyAlignment="1" applyProtection="1">
      <alignment horizontal="right"/>
      <protection hidden="1"/>
    </xf>
    <xf numFmtId="40" fontId="67" fillId="2" borderId="0" xfId="0" applyNumberFormat="1" applyFont="1" applyFill="1" applyAlignment="1" applyProtection="1">
      <alignment horizontal="right"/>
      <protection hidden="1"/>
    </xf>
    <xf numFmtId="0" fontId="13" fillId="2" borderId="20" xfId="0" applyFont="1" applyFill="1" applyBorder="1" applyAlignment="1" applyProtection="1">
      <alignment vertical="center"/>
      <protection hidden="1"/>
    </xf>
    <xf numFmtId="0" fontId="13"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164" fontId="58" fillId="2" borderId="0" xfId="0" applyNumberFormat="1" applyFont="1" applyFill="1" applyAlignment="1" applyProtection="1">
      <alignment horizontal="left" vertical="center"/>
      <protection hidden="1"/>
    </xf>
    <xf numFmtId="4" fontId="15" fillId="3" borderId="0" xfId="0" applyNumberFormat="1" applyFont="1" applyFill="1" applyAlignment="1" applyProtection="1">
      <alignment horizontal="right"/>
      <protection hidden="1"/>
    </xf>
    <xf numFmtId="0" fontId="0" fillId="3" borderId="32" xfId="0" applyFill="1" applyBorder="1" applyProtection="1">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7"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7" xfId="0" applyFont="1" applyFill="1" applyBorder="1" applyAlignment="1" applyProtection="1">
      <alignment horizontal="right" vertical="center"/>
      <protection hidden="1"/>
    </xf>
    <xf numFmtId="3" fontId="46" fillId="3" borderId="25" xfId="0" applyNumberFormat="1" applyFont="1" applyFill="1" applyBorder="1" applyProtection="1">
      <protection hidden="1"/>
    </xf>
    <xf numFmtId="1" fontId="30" fillId="2" borderId="12"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9" fillId="2" borderId="14" xfId="0" applyFont="1" applyFill="1" applyBorder="1" applyProtection="1">
      <protection hidden="1"/>
    </xf>
    <xf numFmtId="0" fontId="9" fillId="2" borderId="30" xfId="0" applyFont="1" applyFill="1" applyBorder="1" applyProtection="1">
      <protection hidden="1"/>
    </xf>
    <xf numFmtId="0" fontId="8" fillId="3" borderId="7" xfId="0" applyFont="1" applyFill="1" applyBorder="1" applyAlignment="1" applyProtection="1">
      <alignment horizontal="right"/>
      <protection hidden="1"/>
    </xf>
    <xf numFmtId="0" fontId="26"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3" fontId="7" fillId="3" borderId="0" xfId="0" applyNumberFormat="1" applyFont="1" applyFill="1" applyAlignment="1" applyProtection="1">
      <alignment horizontal="right"/>
      <protection hidden="1"/>
    </xf>
    <xf numFmtId="0" fontId="9" fillId="3" borderId="13" xfId="0" applyFont="1" applyFill="1" applyBorder="1" applyAlignment="1" applyProtection="1">
      <alignment horizontal="left"/>
      <protection hidden="1"/>
    </xf>
    <xf numFmtId="40" fontId="56" fillId="2" borderId="0" xfId="0" applyNumberFormat="1" applyFont="1" applyFill="1" applyAlignment="1" applyProtection="1">
      <alignment horizontal="left"/>
      <protection hidden="1"/>
    </xf>
    <xf numFmtId="0" fontId="58"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56" fillId="2" borderId="0" xfId="0" applyFont="1" applyFill="1" applyProtection="1">
      <protection hidden="1"/>
    </xf>
    <xf numFmtId="0" fontId="56" fillId="2" borderId="0" xfId="0" applyFont="1" applyFill="1" applyAlignment="1" applyProtection="1">
      <alignment vertical="center"/>
      <protection hidden="1"/>
    </xf>
    <xf numFmtId="0" fontId="46" fillId="2" borderId="0" xfId="0" applyFont="1" applyFill="1" applyProtection="1">
      <protection hidden="1"/>
    </xf>
    <xf numFmtId="0" fontId="0" fillId="2" borderId="24"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64" fillId="2" borderId="0" xfId="0" applyFont="1" applyFill="1" applyAlignment="1" applyProtection="1">
      <alignment horizontal="right"/>
      <protection hidden="1"/>
    </xf>
    <xf numFmtId="4" fontId="56" fillId="2" borderId="0" xfId="0" applyNumberFormat="1" applyFont="1" applyFill="1" applyProtection="1">
      <protection hidden="1"/>
    </xf>
    <xf numFmtId="49" fontId="23" fillId="2" borderId="4" xfId="0" applyNumberFormat="1" applyFont="1" applyFill="1" applyBorder="1" applyAlignment="1" applyProtection="1">
      <alignment horizontal="right"/>
      <protection hidden="1"/>
    </xf>
    <xf numFmtId="40" fontId="19" fillId="2" borderId="4" xfId="0" applyNumberFormat="1" applyFont="1" applyFill="1" applyBorder="1" applyAlignment="1" applyProtection="1">
      <alignment horizontal="right"/>
      <protection hidden="1"/>
    </xf>
    <xf numFmtId="0" fontId="19" fillId="2" borderId="0" xfId="0" applyFont="1" applyFill="1" applyProtection="1">
      <protection hidden="1"/>
    </xf>
    <xf numFmtId="0" fontId="19" fillId="2" borderId="0" xfId="0" applyFont="1" applyFill="1" applyAlignment="1" applyProtection="1">
      <alignment horizontal="center"/>
      <protection hidden="1"/>
    </xf>
    <xf numFmtId="0" fontId="9" fillId="2" borderId="4" xfId="0" applyFont="1" applyFill="1" applyBorder="1" applyAlignment="1" applyProtection="1">
      <alignment horizontal="left" vertical="top"/>
      <protection hidden="1"/>
    </xf>
    <xf numFmtId="0" fontId="19" fillId="2" borderId="0" xfId="0" applyFont="1" applyFill="1" applyAlignment="1" applyProtection="1">
      <alignment horizontal="left" vertical="center"/>
      <protection hidden="1"/>
    </xf>
    <xf numFmtId="0" fontId="35"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0" xfId="0" applyFill="1" applyBorder="1" applyProtection="1">
      <protection hidden="1"/>
    </xf>
    <xf numFmtId="0" fontId="0" fillId="2" borderId="24" xfId="0" applyFill="1" applyBorder="1" applyProtection="1">
      <protection hidden="1"/>
    </xf>
    <xf numFmtId="0" fontId="0" fillId="2" borderId="6" xfId="0" applyFill="1" applyBorder="1" applyProtection="1">
      <protection hidden="1"/>
    </xf>
    <xf numFmtId="0" fontId="0" fillId="8" borderId="0" xfId="0" applyFill="1" applyProtection="1">
      <protection hidden="1"/>
    </xf>
    <xf numFmtId="0" fontId="0" fillId="8" borderId="6" xfId="0" applyFill="1" applyBorder="1" applyProtection="1">
      <protection hidden="1"/>
    </xf>
    <xf numFmtId="0" fontId="9" fillId="2" borderId="0" xfId="0" applyFont="1" applyFill="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4" fontId="9" fillId="3" borderId="0" xfId="0" applyNumberFormat="1" applyFont="1" applyFill="1" applyAlignment="1" applyProtection="1">
      <alignment horizontal="center"/>
      <protection hidden="1"/>
    </xf>
    <xf numFmtId="3" fontId="7" fillId="3" borderId="8" xfId="0" applyNumberFormat="1" applyFont="1" applyFill="1" applyBorder="1" applyAlignment="1" applyProtection="1">
      <alignment horizontal="right"/>
      <protection hidden="1"/>
    </xf>
    <xf numFmtId="49" fontId="41"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28"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75" fillId="3" borderId="0" xfId="0" applyNumberFormat="1" applyFont="1" applyFill="1" applyAlignment="1" applyProtection="1">
      <alignment horizontal="left" vertical="center"/>
      <protection hidden="1"/>
    </xf>
    <xf numFmtId="4" fontId="28"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77" fillId="2" borderId="0" xfId="0" applyFont="1" applyFill="1" applyAlignment="1" applyProtection="1">
      <alignment horizontal="left"/>
      <protection hidden="1"/>
    </xf>
    <xf numFmtId="1" fontId="3" fillId="8" borderId="0" xfId="0" applyNumberFormat="1" applyFont="1" applyFill="1" applyProtection="1">
      <protection hidden="1"/>
    </xf>
    <xf numFmtId="0" fontId="0" fillId="2" borderId="42" xfId="0" applyFill="1" applyBorder="1" applyProtection="1">
      <protection hidden="1"/>
    </xf>
    <xf numFmtId="40" fontId="21" fillId="2" borderId="0" xfId="0" applyNumberFormat="1" applyFont="1" applyFill="1" applyAlignment="1" applyProtection="1">
      <alignment horizontal="center"/>
      <protection hidden="1"/>
    </xf>
    <xf numFmtId="40" fontId="25"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20" fillId="2" borderId="44" xfId="0" applyFont="1" applyFill="1" applyBorder="1" applyAlignment="1" applyProtection="1">
      <alignment horizontal="left" vertical="center"/>
      <protection hidden="1"/>
    </xf>
    <xf numFmtId="40" fontId="70" fillId="2" borderId="0" xfId="0" applyNumberFormat="1" applyFont="1" applyFill="1" applyAlignment="1" applyProtection="1">
      <alignment horizontal="right" vertical="center"/>
      <protection hidden="1"/>
    </xf>
    <xf numFmtId="40" fontId="54" fillId="2" borderId="20" xfId="0" applyNumberFormat="1" applyFont="1" applyFill="1" applyBorder="1" applyAlignment="1" applyProtection="1">
      <alignment horizontal="right"/>
      <protection hidden="1"/>
    </xf>
    <xf numFmtId="38" fontId="0" fillId="2" borderId="20" xfId="0" applyNumberFormat="1" applyFill="1" applyBorder="1" applyAlignment="1" applyProtection="1">
      <alignment horizontal="right"/>
      <protection hidden="1"/>
    </xf>
    <xf numFmtId="0" fontId="56"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6" fillId="2" borderId="0" xfId="0" applyFont="1" applyFill="1" applyAlignment="1" applyProtection="1">
      <alignment horizontal="center"/>
      <protection hidden="1"/>
    </xf>
    <xf numFmtId="38" fontId="7" fillId="2" borderId="20" xfId="0" applyNumberFormat="1" applyFont="1" applyFill="1" applyBorder="1" applyProtection="1">
      <protection hidden="1"/>
    </xf>
    <xf numFmtId="164" fontId="33" fillId="2" borderId="5" xfId="0" applyNumberFormat="1" applyFont="1" applyFill="1" applyBorder="1" applyAlignment="1" applyProtection="1">
      <alignment vertical="top"/>
      <protection hidden="1"/>
    </xf>
    <xf numFmtId="164" fontId="33" fillId="2" borderId="21" xfId="0" applyNumberFormat="1" applyFont="1" applyFill="1" applyBorder="1" applyAlignment="1" applyProtection="1">
      <alignment vertical="top"/>
      <protection hidden="1"/>
    </xf>
    <xf numFmtId="0" fontId="27" fillId="2" borderId="23" xfId="0" applyFont="1" applyFill="1" applyBorder="1" applyAlignment="1" applyProtection="1">
      <alignment vertical="center"/>
      <protection hidden="1"/>
    </xf>
    <xf numFmtId="0" fontId="0" fillId="4" borderId="5" xfId="0" applyFill="1" applyBorder="1" applyProtection="1">
      <protection locked="0" hidden="1"/>
    </xf>
    <xf numFmtId="0" fontId="27" fillId="2" borderId="26"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2" fillId="2" borderId="0" xfId="0" applyNumberFormat="1" applyFont="1" applyFill="1" applyProtection="1">
      <protection hidden="1"/>
    </xf>
    <xf numFmtId="0" fontId="51" fillId="2" borderId="0" xfId="0" applyFont="1" applyFill="1" applyProtection="1">
      <protection hidden="1"/>
    </xf>
    <xf numFmtId="3" fontId="42" fillId="2" borderId="4" xfId="0" applyNumberFormat="1" applyFont="1" applyFill="1" applyBorder="1" applyProtection="1">
      <protection hidden="1"/>
    </xf>
    <xf numFmtId="0" fontId="78" fillId="2" borderId="4" xfId="0" applyFont="1" applyFill="1" applyBorder="1" applyProtection="1">
      <protection hidden="1"/>
    </xf>
    <xf numFmtId="38" fontId="0" fillId="2" borderId="20" xfId="0" applyNumberFormat="1" applyFill="1" applyBorder="1" applyProtection="1">
      <protection locked="0"/>
    </xf>
    <xf numFmtId="40" fontId="56" fillId="2" borderId="0" xfId="0" applyNumberFormat="1" applyFont="1" applyFill="1" applyAlignment="1" applyProtection="1">
      <alignment horizontal="center"/>
      <protection hidden="1"/>
    </xf>
    <xf numFmtId="40" fontId="68" fillId="2" borderId="0" xfId="0" applyNumberFormat="1" applyFont="1" applyFill="1" applyProtection="1">
      <protection hidden="1"/>
    </xf>
    <xf numFmtId="0" fontId="56" fillId="2" borderId="0" xfId="0" applyFont="1" applyFill="1" applyAlignment="1" applyProtection="1">
      <alignment horizontal="center"/>
      <protection hidden="1"/>
    </xf>
    <xf numFmtId="0" fontId="68" fillId="2" borderId="0" xfId="0" applyFont="1" applyFill="1" applyProtection="1">
      <protection hidden="1"/>
    </xf>
    <xf numFmtId="38" fontId="21" fillId="2" borderId="0" xfId="0" applyNumberFormat="1" applyFont="1" applyFill="1" applyProtection="1">
      <protection hidden="1"/>
    </xf>
    <xf numFmtId="0" fontId="9" fillId="2" borderId="0" xfId="0" applyFont="1" applyFill="1" applyAlignment="1" applyProtection="1">
      <alignment vertical="top"/>
      <protection hidden="1"/>
    </xf>
    <xf numFmtId="4" fontId="3" fillId="3" borderId="7" xfId="0" applyNumberFormat="1" applyFont="1" applyFill="1" applyBorder="1" applyAlignment="1" applyProtection="1">
      <alignment horizontal="right" vertical="top"/>
      <protection hidden="1"/>
    </xf>
    <xf numFmtId="4" fontId="7" fillId="3" borderId="4" xfId="0" applyNumberFormat="1" applyFont="1" applyFill="1" applyBorder="1" applyAlignment="1" applyProtection="1">
      <alignment horizontal="right"/>
      <protection hidden="1"/>
    </xf>
    <xf numFmtId="4" fontId="9" fillId="3" borderId="24" xfId="0" applyNumberFormat="1" applyFont="1" applyFill="1" applyBorder="1" applyAlignment="1" applyProtection="1">
      <alignment horizontal="left"/>
      <protection hidden="1"/>
    </xf>
    <xf numFmtId="37" fontId="7" fillId="3" borderId="30" xfId="0" applyNumberFormat="1" applyFont="1" applyFill="1" applyBorder="1" applyAlignment="1" applyProtection="1">
      <alignment horizontal="right"/>
      <protection hidden="1"/>
    </xf>
    <xf numFmtId="37" fontId="42" fillId="3" borderId="3" xfId="0" applyNumberFormat="1" applyFont="1" applyFill="1" applyBorder="1" applyAlignment="1" applyProtection="1">
      <alignment horizontal="right"/>
      <protection hidden="1"/>
    </xf>
    <xf numFmtId="4" fontId="11" fillId="3" borderId="8"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4" fontId="75" fillId="3" borderId="0" xfId="0" applyNumberFormat="1" applyFont="1" applyFill="1" applyAlignment="1" applyProtection="1">
      <alignment horizontal="left"/>
      <protection hidden="1"/>
    </xf>
    <xf numFmtId="0" fontId="55" fillId="3" borderId="1" xfId="0" applyFont="1" applyFill="1" applyBorder="1" applyAlignment="1" applyProtection="1">
      <alignment horizontal="right"/>
      <protection hidden="1"/>
    </xf>
    <xf numFmtId="0" fontId="14" fillId="3" borderId="1" xfId="0" applyFont="1" applyFill="1" applyBorder="1" applyAlignment="1" applyProtection="1">
      <alignment horizontal="right"/>
      <protection hidden="1"/>
    </xf>
    <xf numFmtId="0" fontId="75" fillId="5" borderId="0" xfId="0" applyFont="1" applyFill="1" applyAlignment="1" applyProtection="1">
      <alignment horizontal="center"/>
      <protection hidden="1"/>
    </xf>
    <xf numFmtId="3" fontId="0" fillId="2" borderId="12" xfId="0" applyNumberFormat="1" applyFill="1" applyBorder="1" applyAlignment="1" applyProtection="1">
      <alignment vertical="center"/>
      <protection locked="0"/>
    </xf>
    <xf numFmtId="0" fontId="0" fillId="2" borderId="5" xfId="0" applyFill="1" applyBorder="1" applyAlignment="1" applyProtection="1">
      <alignment horizontal="center"/>
      <protection hidden="1"/>
    </xf>
    <xf numFmtId="0" fontId="0" fillId="2" borderId="21" xfId="0" applyFill="1" applyBorder="1" applyAlignment="1" applyProtection="1">
      <alignment horizontal="center"/>
      <protection hidden="1"/>
    </xf>
    <xf numFmtId="0" fontId="21" fillId="2" borderId="5"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3" xfId="0" applyFill="1" applyBorder="1" applyAlignment="1" applyProtection="1">
      <alignment horizontal="center"/>
      <protection hidden="1"/>
    </xf>
    <xf numFmtId="40" fontId="4" fillId="2" borderId="0" xfId="0" applyNumberFormat="1" applyFont="1" applyFill="1" applyAlignment="1" applyProtection="1">
      <alignment horizontal="left" vertical="top"/>
      <protection hidden="1"/>
    </xf>
    <xf numFmtId="0" fontId="23" fillId="2" borderId="0" xfId="0" applyFont="1" applyFill="1" applyProtection="1">
      <protection hidden="1"/>
    </xf>
    <xf numFmtId="0" fontId="39" fillId="2" borderId="0" xfId="0" applyFont="1" applyFill="1" applyProtection="1">
      <protection hidden="1"/>
    </xf>
    <xf numFmtId="40" fontId="0" fillId="2" borderId="0" xfId="0" applyNumberFormat="1" applyFill="1" applyAlignment="1" applyProtection="1">
      <alignment vertical="center"/>
      <protection hidden="1"/>
    </xf>
    <xf numFmtId="0" fontId="10" fillId="2" borderId="4" xfId="0" applyFont="1" applyFill="1" applyBorder="1" applyProtection="1">
      <protection hidden="1"/>
    </xf>
    <xf numFmtId="0" fontId="21" fillId="4" borderId="0" xfId="0" applyFont="1" applyFill="1" applyAlignment="1" applyProtection="1">
      <alignment horizontal="center"/>
      <protection locked="0"/>
    </xf>
    <xf numFmtId="0" fontId="15" fillId="3" borderId="7" xfId="0" applyFont="1" applyFill="1" applyBorder="1" applyProtection="1">
      <protection hidden="1"/>
    </xf>
    <xf numFmtId="4" fontId="0" fillId="3" borderId="11" xfId="0" applyNumberFormat="1" applyFill="1" applyBorder="1" applyProtection="1">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37" fontId="7" fillId="3" borderId="3" xfId="0" applyNumberFormat="1" applyFont="1" applyFill="1" applyBorder="1" applyAlignment="1" applyProtection="1">
      <alignment horizontal="right"/>
      <protection hidden="1"/>
    </xf>
    <xf numFmtId="4" fontId="11" fillId="3" borderId="7" xfId="0" applyNumberFormat="1" applyFont="1" applyFill="1" applyBorder="1" applyProtection="1">
      <protection hidden="1"/>
    </xf>
    <xf numFmtId="4" fontId="7" fillId="3" borderId="7" xfId="0" applyNumberFormat="1" applyFont="1" applyFill="1" applyBorder="1" applyAlignment="1" applyProtection="1">
      <alignment horizontal="right"/>
      <protection hidden="1"/>
    </xf>
    <xf numFmtId="0" fontId="3" fillId="3" borderId="12" xfId="0"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0" fontId="36" fillId="3" borderId="0" xfId="0" applyFont="1" applyFill="1" applyAlignment="1" applyProtection="1">
      <alignment horizontal="left" vertical="top"/>
      <protection hidden="1"/>
    </xf>
    <xf numFmtId="4" fontId="7" fillId="3" borderId="24" xfId="0" applyNumberFormat="1" applyFont="1" applyFill="1" applyBorder="1" applyAlignment="1" applyProtection="1">
      <alignment horizontal="left"/>
      <protection hidden="1"/>
    </xf>
    <xf numFmtId="0" fontId="63" fillId="0" borderId="0" xfId="0" applyFont="1" applyProtection="1">
      <protection hidden="1"/>
    </xf>
    <xf numFmtId="3" fontId="7" fillId="2" borderId="1" xfId="0" applyNumberFormat="1" applyFont="1" applyFill="1" applyBorder="1" applyProtection="1">
      <protection locked="0"/>
    </xf>
    <xf numFmtId="3" fontId="28" fillId="0" borderId="0" xfId="0" applyNumberFormat="1" applyFont="1" applyAlignment="1" applyProtection="1">
      <alignment horizontal="right"/>
      <protection hidden="1"/>
    </xf>
    <xf numFmtId="0" fontId="28" fillId="0" borderId="0" xfId="0" applyFont="1" applyAlignment="1" applyProtection="1">
      <alignment horizontal="center"/>
      <protection hidden="1"/>
    </xf>
    <xf numFmtId="0" fontId="28" fillId="0" borderId="0" xfId="0" applyFont="1" applyProtection="1">
      <protection hidden="1"/>
    </xf>
    <xf numFmtId="0" fontId="88" fillId="5" borderId="0" xfId="0" applyFont="1" applyFill="1" applyAlignment="1" applyProtection="1">
      <alignment horizontal="center"/>
      <protection hidden="1"/>
    </xf>
    <xf numFmtId="0" fontId="0" fillId="5" borderId="19" xfId="0" applyFill="1" applyBorder="1" applyProtection="1">
      <protection hidden="1"/>
    </xf>
    <xf numFmtId="0" fontId="9" fillId="5" borderId="20" xfId="0" applyFont="1" applyFill="1" applyBorder="1" applyAlignment="1" applyProtection="1">
      <alignment horizontal="center"/>
      <protection hidden="1"/>
    </xf>
    <xf numFmtId="0" fontId="9" fillId="5" borderId="22" xfId="0" applyFont="1" applyFill="1" applyBorder="1" applyAlignment="1" applyProtection="1">
      <alignment horizontal="center"/>
      <protection hidden="1"/>
    </xf>
    <xf numFmtId="0" fontId="0" fillId="0" borderId="0" xfId="0" applyAlignment="1">
      <alignment vertical="top"/>
    </xf>
    <xf numFmtId="3" fontId="28"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4" fillId="3" borderId="0" xfId="0" applyFont="1" applyFill="1" applyAlignment="1" applyProtection="1">
      <alignment vertical="center"/>
      <protection hidden="1"/>
    </xf>
    <xf numFmtId="0" fontId="43" fillId="3" borderId="0" xfId="0" applyFont="1" applyFill="1" applyAlignment="1" applyProtection="1">
      <alignment horizontal="left"/>
      <protection hidden="1"/>
    </xf>
    <xf numFmtId="4" fontId="8"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88" fillId="3" borderId="0" xfId="0" applyNumberFormat="1" applyFont="1" applyFill="1" applyProtection="1">
      <protection hidden="1"/>
    </xf>
    <xf numFmtId="39" fontId="64" fillId="3" borderId="0" xfId="0" applyNumberFormat="1" applyFont="1" applyFill="1" applyAlignment="1" applyProtection="1">
      <alignment horizontal="left"/>
      <protection hidden="1"/>
    </xf>
    <xf numFmtId="0" fontId="17" fillId="0" borderId="0" xfId="0" applyFont="1" applyAlignment="1">
      <alignment vertical="center"/>
    </xf>
    <xf numFmtId="0" fontId="46" fillId="3" borderId="0" xfId="0" applyFont="1" applyFill="1" applyAlignment="1" applyProtection="1">
      <alignment vertical="center"/>
      <protection hidden="1"/>
    </xf>
    <xf numFmtId="4" fontId="46" fillId="3" borderId="0" xfId="0" applyNumberFormat="1" applyFont="1" applyFill="1" applyAlignment="1" applyProtection="1">
      <alignment vertical="center"/>
      <protection hidden="1"/>
    </xf>
    <xf numFmtId="0" fontId="46" fillId="0" borderId="0" xfId="0" applyFont="1" applyAlignment="1" applyProtection="1">
      <alignment vertical="center"/>
      <protection hidden="1"/>
    </xf>
    <xf numFmtId="0" fontId="0" fillId="0" borderId="0" xfId="0" applyAlignment="1">
      <alignment vertical="center"/>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66" fillId="5" borderId="0" xfId="2" applyFill="1" applyAlignment="1" applyProtection="1">
      <alignment horizontal="center"/>
      <protection hidden="1"/>
    </xf>
    <xf numFmtId="39" fontId="28" fillId="3" borderId="5" xfId="0" applyNumberFormat="1" applyFont="1" applyFill="1" applyBorder="1" applyAlignment="1" applyProtection="1">
      <alignment horizontal="right"/>
      <protection hidden="1"/>
    </xf>
    <xf numFmtId="0" fontId="21" fillId="3" borderId="0" xfId="0" applyFont="1" applyFill="1" applyAlignment="1" applyProtection="1">
      <alignment horizontal="center"/>
      <protection hidden="1"/>
    </xf>
    <xf numFmtId="0" fontId="42"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9"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2" fillId="3" borderId="1" xfId="0" applyFont="1" applyFill="1" applyBorder="1" applyAlignment="1" applyProtection="1">
      <alignment horizontal="center"/>
      <protection hidden="1"/>
    </xf>
    <xf numFmtId="4" fontId="7" fillId="3" borderId="29" xfId="0" applyNumberFormat="1" applyFont="1" applyFill="1" applyBorder="1" applyAlignment="1" applyProtection="1">
      <alignment horizontal="right"/>
      <protection hidden="1"/>
    </xf>
    <xf numFmtId="0" fontId="42" fillId="3" borderId="8" xfId="0" applyFont="1" applyFill="1" applyBorder="1" applyAlignment="1" applyProtection="1">
      <alignment horizontal="center"/>
      <protection hidden="1"/>
    </xf>
    <xf numFmtId="3" fontId="9" fillId="3" borderId="0" xfId="0" applyNumberFormat="1" applyFont="1" applyFill="1" applyAlignment="1" applyProtection="1">
      <alignment horizontal="center"/>
      <protection hidden="1"/>
    </xf>
    <xf numFmtId="37" fontId="42" fillId="3" borderId="0" xfId="0" applyNumberFormat="1" applyFont="1" applyFill="1" applyAlignment="1" applyProtection="1">
      <alignment horizontal="right"/>
      <protection hidden="1"/>
    </xf>
    <xf numFmtId="0" fontId="66" fillId="0" borderId="0" xfId="2" applyAlignment="1" applyProtection="1">
      <alignment horizontal="center"/>
    </xf>
    <xf numFmtId="0" fontId="66" fillId="0" borderId="0" xfId="2" applyAlignment="1" applyProtection="1">
      <alignment horizontal="center"/>
      <protection hidden="1"/>
    </xf>
    <xf numFmtId="0" fontId="0" fillId="5" borderId="0" xfId="0" applyFill="1" applyAlignment="1">
      <alignment vertical="center"/>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44"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9" fillId="5" borderId="0" xfId="0" applyFont="1" applyFill="1" applyAlignment="1" applyProtection="1">
      <alignment wrapText="1"/>
      <protection hidden="1"/>
    </xf>
    <xf numFmtId="0" fontId="20" fillId="5" borderId="0" xfId="0" applyFont="1" applyFill="1" applyAlignment="1" applyProtection="1">
      <alignment horizontal="center" vertical="center"/>
      <protection hidden="1"/>
    </xf>
    <xf numFmtId="0" fontId="9" fillId="5" borderId="0" xfId="0" applyFont="1" applyFill="1" applyAlignment="1" applyProtection="1">
      <alignment horizontal="left"/>
      <protection hidden="1"/>
    </xf>
    <xf numFmtId="0" fontId="77" fillId="5" borderId="0" xfId="0" applyFont="1" applyFill="1" applyAlignment="1" applyProtection="1">
      <alignment horizontal="left"/>
      <protection hidden="1"/>
    </xf>
    <xf numFmtId="4" fontId="21" fillId="5" borderId="0" xfId="0" applyNumberFormat="1" applyFont="1" applyFill="1" applyProtection="1">
      <protection hidden="1"/>
    </xf>
    <xf numFmtId="0" fontId="21" fillId="5" borderId="0" xfId="0" applyFont="1" applyFill="1" applyProtection="1">
      <protection hidden="1"/>
    </xf>
    <xf numFmtId="4" fontId="68" fillId="5" borderId="0" xfId="0" applyNumberFormat="1" applyFont="1" applyFill="1" applyProtection="1">
      <protection hidden="1"/>
    </xf>
    <xf numFmtId="1" fontId="21" fillId="5" borderId="0" xfId="0" applyNumberFormat="1" applyFont="1" applyFill="1" applyAlignment="1" applyProtection="1">
      <alignment horizontal="right" vertical="center"/>
      <protection hidden="1"/>
    </xf>
    <xf numFmtId="0" fontId="0" fillId="5" borderId="0" xfId="0" applyFill="1" applyAlignment="1" applyProtection="1">
      <alignment vertical="center"/>
      <protection hidden="1"/>
    </xf>
    <xf numFmtId="0" fontId="56" fillId="5" borderId="0" xfId="0" applyFont="1" applyFill="1" applyProtection="1">
      <protection hidden="1"/>
    </xf>
    <xf numFmtId="0" fontId="0" fillId="5" borderId="0" xfId="0" applyFill="1" applyAlignment="1" applyProtection="1">
      <alignment vertical="top"/>
      <protection hidden="1"/>
    </xf>
    <xf numFmtId="0" fontId="76" fillId="2" borderId="0" xfId="0" applyFont="1" applyFill="1" applyAlignment="1" applyProtection="1">
      <alignment horizontal="right" vertical="top" wrapText="1"/>
      <protection hidden="1"/>
    </xf>
    <xf numFmtId="0" fontId="76" fillId="2" borderId="4" xfId="0" applyFont="1" applyFill="1" applyBorder="1" applyAlignment="1" applyProtection="1">
      <alignment horizontal="right" vertical="top" wrapText="1"/>
      <protection hidden="1"/>
    </xf>
    <xf numFmtId="0" fontId="0" fillId="7" borderId="0" xfId="0" applyFill="1" applyProtection="1">
      <protection hidden="1"/>
    </xf>
    <xf numFmtId="0" fontId="80" fillId="5" borderId="0" xfId="0" applyFont="1" applyFill="1" applyProtection="1">
      <protection hidden="1"/>
    </xf>
    <xf numFmtId="1" fontId="19" fillId="7" borderId="0" xfId="0" applyNumberFormat="1" applyFont="1" applyFill="1" applyAlignment="1" applyProtection="1">
      <alignment horizontal="left"/>
      <protection hidden="1"/>
    </xf>
    <xf numFmtId="39" fontId="9" fillId="7" borderId="0" xfId="0" applyNumberFormat="1" applyFont="1" applyFill="1" applyAlignment="1" applyProtection="1">
      <alignment horizontal="right"/>
      <protection hidden="1"/>
    </xf>
    <xf numFmtId="39" fontId="28" fillId="7" borderId="0" xfId="0" applyNumberFormat="1" applyFont="1" applyFill="1" applyAlignment="1" applyProtection="1">
      <alignment horizontal="right"/>
      <protection hidden="1"/>
    </xf>
    <xf numFmtId="4" fontId="11" fillId="7" borderId="0" xfId="0" applyNumberFormat="1" applyFont="1" applyFill="1" applyAlignment="1" applyProtection="1">
      <alignment horizontal="right"/>
      <protection hidden="1"/>
    </xf>
    <xf numFmtId="4" fontId="7" fillId="7" borderId="0" xfId="0" applyNumberFormat="1" applyFont="1" applyFill="1" applyAlignment="1" applyProtection="1">
      <alignment horizontal="right"/>
      <protection hidden="1"/>
    </xf>
    <xf numFmtId="39" fontId="53" fillId="7" borderId="0" xfId="0" applyNumberFormat="1" applyFont="1" applyFill="1" applyProtection="1">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1" fontId="7" fillId="3" borderId="0" xfId="0" applyNumberFormat="1" applyFont="1" applyFill="1" applyAlignment="1" applyProtection="1">
      <alignment horizontal="center"/>
      <protection hidden="1"/>
    </xf>
    <xf numFmtId="0" fontId="3" fillId="5" borderId="0" xfId="0" applyFont="1" applyFill="1" applyProtection="1">
      <protection hidden="1"/>
    </xf>
    <xf numFmtId="4" fontId="0" fillId="5" borderId="0" xfId="0" applyNumberFormat="1" applyFill="1" applyProtection="1">
      <protection hidden="1"/>
    </xf>
    <xf numFmtId="0" fontId="26" fillId="3" borderId="0" xfId="0" applyFont="1" applyFill="1" applyAlignment="1" applyProtection="1">
      <alignment horizontal="center"/>
      <protection hidden="1"/>
    </xf>
    <xf numFmtId="0" fontId="15" fillId="3" borderId="0" xfId="0" applyFont="1" applyFill="1" applyAlignment="1" applyProtection="1">
      <alignment horizontal="left"/>
      <protection hidden="1"/>
    </xf>
    <xf numFmtId="0" fontId="80" fillId="5" borderId="0" xfId="0" applyFont="1" applyFill="1" applyAlignment="1" applyProtection="1">
      <alignment horizontal="center"/>
      <protection hidden="1"/>
    </xf>
    <xf numFmtId="0" fontId="9" fillId="0" borderId="0" xfId="0" applyFont="1" applyAlignment="1" applyProtection="1">
      <alignment horizontal="left"/>
      <protection hidden="1"/>
    </xf>
    <xf numFmtId="4" fontId="9" fillId="7" borderId="15" xfId="0" applyNumberFormat="1" applyFont="1" applyFill="1" applyBorder="1" applyProtection="1">
      <protection hidden="1"/>
    </xf>
    <xf numFmtId="4" fontId="9" fillId="7" borderId="6" xfId="0" applyNumberFormat="1" applyFont="1" applyFill="1" applyBorder="1" applyProtection="1">
      <protection hidden="1"/>
    </xf>
    <xf numFmtId="4" fontId="46" fillId="3" borderId="0" xfId="0" applyNumberFormat="1" applyFont="1" applyFill="1" applyProtection="1">
      <protection hidden="1"/>
    </xf>
    <xf numFmtId="4" fontId="11" fillId="3" borderId="4" xfId="0" applyNumberFormat="1" applyFont="1" applyFill="1" applyBorder="1" applyProtection="1">
      <protection hidden="1"/>
    </xf>
    <xf numFmtId="4" fontId="9" fillId="3" borderId="4" xfId="0" applyNumberFormat="1" applyFont="1" applyFill="1" applyBorder="1" applyAlignment="1" applyProtection="1">
      <alignment horizontal="right"/>
      <protection hidden="1"/>
    </xf>
    <xf numFmtId="4" fontId="46" fillId="3" borderId="1" xfId="0" applyNumberFormat="1" applyFont="1" applyFill="1" applyBorder="1" applyProtection="1">
      <protection hidden="1"/>
    </xf>
    <xf numFmtId="39" fontId="53" fillId="3" borderId="1" xfId="0" applyNumberFormat="1" applyFont="1" applyFill="1" applyBorder="1" applyProtection="1">
      <protection hidden="1"/>
    </xf>
    <xf numFmtId="4" fontId="9" fillId="3" borderId="7" xfId="0" applyNumberFormat="1" applyFont="1" applyFill="1" applyBorder="1" applyAlignment="1" applyProtection="1">
      <alignment horizontal="right"/>
      <protection hidden="1"/>
    </xf>
    <xf numFmtId="0" fontId="0" fillId="2" borderId="20" xfId="0" applyFill="1" applyBorder="1" applyAlignment="1" applyProtection="1">
      <alignment vertical="top"/>
      <protection hidden="1"/>
    </xf>
    <xf numFmtId="0" fontId="3" fillId="3" borderId="15" xfId="0" applyFont="1" applyFill="1" applyBorder="1" applyAlignment="1" applyProtection="1">
      <alignment horizontal="right"/>
      <protection hidden="1"/>
    </xf>
    <xf numFmtId="164" fontId="56" fillId="2" borderId="0" xfId="0" applyNumberFormat="1" applyFont="1" applyFill="1" applyAlignment="1" applyProtection="1">
      <alignment horizontal="left"/>
      <protection hidden="1"/>
    </xf>
    <xf numFmtId="40" fontId="69" fillId="2" borderId="20" xfId="0" applyNumberFormat="1" applyFont="1" applyFill="1" applyBorder="1" applyAlignment="1" applyProtection="1">
      <alignment horizontal="right"/>
      <protection hidden="1"/>
    </xf>
    <xf numFmtId="40" fontId="59" fillId="5" borderId="0" xfId="0" applyNumberFormat="1" applyFont="1" applyFill="1" applyAlignment="1" applyProtection="1">
      <alignment horizontal="right"/>
      <protection hidden="1"/>
    </xf>
    <xf numFmtId="40" fontId="0" fillId="5" borderId="0" xfId="0" applyNumberFormat="1" applyFill="1" applyProtection="1">
      <protection hidden="1"/>
    </xf>
    <xf numFmtId="38" fontId="7"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92" fillId="2" borderId="0" xfId="0" applyFont="1" applyFill="1" applyProtection="1">
      <protection hidden="1"/>
    </xf>
    <xf numFmtId="164" fontId="68"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center"/>
      <protection hidden="1"/>
    </xf>
    <xf numFmtId="38" fontId="21" fillId="2" borderId="4" xfId="0" applyNumberFormat="1" applyFont="1" applyFill="1" applyBorder="1" applyAlignment="1" applyProtection="1">
      <alignment horizontal="center"/>
      <protection hidden="1"/>
    </xf>
    <xf numFmtId="14" fontId="21" fillId="2" borderId="4" xfId="0" applyNumberFormat="1" applyFont="1" applyFill="1" applyBorder="1" applyAlignment="1" applyProtection="1">
      <alignment horizontal="center"/>
      <protection hidden="1"/>
    </xf>
    <xf numFmtId="1" fontId="93" fillId="2" borderId="0" xfId="0" applyNumberFormat="1" applyFont="1" applyFill="1" applyProtection="1">
      <protection hidden="1"/>
    </xf>
    <xf numFmtId="0" fontId="9" fillId="5" borderId="19" xfId="0" applyFont="1" applyFill="1" applyBorder="1" applyAlignment="1" applyProtection="1">
      <alignment horizontal="center"/>
      <protection hidden="1"/>
    </xf>
    <xf numFmtId="40" fontId="68" fillId="2" borderId="0" xfId="0" applyNumberFormat="1" applyFont="1" applyFill="1" applyAlignment="1" applyProtection="1">
      <alignment horizontal="right"/>
      <protection hidden="1"/>
    </xf>
    <xf numFmtId="0" fontId="9" fillId="5" borderId="5" xfId="0" applyFont="1" applyFill="1" applyBorder="1" applyAlignment="1" applyProtection="1">
      <alignment horizontal="center"/>
      <protection hidden="1"/>
    </xf>
    <xf numFmtId="0" fontId="9" fillId="5" borderId="7" xfId="0" applyFont="1" applyFill="1" applyBorder="1" applyAlignment="1" applyProtection="1">
      <alignment horizontal="center"/>
      <protection hidden="1"/>
    </xf>
    <xf numFmtId="164" fontId="68" fillId="2" borderId="0" xfId="0" applyNumberFormat="1" applyFont="1" applyFill="1" applyAlignment="1" applyProtection="1">
      <alignment horizontal="center"/>
      <protection hidden="1"/>
    </xf>
    <xf numFmtId="40" fontId="56" fillId="2" borderId="0" xfId="0" applyNumberFormat="1" applyFont="1" applyFill="1" applyAlignment="1" applyProtection="1">
      <alignment horizontal="right"/>
      <protection hidden="1"/>
    </xf>
    <xf numFmtId="40" fontId="69" fillId="2" borderId="20" xfId="0" applyNumberFormat="1" applyFont="1" applyFill="1" applyBorder="1" applyAlignment="1" applyProtection="1">
      <alignment horizontal="center"/>
      <protection hidden="1"/>
    </xf>
    <xf numFmtId="1" fontId="7" fillId="0" borderId="60" xfId="0" applyNumberFormat="1" applyFont="1" applyBorder="1" applyAlignment="1" applyProtection="1">
      <alignment horizontal="center"/>
      <protection locked="0"/>
    </xf>
    <xf numFmtId="1" fontId="42" fillId="2" borderId="0" xfId="0" applyNumberFormat="1" applyFont="1" applyFill="1" applyProtection="1">
      <protection hidden="1"/>
    </xf>
    <xf numFmtId="0" fontId="24" fillId="2" borderId="0" xfId="0" applyFont="1" applyFill="1" applyProtection="1">
      <protection hidden="1"/>
    </xf>
    <xf numFmtId="0" fontId="7" fillId="2" borderId="20" xfId="0" applyFont="1" applyFill="1" applyBorder="1" applyAlignment="1" applyProtection="1">
      <alignment horizontal="center"/>
      <protection hidden="1"/>
    </xf>
    <xf numFmtId="0" fontId="60" fillId="5" borderId="0" xfId="0" applyFont="1" applyFill="1" applyAlignment="1" applyProtection="1">
      <alignment horizontal="left"/>
      <protection hidden="1"/>
    </xf>
    <xf numFmtId="0" fontId="0" fillId="5" borderId="0" xfId="0" applyFill="1" applyAlignment="1" applyProtection="1">
      <alignment wrapText="1"/>
      <protection hidden="1"/>
    </xf>
    <xf numFmtId="40" fontId="0" fillId="2" borderId="29" xfId="0" applyNumberFormat="1" applyFill="1" applyBorder="1" applyProtection="1">
      <protection hidden="1"/>
    </xf>
    <xf numFmtId="40" fontId="67" fillId="2" borderId="4" xfId="0" applyNumberFormat="1" applyFont="1" applyFill="1" applyBorder="1" applyAlignment="1" applyProtection="1">
      <alignment horizontal="left"/>
      <protection hidden="1"/>
    </xf>
    <xf numFmtId="40" fontId="67" fillId="2" borderId="4" xfId="0" applyNumberFormat="1" applyFont="1" applyFill="1" applyBorder="1" applyAlignment="1" applyProtection="1">
      <alignment horizontal="right"/>
      <protection hidden="1"/>
    </xf>
    <xf numFmtId="170" fontId="0" fillId="2" borderId="0" xfId="0" applyNumberFormat="1" applyFill="1" applyAlignment="1" applyProtection="1">
      <alignment horizontal="left"/>
      <protection hidden="1"/>
    </xf>
    <xf numFmtId="0" fontId="64" fillId="2" borderId="0" xfId="0" applyFont="1" applyFill="1" applyProtection="1">
      <protection hidden="1"/>
    </xf>
    <xf numFmtId="40" fontId="54"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3" fillId="5" borderId="0" xfId="0" applyFont="1" applyFill="1" applyProtection="1">
      <protection hidden="1"/>
    </xf>
    <xf numFmtId="0" fontId="13" fillId="2" borderId="23" xfId="0" applyFont="1" applyFill="1" applyBorder="1" applyProtection="1">
      <protection hidden="1"/>
    </xf>
    <xf numFmtId="0" fontId="0" fillId="2" borderId="26" xfId="0" applyFill="1" applyBorder="1" applyProtection="1">
      <protection hidden="1"/>
    </xf>
    <xf numFmtId="0" fontId="0" fillId="12" borderId="0" xfId="0" applyFill="1" applyAlignment="1" applyProtection="1">
      <alignment wrapText="1"/>
      <protection locked="0" hidden="1"/>
    </xf>
    <xf numFmtId="40" fontId="19" fillId="12" borderId="0" xfId="0" applyNumberFormat="1" applyFont="1" applyFill="1" applyAlignment="1" applyProtection="1">
      <alignment horizontal="right"/>
      <protection locked="0" hidden="1"/>
    </xf>
    <xf numFmtId="40" fontId="67" fillId="5" borderId="0" xfId="0" applyNumberFormat="1" applyFont="1" applyFill="1" applyAlignment="1" applyProtection="1">
      <alignment horizontal="right"/>
      <protection hidden="1"/>
    </xf>
    <xf numFmtId="0" fontId="13"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27" fillId="2" borderId="5" xfId="0" applyFont="1" applyFill="1" applyBorder="1" applyAlignment="1" applyProtection="1">
      <alignment vertical="center"/>
      <protection hidden="1"/>
    </xf>
    <xf numFmtId="0" fontId="13" fillId="2" borderId="0" xfId="0" applyFont="1" applyFill="1" applyAlignment="1" applyProtection="1">
      <alignment horizontal="centerContinuous"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55" fillId="2" borderId="0" xfId="0" applyNumberFormat="1" applyFont="1" applyFill="1" applyAlignment="1" applyProtection="1">
      <alignment horizontal="left"/>
      <protection hidden="1"/>
    </xf>
    <xf numFmtId="0" fontId="39" fillId="2" borderId="7" xfId="0" applyFont="1" applyFill="1" applyBorder="1" applyProtection="1">
      <protection hidden="1"/>
    </xf>
    <xf numFmtId="0" fontId="81" fillId="2" borderId="0" xfId="0" applyFont="1" applyFill="1" applyAlignment="1" applyProtection="1">
      <alignment horizontal="center"/>
      <protection hidden="1"/>
    </xf>
    <xf numFmtId="49" fontId="23" fillId="2" borderId="7" xfId="0" applyNumberFormat="1" applyFont="1" applyFill="1" applyBorder="1" applyAlignment="1" applyProtection="1">
      <alignment horizontal="right"/>
      <protection hidden="1"/>
    </xf>
    <xf numFmtId="40" fontId="19" fillId="2" borderId="7" xfId="0" applyNumberFormat="1" applyFont="1" applyFill="1" applyBorder="1" applyAlignment="1" applyProtection="1">
      <alignment horizontal="right"/>
      <protection hidden="1"/>
    </xf>
    <xf numFmtId="40" fontId="19" fillId="2" borderId="19" xfId="0" applyNumberFormat="1" applyFont="1" applyFill="1" applyBorder="1" applyAlignment="1" applyProtection="1">
      <alignment horizontal="right"/>
      <protection hidden="1"/>
    </xf>
    <xf numFmtId="49" fontId="23" fillId="2" borderId="0" xfId="0" applyNumberFormat="1" applyFont="1" applyFill="1" applyAlignment="1" applyProtection="1">
      <alignment horizontal="right"/>
      <protection hidden="1"/>
    </xf>
    <xf numFmtId="40" fontId="19" fillId="2" borderId="20" xfId="0" applyNumberFormat="1" applyFont="1" applyFill="1" applyBorder="1" applyAlignment="1" applyProtection="1">
      <alignment horizontal="right"/>
      <protection hidden="1"/>
    </xf>
    <xf numFmtId="40" fontId="61" fillId="2" borderId="0" xfId="0" applyNumberFormat="1" applyFont="1" applyFill="1" applyAlignment="1" applyProtection="1">
      <alignment horizontal="right"/>
      <protection hidden="1"/>
    </xf>
    <xf numFmtId="0" fontId="7" fillId="2" borderId="20" xfId="0" applyFont="1" applyFill="1" applyBorder="1" applyProtection="1">
      <protection hidden="1"/>
    </xf>
    <xf numFmtId="37" fontId="7" fillId="2" borderId="0" xfId="0" applyNumberFormat="1" applyFont="1" applyFill="1" applyProtection="1">
      <protection hidden="1"/>
    </xf>
    <xf numFmtId="0" fontId="28" fillId="2" borderId="0" xfId="0" applyFont="1" applyFill="1" applyProtection="1">
      <protection hidden="1"/>
    </xf>
    <xf numFmtId="49" fontId="38" fillId="2" borderId="0" xfId="0" applyNumberFormat="1" applyFont="1" applyFill="1" applyAlignment="1" applyProtection="1">
      <alignment horizontal="center"/>
      <protection hidden="1"/>
    </xf>
    <xf numFmtId="3" fontId="7" fillId="2" borderId="20" xfId="0" applyNumberFormat="1" applyFont="1" applyFill="1" applyBorder="1" applyProtection="1">
      <protection hidden="1"/>
    </xf>
    <xf numFmtId="4" fontId="7" fillId="2" borderId="20" xfId="0" applyNumberFormat="1" applyFont="1" applyFill="1" applyBorder="1" applyProtection="1">
      <protection hidden="1"/>
    </xf>
    <xf numFmtId="0" fontId="7" fillId="2" borderId="5" xfId="0" applyFont="1" applyFill="1" applyBorder="1" applyProtection="1">
      <protection hidden="1"/>
    </xf>
    <xf numFmtId="4" fontId="42" fillId="2" borderId="22"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8" xfId="0" applyNumberFormat="1" applyFont="1" applyFill="1" applyBorder="1" applyProtection="1">
      <protection hidden="1"/>
    </xf>
    <xf numFmtId="40" fontId="67" fillId="2" borderId="0" xfId="0" applyNumberFormat="1" applyFont="1" applyFill="1" applyAlignment="1" applyProtection="1">
      <alignment horizontal="center"/>
      <protection hidden="1"/>
    </xf>
    <xf numFmtId="0" fontId="0" fillId="2" borderId="5" xfId="0" applyFill="1" applyBorder="1" applyAlignment="1" applyProtection="1">
      <alignment horizontal="left" vertical="center"/>
      <protection hidden="1"/>
    </xf>
    <xf numFmtId="0" fontId="31" fillId="6" borderId="23" xfId="0" applyFont="1" applyFill="1" applyBorder="1" applyAlignment="1" applyProtection="1">
      <alignment horizontal="centerContinuous"/>
      <protection hidden="1"/>
    </xf>
    <xf numFmtId="0" fontId="31" fillId="6" borderId="7" xfId="0" applyFont="1" applyFill="1" applyBorder="1" applyAlignment="1" applyProtection="1">
      <alignment horizontal="centerContinuous"/>
      <protection hidden="1"/>
    </xf>
    <xf numFmtId="0" fontId="31"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66" fillId="0" borderId="0" xfId="2" applyAlignment="1" applyProtection="1"/>
    <xf numFmtId="37" fontId="9" fillId="3" borderId="0" xfId="0" applyNumberFormat="1" applyFont="1" applyFill="1" applyAlignment="1" applyProtection="1">
      <alignment horizontal="right"/>
      <protection hidden="1"/>
    </xf>
    <xf numFmtId="0" fontId="21" fillId="8" borderId="0" xfId="0" applyFont="1" applyFill="1" applyProtection="1">
      <protection hidden="1"/>
    </xf>
    <xf numFmtId="0" fontId="3" fillId="0" borderId="0" xfId="0" applyFont="1" applyAlignment="1">
      <alignment horizontal="center"/>
    </xf>
    <xf numFmtId="0" fontId="3" fillId="3" borderId="4" xfId="0" applyFont="1" applyFill="1" applyBorder="1" applyAlignment="1" applyProtection="1">
      <alignment vertical="center"/>
      <protection hidden="1"/>
    </xf>
    <xf numFmtId="0" fontId="3" fillId="3" borderId="3" xfId="0" quotePrefix="1" applyFont="1" applyFill="1" applyBorder="1" applyAlignment="1" applyProtection="1">
      <alignment horizontal="right"/>
      <protection hidden="1"/>
    </xf>
    <xf numFmtId="0" fontId="0" fillId="2" borderId="7" xfId="0" applyFill="1" applyBorder="1" applyAlignment="1" applyProtection="1">
      <alignment wrapText="1"/>
      <protection hidden="1"/>
    </xf>
    <xf numFmtId="164" fontId="23" fillId="2" borderId="7" xfId="0" applyNumberFormat="1" applyFont="1" applyFill="1" applyBorder="1" applyAlignment="1" applyProtection="1">
      <alignment horizontal="center"/>
      <protection hidden="1"/>
    </xf>
    <xf numFmtId="164" fontId="23" fillId="2" borderId="7" xfId="0" applyNumberFormat="1" applyFont="1" applyFill="1" applyBorder="1" applyAlignment="1" applyProtection="1">
      <alignment horizontal="right"/>
      <protection hidden="1"/>
    </xf>
    <xf numFmtId="0" fontId="92" fillId="2" borderId="7" xfId="0" applyFont="1" applyFill="1" applyBorder="1" applyProtection="1">
      <protection hidden="1"/>
    </xf>
    <xf numFmtId="0" fontId="0" fillId="2" borderId="1" xfId="0" applyFill="1" applyBorder="1" applyAlignment="1" applyProtection="1">
      <alignment wrapText="1"/>
      <protection hidden="1"/>
    </xf>
    <xf numFmtId="0" fontId="92" fillId="2" borderId="1" xfId="0" applyFont="1" applyFill="1" applyBorder="1" applyProtection="1">
      <protection hidden="1"/>
    </xf>
    <xf numFmtId="164" fontId="23" fillId="2" borderId="1" xfId="0" applyNumberFormat="1" applyFont="1" applyFill="1" applyBorder="1" applyAlignment="1" applyProtection="1">
      <alignment horizontal="center"/>
      <protection hidden="1"/>
    </xf>
    <xf numFmtId="164" fontId="23" fillId="2" borderId="1" xfId="0" applyNumberFormat="1" applyFont="1" applyFill="1" applyBorder="1" applyAlignment="1" applyProtection="1">
      <alignment horizontal="right"/>
      <protection hidden="1"/>
    </xf>
    <xf numFmtId="40" fontId="19" fillId="2" borderId="1" xfId="0" applyNumberFormat="1" applyFont="1" applyFill="1" applyBorder="1" applyAlignment="1" applyProtection="1">
      <alignment horizontal="right"/>
      <protection hidden="1"/>
    </xf>
    <xf numFmtId="40" fontId="19" fillId="2" borderId="29"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1" fillId="2" borderId="0" xfId="0" applyNumberFormat="1" applyFont="1" applyFill="1" applyAlignment="1" applyProtection="1">
      <alignment horizontal="right"/>
      <protection hidden="1"/>
    </xf>
    <xf numFmtId="0" fontId="21" fillId="4" borderId="0" xfId="0" applyFont="1" applyFill="1" applyProtection="1">
      <protection locked="0"/>
    </xf>
    <xf numFmtId="3" fontId="0" fillId="2" borderId="1" xfId="0" applyNumberFormat="1" applyFill="1" applyBorder="1" applyProtection="1">
      <protection locked="0"/>
    </xf>
    <xf numFmtId="0" fontId="56" fillId="2" borderId="2" xfId="0" applyFont="1" applyFill="1" applyBorder="1" applyAlignment="1" applyProtection="1">
      <alignment horizontal="center"/>
      <protection locked="0" hidden="1"/>
    </xf>
    <xf numFmtId="0" fontId="28" fillId="3" borderId="0" xfId="0" applyFont="1" applyFill="1" applyAlignment="1" applyProtection="1">
      <alignment horizontal="center"/>
      <protection hidden="1"/>
    </xf>
    <xf numFmtId="0" fontId="28" fillId="3" borderId="0" xfId="0" applyFont="1" applyFill="1" applyAlignment="1" applyProtection="1">
      <alignment horizontal="left"/>
      <protection hidden="1"/>
    </xf>
    <xf numFmtId="0" fontId="8" fillId="3" borderId="24" xfId="0" applyFont="1" applyFill="1" applyBorder="1" applyProtection="1">
      <protection hidden="1"/>
    </xf>
    <xf numFmtId="39" fontId="9" fillId="3" borderId="0" xfId="0" applyNumberFormat="1" applyFont="1" applyFill="1" applyAlignment="1" applyProtection="1">
      <alignment horizontal="left"/>
      <protection hidden="1"/>
    </xf>
    <xf numFmtId="0" fontId="72" fillId="2" borderId="0" xfId="0" applyFont="1" applyFill="1" applyAlignment="1" applyProtection="1">
      <alignment horizontal="left" vertical="top"/>
      <protection hidden="1"/>
    </xf>
    <xf numFmtId="0" fontId="3" fillId="3" borderId="30" xfId="0" applyFont="1" applyFill="1" applyBorder="1" applyAlignment="1" applyProtection="1">
      <alignment horizontal="right"/>
      <protection hidden="1"/>
    </xf>
    <xf numFmtId="38" fontId="7" fillId="2" borderId="0" xfId="0" applyNumberFormat="1" applyFont="1" applyFill="1" applyProtection="1">
      <protection locked="0"/>
    </xf>
    <xf numFmtId="1" fontId="30" fillId="2" borderId="0" xfId="0" applyNumberFormat="1" applyFont="1" applyFill="1" applyProtection="1">
      <protection locked="0"/>
    </xf>
    <xf numFmtId="40" fontId="8" fillId="2" borderId="0" xfId="0" applyNumberFormat="1" applyFont="1" applyFill="1" applyProtection="1">
      <protection hidden="1"/>
    </xf>
    <xf numFmtId="0" fontId="0" fillId="4" borderId="7" xfId="0" applyFill="1" applyBorder="1" applyProtection="1">
      <protection locked="0" hidden="1"/>
    </xf>
    <xf numFmtId="38" fontId="82" fillId="2" borderId="0" xfId="0" applyNumberFormat="1" applyFont="1" applyFill="1" applyAlignment="1" applyProtection="1">
      <alignment horizontal="right"/>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9" fillId="5" borderId="0" xfId="0" applyFont="1" applyFill="1" applyAlignment="1">
      <alignment horizontal="center"/>
    </xf>
    <xf numFmtId="1" fontId="0" fillId="5" borderId="0" xfId="0" applyNumberFormat="1" applyFill="1" applyProtection="1">
      <protection hidden="1"/>
    </xf>
    <xf numFmtId="1" fontId="8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0"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 fillId="3" borderId="0" xfId="0" applyFont="1" applyFill="1" applyProtection="1">
      <protection locked="0"/>
    </xf>
    <xf numFmtId="39" fontId="28" fillId="3" borderId="0" xfId="0" applyNumberFormat="1" applyFont="1" applyFill="1" applyAlignment="1" applyProtection="1">
      <alignment horizontal="center"/>
      <protection hidden="1"/>
    </xf>
    <xf numFmtId="0" fontId="28" fillId="2" borderId="0" xfId="0" applyFont="1" applyFill="1" applyAlignment="1" applyProtection="1">
      <alignment horizontal="center"/>
      <protection hidden="1"/>
    </xf>
    <xf numFmtId="4" fontId="62" fillId="3" borderId="0" xfId="0" applyNumberFormat="1" applyFont="1" applyFill="1" applyAlignment="1" applyProtection="1">
      <alignment horizontal="right"/>
      <protection hidden="1"/>
    </xf>
    <xf numFmtId="39" fontId="28" fillId="3" borderId="5" xfId="0" applyNumberFormat="1" applyFont="1" applyFill="1" applyBorder="1" applyAlignment="1" applyProtection="1">
      <alignment horizontal="right" vertical="center"/>
      <protection hidden="1"/>
    </xf>
    <xf numFmtId="39" fontId="21" fillId="3" borderId="5"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64" fillId="2" borderId="0" xfId="0" applyFont="1" applyFill="1" applyAlignment="1" applyProtection="1">
      <alignment horizontal="center"/>
      <protection hidden="1"/>
    </xf>
    <xf numFmtId="3" fontId="0" fillId="2" borderId="1" xfId="0" applyNumberFormat="1" applyFill="1" applyBorder="1" applyProtection="1">
      <protection hidden="1"/>
    </xf>
    <xf numFmtId="0" fontId="94"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66" fillId="11" borderId="61" xfId="2" applyFill="1" applyBorder="1" applyAlignment="1" applyProtection="1">
      <alignment horizontal="centerContinuous"/>
    </xf>
    <xf numFmtId="0" fontId="66" fillId="11" borderId="62" xfId="2" applyFill="1" applyBorder="1" applyAlignment="1" applyProtection="1">
      <alignment horizontal="centerContinuous"/>
    </xf>
    <xf numFmtId="0" fontId="66" fillId="11" borderId="63" xfId="2" applyFill="1" applyBorder="1" applyAlignment="1" applyProtection="1">
      <alignment horizontal="centerContinuous"/>
    </xf>
    <xf numFmtId="0" fontId="87" fillId="0" borderId="0" xfId="0" applyFont="1" applyProtection="1">
      <protection hidden="1"/>
    </xf>
    <xf numFmtId="0" fontId="9" fillId="2" borderId="22" xfId="0" applyFont="1" applyFill="1" applyBorder="1" applyProtection="1">
      <protection hidden="1"/>
    </xf>
    <xf numFmtId="0" fontId="56" fillId="5" borderId="0" xfId="0" applyFont="1" applyFill="1" applyAlignment="1">
      <alignment horizontal="center"/>
    </xf>
    <xf numFmtId="38" fontId="7" fillId="2" borderId="8" xfId="0" applyNumberFormat="1" applyFont="1" applyFill="1" applyBorder="1" applyProtection="1">
      <protection hidden="1"/>
    </xf>
    <xf numFmtId="40" fontId="56" fillId="2" borderId="0" xfId="0" applyNumberFormat="1" applyFont="1" applyFill="1" applyProtection="1">
      <protection hidden="1"/>
    </xf>
    <xf numFmtId="0" fontId="21" fillId="2" borderId="0" xfId="0" applyFont="1" applyFill="1" applyAlignment="1">
      <alignment horizontal="right"/>
    </xf>
    <xf numFmtId="40" fontId="67" fillId="2" borderId="20" xfId="0" applyNumberFormat="1" applyFont="1" applyFill="1" applyBorder="1" applyAlignment="1" applyProtection="1">
      <alignment horizontal="right"/>
      <protection hidden="1"/>
    </xf>
    <xf numFmtId="0" fontId="3" fillId="2" borderId="4" xfId="0" applyFont="1" applyFill="1" applyBorder="1" applyAlignment="1" applyProtection="1">
      <alignment horizontal="center"/>
      <protection hidden="1"/>
    </xf>
    <xf numFmtId="3" fontId="21" fillId="2" borderId="4" xfId="0" applyNumberFormat="1" applyFont="1" applyFill="1" applyBorder="1"/>
    <xf numFmtId="38" fontId="0" fillId="2" borderId="22" xfId="0" applyNumberFormat="1" applyFill="1" applyBorder="1" applyAlignment="1" applyProtection="1">
      <alignment horizontal="right"/>
      <protection hidden="1"/>
    </xf>
    <xf numFmtId="0" fontId="3" fillId="13" borderId="0" xfId="0" applyFont="1" applyFill="1" applyAlignment="1" applyProtection="1">
      <alignment horizontal="center"/>
      <protection hidden="1"/>
    </xf>
    <xf numFmtId="0" fontId="0" fillId="13" borderId="0" xfId="0" applyFill="1" applyProtection="1">
      <protection hidden="1"/>
    </xf>
    <xf numFmtId="3" fontId="21" fillId="13" borderId="0" xfId="0" applyNumberFormat="1" applyFont="1" applyFill="1"/>
    <xf numFmtId="38" fontId="0" fillId="13" borderId="20" xfId="0" applyNumberFormat="1" applyFill="1" applyBorder="1" applyAlignment="1" applyProtection="1">
      <alignment horizontal="right"/>
      <protection hidden="1"/>
    </xf>
    <xf numFmtId="40" fontId="64" fillId="2" borderId="0" xfId="0" applyNumberFormat="1" applyFont="1" applyFill="1" applyAlignment="1" applyProtection="1">
      <alignment horizontal="right"/>
      <protection hidden="1"/>
    </xf>
    <xf numFmtId="40" fontId="24" fillId="2" borderId="0" xfId="0" applyNumberFormat="1" applyFont="1" applyFill="1" applyAlignment="1" applyProtection="1">
      <alignment horizontal="right" vertical="center"/>
      <protection hidden="1"/>
    </xf>
    <xf numFmtId="0" fontId="56" fillId="2" borderId="8" xfId="0" applyFont="1" applyFill="1" applyBorder="1" applyAlignment="1" applyProtection="1">
      <alignment horizontal="left"/>
      <protection hidden="1"/>
    </xf>
    <xf numFmtId="164" fontId="79" fillId="2" borderId="0" xfId="0" applyNumberFormat="1" applyFont="1" applyFill="1" applyProtection="1">
      <protection hidden="1"/>
    </xf>
    <xf numFmtId="38" fontId="95" fillId="2" borderId="20" xfId="0" applyNumberFormat="1" applyFont="1" applyFill="1" applyBorder="1" applyAlignment="1" applyProtection="1">
      <alignment horizontal="right"/>
      <protection hidden="1"/>
    </xf>
    <xf numFmtId="40" fontId="95" fillId="5" borderId="0" xfId="0" applyNumberFormat="1" applyFont="1" applyFill="1" applyProtection="1">
      <protection hidden="1"/>
    </xf>
    <xf numFmtId="0" fontId="95" fillId="2" borderId="0" xfId="0" applyFont="1" applyFill="1" applyProtection="1">
      <protection hidden="1"/>
    </xf>
    <xf numFmtId="40" fontId="95" fillId="2" borderId="20" xfId="0" applyNumberFormat="1" applyFont="1" applyFill="1" applyBorder="1" applyProtection="1">
      <protection hidden="1"/>
    </xf>
    <xf numFmtId="40" fontId="95"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95" fillId="4" borderId="0" xfId="0" applyFont="1" applyFill="1" applyProtection="1">
      <protection locked="0"/>
    </xf>
    <xf numFmtId="0" fontId="95" fillId="4" borderId="0" xfId="0" applyFont="1" applyFill="1" applyAlignment="1" applyProtection="1">
      <alignment vertical="center"/>
      <protection locked="0"/>
    </xf>
    <xf numFmtId="0" fontId="56" fillId="5" borderId="0" xfId="0" applyFont="1" applyFill="1"/>
    <xf numFmtId="0" fontId="0" fillId="2" borderId="0" xfId="0" quotePrefix="1" applyFill="1" applyProtection="1">
      <protection hidden="1"/>
    </xf>
    <xf numFmtId="37" fontId="21" fillId="2" borderId="0" xfId="0" applyNumberFormat="1" applyFont="1" applyFill="1" applyProtection="1">
      <protection hidden="1"/>
    </xf>
    <xf numFmtId="0" fontId="24" fillId="2" borderId="7" xfId="0" applyFont="1" applyFill="1" applyBorder="1" applyProtection="1">
      <protection hidden="1"/>
    </xf>
    <xf numFmtId="0" fontId="21" fillId="2" borderId="0" xfId="0" applyFont="1" applyFill="1" applyAlignment="1" applyProtection="1">
      <alignment horizontal="center"/>
      <protection hidden="1"/>
    </xf>
    <xf numFmtId="39" fontId="9" fillId="3" borderId="5" xfId="0" applyNumberFormat="1" applyFont="1" applyFill="1" applyBorder="1" applyAlignment="1" applyProtection="1">
      <alignment horizontal="right"/>
      <protection hidden="1"/>
    </xf>
    <xf numFmtId="0" fontId="96" fillId="0" borderId="0" xfId="0" applyFont="1"/>
    <xf numFmtId="0" fontId="0" fillId="2" borderId="4" xfId="0" applyFill="1" applyBorder="1" applyAlignment="1" applyProtection="1">
      <alignment vertical="center"/>
      <protection hidden="1"/>
    </xf>
    <xf numFmtId="0" fontId="0" fillId="5" borderId="65" xfId="0" applyFill="1" applyBorder="1"/>
    <xf numFmtId="0" fontId="0" fillId="5" borderId="65" xfId="0" applyFill="1" applyBorder="1" applyProtection="1">
      <protection hidden="1"/>
    </xf>
    <xf numFmtId="0" fontId="0" fillId="0" borderId="65" xfId="0" applyBorder="1"/>
    <xf numFmtId="0" fontId="64" fillId="2" borderId="0" xfId="0" applyFont="1" applyFill="1" applyAlignment="1" applyProtection="1">
      <alignment horizontal="center" vertical="center"/>
      <protection hidden="1"/>
    </xf>
    <xf numFmtId="0" fontId="58" fillId="4" borderId="7" xfId="0" applyFont="1" applyFill="1" applyBorder="1" applyAlignment="1" applyProtection="1">
      <alignment horizontal="right"/>
      <protection locked="0" hidden="1"/>
    </xf>
    <xf numFmtId="0" fontId="58" fillId="4" borderId="0" xfId="0" applyFont="1" applyFill="1" applyAlignment="1" applyProtection="1">
      <alignment horizontal="right"/>
      <protection locked="0" hidden="1"/>
    </xf>
    <xf numFmtId="0" fontId="82" fillId="2" borderId="0" xfId="0" applyFont="1" applyFill="1" applyProtection="1">
      <protection hidden="1"/>
    </xf>
    <xf numFmtId="0" fontId="0" fillId="2" borderId="20" xfId="0" applyFill="1" applyBorder="1" applyAlignment="1" applyProtection="1">
      <alignment horizontal="left" vertical="center"/>
      <protection hidden="1"/>
    </xf>
    <xf numFmtId="49" fontId="36" fillId="2" borderId="0" xfId="0" quotePrefix="1" applyNumberFormat="1" applyFont="1" applyFill="1" applyAlignment="1" applyProtection="1">
      <alignment horizontal="left"/>
      <protection hidden="1"/>
    </xf>
    <xf numFmtId="40" fontId="64" fillId="2" borderId="0" xfId="0" applyNumberFormat="1" applyFont="1" applyFill="1" applyAlignment="1" applyProtection="1">
      <alignment horizontal="center"/>
      <protection hidden="1"/>
    </xf>
    <xf numFmtId="0" fontId="20" fillId="2" borderId="4"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3" fillId="2" borderId="7" xfId="0" applyFont="1" applyFill="1" applyBorder="1" applyProtection="1">
      <protection hidden="1"/>
    </xf>
    <xf numFmtId="0" fontId="13" fillId="2" borderId="7" xfId="0" applyFont="1" applyFill="1" applyBorder="1" applyAlignment="1" applyProtection="1">
      <alignment horizontal="right"/>
      <protection hidden="1"/>
    </xf>
    <xf numFmtId="0" fontId="0" fillId="2" borderId="1" xfId="0" applyFill="1" applyBorder="1" applyAlignment="1" applyProtection="1">
      <alignment vertical="top" wrapText="1"/>
      <protection hidden="1"/>
    </xf>
    <xf numFmtId="3" fontId="0" fillId="2" borderId="12" xfId="0" applyNumberFormat="1" applyFill="1" applyBorder="1" applyProtection="1">
      <protection locked="0"/>
    </xf>
    <xf numFmtId="0" fontId="0" fillId="2" borderId="20"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56" fillId="2" borderId="0" xfId="0" applyNumberFormat="1" applyFont="1" applyFill="1" applyProtection="1">
      <protection hidden="1"/>
    </xf>
    <xf numFmtId="40" fontId="95" fillId="2" borderId="0" xfId="0" applyNumberFormat="1" applyFont="1" applyFill="1" applyAlignment="1" applyProtection="1">
      <alignment horizontal="right"/>
      <protection hidden="1"/>
    </xf>
    <xf numFmtId="0" fontId="0" fillId="5" borderId="0" xfId="0" applyFill="1" applyAlignment="1">
      <alignment horizontal="centerContinuous"/>
    </xf>
    <xf numFmtId="0" fontId="56" fillId="5" borderId="0" xfId="0" applyFont="1" applyFill="1" applyAlignment="1">
      <alignment horizontal="centerContinuous"/>
    </xf>
    <xf numFmtId="0" fontId="65" fillId="5" borderId="0" xfId="0" applyFont="1" applyFill="1" applyAlignment="1" applyProtection="1">
      <alignment horizontal="centerContinuous"/>
      <protection hidden="1"/>
    </xf>
    <xf numFmtId="0" fontId="56" fillId="5" borderId="0" xfId="0" applyFont="1" applyFill="1" applyAlignment="1" applyProtection="1">
      <alignment vertical="center"/>
      <protection hidden="1"/>
    </xf>
    <xf numFmtId="0" fontId="0" fillId="2" borderId="22" xfId="0" applyFill="1" applyBorder="1" applyAlignment="1" applyProtection="1">
      <alignment vertical="top"/>
      <protection hidden="1"/>
    </xf>
    <xf numFmtId="0" fontId="0" fillId="0" borderId="7"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0" fontId="8" fillId="3" borderId="0" xfId="0" applyFont="1" applyFill="1" applyAlignment="1" applyProtection="1">
      <alignment horizontal="center" vertical="top"/>
      <protection hidden="1"/>
    </xf>
    <xf numFmtId="0" fontId="46" fillId="0" borderId="0" xfId="0" applyFont="1" applyAlignment="1" applyProtection="1">
      <alignment horizontal="center"/>
      <protection hidden="1"/>
    </xf>
    <xf numFmtId="0" fontId="28" fillId="0" borderId="0" xfId="0" applyFont="1"/>
    <xf numFmtId="38" fontId="87" fillId="2" borderId="0" xfId="0" applyNumberFormat="1" applyFont="1" applyFill="1" applyProtection="1">
      <protection hidden="1"/>
    </xf>
    <xf numFmtId="0" fontId="7" fillId="3" borderId="25" xfId="0" applyFont="1" applyFill="1" applyBorder="1" applyProtection="1">
      <protection hidden="1"/>
    </xf>
    <xf numFmtId="0" fontId="10" fillId="2" borderId="5"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1" xfId="0" applyFont="1" applyFill="1" applyBorder="1" applyProtection="1">
      <protection hidden="1"/>
    </xf>
    <xf numFmtId="49" fontId="52" fillId="3" borderId="72"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0" fontId="0" fillId="8" borderId="3" xfId="0" applyFill="1" applyBorder="1" applyProtection="1">
      <protection hidden="1"/>
    </xf>
    <xf numFmtId="0" fontId="5" fillId="3" borderId="0" xfId="0" applyFont="1" applyFill="1" applyAlignment="1" applyProtection="1">
      <alignment vertical="top"/>
      <protection hidden="1"/>
    </xf>
    <xf numFmtId="0" fontId="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0" fillId="13" borderId="25" xfId="0" applyFill="1" applyBorder="1" applyProtection="1">
      <protection hidden="1"/>
    </xf>
    <xf numFmtId="0" fontId="74" fillId="13" borderId="25" xfId="0" applyFont="1" applyFill="1" applyBorder="1" applyAlignment="1" applyProtection="1">
      <alignment horizontal="center" vertical="center"/>
      <protection hidden="1"/>
    </xf>
    <xf numFmtId="0" fontId="0" fillId="2" borderId="25" xfId="0" applyFill="1" applyBorder="1" applyProtection="1">
      <protection hidden="1"/>
    </xf>
    <xf numFmtId="0" fontId="5" fillId="2" borderId="0" xfId="0" applyFont="1" applyFill="1" applyAlignment="1" applyProtection="1">
      <alignment vertical="top"/>
      <protection hidden="1"/>
    </xf>
    <xf numFmtId="0" fontId="21" fillId="2" borderId="0" xfId="0" applyFont="1" applyFill="1" applyAlignment="1" applyProtection="1">
      <alignment vertical="center"/>
      <protection hidden="1"/>
    </xf>
    <xf numFmtId="164" fontId="5" fillId="2" borderId="7" xfId="0" applyNumberFormat="1" applyFont="1" applyFill="1" applyBorder="1" applyProtection="1">
      <protection hidden="1"/>
    </xf>
    <xf numFmtId="0" fontId="5" fillId="5" borderId="0" xfId="0" applyFont="1" applyFill="1" applyProtection="1">
      <protection hidden="1"/>
    </xf>
    <xf numFmtId="1" fontId="7" fillId="3" borderId="7" xfId="0" applyNumberFormat="1" applyFont="1" applyFill="1" applyBorder="1" applyAlignment="1" applyProtection="1">
      <alignment horizontal="left"/>
      <protection hidden="1"/>
    </xf>
    <xf numFmtId="40" fontId="69" fillId="2" borderId="20" xfId="0" applyNumberFormat="1" applyFont="1" applyFill="1" applyBorder="1" applyAlignment="1" applyProtection="1">
      <alignment horizontal="left" vertical="center"/>
      <protection hidden="1"/>
    </xf>
    <xf numFmtId="0" fontId="21" fillId="4" borderId="0" xfId="0" applyFont="1" applyFill="1" applyAlignment="1" applyProtection="1">
      <alignment horizontal="center"/>
      <protection hidden="1"/>
    </xf>
    <xf numFmtId="0" fontId="5" fillId="2" borderId="7" xfId="0" applyFont="1" applyFill="1" applyBorder="1" applyProtection="1">
      <protection hidden="1"/>
    </xf>
    <xf numFmtId="0" fontId="5" fillId="2" borderId="0" xfId="0" quotePrefix="1" applyFont="1" applyFill="1" applyAlignment="1">
      <alignment horizontal="right"/>
    </xf>
    <xf numFmtId="0" fontId="5" fillId="5" borderId="0" xfId="0" applyFont="1" applyFill="1" applyAlignment="1" applyProtection="1">
      <alignment horizontal="center"/>
      <protection hidden="1"/>
    </xf>
    <xf numFmtId="0" fontId="101" fillId="5" borderId="0" xfId="0" applyFont="1" applyFill="1" applyProtection="1">
      <protection hidden="1"/>
    </xf>
    <xf numFmtId="0" fontId="5" fillId="3" borderId="0" xfId="0" applyFont="1" applyFill="1" applyProtection="1">
      <protection hidden="1"/>
    </xf>
    <xf numFmtId="0" fontId="8" fillId="3" borderId="25" xfId="0" applyFont="1" applyFill="1" applyBorder="1" applyAlignment="1" applyProtection="1">
      <alignment horizontal="right"/>
      <protection hidden="1"/>
    </xf>
    <xf numFmtId="0" fontId="43" fillId="2" borderId="8" xfId="0" applyFont="1" applyFill="1" applyBorder="1" applyAlignment="1" applyProtection="1">
      <alignment vertical="center"/>
      <protection hidden="1"/>
    </xf>
    <xf numFmtId="0" fontId="0" fillId="2" borderId="8" xfId="0" applyFill="1" applyBorder="1" applyAlignment="1">
      <alignment horizontal="center" wrapText="1"/>
    </xf>
    <xf numFmtId="0" fontId="97" fillId="0" borderId="0" xfId="0" applyFont="1" applyProtection="1">
      <protection hidden="1"/>
    </xf>
    <xf numFmtId="6" fontId="102"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0" fontId="36" fillId="2" borderId="5" xfId="0" quotePrefix="1" applyFont="1" applyFill="1" applyBorder="1" applyAlignment="1" applyProtection="1">
      <alignment horizontal="left"/>
      <protection hidden="1"/>
    </xf>
    <xf numFmtId="0" fontId="36" fillId="2" borderId="5" xfId="0" quotePrefix="1" applyFont="1" applyFill="1" applyBorder="1" applyAlignment="1" applyProtection="1">
      <alignment horizontal="left" vertical="center"/>
      <protection hidden="1"/>
    </xf>
    <xf numFmtId="0" fontId="5" fillId="2" borderId="25" xfId="0" applyFont="1" applyFill="1" applyBorder="1" applyProtection="1">
      <protection hidden="1"/>
    </xf>
    <xf numFmtId="0" fontId="56" fillId="2" borderId="25" xfId="0" applyFont="1" applyFill="1" applyBorder="1" applyProtection="1">
      <protection hidden="1"/>
    </xf>
    <xf numFmtId="0" fontId="21" fillId="2" borderId="25" xfId="0" applyFont="1" applyFill="1" applyBorder="1" applyProtection="1">
      <protection hidden="1"/>
    </xf>
    <xf numFmtId="0" fontId="0" fillId="2" borderId="68" xfId="0" applyFill="1" applyBorder="1" applyProtection="1">
      <protection hidden="1"/>
    </xf>
    <xf numFmtId="0" fontId="5" fillId="2" borderId="25" xfId="0" applyFont="1" applyFill="1" applyBorder="1" applyAlignment="1" applyProtection="1">
      <alignment horizontal="left" vertical="center"/>
      <protection hidden="1"/>
    </xf>
    <xf numFmtId="0" fontId="24" fillId="2" borderId="0" xfId="0" applyFont="1" applyFill="1" applyAlignment="1" applyProtection="1">
      <alignment horizontal="center" vertical="center"/>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0" fontId="9" fillId="2" borderId="0" xfId="0" applyFont="1" applyFill="1"/>
    <xf numFmtId="4" fontId="8" fillId="3" borderId="22" xfId="0" applyNumberFormat="1" applyFont="1" applyFill="1" applyBorder="1" applyAlignment="1" applyProtection="1">
      <alignment horizontal="right"/>
      <protection hidden="1"/>
    </xf>
    <xf numFmtId="0" fontId="15" fillId="2" borderId="4"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9" fillId="3" borderId="0" xfId="0" applyFont="1" applyFill="1" applyAlignment="1" applyProtection="1">
      <alignment vertical="top"/>
      <protection hidden="1"/>
    </xf>
    <xf numFmtId="0" fontId="11" fillId="3" borderId="7" xfId="0" applyFont="1" applyFill="1" applyBorder="1" applyAlignment="1" applyProtection="1">
      <alignment horizontal="right"/>
      <protection hidden="1"/>
    </xf>
    <xf numFmtId="0" fontId="8" fillId="3" borderId="31" xfId="0" applyFont="1" applyFill="1" applyBorder="1" applyAlignment="1" applyProtection="1">
      <alignment horizontal="right"/>
      <protection hidden="1"/>
    </xf>
    <xf numFmtId="0" fontId="7" fillId="3" borderId="31" xfId="0" applyFont="1" applyFill="1" applyBorder="1" applyProtection="1">
      <protection hidden="1"/>
    </xf>
    <xf numFmtId="0" fontId="9" fillId="3" borderId="31" xfId="0" applyFont="1" applyFill="1" applyBorder="1" applyProtection="1">
      <protection hidden="1"/>
    </xf>
    <xf numFmtId="0" fontId="3" fillId="3" borderId="31" xfId="0" applyFont="1" applyFill="1" applyBorder="1" applyAlignment="1" applyProtection="1">
      <alignment horizontal="center"/>
      <protection hidden="1"/>
    </xf>
    <xf numFmtId="4" fontId="0" fillId="3" borderId="31" xfId="0" applyNumberFormat="1" applyFill="1" applyBorder="1" applyProtection="1">
      <protection hidden="1"/>
    </xf>
    <xf numFmtId="0" fontId="15" fillId="3" borderId="7" xfId="0" applyFont="1" applyFill="1" applyBorder="1" applyAlignment="1" applyProtection="1">
      <alignment horizontal="right"/>
      <protection hidden="1"/>
    </xf>
    <xf numFmtId="0" fontId="0" fillId="0" borderId="0" xfId="0" applyAlignment="1" applyProtection="1">
      <alignment horizontal="left"/>
      <protection locked="0"/>
    </xf>
    <xf numFmtId="0" fontId="0" fillId="3" borderId="5" xfId="0" applyFill="1" applyBorder="1" applyProtection="1">
      <protection hidden="1"/>
    </xf>
    <xf numFmtId="0" fontId="0" fillId="3" borderId="31" xfId="0" applyFill="1" applyBorder="1" applyProtection="1">
      <protection hidden="1"/>
    </xf>
    <xf numFmtId="0" fontId="0" fillId="2" borderId="8" xfId="0" applyFill="1" applyBorder="1" applyAlignment="1" applyProtection="1">
      <alignment horizontal="left"/>
      <protection locked="0"/>
    </xf>
    <xf numFmtId="39" fontId="8" fillId="3" borderId="0" xfId="0" applyNumberFormat="1" applyFont="1" applyFill="1" applyProtection="1">
      <protection hidden="1"/>
    </xf>
    <xf numFmtId="0" fontId="3" fillId="3" borderId="74" xfId="0" applyFont="1" applyFill="1" applyBorder="1" applyAlignment="1" applyProtection="1">
      <alignment horizontal="center"/>
      <protection locked="0"/>
    </xf>
    <xf numFmtId="4" fontId="5" fillId="3" borderId="0" xfId="0" applyNumberFormat="1" applyFont="1" applyFill="1" applyAlignment="1" applyProtection="1">
      <alignment horizontal="left"/>
      <protection hidden="1"/>
    </xf>
    <xf numFmtId="0" fontId="8" fillId="3" borderId="9" xfId="0" applyFont="1" applyFill="1" applyBorder="1" applyAlignment="1" applyProtection="1">
      <alignment horizontal="center"/>
      <protection hidden="1"/>
    </xf>
    <xf numFmtId="0" fontId="5" fillId="3" borderId="4" xfId="0" applyFont="1" applyFill="1" applyBorder="1" applyProtection="1">
      <protection hidden="1"/>
    </xf>
    <xf numFmtId="39" fontId="8" fillId="3" borderId="4" xfId="0" applyNumberFormat="1" applyFont="1" applyFill="1" applyBorder="1" applyProtection="1">
      <protection hidden="1"/>
    </xf>
    <xf numFmtId="4" fontId="9" fillId="3" borderId="7" xfId="0" applyNumberFormat="1" applyFont="1" applyFill="1" applyBorder="1" applyAlignment="1" applyProtection="1">
      <alignment horizontal="center" vertical="top"/>
      <protection hidden="1"/>
    </xf>
    <xf numFmtId="3" fontId="100" fillId="0" borderId="0" xfId="0" applyNumberFormat="1" applyFont="1" applyAlignment="1" applyProtection="1">
      <alignment horizontal="center" wrapText="1"/>
      <protection hidden="1"/>
    </xf>
    <xf numFmtId="3" fontId="100" fillId="0" borderId="7"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03" fillId="0" borderId="0" xfId="0"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5" xfId="0" applyNumberFormat="1" applyFill="1" applyBorder="1" applyProtection="1">
      <protection hidden="1"/>
    </xf>
    <xf numFmtId="39" fontId="0" fillId="3" borderId="0" xfId="0" applyNumberFormat="1" applyFill="1" applyProtection="1">
      <protection hidden="1"/>
    </xf>
    <xf numFmtId="0" fontId="103" fillId="2" borderId="0" xfId="0" applyFont="1" applyFill="1" applyAlignment="1" applyProtection="1">
      <alignment horizontal="center"/>
      <protection hidden="1"/>
    </xf>
    <xf numFmtId="4" fontId="46" fillId="2" borderId="0" xfId="0" applyNumberFormat="1" applyFont="1" applyFill="1" applyProtection="1">
      <protection hidden="1"/>
    </xf>
    <xf numFmtId="4" fontId="49" fillId="2" borderId="0" xfId="0" applyNumberFormat="1" applyFont="1" applyFill="1" applyAlignment="1" applyProtection="1">
      <alignment horizontal="center"/>
      <protection hidden="1"/>
    </xf>
    <xf numFmtId="4" fontId="15"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9"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1" fillId="2" borderId="0" xfId="0" applyNumberFormat="1" applyFont="1" applyFill="1" applyProtection="1">
      <protection hidden="1"/>
    </xf>
    <xf numFmtId="39" fontId="9" fillId="2" borderId="0" xfId="0" applyNumberFormat="1" applyFont="1" applyFill="1" applyProtection="1">
      <protection hidden="1"/>
    </xf>
    <xf numFmtId="0" fontId="7"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8" fillId="2" borderId="7" xfId="0" applyFont="1" applyFill="1" applyBorder="1" applyAlignment="1" applyProtection="1">
      <alignment horizontal="center"/>
      <protection hidden="1"/>
    </xf>
    <xf numFmtId="3" fontId="8" fillId="3" borderId="30" xfId="0" applyNumberFormat="1" applyFont="1" applyFill="1" applyBorder="1" applyAlignment="1" applyProtection="1">
      <alignment horizontal="right"/>
      <protection hidden="1"/>
    </xf>
    <xf numFmtId="0" fontId="8" fillId="2" borderId="30" xfId="0" applyFont="1" applyFill="1" applyBorder="1" applyAlignment="1">
      <alignment horizontal="right"/>
    </xf>
    <xf numFmtId="0" fontId="8" fillId="2" borderId="8"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6" xfId="0" applyNumberFormat="1" applyFont="1" applyFill="1" applyBorder="1" applyAlignment="1" applyProtection="1">
      <alignment horizontal="right"/>
      <protection hidden="1"/>
    </xf>
    <xf numFmtId="3" fontId="8" fillId="2" borderId="78" xfId="0" applyNumberFormat="1" applyFont="1" applyFill="1" applyBorder="1" applyAlignment="1" applyProtection="1">
      <alignment horizontal="right"/>
      <protection hidden="1"/>
    </xf>
    <xf numFmtId="3" fontId="8" fillId="3" borderId="8" xfId="0" applyNumberFormat="1" applyFont="1" applyFill="1" applyBorder="1" applyAlignment="1" applyProtection="1">
      <alignment horizontal="right"/>
      <protection hidden="1"/>
    </xf>
    <xf numFmtId="0" fontId="0" fillId="3" borderId="13" xfId="0" applyFill="1" applyBorder="1" applyProtection="1">
      <protection hidden="1"/>
    </xf>
    <xf numFmtId="3" fontId="9" fillId="0" borderId="12" xfId="0" applyNumberFormat="1" applyFont="1" applyBorder="1"/>
    <xf numFmtId="0" fontId="9" fillId="0" borderId="12" xfId="0" applyFont="1" applyBorder="1" applyAlignment="1">
      <alignment horizontal="center"/>
    </xf>
    <xf numFmtId="0" fontId="9" fillId="0" borderId="0" xfId="0" applyFont="1" applyAlignment="1">
      <alignment horizontal="right"/>
    </xf>
    <xf numFmtId="0" fontId="9" fillId="0" borderId="0" xfId="0" applyFont="1" applyAlignment="1" applyProtection="1">
      <alignment horizontal="right"/>
      <protection hidden="1"/>
    </xf>
    <xf numFmtId="0" fontId="0" fillId="15" borderId="0" xfId="0" applyFill="1"/>
    <xf numFmtId="0" fontId="56" fillId="2" borderId="59" xfId="0" applyFont="1" applyFill="1" applyBorder="1" applyAlignment="1" applyProtection="1">
      <alignment horizontal="right"/>
      <protection hidden="1"/>
    </xf>
    <xf numFmtId="0" fontId="56" fillId="2" borderId="60" xfId="0" applyFont="1" applyFill="1" applyBorder="1" applyAlignment="1" applyProtection="1">
      <alignment horizontal="right"/>
      <protection hidden="1"/>
    </xf>
    <xf numFmtId="0" fontId="0" fillId="2" borderId="60" xfId="0" applyFill="1" applyBorder="1" applyProtection="1">
      <protection hidden="1"/>
    </xf>
    <xf numFmtId="0" fontId="20" fillId="2" borderId="0" xfId="0" applyFont="1" applyFill="1" applyAlignment="1" applyProtection="1">
      <alignment horizontal="left" vertical="center"/>
      <protection hidden="1"/>
    </xf>
    <xf numFmtId="0" fontId="0" fillId="15" borderId="16" xfId="0" applyFill="1" applyBorder="1"/>
    <xf numFmtId="0" fontId="107" fillId="2" borderId="5" xfId="0" applyFont="1" applyFill="1" applyBorder="1" applyAlignment="1" applyProtection="1">
      <alignment horizontal="right"/>
      <protection hidden="1"/>
    </xf>
    <xf numFmtId="0" fontId="108" fillId="2" borderId="41" xfId="0" applyFont="1" applyFill="1" applyBorder="1" applyProtection="1">
      <protection hidden="1"/>
    </xf>
    <xf numFmtId="0" fontId="107" fillId="2" borderId="5" xfId="0" applyFont="1" applyFill="1" applyBorder="1" applyAlignment="1" applyProtection="1">
      <alignment horizontal="right" vertical="top"/>
      <protection hidden="1"/>
    </xf>
    <xf numFmtId="0" fontId="108" fillId="2" borderId="41" xfId="0" applyFont="1" applyFill="1" applyBorder="1" applyAlignment="1" applyProtection="1">
      <alignment wrapText="1"/>
      <protection hidden="1"/>
    </xf>
    <xf numFmtId="4" fontId="108" fillId="2" borderId="49" xfId="0" applyNumberFormat="1" applyFont="1" applyFill="1" applyBorder="1" applyAlignment="1" applyProtection="1">
      <alignment horizontal="center"/>
      <protection hidden="1"/>
    </xf>
    <xf numFmtId="0" fontId="107" fillId="2" borderId="21" xfId="0" applyFont="1" applyFill="1" applyBorder="1" applyAlignment="1" applyProtection="1">
      <alignment horizontal="right"/>
      <protection hidden="1"/>
    </xf>
    <xf numFmtId="3" fontId="9" fillId="0" borderId="12" xfId="0" quotePrefix="1" applyNumberFormat="1" applyFont="1" applyBorder="1" applyAlignment="1">
      <alignment horizontal="center"/>
    </xf>
    <xf numFmtId="0" fontId="111" fillId="5" borderId="0" xfId="0" applyFont="1" applyFill="1" applyAlignment="1" applyProtection="1">
      <alignment horizontal="center" vertical="center"/>
      <protection locked="0"/>
    </xf>
    <xf numFmtId="39" fontId="112" fillId="3" borderId="5" xfId="0" applyNumberFormat="1" applyFont="1" applyFill="1" applyBorder="1" applyAlignment="1" applyProtection="1">
      <alignment horizontal="center" vertical="center"/>
      <protection hidden="1"/>
    </xf>
    <xf numFmtId="39" fontId="112" fillId="3" borderId="5" xfId="0" applyNumberFormat="1" applyFont="1" applyFill="1" applyBorder="1" applyAlignment="1" applyProtection="1">
      <alignment horizontal="right"/>
      <protection hidden="1"/>
    </xf>
    <xf numFmtId="39" fontId="112" fillId="3" borderId="5" xfId="0" applyNumberFormat="1" applyFont="1" applyFill="1" applyBorder="1" applyAlignment="1" applyProtection="1">
      <alignment vertical="center"/>
      <protection hidden="1"/>
    </xf>
    <xf numFmtId="0" fontId="5" fillId="0" borderId="4" xfId="0" applyFont="1" applyBorder="1" applyAlignment="1" applyProtection="1">
      <alignment vertical="top"/>
      <protection hidden="1"/>
    </xf>
    <xf numFmtId="4" fontId="0" fillId="3" borderId="69" xfId="0" applyNumberFormat="1" applyFill="1" applyBorder="1" applyProtection="1">
      <protection hidden="1"/>
    </xf>
    <xf numFmtId="4" fontId="0" fillId="15" borderId="3" xfId="0" applyNumberFormat="1" applyFill="1" applyBorder="1" applyProtection="1">
      <protection hidden="1"/>
    </xf>
    <xf numFmtId="4" fontId="0" fillId="15" borderId="0" xfId="0" applyNumberFormat="1" applyFill="1" applyProtection="1">
      <protection hidden="1"/>
    </xf>
    <xf numFmtId="4" fontId="0" fillId="15" borderId="24" xfId="0" applyNumberFormat="1" applyFill="1" applyBorder="1" applyProtection="1">
      <protection hidden="1"/>
    </xf>
    <xf numFmtId="4" fontId="0" fillId="3" borderId="70" xfId="0" applyNumberFormat="1" applyFill="1" applyBorder="1" applyProtection="1">
      <protection hidden="1"/>
    </xf>
    <xf numFmtId="0" fontId="112" fillId="3" borderId="25" xfId="0" applyFont="1" applyFill="1" applyBorder="1" applyProtection="1">
      <protection hidden="1"/>
    </xf>
    <xf numFmtId="0" fontId="112" fillId="3" borderId="31" xfId="0" applyFont="1" applyFill="1" applyBorder="1" applyProtection="1">
      <protection hidden="1"/>
    </xf>
    <xf numFmtId="0" fontId="110" fillId="2" borderId="0" xfId="0" applyFont="1" applyFill="1" applyProtection="1">
      <protection hidden="1"/>
    </xf>
    <xf numFmtId="0" fontId="112" fillId="0" borderId="0" xfId="0" applyFont="1" applyAlignment="1" applyProtection="1">
      <alignment horizontal="center"/>
      <protection hidden="1"/>
    </xf>
    <xf numFmtId="3" fontId="0" fillId="2" borderId="12" xfId="0" applyNumberFormat="1" applyFill="1" applyBorder="1" applyAlignment="1" applyProtection="1">
      <alignment horizontal="right" vertical="center"/>
      <protection locked="0"/>
    </xf>
    <xf numFmtId="0" fontId="0" fillId="15" borderId="0" xfId="0" applyFill="1" applyProtection="1">
      <protection hidden="1"/>
    </xf>
    <xf numFmtId="0" fontId="3" fillId="16" borderId="12" xfId="0" applyFont="1" applyFill="1" applyBorder="1" applyAlignment="1" applyProtection="1">
      <alignment horizontal="center" vertical="center"/>
      <protection locked="0"/>
    </xf>
    <xf numFmtId="0" fontId="3" fillId="16" borderId="2" xfId="0" applyFont="1" applyFill="1" applyBorder="1" applyAlignment="1" applyProtection="1">
      <alignment horizontal="center" vertical="center"/>
      <protection locked="0"/>
    </xf>
    <xf numFmtId="0" fontId="8" fillId="16" borderId="12" xfId="0" applyFont="1" applyFill="1" applyBorder="1" applyAlignment="1" applyProtection="1">
      <alignment horizontal="center" vertical="center"/>
      <protection locked="0"/>
    </xf>
    <xf numFmtId="167" fontId="8" fillId="16" borderId="12" xfId="0" applyNumberFormat="1" applyFont="1" applyFill="1" applyBorder="1" applyAlignment="1" applyProtection="1">
      <alignment horizontal="center"/>
      <protection locked="0"/>
    </xf>
    <xf numFmtId="0" fontId="8" fillId="16" borderId="2" xfId="0" applyFont="1" applyFill="1" applyBorder="1" applyAlignment="1" applyProtection="1">
      <alignment horizontal="center" vertical="center"/>
      <protection locked="0"/>
    </xf>
    <xf numFmtId="0" fontId="9" fillId="15" borderId="0" xfId="0" applyFont="1" applyFill="1" applyProtection="1">
      <protection hidden="1"/>
    </xf>
    <xf numFmtId="14" fontId="9" fillId="15" borderId="30" xfId="0" applyNumberFormat="1" applyFont="1" applyFill="1" applyBorder="1" applyProtection="1">
      <protection hidden="1"/>
    </xf>
    <xf numFmtId="14" fontId="9" fillId="15" borderId="8" xfId="0" applyNumberFormat="1" applyFont="1" applyFill="1" applyBorder="1" applyProtection="1">
      <protection hidden="1"/>
    </xf>
    <xf numFmtId="14" fontId="9" fillId="15" borderId="14" xfId="0" applyNumberFormat="1" applyFont="1" applyFill="1" applyBorder="1" applyProtection="1">
      <protection hidden="1"/>
    </xf>
    <xf numFmtId="0" fontId="0" fillId="19" borderId="39" xfId="0" applyFill="1" applyBorder="1" applyProtection="1">
      <protection hidden="1"/>
    </xf>
    <xf numFmtId="0" fontId="0" fillId="19" borderId="54" xfId="0" applyFill="1" applyBorder="1" applyProtection="1">
      <protection hidden="1"/>
    </xf>
    <xf numFmtId="0" fontId="3" fillId="20" borderId="2" xfId="0" applyFont="1" applyFill="1" applyBorder="1" applyAlignment="1" applyProtection="1">
      <alignment horizontal="center" vertical="center"/>
      <protection locked="0"/>
    </xf>
    <xf numFmtId="4" fontId="8" fillId="3" borderId="24" xfId="0" applyNumberFormat="1" applyFont="1" applyFill="1" applyBorder="1" applyAlignment="1" applyProtection="1">
      <alignment horizontal="right"/>
      <protection hidden="1"/>
    </xf>
    <xf numFmtId="0" fontId="7" fillId="3" borderId="8" xfId="0" applyFont="1" applyFill="1" applyBorder="1" applyProtection="1">
      <protection hidden="1"/>
    </xf>
    <xf numFmtId="49" fontId="3" fillId="20" borderId="10" xfId="0" applyNumberFormat="1" applyFont="1" applyFill="1" applyBorder="1" applyAlignment="1" applyProtection="1">
      <alignment horizontal="center" vertical="center"/>
      <protection locked="0"/>
    </xf>
    <xf numFmtId="49" fontId="3" fillId="20" borderId="18" xfId="0" applyNumberFormat="1" applyFont="1" applyFill="1" applyBorder="1" applyAlignment="1" applyProtection="1">
      <alignment horizontal="center" vertical="center"/>
      <protection locked="0"/>
    </xf>
    <xf numFmtId="49" fontId="3" fillId="20" borderId="11" xfId="0" applyNumberFormat="1" applyFont="1" applyFill="1" applyBorder="1" applyAlignment="1" applyProtection="1">
      <alignment horizontal="center" vertical="center"/>
      <protection locked="0"/>
    </xf>
    <xf numFmtId="0" fontId="8" fillId="3" borderId="70" xfId="0" applyFont="1" applyFill="1" applyBorder="1" applyAlignment="1" applyProtection="1">
      <alignment horizontal="right"/>
      <protection hidden="1"/>
    </xf>
    <xf numFmtId="0" fontId="3" fillId="3" borderId="8"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0" borderId="10" xfId="0" applyNumberFormat="1" applyFont="1" applyFill="1" applyBorder="1" applyAlignment="1" applyProtection="1">
      <alignment horizontal="right"/>
      <protection locked="0"/>
    </xf>
    <xf numFmtId="37" fontId="8" fillId="16" borderId="10" xfId="0" applyNumberFormat="1" applyFont="1" applyFill="1" applyBorder="1" applyAlignment="1" applyProtection="1">
      <alignment horizontal="right"/>
      <protection locked="0"/>
    </xf>
    <xf numFmtId="37" fontId="8" fillId="20" borderId="11" xfId="0" applyNumberFormat="1" applyFont="1" applyFill="1" applyBorder="1" applyAlignment="1" applyProtection="1">
      <alignment horizontal="right"/>
      <protection locked="0"/>
    </xf>
    <xf numFmtId="0" fontId="0" fillId="21" borderId="0" xfId="0" applyFill="1" applyProtection="1">
      <protection hidden="1"/>
    </xf>
    <xf numFmtId="0" fontId="7" fillId="21" borderId="0" xfId="0" applyFont="1" applyFill="1" applyProtection="1">
      <protection hidden="1"/>
    </xf>
    <xf numFmtId="0" fontId="9" fillId="21" borderId="0" xfId="0" applyFont="1" applyFill="1" applyProtection="1">
      <protection hidden="1"/>
    </xf>
    <xf numFmtId="4" fontId="9" fillId="21" borderId="0" xfId="0" applyNumberFormat="1" applyFont="1" applyFill="1" applyProtection="1">
      <protection hidden="1"/>
    </xf>
    <xf numFmtId="0" fontId="0" fillId="21" borderId="0" xfId="0" applyFill="1"/>
    <xf numFmtId="4" fontId="46" fillId="21" borderId="0" xfId="0" applyNumberFormat="1" applyFont="1" applyFill="1" applyProtection="1">
      <protection hidden="1"/>
    </xf>
    <xf numFmtId="4" fontId="49" fillId="21" borderId="0" xfId="0" applyNumberFormat="1" applyFont="1" applyFill="1" applyAlignment="1" applyProtection="1">
      <alignment horizontal="center"/>
      <protection hidden="1"/>
    </xf>
    <xf numFmtId="4" fontId="15" fillId="21" borderId="0" xfId="0" applyNumberFormat="1" applyFont="1" applyFill="1" applyAlignment="1" applyProtection="1">
      <alignment horizontal="center"/>
      <protection hidden="1"/>
    </xf>
    <xf numFmtId="39" fontId="7" fillId="21" borderId="0" xfId="0" applyNumberFormat="1" applyFont="1" applyFill="1" applyAlignment="1" applyProtection="1">
      <alignment horizontal="right"/>
      <protection locked="0"/>
    </xf>
    <xf numFmtId="39" fontId="7" fillId="21" borderId="0" xfId="0" applyNumberFormat="1" applyFont="1" applyFill="1" applyProtection="1">
      <protection locked="0"/>
    </xf>
    <xf numFmtId="39" fontId="9" fillId="21" borderId="0" xfId="0" applyNumberFormat="1" applyFont="1" applyFill="1" applyAlignment="1" applyProtection="1">
      <alignment horizontal="center"/>
      <protection hidden="1"/>
    </xf>
    <xf numFmtId="39" fontId="7" fillId="21" borderId="0" xfId="0" applyNumberFormat="1" applyFont="1" applyFill="1" applyProtection="1">
      <protection hidden="1"/>
    </xf>
    <xf numFmtId="4" fontId="0" fillId="21" borderId="0" xfId="0" applyNumberFormat="1" applyFill="1" applyProtection="1">
      <protection hidden="1"/>
    </xf>
    <xf numFmtId="4" fontId="11" fillId="21" borderId="0" xfId="0" applyNumberFormat="1" applyFont="1" applyFill="1" applyProtection="1">
      <protection hidden="1"/>
    </xf>
    <xf numFmtId="39" fontId="9" fillId="21" borderId="0" xfId="0" applyNumberFormat="1" applyFont="1" applyFill="1" applyProtection="1">
      <protection hidden="1"/>
    </xf>
    <xf numFmtId="0" fontId="0" fillId="15" borderId="8" xfId="0" applyFill="1" applyBorder="1" applyAlignment="1" applyProtection="1">
      <alignment horizontal="right"/>
      <protection hidden="1"/>
    </xf>
    <xf numFmtId="0" fontId="3" fillId="3" borderId="28" xfId="0" applyFont="1" applyFill="1" applyBorder="1" applyAlignment="1" applyProtection="1">
      <alignment horizontal="right"/>
      <protection hidden="1"/>
    </xf>
    <xf numFmtId="0" fontId="117" fillId="5" borderId="0" xfId="0" applyFont="1" applyFill="1" applyProtection="1">
      <protection hidden="1"/>
    </xf>
    <xf numFmtId="39" fontId="0" fillId="22" borderId="6" xfId="0" applyNumberFormat="1" applyFill="1" applyBorder="1" applyProtection="1">
      <protection hidden="1"/>
    </xf>
    <xf numFmtId="0" fontId="5" fillId="2" borderId="1" xfId="0" applyFont="1" applyFill="1" applyBorder="1" applyProtection="1">
      <protection hidden="1"/>
    </xf>
    <xf numFmtId="0" fontId="11" fillId="2" borderId="3" xfId="0" applyFont="1" applyFill="1" applyBorder="1" applyProtection="1">
      <protection hidden="1"/>
    </xf>
    <xf numFmtId="0" fontId="8" fillId="0" borderId="12" xfId="0" applyFont="1" applyBorder="1" applyAlignment="1" applyProtection="1">
      <alignment horizontal="left" wrapText="1"/>
      <protection locked="0"/>
    </xf>
    <xf numFmtId="4" fontId="0" fillId="0" borderId="12" xfId="0" applyNumberFormat="1" applyBorder="1" applyAlignment="1" applyProtection="1">
      <alignment wrapText="1"/>
      <protection locked="0"/>
    </xf>
    <xf numFmtId="3" fontId="0" fillId="0" borderId="12" xfId="0" applyNumberFormat="1" applyBorder="1" applyAlignment="1" applyProtection="1">
      <alignment wrapText="1"/>
      <protection locked="0"/>
    </xf>
    <xf numFmtId="4" fontId="5" fillId="0" borderId="39" xfId="0" applyNumberFormat="1" applyFont="1" applyBorder="1" applyAlignment="1" applyProtection="1">
      <alignment horizontal="center" wrapText="1"/>
      <protection locked="0"/>
    </xf>
    <xf numFmtId="174" fontId="0" fillId="0" borderId="12" xfId="0" applyNumberFormat="1" applyBorder="1" applyAlignment="1" applyProtection="1">
      <alignment horizontal="center" wrapText="1"/>
      <protection locked="0"/>
    </xf>
    <xf numFmtId="3" fontId="68" fillId="2" borderId="0" xfId="0" applyNumberFormat="1" applyFont="1" applyFill="1" applyAlignment="1" applyProtection="1">
      <alignment horizontal="left"/>
      <protection hidden="1"/>
    </xf>
    <xf numFmtId="4" fontId="3" fillId="3" borderId="24" xfId="0" applyNumberFormat="1" applyFont="1" applyFill="1" applyBorder="1" applyAlignment="1" applyProtection="1">
      <alignment horizontal="right"/>
      <protection hidden="1"/>
    </xf>
    <xf numFmtId="0" fontId="0" fillId="15" borderId="20" xfId="0" applyFill="1" applyBorder="1" applyProtection="1">
      <protection hidden="1"/>
    </xf>
    <xf numFmtId="0" fontId="3" fillId="15" borderId="12" xfId="0" applyFont="1" applyFill="1" applyBorder="1" applyAlignment="1" applyProtection="1">
      <alignment horizontal="center" vertical="center"/>
      <protection locked="0"/>
    </xf>
    <xf numFmtId="0" fontId="0" fillId="24" borderId="7" xfId="0" applyFill="1" applyBorder="1" applyProtection="1">
      <protection hidden="1"/>
    </xf>
    <xf numFmtId="0" fontId="0" fillId="24" borderId="19" xfId="0" applyFill="1" applyBorder="1" applyProtection="1">
      <protection hidden="1"/>
    </xf>
    <xf numFmtId="0" fontId="11" fillId="24" borderId="5" xfId="0" applyFont="1" applyFill="1" applyBorder="1" applyAlignment="1" applyProtection="1">
      <alignment horizontal="right"/>
      <protection hidden="1"/>
    </xf>
    <xf numFmtId="0" fontId="7" fillId="24" borderId="0" xfId="0" applyFont="1" applyFill="1" applyAlignment="1" applyProtection="1">
      <alignment vertical="center"/>
      <protection hidden="1"/>
    </xf>
    <xf numFmtId="0" fontId="0" fillId="24" borderId="0" xfId="0" applyFill="1" applyProtection="1">
      <protection hidden="1"/>
    </xf>
    <xf numFmtId="0" fontId="0" fillId="24" borderId="20" xfId="0" applyFill="1" applyBorder="1" applyProtection="1">
      <protection hidden="1"/>
    </xf>
    <xf numFmtId="0" fontId="8" fillId="24" borderId="5" xfId="0" applyFont="1" applyFill="1" applyBorder="1" applyAlignment="1" applyProtection="1">
      <alignment horizontal="right"/>
      <protection hidden="1"/>
    </xf>
    <xf numFmtId="0" fontId="7" fillId="24" borderId="0" xfId="0" applyFont="1" applyFill="1" applyAlignment="1" applyProtection="1">
      <alignment horizontal="right"/>
      <protection hidden="1"/>
    </xf>
    <xf numFmtId="0" fontId="11" fillId="24" borderId="21" xfId="0" applyFont="1" applyFill="1" applyBorder="1" applyAlignment="1" applyProtection="1">
      <alignment horizontal="right"/>
      <protection hidden="1"/>
    </xf>
    <xf numFmtId="0" fontId="0" fillId="24" borderId="4" xfId="0" applyFill="1" applyBorder="1" applyProtection="1">
      <protection hidden="1"/>
    </xf>
    <xf numFmtId="0" fontId="3" fillId="2" borderId="0" xfId="0" applyFont="1" applyFill="1" applyAlignment="1" applyProtection="1">
      <alignment horizontal="left"/>
      <protection hidden="1"/>
    </xf>
    <xf numFmtId="0" fontId="10" fillId="16" borderId="2" xfId="0" applyFont="1" applyFill="1" applyBorder="1" applyAlignment="1" applyProtection="1">
      <alignment horizontal="center" vertical="center"/>
      <protection locked="0"/>
    </xf>
    <xf numFmtId="0" fontId="110" fillId="15" borderId="0" xfId="0" applyFont="1" applyFill="1" applyAlignment="1" applyProtection="1">
      <alignment horizontal="center"/>
      <protection hidden="1"/>
    </xf>
    <xf numFmtId="0" fontId="9" fillId="0" borderId="0" xfId="0" applyFont="1" applyAlignment="1" applyProtection="1">
      <alignment vertical="center"/>
      <protection hidden="1"/>
    </xf>
    <xf numFmtId="0" fontId="11" fillId="0" borderId="0" xfId="0" applyFont="1" applyAlignment="1" applyProtection="1">
      <alignment vertical="center"/>
      <protection hidden="1"/>
    </xf>
    <xf numFmtId="37" fontId="123" fillId="3" borderId="14" xfId="0" applyNumberFormat="1" applyFont="1" applyFill="1" applyBorder="1" applyAlignment="1" applyProtection="1">
      <alignment horizontal="right"/>
      <protection hidden="1"/>
    </xf>
    <xf numFmtId="0" fontId="7" fillId="15" borderId="0" xfId="0" applyFont="1" applyFill="1" applyProtection="1">
      <protection hidden="1"/>
    </xf>
    <xf numFmtId="0" fontId="120" fillId="15" borderId="0" xfId="0" applyFont="1" applyFill="1" applyAlignment="1" applyProtection="1">
      <alignment horizontal="left"/>
      <protection hidden="1"/>
    </xf>
    <xf numFmtId="0" fontId="9" fillId="0" borderId="0" xfId="0" applyFont="1" applyAlignment="1">
      <alignment vertical="center"/>
    </xf>
    <xf numFmtId="0" fontId="106" fillId="5" borderId="0" xfId="0" applyFont="1" applyFill="1" applyAlignment="1" applyProtection="1">
      <alignment horizontal="center"/>
      <protection hidden="1"/>
    </xf>
    <xf numFmtId="37" fontId="8" fillId="3" borderId="15" xfId="0" applyNumberFormat="1" applyFont="1" applyFill="1" applyBorder="1" applyAlignment="1" applyProtection="1">
      <alignment horizontal="right"/>
      <protection hidden="1"/>
    </xf>
    <xf numFmtId="37" fontId="8" fillId="0" borderId="15" xfId="0" applyNumberFormat="1" applyFont="1" applyBorder="1" applyAlignment="1" applyProtection="1">
      <alignment horizontal="right"/>
      <protection hidden="1"/>
    </xf>
    <xf numFmtId="37" fontId="8" fillId="3" borderId="14" xfId="0" applyNumberFormat="1" applyFont="1" applyFill="1" applyBorder="1" applyAlignment="1" applyProtection="1">
      <alignment horizontal="right"/>
      <protection hidden="1"/>
    </xf>
    <xf numFmtId="37" fontId="8" fillId="15" borderId="15"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10" fillId="0" borderId="0" xfId="0" applyFont="1"/>
    <xf numFmtId="40" fontId="56" fillId="2" borderId="0" xfId="0" applyNumberFormat="1" applyFont="1" applyFill="1" applyAlignment="1" applyProtection="1">
      <alignment horizontal="right" vertical="center"/>
      <protection hidden="1"/>
    </xf>
    <xf numFmtId="0" fontId="0" fillId="15" borderId="23" xfId="0" applyFill="1" applyBorder="1" applyProtection="1">
      <protection hidden="1"/>
    </xf>
    <xf numFmtId="0" fontId="0" fillId="15" borderId="7" xfId="0" applyFill="1" applyBorder="1" applyProtection="1">
      <protection hidden="1"/>
    </xf>
    <xf numFmtId="0" fontId="0" fillId="15" borderId="19" xfId="0" applyFill="1" applyBorder="1" applyProtection="1">
      <protection hidden="1"/>
    </xf>
    <xf numFmtId="0" fontId="5" fillId="15" borderId="0" xfId="0" applyFont="1" applyFill="1" applyProtection="1">
      <protection hidden="1"/>
    </xf>
    <xf numFmtId="0" fontId="0" fillId="15" borderId="0" xfId="0" applyFill="1" applyAlignment="1" applyProtection="1">
      <alignment vertical="top"/>
      <protection hidden="1"/>
    </xf>
    <xf numFmtId="0" fontId="0" fillId="15" borderId="5" xfId="0" applyFill="1" applyBorder="1" applyProtection="1">
      <protection hidden="1"/>
    </xf>
    <xf numFmtId="0" fontId="0" fillId="15" borderId="21" xfId="0" applyFill="1" applyBorder="1" applyProtection="1">
      <protection hidden="1"/>
    </xf>
    <xf numFmtId="0" fontId="0" fillId="15" borderId="4" xfId="0" applyFill="1" applyBorder="1" applyProtection="1">
      <protection hidden="1"/>
    </xf>
    <xf numFmtId="0" fontId="0" fillId="15" borderId="22" xfId="0" applyFill="1" applyBorder="1" applyProtection="1">
      <protection hidden="1"/>
    </xf>
    <xf numFmtId="0" fontId="14" fillId="2" borderId="25" xfId="0" applyFont="1" applyFill="1" applyBorder="1" applyAlignment="1" applyProtection="1">
      <alignment horizontal="center" wrapText="1"/>
      <protection hidden="1"/>
    </xf>
    <xf numFmtId="0" fontId="3" fillId="15" borderId="0" xfId="0" applyFont="1" applyFill="1" applyProtection="1">
      <protection hidden="1"/>
    </xf>
    <xf numFmtId="0" fontId="110" fillId="15" borderId="0" xfId="0" applyFont="1" applyFill="1" applyProtection="1">
      <protection hidden="1"/>
    </xf>
    <xf numFmtId="0" fontId="122" fillId="15" borderId="0" xfId="0" applyFont="1" applyFill="1" applyProtection="1">
      <protection hidden="1"/>
    </xf>
    <xf numFmtId="0" fontId="110" fillId="0" borderId="0" xfId="0" applyFont="1" applyProtection="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17" fillId="5" borderId="0" xfId="0" applyFont="1" applyFill="1" applyAlignment="1" applyProtection="1">
      <alignment horizontal="center"/>
      <protection hidden="1"/>
    </xf>
    <xf numFmtId="0" fontId="124" fillId="3" borderId="30" xfId="0" applyFont="1" applyFill="1" applyBorder="1" applyAlignment="1" applyProtection="1">
      <alignment horizontal="right" vertical="center"/>
      <protection hidden="1"/>
    </xf>
    <xf numFmtId="0" fontId="113" fillId="5" borderId="0" xfId="0" applyFont="1" applyFill="1" applyProtection="1">
      <protection hidden="1"/>
    </xf>
    <xf numFmtId="0" fontId="113" fillId="5" borderId="0" xfId="0" applyFont="1" applyFill="1" applyAlignment="1" applyProtection="1">
      <alignment horizontal="center"/>
      <protection hidden="1"/>
    </xf>
    <xf numFmtId="0" fontId="10" fillId="26" borderId="1" xfId="0" quotePrefix="1" applyFont="1" applyFill="1" applyBorder="1" applyProtection="1">
      <protection hidden="1"/>
    </xf>
    <xf numFmtId="0" fontId="3" fillId="26" borderId="1" xfId="0" applyFont="1" applyFill="1" applyBorder="1" applyProtection="1">
      <protection hidden="1"/>
    </xf>
    <xf numFmtId="0" fontId="15" fillId="0" borderId="6" xfId="0" applyFont="1" applyBorder="1" applyAlignment="1">
      <alignment horizontal="center" wrapText="1"/>
    </xf>
    <xf numFmtId="0" fontId="0" fillId="0" borderId="6" xfId="0" applyBorder="1" applyAlignment="1">
      <alignment horizontal="center"/>
    </xf>
    <xf numFmtId="0" fontId="9" fillId="15" borderId="3" xfId="0" applyFont="1" applyFill="1" applyBorder="1" applyProtection="1">
      <protection hidden="1"/>
    </xf>
    <xf numFmtId="0" fontId="9" fillId="15" borderId="24" xfId="0" applyFont="1" applyFill="1" applyBorder="1" applyProtection="1">
      <protection hidden="1"/>
    </xf>
    <xf numFmtId="0" fontId="110" fillId="0" borderId="0" xfId="0" applyFont="1" applyAlignment="1">
      <alignment horizontal="center"/>
    </xf>
    <xf numFmtId="0" fontId="7" fillId="15" borderId="0" xfId="0" applyFont="1" applyFill="1" applyAlignment="1">
      <alignment horizontal="left" vertical="top"/>
    </xf>
    <xf numFmtId="0" fontId="5" fillId="15" borderId="3" xfId="0" applyFont="1" applyFill="1" applyBorder="1" applyAlignment="1">
      <alignment horizontal="center"/>
    </xf>
    <xf numFmtId="0" fontId="5" fillId="15" borderId="24" xfId="0" applyFont="1" applyFill="1" applyBorder="1" applyAlignment="1">
      <alignment horizontal="center"/>
    </xf>
    <xf numFmtId="4" fontId="15" fillId="14" borderId="24" xfId="0" applyNumberFormat="1" applyFont="1" applyFill="1" applyBorder="1" applyAlignment="1" applyProtection="1">
      <alignment horizontal="center" vertical="center"/>
      <protection hidden="1"/>
    </xf>
    <xf numFmtId="0" fontId="15" fillId="15" borderId="3" xfId="0" applyFont="1" applyFill="1" applyBorder="1"/>
    <xf numFmtId="0" fontId="15" fillId="15" borderId="0" xfId="0" applyFont="1" applyFill="1"/>
    <xf numFmtId="0" fontId="5" fillId="19" borderId="24" xfId="0" applyFont="1" applyFill="1" applyBorder="1" applyAlignment="1" applyProtection="1">
      <alignment horizontal="center" wrapText="1"/>
      <protection hidden="1"/>
    </xf>
    <xf numFmtId="37" fontId="7" fillId="22" borderId="11" xfId="0" applyNumberFormat="1" applyFont="1" applyFill="1" applyBorder="1" applyAlignment="1" applyProtection="1">
      <alignment horizontal="right"/>
      <protection hidden="1"/>
    </xf>
    <xf numFmtId="0" fontId="5" fillId="19" borderId="3" xfId="0" applyFont="1" applyFill="1" applyBorder="1" applyAlignment="1" applyProtection="1">
      <alignment horizontal="center" wrapText="1"/>
      <protection hidden="1"/>
    </xf>
    <xf numFmtId="0" fontId="5" fillId="19" borderId="0" xfId="0" applyFont="1" applyFill="1" applyAlignment="1" applyProtection="1">
      <alignment horizontal="center" wrapText="1"/>
      <protection hidden="1"/>
    </xf>
    <xf numFmtId="0" fontId="0" fillId="19" borderId="24" xfId="0" applyFill="1" applyBorder="1" applyAlignment="1" applyProtection="1">
      <alignment horizontal="center" wrapText="1"/>
      <protection hidden="1"/>
    </xf>
    <xf numFmtId="37" fontId="8" fillId="28" borderId="11" xfId="0" applyNumberFormat="1" applyFont="1" applyFill="1" applyBorder="1" applyAlignment="1" applyProtection="1">
      <alignment horizontal="right"/>
      <protection hidden="1"/>
    </xf>
    <xf numFmtId="0" fontId="10" fillId="28" borderId="1" xfId="0" quotePrefix="1" applyFont="1" applyFill="1" applyBorder="1" applyProtection="1">
      <protection hidden="1"/>
    </xf>
    <xf numFmtId="0" fontId="8" fillId="28" borderId="1" xfId="0" applyFont="1" applyFill="1" applyBorder="1" applyProtection="1">
      <protection hidden="1"/>
    </xf>
    <xf numFmtId="0" fontId="0" fillId="28" borderId="1" xfId="0" applyFill="1" applyBorder="1" applyProtection="1">
      <protection hidden="1"/>
    </xf>
    <xf numFmtId="4" fontId="0" fillId="28" borderId="1" xfId="0" applyNumberFormat="1" applyFill="1" applyBorder="1" applyProtection="1">
      <protection hidden="1"/>
    </xf>
    <xf numFmtId="39" fontId="5" fillId="28" borderId="1" xfId="0" applyNumberFormat="1" applyFont="1" applyFill="1" applyBorder="1" applyProtection="1">
      <protection hidden="1"/>
    </xf>
    <xf numFmtId="39" fontId="5" fillId="3" borderId="0" xfId="0" applyNumberFormat="1" applyFont="1" applyFill="1" applyProtection="1">
      <protection hidden="1"/>
    </xf>
    <xf numFmtId="0" fontId="120" fillId="3" borderId="0" xfId="0" applyFont="1" applyFill="1" applyAlignment="1" applyProtection="1">
      <alignment horizontal="left"/>
      <protection hidden="1"/>
    </xf>
    <xf numFmtId="37" fontId="7" fillId="26"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6" borderId="12" xfId="0" applyFont="1" applyFill="1" applyBorder="1" applyAlignment="1" applyProtection="1">
      <alignment horizontal="center"/>
      <protection locked="0"/>
    </xf>
    <xf numFmtId="0" fontId="3" fillId="2" borderId="5" xfId="0" quotePrefix="1" applyFont="1" applyFill="1" applyBorder="1" applyAlignment="1" applyProtection="1">
      <alignment horizontal="right"/>
      <protection hidden="1"/>
    </xf>
    <xf numFmtId="3" fontId="110"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26" fillId="2" borderId="0" xfId="0" applyFont="1" applyFill="1" applyAlignment="1" applyProtection="1">
      <alignment horizontal="center"/>
      <protection hidden="1"/>
    </xf>
    <xf numFmtId="4" fontId="116" fillId="3" borderId="3" xfId="0" applyNumberFormat="1" applyFont="1" applyFill="1" applyBorder="1" applyProtection="1">
      <protection hidden="1"/>
    </xf>
    <xf numFmtId="37" fontId="116" fillId="3" borderId="30" xfId="0" applyNumberFormat="1" applyFont="1" applyFill="1" applyBorder="1" applyAlignment="1" applyProtection="1">
      <alignment horizontal="right"/>
      <protection hidden="1"/>
    </xf>
    <xf numFmtId="0" fontId="14" fillId="2" borderId="2" xfId="0" applyFont="1" applyFill="1" applyBorder="1" applyAlignment="1" applyProtection="1">
      <alignment horizontal="center" vertical="center"/>
      <protection locked="0"/>
    </xf>
    <xf numFmtId="3" fontId="112" fillId="0" borderId="0" xfId="0" applyNumberFormat="1" applyFont="1" applyProtection="1">
      <protection hidden="1"/>
    </xf>
    <xf numFmtId="39" fontId="112" fillId="3" borderId="3" xfId="0" applyNumberFormat="1" applyFont="1" applyFill="1" applyBorder="1" applyAlignment="1" applyProtection="1">
      <alignment horizontal="right"/>
      <protection hidden="1"/>
    </xf>
    <xf numFmtId="3" fontId="116" fillId="3" borderId="0" xfId="0" applyNumberFormat="1" applyFont="1" applyFill="1" applyAlignment="1" applyProtection="1">
      <alignment horizontal="right"/>
      <protection hidden="1"/>
    </xf>
    <xf numFmtId="0" fontId="126" fillId="3" borderId="3" xfId="0" applyFont="1" applyFill="1" applyBorder="1" applyAlignment="1" applyProtection="1">
      <alignment horizontal="right"/>
      <protection hidden="1"/>
    </xf>
    <xf numFmtId="39" fontId="112"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37" fontId="8" fillId="3" borderId="0" xfId="0" applyNumberFormat="1" applyFont="1" applyFill="1" applyAlignment="1" applyProtection="1">
      <alignment horizontal="left"/>
      <protection hidden="1"/>
    </xf>
    <xf numFmtId="4" fontId="8" fillId="3" borderId="0" xfId="0" applyNumberFormat="1" applyFont="1" applyFill="1" applyAlignment="1" applyProtection="1">
      <alignment horizontal="left"/>
      <protection hidden="1"/>
    </xf>
    <xf numFmtId="0" fontId="3" fillId="5" borderId="0" xfId="0" applyFont="1" applyFill="1" applyAlignment="1" applyProtection="1">
      <alignment horizontal="center"/>
      <protection hidden="1"/>
    </xf>
    <xf numFmtId="4" fontId="3" fillId="3" borderId="0" xfId="0" applyNumberFormat="1" applyFont="1" applyFill="1" applyAlignment="1" applyProtection="1">
      <alignment horizontal="center"/>
      <protection hidden="1"/>
    </xf>
    <xf numFmtId="4" fontId="9" fillId="7" borderId="24" xfId="0" applyNumberFormat="1" applyFont="1" applyFill="1" applyBorder="1" applyProtection="1">
      <protection hidden="1"/>
    </xf>
    <xf numFmtId="0" fontId="3" fillId="2" borderId="0" xfId="0" applyFont="1" applyFill="1" applyAlignment="1" applyProtection="1">
      <alignment horizontal="right" vertical="center"/>
      <protection hidden="1"/>
    </xf>
    <xf numFmtId="0" fontId="0" fillId="2" borderId="4" xfId="0" applyFill="1" applyBorder="1" applyAlignment="1" applyProtection="1">
      <alignment vertical="top"/>
      <protection hidden="1"/>
    </xf>
    <xf numFmtId="0" fontId="5" fillId="0" borderId="0" xfId="0" applyFont="1"/>
    <xf numFmtId="0" fontId="0" fillId="15" borderId="16" xfId="0" applyFill="1" applyBorder="1" applyProtection="1">
      <protection hidden="1"/>
    </xf>
    <xf numFmtId="0" fontId="0" fillId="15" borderId="13" xfId="0" applyFill="1" applyBorder="1" applyProtection="1">
      <protection hidden="1"/>
    </xf>
    <xf numFmtId="0" fontId="130" fillId="15" borderId="0" xfId="0" applyFont="1" applyFill="1" applyProtection="1">
      <protection hidden="1"/>
    </xf>
    <xf numFmtId="0" fontId="9" fillId="2" borderId="0" xfId="0" applyFont="1" applyFill="1" applyAlignment="1">
      <alignment horizontal="left" vertical="top"/>
    </xf>
    <xf numFmtId="0" fontId="9" fillId="2" borderId="0" xfId="0" applyFont="1" applyFill="1" applyAlignment="1" applyProtection="1">
      <alignment horizontal="left" vertical="center"/>
      <protection hidden="1"/>
    </xf>
    <xf numFmtId="0" fontId="9" fillId="2" borderId="0" xfId="0" applyFont="1" applyFill="1" applyAlignment="1" applyProtection="1">
      <alignment horizontal="left" vertical="top"/>
      <protection hidden="1"/>
    </xf>
    <xf numFmtId="38" fontId="7" fillId="27" borderId="1" xfId="0" applyNumberFormat="1" applyFont="1" applyFill="1" applyBorder="1" applyProtection="1">
      <protection hidden="1"/>
    </xf>
    <xf numFmtId="38" fontId="7" fillId="16" borderId="1" xfId="0" applyNumberFormat="1" applyFont="1" applyFill="1" applyBorder="1" applyProtection="1">
      <protection locked="0"/>
    </xf>
    <xf numFmtId="164" fontId="3" fillId="16" borderId="2" xfId="0" applyNumberFormat="1" applyFont="1" applyFill="1" applyBorder="1" applyAlignment="1" applyProtection="1">
      <alignment horizontal="center" vertical="center"/>
      <protection locked="0"/>
    </xf>
    <xf numFmtId="39" fontId="116" fillId="2" borderId="0" xfId="0" applyNumberFormat="1" applyFont="1" applyFill="1" applyProtection="1">
      <protection hidden="1"/>
    </xf>
    <xf numFmtId="37" fontId="7" fillId="27" borderId="1" xfId="0" applyNumberFormat="1" applyFont="1" applyFill="1" applyBorder="1" applyProtection="1">
      <protection hidden="1"/>
    </xf>
    <xf numFmtId="0" fontId="8" fillId="27" borderId="2" xfId="0" applyFont="1" applyFill="1" applyBorder="1" applyAlignment="1" applyProtection="1">
      <alignment horizontal="center" vertical="center"/>
      <protection hidden="1"/>
    </xf>
    <xf numFmtId="37" fontId="7" fillId="28" borderId="9" xfId="0" applyNumberFormat="1" applyFont="1" applyFill="1" applyBorder="1" applyAlignment="1" applyProtection="1">
      <alignment horizontal="right"/>
      <protection hidden="1"/>
    </xf>
    <xf numFmtId="37" fontId="7" fillId="20" borderId="9" xfId="0" applyNumberFormat="1" applyFont="1" applyFill="1" applyBorder="1" applyAlignment="1" applyProtection="1">
      <alignment horizontal="right"/>
      <protection locked="0"/>
    </xf>
    <xf numFmtId="37" fontId="7" fillId="28" borderId="3" xfId="0" applyNumberFormat="1" applyFont="1" applyFill="1" applyBorder="1" applyAlignment="1" applyProtection="1">
      <alignment horizontal="right"/>
      <protection hidden="1"/>
    </xf>
    <xf numFmtId="0" fontId="9" fillId="24" borderId="0" xfId="0" applyFont="1" applyFill="1" applyProtection="1">
      <protection hidden="1"/>
    </xf>
    <xf numFmtId="0" fontId="3" fillId="0" borderId="0" xfId="0" applyFont="1" applyAlignment="1" applyProtection="1">
      <alignment horizontal="right"/>
      <protection hidden="1"/>
    </xf>
    <xf numFmtId="0" fontId="3" fillId="15" borderId="7" xfId="0" applyFont="1" applyFill="1" applyBorder="1" applyAlignment="1" applyProtection="1">
      <alignment horizontal="left"/>
      <protection hidden="1"/>
    </xf>
    <xf numFmtId="0" fontId="9" fillId="15" borderId="0" xfId="0" applyFont="1" applyFill="1" applyAlignment="1" applyProtection="1">
      <alignment horizontal="left"/>
      <protection hidden="1"/>
    </xf>
    <xf numFmtId="0" fontId="3" fillId="15" borderId="21" xfId="0" applyFont="1" applyFill="1" applyBorder="1" applyAlignment="1" applyProtection="1">
      <alignment horizontal="right"/>
      <protection hidden="1"/>
    </xf>
    <xf numFmtId="0" fontId="3" fillId="15" borderId="23" xfId="0" applyFont="1" applyFill="1" applyBorder="1" applyAlignment="1" applyProtection="1">
      <alignment horizontal="right"/>
      <protection hidden="1"/>
    </xf>
    <xf numFmtId="0" fontId="10" fillId="15" borderId="5" xfId="0" applyFont="1" applyFill="1" applyBorder="1" applyAlignment="1" applyProtection="1">
      <alignment horizontal="left"/>
      <protection hidden="1"/>
    </xf>
    <xf numFmtId="0" fontId="22" fillId="15" borderId="0" xfId="0" applyFont="1" applyFill="1" applyAlignment="1" applyProtection="1">
      <alignment horizontal="right"/>
      <protection hidden="1"/>
    </xf>
    <xf numFmtId="0" fontId="3" fillId="24" borderId="5" xfId="0" applyFont="1" applyFill="1" applyBorder="1" applyAlignment="1" applyProtection="1">
      <alignment horizontal="right"/>
      <protection hidden="1"/>
    </xf>
    <xf numFmtId="0" fontId="127" fillId="24" borderId="0" xfId="0" applyFont="1" applyFill="1" applyProtection="1">
      <protection hidden="1"/>
    </xf>
    <xf numFmtId="0" fontId="9" fillId="24" borderId="0" xfId="0" applyFont="1" applyFill="1" applyAlignment="1" applyProtection="1">
      <alignment vertical="top"/>
      <protection hidden="1"/>
    </xf>
    <xf numFmtId="0" fontId="3" fillId="24" borderId="21" xfId="0" applyFont="1" applyFill="1" applyBorder="1" applyAlignment="1" applyProtection="1">
      <alignment horizontal="right"/>
      <protection hidden="1"/>
    </xf>
    <xf numFmtId="0" fontId="0" fillId="24" borderId="22" xfId="0" applyFill="1" applyBorder="1" applyProtection="1">
      <protection hidden="1"/>
    </xf>
    <xf numFmtId="37" fontId="7" fillId="27"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10" fillId="3" borderId="3" xfId="0" applyNumberFormat="1" applyFont="1" applyFill="1" applyBorder="1" applyAlignment="1" applyProtection="1">
      <alignment horizontal="right"/>
      <protection hidden="1"/>
    </xf>
    <xf numFmtId="4" fontId="9" fillId="3" borderId="15"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10" fillId="3" borderId="0" xfId="0" applyFont="1" applyFill="1" applyAlignment="1" applyProtection="1">
      <alignment horizontal="right"/>
      <protection hidden="1"/>
    </xf>
    <xf numFmtId="0" fontId="13" fillId="15" borderId="8" xfId="0" applyFont="1" applyFill="1" applyBorder="1" applyProtection="1">
      <protection hidden="1"/>
    </xf>
    <xf numFmtId="0" fontId="13" fillId="15" borderId="1" xfId="0" applyFont="1" applyFill="1" applyBorder="1" applyProtection="1">
      <protection hidden="1"/>
    </xf>
    <xf numFmtId="37" fontId="7" fillId="14" borderId="30" xfId="0" applyNumberFormat="1" applyFont="1" applyFill="1" applyBorder="1" applyAlignment="1" applyProtection="1">
      <alignment horizontal="right"/>
      <protection locked="0"/>
    </xf>
    <xf numFmtId="4" fontId="3" fillId="20" borderId="12" xfId="0" applyNumberFormat="1" applyFont="1" applyFill="1" applyBorder="1" applyAlignment="1" applyProtection="1">
      <alignment horizontal="center" vertical="center"/>
      <protection locked="0"/>
    </xf>
    <xf numFmtId="0" fontId="0" fillId="15" borderId="23" xfId="0" applyFill="1" applyBorder="1"/>
    <xf numFmtId="0" fontId="5" fillId="15" borderId="7" xfId="0" applyFont="1" applyFill="1" applyBorder="1"/>
    <xf numFmtId="0" fontId="5" fillId="15" borderId="19" xfId="0" applyFont="1" applyFill="1" applyBorder="1"/>
    <xf numFmtId="0" fontId="0" fillId="15" borderId="5" xfId="0" applyFill="1" applyBorder="1"/>
    <xf numFmtId="0" fontId="10" fillId="15" borderId="0" xfId="0" applyFont="1" applyFill="1" applyAlignment="1">
      <alignment vertical="center"/>
    </xf>
    <xf numFmtId="0" fontId="9" fillId="15" borderId="0" xfId="0" applyFont="1" applyFill="1"/>
    <xf numFmtId="0" fontId="133" fillId="15" borderId="0" xfId="0" applyFont="1" applyFill="1"/>
    <xf numFmtId="0" fontId="9" fillId="15" borderId="20" xfId="0" applyFont="1" applyFill="1" applyBorder="1"/>
    <xf numFmtId="0" fontId="5" fillId="15" borderId="0" xfId="0" applyFont="1" applyFill="1"/>
    <xf numFmtId="0" fontId="3" fillId="15" borderId="0" xfId="0" quotePrefix="1" applyFont="1" applyFill="1" applyAlignment="1">
      <alignment horizontal="right"/>
    </xf>
    <xf numFmtId="0" fontId="5" fillId="15" borderId="20" xfId="0" applyFont="1" applyFill="1" applyBorder="1"/>
    <xf numFmtId="0" fontId="0" fillId="15" borderId="21" xfId="0" applyFill="1" applyBorder="1"/>
    <xf numFmtId="0" fontId="9" fillId="15" borderId="4" xfId="0" applyFont="1" applyFill="1" applyBorder="1"/>
    <xf numFmtId="0" fontId="9" fillId="15" borderId="22" xfId="0" applyFont="1" applyFill="1" applyBorder="1"/>
    <xf numFmtId="0" fontId="3" fillId="15" borderId="0" xfId="0" applyFont="1" applyFill="1"/>
    <xf numFmtId="0" fontId="22" fillId="15" borderId="0" xfId="0" applyFont="1" applyFill="1" applyAlignment="1">
      <alignment horizontal="right"/>
    </xf>
    <xf numFmtId="0" fontId="5" fillId="15" borderId="0" xfId="0" quotePrefix="1" applyFont="1" applyFill="1"/>
    <xf numFmtId="0" fontId="5" fillId="15" borderId="0" xfId="0" quotePrefix="1" applyFont="1" applyFill="1" applyAlignment="1">
      <alignment horizontal="right"/>
    </xf>
    <xf numFmtId="37" fontId="7" fillId="20" borderId="1" xfId="0" applyNumberFormat="1" applyFont="1" applyFill="1" applyBorder="1" applyAlignment="1" applyProtection="1">
      <alignment horizontal="right"/>
      <protection locked="0"/>
    </xf>
    <xf numFmtId="37" fontId="7" fillId="28" borderId="1" xfId="0" applyNumberFormat="1" applyFont="1" applyFill="1" applyBorder="1" applyAlignment="1" applyProtection="1">
      <alignment horizontal="right"/>
      <protection hidden="1"/>
    </xf>
    <xf numFmtId="0" fontId="0" fillId="15" borderId="80" xfId="0" applyFill="1" applyBorder="1"/>
    <xf numFmtId="0" fontId="9" fillId="15" borderId="8" xfId="0" applyFont="1" applyFill="1" applyBorder="1"/>
    <xf numFmtId="0" fontId="9" fillId="15" borderId="88" xfId="0" applyFont="1" applyFill="1" applyBorder="1"/>
    <xf numFmtId="0" fontId="22" fillId="15" borderId="0" xfId="0" applyFont="1" applyFill="1" applyAlignment="1">
      <alignment horizontal="center"/>
    </xf>
    <xf numFmtId="37" fontId="116" fillId="14" borderId="30" xfId="0" applyNumberFormat="1" applyFont="1" applyFill="1" applyBorder="1" applyAlignment="1" applyProtection="1">
      <alignment horizontal="right"/>
      <protection locked="0"/>
    </xf>
    <xf numFmtId="37" fontId="116" fillId="14" borderId="3" xfId="0" applyNumberFormat="1" applyFont="1" applyFill="1" applyBorder="1" applyAlignment="1" applyProtection="1">
      <alignment horizontal="right"/>
      <protection locked="0"/>
    </xf>
    <xf numFmtId="39" fontId="110" fillId="3" borderId="3" xfId="0" applyNumberFormat="1" applyFont="1" applyFill="1" applyBorder="1" applyAlignment="1" applyProtection="1">
      <alignment horizontal="right"/>
      <protection hidden="1"/>
    </xf>
    <xf numFmtId="0" fontId="110" fillId="0" borderId="0" xfId="0" applyFont="1" applyAlignment="1" applyProtection="1">
      <alignment horizontal="center"/>
      <protection hidden="1"/>
    </xf>
    <xf numFmtId="178" fontId="21" fillId="2" borderId="0" xfId="0" applyNumberFormat="1" applyFont="1" applyFill="1" applyProtection="1">
      <protection hidden="1"/>
    </xf>
    <xf numFmtId="38" fontId="116" fillId="2" borderId="0" xfId="0" applyNumberFormat="1" applyFont="1" applyFill="1" applyProtection="1">
      <protection hidden="1"/>
    </xf>
    <xf numFmtId="0" fontId="9" fillId="5" borderId="37" xfId="0" applyFont="1" applyFill="1" applyBorder="1" applyAlignment="1" applyProtection="1">
      <alignment horizontal="center"/>
      <protection hidden="1"/>
    </xf>
    <xf numFmtId="0" fontId="9" fillId="5" borderId="102" xfId="0" applyFont="1" applyFill="1" applyBorder="1" applyAlignment="1" applyProtection="1">
      <alignment horizontal="center"/>
      <protection hidden="1"/>
    </xf>
    <xf numFmtId="37" fontId="7" fillId="3" borderId="38" xfId="0" applyNumberFormat="1" applyFont="1" applyFill="1" applyBorder="1" applyAlignment="1" applyProtection="1">
      <alignment horizontal="right"/>
      <protection locked="0"/>
    </xf>
    <xf numFmtId="37" fontId="7" fillId="14"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3" fillId="0" borderId="4" xfId="0" applyFont="1" applyBorder="1" applyAlignment="1">
      <alignment horizontal="center" wrapText="1"/>
    </xf>
    <xf numFmtId="0" fontId="66" fillId="0" borderId="0" xfId="2" applyAlignment="1" applyProtection="1">
      <alignment horizontal="center" wrapText="1"/>
    </xf>
    <xf numFmtId="0" fontId="8" fillId="16" borderId="12" xfId="0" applyFont="1" applyFill="1" applyBorder="1" applyAlignment="1" applyProtection="1">
      <alignment horizontal="center"/>
      <protection locked="0"/>
    </xf>
    <xf numFmtId="0" fontId="8" fillId="15" borderId="0" xfId="0" applyFont="1" applyFill="1" applyAlignment="1" applyProtection="1">
      <alignment horizontal="center"/>
      <protection hidden="1"/>
    </xf>
    <xf numFmtId="0" fontId="0" fillId="3" borderId="8" xfId="0" applyFill="1" applyBorder="1" applyProtection="1">
      <protection hidden="1"/>
    </xf>
    <xf numFmtId="0" fontId="9" fillId="15" borderId="0" xfId="0" applyFont="1" applyFill="1" applyAlignment="1" applyProtection="1">
      <alignment horizontal="left" vertical="center"/>
      <protection hidden="1"/>
    </xf>
    <xf numFmtId="0" fontId="8" fillId="15" borderId="1" xfId="0" applyFont="1" applyFill="1" applyBorder="1" applyAlignment="1" applyProtection="1">
      <alignment horizontal="center"/>
      <protection hidden="1"/>
    </xf>
    <xf numFmtId="0" fontId="7" fillId="15" borderId="1" xfId="0" applyFont="1" applyFill="1" applyBorder="1" applyAlignment="1" applyProtection="1">
      <alignment horizontal="left" vertical="center"/>
      <protection hidden="1"/>
    </xf>
    <xf numFmtId="0" fontId="10" fillId="3" borderId="25" xfId="0" applyFont="1" applyFill="1" applyBorder="1" applyProtection="1">
      <protection hidden="1"/>
    </xf>
    <xf numFmtId="0" fontId="5" fillId="3" borderId="25" xfId="0" applyFont="1" applyFill="1" applyBorder="1" applyProtection="1">
      <protection hidden="1"/>
    </xf>
    <xf numFmtId="39" fontId="7" fillId="14" borderId="0" xfId="0" applyNumberFormat="1" applyFont="1" applyFill="1" applyAlignment="1" applyProtection="1">
      <alignment horizontal="left"/>
      <protection hidden="1"/>
    </xf>
    <xf numFmtId="0" fontId="0" fillId="15" borderId="0" xfId="0" applyFill="1" applyAlignment="1">
      <alignment horizontal="left"/>
    </xf>
    <xf numFmtId="0" fontId="8" fillId="3" borderId="0" xfId="0" applyFont="1" applyFill="1" applyAlignment="1" applyProtection="1">
      <alignment horizontal="right" indent="1"/>
      <protection hidden="1"/>
    </xf>
    <xf numFmtId="1" fontId="8" fillId="20" borderId="12"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46" fillId="3" borderId="8" xfId="0" applyFont="1" applyFill="1" applyBorder="1" applyProtection="1">
      <protection hidden="1"/>
    </xf>
    <xf numFmtId="0" fontId="15" fillId="14" borderId="26" xfId="0" applyFont="1" applyFill="1" applyBorder="1" applyAlignment="1" applyProtection="1">
      <alignment horizontal="centerContinuous"/>
      <protection hidden="1"/>
    </xf>
    <xf numFmtId="0" fontId="0" fillId="15" borderId="1" xfId="0" applyFill="1" applyBorder="1" applyAlignment="1">
      <alignment horizontal="centerContinuous"/>
    </xf>
    <xf numFmtId="0" fontId="5" fillId="15" borderId="0" xfId="0" applyFont="1" applyFill="1" applyAlignment="1">
      <alignment horizontal="centerContinuous" vertical="center"/>
    </xf>
    <xf numFmtId="0" fontId="11" fillId="14" borderId="26" xfId="0" applyFont="1" applyFill="1" applyBorder="1" applyAlignment="1" applyProtection="1">
      <alignment horizontal="center"/>
      <protection hidden="1"/>
    </xf>
    <xf numFmtId="0" fontId="0" fillId="15" borderId="1" xfId="0" applyFill="1" applyBorder="1" applyAlignment="1">
      <alignment horizontal="center"/>
    </xf>
    <xf numFmtId="0" fontId="46" fillId="3" borderId="30" xfId="0" applyFont="1" applyFill="1" applyBorder="1" applyProtection="1">
      <protection hidden="1"/>
    </xf>
    <xf numFmtId="1" fontId="8" fillId="3" borderId="0" xfId="0" applyNumberFormat="1" applyFont="1" applyFill="1" applyAlignment="1" applyProtection="1">
      <alignment horizontal="right"/>
      <protection hidden="1"/>
    </xf>
    <xf numFmtId="0" fontId="36" fillId="3" borderId="0" xfId="0" applyFont="1" applyFill="1" applyProtection="1">
      <protection hidden="1"/>
    </xf>
    <xf numFmtId="0" fontId="11" fillId="3" borderId="3" xfId="0" applyFont="1" applyFill="1" applyBorder="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8" fillId="3" borderId="1" xfId="0" applyFont="1" applyFill="1" applyBorder="1" applyAlignment="1" applyProtection="1">
      <alignment horizontal="left"/>
      <protection hidden="1"/>
    </xf>
    <xf numFmtId="39" fontId="7" fillId="3" borderId="13" xfId="0" applyNumberFormat="1" applyFont="1" applyFill="1" applyBorder="1" applyAlignment="1" applyProtection="1">
      <alignment horizontal="right"/>
      <protection hidden="1"/>
    </xf>
    <xf numFmtId="39" fontId="10" fillId="3" borderId="13" xfId="0" applyNumberFormat="1" applyFont="1" applyFill="1" applyBorder="1" applyAlignment="1" applyProtection="1">
      <alignment horizontal="left"/>
      <protection hidden="1"/>
    </xf>
    <xf numFmtId="0" fontId="46" fillId="3" borderId="34" xfId="0" applyFont="1" applyFill="1" applyBorder="1" applyProtection="1">
      <protection hidden="1"/>
    </xf>
    <xf numFmtId="0" fontId="0" fillId="15" borderId="24" xfId="0" applyFill="1" applyBorder="1" applyAlignment="1">
      <alignment horizontal="left"/>
    </xf>
    <xf numFmtId="0" fontId="46" fillId="3" borderId="24" xfId="0" applyFont="1" applyFill="1" applyBorder="1" applyProtection="1">
      <protection hidden="1"/>
    </xf>
    <xf numFmtId="0" fontId="7" fillId="3" borderId="13" xfId="0" applyFont="1" applyFill="1" applyBorder="1" applyAlignment="1" applyProtection="1">
      <alignment horizontal="left"/>
      <protection hidden="1"/>
    </xf>
    <xf numFmtId="0" fontId="14" fillId="3" borderId="34" xfId="0" applyFont="1" applyFill="1" applyBorder="1" applyAlignment="1" applyProtection="1">
      <alignment vertical="center"/>
      <protection hidden="1"/>
    </xf>
    <xf numFmtId="1" fontId="8" fillId="3" borderId="11" xfId="0" applyNumberFormat="1" applyFont="1" applyFill="1" applyBorder="1" applyAlignment="1" applyProtection="1">
      <alignment horizontal="right"/>
      <protection hidden="1"/>
    </xf>
    <xf numFmtId="0" fontId="8" fillId="3" borderId="24" xfId="0" applyFont="1" applyFill="1" applyBorder="1" applyAlignment="1" applyProtection="1">
      <alignment horizontal="right"/>
      <protection hidden="1"/>
    </xf>
    <xf numFmtId="0" fontId="7" fillId="3" borderId="4" xfId="0" applyFont="1" applyFill="1" applyBorder="1" applyProtection="1">
      <protection hidden="1"/>
    </xf>
    <xf numFmtId="39" fontId="8" fillId="3" borderId="8" xfId="0" applyNumberFormat="1" applyFont="1" applyFill="1" applyBorder="1" applyProtection="1">
      <protection hidden="1"/>
    </xf>
    <xf numFmtId="37" fontId="8" fillId="28" borderId="1" xfId="0" applyNumberFormat="1" applyFont="1" applyFill="1" applyBorder="1" applyAlignment="1" applyProtection="1">
      <alignment horizontal="right"/>
      <protection hidden="1"/>
    </xf>
    <xf numFmtId="0" fontId="0" fillId="15" borderId="7" xfId="0" applyFill="1" applyBorder="1"/>
    <xf numFmtId="0" fontId="0" fillId="15" borderId="19" xfId="0" applyFill="1" applyBorder="1"/>
    <xf numFmtId="0" fontId="0" fillId="15" borderId="20" xfId="0" applyFill="1" applyBorder="1"/>
    <xf numFmtId="0" fontId="5" fillId="15" borderId="1" xfId="0" applyFont="1" applyFill="1" applyBorder="1" applyAlignment="1" applyProtection="1">
      <alignment horizontal="center" vertical="center"/>
      <protection hidden="1"/>
    </xf>
    <xf numFmtId="0" fontId="0" fillId="15" borderId="4" xfId="0" applyFill="1" applyBorder="1"/>
    <xf numFmtId="0" fontId="0" fillId="15" borderId="22" xfId="0" applyFill="1" applyBorder="1"/>
    <xf numFmtId="37" fontId="7" fillId="28" borderId="39" xfId="0" applyNumberFormat="1" applyFont="1" applyFill="1" applyBorder="1" applyAlignment="1" applyProtection="1">
      <alignment horizontal="right"/>
      <protection hidden="1"/>
    </xf>
    <xf numFmtId="0" fontId="5" fillId="5" borderId="0" xfId="0" applyFont="1" applyFill="1" applyAlignment="1" applyProtection="1">
      <alignment horizontal="right"/>
      <protection hidden="1"/>
    </xf>
    <xf numFmtId="0" fontId="112" fillId="0" borderId="0" xfId="0" applyFont="1"/>
    <xf numFmtId="0" fontId="13" fillId="24" borderId="27" xfId="0" applyFont="1" applyFill="1" applyBorder="1" applyProtection="1">
      <protection hidden="1"/>
    </xf>
    <xf numFmtId="0" fontId="13" fillId="24" borderId="108" xfId="0" applyFont="1" applyFill="1" applyBorder="1" applyProtection="1">
      <protection hidden="1"/>
    </xf>
    <xf numFmtId="0" fontId="9" fillId="24" borderId="5" xfId="0" applyFont="1" applyFill="1" applyBorder="1" applyAlignment="1" applyProtection="1">
      <alignment horizontal="center"/>
      <protection hidden="1"/>
    </xf>
    <xf numFmtId="0" fontId="9" fillId="24" borderId="0" xfId="0" applyFont="1" applyFill="1" applyAlignment="1" applyProtection="1">
      <alignment horizontal="center"/>
      <protection hidden="1"/>
    </xf>
    <xf numFmtId="0" fontId="9" fillId="24" borderId="0" xfId="0" applyFont="1" applyFill="1" applyAlignment="1" applyProtection="1">
      <alignment horizontal="left"/>
      <protection hidden="1"/>
    </xf>
    <xf numFmtId="0" fontId="7" fillId="24" borderId="0" xfId="0" applyFont="1" applyFill="1" applyProtection="1">
      <protection hidden="1"/>
    </xf>
    <xf numFmtId="0" fontId="63" fillId="24" borderId="20" xfId="0" applyFont="1" applyFill="1" applyBorder="1" applyProtection="1">
      <protection hidden="1"/>
    </xf>
    <xf numFmtId="0" fontId="0" fillId="24" borderId="0" xfId="0" applyFill="1" applyAlignment="1" applyProtection="1">
      <alignment vertical="center"/>
      <protection hidden="1"/>
    </xf>
    <xf numFmtId="3" fontId="28" fillId="24" borderId="5" xfId="0" applyNumberFormat="1" applyFont="1" applyFill="1" applyBorder="1" applyAlignment="1" applyProtection="1">
      <alignment horizontal="right"/>
      <protection hidden="1"/>
    </xf>
    <xf numFmtId="0" fontId="63" fillId="24" borderId="0" xfId="0" applyFont="1" applyFill="1" applyProtection="1">
      <protection hidden="1"/>
    </xf>
    <xf numFmtId="3" fontId="28" fillId="24" borderId="0" xfId="0" applyNumberFormat="1" applyFont="1" applyFill="1" applyAlignment="1" applyProtection="1">
      <alignment horizontal="right"/>
      <protection hidden="1"/>
    </xf>
    <xf numFmtId="0" fontId="9" fillId="24" borderId="0" xfId="0" applyFont="1" applyFill="1" applyAlignment="1" applyProtection="1">
      <alignment horizontal="right"/>
      <protection hidden="1"/>
    </xf>
    <xf numFmtId="3" fontId="139" fillId="24" borderId="0" xfId="0" applyNumberFormat="1" applyFont="1" applyFill="1" applyAlignment="1" applyProtection="1">
      <alignment horizontal="center"/>
      <protection hidden="1"/>
    </xf>
    <xf numFmtId="0" fontId="120" fillId="24" borderId="0" xfId="0" applyFont="1" applyFill="1" applyAlignment="1" applyProtection="1">
      <alignment horizontal="center"/>
      <protection hidden="1"/>
    </xf>
    <xf numFmtId="0" fontId="56" fillId="5" borderId="0" xfId="0" applyFont="1" applyFill="1" applyAlignment="1">
      <alignment horizontal="right"/>
    </xf>
    <xf numFmtId="0" fontId="0" fillId="24" borderId="27" xfId="0" applyFill="1" applyBorder="1" applyAlignment="1" applyProtection="1">
      <alignment horizontal="center"/>
      <protection hidden="1"/>
    </xf>
    <xf numFmtId="0" fontId="3" fillId="24" borderId="5" xfId="0" applyFont="1" applyFill="1" applyBorder="1" applyAlignment="1" applyProtection="1">
      <alignment horizontal="left"/>
      <protection hidden="1"/>
    </xf>
    <xf numFmtId="0" fontId="3" fillId="24" borderId="0" xfId="0" applyFont="1" applyFill="1" applyAlignment="1" applyProtection="1">
      <alignment horizontal="left"/>
      <protection hidden="1"/>
    </xf>
    <xf numFmtId="0" fontId="5" fillId="24" borderId="0" xfId="0" applyFont="1" applyFill="1" applyProtection="1">
      <protection hidden="1"/>
    </xf>
    <xf numFmtId="0" fontId="5" fillId="24" borderId="0" xfId="0" applyFont="1" applyFill="1" applyAlignment="1" applyProtection="1">
      <alignment vertical="top"/>
      <protection hidden="1"/>
    </xf>
    <xf numFmtId="0" fontId="11" fillId="24" borderId="5" xfId="0" applyFont="1" applyFill="1" applyBorder="1" applyAlignment="1" applyProtection="1">
      <alignment horizontal="center"/>
      <protection hidden="1"/>
    </xf>
    <xf numFmtId="37" fontId="8" fillId="28" borderId="2" xfId="0" applyNumberFormat="1" applyFont="1" applyFill="1" applyBorder="1" applyAlignment="1" applyProtection="1">
      <alignment horizontal="center" vertical="center"/>
      <protection hidden="1"/>
    </xf>
    <xf numFmtId="0" fontId="13" fillId="15" borderId="0" xfId="0" applyFont="1" applyFill="1" applyProtection="1">
      <protection hidden="1"/>
    </xf>
    <xf numFmtId="0" fontId="0" fillId="15" borderId="1" xfId="0" applyFill="1" applyBorder="1" applyAlignment="1">
      <alignment horizontal="left" vertical="top"/>
    </xf>
    <xf numFmtId="0" fontId="0" fillId="15" borderId="11" xfId="0" applyFill="1" applyBorder="1" applyAlignment="1">
      <alignment horizontal="left" vertical="top"/>
    </xf>
    <xf numFmtId="0" fontId="0" fillId="0" borderId="0" xfId="0" applyAlignment="1">
      <alignment wrapText="1"/>
    </xf>
    <xf numFmtId="179" fontId="9" fillId="5" borderId="0" xfId="0" applyNumberFormat="1" applyFont="1" applyFill="1" applyAlignment="1" applyProtection="1">
      <alignment horizontal="center" vertical="top"/>
      <protection hidden="1"/>
    </xf>
    <xf numFmtId="0" fontId="5" fillId="2" borderId="4" xfId="0" applyFont="1" applyFill="1" applyBorder="1" applyProtection="1">
      <protection hidden="1"/>
    </xf>
    <xf numFmtId="0" fontId="10" fillId="16" borderId="12" xfId="0" applyFont="1" applyFill="1" applyBorder="1" applyAlignment="1" applyProtection="1">
      <alignment horizontal="center" vertical="center"/>
      <protection locked="0"/>
    </xf>
    <xf numFmtId="0" fontId="0" fillId="15" borderId="5" xfId="0" applyFill="1" applyBorder="1" applyAlignment="1" applyProtection="1">
      <alignment horizontal="left"/>
      <protection hidden="1"/>
    </xf>
    <xf numFmtId="0" fontId="0" fillId="15" borderId="0" xfId="0" applyFill="1" applyAlignment="1" applyProtection="1">
      <alignment horizontal="left"/>
      <protection hidden="1"/>
    </xf>
    <xf numFmtId="0" fontId="0" fillId="15" borderId="20" xfId="0" applyFill="1" applyBorder="1" applyAlignment="1" applyProtection="1">
      <alignment horizontal="left"/>
      <protection hidden="1"/>
    </xf>
    <xf numFmtId="0" fontId="5" fillId="15" borderId="21" xfId="0" applyFont="1" applyFill="1" applyBorder="1" applyProtection="1">
      <protection hidden="1"/>
    </xf>
    <xf numFmtId="0" fontId="5" fillId="15" borderId="7" xfId="0" applyFont="1" applyFill="1" applyBorder="1" applyProtection="1">
      <protection hidden="1"/>
    </xf>
    <xf numFmtId="0" fontId="0" fillId="15" borderId="56" xfId="0" applyFill="1" applyBorder="1" applyProtection="1">
      <protection hidden="1"/>
    </xf>
    <xf numFmtId="0" fontId="0" fillId="15" borderId="1" xfId="0" applyFill="1" applyBorder="1" applyProtection="1">
      <protection hidden="1"/>
    </xf>
    <xf numFmtId="0" fontId="0" fillId="15" borderId="25" xfId="0" applyFill="1" applyBorder="1" applyProtection="1">
      <protection hidden="1"/>
    </xf>
    <xf numFmtId="0" fontId="0" fillId="15" borderId="15" xfId="0" applyFill="1" applyBorder="1" applyProtection="1">
      <protection hidden="1"/>
    </xf>
    <xf numFmtId="0" fontId="14" fillId="15" borderId="0" xfId="0" quotePrefix="1" applyFont="1" applyFill="1" applyAlignment="1" applyProtection="1">
      <alignment horizontal="center"/>
      <protection hidden="1"/>
    </xf>
    <xf numFmtId="0" fontId="3" fillId="15" borderId="10" xfId="0" applyFont="1" applyFill="1" applyBorder="1" applyAlignment="1" applyProtection="1">
      <alignment horizontal="center"/>
      <protection hidden="1"/>
    </xf>
    <xf numFmtId="0" fontId="0" fillId="15" borderId="6" xfId="0" applyFill="1" applyBorder="1" applyProtection="1">
      <protection hidden="1"/>
    </xf>
    <xf numFmtId="0" fontId="14" fillId="15" borderId="0" xfId="0" quotePrefix="1" applyFont="1" applyFill="1" applyAlignment="1" applyProtection="1">
      <alignment horizontal="right"/>
      <protection hidden="1"/>
    </xf>
    <xf numFmtId="0" fontId="3" fillId="15" borderId="0" xfId="0" applyFont="1" applyFill="1" applyAlignment="1" applyProtection="1">
      <alignment horizontal="right"/>
      <protection hidden="1"/>
    </xf>
    <xf numFmtId="0" fontId="0" fillId="19" borderId="6" xfId="0" applyFill="1" applyBorder="1" applyProtection="1">
      <protection hidden="1"/>
    </xf>
    <xf numFmtId="0" fontId="0" fillId="19" borderId="0" xfId="0" applyFill="1" applyProtection="1">
      <protection hidden="1"/>
    </xf>
    <xf numFmtId="0" fontId="14" fillId="15" borderId="28" xfId="0" quotePrefix="1" applyFont="1" applyFill="1" applyBorder="1" applyAlignment="1" applyProtection="1">
      <alignment horizontal="center"/>
      <protection hidden="1"/>
    </xf>
    <xf numFmtId="0" fontId="3" fillId="15" borderId="28" xfId="0" applyFont="1" applyFill="1" applyBorder="1" applyAlignment="1" applyProtection="1">
      <alignment horizontal="center"/>
      <protection hidden="1"/>
    </xf>
    <xf numFmtId="0" fontId="14" fillId="15" borderId="25" xfId="0" quotePrefix="1" applyFont="1" applyFill="1" applyBorder="1" applyAlignment="1" applyProtection="1">
      <alignment horizontal="right"/>
      <protection hidden="1"/>
    </xf>
    <xf numFmtId="0" fontId="14" fillId="15" borderId="25" xfId="0" quotePrefix="1" applyFont="1" applyFill="1" applyBorder="1" applyAlignment="1" applyProtection="1">
      <alignment horizontal="center"/>
      <protection hidden="1"/>
    </xf>
    <xf numFmtId="0" fontId="14" fillId="15" borderId="31" xfId="0" quotePrefix="1" applyFont="1" applyFill="1" applyBorder="1" applyAlignment="1" applyProtection="1">
      <alignment horizontal="right"/>
      <protection hidden="1"/>
    </xf>
    <xf numFmtId="0" fontId="14" fillId="15" borderId="31" xfId="0" quotePrefix="1" applyFont="1" applyFill="1" applyBorder="1" applyAlignment="1" applyProtection="1">
      <alignment horizontal="center"/>
      <protection hidden="1"/>
    </xf>
    <xf numFmtId="0" fontId="14" fillId="15" borderId="7" xfId="0" quotePrefix="1" applyFont="1" applyFill="1" applyBorder="1" applyAlignment="1" applyProtection="1">
      <alignment horizontal="right"/>
      <protection hidden="1"/>
    </xf>
    <xf numFmtId="0" fontId="7" fillId="15" borderId="1" xfId="0" applyFont="1" applyFill="1" applyBorder="1" applyProtection="1">
      <protection hidden="1"/>
    </xf>
    <xf numFmtId="0" fontId="10" fillId="15" borderId="1" xfId="0" applyFont="1" applyFill="1" applyBorder="1" applyAlignment="1" applyProtection="1">
      <alignment vertical="center"/>
      <protection hidden="1"/>
    </xf>
    <xf numFmtId="0" fontId="3" fillId="15" borderId="1" xfId="0" applyFont="1" applyFill="1" applyBorder="1" applyAlignment="1" applyProtection="1">
      <alignment vertical="center"/>
      <protection hidden="1"/>
    </xf>
    <xf numFmtId="0" fontId="14" fillId="15" borderId="8" xfId="0" applyFont="1" applyFill="1" applyBorder="1" applyAlignment="1" applyProtection="1">
      <alignment horizontal="center"/>
      <protection hidden="1"/>
    </xf>
    <xf numFmtId="0" fontId="0" fillId="15" borderId="8" xfId="0" applyFill="1" applyBorder="1" applyProtection="1">
      <protection hidden="1"/>
    </xf>
    <xf numFmtId="0" fontId="0" fillId="15" borderId="14" xfId="0" applyFill="1" applyBorder="1" applyProtection="1">
      <protection hidden="1"/>
    </xf>
    <xf numFmtId="0" fontId="14" fillId="15" borderId="30" xfId="0" applyFont="1" applyFill="1" applyBorder="1" applyAlignment="1" applyProtection="1">
      <alignment horizontal="center"/>
      <protection hidden="1"/>
    </xf>
    <xf numFmtId="0" fontId="14" fillId="15" borderId="0" xfId="0" applyFont="1" applyFill="1" applyProtection="1">
      <protection hidden="1"/>
    </xf>
    <xf numFmtId="0" fontId="10" fillId="15" borderId="27" xfId="0" applyFont="1" applyFill="1" applyBorder="1" applyAlignment="1" applyProtection="1">
      <alignment vertical="center"/>
      <protection hidden="1"/>
    </xf>
    <xf numFmtId="0" fontId="0" fillId="15" borderId="27" xfId="0" applyFill="1" applyBorder="1" applyProtection="1">
      <protection hidden="1"/>
    </xf>
    <xf numFmtId="0" fontId="122" fillId="15" borderId="25" xfId="0" applyFont="1" applyFill="1" applyBorder="1" applyAlignment="1" applyProtection="1">
      <alignment horizontal="right"/>
      <protection hidden="1"/>
    </xf>
    <xf numFmtId="0" fontId="0" fillId="15" borderId="30" xfId="0" applyFill="1" applyBorder="1" applyProtection="1">
      <protection hidden="1"/>
    </xf>
    <xf numFmtId="0" fontId="0" fillId="15" borderId="3" xfId="0" applyFill="1" applyBorder="1" applyProtection="1">
      <protection hidden="1"/>
    </xf>
    <xf numFmtId="0" fontId="0" fillId="15" borderId="24" xfId="0" applyFill="1" applyBorder="1" applyProtection="1">
      <protection hidden="1"/>
    </xf>
    <xf numFmtId="0" fontId="3" fillId="15" borderId="3" xfId="0" quotePrefix="1" applyFont="1" applyFill="1" applyBorder="1" applyAlignment="1" applyProtection="1">
      <alignment horizontal="right"/>
      <protection hidden="1"/>
    </xf>
    <xf numFmtId="0" fontId="3" fillId="15" borderId="0" xfId="0" quotePrefix="1" applyFont="1" applyFill="1" applyAlignment="1" applyProtection="1">
      <alignment horizontal="right"/>
      <protection hidden="1"/>
    </xf>
    <xf numFmtId="0" fontId="0" fillId="15" borderId="9" xfId="0" applyFill="1" applyBorder="1" applyProtection="1">
      <protection hidden="1"/>
    </xf>
    <xf numFmtId="0" fontId="3" fillId="5" borderId="0" xfId="0" applyFont="1" applyFill="1" applyAlignment="1" applyProtection="1">
      <alignment horizontal="left"/>
      <protection hidden="1"/>
    </xf>
    <xf numFmtId="0" fontId="14" fillId="5" borderId="0" xfId="0" applyFont="1" applyFill="1" applyAlignment="1" applyProtection="1">
      <alignment horizontal="left"/>
      <protection hidden="1"/>
    </xf>
    <xf numFmtId="0" fontId="122" fillId="5" borderId="0" xfId="0" applyFont="1" applyFill="1" applyAlignment="1" applyProtection="1">
      <alignment horizontal="center"/>
      <protection hidden="1"/>
    </xf>
    <xf numFmtId="0" fontId="10" fillId="27" borderId="12" xfId="0" applyFont="1" applyFill="1" applyBorder="1" applyAlignment="1" applyProtection="1">
      <alignment horizontal="center" vertical="center"/>
      <protection hidden="1"/>
    </xf>
    <xf numFmtId="0" fontId="141" fillId="0" borderId="46" xfId="0" quotePrefix="1" applyFont="1" applyBorder="1" applyAlignment="1">
      <alignment horizontal="center" vertical="center" wrapText="1"/>
    </xf>
    <xf numFmtId="0" fontId="141" fillId="0" borderId="55" xfId="0" applyFont="1" applyBorder="1" applyAlignment="1">
      <alignment horizontal="center" vertical="center"/>
    </xf>
    <xf numFmtId="0" fontId="141" fillId="0" borderId="10" xfId="0" applyFont="1" applyBorder="1" applyAlignment="1">
      <alignment horizontal="center" vertical="center" wrapText="1"/>
    </xf>
    <xf numFmtId="0" fontId="142" fillId="0" borderId="59" xfId="0" applyFont="1" applyBorder="1" applyAlignment="1" applyProtection="1">
      <alignment horizontal="centerContinuous"/>
      <protection hidden="1"/>
    </xf>
    <xf numFmtId="0" fontId="141" fillId="0" borderId="74" xfId="0" applyFont="1" applyBorder="1" applyAlignment="1">
      <alignment horizontal="centerContinuous" wrapText="1"/>
    </xf>
    <xf numFmtId="0" fontId="5" fillId="0" borderId="60" xfId="0" applyFont="1" applyBorder="1" applyAlignment="1" applyProtection="1">
      <alignment horizontal="centerContinuous"/>
      <protection hidden="1"/>
    </xf>
    <xf numFmtId="0" fontId="141" fillId="0" borderId="66" xfId="0" applyFont="1" applyBorder="1" applyAlignment="1">
      <alignment horizontal="center" vertical="center" wrapText="1"/>
    </xf>
    <xf numFmtId="3" fontId="141" fillId="0" borderId="12" xfId="0" applyNumberFormat="1" applyFont="1" applyBorder="1" applyAlignment="1">
      <alignment horizontal="center" vertical="center" wrapText="1"/>
    </xf>
    <xf numFmtId="3" fontId="5" fillId="30" borderId="1" xfId="0" applyNumberFormat="1" applyFont="1" applyFill="1" applyBorder="1" applyProtection="1">
      <protection hidden="1"/>
    </xf>
    <xf numFmtId="3" fontId="5" fillId="16" borderId="1" xfId="0" applyNumberFormat="1" applyFont="1" applyFill="1" applyBorder="1" applyProtection="1">
      <protection locked="0"/>
    </xf>
    <xf numFmtId="3" fontId="5" fillId="25" borderId="1" xfId="0" applyNumberFormat="1" applyFont="1" applyFill="1" applyBorder="1" applyProtection="1">
      <protection hidden="1"/>
    </xf>
    <xf numFmtId="0" fontId="80" fillId="5" borderId="0" xfId="0" applyFont="1" applyFill="1"/>
    <xf numFmtId="4" fontId="80" fillId="5" borderId="0" xfId="0" applyNumberFormat="1" applyFont="1" applyFill="1"/>
    <xf numFmtId="0" fontId="80" fillId="5" borderId="0" xfId="0" applyFont="1" applyFill="1" applyAlignment="1">
      <alignment vertical="center"/>
    </xf>
    <xf numFmtId="0" fontId="83" fillId="3" borderId="0" xfId="0" applyFont="1" applyFill="1" applyProtection="1">
      <protection hidden="1"/>
    </xf>
    <xf numFmtId="0" fontId="83" fillId="3" borderId="0" xfId="0" applyFont="1" applyFill="1" applyAlignment="1" applyProtection="1">
      <alignment vertical="top"/>
      <protection hidden="1"/>
    </xf>
    <xf numFmtId="0" fontId="50" fillId="9" borderId="0" xfId="0" applyFont="1" applyFill="1" applyAlignment="1" applyProtection="1">
      <alignment horizontal="center" vertical="center"/>
      <protection hidden="1"/>
    </xf>
    <xf numFmtId="0" fontId="10" fillId="3" borderId="0" xfId="0" applyFont="1" applyFill="1" applyProtection="1">
      <protection hidden="1"/>
    </xf>
    <xf numFmtId="0" fontId="0" fillId="3" borderId="14" xfId="0" applyFill="1" applyBorder="1" applyProtection="1">
      <protection hidden="1"/>
    </xf>
    <xf numFmtId="0" fontId="0" fillId="3" borderId="3" xfId="0" applyFill="1" applyBorder="1" applyProtection="1">
      <protection hidden="1"/>
    </xf>
    <xf numFmtId="0" fontId="9" fillId="3" borderId="1" xfId="0" applyFont="1" applyFill="1" applyBorder="1" applyAlignment="1" applyProtection="1">
      <alignment horizontal="center"/>
      <protection hidden="1"/>
    </xf>
    <xf numFmtId="0" fontId="9" fillId="3" borderId="11" xfId="0" applyFont="1" applyFill="1" applyBorder="1" applyProtection="1">
      <protection hidden="1"/>
    </xf>
    <xf numFmtId="0" fontId="79" fillId="3" borderId="0" xfId="0" applyFont="1" applyFill="1" applyProtection="1">
      <protection hidden="1"/>
    </xf>
    <xf numFmtId="0" fontId="56" fillId="3" borderId="0" xfId="0" applyFont="1" applyFill="1" applyAlignment="1" applyProtection="1">
      <alignment horizontal="center"/>
      <protection hidden="1"/>
    </xf>
    <xf numFmtId="0" fontId="0" fillId="3" borderId="72" xfId="0" applyFill="1" applyBorder="1" applyProtection="1">
      <protection hidden="1"/>
    </xf>
    <xf numFmtId="0" fontId="0" fillId="3" borderId="33" xfId="0" applyFill="1" applyBorder="1" applyProtection="1">
      <protection hidden="1"/>
    </xf>
    <xf numFmtId="0" fontId="56" fillId="3" borderId="0" xfId="0" applyFont="1" applyFill="1" applyProtection="1">
      <protection hidden="1"/>
    </xf>
    <xf numFmtId="0" fontId="5" fillId="3" borderId="1" xfId="0" applyFont="1" applyFill="1" applyBorder="1" applyProtection="1">
      <protection hidden="1"/>
    </xf>
    <xf numFmtId="0" fontId="0" fillId="3" borderId="25" xfId="0" applyFill="1" applyBorder="1" applyProtection="1">
      <protection hidden="1"/>
    </xf>
    <xf numFmtId="0" fontId="9" fillId="3" borderId="0" xfId="0" applyFont="1" applyFill="1" applyAlignment="1" applyProtection="1">
      <alignment horizontal="center"/>
      <protection hidden="1"/>
    </xf>
    <xf numFmtId="0" fontId="80" fillId="7" borderId="6" xfId="0" applyFont="1" applyFill="1" applyBorder="1" applyProtection="1">
      <protection hidden="1"/>
    </xf>
    <xf numFmtId="0" fontId="0" fillId="7" borderId="6" xfId="0" applyFill="1" applyBorder="1" applyProtection="1">
      <protection hidden="1"/>
    </xf>
    <xf numFmtId="0" fontId="3" fillId="3" borderId="24" xfId="0" applyFont="1" applyFill="1" applyBorder="1" applyAlignment="1" applyProtection="1">
      <alignment horizontal="right"/>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1" fillId="3" borderId="3" xfId="0" applyNumberFormat="1" applyFont="1" applyFill="1" applyBorder="1" applyProtection="1">
      <protection hidden="1"/>
    </xf>
    <xf numFmtId="0" fontId="0" fillId="3" borderId="7" xfId="0" applyFill="1" applyBorder="1" applyAlignment="1" applyProtection="1">
      <alignment vertical="center"/>
      <protection hidden="1"/>
    </xf>
    <xf numFmtId="0" fontId="9" fillId="3" borderId="7" xfId="0" applyFont="1" applyFill="1" applyBorder="1" applyAlignment="1" applyProtection="1">
      <alignment vertical="center"/>
      <protection hidden="1"/>
    </xf>
    <xf numFmtId="0" fontId="10" fillId="3" borderId="1" xfId="0" applyFont="1" applyFill="1" applyBorder="1" applyAlignment="1" applyProtection="1">
      <alignment vertical="center"/>
      <protection hidden="1"/>
    </xf>
    <xf numFmtId="4" fontId="0" fillId="3" borderId="30" xfId="0" applyNumberFormat="1" applyFill="1" applyBorder="1" applyProtection="1">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1" xfId="0" applyFont="1" applyFill="1" applyBorder="1" applyAlignment="1" applyProtection="1">
      <alignment horizontal="right"/>
      <protection hidden="1"/>
    </xf>
    <xf numFmtId="0" fontId="3" fillId="3" borderId="4" xfId="0" applyFont="1" applyFill="1" applyBorder="1" applyAlignment="1" applyProtection="1">
      <alignment horizontal="right"/>
      <protection hidden="1"/>
    </xf>
    <xf numFmtId="0" fontId="0" fillId="2" borderId="23" xfId="0" applyFill="1" applyBorder="1"/>
    <xf numFmtId="0" fontId="9" fillId="3" borderId="21" xfId="0" applyFont="1" applyFill="1" applyBorder="1" applyAlignment="1" applyProtection="1">
      <alignment horizontal="center" vertical="center"/>
      <protection hidden="1"/>
    </xf>
    <xf numFmtId="0" fontId="0" fillId="3" borderId="22" xfId="0" applyFill="1" applyBorder="1" applyAlignment="1" applyProtection="1">
      <alignment vertical="center"/>
      <protection hidden="1"/>
    </xf>
    <xf numFmtId="0" fontId="9" fillId="3" borderId="0" xfId="0" applyFont="1" applyFill="1" applyAlignment="1" applyProtection="1">
      <alignment horizontal="center" vertical="center"/>
      <protection hidden="1"/>
    </xf>
    <xf numFmtId="0" fontId="20"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19" fillId="3" borderId="0" xfId="0" applyFont="1" applyFill="1" applyAlignment="1" applyProtection="1">
      <alignment vertical="center"/>
      <protection hidden="1"/>
    </xf>
    <xf numFmtId="0" fontId="9" fillId="3" borderId="8" xfId="0" applyFont="1" applyFill="1" applyBorder="1" applyProtection="1">
      <protection hidden="1"/>
    </xf>
    <xf numFmtId="0" fontId="8" fillId="3" borderId="8" xfId="0" applyFont="1" applyFill="1" applyBorder="1" applyProtection="1">
      <protection hidden="1"/>
    </xf>
    <xf numFmtId="3" fontId="110" fillId="0" borderId="0" xfId="0" applyNumberFormat="1" applyFont="1"/>
    <xf numFmtId="3" fontId="5" fillId="0" borderId="2" xfId="0" applyNumberFormat="1" applyFont="1" applyBorder="1" applyProtection="1">
      <protection locked="0"/>
    </xf>
    <xf numFmtId="0" fontId="10" fillId="3" borderId="25" xfId="0" applyFont="1" applyFill="1" applyBorder="1" applyAlignment="1" applyProtection="1">
      <alignment vertical="center"/>
      <protection hidden="1"/>
    </xf>
    <xf numFmtId="0" fontId="9" fillId="3" borderId="2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10" fillId="3" borderId="3" xfId="0" applyNumberFormat="1" applyFont="1" applyFill="1" applyBorder="1" applyProtection="1">
      <protection locked="0"/>
    </xf>
    <xf numFmtId="0" fontId="122" fillId="3" borderId="0" xfId="0" applyFont="1" applyFill="1" applyAlignment="1" applyProtection="1">
      <alignment vertical="center"/>
      <protection hidden="1"/>
    </xf>
    <xf numFmtId="3" fontId="122" fillId="3" borderId="3" xfId="0" applyNumberFormat="1" applyFont="1" applyFill="1" applyBorder="1" applyAlignment="1" applyProtection="1">
      <alignment horizontal="center"/>
      <protection hidden="1"/>
    </xf>
    <xf numFmtId="0" fontId="129" fillId="15" borderId="0" xfId="0" applyFont="1" applyFill="1" applyAlignment="1">
      <alignment horizontal="center" vertical="center" wrapText="1"/>
    </xf>
    <xf numFmtId="0" fontId="110" fillId="15" borderId="7" xfId="0" applyFont="1" applyFill="1" applyBorder="1" applyAlignment="1" applyProtection="1">
      <alignment horizontal="center" vertical="center"/>
      <protection hidden="1"/>
    </xf>
    <xf numFmtId="168" fontId="0" fillId="15" borderId="0" xfId="0" applyNumberFormat="1" applyFill="1" applyProtection="1">
      <protection hidden="1"/>
    </xf>
    <xf numFmtId="3" fontId="0" fillId="15" borderId="0" xfId="0" applyNumberFormat="1" applyFill="1" applyProtection="1">
      <protection hidden="1"/>
    </xf>
    <xf numFmtId="0" fontId="130" fillId="15" borderId="0" xfId="0" applyFont="1" applyFill="1" applyAlignment="1" applyProtection="1">
      <alignment horizontal="center"/>
      <protection hidden="1"/>
    </xf>
    <xf numFmtId="171" fontId="0" fillId="15" borderId="0" xfId="0" applyNumberFormat="1" applyFill="1" applyAlignment="1" applyProtection="1">
      <alignment horizontal="right"/>
      <protection hidden="1"/>
    </xf>
    <xf numFmtId="0" fontId="5" fillId="15" borderId="5" xfId="0" applyFont="1" applyFill="1" applyBorder="1" applyAlignment="1" applyProtection="1">
      <alignment horizontal="left" indent="1"/>
      <protection hidden="1"/>
    </xf>
    <xf numFmtId="0" fontId="0" fillId="15" borderId="5" xfId="0" applyFill="1" applyBorder="1" applyAlignment="1" applyProtection="1">
      <alignment horizontal="left" indent="1"/>
      <protection hidden="1"/>
    </xf>
    <xf numFmtId="0" fontId="0" fillId="15" borderId="21" xfId="0" applyFill="1" applyBorder="1" applyAlignment="1" applyProtection="1">
      <alignment horizontal="left" indent="1"/>
      <protection hidden="1"/>
    </xf>
    <xf numFmtId="0" fontId="25" fillId="15" borderId="23" xfId="0" applyFont="1" applyFill="1" applyBorder="1" applyAlignment="1" applyProtection="1">
      <alignment horizontal="left" indent="1"/>
      <protection hidden="1"/>
    </xf>
    <xf numFmtId="0" fontId="5" fillId="15" borderId="0" xfId="0" applyFont="1" applyFill="1" applyAlignment="1" applyProtection="1">
      <alignment horizontal="center" wrapText="1"/>
      <protection hidden="1"/>
    </xf>
    <xf numFmtId="3" fontId="5" fillId="15" borderId="0" xfId="0" applyNumberFormat="1" applyFont="1" applyFill="1" applyAlignment="1" applyProtection="1">
      <alignment horizontal="right"/>
      <protection hidden="1"/>
    </xf>
    <xf numFmtId="0" fontId="0" fillId="15" borderId="0" xfId="0" applyFill="1" applyAlignment="1">
      <alignment vertical="top" wrapText="1"/>
    </xf>
    <xf numFmtId="3" fontId="110" fillId="15" borderId="0" xfId="0" applyNumberFormat="1" applyFont="1" applyFill="1" applyProtection="1">
      <protection hidden="1"/>
    </xf>
    <xf numFmtId="177" fontId="0" fillId="15" borderId="0" xfId="0" applyNumberFormat="1" applyFill="1" applyAlignment="1" applyProtection="1">
      <alignment horizontal="right"/>
      <protection hidden="1"/>
    </xf>
    <xf numFmtId="0" fontId="0" fillId="15" borderId="0" xfId="0" applyFill="1" applyAlignment="1" applyProtection="1">
      <alignment horizontal="right"/>
      <protection hidden="1"/>
    </xf>
    <xf numFmtId="0" fontId="122" fillId="15"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5" borderId="30" xfId="0" applyFill="1" applyBorder="1"/>
    <xf numFmtId="0" fontId="0" fillId="15" borderId="8" xfId="0" applyFill="1" applyBorder="1"/>
    <xf numFmtId="0" fontId="0" fillId="15" borderId="14" xfId="0" applyFill="1" applyBorder="1"/>
    <xf numFmtId="0" fontId="0" fillId="15" borderId="3" xfId="0" applyFill="1" applyBorder="1"/>
    <xf numFmtId="0" fontId="0" fillId="15" borderId="24" xfId="0" applyFill="1" applyBorder="1"/>
    <xf numFmtId="0" fontId="0" fillId="15" borderId="3" xfId="0" applyFill="1" applyBorder="1" applyAlignment="1">
      <alignment vertical="center"/>
    </xf>
    <xf numFmtId="0" fontId="0" fillId="15" borderId="0" xfId="0" applyFill="1" applyAlignment="1">
      <alignment vertical="center"/>
    </xf>
    <xf numFmtId="0" fontId="0" fillId="15" borderId="9" xfId="0" applyFill="1" applyBorder="1"/>
    <xf numFmtId="0" fontId="0" fillId="15" borderId="1" xfId="0" applyFill="1" applyBorder="1"/>
    <xf numFmtId="0" fontId="0" fillId="15" borderId="11" xfId="0" applyFill="1" applyBorder="1"/>
    <xf numFmtId="0" fontId="33" fillId="0" borderId="0" xfId="0" applyFont="1" applyAlignment="1">
      <alignment vertical="center"/>
    </xf>
    <xf numFmtId="0" fontId="5" fillId="15" borderId="30" xfId="0" applyFont="1" applyFill="1" applyBorder="1"/>
    <xf numFmtId="0" fontId="66" fillId="15" borderId="5" xfId="2" applyFill="1" applyBorder="1" applyAlignment="1" applyProtection="1">
      <alignment horizontal="center"/>
      <protection hidden="1"/>
    </xf>
    <xf numFmtId="0" fontId="0" fillId="15" borderId="0" xfId="0" applyFill="1" applyAlignment="1">
      <alignment horizontal="center"/>
    </xf>
    <xf numFmtId="0" fontId="0" fillId="15" borderId="20" xfId="0" applyFill="1" applyBorder="1" applyAlignment="1">
      <alignment horizontal="center"/>
    </xf>
    <xf numFmtId="0" fontId="3" fillId="15" borderId="8" xfId="0" applyFont="1" applyFill="1" applyBorder="1" applyAlignment="1" applyProtection="1">
      <alignment horizontal="center" vertical="center" wrapText="1"/>
      <protection hidden="1"/>
    </xf>
    <xf numFmtId="0" fontId="5" fillId="15" borderId="0" xfId="0" applyFont="1" applyFill="1" applyAlignment="1" applyProtection="1">
      <alignment horizontal="left" vertical="center" indent="1"/>
      <protection hidden="1"/>
    </xf>
    <xf numFmtId="0" fontId="120" fillId="15" borderId="25" xfId="0" applyFont="1" applyFill="1" applyBorder="1" applyAlignment="1" applyProtection="1">
      <alignment horizontal="right" vertical="center"/>
      <protection hidden="1"/>
    </xf>
    <xf numFmtId="0" fontId="5" fillId="15" borderId="4" xfId="0" applyFont="1" applyFill="1" applyBorder="1" applyProtection="1">
      <protection hidden="1"/>
    </xf>
    <xf numFmtId="0" fontId="10" fillId="15" borderId="25" xfId="0" applyFont="1" applyFill="1" applyBorder="1" applyAlignment="1" applyProtection="1">
      <alignment horizontal="left" vertical="center" indent="1"/>
      <protection hidden="1"/>
    </xf>
    <xf numFmtId="0" fontId="5" fillId="15" borderId="8" xfId="0" applyFont="1" applyFill="1" applyBorder="1" applyProtection="1">
      <protection hidden="1"/>
    </xf>
    <xf numFmtId="0" fontId="5" fillId="15" borderId="1" xfId="0" applyFont="1" applyFill="1" applyBorder="1" applyProtection="1">
      <protection hidden="1"/>
    </xf>
    <xf numFmtId="0" fontId="0" fillId="15"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5" borderId="4" xfId="0" applyFill="1" applyBorder="1" applyAlignment="1" applyProtection="1">
      <alignment horizontal="center" vertical="center" wrapText="1"/>
      <protection hidden="1"/>
    </xf>
    <xf numFmtId="1" fontId="0" fillId="15" borderId="12" xfId="0" applyNumberFormat="1" applyFill="1" applyBorder="1" applyProtection="1">
      <protection locked="0"/>
    </xf>
    <xf numFmtId="0" fontId="0" fillId="15" borderId="24" xfId="0" applyFill="1" applyBorder="1" applyAlignment="1">
      <alignment horizontal="left" vertical="center" wrapText="1"/>
    </xf>
    <xf numFmtId="0" fontId="0" fillId="15" borderId="14" xfId="0" applyFill="1" applyBorder="1" applyAlignment="1">
      <alignment horizontal="left" vertical="center" wrapText="1"/>
    </xf>
    <xf numFmtId="1" fontId="0" fillId="15" borderId="24" xfId="0" applyNumberFormat="1" applyFill="1" applyBorder="1" applyProtection="1">
      <protection locked="0"/>
    </xf>
    <xf numFmtId="0" fontId="109" fillId="0" borderId="0" xfId="0" applyFont="1" applyProtection="1">
      <protection hidden="1"/>
    </xf>
    <xf numFmtId="3" fontId="5" fillId="0" borderId="0" xfId="0" applyNumberFormat="1" applyFont="1" applyProtection="1">
      <protection locked="0"/>
    </xf>
    <xf numFmtId="49" fontId="5" fillId="15" borderId="3" xfId="0" applyNumberFormat="1" applyFont="1" applyFill="1" applyBorder="1" applyAlignment="1" applyProtection="1">
      <alignment horizontal="right"/>
      <protection hidden="1"/>
    </xf>
    <xf numFmtId="0" fontId="140" fillId="15" borderId="0" xfId="0" applyFont="1" applyFill="1" applyAlignment="1">
      <alignment horizontal="left" vertical="center"/>
    </xf>
    <xf numFmtId="0" fontId="140" fillId="15" borderId="0" xfId="0" applyFont="1" applyFill="1" applyAlignment="1">
      <alignment vertical="center" wrapText="1"/>
    </xf>
    <xf numFmtId="49" fontId="5" fillId="15" borderId="0" xfId="0" applyNumberFormat="1" applyFont="1" applyFill="1" applyAlignment="1" applyProtection="1">
      <alignment horizontal="right"/>
      <protection hidden="1"/>
    </xf>
    <xf numFmtId="0" fontId="110" fillId="15" borderId="24" xfId="0" applyFont="1" applyFill="1" applyBorder="1" applyProtection="1">
      <protection hidden="1"/>
    </xf>
    <xf numFmtId="0" fontId="150" fillId="15" borderId="30" xfId="0" applyFont="1" applyFill="1" applyBorder="1" applyAlignment="1">
      <alignment horizontal="centerContinuous" vertical="center"/>
    </xf>
    <xf numFmtId="0" fontId="150" fillId="15" borderId="8" xfId="0" applyFont="1" applyFill="1" applyBorder="1" applyAlignment="1">
      <alignment horizontal="centerContinuous" vertical="center"/>
    </xf>
    <xf numFmtId="0" fontId="150" fillId="15" borderId="8" xfId="0" applyFont="1" applyFill="1" applyBorder="1" applyAlignment="1">
      <alignment horizontal="centerContinuous" vertical="center" wrapText="1"/>
    </xf>
    <xf numFmtId="0" fontId="3" fillId="15" borderId="8" xfId="0" applyFont="1" applyFill="1" applyBorder="1" applyAlignment="1" applyProtection="1">
      <alignment horizontal="centerContinuous"/>
      <protection hidden="1"/>
    </xf>
    <xf numFmtId="0" fontId="0" fillId="15" borderId="8" xfId="0" applyFill="1" applyBorder="1" applyAlignment="1" applyProtection="1">
      <alignment horizontal="centerContinuous"/>
      <protection hidden="1"/>
    </xf>
    <xf numFmtId="0" fontId="150" fillId="15" borderId="0" xfId="0" applyFont="1" applyFill="1" applyAlignment="1">
      <alignment vertical="center" wrapText="1"/>
    </xf>
    <xf numFmtId="0" fontId="151" fillId="0" borderId="0" xfId="0" applyFont="1" applyAlignment="1">
      <alignment vertical="center" wrapText="1"/>
    </xf>
    <xf numFmtId="0" fontId="0" fillId="0" borderId="0" xfId="0" applyAlignment="1" applyProtection="1">
      <alignment horizontal="right"/>
      <protection hidden="1"/>
    </xf>
    <xf numFmtId="0" fontId="21" fillId="2" borderId="0" xfId="0" applyFont="1" applyFill="1" applyAlignment="1" applyProtection="1">
      <alignment horizontal="center" vertical="center"/>
      <protection hidden="1"/>
    </xf>
    <xf numFmtId="0" fontId="50" fillId="2" borderId="0" xfId="0" applyFont="1" applyFill="1" applyAlignment="1" applyProtection="1">
      <alignment horizontal="center" vertical="center"/>
      <protection hidden="1"/>
    </xf>
    <xf numFmtId="0" fontId="79" fillId="2" borderId="0" xfId="0" applyFont="1" applyFill="1" applyAlignment="1" applyProtection="1">
      <alignment horizontal="left" vertical="center"/>
      <protection hidden="1"/>
    </xf>
    <xf numFmtId="0" fontId="10" fillId="2" borderId="0" xfId="0" applyFont="1" applyFill="1" applyAlignment="1" applyProtection="1">
      <alignment horizontal="left"/>
      <protection hidden="1"/>
    </xf>
    <xf numFmtId="0" fontId="85" fillId="2" borderId="0" xfId="0" applyFont="1" applyFill="1" applyProtection="1">
      <protection hidden="1"/>
    </xf>
    <xf numFmtId="0" fontId="50" fillId="2" borderId="0" xfId="0" applyFont="1" applyFill="1" applyAlignment="1" applyProtection="1">
      <alignment horizontal="right"/>
      <protection hidden="1"/>
    </xf>
    <xf numFmtId="0" fontId="3" fillId="2" borderId="0" xfId="0" applyFont="1" applyFill="1" applyAlignment="1" applyProtection="1">
      <alignment horizontal="center"/>
      <protection locked="0"/>
    </xf>
    <xf numFmtId="0" fontId="0" fillId="2" borderId="0" xfId="0" quotePrefix="1" applyFill="1" applyAlignment="1" applyProtection="1">
      <alignment horizontal="right"/>
      <protection hidden="1"/>
    </xf>
    <xf numFmtId="0" fontId="79" fillId="2" borderId="0" xfId="0" applyFont="1" applyFill="1" applyAlignment="1" applyProtection="1">
      <alignment horizontal="center"/>
      <protection hidden="1"/>
    </xf>
    <xf numFmtId="0" fontId="3" fillId="2" borderId="64" xfId="0" applyFont="1" applyFill="1" applyBorder="1" applyAlignment="1" applyProtection="1">
      <alignment horizontal="center"/>
      <protection hidden="1"/>
    </xf>
    <xf numFmtId="0" fontId="0" fillId="2" borderId="64" xfId="0" applyFill="1" applyBorder="1" applyProtection="1">
      <protection hidden="1"/>
    </xf>
    <xf numFmtId="0" fontId="21" fillId="2" borderId="64" xfId="0" applyFont="1" applyFill="1" applyBorder="1" applyProtection="1">
      <protection hidden="1"/>
    </xf>
    <xf numFmtId="3" fontId="3" fillId="2" borderId="1" xfId="0" applyNumberFormat="1" applyFont="1" applyFill="1" applyBorder="1" applyProtection="1">
      <protection locked="0"/>
    </xf>
    <xf numFmtId="3" fontId="3" fillId="2" borderId="1" xfId="0" applyNumberFormat="1" applyFont="1" applyFill="1" applyBorder="1" applyProtection="1">
      <protection hidden="1"/>
    </xf>
    <xf numFmtId="0" fontId="79" fillId="2" borderId="0" xfId="0" applyFont="1" applyFill="1" applyProtection="1">
      <protection hidden="1"/>
    </xf>
    <xf numFmtId="0" fontId="4" fillId="2" borderId="0" xfId="0" applyFont="1" applyFill="1" applyProtection="1">
      <protection hidden="1"/>
    </xf>
    <xf numFmtId="0" fontId="5" fillId="2" borderId="0" xfId="0" quotePrefix="1" applyFont="1" applyFill="1" applyAlignment="1" applyProtection="1">
      <alignment horizontal="right"/>
      <protection hidden="1"/>
    </xf>
    <xf numFmtId="0" fontId="50" fillId="2" borderId="0" xfId="0" applyFont="1" applyFill="1" applyAlignment="1" applyProtection="1">
      <alignment horizontal="center"/>
      <protection hidden="1"/>
    </xf>
    <xf numFmtId="0" fontId="11" fillId="0" borderId="1" xfId="0" applyFont="1" applyBorder="1" applyAlignment="1" applyProtection="1">
      <alignment horizontal="center"/>
      <protection hidden="1"/>
    </xf>
    <xf numFmtId="0" fontId="9" fillId="0" borderId="21" xfId="0" applyFont="1" applyBorder="1" applyAlignment="1" applyProtection="1">
      <alignment horizontal="right"/>
      <protection hidden="1"/>
    </xf>
    <xf numFmtId="0" fontId="9" fillId="0" borderId="22" xfId="0" applyFont="1" applyBorder="1" applyAlignment="1" applyProtection="1">
      <alignment horizontal="right"/>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0" fillId="0" borderId="20" xfId="0" applyBorder="1" applyAlignment="1" applyProtection="1">
      <alignment horizontal="right"/>
      <protection hidden="1"/>
    </xf>
    <xf numFmtId="0" fontId="79" fillId="2" borderId="0" xfId="0" applyFont="1" applyFill="1" applyAlignment="1" applyProtection="1">
      <alignment horizontal="center" vertical="center"/>
      <protection hidden="1"/>
    </xf>
    <xf numFmtId="0" fontId="124" fillId="31" borderId="0" xfId="0" applyFont="1" applyFill="1" applyAlignment="1" applyProtection="1">
      <alignment horizontal="center"/>
      <protection hidden="1"/>
    </xf>
    <xf numFmtId="0" fontId="10" fillId="2" borderId="0" xfId="0" applyFont="1" applyFill="1" applyAlignment="1" applyProtection="1">
      <alignment horizontal="left" indent="1"/>
      <protection hidden="1"/>
    </xf>
    <xf numFmtId="3" fontId="5" fillId="15" borderId="23" xfId="0" applyNumberFormat="1" applyFont="1" applyFill="1" applyBorder="1" applyAlignment="1" applyProtection="1">
      <alignment horizontal="right"/>
      <protection hidden="1"/>
    </xf>
    <xf numFmtId="3" fontId="5" fillId="15" borderId="5" xfId="0" applyNumberFormat="1" applyFont="1" applyFill="1" applyBorder="1" applyAlignment="1" applyProtection="1">
      <alignment horizontal="right"/>
      <protection hidden="1"/>
    </xf>
    <xf numFmtId="0" fontId="5" fillId="15" borderId="26" xfId="0" applyFont="1" applyFill="1" applyBorder="1" applyAlignment="1" applyProtection="1">
      <alignment horizontal="center"/>
      <protection hidden="1"/>
    </xf>
    <xf numFmtId="0" fontId="5" fillId="15" borderId="29" xfId="0" applyFont="1" applyFill="1" applyBorder="1" applyAlignment="1" applyProtection="1">
      <alignment horizontal="center"/>
      <protection hidden="1"/>
    </xf>
    <xf numFmtId="0" fontId="5" fillId="15" borderId="20" xfId="0" applyFont="1" applyFill="1" applyBorder="1" applyAlignment="1" applyProtection="1">
      <alignment horizontal="center"/>
      <protection hidden="1"/>
    </xf>
    <xf numFmtId="0" fontId="5" fillId="15" borderId="5" xfId="0" applyFont="1" applyFill="1" applyBorder="1" applyAlignment="1" applyProtection="1">
      <alignment horizontal="right"/>
      <protection hidden="1"/>
    </xf>
    <xf numFmtId="0" fontId="5" fillId="15" borderId="46" xfId="0" applyFont="1" applyFill="1" applyBorder="1" applyAlignment="1" applyProtection="1">
      <alignment horizontal="right"/>
      <protection hidden="1"/>
    </xf>
    <xf numFmtId="0" fontId="5" fillId="15" borderId="58" xfId="0" applyFont="1" applyFill="1" applyBorder="1" applyAlignment="1" applyProtection="1">
      <alignment horizontal="right"/>
      <protection hidden="1"/>
    </xf>
    <xf numFmtId="0" fontId="5" fillId="15" borderId="54" xfId="0" applyFont="1" applyFill="1" applyBorder="1" applyAlignment="1" applyProtection="1">
      <alignment horizontal="right"/>
      <protection hidden="1"/>
    </xf>
    <xf numFmtId="3" fontId="5" fillId="15" borderId="59" xfId="0" applyNumberFormat="1" applyFont="1" applyFill="1" applyBorder="1" applyAlignment="1" applyProtection="1">
      <alignment horizontal="right"/>
      <protection hidden="1"/>
    </xf>
    <xf numFmtId="0" fontId="5" fillId="15" borderId="111" xfId="0" applyFont="1" applyFill="1" applyBorder="1" applyAlignment="1" applyProtection="1">
      <alignment horizontal="right"/>
      <protection hidden="1"/>
    </xf>
    <xf numFmtId="0" fontId="5" fillId="15" borderId="112" xfId="0" applyFont="1" applyFill="1" applyBorder="1" applyAlignment="1" applyProtection="1">
      <alignment horizontal="right"/>
      <protection hidden="1"/>
    </xf>
    <xf numFmtId="0" fontId="5" fillId="15" borderId="31" xfId="0" applyFont="1" applyFill="1" applyBorder="1" applyAlignment="1" applyProtection="1">
      <alignment horizontal="right"/>
      <protection hidden="1"/>
    </xf>
    <xf numFmtId="0" fontId="10" fillId="2" borderId="0" xfId="0" quotePrefix="1" applyFont="1" applyFill="1" applyAlignment="1" applyProtection="1">
      <alignment horizontal="left"/>
      <protection hidden="1"/>
    </xf>
    <xf numFmtId="0" fontId="122" fillId="2" borderId="0" xfId="0" applyFont="1" applyFill="1" applyProtection="1">
      <protection hidden="1"/>
    </xf>
    <xf numFmtId="0" fontId="5" fillId="2" borderId="0" xfId="0" applyFont="1" applyFill="1" applyAlignment="1" applyProtection="1">
      <alignment horizontal="center"/>
      <protection hidden="1"/>
    </xf>
    <xf numFmtId="0" fontId="7" fillId="15" borderId="8" xfId="0" applyFont="1" applyFill="1" applyBorder="1" applyAlignment="1" applyProtection="1">
      <alignment horizontal="center" vertical="center"/>
      <protection hidden="1"/>
    </xf>
    <xf numFmtId="0" fontId="0" fillId="15" borderId="74" xfId="0" applyFill="1" applyBorder="1" applyProtection="1">
      <protection hidden="1"/>
    </xf>
    <xf numFmtId="0" fontId="10" fillId="15" borderId="74" xfId="0" applyFont="1" applyFill="1" applyBorder="1" applyAlignment="1" applyProtection="1">
      <alignment horizontal="center"/>
      <protection hidden="1"/>
    </xf>
    <xf numFmtId="0" fontId="7" fillId="15" borderId="0" xfId="0" applyFont="1" applyFill="1" applyAlignment="1" applyProtection="1">
      <alignment horizontal="center" vertical="center"/>
      <protection hidden="1"/>
    </xf>
    <xf numFmtId="0" fontId="7" fillId="15" borderId="1" xfId="0" applyFont="1" applyFill="1" applyBorder="1" applyAlignment="1" applyProtection="1">
      <alignment horizontal="center" vertical="center"/>
      <protection hidden="1"/>
    </xf>
    <xf numFmtId="0" fontId="10" fillId="15" borderId="0" xfId="0" applyFont="1" applyFill="1" applyAlignment="1" applyProtection="1">
      <alignment horizontal="left" vertical="center" indent="1"/>
      <protection hidden="1"/>
    </xf>
    <xf numFmtId="0" fontId="152" fillId="15" borderId="0" xfId="0" applyFont="1" applyFill="1" applyProtection="1">
      <protection hidden="1"/>
    </xf>
    <xf numFmtId="0" fontId="152" fillId="15" borderId="0" xfId="0" applyFont="1" applyFill="1" applyAlignment="1" applyProtection="1">
      <alignment horizontal="center" wrapText="1"/>
      <protection hidden="1"/>
    </xf>
    <xf numFmtId="0" fontId="152" fillId="15" borderId="0" xfId="0" applyFont="1" applyFill="1" applyAlignment="1" applyProtection="1">
      <alignment horizontal="left" vertical="center" wrapText="1"/>
      <protection hidden="1"/>
    </xf>
    <xf numFmtId="0" fontId="152" fillId="15" borderId="0" xfId="0" applyFont="1" applyFill="1" applyAlignment="1">
      <alignment horizontal="left" vertical="center" wrapText="1"/>
    </xf>
    <xf numFmtId="3" fontId="152" fillId="15" borderId="0" xfId="0" applyNumberFormat="1" applyFont="1" applyFill="1" applyProtection="1">
      <protection locked="0"/>
    </xf>
    <xf numFmtId="3" fontId="152" fillId="15" borderId="0" xfId="0" applyNumberFormat="1" applyFont="1" applyFill="1" applyProtection="1">
      <protection hidden="1"/>
    </xf>
    <xf numFmtId="0" fontId="153" fillId="15" borderId="0" xfId="0" quotePrefix="1" applyFont="1" applyFill="1" applyAlignment="1" applyProtection="1">
      <alignment horizontal="right"/>
      <protection hidden="1"/>
    </xf>
    <xf numFmtId="0" fontId="154" fillId="15" borderId="0" xfId="0" applyFont="1" applyFill="1" applyProtection="1">
      <protection hidden="1"/>
    </xf>
    <xf numFmtId="177" fontId="152" fillId="15" borderId="0" xfId="0" applyNumberFormat="1" applyFont="1" applyFill="1" applyAlignment="1" applyProtection="1">
      <alignment horizontal="right"/>
      <protection hidden="1"/>
    </xf>
    <xf numFmtId="0" fontId="152" fillId="15" borderId="0" xfId="0" applyFont="1" applyFill="1" applyAlignment="1" applyProtection="1">
      <alignment horizontal="right"/>
      <protection hidden="1"/>
    </xf>
    <xf numFmtId="0" fontId="154" fillId="15" borderId="0" xfId="0" applyFont="1" applyFill="1" applyAlignment="1" applyProtection="1">
      <alignment vertical="top"/>
      <protection hidden="1"/>
    </xf>
    <xf numFmtId="1" fontId="152" fillId="15" borderId="0" xfId="0" applyNumberFormat="1" applyFont="1" applyFill="1" applyProtection="1">
      <protection locked="0"/>
    </xf>
    <xf numFmtId="0" fontId="155" fillId="15" borderId="0" xfId="0" applyFont="1" applyFill="1" applyAlignment="1" applyProtection="1">
      <alignment horizontal="left" vertical="center" wrapText="1"/>
      <protection hidden="1"/>
    </xf>
    <xf numFmtId="0" fontId="152" fillId="15" borderId="0" xfId="0" applyFont="1" applyFill="1" applyAlignment="1" applyProtection="1">
      <alignment horizontal="center"/>
      <protection hidden="1"/>
    </xf>
    <xf numFmtId="0" fontId="156" fillId="15" borderId="0" xfId="0" applyFont="1" applyFill="1" applyAlignment="1">
      <alignment vertical="center" wrapText="1"/>
    </xf>
    <xf numFmtId="181" fontId="152" fillId="15" borderId="0" xfId="0" applyNumberFormat="1" applyFont="1" applyFill="1" applyAlignment="1" applyProtection="1">
      <alignment horizontal="right"/>
      <protection hidden="1"/>
    </xf>
    <xf numFmtId="0" fontId="154" fillId="15" borderId="0" xfId="0" applyFont="1" applyFill="1" applyAlignment="1" applyProtection="1">
      <alignment horizontal="center"/>
      <protection hidden="1"/>
    </xf>
    <xf numFmtId="3" fontId="152" fillId="15" borderId="0" xfId="0" applyNumberFormat="1" applyFont="1" applyFill="1" applyAlignment="1" applyProtection="1">
      <alignment horizontal="center"/>
      <protection hidden="1"/>
    </xf>
    <xf numFmtId="0" fontId="157" fillId="15" borderId="0" xfId="0" applyFont="1" applyFill="1" applyAlignment="1">
      <alignment horizontal="center" vertical="center"/>
    </xf>
    <xf numFmtId="0" fontId="153" fillId="15" borderId="0" xfId="0" applyFont="1" applyFill="1" applyAlignment="1" applyProtection="1">
      <alignment horizontal="center"/>
      <protection hidden="1"/>
    </xf>
    <xf numFmtId="49" fontId="152" fillId="15" borderId="0" xfId="0" applyNumberFormat="1" applyFont="1" applyFill="1" applyAlignment="1" applyProtection="1">
      <alignment horizontal="right"/>
      <protection hidden="1"/>
    </xf>
    <xf numFmtId="0" fontId="156" fillId="15" borderId="0" xfId="0" applyFont="1" applyFill="1" applyAlignment="1">
      <alignment horizontal="left" vertical="center"/>
    </xf>
    <xf numFmtId="0" fontId="157" fillId="15" borderId="0" xfId="0" applyFont="1" applyFill="1" applyAlignment="1">
      <alignment vertical="center" wrapText="1"/>
    </xf>
    <xf numFmtId="0" fontId="156" fillId="15" borderId="0" xfId="0" applyFont="1" applyFill="1" applyAlignment="1">
      <alignment horizontal="left" wrapText="1"/>
    </xf>
    <xf numFmtId="0" fontId="152" fillId="15" borderId="0" xfId="0" applyFont="1" applyFill="1" applyAlignment="1">
      <alignment horizontal="left" wrapText="1"/>
    </xf>
    <xf numFmtId="0" fontId="156" fillId="15" borderId="0" xfId="0" applyFont="1" applyFill="1" applyAlignment="1">
      <alignment horizontal="left" vertical="top" wrapText="1"/>
    </xf>
    <xf numFmtId="0" fontId="152" fillId="15" borderId="0" xfId="0" applyFont="1" applyFill="1" applyAlignment="1">
      <alignment horizontal="left" vertical="top" wrapText="1"/>
    </xf>
    <xf numFmtId="0" fontId="156" fillId="15" borderId="0" xfId="0" applyFont="1" applyFill="1" applyAlignment="1">
      <alignment horizontal="center" vertical="center" wrapText="1"/>
    </xf>
    <xf numFmtId="3" fontId="156" fillId="15" borderId="0" xfId="0" applyNumberFormat="1" applyFont="1" applyFill="1" applyAlignment="1">
      <alignment vertical="center" wrapText="1"/>
    </xf>
    <xf numFmtId="3" fontId="156" fillId="15" borderId="0" xfId="0" quotePrefix="1" applyNumberFormat="1" applyFont="1" applyFill="1" applyAlignment="1">
      <alignment horizontal="center" vertical="center" wrapText="1"/>
    </xf>
    <xf numFmtId="0" fontId="14" fillId="15" borderId="0" xfId="0" quotePrefix="1" applyFont="1" applyFill="1" applyAlignment="1" applyProtection="1">
      <alignment horizontal="right" vertical="center"/>
      <protection hidden="1"/>
    </xf>
    <xf numFmtId="0" fontId="14" fillId="15" borderId="0" xfId="0" quotePrefix="1" applyFont="1" applyFill="1" applyAlignment="1" applyProtection="1">
      <alignment horizontal="left" vertical="center"/>
      <protection hidden="1"/>
    </xf>
    <xf numFmtId="0" fontId="0" fillId="15" borderId="0" xfId="0" applyFill="1" applyAlignment="1" applyProtection="1">
      <alignment horizontal="centerContinuous"/>
      <protection hidden="1"/>
    </xf>
    <xf numFmtId="0" fontId="10" fillId="15" borderId="0" xfId="0" applyFont="1" applyFill="1" applyAlignment="1" applyProtection="1">
      <alignment horizontal="centerContinuous"/>
      <protection hidden="1"/>
    </xf>
    <xf numFmtId="0" fontId="10" fillId="15" borderId="0" xfId="0" applyFont="1" applyFill="1" applyAlignment="1" applyProtection="1">
      <alignment horizontal="right"/>
      <protection hidden="1"/>
    </xf>
    <xf numFmtId="0" fontId="3" fillId="15" borderId="0" xfId="0" applyFont="1" applyFill="1" applyAlignment="1" applyProtection="1">
      <alignment horizontal="center"/>
      <protection locked="0"/>
    </xf>
    <xf numFmtId="0" fontId="0" fillId="15" borderId="13" xfId="0" applyFill="1" applyBorder="1" applyAlignment="1" applyProtection="1">
      <alignment horizontal="right"/>
      <protection hidden="1"/>
    </xf>
    <xf numFmtId="0" fontId="19" fillId="15" borderId="13" xfId="0" applyFont="1" applyFill="1" applyBorder="1" applyAlignment="1" applyProtection="1">
      <alignment horizontal="left"/>
      <protection hidden="1"/>
    </xf>
    <xf numFmtId="0" fontId="5" fillId="15" borderId="0" xfId="0" applyFont="1" applyFill="1" applyAlignment="1" applyProtection="1">
      <alignment horizontal="left" indent="1"/>
      <protection hidden="1"/>
    </xf>
    <xf numFmtId="0" fontId="0" fillId="15" borderId="0" xfId="0" applyFill="1" applyAlignment="1" applyProtection="1">
      <alignment horizontal="left" indent="1"/>
      <protection hidden="1"/>
    </xf>
    <xf numFmtId="0" fontId="0" fillId="15" borderId="1" xfId="0" applyFill="1" applyBorder="1" applyAlignment="1" applyProtection="1">
      <alignment vertical="top"/>
      <protection hidden="1"/>
    </xf>
    <xf numFmtId="0" fontId="152" fillId="15" borderId="0" xfId="0" applyFont="1" applyFill="1" applyAlignment="1" applyProtection="1">
      <alignment vertical="top"/>
      <protection hidden="1"/>
    </xf>
    <xf numFmtId="0" fontId="156" fillId="15" borderId="0" xfId="0" applyFont="1" applyFill="1" applyAlignment="1">
      <alignment vertical="top" wrapText="1"/>
    </xf>
    <xf numFmtId="0" fontId="3" fillId="15" borderId="1" xfId="0" applyFont="1" applyFill="1" applyBorder="1" applyAlignment="1" applyProtection="1">
      <alignment vertical="top"/>
      <protection hidden="1"/>
    </xf>
    <xf numFmtId="0" fontId="3" fillId="15" borderId="0" xfId="0" applyFont="1" applyFill="1" applyAlignment="1" applyProtection="1">
      <alignment horizontal="center"/>
      <protection hidden="1"/>
    </xf>
    <xf numFmtId="0" fontId="0" fillId="19" borderId="30" xfId="0" applyFill="1" applyBorder="1" applyProtection="1">
      <protection hidden="1"/>
    </xf>
    <xf numFmtId="0" fontId="0" fillId="19" borderId="14" xfId="0" applyFill="1" applyBorder="1" applyProtection="1">
      <protection hidden="1"/>
    </xf>
    <xf numFmtId="0" fontId="0" fillId="19" borderId="3" xfId="0" applyFill="1" applyBorder="1" applyProtection="1">
      <protection hidden="1"/>
    </xf>
    <xf numFmtId="0" fontId="0" fillId="19" borderId="24" xfId="0" applyFill="1" applyBorder="1" applyProtection="1">
      <protection hidden="1"/>
    </xf>
    <xf numFmtId="0" fontId="0" fillId="15" borderId="16" xfId="0" applyFill="1" applyBorder="1" applyAlignment="1" applyProtection="1">
      <alignment horizontal="right"/>
      <protection hidden="1"/>
    </xf>
    <xf numFmtId="0" fontId="0" fillId="15" borderId="0" xfId="0" applyFill="1" applyAlignment="1" applyProtection="1">
      <alignment vertical="center"/>
      <protection hidden="1"/>
    </xf>
    <xf numFmtId="0" fontId="122" fillId="15" borderId="0" xfId="0" applyFont="1" applyFill="1" applyAlignment="1" applyProtection="1">
      <alignment horizontal="right"/>
      <protection hidden="1"/>
    </xf>
    <xf numFmtId="3" fontId="3" fillId="15" borderId="1" xfId="0" applyNumberFormat="1" applyFont="1" applyFill="1" applyBorder="1" applyAlignment="1" applyProtection="1">
      <alignment horizontal="right" indent="1"/>
      <protection hidden="1"/>
    </xf>
    <xf numFmtId="3" fontId="3" fillId="15" borderId="1" xfId="0" applyNumberFormat="1" applyFont="1" applyFill="1" applyBorder="1" applyAlignment="1" applyProtection="1">
      <alignment horizontal="center"/>
      <protection hidden="1"/>
    </xf>
    <xf numFmtId="0" fontId="35" fillId="15" borderId="0" xfId="0" applyFont="1" applyFill="1" applyAlignment="1" applyProtection="1">
      <alignment horizontal="center"/>
      <protection hidden="1"/>
    </xf>
    <xf numFmtId="4" fontId="3" fillId="3" borderId="17" xfId="0" applyNumberFormat="1" applyFont="1" applyFill="1" applyBorder="1" applyAlignment="1" applyProtection="1">
      <alignment horizontal="right"/>
      <protection hidden="1"/>
    </xf>
    <xf numFmtId="3" fontId="0" fillId="0" borderId="2" xfId="0" applyNumberFormat="1" applyBorder="1" applyProtection="1">
      <protection locked="0"/>
    </xf>
    <xf numFmtId="0" fontId="152" fillId="15" borderId="2" xfId="0" applyFont="1" applyFill="1" applyBorder="1" applyProtection="1">
      <protection locked="0"/>
    </xf>
    <xf numFmtId="0" fontId="152" fillId="15"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10" fillId="2" borderId="0" xfId="0" applyFont="1" applyFill="1"/>
    <xf numFmtId="38" fontId="7" fillId="16" borderId="1" xfId="0" applyNumberFormat="1" applyFont="1" applyFill="1" applyBorder="1" applyAlignment="1" applyProtection="1">
      <alignment horizontal="right"/>
      <protection locked="0"/>
    </xf>
    <xf numFmtId="40" fontId="112" fillId="2" borderId="0" xfId="0" applyNumberFormat="1" applyFont="1" applyFill="1" applyProtection="1">
      <protection hidden="1"/>
    </xf>
    <xf numFmtId="0" fontId="56" fillId="2" borderId="24" xfId="0" applyFont="1" applyFill="1" applyBorder="1" applyAlignment="1" applyProtection="1">
      <alignment vertical="center"/>
      <protection hidden="1"/>
    </xf>
    <xf numFmtId="40" fontId="158" fillId="2" borderId="0" xfId="0" applyNumberFormat="1" applyFont="1" applyFill="1" applyAlignment="1" applyProtection="1">
      <alignment horizontal="right"/>
      <protection hidden="1"/>
    </xf>
    <xf numFmtId="40" fontId="110" fillId="2" borderId="0" xfId="0" applyNumberFormat="1" applyFont="1" applyFill="1" applyAlignment="1" applyProtection="1">
      <alignment horizontal="left"/>
      <protection hidden="1"/>
    </xf>
    <xf numFmtId="0" fontId="160" fillId="2" borderId="0" xfId="0" applyFont="1" applyFill="1" applyAlignment="1" applyProtection="1">
      <alignment horizontal="center"/>
      <protection hidden="1"/>
    </xf>
    <xf numFmtId="0" fontId="161" fillId="2" borderId="0" xfId="0" applyFont="1" applyFill="1" applyAlignment="1" applyProtection="1">
      <alignment horizontal="center"/>
      <protection hidden="1"/>
    </xf>
    <xf numFmtId="0" fontId="159" fillId="2" borderId="0" xfId="0" applyFont="1" applyFill="1" applyAlignment="1" applyProtection="1">
      <alignment horizontal="left" indent="1"/>
      <protection hidden="1"/>
    </xf>
    <xf numFmtId="37" fontId="0" fillId="16" borderId="1" xfId="0" applyNumberFormat="1" applyFill="1" applyBorder="1" applyProtection="1">
      <protection locked="0"/>
    </xf>
    <xf numFmtId="0" fontId="137" fillId="0" borderId="0" xfId="0" applyFont="1" applyProtection="1">
      <protection hidden="1"/>
    </xf>
    <xf numFmtId="3" fontId="137" fillId="0" borderId="0" xfId="0" applyNumberFormat="1" applyFont="1" applyProtection="1">
      <protection hidden="1"/>
    </xf>
    <xf numFmtId="3" fontId="136" fillId="0" borderId="0" xfId="0" applyNumberFormat="1" applyFont="1" applyProtection="1">
      <protection hidden="1"/>
    </xf>
    <xf numFmtId="3" fontId="129" fillId="0" borderId="20" xfId="0" applyNumberFormat="1" applyFont="1" applyBorder="1" applyAlignment="1" applyProtection="1">
      <alignment horizontal="right"/>
      <protection hidden="1"/>
    </xf>
    <xf numFmtId="3" fontId="129" fillId="0" borderId="0" xfId="0" applyNumberFormat="1" applyFont="1" applyAlignment="1" applyProtection="1">
      <alignment horizontal="right"/>
      <protection hidden="1"/>
    </xf>
    <xf numFmtId="3" fontId="152" fillId="15" borderId="2" xfId="0" applyNumberFormat="1" applyFont="1" applyFill="1" applyBorder="1" applyProtection="1">
      <protection locked="0"/>
    </xf>
    <xf numFmtId="3" fontId="8" fillId="27" borderId="1" xfId="0" applyNumberFormat="1" applyFont="1" applyFill="1" applyBorder="1" applyProtection="1">
      <protection hidden="1"/>
    </xf>
    <xf numFmtId="3" fontId="8" fillId="16" borderId="1" xfId="0" applyNumberFormat="1" applyFont="1" applyFill="1" applyBorder="1" applyProtection="1">
      <protection locked="0"/>
    </xf>
    <xf numFmtId="0" fontId="7" fillId="15" borderId="0" xfId="0" applyFont="1" applyFill="1" applyAlignment="1" applyProtection="1">
      <alignment horizontal="left"/>
      <protection hidden="1"/>
    </xf>
    <xf numFmtId="0" fontId="163" fillId="5" borderId="0" xfId="0" applyFont="1" applyFill="1" applyProtection="1">
      <protection hidden="1"/>
    </xf>
    <xf numFmtId="37" fontId="116" fillId="3" borderId="3" xfId="0" applyNumberFormat="1" applyFont="1" applyFill="1" applyBorder="1" applyAlignment="1" applyProtection="1">
      <alignment horizontal="right"/>
      <protection hidden="1"/>
    </xf>
    <xf numFmtId="0" fontId="3" fillId="27" borderId="2" xfId="0" applyFont="1" applyFill="1" applyBorder="1" applyAlignment="1" applyProtection="1">
      <alignment horizontal="center" vertical="center"/>
      <protection hidden="1"/>
    </xf>
    <xf numFmtId="0" fontId="22" fillId="2" borderId="0" xfId="0" applyFont="1" applyFill="1" applyAlignment="1" applyProtection="1">
      <alignment horizontal="right"/>
      <protection hidden="1"/>
    </xf>
    <xf numFmtId="0" fontId="133" fillId="2" borderId="4" xfId="0" quotePrefix="1" applyFont="1" applyFill="1" applyBorder="1" applyAlignment="1" applyProtection="1">
      <alignment horizontal="left"/>
      <protection hidden="1"/>
    </xf>
    <xf numFmtId="37" fontId="21" fillId="2" borderId="4" xfId="0" applyNumberFormat="1" applyFont="1" applyFill="1" applyBorder="1" applyProtection="1">
      <protection hidden="1"/>
    </xf>
    <xf numFmtId="0" fontId="24" fillId="2" borderId="1" xfId="0" applyFont="1" applyFill="1" applyBorder="1" applyAlignment="1" applyProtection="1">
      <alignment horizontal="center" vertical="center"/>
      <protection hidden="1"/>
    </xf>
    <xf numFmtId="0" fontId="24" fillId="2" borderId="1" xfId="0" applyFont="1" applyFill="1" applyBorder="1" applyProtection="1">
      <protection hidden="1"/>
    </xf>
    <xf numFmtId="0" fontId="66" fillId="2" borderId="0" xfId="2" applyFill="1" applyAlignment="1" applyProtection="1">
      <protection hidden="1"/>
    </xf>
    <xf numFmtId="0" fontId="92" fillId="2" borderId="5" xfId="0" applyFont="1" applyFill="1" applyBorder="1" applyAlignment="1" applyProtection="1">
      <alignment horizontal="right"/>
      <protection hidden="1"/>
    </xf>
    <xf numFmtId="0" fontId="0" fillId="2" borderId="29" xfId="0" applyFill="1" applyBorder="1" applyProtection="1">
      <protection hidden="1"/>
    </xf>
    <xf numFmtId="3" fontId="21" fillId="2" borderId="4" xfId="0" applyNumberFormat="1" applyFont="1" applyFill="1" applyBorder="1" applyProtection="1">
      <protection hidden="1"/>
    </xf>
    <xf numFmtId="0" fontId="21" fillId="2" borderId="4" xfId="0" applyFont="1" applyFill="1" applyBorder="1" applyProtection="1">
      <protection hidden="1"/>
    </xf>
    <xf numFmtId="37" fontId="122" fillId="2" borderId="1" xfId="0" applyNumberFormat="1" applyFont="1" applyFill="1" applyBorder="1" applyProtection="1">
      <protection hidden="1"/>
    </xf>
    <xf numFmtId="173" fontId="110" fillId="2" borderId="0" xfId="0" applyNumberFormat="1" applyFont="1" applyFill="1" applyProtection="1">
      <protection hidden="1"/>
    </xf>
    <xf numFmtId="0" fontId="10" fillId="16" borderId="12" xfId="0" applyFont="1" applyFill="1" applyBorder="1" applyAlignment="1" applyProtection="1">
      <alignment horizontal="center" vertical="center"/>
      <protection locked="0" hidden="1"/>
    </xf>
    <xf numFmtId="184" fontId="3" fillId="0" borderId="4"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9" fillId="5" borderId="0" xfId="0" applyNumberFormat="1" applyFont="1" applyFill="1" applyAlignment="1" applyProtection="1">
      <alignment horizontal="center"/>
      <protection hidden="1"/>
    </xf>
    <xf numFmtId="40" fontId="122" fillId="2" borderId="0" xfId="0" applyNumberFormat="1" applyFont="1" applyFill="1" applyAlignment="1" applyProtection="1">
      <alignment horizontal="right"/>
      <protection hidden="1"/>
    </xf>
    <xf numFmtId="37" fontId="8" fillId="20" borderId="9" xfId="0" applyNumberFormat="1" applyFont="1" applyFill="1" applyBorder="1" applyAlignment="1" applyProtection="1">
      <alignment horizontal="center"/>
      <protection locked="0"/>
    </xf>
    <xf numFmtId="1" fontId="152" fillId="15" borderId="2" xfId="0" applyNumberFormat="1" applyFont="1" applyFill="1" applyBorder="1" applyAlignment="1" applyProtection="1">
      <alignment horizontal="center"/>
      <protection locked="0"/>
    </xf>
    <xf numFmtId="168" fontId="141" fillId="0" borderId="12" xfId="0" applyNumberFormat="1" applyFont="1" applyBorder="1" applyAlignment="1">
      <alignment vertical="center" wrapText="1"/>
    </xf>
    <xf numFmtId="168" fontId="141" fillId="0" borderId="58" xfId="0" applyNumberFormat="1" applyFont="1" applyBorder="1" applyAlignment="1">
      <alignment vertical="center" wrapText="1"/>
    </xf>
    <xf numFmtId="168" fontId="0" fillId="24" borderId="0" xfId="0" applyNumberFormat="1" applyFill="1" applyProtection="1">
      <protection hidden="1"/>
    </xf>
    <xf numFmtId="0" fontId="13" fillId="24" borderId="0" xfId="0" applyFont="1" applyFill="1" applyAlignment="1" applyProtection="1">
      <alignment horizontal="right"/>
      <protection hidden="1"/>
    </xf>
    <xf numFmtId="0" fontId="9" fillId="24" borderId="4" xfId="0" applyFont="1" applyFill="1" applyBorder="1" applyProtection="1">
      <protection hidden="1"/>
    </xf>
    <xf numFmtId="4" fontId="120"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23" fillId="8" borderId="0" xfId="0" applyNumberFormat="1" applyFont="1" applyFill="1" applyAlignment="1" applyProtection="1">
      <alignment horizontal="left"/>
      <protection hidden="1"/>
    </xf>
    <xf numFmtId="0" fontId="7" fillId="24" borderId="5" xfId="0" applyFont="1" applyFill="1" applyBorder="1" applyAlignment="1" applyProtection="1">
      <alignment horizontal="right"/>
      <protection hidden="1"/>
    </xf>
    <xf numFmtId="0" fontId="110" fillId="15" borderId="4" xfId="0" applyFont="1" applyFill="1" applyBorder="1" applyAlignment="1" applyProtection="1">
      <alignment horizontal="center"/>
      <protection hidden="1"/>
    </xf>
    <xf numFmtId="0" fontId="110" fillId="15" borderId="4" xfId="0" applyFont="1" applyFill="1" applyBorder="1" applyProtection="1">
      <protection hidden="1"/>
    </xf>
    <xf numFmtId="0" fontId="5" fillId="3" borderId="0" xfId="0" applyFont="1" applyFill="1" applyAlignment="1" applyProtection="1">
      <alignment vertical="center"/>
      <protection hidden="1"/>
    </xf>
    <xf numFmtId="0" fontId="3" fillId="3" borderId="7" xfId="0" applyFont="1" applyFill="1" applyBorder="1" applyAlignment="1" applyProtection="1">
      <alignment horizontal="left" vertical="top"/>
      <protection hidden="1"/>
    </xf>
    <xf numFmtId="3" fontId="9" fillId="0" borderId="0" xfId="0" applyNumberFormat="1" applyFont="1" applyAlignment="1" applyProtection="1">
      <alignment horizontal="center"/>
      <protection hidden="1"/>
    </xf>
    <xf numFmtId="0" fontId="162" fillId="0" borderId="0" xfId="0" applyFont="1" applyAlignment="1">
      <alignment horizontal="center" vertical="center"/>
    </xf>
    <xf numFmtId="0" fontId="5" fillId="15" borderId="4" xfId="0" applyFont="1" applyFill="1" applyBorder="1" applyAlignment="1" applyProtection="1">
      <alignment vertical="top"/>
      <protection hidden="1"/>
    </xf>
    <xf numFmtId="0" fontId="35" fillId="15" borderId="0" xfId="0" applyFont="1" applyFill="1" applyAlignment="1" applyProtection="1">
      <alignment vertical="center"/>
      <protection hidden="1"/>
    </xf>
    <xf numFmtId="0" fontId="81" fillId="2" borderId="4" xfId="0" applyFont="1" applyFill="1" applyBorder="1" applyAlignment="1" applyProtection="1">
      <alignment horizontal="center"/>
      <protection hidden="1"/>
    </xf>
    <xf numFmtId="40" fontId="56" fillId="2" borderId="4" xfId="0" applyNumberFormat="1" applyFont="1" applyFill="1" applyBorder="1" applyAlignment="1" applyProtection="1">
      <alignment horizontal="right"/>
      <protection hidden="1"/>
    </xf>
    <xf numFmtId="40" fontId="19" fillId="2" borderId="22"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10" fillId="2" borderId="0" xfId="0" applyNumberFormat="1" applyFont="1" applyFill="1" applyProtection="1">
      <protection hidden="1"/>
    </xf>
    <xf numFmtId="0" fontId="3" fillId="32" borderId="0" xfId="0" applyFont="1" applyFill="1" applyAlignment="1" applyProtection="1">
      <alignment horizontal="center" wrapText="1"/>
      <protection locked="0"/>
    </xf>
    <xf numFmtId="4" fontId="5" fillId="32" borderId="81" xfId="0" applyNumberFormat="1" applyFont="1" applyFill="1" applyBorder="1" applyAlignment="1" applyProtection="1">
      <alignment horizontal="center"/>
      <protection locked="0"/>
    </xf>
    <xf numFmtId="0" fontId="7" fillId="24" borderId="5" xfId="0" quotePrefix="1" applyFont="1" applyFill="1" applyBorder="1" applyAlignment="1" applyProtection="1">
      <alignment horizontal="right"/>
      <protection hidden="1"/>
    </xf>
    <xf numFmtId="0" fontId="10" fillId="2" borderId="25"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top"/>
      <protection hidden="1"/>
    </xf>
    <xf numFmtId="0" fontId="0" fillId="15" borderId="0" xfId="0" applyFill="1" applyAlignment="1" applyProtection="1">
      <alignment horizontal="center"/>
      <protection hidden="1"/>
    </xf>
    <xf numFmtId="0" fontId="0" fillId="15" borderId="3" xfId="0" applyFill="1" applyBorder="1" applyAlignment="1" applyProtection="1">
      <alignment horizontal="center"/>
      <protection hidden="1"/>
    </xf>
    <xf numFmtId="0" fontId="7" fillId="15" borderId="4" xfId="0" applyFont="1" applyFill="1" applyBorder="1" applyProtection="1">
      <protection hidden="1"/>
    </xf>
    <xf numFmtId="0" fontId="14" fillId="15" borderId="30" xfId="0" applyFont="1" applyFill="1" applyBorder="1" applyAlignment="1" applyProtection="1">
      <alignment horizontal="center" vertical="top"/>
      <protection hidden="1"/>
    </xf>
    <xf numFmtId="0" fontId="14" fillId="15" borderId="8" xfId="0" applyFont="1" applyFill="1" applyBorder="1" applyAlignment="1" applyProtection="1">
      <alignment horizontal="center" vertical="top"/>
      <protection hidden="1"/>
    </xf>
    <xf numFmtId="0" fontId="9" fillId="15" borderId="5" xfId="0" applyFont="1" applyFill="1" applyBorder="1" applyAlignment="1" applyProtection="1">
      <alignment horizontal="left" indent="1"/>
      <protection hidden="1"/>
    </xf>
    <xf numFmtId="0" fontId="3" fillId="15" borderId="23" xfId="0" applyFont="1" applyFill="1" applyBorder="1" applyAlignment="1" applyProtection="1">
      <alignment horizontal="left" vertical="top" indent="1"/>
      <protection hidden="1"/>
    </xf>
    <xf numFmtId="0" fontId="3" fillId="15" borderId="5"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9" fillId="29" borderId="7" xfId="0" applyFont="1" applyFill="1" applyBorder="1" applyAlignment="1" applyProtection="1">
      <alignment horizontal="left"/>
      <protection hidden="1"/>
    </xf>
    <xf numFmtId="0" fontId="5" fillId="29" borderId="0" xfId="0" applyFont="1" applyFill="1" applyAlignment="1" applyProtection="1">
      <alignment horizontal="left"/>
      <protection hidden="1"/>
    </xf>
    <xf numFmtId="0" fontId="9" fillId="29" borderId="0" xfId="0" applyFont="1" applyFill="1" applyAlignment="1" applyProtection="1">
      <alignment horizontal="left"/>
      <protection hidden="1"/>
    </xf>
    <xf numFmtId="0" fontId="7" fillId="29" borderId="0" xfId="0" applyFont="1" applyFill="1" applyAlignment="1" applyProtection="1">
      <alignment horizontal="left"/>
      <protection hidden="1"/>
    </xf>
    <xf numFmtId="0" fontId="3" fillId="29" borderId="5" xfId="0" quotePrefix="1" applyFont="1" applyFill="1" applyBorder="1" applyAlignment="1" applyProtection="1">
      <alignment horizontal="right"/>
      <protection hidden="1"/>
    </xf>
    <xf numFmtId="1" fontId="3" fillId="29" borderId="0" xfId="0" quotePrefix="1" applyNumberFormat="1" applyFont="1" applyFill="1" applyAlignment="1" applyProtection="1">
      <alignment horizontal="right"/>
      <protection hidden="1"/>
    </xf>
    <xf numFmtId="0" fontId="26" fillId="29" borderId="0" xfId="0" applyFont="1" applyFill="1" applyAlignment="1" applyProtection="1">
      <alignment horizontal="left"/>
      <protection hidden="1"/>
    </xf>
    <xf numFmtId="0" fontId="8" fillId="29" borderId="0" xfId="0" applyFont="1" applyFill="1" applyAlignment="1" applyProtection="1">
      <alignment horizontal="right" vertical="center"/>
      <protection hidden="1"/>
    </xf>
    <xf numFmtId="0" fontId="26" fillId="29" borderId="5" xfId="0" applyFont="1" applyFill="1" applyBorder="1" applyAlignment="1" applyProtection="1">
      <alignment horizontal="right"/>
      <protection hidden="1"/>
    </xf>
    <xf numFmtId="0" fontId="26" fillId="29" borderId="0" xfId="0" applyFont="1" applyFill="1" applyAlignment="1" applyProtection="1">
      <alignment horizontal="right"/>
      <protection hidden="1"/>
    </xf>
    <xf numFmtId="39" fontId="9" fillId="29" borderId="21" xfId="0" applyNumberFormat="1" applyFont="1" applyFill="1" applyBorder="1" applyAlignment="1" applyProtection="1">
      <alignment horizontal="right"/>
      <protection hidden="1"/>
    </xf>
    <xf numFmtId="39" fontId="9" fillId="29" borderId="4" xfId="0" applyNumberFormat="1" applyFont="1" applyFill="1" applyBorder="1" applyAlignment="1" applyProtection="1">
      <alignment horizontal="right"/>
      <protection hidden="1"/>
    </xf>
    <xf numFmtId="0" fontId="11" fillId="29" borderId="0" xfId="0" applyFont="1" applyFill="1" applyAlignment="1" applyProtection="1">
      <alignment horizontal="right"/>
      <protection hidden="1"/>
    </xf>
    <xf numFmtId="0" fontId="3" fillId="29" borderId="0" xfId="0" quotePrefix="1" applyFont="1" applyFill="1" applyAlignment="1" applyProtection="1">
      <alignment horizontal="right"/>
      <protection hidden="1"/>
    </xf>
    <xf numFmtId="0" fontId="9" fillId="29" borderId="19" xfId="0" applyFont="1" applyFill="1" applyBorder="1" applyAlignment="1" applyProtection="1">
      <alignment horizontal="left"/>
      <protection hidden="1"/>
    </xf>
    <xf numFmtId="39" fontId="9" fillId="29" borderId="20" xfId="0" applyNumberFormat="1" applyFont="1" applyFill="1" applyBorder="1" applyAlignment="1" applyProtection="1">
      <alignment horizontal="right"/>
      <protection hidden="1"/>
    </xf>
    <xf numFmtId="39" fontId="9" fillId="29" borderId="22" xfId="0" applyNumberFormat="1" applyFont="1" applyFill="1" applyBorder="1" applyAlignment="1" applyProtection="1">
      <alignment horizontal="right"/>
      <protection hidden="1"/>
    </xf>
    <xf numFmtId="3" fontId="8" fillId="29" borderId="0" xfId="0" applyNumberFormat="1" applyFont="1" applyFill="1" applyAlignment="1" applyProtection="1">
      <alignment horizontal="right"/>
      <protection hidden="1"/>
    </xf>
    <xf numFmtId="39" fontId="9" fillId="29" borderId="0" xfId="0" applyNumberFormat="1" applyFont="1" applyFill="1" applyAlignment="1" applyProtection="1">
      <alignment horizontal="right"/>
      <protection hidden="1"/>
    </xf>
    <xf numFmtId="37" fontId="7" fillId="29" borderId="0" xfId="0" applyNumberFormat="1" applyFont="1" applyFill="1" applyAlignment="1" applyProtection="1">
      <alignment horizontal="right"/>
      <protection locked="0"/>
    </xf>
    <xf numFmtId="0" fontId="9" fillId="29" borderId="20" xfId="0" applyFont="1" applyFill="1" applyBorder="1" applyAlignment="1" applyProtection="1">
      <alignment horizontal="left"/>
      <protection hidden="1"/>
    </xf>
    <xf numFmtId="0" fontId="3" fillId="29" borderId="0" xfId="0" applyFont="1" applyFill="1" applyAlignment="1" applyProtection="1">
      <alignment horizontal="left"/>
      <protection hidden="1"/>
    </xf>
    <xf numFmtId="0" fontId="5" fillId="29" borderId="0" xfId="0" applyFont="1" applyFill="1" applyAlignment="1" applyProtection="1">
      <alignment horizontal="right"/>
      <protection hidden="1"/>
    </xf>
    <xf numFmtId="0" fontId="5" fillId="29" borderId="1" xfId="0" applyFont="1" applyFill="1" applyBorder="1" applyAlignment="1" applyProtection="1">
      <alignment horizontal="left" vertical="center"/>
      <protection hidden="1"/>
    </xf>
    <xf numFmtId="3" fontId="106" fillId="29" borderId="0" xfId="0" applyNumberFormat="1" applyFont="1" applyFill="1" applyAlignment="1" applyProtection="1">
      <alignment horizontal="right"/>
      <protection hidden="1"/>
    </xf>
    <xf numFmtId="0" fontId="112" fillId="29" borderId="0" xfId="0" applyFont="1" applyFill="1" applyAlignment="1" applyProtection="1">
      <alignment horizontal="center"/>
      <protection hidden="1"/>
    </xf>
    <xf numFmtId="0" fontId="122" fillId="29" borderId="0" xfId="0" applyFont="1" applyFill="1" applyAlignment="1" applyProtection="1">
      <alignment horizontal="left"/>
      <protection hidden="1"/>
    </xf>
    <xf numFmtId="0" fontId="9" fillId="29" borderId="0" xfId="0" applyFont="1" applyFill="1" applyAlignment="1" applyProtection="1">
      <alignment horizontal="right"/>
      <protection hidden="1"/>
    </xf>
    <xf numFmtId="0" fontId="9" fillId="29" borderId="7" xfId="0" applyFont="1" applyFill="1" applyBorder="1" applyAlignment="1" applyProtection="1">
      <alignment horizontal="right"/>
      <protection hidden="1"/>
    </xf>
    <xf numFmtId="0" fontId="112" fillId="0" borderId="0" xfId="0" applyFont="1" applyProtection="1">
      <protection hidden="1"/>
    </xf>
    <xf numFmtId="0" fontId="117" fillId="29" borderId="7" xfId="0" applyFont="1" applyFill="1" applyBorder="1" applyAlignment="1" applyProtection="1">
      <alignment horizontal="right"/>
      <protection hidden="1"/>
    </xf>
    <xf numFmtId="0" fontId="9" fillId="15" borderId="0" xfId="0" quotePrefix="1" applyFont="1" applyFill="1"/>
    <xf numFmtId="0" fontId="9" fillId="15" borderId="1" xfId="0" applyFont="1" applyFill="1" applyBorder="1"/>
    <xf numFmtId="0" fontId="28" fillId="24" borderId="21" xfId="0" applyFont="1" applyFill="1" applyBorder="1" applyAlignment="1" applyProtection="1">
      <alignment horizontal="center"/>
      <protection hidden="1"/>
    </xf>
    <xf numFmtId="3" fontId="28" fillId="24" borderId="4" xfId="0" applyNumberFormat="1" applyFont="1" applyFill="1" applyBorder="1" applyAlignment="1" applyProtection="1">
      <alignment horizontal="right"/>
      <protection hidden="1"/>
    </xf>
    <xf numFmtId="3" fontId="9" fillId="24" borderId="4" xfId="0" applyNumberFormat="1" applyFont="1" applyFill="1" applyBorder="1" applyAlignment="1" applyProtection="1">
      <alignment horizontal="center"/>
      <protection hidden="1"/>
    </xf>
    <xf numFmtId="0" fontId="9" fillId="24" borderId="4" xfId="0" applyFont="1" applyFill="1" applyBorder="1" applyAlignment="1" applyProtection="1">
      <alignment horizontal="left"/>
      <protection hidden="1"/>
    </xf>
    <xf numFmtId="0" fontId="9" fillId="24" borderId="4" xfId="0" applyFont="1" applyFill="1" applyBorder="1" applyAlignment="1" applyProtection="1">
      <alignment horizontal="center"/>
      <protection hidden="1"/>
    </xf>
    <xf numFmtId="0" fontId="63" fillId="24" borderId="4" xfId="0" applyFont="1" applyFill="1" applyBorder="1" applyProtection="1">
      <protection hidden="1"/>
    </xf>
    <xf numFmtId="0" fontId="63" fillId="24" borderId="22" xfId="0" applyFont="1" applyFill="1" applyBorder="1" applyProtection="1">
      <protection hidden="1"/>
    </xf>
    <xf numFmtId="3" fontId="7" fillId="27" borderId="1" xfId="0" applyNumberFormat="1" applyFont="1" applyFill="1" applyBorder="1" applyProtection="1">
      <protection hidden="1"/>
    </xf>
    <xf numFmtId="164" fontId="8" fillId="24" borderId="5" xfId="0" applyNumberFormat="1" applyFont="1" applyFill="1" applyBorder="1" applyAlignment="1" applyProtection="1">
      <alignment horizontal="right"/>
      <protection hidden="1"/>
    </xf>
    <xf numFmtId="0" fontId="3" fillId="24" borderId="0" xfId="0" applyFont="1" applyFill="1" applyProtection="1">
      <protection hidden="1"/>
    </xf>
    <xf numFmtId="4" fontId="8" fillId="24" borderId="0" xfId="0" applyNumberFormat="1" applyFont="1" applyFill="1" applyAlignment="1" applyProtection="1">
      <alignment horizontal="right"/>
      <protection hidden="1"/>
    </xf>
    <xf numFmtId="164" fontId="8" fillId="24" borderId="0" xfId="0" applyNumberFormat="1" applyFont="1" applyFill="1" applyAlignment="1" applyProtection="1">
      <alignment horizontal="right"/>
      <protection hidden="1"/>
    </xf>
    <xf numFmtId="4" fontId="7" fillId="24" borderId="0" xfId="0" applyNumberFormat="1" applyFont="1" applyFill="1" applyProtection="1">
      <protection hidden="1"/>
    </xf>
    <xf numFmtId="0" fontId="8" fillId="24" borderId="0" xfId="0" applyFont="1" applyFill="1" applyProtection="1">
      <protection hidden="1"/>
    </xf>
    <xf numFmtId="164" fontId="8" fillId="24" borderId="0" xfId="0" applyNumberFormat="1" applyFont="1" applyFill="1" applyAlignment="1" applyProtection="1">
      <alignment vertical="top"/>
      <protection hidden="1"/>
    </xf>
    <xf numFmtId="0" fontId="56" fillId="24" borderId="4" xfId="0" applyFont="1" applyFill="1" applyBorder="1" applyAlignment="1" applyProtection="1">
      <alignment vertical="center"/>
      <protection hidden="1"/>
    </xf>
    <xf numFmtId="0" fontId="11" fillId="24" borderId="4" xfId="0" applyFont="1" applyFill="1" applyBorder="1" applyAlignment="1" applyProtection="1">
      <alignment horizontal="right"/>
      <protection hidden="1"/>
    </xf>
    <xf numFmtId="4" fontId="7" fillId="24" borderId="4" xfId="0" applyNumberFormat="1" applyFont="1" applyFill="1" applyBorder="1" applyProtection="1">
      <protection hidden="1"/>
    </xf>
    <xf numFmtId="0" fontId="8" fillId="24" borderId="4" xfId="0" applyFont="1" applyFill="1" applyBorder="1" applyProtection="1">
      <protection hidden="1"/>
    </xf>
    <xf numFmtId="164" fontId="8" fillId="24" borderId="0" xfId="0" applyNumberFormat="1" applyFont="1" applyFill="1" applyProtection="1">
      <protection hidden="1"/>
    </xf>
    <xf numFmtId="0" fontId="11" fillId="24" borderId="5" xfId="0" applyFont="1" applyFill="1" applyBorder="1" applyAlignment="1" applyProtection="1">
      <alignment horizontal="right" vertical="top"/>
      <protection hidden="1"/>
    </xf>
    <xf numFmtId="3" fontId="7" fillId="24" borderId="0" xfId="0" applyNumberFormat="1" applyFont="1" applyFill="1" applyProtection="1">
      <protection hidden="1"/>
    </xf>
    <xf numFmtId="0" fontId="8" fillId="24" borderId="0" xfId="0" applyFont="1" applyFill="1" applyAlignment="1" applyProtection="1">
      <alignment horizontal="right"/>
      <protection hidden="1"/>
    </xf>
    <xf numFmtId="0" fontId="8" fillId="24" borderId="0" xfId="0" applyFont="1" applyFill="1" applyAlignment="1" applyProtection="1">
      <alignment horizontal="right" vertical="top"/>
      <protection hidden="1"/>
    </xf>
    <xf numFmtId="0" fontId="8" fillId="24" borderId="0" xfId="0" applyFont="1" applyFill="1" applyAlignment="1" applyProtection="1">
      <alignment vertical="top"/>
      <protection hidden="1"/>
    </xf>
    <xf numFmtId="3" fontId="7" fillId="24" borderId="0" xfId="0" applyNumberFormat="1" applyFont="1" applyFill="1" applyAlignment="1" applyProtection="1">
      <alignment vertical="top"/>
      <protection hidden="1"/>
    </xf>
    <xf numFmtId="0" fontId="0" fillId="24" borderId="20" xfId="0" applyFill="1" applyBorder="1" applyAlignment="1" applyProtection="1">
      <alignment vertical="top"/>
      <protection hidden="1"/>
    </xf>
    <xf numFmtId="4" fontId="7" fillId="24" borderId="8" xfId="0" applyNumberFormat="1" applyFont="1" applyFill="1" applyBorder="1" applyAlignment="1" applyProtection="1">
      <alignment vertical="center" wrapText="1"/>
      <protection hidden="1"/>
    </xf>
    <xf numFmtId="4" fontId="7" fillId="24" borderId="0" xfId="0" applyNumberFormat="1" applyFont="1" applyFill="1" applyAlignment="1" applyProtection="1">
      <alignment vertical="center" wrapText="1"/>
      <protection hidden="1"/>
    </xf>
    <xf numFmtId="3" fontId="7" fillId="24" borderId="4" xfId="0" applyNumberFormat="1" applyFont="1" applyFill="1" applyBorder="1" applyProtection="1">
      <protection hidden="1"/>
    </xf>
    <xf numFmtId="0" fontId="5" fillId="24" borderId="7" xfId="0" applyFont="1" applyFill="1" applyBorder="1" applyAlignment="1">
      <alignment horizontal="left" vertical="top"/>
    </xf>
    <xf numFmtId="0" fontId="5" fillId="24" borderId="19" xfId="0" applyFont="1" applyFill="1" applyBorder="1" applyAlignment="1">
      <alignment horizontal="left" vertical="top"/>
    </xf>
    <xf numFmtId="0" fontId="5" fillId="24" borderId="0" xfId="0" applyFont="1" applyFill="1" applyAlignment="1">
      <alignment horizontal="left" vertical="top"/>
    </xf>
    <xf numFmtId="0" fontId="5" fillId="24" borderId="20" xfId="0" applyFont="1" applyFill="1" applyBorder="1" applyAlignment="1">
      <alignment horizontal="left" vertical="top"/>
    </xf>
    <xf numFmtId="0" fontId="4" fillId="24" borderId="4" xfId="0" applyFont="1" applyFill="1" applyBorder="1" applyAlignment="1" applyProtection="1">
      <alignment horizontal="left"/>
      <protection hidden="1"/>
    </xf>
    <xf numFmtId="0" fontId="5" fillId="24" borderId="22" xfId="0" applyFont="1" applyFill="1" applyBorder="1" applyAlignment="1">
      <alignment horizontal="left" vertical="top"/>
    </xf>
    <xf numFmtId="0" fontId="3" fillId="24" borderId="23" xfId="0" applyFont="1" applyFill="1" applyBorder="1" applyAlignment="1" applyProtection="1">
      <alignment horizontal="left" vertical="center"/>
      <protection hidden="1"/>
    </xf>
    <xf numFmtId="0" fontId="0" fillId="24" borderId="7" xfId="0" applyFill="1" applyBorder="1" applyAlignment="1">
      <alignment horizontal="left" vertical="center"/>
    </xf>
    <xf numFmtId="0" fontId="0" fillId="24" borderId="0" xfId="0" applyFill="1" applyAlignment="1">
      <alignment horizontal="left" vertical="center"/>
    </xf>
    <xf numFmtId="0" fontId="0" fillId="24" borderId="21" xfId="0" applyFill="1" applyBorder="1" applyAlignment="1">
      <alignment horizontal="left" vertical="center"/>
    </xf>
    <xf numFmtId="0" fontId="0" fillId="24" borderId="4" xfId="0" applyFill="1" applyBorder="1" applyAlignment="1">
      <alignment horizontal="left" vertical="center"/>
    </xf>
    <xf numFmtId="0" fontId="0" fillId="24" borderId="27" xfId="0" applyFill="1" applyBorder="1"/>
    <xf numFmtId="0" fontId="5" fillId="24" borderId="27" xfId="0" applyFont="1" applyFill="1" applyBorder="1"/>
    <xf numFmtId="0" fontId="9" fillId="24" borderId="80" xfId="0" applyFont="1" applyFill="1" applyBorder="1" applyAlignment="1">
      <alignment horizontal="right"/>
    </xf>
    <xf numFmtId="0" fontId="9" fillId="24" borderId="8" xfId="0" applyFont="1" applyFill="1" applyBorder="1"/>
    <xf numFmtId="0" fontId="9" fillId="24" borderId="5" xfId="0" applyFont="1" applyFill="1" applyBorder="1" applyAlignment="1">
      <alignment horizontal="right"/>
    </xf>
    <xf numFmtId="0" fontId="9" fillId="24" borderId="0" xfId="0" applyFont="1" applyFill="1" applyAlignment="1">
      <alignment horizontal="left" indent="1"/>
    </xf>
    <xf numFmtId="0" fontId="9" fillId="24" borderId="0" xfId="0" applyFont="1" applyFill="1"/>
    <xf numFmtId="0" fontId="9" fillId="24" borderId="0" xfId="0" applyFont="1" applyFill="1" applyAlignment="1">
      <alignment horizontal="right"/>
    </xf>
    <xf numFmtId="0" fontId="11" fillId="24" borderId="0" xfId="0" applyFont="1" applyFill="1" applyAlignment="1">
      <alignment horizontal="left" indent="1"/>
    </xf>
    <xf numFmtId="0" fontId="9" fillId="24" borderId="21" xfId="0" applyFont="1" applyFill="1" applyBorder="1" applyAlignment="1">
      <alignment horizontal="right"/>
    </xf>
    <xf numFmtId="0" fontId="9" fillId="24" borderId="4" xfId="0" applyFont="1" applyFill="1" applyBorder="1" applyAlignment="1">
      <alignment horizontal="left" indent="1"/>
    </xf>
    <xf numFmtId="0" fontId="9" fillId="24" borderId="4" xfId="0" applyFont="1" applyFill="1" applyBorder="1"/>
    <xf numFmtId="0" fontId="4" fillId="24" borderId="4" xfId="0" applyFont="1" applyFill="1" applyBorder="1" applyAlignment="1" applyProtection="1">
      <alignment horizontal="right"/>
      <protection hidden="1"/>
    </xf>
    <xf numFmtId="0" fontId="0" fillId="24" borderId="108" xfId="0" applyFill="1" applyBorder="1"/>
    <xf numFmtId="0" fontId="9" fillId="24" borderId="88" xfId="0" applyFont="1" applyFill="1" applyBorder="1"/>
    <xf numFmtId="0" fontId="9" fillId="24" borderId="20" xfId="0" applyFont="1" applyFill="1" applyBorder="1"/>
    <xf numFmtId="3" fontId="112" fillId="24" borderId="0" xfId="0" applyNumberFormat="1" applyFont="1" applyFill="1"/>
    <xf numFmtId="4" fontId="112" fillId="24" borderId="0" xfId="0" applyNumberFormat="1" applyFont="1" applyFill="1"/>
    <xf numFmtId="0" fontId="9" fillId="24" borderId="22" xfId="0" applyFont="1" applyFill="1" applyBorder="1"/>
    <xf numFmtId="0" fontId="139" fillId="24" borderId="0" xfId="0" applyFont="1" applyFill="1"/>
    <xf numFmtId="0" fontId="9" fillId="24" borderId="0" xfId="0" applyFont="1" applyFill="1" applyAlignment="1">
      <alignment horizontal="left"/>
    </xf>
    <xf numFmtId="0" fontId="166" fillId="24" borderId="5" xfId="0" applyFont="1" applyFill="1" applyBorder="1" applyAlignment="1" applyProtection="1">
      <alignment horizontal="right"/>
      <protection hidden="1"/>
    </xf>
    <xf numFmtId="0" fontId="10" fillId="15" borderId="23" xfId="0" applyFont="1" applyFill="1" applyBorder="1" applyProtection="1">
      <protection hidden="1"/>
    </xf>
    <xf numFmtId="0" fontId="10" fillId="15" borderId="5" xfId="0" applyFont="1" applyFill="1" applyBorder="1" applyProtection="1">
      <protection hidden="1"/>
    </xf>
    <xf numFmtId="37" fontId="0" fillId="27" borderId="1" xfId="0" applyNumberFormat="1" applyFill="1" applyBorder="1" applyProtection="1">
      <protection hidden="1"/>
    </xf>
    <xf numFmtId="0" fontId="21" fillId="0" borderId="0" xfId="0" applyFont="1" applyProtection="1">
      <protection hidden="1"/>
    </xf>
    <xf numFmtId="1" fontId="30" fillId="0" borderId="2" xfId="0" applyNumberFormat="1" applyFont="1" applyBorder="1" applyProtection="1">
      <protection locked="0"/>
    </xf>
    <xf numFmtId="0" fontId="5" fillId="15" borderId="0" xfId="0" quotePrefix="1" applyFont="1" applyFill="1" applyAlignment="1" applyProtection="1">
      <alignment horizontal="right"/>
      <protection hidden="1"/>
    </xf>
    <xf numFmtId="0" fontId="5" fillId="15" borderId="5" xfId="0" quotePrefix="1" applyFont="1" applyFill="1" applyBorder="1" applyAlignment="1" applyProtection="1">
      <alignment horizontal="right"/>
      <protection hidden="1"/>
    </xf>
    <xf numFmtId="0" fontId="4" fillId="15" borderId="0" xfId="0" applyFont="1" applyFill="1" applyProtection="1">
      <protection hidden="1"/>
    </xf>
    <xf numFmtId="0" fontId="3" fillId="27" borderId="12" xfId="0" applyFont="1" applyFill="1" applyBorder="1" applyAlignment="1" applyProtection="1">
      <alignment horizontal="center"/>
      <protection hidden="1"/>
    </xf>
    <xf numFmtId="0" fontId="3" fillId="25" borderId="12" xfId="0" applyFont="1" applyFill="1" applyBorder="1" applyAlignment="1" applyProtection="1">
      <alignment horizontal="center"/>
      <protection hidden="1"/>
    </xf>
    <xf numFmtId="0" fontId="3" fillId="25" borderId="12" xfId="0" applyFont="1" applyFill="1" applyBorder="1" applyAlignment="1" applyProtection="1">
      <alignment horizontal="center"/>
      <protection locked="0" hidden="1"/>
    </xf>
    <xf numFmtId="0" fontId="122" fillId="24" borderId="23" xfId="0" applyFont="1" applyFill="1" applyBorder="1" applyProtection="1">
      <protection hidden="1"/>
    </xf>
    <xf numFmtId="0" fontId="37" fillId="15" borderId="0" xfId="0" applyFont="1" applyFill="1" applyAlignment="1" applyProtection="1">
      <alignment horizontal="left"/>
      <protection hidden="1"/>
    </xf>
    <xf numFmtId="0" fontId="5" fillId="15" borderId="0" xfId="0" applyFont="1" applyFill="1" applyAlignment="1" applyProtection="1">
      <alignment horizontal="center"/>
      <protection hidden="1"/>
    </xf>
    <xf numFmtId="0" fontId="15" fillId="15" borderId="0" xfId="0" applyFont="1" applyFill="1" applyAlignment="1" applyProtection="1">
      <alignment horizontal="right" wrapText="1"/>
      <protection hidden="1"/>
    </xf>
    <xf numFmtId="0" fontId="9" fillId="15" borderId="23" xfId="0" applyFont="1" applyFill="1" applyBorder="1" applyAlignment="1" applyProtection="1">
      <alignment horizontal="left"/>
      <protection hidden="1"/>
    </xf>
    <xf numFmtId="0" fontId="37" fillId="15" borderId="5" xfId="0" applyFont="1" applyFill="1" applyBorder="1" applyAlignment="1" applyProtection="1">
      <alignment horizontal="left"/>
      <protection hidden="1"/>
    </xf>
    <xf numFmtId="0" fontId="37" fillId="15" borderId="20" xfId="0" applyFont="1" applyFill="1" applyBorder="1" applyAlignment="1" applyProtection="1">
      <alignment horizontal="left"/>
      <protection hidden="1"/>
    </xf>
    <xf numFmtId="0" fontId="10" fillId="16" borderId="2" xfId="0" applyFont="1" applyFill="1" applyBorder="1" applyAlignment="1" applyProtection="1">
      <alignment horizontal="center"/>
      <protection locked="0"/>
    </xf>
    <xf numFmtId="0" fontId="5" fillId="15" borderId="0" xfId="0" applyFont="1" applyFill="1" applyAlignment="1" applyProtection="1">
      <alignment horizontal="right"/>
      <protection hidden="1"/>
    </xf>
    <xf numFmtId="0" fontId="5" fillId="15" borderId="5" xfId="4" applyFill="1" applyBorder="1" applyProtection="1">
      <protection hidden="1"/>
    </xf>
    <xf numFmtId="0" fontId="5" fillId="15" borderId="0" xfId="4" applyFill="1" applyProtection="1">
      <protection hidden="1"/>
    </xf>
    <xf numFmtId="0" fontId="5" fillId="15" borderId="0" xfId="4" applyFill="1" applyAlignment="1" applyProtection="1">
      <alignment horizontal="center"/>
      <protection hidden="1"/>
    </xf>
    <xf numFmtId="0" fontId="5" fillId="15" borderId="20" xfId="4" applyFill="1" applyBorder="1" applyAlignment="1" applyProtection="1">
      <alignment horizontal="center"/>
      <protection hidden="1"/>
    </xf>
    <xf numFmtId="4" fontId="30" fillId="15" borderId="0" xfId="0" applyNumberFormat="1" applyFont="1" applyFill="1" applyProtection="1">
      <protection hidden="1"/>
    </xf>
    <xf numFmtId="0" fontId="5" fillId="15" borderId="0" xfId="4" applyFill="1" applyAlignment="1" applyProtection="1">
      <alignment horizontal="right"/>
      <protection hidden="1"/>
    </xf>
    <xf numFmtId="0" fontId="5" fillId="15" borderId="5" xfId="4" applyFill="1" applyBorder="1" applyAlignment="1" applyProtection="1">
      <alignment horizontal="center"/>
      <protection hidden="1"/>
    </xf>
    <xf numFmtId="0" fontId="5" fillId="15" borderId="0" xfId="4" quotePrefix="1" applyFill="1" applyAlignment="1" applyProtection="1">
      <alignment horizontal="right"/>
      <protection hidden="1"/>
    </xf>
    <xf numFmtId="0" fontId="5" fillId="15" borderId="2" xfId="4" applyFill="1" applyBorder="1" applyProtection="1">
      <protection hidden="1"/>
    </xf>
    <xf numFmtId="185" fontId="5" fillId="15" borderId="0" xfId="4" applyNumberFormat="1" applyFill="1" applyAlignment="1" applyProtection="1">
      <alignment horizontal="center"/>
      <protection hidden="1"/>
    </xf>
    <xf numFmtId="0" fontId="5" fillId="15" borderId="1" xfId="4" applyFill="1" applyBorder="1" applyAlignment="1" applyProtection="1">
      <alignment horizontal="center"/>
      <protection hidden="1"/>
    </xf>
    <xf numFmtId="0" fontId="5" fillId="15" borderId="29" xfId="4" applyFill="1" applyBorder="1" applyAlignment="1" applyProtection="1">
      <alignment horizontal="center"/>
      <protection hidden="1"/>
    </xf>
    <xf numFmtId="37" fontId="0" fillId="15" borderId="0" xfId="0" applyNumberFormat="1" applyFill="1" applyProtection="1">
      <protection hidden="1"/>
    </xf>
    <xf numFmtId="0" fontId="5" fillId="15" borderId="21" xfId="4" applyFill="1" applyBorder="1"/>
    <xf numFmtId="0" fontId="5" fillId="15" borderId="4" xfId="4" applyFill="1" applyBorder="1"/>
    <xf numFmtId="0" fontId="5" fillId="15" borderId="4" xfId="4" applyFill="1" applyBorder="1" applyAlignment="1">
      <alignment horizontal="center"/>
    </xf>
    <xf numFmtId="0" fontId="5" fillId="15" borderId="4" xfId="4" applyFill="1" applyBorder="1" applyAlignment="1" applyProtection="1">
      <alignment horizontal="center"/>
      <protection hidden="1"/>
    </xf>
    <xf numFmtId="0" fontId="5" fillId="15" borderId="22" xfId="4" applyFill="1" applyBorder="1" applyAlignment="1" applyProtection="1">
      <alignment horizontal="center"/>
      <protection hidden="1"/>
    </xf>
    <xf numFmtId="0" fontId="9" fillId="15" borderId="0" xfId="0" applyFont="1" applyFill="1" applyAlignment="1" applyProtection="1">
      <alignment horizontal="center"/>
      <protection hidden="1"/>
    </xf>
    <xf numFmtId="0" fontId="122" fillId="15" borderId="7" xfId="0" applyFont="1" applyFill="1" applyBorder="1" applyAlignment="1" applyProtection="1">
      <alignment vertical="center"/>
      <protection hidden="1"/>
    </xf>
    <xf numFmtId="0" fontId="86" fillId="21" borderId="0" xfId="2" applyFont="1" applyFill="1" applyAlignment="1" applyProtection="1">
      <alignment horizontal="center"/>
    </xf>
    <xf numFmtId="0" fontId="3" fillId="21" borderId="0" xfId="0" applyFont="1" applyFill="1"/>
    <xf numFmtId="4" fontId="7" fillId="21" borderId="0" xfId="0" applyNumberFormat="1" applyFont="1" applyFill="1"/>
    <xf numFmtId="0" fontId="3" fillId="21" borderId="0" xfId="0" applyFont="1" applyFill="1" applyAlignment="1">
      <alignment horizontal="center"/>
    </xf>
    <xf numFmtId="0" fontId="21" fillId="2" borderId="23" xfId="0" applyFont="1" applyFill="1" applyBorder="1" applyAlignment="1" applyProtection="1">
      <alignment horizontal="center"/>
      <protection hidden="1"/>
    </xf>
    <xf numFmtId="0" fontId="56" fillId="2" borderId="7" xfId="0" applyFont="1" applyFill="1" applyBorder="1" applyProtection="1">
      <protection hidden="1"/>
    </xf>
    <xf numFmtId="0" fontId="21" fillId="2" borderId="21" xfId="0" applyFont="1" applyFill="1" applyBorder="1" applyAlignment="1" applyProtection="1">
      <alignment horizontal="center"/>
      <protection hidden="1"/>
    </xf>
    <xf numFmtId="0" fontId="8" fillId="2" borderId="4" xfId="0" applyFont="1" applyFill="1" applyBorder="1" applyAlignment="1" applyProtection="1">
      <alignment horizontal="center" vertical="center"/>
      <protection locked="0"/>
    </xf>
    <xf numFmtId="0" fontId="0" fillId="2" borderId="26" xfId="0" applyFill="1" applyBorder="1" applyAlignment="1" applyProtection="1">
      <alignment horizontal="center"/>
      <protection hidden="1"/>
    </xf>
    <xf numFmtId="0" fontId="21" fillId="2" borderId="80" xfId="0" applyFont="1" applyFill="1" applyBorder="1" applyAlignment="1" applyProtection="1">
      <alignment horizontal="center"/>
      <protection hidden="1"/>
    </xf>
    <xf numFmtId="0" fontId="56" fillId="2" borderId="8" xfId="0" applyFont="1" applyFill="1" applyBorder="1" applyProtection="1">
      <protection hidden="1"/>
    </xf>
    <xf numFmtId="0" fontId="0" fillId="2" borderId="88" xfId="0" applyFill="1" applyBorder="1" applyProtection="1">
      <protection hidden="1"/>
    </xf>
    <xf numFmtId="182" fontId="42" fillId="2" borderId="0" xfId="0" applyNumberFormat="1" applyFont="1" applyFill="1" applyProtection="1">
      <protection hidden="1"/>
    </xf>
    <xf numFmtId="15" fontId="110" fillId="2" borderId="0" xfId="0" applyNumberFormat="1" applyFont="1" applyFill="1" applyProtection="1">
      <protection hidden="1"/>
    </xf>
    <xf numFmtId="0" fontId="8" fillId="2" borderId="20" xfId="0" applyFont="1" applyFill="1" applyBorder="1" applyProtection="1">
      <protection hidden="1"/>
    </xf>
    <xf numFmtId="40" fontId="69" fillId="2" borderId="20" xfId="0" applyNumberFormat="1" applyFont="1" applyFill="1" applyBorder="1" applyAlignment="1" applyProtection="1">
      <alignment horizontal="right" vertical="center"/>
      <protection hidden="1"/>
    </xf>
    <xf numFmtId="0" fontId="0" fillId="21" borderId="0" xfId="0" applyFill="1" applyAlignment="1" applyProtection="1">
      <alignment horizontal="center"/>
      <protection hidden="1"/>
    </xf>
    <xf numFmtId="0" fontId="0" fillId="21" borderId="20" xfId="0" applyFill="1" applyBorder="1" applyAlignment="1" applyProtection="1">
      <alignment horizontal="center"/>
      <protection hidden="1"/>
    </xf>
    <xf numFmtId="0" fontId="9" fillId="5" borderId="7" xfId="0" applyFont="1" applyFill="1" applyBorder="1" applyAlignment="1" applyProtection="1">
      <alignment horizontal="left"/>
      <protection hidden="1"/>
    </xf>
    <xf numFmtId="40" fontId="28" fillId="2" borderId="0" xfId="0" applyNumberFormat="1" applyFont="1" applyFill="1" applyAlignment="1" applyProtection="1">
      <alignment horizontal="right"/>
      <protection hidden="1"/>
    </xf>
    <xf numFmtId="164" fontId="3" fillId="2" borderId="7"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34" fillId="2" borderId="0" xfId="0" applyFont="1" applyFill="1" applyAlignment="1" applyProtection="1">
      <alignment horizontal="right"/>
      <protection hidden="1"/>
    </xf>
    <xf numFmtId="182" fontId="110" fillId="2" borderId="0" xfId="0" applyNumberFormat="1" applyFont="1" applyFill="1" applyAlignment="1" applyProtection="1">
      <alignment horizontal="center"/>
      <protection hidden="1"/>
    </xf>
    <xf numFmtId="14" fontId="110" fillId="2" borderId="0" xfId="0" applyNumberFormat="1" applyFont="1" applyFill="1" applyAlignment="1" applyProtection="1">
      <alignment horizontal="center"/>
      <protection hidden="1"/>
    </xf>
    <xf numFmtId="0" fontId="110" fillId="2" borderId="0" xfId="0" applyFont="1" applyFill="1" applyAlignment="1" applyProtection="1">
      <alignment horizontal="center"/>
      <protection hidden="1"/>
    </xf>
    <xf numFmtId="182" fontId="7" fillId="2" borderId="0" xfId="0" applyNumberFormat="1" applyFont="1" applyFill="1" applyProtection="1">
      <protection locked="0"/>
    </xf>
    <xf numFmtId="0" fontId="122" fillId="2" borderId="0" xfId="0" applyFont="1" applyFill="1" applyAlignment="1" applyProtection="1">
      <alignment horizontal="center"/>
      <protection hidden="1"/>
    </xf>
    <xf numFmtId="0" fontId="127" fillId="24" borderId="4" xfId="0" applyFont="1" applyFill="1" applyBorder="1" applyProtection="1">
      <protection hidden="1"/>
    </xf>
    <xf numFmtId="0" fontId="3" fillId="24" borderId="5" xfId="0" quotePrefix="1" applyFont="1" applyFill="1" applyBorder="1" applyAlignment="1" applyProtection="1">
      <alignment horizontal="right"/>
      <protection hidden="1"/>
    </xf>
    <xf numFmtId="0" fontId="109" fillId="15" borderId="7" xfId="0" applyFont="1" applyFill="1" applyBorder="1" applyProtection="1">
      <protection locked="0"/>
    </xf>
    <xf numFmtId="4" fontId="7" fillId="20" borderId="1" xfId="0" applyNumberFormat="1" applyFont="1" applyFill="1" applyBorder="1" applyProtection="1">
      <protection locked="0"/>
    </xf>
    <xf numFmtId="37" fontId="168" fillId="3" borderId="3" xfId="0" applyNumberFormat="1" applyFont="1" applyFill="1" applyBorder="1" applyAlignment="1" applyProtection="1">
      <alignment horizontal="center"/>
      <protection hidden="1"/>
    </xf>
    <xf numFmtId="39" fontId="3" fillId="3" borderId="0" xfId="0" applyNumberFormat="1" applyFont="1" applyFill="1" applyAlignment="1" applyProtection="1">
      <alignment horizontal="center" vertical="center"/>
      <protection locked="0"/>
    </xf>
    <xf numFmtId="0" fontId="144" fillId="2" borderId="0" xfId="0" applyFont="1" applyFill="1" applyProtection="1">
      <protection hidden="1"/>
    </xf>
    <xf numFmtId="0" fontId="28" fillId="15" borderId="7" xfId="0" applyFont="1" applyFill="1" applyBorder="1"/>
    <xf numFmtId="0" fontId="28" fillId="15" borderId="19" xfId="0" applyFont="1" applyFill="1" applyBorder="1"/>
    <xf numFmtId="0" fontId="28" fillId="15" borderId="20" xfId="0" applyFont="1" applyFill="1" applyBorder="1"/>
    <xf numFmtId="0" fontId="5" fillId="15" borderId="4" xfId="0" applyFont="1" applyFill="1" applyBorder="1"/>
    <xf numFmtId="0" fontId="5" fillId="15" borderId="22" xfId="0" applyFont="1" applyFill="1" applyBorder="1"/>
    <xf numFmtId="0" fontId="56" fillId="2" borderId="0" xfId="0" applyFont="1" applyFill="1" applyAlignment="1" applyProtection="1">
      <alignment horizontal="left"/>
      <protection hidden="1"/>
    </xf>
    <xf numFmtId="4" fontId="5" fillId="32" borderId="66" xfId="0" applyNumberFormat="1" applyFont="1" applyFill="1" applyBorder="1" applyProtection="1">
      <protection locked="0"/>
    </xf>
    <xf numFmtId="0" fontId="14" fillId="15" borderId="2" xfId="0" applyFont="1" applyFill="1" applyBorder="1" applyAlignment="1" applyProtection="1">
      <alignment horizontal="center"/>
      <protection locked="0"/>
    </xf>
    <xf numFmtId="0" fontId="106" fillId="2" borderId="0" xfId="0" applyFont="1" applyFill="1" applyAlignment="1" applyProtection="1">
      <alignment horizontal="center"/>
      <protection hidden="1"/>
    </xf>
    <xf numFmtId="0" fontId="106" fillId="0" borderId="0" xfId="0" applyFont="1" applyAlignment="1">
      <alignment horizontal="center"/>
    </xf>
    <xf numFmtId="0" fontId="56" fillId="2" borderId="3" xfId="0" applyFont="1" applyFill="1" applyBorder="1" applyAlignment="1" applyProtection="1">
      <alignment horizontal="center"/>
      <protection hidden="1"/>
    </xf>
    <xf numFmtId="0" fontId="0" fillId="0" borderId="0" xfId="0" applyAlignment="1">
      <alignment horizontal="center" vertical="center"/>
    </xf>
    <xf numFmtId="0" fontId="9" fillId="2" borderId="0" xfId="0" applyFont="1" applyFill="1" applyAlignment="1" applyProtection="1">
      <alignment horizontal="center" vertical="center"/>
      <protection hidden="1"/>
    </xf>
    <xf numFmtId="0" fontId="116" fillId="31" borderId="27" xfId="0" applyFont="1" applyFill="1" applyBorder="1" applyAlignment="1" applyProtection="1">
      <alignment vertical="center"/>
      <protection hidden="1"/>
    </xf>
    <xf numFmtId="0" fontId="0" fillId="2" borderId="27" xfId="0" applyFill="1" applyBorder="1" applyAlignment="1" applyProtection="1">
      <alignment vertical="center"/>
      <protection hidden="1"/>
    </xf>
    <xf numFmtId="0" fontId="3" fillId="2" borderId="10" xfId="0" applyFont="1" applyFill="1" applyBorder="1" applyAlignment="1" applyProtection="1">
      <alignment horizontal="center"/>
      <protection hidden="1"/>
    </xf>
    <xf numFmtId="0" fontId="5" fillId="2" borderId="27" xfId="0" applyFont="1" applyFill="1" applyBorder="1" applyAlignment="1" applyProtection="1">
      <alignment horizontal="left" vertical="center" indent="1"/>
      <protection hidden="1"/>
    </xf>
    <xf numFmtId="0" fontId="169" fillId="31" borderId="27"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0" xfId="0" applyFill="1" applyBorder="1" applyProtection="1">
      <protection hidden="1"/>
    </xf>
    <xf numFmtId="0" fontId="9" fillId="2" borderId="120" xfId="0" applyFont="1" applyFill="1" applyBorder="1" applyAlignment="1" applyProtection="1">
      <alignment horizontal="left"/>
      <protection hidden="1"/>
    </xf>
    <xf numFmtId="0" fontId="9" fillId="2" borderId="120" xfId="0" applyFont="1" applyFill="1" applyBorder="1" applyAlignment="1" applyProtection="1">
      <alignment horizontal="center"/>
      <protection hidden="1"/>
    </xf>
    <xf numFmtId="0" fontId="9" fillId="2" borderId="120" xfId="0" applyFont="1" applyFill="1" applyBorder="1" applyAlignment="1" applyProtection="1">
      <alignment horizontal="right"/>
      <protection hidden="1"/>
    </xf>
    <xf numFmtId="0" fontId="3" fillId="27" borderId="12" xfId="0" applyFont="1" applyFill="1" applyBorder="1" applyAlignment="1" applyProtection="1">
      <alignment horizontal="center" vertical="center"/>
      <protection hidden="1"/>
    </xf>
    <xf numFmtId="0" fontId="8" fillId="2" borderId="120" xfId="0" applyFont="1" applyFill="1" applyBorder="1" applyAlignment="1" applyProtection="1">
      <alignment horizontal="left"/>
      <protection hidden="1"/>
    </xf>
    <xf numFmtId="0" fontId="7" fillId="2" borderId="4" xfId="0" applyFont="1" applyFill="1" applyBorder="1" applyAlignment="1" applyProtection="1">
      <alignment horizontal="right"/>
      <protection hidden="1"/>
    </xf>
    <xf numFmtId="0" fontId="14" fillId="2" borderId="27" xfId="0" applyFont="1" applyFill="1" applyBorder="1" applyAlignment="1" applyProtection="1">
      <alignment horizontal="left" vertical="center" indent="1"/>
      <protection hidden="1"/>
    </xf>
    <xf numFmtId="0" fontId="3" fillId="2" borderId="6"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0" fontId="7" fillId="2" borderId="4" xfId="0" applyFont="1" applyFill="1" applyBorder="1" applyAlignment="1" applyProtection="1">
      <alignment horizontal="right" indent="1"/>
      <protection hidden="1"/>
    </xf>
    <xf numFmtId="0" fontId="0" fillId="8" borderId="15" xfId="0" applyFill="1" applyBorder="1" applyProtection="1">
      <protection hidden="1"/>
    </xf>
    <xf numFmtId="0" fontId="0" fillId="8" borderId="10" xfId="0" applyFill="1" applyBorder="1" applyProtection="1">
      <protection hidden="1"/>
    </xf>
    <xf numFmtId="0" fontId="0" fillId="2" borderId="6" xfId="0" applyFill="1" applyBorder="1" applyAlignment="1" applyProtection="1">
      <alignment vertical="top"/>
      <protection hidden="1"/>
    </xf>
    <xf numFmtId="0" fontId="0" fillId="8" borderId="24" xfId="0" applyFill="1" applyBorder="1" applyProtection="1">
      <protection hidden="1"/>
    </xf>
    <xf numFmtId="0" fontId="0" fillId="8" borderId="9" xfId="0" applyFill="1" applyBorder="1" applyProtection="1">
      <protection hidden="1"/>
    </xf>
    <xf numFmtId="0" fontId="0" fillId="8" borderId="11" xfId="0" applyFill="1" applyBorder="1" applyProtection="1">
      <protection hidden="1"/>
    </xf>
    <xf numFmtId="0" fontId="0" fillId="8" borderId="39" xfId="0" applyFill="1" applyBorder="1" applyProtection="1">
      <protection hidden="1"/>
    </xf>
    <xf numFmtId="0" fontId="0" fillId="8" borderId="54" xfId="0" applyFill="1" applyBorder="1" applyProtection="1">
      <protection hidden="1"/>
    </xf>
    <xf numFmtId="0" fontId="5" fillId="2" borderId="8" xfId="0" applyFont="1" applyFill="1" applyBorder="1" applyAlignment="1" applyProtection="1">
      <alignment vertical="center"/>
      <protection hidden="1"/>
    </xf>
    <xf numFmtId="0" fontId="0" fillId="8" borderId="30" xfId="0" applyFill="1" applyBorder="1" applyProtection="1">
      <protection hidden="1"/>
    </xf>
    <xf numFmtId="0" fontId="0" fillId="8" borderId="14" xfId="0" applyFill="1" applyBorder="1" applyProtection="1">
      <protection hidden="1"/>
    </xf>
    <xf numFmtId="0" fontId="5" fillId="2" borderId="27" xfId="0" applyFont="1" applyFill="1" applyBorder="1" applyAlignment="1" applyProtection="1">
      <alignment vertical="center"/>
      <protection hidden="1"/>
    </xf>
    <xf numFmtId="0" fontId="3" fillId="0" borderId="15"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4" fontId="110" fillId="2" borderId="3" xfId="0" applyNumberFormat="1" applyFont="1" applyFill="1" applyBorder="1" applyAlignment="1" applyProtection="1">
      <alignment horizontal="center"/>
      <protection hidden="1"/>
    </xf>
    <xf numFmtId="0" fontId="7" fillId="15" borderId="0" xfId="0" applyFont="1" applyFill="1"/>
    <xf numFmtId="0" fontId="9" fillId="0" borderId="24" xfId="0" applyFont="1" applyBorder="1"/>
    <xf numFmtId="0" fontId="14" fillId="15" borderId="8" xfId="0" applyFont="1" applyFill="1" applyBorder="1" applyAlignment="1" applyProtection="1">
      <alignment horizontal="left" vertical="center" wrapText="1"/>
      <protection hidden="1"/>
    </xf>
    <xf numFmtId="0" fontId="0" fillId="8" borderId="8" xfId="0" applyFill="1" applyBorder="1" applyProtection="1">
      <protection hidden="1"/>
    </xf>
    <xf numFmtId="0" fontId="0" fillId="8" borderId="1" xfId="0" applyFill="1" applyBorder="1" applyProtection="1">
      <protection hidden="1"/>
    </xf>
    <xf numFmtId="0" fontId="9" fillId="15" borderId="0" xfId="0" applyFont="1" applyFill="1" applyAlignment="1" applyProtection="1">
      <alignment vertical="center"/>
      <protection hidden="1"/>
    </xf>
    <xf numFmtId="0" fontId="9" fillId="15" borderId="0" xfId="0" applyFont="1" applyFill="1" applyAlignment="1">
      <alignment vertical="center"/>
    </xf>
    <xf numFmtId="0" fontId="9" fillId="15" borderId="24" xfId="0" applyFont="1" applyFill="1" applyBorder="1" applyAlignment="1">
      <alignment vertical="center"/>
    </xf>
    <xf numFmtId="0" fontId="3" fillId="2" borderId="123" xfId="0" applyFont="1" applyFill="1" applyBorder="1" applyAlignment="1" applyProtection="1">
      <alignment horizontal="center"/>
      <protection hidden="1"/>
    </xf>
    <xf numFmtId="0" fontId="0" fillId="15" borderId="10" xfId="0" applyFill="1" applyBorder="1" applyProtection="1">
      <protection hidden="1"/>
    </xf>
    <xf numFmtId="0" fontId="3" fillId="15" borderId="15" xfId="0" applyFont="1" applyFill="1" applyBorder="1" applyProtection="1">
      <protection hidden="1"/>
    </xf>
    <xf numFmtId="0" fontId="14" fillId="15" borderId="1" xfId="0" applyFont="1" applyFill="1" applyBorder="1" applyAlignment="1" applyProtection="1">
      <alignment horizontal="left" vertical="center" wrapText="1"/>
      <protection hidden="1"/>
    </xf>
    <xf numFmtId="0" fontId="46" fillId="0" borderId="0" xfId="0" applyFont="1"/>
    <xf numFmtId="0" fontId="3" fillId="15" borderId="1" xfId="0" applyFont="1" applyFill="1" applyBorder="1" applyAlignment="1" applyProtection="1">
      <alignment horizontal="left" vertical="center" wrapText="1"/>
      <protection hidden="1"/>
    </xf>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0" fontId="5" fillId="15" borderId="0" xfId="0" applyFont="1" applyFill="1" applyAlignment="1" applyProtection="1">
      <alignment horizontal="left" vertical="center" wrapText="1"/>
      <protection hidden="1"/>
    </xf>
    <xf numFmtId="0" fontId="14" fillId="15" borderId="0" xfId="0" applyFont="1" applyFill="1" applyAlignment="1" applyProtection="1">
      <alignment horizontal="left" vertical="center" wrapText="1"/>
      <protection hidden="1"/>
    </xf>
    <xf numFmtId="0" fontId="3" fillId="15" borderId="0" xfId="0" applyFont="1" applyFill="1" applyAlignment="1" applyProtection="1">
      <alignment horizontal="left" vertical="center" wrapText="1"/>
      <protection hidden="1"/>
    </xf>
    <xf numFmtId="0" fontId="3" fillId="15" borderId="12" xfId="0" applyFont="1" applyFill="1" applyBorder="1" applyAlignment="1" applyProtection="1">
      <alignment horizontal="center"/>
      <protection hidden="1"/>
    </xf>
    <xf numFmtId="0" fontId="3" fillId="15" borderId="6" xfId="0" applyFont="1" applyFill="1" applyBorder="1" applyProtection="1">
      <protection hidden="1"/>
    </xf>
    <xf numFmtId="0" fontId="3" fillId="15" borderId="10" xfId="0" applyFont="1" applyFill="1" applyBorder="1" applyProtection="1">
      <protection hidden="1"/>
    </xf>
    <xf numFmtId="0" fontId="14" fillId="15" borderId="0" xfId="0" applyFont="1" applyFill="1" applyAlignment="1" applyProtection="1">
      <alignment horizontal="left" vertical="center"/>
      <protection hidden="1"/>
    </xf>
    <xf numFmtId="0" fontId="14" fillId="15" borderId="24"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4" xfId="0" applyFont="1" applyFill="1" applyBorder="1" applyAlignment="1" applyProtection="1">
      <alignment horizontal="center" vertical="center" wrapText="1"/>
      <protection hidden="1"/>
    </xf>
    <xf numFmtId="0" fontId="14"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vertical="center"/>
      <protection hidden="1"/>
    </xf>
    <xf numFmtId="0" fontId="5" fillId="15" borderId="0" xfId="0" applyFont="1" applyFill="1" applyAlignment="1" applyProtection="1">
      <alignment horizontal="left" vertical="center"/>
      <protection hidden="1"/>
    </xf>
    <xf numFmtId="0" fontId="3" fillId="15" borderId="6"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right" indent="1"/>
      <protection hidden="1"/>
    </xf>
    <xf numFmtId="0" fontId="5" fillId="15" borderId="0" xfId="0" applyFont="1" applyFill="1" applyAlignment="1" applyProtection="1">
      <alignment horizontal="center" vertical="center" wrapText="1"/>
      <protection hidden="1"/>
    </xf>
    <xf numFmtId="0" fontId="5" fillId="15"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5" borderId="1" xfId="0" applyFont="1" applyFill="1" applyBorder="1" applyAlignment="1" applyProtection="1">
      <alignment horizontal="center" vertical="top" wrapText="1"/>
      <protection hidden="1"/>
    </xf>
    <xf numFmtId="0" fontId="3" fillId="15" borderId="10" xfId="0" quotePrefix="1" applyFont="1" applyFill="1" applyBorder="1" applyAlignment="1" applyProtection="1">
      <alignment horizontal="right" indent="1"/>
      <protection hidden="1"/>
    </xf>
    <xf numFmtId="0" fontId="7" fillId="15" borderId="0" xfId="0" applyFont="1" applyFill="1" applyAlignment="1" applyProtection="1">
      <alignment horizontal="center" vertical="top" wrapText="1"/>
      <protection hidden="1"/>
    </xf>
    <xf numFmtId="0" fontId="3" fillId="8" borderId="39" xfId="0" applyFont="1" applyFill="1" applyBorder="1" applyAlignment="1" applyProtection="1">
      <alignment horizontal="center" vertical="center" wrapText="1"/>
      <protection hidden="1"/>
    </xf>
    <xf numFmtId="0" fontId="3" fillId="8" borderId="54" xfId="0" applyFont="1" applyFill="1" applyBorder="1" applyAlignment="1" applyProtection="1">
      <alignment horizontal="center" vertical="center" wrapText="1"/>
      <protection hidden="1"/>
    </xf>
    <xf numFmtId="0" fontId="3" fillId="15" borderId="10"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4" xfId="0" applyFont="1" applyFill="1" applyBorder="1" applyAlignment="1" applyProtection="1">
      <alignment horizontal="center" vertical="center" wrapText="1"/>
      <protection hidden="1"/>
    </xf>
    <xf numFmtId="0" fontId="3" fillId="8" borderId="9" xfId="0" applyFont="1" applyFill="1" applyBorder="1" applyAlignment="1" applyProtection="1">
      <alignment horizontal="center" vertical="center" wrapText="1"/>
      <protection hidden="1"/>
    </xf>
    <xf numFmtId="0" fontId="3" fillId="8" borderId="11" xfId="0" applyFont="1" applyFill="1" applyBorder="1" applyAlignment="1" applyProtection="1">
      <alignment horizontal="center" vertical="center" wrapText="1"/>
      <protection hidden="1"/>
    </xf>
    <xf numFmtId="0" fontId="3" fillId="17" borderId="12" xfId="0" applyFont="1" applyFill="1" applyBorder="1" applyAlignment="1" applyProtection="1">
      <alignment vertical="center"/>
      <protection hidden="1"/>
    </xf>
    <xf numFmtId="0" fontId="14" fillId="15" borderId="8" xfId="0" applyFont="1" applyFill="1" applyBorder="1" applyAlignment="1" applyProtection="1">
      <alignment horizontal="center" vertical="center" wrapText="1"/>
      <protection hidden="1"/>
    </xf>
    <xf numFmtId="0" fontId="10" fillId="15" borderId="30" xfId="0" applyFont="1" applyFill="1" applyBorder="1" applyAlignment="1">
      <alignment vertical="center"/>
    </xf>
    <xf numFmtId="0" fontId="0" fillId="15" borderId="8" xfId="0" applyFill="1" applyBorder="1" applyAlignment="1">
      <alignment vertical="center"/>
    </xf>
    <xf numFmtId="0" fontId="0" fillId="15" borderId="14" xfId="0" applyFill="1" applyBorder="1" applyAlignment="1">
      <alignment vertical="center"/>
    </xf>
    <xf numFmtId="0" fontId="46" fillId="15" borderId="3" xfId="0" applyFont="1" applyFill="1" applyBorder="1"/>
    <xf numFmtId="0" fontId="46" fillId="15" borderId="0" xfId="0" applyFont="1" applyFill="1"/>
    <xf numFmtId="0" fontId="5" fillId="15" borderId="3" xfId="0" applyFont="1" applyFill="1" applyBorder="1" applyAlignment="1" applyProtection="1">
      <alignment horizontal="left" vertical="center" wrapText="1"/>
      <protection hidden="1"/>
    </xf>
    <xf numFmtId="0" fontId="14" fillId="15" borderId="30" xfId="0" applyFont="1" applyFill="1" applyBorder="1" applyAlignment="1" applyProtection="1">
      <alignment horizontal="left" vertical="center" wrapText="1"/>
      <protection hidden="1"/>
    </xf>
    <xf numFmtId="0" fontId="14" fillId="15" borderId="3" xfId="0" applyFont="1" applyFill="1" applyBorder="1" applyAlignment="1" applyProtection="1">
      <alignment horizontal="left" vertical="center" wrapText="1"/>
      <protection hidden="1"/>
    </xf>
    <xf numFmtId="0" fontId="14" fillId="15" borderId="9" xfId="0" applyFont="1" applyFill="1" applyBorder="1" applyAlignment="1" applyProtection="1">
      <alignment horizontal="left" vertical="center" wrapText="1"/>
      <protection hidden="1"/>
    </xf>
    <xf numFmtId="0" fontId="10" fillId="15" borderId="0" xfId="0" applyFont="1" applyFill="1" applyAlignment="1">
      <alignment horizontal="right" indent="1"/>
    </xf>
    <xf numFmtId="0" fontId="14" fillId="15" borderId="0" xfId="0" quotePrefix="1" applyFont="1" applyFill="1"/>
    <xf numFmtId="0" fontId="110" fillId="15" borderId="0" xfId="0" applyFont="1" applyFill="1"/>
    <xf numFmtId="0" fontId="5" fillId="15" borderId="0" xfId="0" applyFont="1" applyFill="1" applyAlignment="1" applyProtection="1">
      <alignment horizontal="left"/>
      <protection hidden="1"/>
    </xf>
    <xf numFmtId="0" fontId="10" fillId="15" borderId="0" xfId="0" applyFont="1" applyFill="1"/>
    <xf numFmtId="4" fontId="5" fillId="32" borderId="83" xfId="0" applyNumberFormat="1" applyFont="1" applyFill="1" applyBorder="1" applyAlignment="1" applyProtection="1">
      <alignment horizontal="center"/>
      <protection locked="0"/>
    </xf>
    <xf numFmtId="0" fontId="5" fillId="2" borderId="0" xfId="0" applyFont="1" applyFill="1" applyAlignment="1" applyProtection="1">
      <alignment horizontal="right" vertical="center"/>
      <protection hidden="1"/>
    </xf>
    <xf numFmtId="0" fontId="9" fillId="15" borderId="0" xfId="0" applyFont="1" applyFill="1" applyAlignment="1" applyProtection="1">
      <alignment vertical="top"/>
      <protection hidden="1"/>
    </xf>
    <xf numFmtId="0" fontId="9" fillId="0" borderId="0" xfId="0" applyFont="1" applyAlignment="1" applyProtection="1">
      <alignment wrapText="1"/>
      <protection hidden="1"/>
    </xf>
    <xf numFmtId="0" fontId="5" fillId="15" borderId="0" xfId="0" applyFont="1" applyFill="1" applyAlignment="1">
      <alignment vertical="center"/>
    </xf>
    <xf numFmtId="0" fontId="122" fillId="2" borderId="1" xfId="0" applyFont="1" applyFill="1" applyBorder="1" applyProtection="1">
      <protection hidden="1"/>
    </xf>
    <xf numFmtId="0" fontId="112" fillId="15" borderId="0" xfId="0" applyFont="1" applyFill="1" applyProtection="1">
      <protection hidden="1"/>
    </xf>
    <xf numFmtId="0" fontId="110" fillId="15" borderId="0" xfId="0" applyFont="1" applyFill="1" applyAlignment="1">
      <alignment wrapText="1"/>
    </xf>
    <xf numFmtId="0" fontId="112" fillId="2" borderId="0" xfId="0" applyFont="1" applyFill="1" applyProtection="1">
      <protection hidden="1"/>
    </xf>
    <xf numFmtId="0" fontId="126" fillId="2" borderId="0" xfId="0" applyFont="1" applyFill="1" applyAlignment="1" applyProtection="1">
      <alignment horizontal="right" vertical="center"/>
      <protection hidden="1"/>
    </xf>
    <xf numFmtId="0" fontId="8" fillId="15" borderId="0" xfId="0" applyFont="1" applyFill="1" applyAlignment="1" applyProtection="1">
      <alignment vertical="center"/>
      <protection hidden="1"/>
    </xf>
    <xf numFmtId="14" fontId="5" fillId="2" borderId="6"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6" xfId="0" applyFont="1" applyFill="1" applyBorder="1" applyAlignment="1" applyProtection="1">
      <alignment horizontal="center" wrapText="1"/>
      <protection hidden="1"/>
    </xf>
    <xf numFmtId="168" fontId="7" fillId="27" borderId="66" xfId="0" applyNumberFormat="1" applyFont="1" applyFill="1" applyBorder="1" applyAlignment="1" applyProtection="1">
      <alignment horizontal="right"/>
      <protection hidden="1"/>
    </xf>
    <xf numFmtId="168" fontId="7" fillId="27" borderId="58" xfId="0" applyNumberFormat="1" applyFont="1" applyFill="1" applyBorder="1" applyAlignment="1" applyProtection="1">
      <alignment horizontal="right"/>
      <protection hidden="1"/>
    </xf>
    <xf numFmtId="168" fontId="7" fillId="27" borderId="110" xfId="0" applyNumberFormat="1" applyFont="1" applyFill="1" applyBorder="1" applyAlignment="1" applyProtection="1">
      <alignment horizontal="right"/>
      <protection hidden="1"/>
    </xf>
    <xf numFmtId="168" fontId="7" fillId="16" borderId="43" xfId="0" applyNumberFormat="1" applyFont="1" applyFill="1" applyBorder="1" applyAlignment="1" applyProtection="1">
      <alignment horizontal="right" wrapText="1"/>
      <protection locked="0"/>
    </xf>
    <xf numFmtId="168" fontId="7" fillId="16" borderId="12" xfId="0" applyNumberFormat="1" applyFont="1" applyFill="1" applyBorder="1" applyAlignment="1" applyProtection="1">
      <alignment horizontal="right" wrapText="1"/>
      <protection locked="0"/>
    </xf>
    <xf numFmtId="168" fontId="7" fillId="16" borderId="51" xfId="0" applyNumberFormat="1" applyFont="1" applyFill="1" applyBorder="1" applyAlignment="1" applyProtection="1">
      <alignment horizontal="right" wrapText="1"/>
      <protection locked="0"/>
    </xf>
    <xf numFmtId="188" fontId="7" fillId="16" borderId="46" xfId="0" applyNumberFormat="1" applyFont="1" applyFill="1" applyBorder="1" applyAlignment="1" applyProtection="1">
      <alignment horizontal="center" wrapText="1"/>
      <protection locked="0"/>
    </xf>
    <xf numFmtId="188" fontId="7" fillId="16" borderId="50" xfId="0" applyNumberFormat="1" applyFont="1" applyFill="1" applyBorder="1" applyAlignment="1" applyProtection="1">
      <alignment horizontal="center" wrapText="1"/>
      <protection locked="0"/>
    </xf>
    <xf numFmtId="168" fontId="7" fillId="27" borderId="43" xfId="0" applyNumberFormat="1" applyFont="1" applyFill="1" applyBorder="1" applyAlignment="1" applyProtection="1">
      <alignment horizontal="right"/>
      <protection hidden="1"/>
    </xf>
    <xf numFmtId="168" fontId="7" fillId="27" borderId="12" xfId="0" applyNumberFormat="1" applyFont="1" applyFill="1" applyBorder="1" applyAlignment="1" applyProtection="1">
      <alignment horizontal="right"/>
      <protection hidden="1"/>
    </xf>
    <xf numFmtId="168" fontId="7" fillId="27" borderId="51" xfId="0" applyNumberFormat="1" applyFont="1" applyFill="1" applyBorder="1" applyAlignment="1" applyProtection="1">
      <alignment horizontal="right"/>
      <protection hidden="1"/>
    </xf>
    <xf numFmtId="0" fontId="110" fillId="0" borderId="0" xfId="0" applyFont="1" applyAlignment="1" applyProtection="1">
      <alignment horizontal="left" vertical="top"/>
      <protection hidden="1"/>
    </xf>
    <xf numFmtId="0" fontId="174" fillId="3" borderId="25" xfId="0" applyFont="1" applyFill="1" applyBorder="1" applyAlignment="1" applyProtection="1">
      <alignment vertical="center"/>
      <protection hidden="1"/>
    </xf>
    <xf numFmtId="0" fontId="56" fillId="2" borderId="109" xfId="0" applyFont="1" applyFill="1" applyBorder="1" applyAlignment="1" applyProtection="1">
      <alignment horizontal="right"/>
      <protection hidden="1"/>
    </xf>
    <xf numFmtId="0" fontId="56" fillId="2" borderId="46" xfId="0" applyFont="1" applyFill="1" applyBorder="1" applyAlignment="1" applyProtection="1">
      <alignment horizontal="right"/>
      <protection hidden="1"/>
    </xf>
    <xf numFmtId="0" fontId="56" fillId="2" borderId="50" xfId="0" applyFont="1" applyFill="1" applyBorder="1" applyAlignment="1" applyProtection="1">
      <alignment horizontal="right"/>
      <protection hidden="1"/>
    </xf>
    <xf numFmtId="0" fontId="3" fillId="2" borderId="40" xfId="0" applyFont="1" applyFill="1" applyBorder="1" applyProtection="1">
      <protection hidden="1"/>
    </xf>
    <xf numFmtId="0" fontId="3" fillId="2" borderId="41" xfId="0" applyFont="1" applyFill="1" applyBorder="1" applyProtection="1">
      <protection hidden="1"/>
    </xf>
    <xf numFmtId="0" fontId="108" fillId="2" borderId="41" xfId="0" applyFont="1" applyFill="1" applyBorder="1" applyAlignment="1" applyProtection="1">
      <alignment vertical="top" wrapText="1"/>
      <protection hidden="1"/>
    </xf>
    <xf numFmtId="0" fontId="3" fillId="2" borderId="23" xfId="0" applyFont="1" applyFill="1" applyBorder="1" applyAlignment="1" applyProtection="1">
      <alignment horizontal="right"/>
      <protection hidden="1"/>
    </xf>
    <xf numFmtId="0" fontId="3" fillId="2" borderId="5" xfId="0" applyFont="1" applyFill="1" applyBorder="1" applyAlignment="1" applyProtection="1">
      <alignment horizontal="right"/>
      <protection hidden="1"/>
    </xf>
    <xf numFmtId="0" fontId="3" fillId="2" borderId="66" xfId="0" applyFont="1" applyFill="1" applyBorder="1" applyAlignment="1" applyProtection="1">
      <alignment horizontal="right"/>
      <protection hidden="1"/>
    </xf>
    <xf numFmtId="0" fontId="3" fillId="2" borderId="58" xfId="0" applyFont="1" applyFill="1" applyBorder="1" applyAlignment="1" applyProtection="1">
      <alignment horizontal="right"/>
      <protection hidden="1"/>
    </xf>
    <xf numFmtId="0" fontId="3" fillId="2" borderId="110" xfId="0" applyFont="1" applyFill="1" applyBorder="1" applyAlignment="1" applyProtection="1">
      <alignment horizontal="right"/>
      <protection hidden="1"/>
    </xf>
    <xf numFmtId="0" fontId="3" fillId="2" borderId="131" xfId="0" applyFont="1" applyFill="1" applyBorder="1" applyAlignment="1" applyProtection="1">
      <alignment horizontal="center" wrapText="1"/>
      <protection hidden="1"/>
    </xf>
    <xf numFmtId="0" fontId="3" fillId="2" borderId="42" xfId="0" applyFont="1" applyFill="1" applyBorder="1" applyProtection="1">
      <protection hidden="1"/>
    </xf>
    <xf numFmtId="0" fontId="129" fillId="15" borderId="0" xfId="0" applyFont="1" applyFill="1" applyProtection="1">
      <protection hidden="1"/>
    </xf>
    <xf numFmtId="3" fontId="100" fillId="15" borderId="30" xfId="0" applyNumberFormat="1" applyFont="1" applyFill="1" applyBorder="1" applyAlignment="1" applyProtection="1">
      <alignment horizontal="center"/>
      <protection hidden="1"/>
    </xf>
    <xf numFmtId="4" fontId="129" fillId="15" borderId="14" xfId="0" applyNumberFormat="1" applyFont="1" applyFill="1" applyBorder="1" applyProtection="1">
      <protection hidden="1"/>
    </xf>
    <xf numFmtId="3" fontId="100" fillId="15" borderId="3" xfId="0" applyNumberFormat="1" applyFont="1" applyFill="1" applyBorder="1" applyAlignment="1" applyProtection="1">
      <alignment horizontal="center"/>
      <protection hidden="1"/>
    </xf>
    <xf numFmtId="4" fontId="129" fillId="15" borderId="24" xfId="0" applyNumberFormat="1" applyFont="1" applyFill="1" applyBorder="1" applyProtection="1">
      <protection hidden="1"/>
    </xf>
    <xf numFmtId="3" fontId="129" fillId="15" borderId="3" xfId="0" applyNumberFormat="1" applyFont="1" applyFill="1" applyBorder="1" applyProtection="1">
      <protection hidden="1"/>
    </xf>
    <xf numFmtId="4" fontId="129" fillId="15" borderId="24" xfId="0" applyNumberFormat="1" applyFont="1" applyFill="1" applyBorder="1" applyAlignment="1" applyProtection="1">
      <alignment vertical="center"/>
      <protection hidden="1"/>
    </xf>
    <xf numFmtId="3" fontId="129" fillId="15" borderId="9" xfId="0" applyNumberFormat="1" applyFont="1" applyFill="1" applyBorder="1" applyProtection="1">
      <protection hidden="1"/>
    </xf>
    <xf numFmtId="4" fontId="129" fillId="15" borderId="11" xfId="0" applyNumberFormat="1" applyFont="1" applyFill="1" applyBorder="1" applyProtection="1">
      <protection hidden="1"/>
    </xf>
    <xf numFmtId="0" fontId="129" fillId="15" borderId="8" xfId="0" applyFont="1" applyFill="1" applyBorder="1" applyAlignment="1" applyProtection="1">
      <alignment horizontal="center"/>
      <protection hidden="1"/>
    </xf>
    <xf numFmtId="0" fontId="129" fillId="15" borderId="0" xfId="0" applyFont="1" applyFill="1" applyAlignment="1" applyProtection="1">
      <alignment horizontal="center"/>
      <protection hidden="1"/>
    </xf>
    <xf numFmtId="0" fontId="129" fillId="15" borderId="1" xfId="0" applyFont="1" applyFill="1" applyBorder="1" applyAlignment="1" applyProtection="1">
      <alignment horizontal="center"/>
      <protection hidden="1"/>
    </xf>
    <xf numFmtId="4" fontId="176" fillId="15" borderId="0" xfId="0" applyNumberFormat="1" applyFont="1" applyFill="1" applyProtection="1">
      <protection hidden="1"/>
    </xf>
    <xf numFmtId="4" fontId="176" fillId="15" borderId="0" xfId="0" applyNumberFormat="1" applyFont="1" applyFill="1" applyAlignment="1" applyProtection="1">
      <alignment horizontal="center"/>
      <protection hidden="1"/>
    </xf>
    <xf numFmtId="0" fontId="129" fillId="15" borderId="125" xfId="0" applyFont="1" applyFill="1" applyBorder="1" applyProtection="1">
      <protection hidden="1"/>
    </xf>
    <xf numFmtId="0" fontId="97" fillId="15" borderId="126" xfId="0" applyFont="1" applyFill="1" applyBorder="1" applyProtection="1">
      <protection hidden="1"/>
    </xf>
    <xf numFmtId="0" fontId="129" fillId="15" borderId="127" xfId="0" applyFont="1" applyFill="1" applyBorder="1" applyProtection="1">
      <protection hidden="1"/>
    </xf>
    <xf numFmtId="0" fontId="129" fillId="15" borderId="0" xfId="0" quotePrefix="1" applyFont="1" applyFill="1" applyAlignment="1" applyProtection="1">
      <alignment horizontal="center"/>
      <protection hidden="1"/>
    </xf>
    <xf numFmtId="0" fontId="97" fillId="15" borderId="128" xfId="0" applyFont="1" applyFill="1" applyBorder="1" applyProtection="1">
      <protection hidden="1"/>
    </xf>
    <xf numFmtId="4" fontId="129" fillId="15" borderId="0" xfId="0" applyNumberFormat="1" applyFont="1" applyFill="1" applyAlignment="1" applyProtection="1">
      <alignment horizontal="center"/>
      <protection hidden="1"/>
    </xf>
    <xf numFmtId="0" fontId="177" fillId="15" borderId="0" xfId="0" applyFont="1" applyFill="1" applyProtection="1">
      <protection hidden="1"/>
    </xf>
    <xf numFmtId="0" fontId="177" fillId="15" borderId="0" xfId="0" applyFont="1" applyFill="1" applyAlignment="1" applyProtection="1">
      <alignment horizontal="center"/>
      <protection hidden="1"/>
    </xf>
    <xf numFmtId="0" fontId="97" fillId="15" borderId="44" xfId="0" applyFont="1" applyFill="1" applyBorder="1" applyProtection="1">
      <protection hidden="1"/>
    </xf>
    <xf numFmtId="0" fontId="97" fillId="15" borderId="130" xfId="0" applyFont="1" applyFill="1" applyBorder="1" applyProtection="1">
      <protection hidden="1"/>
    </xf>
    <xf numFmtId="0" fontId="97" fillId="15" borderId="133" xfId="0" applyFont="1" applyFill="1" applyBorder="1" applyAlignment="1" applyProtection="1">
      <alignment horizontal="centerContinuous"/>
      <protection hidden="1"/>
    </xf>
    <xf numFmtId="0" fontId="97" fillId="15" borderId="134" xfId="0" applyFont="1" applyFill="1" applyBorder="1" applyAlignment="1" applyProtection="1">
      <alignment horizontal="centerContinuous"/>
      <protection hidden="1"/>
    </xf>
    <xf numFmtId="0" fontId="136" fillId="0" borderId="0" xfId="0" applyFont="1" applyAlignment="1" applyProtection="1">
      <alignment vertical="center"/>
      <protection hidden="1"/>
    </xf>
    <xf numFmtId="3" fontId="136" fillId="0" borderId="0" xfId="0" applyNumberFormat="1" applyFont="1" applyAlignment="1" applyProtection="1">
      <alignment vertical="center"/>
      <protection hidden="1"/>
    </xf>
    <xf numFmtId="3" fontId="137" fillId="0" borderId="0" xfId="0" applyNumberFormat="1" applyFont="1" applyAlignment="1" applyProtection="1">
      <alignment vertical="center"/>
      <protection hidden="1"/>
    </xf>
    <xf numFmtId="0" fontId="136" fillId="0" borderId="0" xfId="0" applyFont="1" applyProtection="1">
      <protection hidden="1"/>
    </xf>
    <xf numFmtId="0" fontId="178" fillId="15" borderId="127" xfId="0" applyFont="1" applyFill="1" applyBorder="1" applyAlignment="1" applyProtection="1">
      <alignment horizontal="right"/>
      <protection hidden="1"/>
    </xf>
    <xf numFmtId="0" fontId="178" fillId="15" borderId="127" xfId="0" applyFont="1" applyFill="1" applyBorder="1" applyProtection="1">
      <protection hidden="1"/>
    </xf>
    <xf numFmtId="0" fontId="179" fillId="15" borderId="129" xfId="0" applyFont="1" applyFill="1" applyBorder="1" applyProtection="1">
      <protection hidden="1"/>
    </xf>
    <xf numFmtId="0" fontId="178" fillId="15" borderId="124" xfId="0" quotePrefix="1" applyFont="1" applyFill="1" applyBorder="1" applyAlignment="1" applyProtection="1">
      <alignment horizontal="center"/>
      <protection hidden="1"/>
    </xf>
    <xf numFmtId="0" fontId="178" fillId="15" borderId="0" xfId="0" quotePrefix="1" applyFont="1" applyFill="1" applyAlignment="1" applyProtection="1">
      <alignment horizontal="center"/>
      <protection hidden="1"/>
    </xf>
    <xf numFmtId="0" fontId="0" fillId="15" borderId="0" xfId="0" applyFill="1" applyAlignment="1" applyProtection="1">
      <alignment horizontal="center" vertical="center"/>
      <protection hidden="1"/>
    </xf>
    <xf numFmtId="3" fontId="0" fillId="15" borderId="0" xfId="0" applyNumberFormat="1" applyFill="1" applyAlignment="1" applyProtection="1">
      <alignment horizontal="center"/>
      <protection hidden="1"/>
    </xf>
    <xf numFmtId="3" fontId="0" fillId="15" borderId="20" xfId="0" applyNumberFormat="1" applyFill="1" applyBorder="1" applyAlignment="1" applyProtection="1">
      <alignment horizontal="center"/>
      <protection hidden="1"/>
    </xf>
    <xf numFmtId="3" fontId="0" fillId="15" borderId="4" xfId="0" applyNumberFormat="1" applyFill="1" applyBorder="1" applyAlignment="1" applyProtection="1">
      <alignment horizontal="center"/>
      <protection hidden="1"/>
    </xf>
    <xf numFmtId="3" fontId="0" fillId="15" borderId="22" xfId="0" applyNumberFormat="1" applyFill="1" applyBorder="1" applyAlignment="1" applyProtection="1">
      <alignment horizontal="center"/>
      <protection hidden="1"/>
    </xf>
    <xf numFmtId="0" fontId="0" fillId="15" borderId="0" xfId="0" applyFill="1" applyProtection="1">
      <protection locked="0"/>
    </xf>
    <xf numFmtId="0" fontId="5" fillId="15" borderId="109" xfId="0" applyFont="1" applyFill="1" applyBorder="1" applyProtection="1">
      <protection hidden="1"/>
    </xf>
    <xf numFmtId="0" fontId="5" fillId="15" borderId="66" xfId="0" applyFont="1" applyFill="1" applyBorder="1" applyProtection="1">
      <protection hidden="1"/>
    </xf>
    <xf numFmtId="0" fontId="5" fillId="15" borderId="46" xfId="0" applyFont="1" applyFill="1" applyBorder="1" applyProtection="1">
      <protection hidden="1"/>
    </xf>
    <xf numFmtId="0" fontId="5" fillId="15" borderId="58" xfId="0" applyFont="1" applyFill="1" applyBorder="1" applyProtection="1">
      <protection hidden="1"/>
    </xf>
    <xf numFmtId="0" fontId="5" fillId="15" borderId="46" xfId="0" applyFont="1" applyFill="1" applyBorder="1" applyAlignment="1" applyProtection="1">
      <alignment horizontal="center"/>
      <protection hidden="1"/>
    </xf>
    <xf numFmtId="0" fontId="5" fillId="15" borderId="58" xfId="0" applyFont="1" applyFill="1" applyBorder="1" applyAlignment="1" applyProtection="1">
      <alignment horizontal="center"/>
      <protection hidden="1"/>
    </xf>
    <xf numFmtId="0" fontId="5" fillId="15" borderId="50" xfId="0" applyFont="1" applyFill="1" applyBorder="1" applyProtection="1">
      <protection hidden="1"/>
    </xf>
    <xf numFmtId="0" fontId="5" fillId="15" borderId="110" xfId="0" applyFont="1" applyFill="1" applyBorder="1" applyProtection="1">
      <protection hidden="1"/>
    </xf>
    <xf numFmtId="0" fontId="112" fillId="2" borderId="120" xfId="0" applyFont="1" applyFill="1" applyBorder="1" applyProtection="1">
      <protection hidden="1"/>
    </xf>
    <xf numFmtId="0" fontId="110" fillId="2" borderId="3" xfId="0" applyFont="1" applyFill="1" applyBorder="1" applyProtection="1">
      <protection hidden="1"/>
    </xf>
    <xf numFmtId="0" fontId="3" fillId="15" borderId="3" xfId="0" applyFont="1" applyFill="1" applyBorder="1" applyAlignment="1" applyProtection="1">
      <alignment horizontal="center" vertical="center"/>
      <protection locked="0"/>
    </xf>
    <xf numFmtId="0" fontId="5" fillId="0" borderId="1" xfId="0" applyFont="1" applyBorder="1"/>
    <xf numFmtId="0" fontId="5" fillId="15" borderId="8" xfId="0" applyFont="1" applyFill="1" applyBorder="1"/>
    <xf numFmtId="0" fontId="5" fillId="15" borderId="14" xfId="0" applyFont="1" applyFill="1" applyBorder="1"/>
    <xf numFmtId="0" fontId="5" fillId="15" borderId="3" xfId="0" applyFont="1" applyFill="1" applyBorder="1"/>
    <xf numFmtId="0" fontId="5" fillId="15" borderId="24" xfId="0" applyFont="1" applyFill="1" applyBorder="1"/>
    <xf numFmtId="0" fontId="5" fillId="15" borderId="9" xfId="0" applyFont="1" applyFill="1" applyBorder="1"/>
    <xf numFmtId="0" fontId="5" fillId="15" borderId="1" xfId="0" applyFont="1" applyFill="1" applyBorder="1"/>
    <xf numFmtId="0" fontId="5" fillId="15" borderId="11" xfId="0" applyFont="1" applyFill="1" applyBorder="1"/>
    <xf numFmtId="0" fontId="50" fillId="9" borderId="25" xfId="0" applyFont="1" applyFill="1" applyBorder="1" applyAlignment="1" applyProtection="1">
      <alignment horizontal="center"/>
      <protection hidden="1"/>
    </xf>
    <xf numFmtId="0" fontId="15" fillId="15" borderId="1" xfId="0" applyFont="1" applyFill="1" applyBorder="1" applyAlignment="1">
      <alignment wrapText="1"/>
    </xf>
    <xf numFmtId="0" fontId="3" fillId="14" borderId="25" xfId="0" applyFont="1" applyFill="1" applyBorder="1" applyAlignment="1" applyProtection="1">
      <alignment horizontal="center"/>
      <protection hidden="1"/>
    </xf>
    <xf numFmtId="0" fontId="3" fillId="14" borderId="8" xfId="0" applyFont="1" applyFill="1" applyBorder="1" applyAlignment="1" applyProtection="1">
      <alignment horizontal="center"/>
      <protection hidden="1"/>
    </xf>
    <xf numFmtId="0" fontId="7" fillId="14" borderId="8" xfId="0" applyFont="1" applyFill="1" applyBorder="1" applyAlignment="1" applyProtection="1">
      <alignment horizontal="left" wrapText="1" indent="1"/>
      <protection hidden="1"/>
    </xf>
    <xf numFmtId="0" fontId="7" fillId="15" borderId="8"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5" borderId="0" xfId="0" applyFill="1" applyAlignment="1">
      <alignment vertical="top"/>
    </xf>
    <xf numFmtId="0" fontId="3" fillId="20" borderId="12" xfId="0" applyFont="1" applyFill="1" applyBorder="1" applyAlignment="1" applyProtection="1">
      <alignment horizontal="center" vertical="center"/>
      <protection locked="0"/>
    </xf>
    <xf numFmtId="0" fontId="3" fillId="14" borderId="0" xfId="0" applyFont="1" applyFill="1" applyAlignment="1" applyProtection="1">
      <alignment horizontal="center" vertical="center"/>
      <protection locked="0"/>
    </xf>
    <xf numFmtId="1" fontId="126" fillId="3" borderId="0" xfId="0" applyNumberFormat="1" applyFont="1" applyFill="1" applyAlignment="1" applyProtection="1">
      <alignment horizontal="center"/>
      <protection hidden="1"/>
    </xf>
    <xf numFmtId="0" fontId="3" fillId="3" borderId="30" xfId="0" applyFont="1" applyFill="1" applyBorder="1" applyAlignment="1" applyProtection="1">
      <alignment horizontal="center"/>
      <protection hidden="1"/>
    </xf>
    <xf numFmtId="4" fontId="9" fillId="7" borderId="6" xfId="0" applyNumberFormat="1" applyFont="1" applyFill="1" applyBorder="1" applyAlignment="1" applyProtection="1">
      <alignment horizontal="center"/>
      <protection hidden="1"/>
    </xf>
    <xf numFmtId="4" fontId="9" fillId="7" borderId="12" xfId="0" applyNumberFormat="1" applyFont="1" applyFill="1" applyBorder="1" applyAlignment="1" applyProtection="1">
      <alignment horizontal="center"/>
      <protection hidden="1"/>
    </xf>
    <xf numFmtId="0" fontId="3" fillId="14" borderId="1" xfId="0" applyFont="1" applyFill="1" applyBorder="1" applyAlignment="1" applyProtection="1">
      <alignment horizontal="center"/>
      <protection hidden="1"/>
    </xf>
    <xf numFmtId="37" fontId="110" fillId="3" borderId="30" xfId="0" applyNumberFormat="1" applyFont="1" applyFill="1" applyBorder="1" applyAlignment="1" applyProtection="1">
      <alignment horizontal="right"/>
      <protection hidden="1"/>
    </xf>
    <xf numFmtId="37" fontId="110"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180" fillId="5" borderId="0" xfId="0" applyFont="1" applyFill="1" applyAlignment="1" applyProtection="1">
      <alignment horizontal="left"/>
      <protection hidden="1"/>
    </xf>
    <xf numFmtId="4" fontId="3" fillId="3" borderId="24" xfId="0" applyNumberFormat="1" applyFont="1" applyFill="1" applyBorder="1" applyAlignment="1" applyProtection="1">
      <alignment horizontal="right" vertical="center"/>
      <protection hidden="1"/>
    </xf>
    <xf numFmtId="0" fontId="181"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10" fillId="3" borderId="30" xfId="0" applyNumberFormat="1" applyFont="1" applyFill="1" applyBorder="1" applyAlignment="1" applyProtection="1">
      <alignment horizontal="right"/>
      <protection hidden="1"/>
    </xf>
    <xf numFmtId="0" fontId="111" fillId="5" borderId="0" xfId="0" applyFont="1" applyFill="1" applyAlignment="1">
      <alignment horizontal="left" vertical="center"/>
    </xf>
    <xf numFmtId="4" fontId="110" fillId="0" borderId="0" xfId="0" applyNumberFormat="1" applyFont="1" applyProtection="1">
      <protection hidden="1"/>
    </xf>
    <xf numFmtId="4" fontId="110" fillId="0" borderId="0" xfId="0" applyNumberFormat="1" applyFont="1" applyAlignment="1" applyProtection="1">
      <alignment horizontal="right"/>
      <protection hidden="1"/>
    </xf>
    <xf numFmtId="4" fontId="110" fillId="0" borderId="0" xfId="0" applyNumberFormat="1" applyFont="1" applyAlignment="1" applyProtection="1">
      <alignment horizontal="center"/>
      <protection hidden="1"/>
    </xf>
    <xf numFmtId="3" fontId="182" fillId="0" borderId="7" xfId="0" applyNumberFormat="1" applyFont="1" applyBorder="1" applyAlignment="1" applyProtection="1">
      <alignment horizontal="center" wrapText="1"/>
      <protection hidden="1"/>
    </xf>
    <xf numFmtId="0" fontId="179" fillId="0" borderId="0" xfId="0" applyFont="1" applyProtection="1">
      <protection hidden="1"/>
    </xf>
    <xf numFmtId="3" fontId="178" fillId="0" borderId="0" xfId="0" applyNumberFormat="1" applyFont="1" applyProtection="1">
      <protection hidden="1"/>
    </xf>
    <xf numFmtId="0" fontId="110" fillId="15" borderId="0" xfId="0" applyFont="1" applyFill="1" applyAlignment="1" applyProtection="1">
      <alignment horizontal="center" vertical="center"/>
      <protection hidden="1"/>
    </xf>
    <xf numFmtId="0" fontId="122" fillId="2" borderId="45"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4" xfId="0" applyFont="1" applyFill="1" applyBorder="1" applyAlignment="1" applyProtection="1">
      <alignment horizontal="left" indent="1"/>
      <protection hidden="1"/>
    </xf>
    <xf numFmtId="4" fontId="5" fillId="15" borderId="3" xfId="0" applyNumberFormat="1" applyFont="1" applyFill="1" applyBorder="1" applyAlignment="1" applyProtection="1">
      <alignment horizontal="left" indent="1"/>
      <protection hidden="1"/>
    </xf>
    <xf numFmtId="0" fontId="109" fillId="0" borderId="0" xfId="0" applyFont="1"/>
    <xf numFmtId="0" fontId="164" fillId="15" borderId="0" xfId="0" applyFont="1" applyFill="1" applyAlignment="1" applyProtection="1">
      <alignment vertical="center"/>
      <protection hidden="1"/>
    </xf>
    <xf numFmtId="0" fontId="0" fillId="8" borderId="71" xfId="0" applyFill="1" applyBorder="1" applyProtection="1">
      <protection hidden="1"/>
    </xf>
    <xf numFmtId="0" fontId="0" fillId="8" borderId="16" xfId="0" applyFill="1" applyBorder="1" applyProtection="1">
      <protection hidden="1"/>
    </xf>
    <xf numFmtId="0" fontId="0" fillId="8" borderId="32" xfId="0" applyFill="1" applyBorder="1" applyProtection="1">
      <protection hidden="1"/>
    </xf>
    <xf numFmtId="0" fontId="0" fillId="8" borderId="100" xfId="0" applyFill="1" applyBorder="1" applyProtection="1">
      <protection hidden="1"/>
    </xf>
    <xf numFmtId="0" fontId="144" fillId="15" borderId="0" xfId="0" applyFont="1" applyFill="1" applyAlignment="1" applyProtection="1">
      <alignment horizontal="center" vertical="center"/>
      <protection hidden="1"/>
    </xf>
    <xf numFmtId="0" fontId="0" fillId="8" borderId="75" xfId="0" applyFill="1" applyBorder="1" applyProtection="1">
      <protection hidden="1"/>
    </xf>
    <xf numFmtId="0" fontId="10" fillId="15" borderId="0" xfId="0" applyFont="1" applyFill="1" applyAlignment="1" applyProtection="1">
      <alignment horizontal="center"/>
      <protection hidden="1"/>
    </xf>
    <xf numFmtId="0" fontId="3" fillId="0" borderId="0" xfId="0" applyFont="1" applyAlignment="1" applyProtection="1">
      <alignment horizontal="center"/>
      <protection hidden="1"/>
    </xf>
    <xf numFmtId="0" fontId="0" fillId="8" borderId="72" xfId="0" applyFill="1" applyBorder="1" applyProtection="1">
      <protection hidden="1"/>
    </xf>
    <xf numFmtId="0" fontId="0" fillId="8" borderId="13" xfId="0" applyFill="1" applyBorder="1" applyProtection="1">
      <protection hidden="1"/>
    </xf>
    <xf numFmtId="0" fontId="0" fillId="8" borderId="33" xfId="0" applyFill="1" applyBorder="1" applyProtection="1">
      <protection hidden="1"/>
    </xf>
    <xf numFmtId="0" fontId="11" fillId="15" borderId="0" xfId="0" applyFont="1" applyFill="1" applyAlignment="1" applyProtection="1">
      <alignment horizontal="center" vertical="center"/>
      <protection hidden="1"/>
    </xf>
    <xf numFmtId="0" fontId="167" fillId="15" borderId="0" xfId="0" applyFont="1" applyFill="1" applyProtection="1">
      <protection hidden="1"/>
    </xf>
    <xf numFmtId="0" fontId="122" fillId="8" borderId="0" xfId="0" applyFont="1" applyFill="1" applyAlignment="1" applyProtection="1">
      <alignment horizontal="center"/>
      <protection hidden="1"/>
    </xf>
    <xf numFmtId="0" fontId="122" fillId="8" borderId="0" xfId="0" applyFont="1" applyFill="1" applyAlignment="1" applyProtection="1">
      <alignment horizontal="center" vertical="center"/>
      <protection hidden="1"/>
    </xf>
    <xf numFmtId="0" fontId="122" fillId="8" borderId="0" xfId="0" applyFont="1" applyFill="1" applyAlignment="1" applyProtection="1">
      <alignment horizontal="center" vertical="top"/>
      <protection hidden="1"/>
    </xf>
    <xf numFmtId="39" fontId="8" fillId="3" borderId="4" xfId="0" applyNumberFormat="1" applyFont="1" applyFill="1" applyBorder="1" applyAlignment="1" applyProtection="1">
      <alignment horizontal="right"/>
      <protection hidden="1"/>
    </xf>
    <xf numFmtId="0" fontId="109" fillId="15" borderId="0" xfId="0" applyFont="1" applyFill="1"/>
    <xf numFmtId="0" fontId="14" fillId="2" borderId="1" xfId="0" applyFont="1" applyFill="1" applyBorder="1" applyAlignment="1" applyProtection="1">
      <alignment horizontal="center" wrapText="1"/>
      <protection hidden="1"/>
    </xf>
    <xf numFmtId="0" fontId="20" fillId="2" borderId="137" xfId="0" applyFont="1" applyFill="1" applyBorder="1" applyAlignment="1" applyProtection="1">
      <alignment horizontal="left" vertical="center"/>
      <protection hidden="1"/>
    </xf>
    <xf numFmtId="0" fontId="122" fillId="2" borderId="137" xfId="0" applyFont="1" applyFill="1" applyBorder="1" applyAlignment="1" applyProtection="1">
      <alignment horizontal="left"/>
      <protection hidden="1"/>
    </xf>
    <xf numFmtId="0" fontId="109" fillId="15" borderId="0" xfId="0" applyFont="1" applyFill="1" applyAlignment="1">
      <alignment vertical="top"/>
    </xf>
    <xf numFmtId="4" fontId="109" fillId="0" borderId="0" xfId="0" applyNumberFormat="1" applyFont="1" applyAlignment="1" applyProtection="1">
      <alignment vertical="top"/>
      <protection hidden="1"/>
    </xf>
    <xf numFmtId="0" fontId="108" fillId="2" borderId="0" xfId="0" applyFont="1" applyFill="1" applyAlignment="1" applyProtection="1">
      <alignment vertical="top"/>
      <protection hidden="1"/>
    </xf>
    <xf numFmtId="0" fontId="20" fillId="15" borderId="137" xfId="0" applyFont="1" applyFill="1" applyBorder="1" applyAlignment="1" applyProtection="1">
      <alignment horizontal="left" vertical="center"/>
      <protection hidden="1"/>
    </xf>
    <xf numFmtId="0" fontId="122" fillId="15" borderId="137" xfId="0" applyFont="1" applyFill="1" applyBorder="1" applyAlignment="1" applyProtection="1">
      <alignment horizontal="left"/>
      <protection hidden="1"/>
    </xf>
    <xf numFmtId="0" fontId="0" fillId="15" borderId="137" xfId="0" applyFill="1" applyBorder="1" applyAlignment="1" applyProtection="1">
      <alignment vertical="center" wrapText="1"/>
      <protection hidden="1"/>
    </xf>
    <xf numFmtId="0" fontId="0" fillId="15" borderId="137" xfId="0" applyFill="1" applyBorder="1"/>
    <xf numFmtId="0" fontId="19" fillId="2" borderId="45" xfId="0" applyFont="1" applyFill="1" applyBorder="1" applyAlignment="1" applyProtection="1">
      <alignment horizontal="left" vertical="center" wrapText="1"/>
      <protection hidden="1"/>
    </xf>
    <xf numFmtId="0" fontId="19" fillId="2" borderId="45" xfId="0" applyFont="1" applyFill="1" applyBorder="1" applyAlignment="1" applyProtection="1">
      <alignment horizontal="center" vertical="center" wrapText="1"/>
      <protection hidden="1"/>
    </xf>
    <xf numFmtId="0" fontId="73" fillId="2" borderId="0" xfId="0" applyFont="1" applyFill="1" applyAlignment="1" applyProtection="1">
      <alignment vertical="center" wrapText="1"/>
      <protection hidden="1"/>
    </xf>
    <xf numFmtId="0" fontId="73" fillId="0" borderId="0" xfId="0" applyFont="1" applyAlignment="1" applyProtection="1">
      <alignment vertical="center" wrapText="1"/>
      <protection hidden="1"/>
    </xf>
    <xf numFmtId="0" fontId="73" fillId="0" borderId="0" xfId="0" applyFont="1"/>
    <xf numFmtId="0" fontId="43" fillId="2" borderId="44" xfId="0" applyFont="1" applyFill="1" applyBorder="1" applyAlignment="1" applyProtection="1">
      <alignment horizontal="left"/>
      <protection hidden="1"/>
    </xf>
    <xf numFmtId="0" fontId="43" fillId="2" borderId="137" xfId="0" applyFont="1" applyFill="1" applyBorder="1" applyAlignment="1" applyProtection="1">
      <alignment horizontal="left"/>
      <protection hidden="1"/>
    </xf>
    <xf numFmtId="0" fontId="19" fillId="2" borderId="44" xfId="0" applyFont="1" applyFill="1" applyBorder="1" applyAlignment="1" applyProtection="1">
      <alignment horizontal="left"/>
      <protection hidden="1"/>
    </xf>
    <xf numFmtId="0" fontId="19" fillId="15" borderId="137" xfId="0" applyFont="1" applyFill="1" applyBorder="1" applyAlignment="1" applyProtection="1">
      <alignment horizontal="left"/>
      <protection hidden="1"/>
    </xf>
    <xf numFmtId="0" fontId="10" fillId="2" borderId="4"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9" fontId="5" fillId="32" borderId="142" xfId="0" applyNumberFormat="1" applyFont="1" applyFill="1" applyBorder="1" applyAlignment="1" applyProtection="1">
      <alignment horizontal="right"/>
      <protection locked="0"/>
    </xf>
    <xf numFmtId="49" fontId="5" fillId="32" borderId="143" xfId="0" applyNumberFormat="1" applyFont="1" applyFill="1" applyBorder="1" applyAlignment="1" applyProtection="1">
      <alignment horizontal="right"/>
      <protection locked="0"/>
    </xf>
    <xf numFmtId="49" fontId="9" fillId="32" borderId="142" xfId="0" applyNumberFormat="1" applyFont="1" applyFill="1" applyBorder="1" applyAlignment="1" applyProtection="1">
      <alignment horizontal="right"/>
      <protection locked="0"/>
    </xf>
    <xf numFmtId="49" fontId="9" fillId="32" borderId="143" xfId="0" applyNumberFormat="1" applyFont="1" applyFill="1" applyBorder="1" applyAlignment="1" applyProtection="1">
      <alignment horizontal="right"/>
      <protection locked="0"/>
    </xf>
    <xf numFmtId="49" fontId="9" fillId="32" borderId="144" xfId="0" applyNumberFormat="1" applyFont="1" applyFill="1" applyBorder="1" applyAlignment="1" applyProtection="1">
      <alignment horizontal="right"/>
      <protection locked="0"/>
    </xf>
    <xf numFmtId="49" fontId="9" fillId="32" borderId="145" xfId="0" applyNumberFormat="1" applyFont="1" applyFill="1" applyBorder="1" applyAlignment="1" applyProtection="1">
      <alignment horizontal="right"/>
      <protection locked="0"/>
    </xf>
    <xf numFmtId="0" fontId="3" fillId="2" borderId="47" xfId="0" applyFont="1" applyFill="1" applyBorder="1" applyAlignment="1" applyProtection="1">
      <alignment horizontal="right"/>
      <protection hidden="1"/>
    </xf>
    <xf numFmtId="0" fontId="3" fillId="2" borderId="39" xfId="0" applyFont="1" applyFill="1" applyBorder="1" applyAlignment="1" applyProtection="1">
      <alignment horizontal="right"/>
      <protection hidden="1"/>
    </xf>
    <xf numFmtId="0" fontId="3" fillId="2" borderId="52" xfId="0" applyFont="1" applyFill="1" applyBorder="1" applyAlignment="1" applyProtection="1">
      <alignment horizontal="right"/>
      <protection hidden="1"/>
    </xf>
    <xf numFmtId="4" fontId="5" fillId="32" borderId="138" xfId="0" applyNumberFormat="1" applyFont="1" applyFill="1" applyBorder="1" applyAlignment="1" applyProtection="1">
      <alignment horizontal="center"/>
      <protection locked="0"/>
    </xf>
    <xf numFmtId="4" fontId="5" fillId="32" borderId="139" xfId="0" applyNumberFormat="1" applyFont="1" applyFill="1" applyBorder="1" applyAlignment="1" applyProtection="1">
      <alignment horizontal="center"/>
      <protection locked="0"/>
    </xf>
    <xf numFmtId="4" fontId="5" fillId="32" borderId="141" xfId="0" applyNumberFormat="1" applyFont="1" applyFill="1" applyBorder="1" applyAlignment="1" applyProtection="1">
      <alignment horizontal="center"/>
      <protection locked="0"/>
    </xf>
    <xf numFmtId="4" fontId="5" fillId="32" borderId="138" xfId="0" applyNumberFormat="1" applyFont="1" applyFill="1" applyBorder="1" applyProtection="1">
      <protection locked="0"/>
    </xf>
    <xf numFmtId="4" fontId="5" fillId="32" borderId="139" xfId="0" applyNumberFormat="1" applyFont="1" applyFill="1" applyBorder="1" applyProtection="1">
      <protection locked="0"/>
    </xf>
    <xf numFmtId="4" fontId="5" fillId="32" borderId="142" xfId="0" applyNumberFormat="1" applyFont="1" applyFill="1" applyBorder="1" applyAlignment="1" applyProtection="1">
      <alignment horizontal="right"/>
      <protection locked="0"/>
    </xf>
    <xf numFmtId="4" fontId="5" fillId="32" borderId="143" xfId="0" applyNumberFormat="1" applyFont="1" applyFill="1" applyBorder="1" applyAlignment="1" applyProtection="1">
      <alignment horizontal="right"/>
      <protection locked="0"/>
    </xf>
    <xf numFmtId="4" fontId="5" fillId="32" borderId="144" xfId="0" applyNumberFormat="1" applyFont="1" applyFill="1" applyBorder="1" applyAlignment="1" applyProtection="1">
      <alignment horizontal="right"/>
      <protection locked="0"/>
    </xf>
    <xf numFmtId="4" fontId="5" fillId="32" borderId="145" xfId="0" applyNumberFormat="1" applyFont="1" applyFill="1" applyBorder="1" applyAlignment="1" applyProtection="1">
      <alignment horizontal="right"/>
      <protection locked="0"/>
    </xf>
    <xf numFmtId="49" fontId="5" fillId="32" borderId="144" xfId="0" applyNumberFormat="1" applyFont="1" applyFill="1" applyBorder="1" applyAlignment="1" applyProtection="1">
      <alignment horizontal="right"/>
      <protection locked="0"/>
    </xf>
    <xf numFmtId="49" fontId="5" fillId="32" borderId="145" xfId="0" applyNumberFormat="1" applyFont="1" applyFill="1" applyBorder="1" applyAlignment="1" applyProtection="1">
      <alignment horizontal="right"/>
      <protection locked="0"/>
    </xf>
    <xf numFmtId="171" fontId="5" fillId="32" borderId="142" xfId="0" applyNumberFormat="1" applyFont="1" applyFill="1" applyBorder="1" applyAlignment="1" applyProtection="1">
      <alignment horizontal="right"/>
      <protection locked="0"/>
    </xf>
    <xf numFmtId="171" fontId="5" fillId="32" borderId="143" xfId="0" applyNumberFormat="1" applyFont="1" applyFill="1" applyBorder="1" applyAlignment="1" applyProtection="1">
      <alignment horizontal="right"/>
      <protection locked="0"/>
    </xf>
    <xf numFmtId="171" fontId="5" fillId="32" borderId="144" xfId="0" applyNumberFormat="1" applyFont="1" applyFill="1" applyBorder="1" applyAlignment="1" applyProtection="1">
      <alignment horizontal="right"/>
      <protection locked="0"/>
    </xf>
    <xf numFmtId="171" fontId="5" fillId="32" borderId="145" xfId="0" applyNumberFormat="1" applyFont="1" applyFill="1" applyBorder="1" applyAlignment="1" applyProtection="1">
      <alignment horizontal="right"/>
      <protection locked="0"/>
    </xf>
    <xf numFmtId="4" fontId="5" fillId="32" borderId="146" xfId="0" applyNumberFormat="1" applyFont="1" applyFill="1" applyBorder="1" applyAlignment="1" applyProtection="1">
      <alignment horizontal="right"/>
      <protection locked="0"/>
    </xf>
    <xf numFmtId="4" fontId="5" fillId="32" borderId="147" xfId="0" applyNumberFormat="1" applyFont="1" applyFill="1" applyBorder="1" applyAlignment="1" applyProtection="1">
      <alignment horizontal="right"/>
      <protection locked="0"/>
    </xf>
    <xf numFmtId="4" fontId="5" fillId="32" borderId="148" xfId="0" applyNumberFormat="1" applyFont="1" applyFill="1" applyBorder="1" applyAlignment="1" applyProtection="1">
      <alignment horizontal="right"/>
      <protection locked="0"/>
    </xf>
    <xf numFmtId="4" fontId="5" fillId="32" borderId="149" xfId="0" applyNumberFormat="1" applyFont="1" applyFill="1" applyBorder="1" applyAlignment="1" applyProtection="1">
      <alignment horizontal="right"/>
      <protection locked="0"/>
    </xf>
    <xf numFmtId="4" fontId="5" fillId="2" borderId="49" xfId="0" applyNumberFormat="1" applyFont="1" applyFill="1" applyBorder="1" applyAlignment="1" applyProtection="1">
      <alignment horizontal="center"/>
      <protection hidden="1"/>
    </xf>
    <xf numFmtId="171" fontId="5" fillId="2" borderId="49" xfId="0" applyNumberFormat="1" applyFont="1" applyFill="1" applyBorder="1" applyAlignment="1" applyProtection="1">
      <alignment horizontal="right"/>
      <protection hidden="1"/>
    </xf>
    <xf numFmtId="0" fontId="5" fillId="0" borderId="0" xfId="0" applyFont="1" applyAlignment="1">
      <alignment wrapText="1"/>
    </xf>
    <xf numFmtId="4" fontId="100" fillId="0" borderId="7" xfId="0" applyNumberFormat="1" applyFont="1" applyBorder="1" applyAlignment="1" applyProtection="1">
      <alignment horizontal="center" wrapText="1"/>
      <protection hidden="1"/>
    </xf>
    <xf numFmtId="4" fontId="129" fillId="0" borderId="0" xfId="0" applyNumberFormat="1" applyFont="1" applyProtection="1">
      <protection hidden="1"/>
    </xf>
    <xf numFmtId="0" fontId="97" fillId="0" borderId="0" xfId="0" applyFont="1" applyAlignment="1" applyProtection="1">
      <alignment horizontal="center"/>
      <protection hidden="1"/>
    </xf>
    <xf numFmtId="0" fontId="110" fillId="15" borderId="0" xfId="0" applyFont="1" applyFill="1" applyAlignment="1" applyProtection="1">
      <alignment horizontal="right"/>
      <protection hidden="1"/>
    </xf>
    <xf numFmtId="3" fontId="5" fillId="15" borderId="20" xfId="0" applyNumberFormat="1" applyFont="1" applyFill="1" applyBorder="1" applyAlignment="1" applyProtection="1">
      <alignment horizontal="center"/>
      <protection hidden="1"/>
    </xf>
    <xf numFmtId="4" fontId="3" fillId="2" borderId="5" xfId="0" applyNumberFormat="1" applyFont="1" applyFill="1" applyBorder="1" applyAlignment="1" applyProtection="1">
      <alignment horizontal="left" indent="1"/>
      <protection hidden="1"/>
    </xf>
    <xf numFmtId="4" fontId="56" fillId="2" borderId="0" xfId="0" applyNumberFormat="1" applyFont="1" applyFill="1" applyAlignment="1" applyProtection="1">
      <alignment vertical="top"/>
      <protection hidden="1"/>
    </xf>
    <xf numFmtId="49" fontId="5" fillId="32" borderId="142" xfId="0" applyNumberFormat="1" applyFont="1" applyFill="1" applyBorder="1" applyAlignment="1" applyProtection="1">
      <alignment horizontal="center"/>
      <protection locked="0"/>
    </xf>
    <xf numFmtId="49" fontId="5" fillId="32" borderId="143" xfId="0" applyNumberFormat="1" applyFont="1" applyFill="1" applyBorder="1" applyAlignment="1" applyProtection="1">
      <alignment horizontal="center"/>
      <protection locked="0"/>
    </xf>
    <xf numFmtId="49" fontId="5" fillId="32" borderId="145" xfId="0" applyNumberFormat="1" applyFont="1" applyFill="1" applyBorder="1" applyAlignment="1" applyProtection="1">
      <alignment horizontal="center"/>
      <protection locked="0"/>
    </xf>
    <xf numFmtId="49" fontId="5" fillId="32" borderId="146" xfId="0" applyNumberFormat="1" applyFont="1" applyFill="1" applyBorder="1" applyAlignment="1" applyProtection="1">
      <alignment horizontal="center"/>
      <protection locked="0"/>
    </xf>
    <xf numFmtId="49" fontId="5" fillId="32" borderId="147" xfId="0" applyNumberFormat="1" applyFont="1" applyFill="1" applyBorder="1" applyAlignment="1" applyProtection="1">
      <alignment horizontal="center"/>
      <protection locked="0"/>
    </xf>
    <xf numFmtId="49" fontId="5" fillId="32" borderId="149" xfId="0" applyNumberFormat="1" applyFont="1" applyFill="1" applyBorder="1" applyAlignment="1" applyProtection="1">
      <alignment horizontal="center"/>
      <protection locked="0"/>
    </xf>
    <xf numFmtId="0" fontId="10" fillId="2" borderId="0" xfId="0" applyFont="1" applyFill="1" applyProtection="1">
      <protection hidden="1"/>
    </xf>
    <xf numFmtId="0" fontId="3" fillId="2" borderId="0" xfId="0" quotePrefix="1" applyFont="1" applyFill="1" applyAlignment="1" applyProtection="1">
      <alignment horizontal="right"/>
      <protection hidden="1"/>
    </xf>
    <xf numFmtId="0" fontId="122" fillId="15" borderId="1" xfId="0" applyFont="1" applyFill="1" applyBorder="1" applyAlignment="1" applyProtection="1">
      <alignment horizontal="right" vertical="top"/>
      <protection hidden="1"/>
    </xf>
    <xf numFmtId="0" fontId="10" fillId="15"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5" borderId="1" xfId="0" applyFill="1" applyBorder="1" applyAlignment="1">
      <alignment horizontal="left" vertical="center"/>
    </xf>
    <xf numFmtId="0" fontId="22" fillId="2" borderId="1" xfId="0" applyFont="1" applyFill="1" applyBorder="1" applyAlignment="1" applyProtection="1">
      <alignment horizontal="left"/>
      <protection hidden="1"/>
    </xf>
    <xf numFmtId="0" fontId="24" fillId="15" borderId="1" xfId="0" applyFont="1" applyFill="1" applyBorder="1" applyProtection="1">
      <protection hidden="1"/>
    </xf>
    <xf numFmtId="0" fontId="10" fillId="2" borderId="1" xfId="0" applyFont="1" applyFill="1" applyBorder="1" applyAlignment="1" applyProtection="1">
      <alignment horizontal="left"/>
      <protection hidden="1"/>
    </xf>
    <xf numFmtId="0" fontId="36" fillId="2" borderId="5" xfId="0" quotePrefix="1" applyFont="1" applyFill="1" applyBorder="1" applyAlignment="1" applyProtection="1">
      <alignment horizontal="left" indent="1"/>
      <protection hidden="1"/>
    </xf>
    <xf numFmtId="37" fontId="7" fillId="26" borderId="9" xfId="0" applyNumberFormat="1" applyFont="1" applyFill="1" applyBorder="1" applyAlignment="1" applyProtection="1">
      <alignment horizontal="right"/>
      <protection hidden="1"/>
    </xf>
    <xf numFmtId="0" fontId="5" fillId="15" borderId="22" xfId="0" applyFont="1" applyFill="1" applyBorder="1" applyProtection="1">
      <protection hidden="1"/>
    </xf>
    <xf numFmtId="0" fontId="3" fillId="0" borderId="0" xfId="0" applyFont="1" applyAlignment="1" applyProtection="1">
      <alignment horizontal="center" vertical="center"/>
      <protection locked="0"/>
    </xf>
    <xf numFmtId="39" fontId="106" fillId="3" borderId="0" xfId="0" applyNumberFormat="1" applyFont="1" applyFill="1" applyProtection="1">
      <protection hidden="1"/>
    </xf>
    <xf numFmtId="1" fontId="122" fillId="10" borderId="0" xfId="0" applyNumberFormat="1" applyFont="1" applyFill="1" applyAlignment="1" applyProtection="1">
      <alignment horizontal="center"/>
      <protection hidden="1"/>
    </xf>
    <xf numFmtId="1" fontId="122" fillId="10" borderId="0" xfId="0" applyNumberFormat="1" applyFont="1" applyFill="1" applyAlignment="1" applyProtection="1">
      <alignment horizontal="center" vertical="center"/>
      <protection hidden="1"/>
    </xf>
    <xf numFmtId="0" fontId="164" fillId="8" borderId="0" xfId="0" applyFont="1" applyFill="1" applyProtection="1">
      <protection hidden="1"/>
    </xf>
    <xf numFmtId="0" fontId="3" fillId="16" borderId="2" xfId="0" applyFont="1" applyFill="1" applyBorder="1" applyAlignment="1" applyProtection="1">
      <alignment horizontal="center" vertical="center"/>
      <protection locked="0" hidden="1"/>
    </xf>
    <xf numFmtId="0" fontId="65" fillId="5" borderId="0" xfId="0" applyFont="1" applyFill="1" applyProtection="1">
      <protection hidden="1"/>
    </xf>
    <xf numFmtId="0" fontId="9" fillId="2" borderId="8" xfId="0" applyFont="1" applyFill="1" applyBorder="1" applyAlignment="1" applyProtection="1">
      <alignment horizontal="center"/>
      <protection hidden="1"/>
    </xf>
    <xf numFmtId="0" fontId="56" fillId="15" borderId="0" xfId="0" applyFont="1" applyFill="1" applyProtection="1">
      <protection hidden="1"/>
    </xf>
    <xf numFmtId="0" fontId="185" fillId="15" borderId="0" xfId="0" applyFont="1" applyFill="1" applyAlignment="1" applyProtection="1">
      <alignment horizontal="center"/>
      <protection hidden="1"/>
    </xf>
    <xf numFmtId="0" fontId="112" fillId="15" borderId="0" xfId="0" applyFont="1" applyFill="1" applyAlignment="1" applyProtection="1">
      <alignment horizontal="center"/>
      <protection hidden="1"/>
    </xf>
    <xf numFmtId="4" fontId="186" fillId="0" borderId="0" xfId="0" applyNumberFormat="1" applyFont="1" applyProtection="1">
      <protection hidden="1"/>
    </xf>
    <xf numFmtId="4" fontId="3" fillId="3" borderId="0" xfId="0" applyNumberFormat="1" applyFont="1" applyFill="1" applyAlignment="1" applyProtection="1">
      <alignment horizontal="left"/>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3" fillId="2" borderId="45" xfId="0" applyFont="1" applyFill="1" applyBorder="1" applyAlignment="1" applyProtection="1">
      <alignment horizontal="center" vertical="center"/>
      <protection hidden="1"/>
    </xf>
    <xf numFmtId="1" fontId="5" fillId="0" borderId="0" xfId="0" applyNumberFormat="1" applyFont="1" applyProtection="1">
      <protection hidden="1"/>
    </xf>
    <xf numFmtId="4" fontId="5" fillId="32" borderId="114" xfId="0" applyNumberFormat="1" applyFont="1" applyFill="1" applyBorder="1" applyProtection="1">
      <protection locked="0"/>
    </xf>
    <xf numFmtId="4" fontId="5" fillId="32" borderId="115" xfId="0" applyNumberFormat="1" applyFont="1" applyFill="1" applyBorder="1" applyProtection="1">
      <protection locked="0"/>
    </xf>
    <xf numFmtId="4" fontId="5" fillId="32" borderId="116" xfId="0" applyNumberFormat="1" applyFont="1" applyFill="1" applyBorder="1" applyProtection="1">
      <protection locked="0"/>
    </xf>
    <xf numFmtId="4" fontId="5" fillId="32" borderId="117" xfId="0" applyNumberFormat="1" applyFont="1" applyFill="1" applyBorder="1" applyProtection="1">
      <protection locked="0"/>
    </xf>
    <xf numFmtId="4" fontId="5" fillId="32" borderId="118" xfId="0" applyNumberFormat="1" applyFont="1" applyFill="1" applyBorder="1" applyProtection="1">
      <protection locked="0"/>
    </xf>
    <xf numFmtId="4" fontId="5" fillId="32" borderId="119"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1" fillId="0" borderId="0" xfId="0" applyNumberFormat="1" applyFont="1" applyProtection="1">
      <protection hidden="1"/>
    </xf>
    <xf numFmtId="4" fontId="109" fillId="0" borderId="0" xfId="0" applyNumberFormat="1" applyFont="1" applyProtection="1">
      <protection hidden="1"/>
    </xf>
    <xf numFmtId="0" fontId="132" fillId="2" borderId="3" xfId="0" applyFont="1" applyFill="1" applyBorder="1" applyProtection="1">
      <protection hidden="1"/>
    </xf>
    <xf numFmtId="0" fontId="132" fillId="2" borderId="3" xfId="0" applyFont="1" applyFill="1" applyBorder="1" applyProtection="1">
      <protection locked="0"/>
    </xf>
    <xf numFmtId="0" fontId="8" fillId="2" borderId="3" xfId="0" applyFont="1" applyFill="1" applyBorder="1" applyProtection="1">
      <protection hidden="1"/>
    </xf>
    <xf numFmtId="4" fontId="0" fillId="0" borderId="1" xfId="0" applyNumberFormat="1" applyBorder="1" applyProtection="1">
      <protection hidden="1"/>
    </xf>
    <xf numFmtId="0" fontId="3" fillId="2" borderId="137" xfId="0" applyFont="1" applyFill="1" applyBorder="1" applyAlignment="1" applyProtection="1">
      <alignment horizontal="center" vertical="center"/>
      <protection hidden="1"/>
    </xf>
    <xf numFmtId="4" fontId="21" fillId="0" borderId="0" xfId="0" applyNumberFormat="1" applyFont="1" applyProtection="1">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9" fillId="0" borderId="0" xfId="0" applyNumberFormat="1" applyFont="1" applyProtection="1">
      <protection hidden="1"/>
    </xf>
    <xf numFmtId="0" fontId="0" fillId="0" borderId="1" xfId="0" applyBorder="1" applyProtection="1">
      <protection hidden="1"/>
    </xf>
    <xf numFmtId="4" fontId="5" fillId="32" borderId="140" xfId="0" applyNumberFormat="1" applyFont="1" applyFill="1" applyBorder="1" applyProtection="1">
      <protection locked="0"/>
    </xf>
    <xf numFmtId="4" fontId="5" fillId="32" borderId="141" xfId="0" applyNumberFormat="1" applyFont="1" applyFill="1" applyBorder="1" applyProtection="1">
      <protection locked="0"/>
    </xf>
    <xf numFmtId="3" fontId="187" fillId="27" borderId="151" xfId="0" applyNumberFormat="1" applyFont="1" applyFill="1" applyBorder="1" applyAlignment="1" applyProtection="1">
      <alignment horizontal="right"/>
      <protection hidden="1"/>
    </xf>
    <xf numFmtId="3" fontId="187" fillId="27" borderId="152" xfId="0" applyNumberFormat="1" applyFont="1" applyFill="1" applyBorder="1" applyAlignment="1" applyProtection="1">
      <alignment horizontal="right"/>
      <protection hidden="1"/>
    </xf>
    <xf numFmtId="3" fontId="110" fillId="2" borderId="0" xfId="0" applyNumberFormat="1" applyFont="1" applyFill="1" applyAlignment="1" applyProtection="1">
      <alignment horizontal="left" indent="1"/>
      <protection hidden="1"/>
    </xf>
    <xf numFmtId="4" fontId="0" fillId="2" borderId="5" xfId="0" applyNumberFormat="1" applyFill="1" applyBorder="1" applyProtection="1">
      <protection hidden="1"/>
    </xf>
    <xf numFmtId="0" fontId="108" fillId="2" borderId="42" xfId="0" applyFont="1" applyFill="1" applyBorder="1" applyProtection="1">
      <protection hidden="1"/>
    </xf>
    <xf numFmtId="4" fontId="5" fillId="2" borderId="5" xfId="0" applyNumberFormat="1" applyFont="1" applyFill="1" applyBorder="1" applyAlignment="1" applyProtection="1">
      <alignment horizontal="left"/>
      <protection hidden="1"/>
    </xf>
    <xf numFmtId="4" fontId="109" fillId="2" borderId="5" xfId="0" applyNumberFormat="1" applyFont="1" applyFill="1" applyBorder="1" applyProtection="1">
      <protection hidden="1"/>
    </xf>
    <xf numFmtId="4" fontId="56" fillId="2" borderId="5" xfId="0" applyNumberFormat="1" applyFont="1" applyFill="1" applyBorder="1" applyProtection="1">
      <protection hidden="1"/>
    </xf>
    <xf numFmtId="1" fontId="21" fillId="2" borderId="0" xfId="0" applyNumberFormat="1" applyFont="1" applyFill="1" applyProtection="1">
      <protection hidden="1"/>
    </xf>
    <xf numFmtId="171" fontId="108" fillId="2" borderId="49" xfId="0" applyNumberFormat="1" applyFont="1" applyFill="1" applyBorder="1" applyProtection="1">
      <protection hidden="1"/>
    </xf>
    <xf numFmtId="4" fontId="14" fillId="24" borderId="0" xfId="0" applyNumberFormat="1" applyFont="1" applyFill="1" applyProtection="1">
      <protection locked="0"/>
    </xf>
    <xf numFmtId="4" fontId="0" fillId="24" borderId="0" xfId="0" applyNumberFormat="1" applyFill="1" applyProtection="1">
      <protection locked="0"/>
    </xf>
    <xf numFmtId="39" fontId="14" fillId="24" borderId="0" xfId="0" applyNumberFormat="1" applyFont="1" applyFill="1" applyProtection="1">
      <protection locked="0"/>
    </xf>
    <xf numFmtId="39" fontId="0" fillId="24" borderId="0" xfId="0" applyNumberFormat="1" applyFill="1" applyProtection="1">
      <protection locked="0"/>
    </xf>
    <xf numFmtId="39" fontId="9" fillId="24" borderId="0" xfId="0" applyNumberFormat="1" applyFont="1" applyFill="1" applyProtection="1">
      <protection locked="0"/>
    </xf>
    <xf numFmtId="39" fontId="14" fillId="24" borderId="4" xfId="0" applyNumberFormat="1" applyFont="1" applyFill="1" applyBorder="1" applyAlignment="1" applyProtection="1">
      <alignment horizontal="left"/>
      <protection locked="0"/>
    </xf>
    <xf numFmtId="39" fontId="20" fillId="24" borderId="4" xfId="0" applyNumberFormat="1" applyFont="1" applyFill="1" applyBorder="1" applyAlignment="1" applyProtection="1">
      <alignment horizontal="left" vertical="center"/>
      <protection locked="0"/>
    </xf>
    <xf numFmtId="39" fontId="0" fillId="24" borderId="0" xfId="0" applyNumberFormat="1" applyFill="1" applyAlignment="1" applyProtection="1">
      <alignment vertical="top"/>
      <protection locked="0"/>
    </xf>
    <xf numFmtId="39" fontId="73" fillId="24" borderId="0" xfId="0" applyNumberFormat="1" applyFont="1" applyFill="1" applyProtection="1">
      <protection locked="0"/>
    </xf>
    <xf numFmtId="39" fontId="5" fillId="24" borderId="0" xfId="0" applyNumberFormat="1" applyFont="1" applyFill="1" applyProtection="1">
      <protection locked="0"/>
    </xf>
    <xf numFmtId="39" fontId="0" fillId="24" borderId="0" xfId="0" applyNumberFormat="1" applyFill="1" applyAlignment="1" applyProtection="1">
      <alignment vertical="center"/>
      <protection locked="0"/>
    </xf>
    <xf numFmtId="39" fontId="14" fillId="24" borderId="0" xfId="0" applyNumberFormat="1" applyFont="1" applyFill="1" applyAlignment="1" applyProtection="1">
      <alignment vertical="top"/>
      <protection locked="0"/>
    </xf>
    <xf numFmtId="39" fontId="21" fillId="24" borderId="0" xfId="0" applyNumberFormat="1" applyFont="1" applyFill="1" applyAlignment="1" applyProtection="1">
      <alignment vertical="center"/>
      <protection locked="0"/>
    </xf>
    <xf numFmtId="39" fontId="13" fillId="24" borderId="0" xfId="0" applyNumberFormat="1" applyFont="1" applyFill="1" applyProtection="1">
      <protection locked="0"/>
    </xf>
    <xf numFmtId="39" fontId="85" fillId="24" borderId="0" xfId="0" applyNumberFormat="1" applyFont="1" applyFill="1" applyProtection="1">
      <protection locked="0"/>
    </xf>
    <xf numFmtId="39" fontId="21" fillId="24" borderId="0" xfId="0" applyNumberFormat="1" applyFont="1" applyFill="1" applyProtection="1">
      <protection locked="0"/>
    </xf>
    <xf numFmtId="39" fontId="0" fillId="24" borderId="64" xfId="0" applyNumberFormat="1" applyFill="1" applyBorder="1" applyProtection="1">
      <protection locked="0"/>
    </xf>
    <xf numFmtId="39" fontId="21" fillId="24" borderId="64" xfId="0" applyNumberFormat="1" applyFont="1" applyFill="1" applyBorder="1" applyProtection="1">
      <protection locked="0"/>
    </xf>
    <xf numFmtId="39" fontId="56" fillId="24" borderId="0" xfId="0" applyNumberFormat="1" applyFont="1" applyFill="1" applyProtection="1">
      <protection locked="0"/>
    </xf>
    <xf numFmtId="39" fontId="5" fillId="24" borderId="23" xfId="0" applyNumberFormat="1" applyFont="1" applyFill="1" applyBorder="1" applyAlignment="1" applyProtection="1">
      <alignment horizontal="right"/>
      <protection locked="0"/>
    </xf>
    <xf numFmtId="39" fontId="5" fillId="24" borderId="5" xfId="0" applyNumberFormat="1" applyFont="1" applyFill="1" applyBorder="1" applyAlignment="1" applyProtection="1">
      <alignment horizontal="right"/>
      <protection locked="0"/>
    </xf>
    <xf numFmtId="39" fontId="5" fillId="24" borderId="26" xfId="0" applyNumberFormat="1" applyFont="1" applyFill="1" applyBorder="1" applyAlignment="1" applyProtection="1">
      <alignment horizontal="center"/>
      <protection locked="0"/>
    </xf>
    <xf numFmtId="39" fontId="5" fillId="24" borderId="29" xfId="0" applyNumberFormat="1" applyFont="1" applyFill="1" applyBorder="1" applyAlignment="1" applyProtection="1">
      <alignment horizontal="center"/>
      <protection locked="0"/>
    </xf>
    <xf numFmtId="39" fontId="5" fillId="24" borderId="20" xfId="0" applyNumberFormat="1" applyFont="1" applyFill="1" applyBorder="1" applyAlignment="1" applyProtection="1">
      <alignment horizontal="center"/>
      <protection locked="0"/>
    </xf>
    <xf numFmtId="39" fontId="5" fillId="24" borderId="46" xfId="0" applyNumberFormat="1" applyFont="1" applyFill="1" applyBorder="1" applyAlignment="1" applyProtection="1">
      <alignment horizontal="right"/>
      <protection locked="0"/>
    </xf>
    <xf numFmtId="39" fontId="5" fillId="24" borderId="58" xfId="0" applyNumberFormat="1" applyFont="1" applyFill="1" applyBorder="1" applyAlignment="1" applyProtection="1">
      <alignment horizontal="right"/>
      <protection locked="0"/>
    </xf>
    <xf numFmtId="39" fontId="5" fillId="24" borderId="54" xfId="0" applyNumberFormat="1" applyFont="1" applyFill="1" applyBorder="1" applyAlignment="1" applyProtection="1">
      <alignment horizontal="right"/>
      <protection locked="0"/>
    </xf>
    <xf numFmtId="39" fontId="5" fillId="24" borderId="59" xfId="0" applyNumberFormat="1" applyFont="1" applyFill="1" applyBorder="1" applyAlignment="1" applyProtection="1">
      <alignment horizontal="right"/>
      <protection locked="0"/>
    </xf>
    <xf numFmtId="39" fontId="5" fillId="24" borderId="111" xfId="0" applyNumberFormat="1" applyFont="1" applyFill="1" applyBorder="1" applyAlignment="1" applyProtection="1">
      <alignment horizontal="right"/>
      <protection locked="0"/>
    </xf>
    <xf numFmtId="39" fontId="5" fillId="24" borderId="112" xfId="0" applyNumberFormat="1" applyFont="1" applyFill="1" applyBorder="1" applyAlignment="1" applyProtection="1">
      <alignment horizontal="right"/>
      <protection locked="0"/>
    </xf>
    <xf numFmtId="39" fontId="5" fillId="24" borderId="31" xfId="0" applyNumberFormat="1" applyFont="1" applyFill="1" applyBorder="1" applyAlignment="1" applyProtection="1">
      <alignment horizontal="right"/>
      <protection locked="0"/>
    </xf>
    <xf numFmtId="39" fontId="14" fillId="24" borderId="0" xfId="0" applyNumberFormat="1" applyFont="1" applyFill="1" applyAlignment="1" applyProtection="1">
      <alignment horizontal="left"/>
      <protection locked="0"/>
    </xf>
    <xf numFmtId="39" fontId="0" fillId="24" borderId="65" xfId="0" applyNumberFormat="1" applyFill="1" applyBorder="1" applyProtection="1">
      <protection locked="0"/>
    </xf>
    <xf numFmtId="4" fontId="110" fillId="3" borderId="3" xfId="0" applyNumberFormat="1" applyFont="1" applyFill="1" applyBorder="1" applyProtection="1">
      <protection hidden="1"/>
    </xf>
    <xf numFmtId="0" fontId="3" fillId="20" borderId="2" xfId="0" applyFont="1" applyFill="1" applyBorder="1" applyAlignment="1" applyProtection="1">
      <alignment horizontal="center" vertical="center"/>
      <protection locked="0" hidden="1"/>
    </xf>
    <xf numFmtId="0" fontId="88" fillId="15" borderId="0" xfId="0" applyFont="1" applyFill="1" applyAlignment="1" applyProtection="1">
      <alignment horizontal="center"/>
      <protection hidden="1"/>
    </xf>
    <xf numFmtId="0" fontId="9" fillId="0" borderId="0" xfId="0" applyFont="1" applyAlignment="1">
      <alignment horizontal="center"/>
    </xf>
    <xf numFmtId="3" fontId="9" fillId="0" borderId="0" xfId="0" applyNumberFormat="1" applyFont="1"/>
    <xf numFmtId="37" fontId="5" fillId="3" borderId="30"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5" borderId="5" xfId="0" applyNumberFormat="1" applyFont="1" applyFill="1" applyBorder="1" applyProtection="1">
      <protection hidden="1"/>
    </xf>
    <xf numFmtId="0" fontId="9" fillId="15" borderId="5" xfId="0" applyFont="1" applyFill="1" applyBorder="1" applyAlignment="1" applyProtection="1">
      <alignment horizontal="center"/>
      <protection hidden="1"/>
    </xf>
    <xf numFmtId="0" fontId="9" fillId="15" borderId="5" xfId="0" applyFont="1" applyFill="1" applyBorder="1" applyProtection="1">
      <protection hidden="1"/>
    </xf>
    <xf numFmtId="0" fontId="11" fillId="15" borderId="5" xfId="0" applyFont="1" applyFill="1" applyBorder="1" applyProtection="1">
      <protection hidden="1"/>
    </xf>
    <xf numFmtId="0" fontId="9" fillId="15" borderId="5" xfId="0" applyFont="1" applyFill="1" applyBorder="1" applyAlignment="1" applyProtection="1">
      <alignment horizontal="right"/>
      <protection hidden="1"/>
    </xf>
    <xf numFmtId="3" fontId="9" fillId="15" borderId="0" xfId="0" applyNumberFormat="1" applyFont="1" applyFill="1" applyProtection="1">
      <protection hidden="1"/>
    </xf>
    <xf numFmtId="0" fontId="5" fillId="15" borderId="20" xfId="0" applyFont="1" applyFill="1" applyBorder="1" applyProtection="1">
      <protection hidden="1"/>
    </xf>
    <xf numFmtId="3" fontId="9" fillId="15" borderId="44" xfId="0" applyNumberFormat="1" applyFont="1" applyFill="1" applyBorder="1" applyProtection="1">
      <protection hidden="1"/>
    </xf>
    <xf numFmtId="0" fontId="9" fillId="16" borderId="0" xfId="0" applyFont="1" applyFill="1" applyAlignment="1" applyProtection="1">
      <alignment horizontal="center"/>
      <protection locked="0" hidden="1"/>
    </xf>
    <xf numFmtId="0" fontId="7" fillId="15" borderId="0" xfId="0" applyFont="1" applyFill="1" applyAlignment="1" applyProtection="1">
      <alignment horizontal="center"/>
      <protection hidden="1"/>
    </xf>
    <xf numFmtId="4" fontId="7" fillId="15" borderId="0" xfId="0" applyNumberFormat="1" applyFont="1" applyFill="1" applyAlignment="1" applyProtection="1">
      <alignment horizontal="center"/>
      <protection hidden="1"/>
    </xf>
    <xf numFmtId="3" fontId="9" fillId="15" borderId="0" xfId="0" applyNumberFormat="1" applyFont="1" applyFill="1" applyAlignment="1" applyProtection="1">
      <alignment horizontal="center"/>
      <protection hidden="1"/>
    </xf>
    <xf numFmtId="0" fontId="9" fillId="15" borderId="0" xfId="0" applyFont="1" applyFill="1" applyAlignment="1">
      <alignment horizontal="center"/>
    </xf>
    <xf numFmtId="3" fontId="9" fillId="15" borderId="0" xfId="0" applyNumberFormat="1" applyFont="1" applyFill="1"/>
    <xf numFmtId="4" fontId="7" fillId="15" borderId="0" xfId="0" applyNumberFormat="1" applyFont="1" applyFill="1" applyProtection="1">
      <protection hidden="1"/>
    </xf>
    <xf numFmtId="0" fontId="88" fillId="15" borderId="0" xfId="0" applyFont="1" applyFill="1" applyProtection="1">
      <protection hidden="1"/>
    </xf>
    <xf numFmtId="0" fontId="17" fillId="0" borderId="0" xfId="0" applyFont="1" applyAlignment="1">
      <alignment horizontal="center"/>
    </xf>
    <xf numFmtId="0" fontId="7" fillId="0" borderId="0" xfId="0" applyFont="1" applyAlignment="1" applyProtection="1">
      <alignment horizontal="center"/>
      <protection hidden="1"/>
    </xf>
    <xf numFmtId="0" fontId="88" fillId="0" borderId="0" xfId="0" applyFont="1" applyAlignment="1" applyProtection="1">
      <alignment horizontal="center"/>
      <protection hidden="1"/>
    </xf>
    <xf numFmtId="0" fontId="188" fillId="5" borderId="0" xfId="0" applyFont="1" applyFill="1" applyAlignment="1" applyProtection="1">
      <alignment horizontal="center"/>
      <protection hidden="1"/>
    </xf>
    <xf numFmtId="0" fontId="46" fillId="2" borderId="0" xfId="0" applyFont="1" applyFill="1" applyAlignment="1" applyProtection="1">
      <alignment vertical="center"/>
      <protection hidden="1"/>
    </xf>
    <xf numFmtId="0" fontId="46" fillId="2" borderId="1" xfId="0" applyFont="1" applyFill="1" applyBorder="1" applyProtection="1">
      <protection hidden="1"/>
    </xf>
    <xf numFmtId="0" fontId="3" fillId="15" borderId="1" xfId="0" applyFont="1" applyFill="1" applyBorder="1" applyAlignment="1" applyProtection="1">
      <alignment horizontal="right"/>
      <protection hidden="1"/>
    </xf>
    <xf numFmtId="0" fontId="14" fillId="15" borderId="24" xfId="0" quotePrefix="1" applyFont="1" applyFill="1" applyBorder="1" applyAlignment="1" applyProtection="1">
      <alignment horizontal="center"/>
      <protection hidden="1"/>
    </xf>
    <xf numFmtId="37" fontId="8" fillId="14" borderId="3" xfId="0" applyNumberFormat="1" applyFont="1" applyFill="1" applyBorder="1" applyAlignment="1" applyProtection="1">
      <alignment horizontal="right"/>
      <protection hidden="1"/>
    </xf>
    <xf numFmtId="0" fontId="3" fillId="15" borderId="51" xfId="0" applyFont="1" applyFill="1" applyBorder="1" applyAlignment="1" applyProtection="1">
      <alignment horizontal="center"/>
      <protection hidden="1"/>
    </xf>
    <xf numFmtId="0" fontId="151" fillId="0" borderId="0" xfId="0" applyFont="1" applyAlignment="1">
      <alignment vertical="center"/>
    </xf>
    <xf numFmtId="0" fontId="5" fillId="0" borderId="46" xfId="0" applyFont="1" applyBorder="1" applyAlignment="1" applyProtection="1">
      <alignment horizontal="center"/>
      <protection hidden="1"/>
    </xf>
    <xf numFmtId="0" fontId="5" fillId="0" borderId="12" xfId="0" applyFont="1" applyBorder="1" applyAlignment="1" applyProtection="1">
      <alignment horizontal="center" wrapText="1"/>
      <protection hidden="1"/>
    </xf>
    <xf numFmtId="0" fontId="5" fillId="0" borderId="58" xfId="0" applyFont="1" applyBorder="1" applyAlignment="1" applyProtection="1">
      <alignment horizontal="center" wrapText="1"/>
      <protection hidden="1"/>
    </xf>
    <xf numFmtId="0" fontId="5" fillId="0" borderId="50" xfId="0" quotePrefix="1"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10" xfId="0" applyFont="1" applyBorder="1" applyAlignment="1" applyProtection="1">
      <alignment horizontal="center"/>
      <protection hidden="1"/>
    </xf>
    <xf numFmtId="0" fontId="7" fillId="0" borderId="77" xfId="0" applyFont="1" applyBorder="1" applyAlignment="1" applyProtection="1">
      <alignment horizontal="center"/>
      <protection hidden="1"/>
    </xf>
    <xf numFmtId="0" fontId="8" fillId="0" borderId="81"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 fillId="0" borderId="82" xfId="0" applyFont="1" applyBorder="1" applyAlignment="1" applyProtection="1">
      <alignment horizontal="centerContinuous"/>
      <protection hidden="1"/>
    </xf>
    <xf numFmtId="0" fontId="46" fillId="15" borderId="0" xfId="0" applyFont="1" applyFill="1" applyProtection="1">
      <protection hidden="1"/>
    </xf>
    <xf numFmtId="0" fontId="46" fillId="15" borderId="25" xfId="0" applyFont="1" applyFill="1" applyBorder="1" applyProtection="1">
      <protection hidden="1"/>
    </xf>
    <xf numFmtId="0" fontId="13" fillId="0" borderId="0" xfId="0" applyFont="1" applyProtection="1">
      <protection hidden="1"/>
    </xf>
    <xf numFmtId="0" fontId="13" fillId="15" borderId="25" xfId="0" applyFont="1" applyFill="1" applyBorder="1" applyProtection="1">
      <protection hidden="1"/>
    </xf>
    <xf numFmtId="0" fontId="0" fillId="19" borderId="1" xfId="0" applyFill="1" applyBorder="1" applyProtection="1">
      <protection hidden="1"/>
    </xf>
    <xf numFmtId="0" fontId="0" fillId="19" borderId="11" xfId="0" applyFill="1" applyBorder="1" applyProtection="1">
      <protection hidden="1"/>
    </xf>
    <xf numFmtId="0" fontId="10" fillId="15" borderId="8" xfId="0" applyFont="1" applyFill="1" applyBorder="1" applyProtection="1">
      <protection hidden="1"/>
    </xf>
    <xf numFmtId="0" fontId="0" fillId="15" borderId="0" xfId="0" applyFill="1" applyAlignment="1" applyProtection="1">
      <alignment horizontal="right" indent="1"/>
      <protection hidden="1"/>
    </xf>
    <xf numFmtId="0" fontId="14"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left" indent="1"/>
      <protection hidden="1"/>
    </xf>
    <xf numFmtId="0" fontId="46" fillId="15" borderId="4" xfId="0" applyFont="1" applyFill="1" applyBorder="1" applyProtection="1">
      <protection hidden="1"/>
    </xf>
    <xf numFmtId="0" fontId="0" fillId="19" borderId="8" xfId="0" applyFill="1" applyBorder="1" applyProtection="1">
      <protection hidden="1"/>
    </xf>
    <xf numFmtId="0" fontId="115" fillId="2" borderId="0" xfId="0" quotePrefix="1" applyFont="1" applyFill="1" applyProtection="1">
      <protection hidden="1"/>
    </xf>
    <xf numFmtId="164" fontId="3" fillId="2" borderId="5"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5" borderId="0" xfId="0" applyNumberFormat="1" applyFont="1" applyFill="1" applyProtection="1">
      <protection hidden="1"/>
    </xf>
    <xf numFmtId="0" fontId="122"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0" fontId="7" fillId="24" borderId="0" xfId="0" applyFont="1" applyFill="1" applyAlignment="1" applyProtection="1">
      <alignment horizontal="left"/>
      <protection hidden="1"/>
    </xf>
    <xf numFmtId="49" fontId="8" fillId="24" borderId="0" xfId="0" applyNumberFormat="1" applyFont="1" applyFill="1" applyAlignment="1" applyProtection="1">
      <alignment horizontal="center"/>
      <protection hidden="1"/>
    </xf>
    <xf numFmtId="0" fontId="7" fillId="24" borderId="0" xfId="0" applyFont="1" applyFill="1" applyAlignment="1" applyProtection="1">
      <alignment horizontal="center"/>
      <protection hidden="1"/>
    </xf>
    <xf numFmtId="0" fontId="36" fillId="2" borderId="0" xfId="0" applyFont="1" applyFill="1" applyAlignment="1" applyProtection="1">
      <alignment horizontal="left"/>
      <protection hidden="1"/>
    </xf>
    <xf numFmtId="0" fontId="36" fillId="2" borderId="0" xfId="0" applyFont="1" applyFill="1" applyProtection="1">
      <protection hidden="1"/>
    </xf>
    <xf numFmtId="176" fontId="112" fillId="3" borderId="0" xfId="0" applyNumberFormat="1" applyFont="1" applyFill="1" applyAlignment="1" applyProtection="1">
      <alignment horizontal="center"/>
      <protection hidden="1"/>
    </xf>
    <xf numFmtId="39" fontId="116" fillId="3" borderId="0" xfId="0" applyNumberFormat="1" applyFont="1" applyFill="1" applyAlignment="1" applyProtection="1">
      <alignment horizontal="center"/>
      <protection hidden="1"/>
    </xf>
    <xf numFmtId="0" fontId="16" fillId="2" borderId="5" xfId="0" applyFont="1" applyFill="1" applyBorder="1" applyAlignment="1" applyProtection="1">
      <alignment vertical="top"/>
      <protection hidden="1"/>
    </xf>
    <xf numFmtId="0" fontId="34" fillId="2" borderId="21"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0" fillId="15" borderId="0" xfId="0" applyFont="1" applyFill="1" applyAlignment="1" applyProtection="1">
      <alignment horizontal="centerContinuous"/>
      <protection hidden="1"/>
    </xf>
    <xf numFmtId="0" fontId="84" fillId="15" borderId="0" xfId="0" applyFont="1" applyFill="1" applyAlignment="1" applyProtection="1">
      <alignment horizontal="centerContinuous"/>
      <protection hidden="1"/>
    </xf>
    <xf numFmtId="0" fontId="66" fillId="15" borderId="0" xfId="2" applyFill="1" applyAlignment="1" applyProtection="1">
      <protection hidden="1"/>
    </xf>
    <xf numFmtId="0" fontId="5" fillId="15" borderId="0" xfId="0" quotePrefix="1" applyFont="1" applyFill="1" applyAlignment="1" applyProtection="1">
      <alignment horizontal="left" indent="1"/>
      <protection hidden="1"/>
    </xf>
    <xf numFmtId="0" fontId="34" fillId="2" borderId="0" xfId="0" applyFont="1" applyFill="1" applyProtection="1">
      <protection hidden="1"/>
    </xf>
    <xf numFmtId="0" fontId="7" fillId="15" borderId="8" xfId="0" applyFont="1" applyFill="1" applyBorder="1" applyProtection="1">
      <protection hidden="1"/>
    </xf>
    <xf numFmtId="0" fontId="7" fillId="15" borderId="14" xfId="0" applyFont="1" applyFill="1" applyBorder="1" applyProtection="1">
      <protection hidden="1"/>
    </xf>
    <xf numFmtId="0" fontId="3" fillId="8" borderId="30" xfId="0" applyFont="1" applyFill="1" applyBorder="1" applyAlignment="1" applyProtection="1">
      <alignment horizontal="center" vertical="center" wrapText="1"/>
      <protection hidden="1"/>
    </xf>
    <xf numFmtId="0" fontId="5" fillId="15" borderId="4" xfId="0" applyFont="1" applyFill="1" applyBorder="1" applyAlignment="1" applyProtection="1">
      <alignment horizontal="right"/>
      <protection hidden="1"/>
    </xf>
    <xf numFmtId="1" fontId="10" fillId="15" borderId="25" xfId="0" applyNumberFormat="1" applyFont="1" applyFill="1" applyBorder="1" applyAlignment="1" applyProtection="1">
      <alignment horizontal="center" vertical="center" wrapText="1"/>
      <protection hidden="1"/>
    </xf>
    <xf numFmtId="0" fontId="66" fillId="15" borderId="4" xfId="2" applyFill="1" applyBorder="1" applyAlignment="1" applyProtection="1">
      <alignment horizontal="left"/>
      <protection hidden="1"/>
    </xf>
    <xf numFmtId="0" fontId="0" fillId="15" borderId="4" xfId="0" applyFill="1" applyBorder="1" applyAlignment="1">
      <alignment horizontal="left"/>
    </xf>
    <xf numFmtId="0" fontId="66" fillId="15" borderId="4" xfId="2" applyFill="1" applyBorder="1" applyAlignment="1" applyProtection="1">
      <alignment horizontal="right"/>
    </xf>
    <xf numFmtId="0" fontId="192" fillId="0" borderId="0" xfId="0" applyFont="1" applyAlignment="1" applyProtection="1">
      <alignment horizontal="center" vertical="center"/>
      <protection hidden="1"/>
    </xf>
    <xf numFmtId="0" fontId="192" fillId="0" borderId="0" xfId="0" applyFont="1" applyProtection="1">
      <protection hidden="1"/>
    </xf>
    <xf numFmtId="0" fontId="192" fillId="0" borderId="0" xfId="0" applyFont="1" applyAlignment="1" applyProtection="1">
      <alignment horizontal="right"/>
      <protection hidden="1"/>
    </xf>
    <xf numFmtId="0" fontId="193" fillId="0" borderId="0" xfId="0" applyFont="1" applyAlignment="1" applyProtection="1">
      <alignment horizontal="center"/>
      <protection hidden="1"/>
    </xf>
    <xf numFmtId="0" fontId="191" fillId="33" borderId="153" xfId="0" applyFont="1" applyFill="1" applyBorder="1" applyAlignment="1" applyProtection="1">
      <alignment horizontal="left" vertical="center"/>
      <protection hidden="1"/>
    </xf>
    <xf numFmtId="0" fontId="195" fillId="34" borderId="153" xfId="0" applyFont="1" applyFill="1" applyBorder="1" applyAlignment="1" applyProtection="1">
      <alignment vertical="center"/>
      <protection hidden="1"/>
    </xf>
    <xf numFmtId="0" fontId="195" fillId="33" borderId="153" xfId="0" applyFont="1" applyFill="1" applyBorder="1" applyAlignment="1" applyProtection="1">
      <alignment vertical="center"/>
      <protection hidden="1"/>
    </xf>
    <xf numFmtId="0" fontId="195" fillId="34" borderId="153" xfId="0" applyFont="1" applyFill="1" applyBorder="1" applyAlignment="1" applyProtection="1">
      <alignment vertical="center" wrapText="1"/>
      <protection hidden="1"/>
    </xf>
    <xf numFmtId="3" fontId="196" fillId="0" borderId="7" xfId="0" applyNumberFormat="1" applyFont="1" applyBorder="1" applyAlignment="1" applyProtection="1">
      <alignment horizontal="center" wrapText="1"/>
      <protection hidden="1"/>
    </xf>
    <xf numFmtId="0" fontId="0" fillId="23" borderId="0" xfId="0" applyFill="1" applyProtection="1">
      <protection hidden="1"/>
    </xf>
    <xf numFmtId="0" fontId="13" fillId="23" borderId="0" xfId="0" applyFont="1" applyFill="1" applyProtection="1">
      <protection hidden="1"/>
    </xf>
    <xf numFmtId="181" fontId="110" fillId="15" borderId="0" xfId="0" applyNumberFormat="1" applyFont="1" applyFill="1" applyAlignment="1" applyProtection="1">
      <alignment horizontal="right"/>
      <protection hidden="1"/>
    </xf>
    <xf numFmtId="3" fontId="5" fillId="15" borderId="2" xfId="0" applyNumberFormat="1" applyFont="1" applyFill="1" applyBorder="1" applyProtection="1">
      <protection locked="0"/>
    </xf>
    <xf numFmtId="3" fontId="5" fillId="15" borderId="0" xfId="0" applyNumberFormat="1" applyFont="1" applyFill="1" applyProtection="1">
      <protection locked="0"/>
    </xf>
    <xf numFmtId="3" fontId="5" fillId="15" borderId="0" xfId="0" applyNumberFormat="1" applyFont="1" applyFill="1" applyProtection="1">
      <protection hidden="1"/>
    </xf>
    <xf numFmtId="49" fontId="0" fillId="15" borderId="0" xfId="0" applyNumberFormat="1" applyFill="1" applyAlignment="1" applyProtection="1">
      <alignment horizontal="right"/>
      <protection hidden="1"/>
    </xf>
    <xf numFmtId="0" fontId="140" fillId="15" borderId="0" xfId="0" applyFont="1" applyFill="1" applyAlignment="1" applyProtection="1">
      <alignment vertical="center" wrapText="1"/>
      <protection hidden="1"/>
    </xf>
    <xf numFmtId="3" fontId="110" fillId="15" borderId="0" xfId="0" applyNumberFormat="1" applyFont="1" applyFill="1" applyAlignment="1" applyProtection="1">
      <alignment horizontal="center"/>
      <protection hidden="1"/>
    </xf>
    <xf numFmtId="6" fontId="0" fillId="15" borderId="0" xfId="0" applyNumberFormat="1" applyFill="1" applyProtection="1">
      <protection hidden="1"/>
    </xf>
    <xf numFmtId="0" fontId="151" fillId="15" borderId="0" xfId="0" applyFont="1" applyFill="1" applyAlignment="1" applyProtection="1">
      <alignment vertical="center" wrapText="1"/>
      <protection hidden="1"/>
    </xf>
    <xf numFmtId="0" fontId="151" fillId="15" borderId="0" xfId="0" applyFont="1" applyFill="1" applyAlignment="1">
      <alignment vertical="center" wrapText="1"/>
    </xf>
    <xf numFmtId="0" fontId="151" fillId="15" borderId="0" xfId="0" applyFont="1" applyFill="1" applyAlignment="1">
      <alignment vertical="center"/>
    </xf>
    <xf numFmtId="0" fontId="3" fillId="15" borderId="0" xfId="0" applyFont="1" applyFill="1" applyAlignment="1" applyProtection="1">
      <alignment horizontal="center" vertical="center"/>
      <protection locked="0"/>
    </xf>
    <xf numFmtId="0" fontId="197" fillId="15" borderId="0" xfId="0" applyFont="1" applyFill="1" applyAlignment="1" applyProtection="1">
      <alignment vertical="center"/>
      <protection hidden="1"/>
    </xf>
    <xf numFmtId="0" fontId="14" fillId="15" borderId="0" xfId="0" applyFont="1" applyFill="1" applyAlignment="1" applyProtection="1">
      <alignment horizontal="center"/>
      <protection hidden="1"/>
    </xf>
    <xf numFmtId="0" fontId="14" fillId="15" borderId="0" xfId="0" applyFont="1" applyFill="1" applyAlignment="1">
      <alignment horizontal="right" vertical="center" wrapText="1" indent="1"/>
    </xf>
    <xf numFmtId="0" fontId="10" fillId="15" borderId="25" xfId="0" applyFont="1" applyFill="1" applyBorder="1" applyProtection="1">
      <protection hidden="1"/>
    </xf>
    <xf numFmtId="39" fontId="0" fillId="24" borderId="0" xfId="0" applyNumberFormat="1" applyFill="1" applyAlignment="1" applyProtection="1">
      <alignment horizontal="left"/>
      <protection locked="0"/>
    </xf>
    <xf numFmtId="0" fontId="9" fillId="15" borderId="1" xfId="0" applyFont="1" applyFill="1" applyBorder="1" applyProtection="1">
      <protection hidden="1"/>
    </xf>
    <xf numFmtId="0" fontId="122" fillId="15" borderId="0" xfId="0" applyFont="1" applyFill="1" applyAlignment="1" applyProtection="1">
      <alignment horizontal="center"/>
      <protection hidden="1"/>
    </xf>
    <xf numFmtId="0" fontId="3" fillId="15" borderId="30" xfId="0" applyFont="1" applyFill="1" applyBorder="1" applyProtection="1">
      <protection hidden="1"/>
    </xf>
    <xf numFmtId="0" fontId="5" fillId="15" borderId="30" xfId="0" applyFont="1" applyFill="1" applyBorder="1" applyProtection="1">
      <protection hidden="1"/>
    </xf>
    <xf numFmtId="0" fontId="3" fillId="15" borderId="0" xfId="0" applyFont="1" applyFill="1" applyAlignment="1" applyProtection="1">
      <alignment vertical="center"/>
      <protection hidden="1"/>
    </xf>
    <xf numFmtId="0" fontId="7" fillId="15" borderId="0" xfId="0" applyFont="1" applyFill="1" applyAlignment="1" applyProtection="1">
      <alignment horizontal="left" indent="1"/>
      <protection hidden="1"/>
    </xf>
    <xf numFmtId="0" fontId="14" fillId="15" borderId="25" xfId="0" applyFont="1" applyFill="1" applyBorder="1" applyAlignment="1" applyProtection="1">
      <alignment horizontal="center"/>
      <protection hidden="1"/>
    </xf>
    <xf numFmtId="0" fontId="5" fillId="15" borderId="25" xfId="0" applyFont="1" applyFill="1" applyBorder="1" applyProtection="1">
      <protection hidden="1"/>
    </xf>
    <xf numFmtId="0" fontId="0" fillId="15" borderId="1" xfId="0" applyFill="1" applyBorder="1" applyAlignment="1" applyProtection="1">
      <alignment horizontal="right" indent="1"/>
      <protection hidden="1"/>
    </xf>
    <xf numFmtId="0" fontId="46" fillId="15" borderId="1" xfId="0" applyFont="1" applyFill="1" applyBorder="1" applyProtection="1">
      <protection hidden="1"/>
    </xf>
    <xf numFmtId="0" fontId="0" fillId="23" borderId="0" xfId="0" applyFill="1" applyAlignment="1" applyProtection="1">
      <alignment vertical="top"/>
      <protection hidden="1"/>
    </xf>
    <xf numFmtId="0" fontId="5" fillId="15" borderId="1" xfId="0" applyFont="1" applyFill="1" applyBorder="1" applyAlignment="1" applyProtection="1">
      <alignment vertical="top"/>
      <protection hidden="1"/>
    </xf>
    <xf numFmtId="0" fontId="0" fillId="19" borderId="9" xfId="0" applyFill="1" applyBorder="1" applyProtection="1">
      <protection hidden="1"/>
    </xf>
    <xf numFmtId="0" fontId="14" fillId="15" borderId="0" xfId="0" applyFont="1" applyFill="1" applyAlignment="1" applyProtection="1">
      <alignment horizontal="right" vertical="center"/>
      <protection hidden="1"/>
    </xf>
    <xf numFmtId="0" fontId="10" fillId="15" borderId="24" xfId="0" applyFont="1" applyFill="1" applyBorder="1" applyAlignment="1" applyProtection="1">
      <alignment horizontal="left"/>
      <protection hidden="1"/>
    </xf>
    <xf numFmtId="0" fontId="14" fillId="15" borderId="1" xfId="0" applyFont="1" applyFill="1" applyBorder="1" applyAlignment="1" applyProtection="1">
      <alignment horizontal="right" vertical="center"/>
      <protection hidden="1"/>
    </xf>
    <xf numFmtId="0" fontId="7" fillId="15" borderId="24" xfId="0" applyFont="1" applyFill="1" applyBorder="1" applyProtection="1">
      <protection hidden="1"/>
    </xf>
    <xf numFmtId="0" fontId="8" fillId="15" borderId="9" xfId="0" applyFont="1" applyFill="1" applyBorder="1" applyAlignment="1" applyProtection="1">
      <alignment horizontal="right" vertical="center"/>
      <protection hidden="1"/>
    </xf>
    <xf numFmtId="0" fontId="7" fillId="15" borderId="11" xfId="0" applyFont="1" applyFill="1" applyBorder="1" applyProtection="1">
      <protection hidden="1"/>
    </xf>
    <xf numFmtId="0" fontId="11" fillId="15" borderId="9" xfId="0" applyFont="1" applyFill="1" applyBorder="1" applyAlignment="1" applyProtection="1">
      <alignment horizontal="right" vertical="center"/>
      <protection hidden="1"/>
    </xf>
    <xf numFmtId="0" fontId="9" fillId="15" borderId="11" xfId="0" applyFont="1" applyFill="1" applyBorder="1" applyProtection="1">
      <protection hidden="1"/>
    </xf>
    <xf numFmtId="0" fontId="5" fillId="15" borderId="1" xfId="0" applyFont="1" applyFill="1" applyBorder="1" applyAlignment="1" applyProtection="1">
      <alignment horizontal="left"/>
      <protection hidden="1"/>
    </xf>
    <xf numFmtId="0" fontId="3" fillId="15" borderId="8" xfId="0" applyFont="1" applyFill="1" applyBorder="1" applyAlignment="1" applyProtection="1">
      <alignment horizontal="center"/>
      <protection hidden="1"/>
    </xf>
    <xf numFmtId="0" fontId="0" fillId="15" borderId="8" xfId="0" applyFill="1" applyBorder="1" applyAlignment="1" applyProtection="1">
      <alignment vertical="top"/>
      <protection hidden="1"/>
    </xf>
    <xf numFmtId="0" fontId="3" fillId="15" borderId="25" xfId="0" applyFont="1" applyFill="1" applyBorder="1" applyProtection="1">
      <protection hidden="1"/>
    </xf>
    <xf numFmtId="0" fontId="8" fillId="15" borderId="0" xfId="0" applyFont="1" applyFill="1" applyProtection="1">
      <protection hidden="1"/>
    </xf>
    <xf numFmtId="0" fontId="8" fillId="15" borderId="0" xfId="0" applyFont="1" applyFill="1" applyAlignment="1" applyProtection="1">
      <alignment vertical="top"/>
      <protection hidden="1"/>
    </xf>
    <xf numFmtId="0" fontId="112" fillId="15" borderId="3" xfId="0" applyFont="1" applyFill="1" applyBorder="1" applyAlignment="1" applyProtection="1">
      <alignment horizontal="center"/>
      <protection hidden="1"/>
    </xf>
    <xf numFmtId="0" fontId="169" fillId="15" borderId="3" xfId="0" applyFont="1" applyFill="1" applyBorder="1" applyAlignment="1" applyProtection="1">
      <alignment horizontal="left" vertical="center"/>
      <protection hidden="1"/>
    </xf>
    <xf numFmtId="0" fontId="14" fillId="15" borderId="4" xfId="0" applyFont="1" applyFill="1" applyBorder="1" applyAlignment="1" applyProtection="1">
      <alignment horizontal="center" wrapText="1"/>
      <protection hidden="1"/>
    </xf>
    <xf numFmtId="0" fontId="122" fillId="15" borderId="4" xfId="0" applyFont="1" applyFill="1" applyBorder="1" applyProtection="1">
      <protection hidden="1"/>
    </xf>
    <xf numFmtId="0" fontId="10" fillId="15" borderId="25" xfId="0" applyFont="1" applyFill="1" applyBorder="1" applyAlignment="1" applyProtection="1">
      <alignment vertical="center"/>
      <protection hidden="1"/>
    </xf>
    <xf numFmtId="0" fontId="198" fillId="15" borderId="0" xfId="0" applyFont="1" applyFill="1" applyProtection="1">
      <protection hidden="1"/>
    </xf>
    <xf numFmtId="0" fontId="135" fillId="15" borderId="0" xfId="0" applyFont="1" applyFill="1" applyProtection="1">
      <protection hidden="1"/>
    </xf>
    <xf numFmtId="0" fontId="5" fillId="15" borderId="25" xfId="0" applyFont="1" applyFill="1" applyBorder="1" applyAlignment="1" applyProtection="1">
      <alignment vertical="center"/>
      <protection hidden="1"/>
    </xf>
    <xf numFmtId="0" fontId="0" fillId="15" borderId="30" xfId="0" applyFill="1" applyBorder="1" applyAlignment="1" applyProtection="1">
      <alignment vertical="top"/>
      <protection hidden="1"/>
    </xf>
    <xf numFmtId="0" fontId="5" fillId="19" borderId="3" xfId="0" applyFont="1" applyFill="1" applyBorder="1" applyProtection="1">
      <protection hidden="1"/>
    </xf>
    <xf numFmtId="0" fontId="5" fillId="19" borderId="0" xfId="0" applyFont="1" applyFill="1" applyProtection="1">
      <protection hidden="1"/>
    </xf>
    <xf numFmtId="0" fontId="5" fillId="19" borderId="24" xfId="0" applyFont="1" applyFill="1" applyBorder="1" applyProtection="1">
      <protection hidden="1"/>
    </xf>
    <xf numFmtId="0" fontId="5" fillId="15" borderId="3" xfId="0" applyFont="1" applyFill="1" applyBorder="1" applyProtection="1">
      <protection hidden="1"/>
    </xf>
    <xf numFmtId="0" fontId="5" fillId="15" borderId="24" xfId="0" applyFont="1" applyFill="1" applyBorder="1" applyProtection="1">
      <protection hidden="1"/>
    </xf>
    <xf numFmtId="0" fontId="5" fillId="19" borderId="9" xfId="0" applyFont="1" applyFill="1" applyBorder="1" applyProtection="1">
      <protection hidden="1"/>
    </xf>
    <xf numFmtId="0" fontId="5" fillId="19" borderId="1" xfId="0" applyFont="1" applyFill="1" applyBorder="1" applyProtection="1">
      <protection hidden="1"/>
    </xf>
    <xf numFmtId="0" fontId="5" fillId="19" borderId="11" xfId="0" applyFont="1" applyFill="1" applyBorder="1" applyProtection="1">
      <protection hidden="1"/>
    </xf>
    <xf numFmtId="4" fontId="3" fillId="27" borderId="66" xfId="0" applyNumberFormat="1" applyFont="1" applyFill="1" applyBorder="1" applyProtection="1">
      <protection hidden="1"/>
    </xf>
    <xf numFmtId="4" fontId="3" fillId="27" borderId="58" xfId="0" applyNumberFormat="1" applyFont="1" applyFill="1" applyBorder="1" applyProtection="1">
      <protection hidden="1"/>
    </xf>
    <xf numFmtId="4" fontId="5" fillId="24" borderId="0" xfId="0" applyNumberFormat="1" applyFont="1" applyFill="1" applyAlignment="1" applyProtection="1">
      <alignment wrapText="1"/>
      <protection locked="0"/>
    </xf>
    <xf numFmtId="0" fontId="5" fillId="0" borderId="0" xfId="0" applyFont="1" applyAlignment="1">
      <alignment horizontal="left" wrapText="1"/>
    </xf>
    <xf numFmtId="0" fontId="124" fillId="0" borderId="0" xfId="0" applyFont="1" applyProtection="1">
      <protection hidden="1"/>
    </xf>
    <xf numFmtId="0" fontId="116" fillId="0" borderId="0" xfId="0" applyFont="1" applyProtection="1">
      <protection hidden="1"/>
    </xf>
    <xf numFmtId="0" fontId="110" fillId="0" borderId="0" xfId="0" quotePrefix="1" applyFont="1" applyAlignment="1" applyProtection="1">
      <alignment horizontal="right"/>
      <protection hidden="1"/>
    </xf>
    <xf numFmtId="4" fontId="116" fillId="0" borderId="0" xfId="0" applyNumberFormat="1" applyFont="1" applyProtection="1">
      <protection hidden="1"/>
    </xf>
    <xf numFmtId="0" fontId="0" fillId="15" borderId="71" xfId="0" applyFill="1" applyBorder="1"/>
    <xf numFmtId="0" fontId="0" fillId="15" borderId="32" xfId="0" applyFill="1" applyBorder="1"/>
    <xf numFmtId="0" fontId="0" fillId="15" borderId="100" xfId="0" applyFill="1" applyBorder="1"/>
    <xf numFmtId="0" fontId="0" fillId="15" borderId="75" xfId="0" applyFill="1" applyBorder="1"/>
    <xf numFmtId="0" fontId="0" fillId="15" borderId="72" xfId="0" applyFill="1" applyBorder="1"/>
    <xf numFmtId="0" fontId="0" fillId="15" borderId="13" xfId="0" applyFill="1" applyBorder="1"/>
    <xf numFmtId="0" fontId="0" fillId="15" borderId="33" xfId="0" applyFill="1" applyBorder="1"/>
    <xf numFmtId="0" fontId="0" fillId="19" borderId="0" xfId="0" applyFill="1"/>
    <xf numFmtId="0" fontId="147" fillId="15" borderId="0" xfId="0" applyFont="1" applyFill="1"/>
    <xf numFmtId="0" fontId="66" fillId="15" borderId="0" xfId="2" applyFill="1" applyAlignment="1" applyProtection="1"/>
    <xf numFmtId="0" fontId="5" fillId="15" borderId="15" xfId="0" applyFont="1" applyFill="1" applyBorder="1" applyAlignment="1">
      <alignment horizontal="center"/>
    </xf>
    <xf numFmtId="0" fontId="0" fillId="15" borderId="6" xfId="0" applyFill="1" applyBorder="1"/>
    <xf numFmtId="0" fontId="0" fillId="15" borderId="10" xfId="0" applyFill="1" applyBorder="1"/>
    <xf numFmtId="4" fontId="122" fillId="2" borderId="0" xfId="0" applyNumberFormat="1" applyFont="1" applyFill="1" applyAlignment="1" applyProtection="1">
      <alignment horizontal="left" indent="1"/>
      <protection hidden="1"/>
    </xf>
    <xf numFmtId="4" fontId="110" fillId="2" borderId="0" xfId="0" applyNumberFormat="1" applyFont="1" applyFill="1" applyAlignment="1" applyProtection="1">
      <alignment horizontal="left" indent="1"/>
      <protection hidden="1"/>
    </xf>
    <xf numFmtId="0" fontId="169" fillId="15" borderId="0" xfId="0" applyFont="1" applyFill="1" applyAlignment="1" applyProtection="1">
      <alignment horizontal="right" vertical="center"/>
      <protection hidden="1"/>
    </xf>
    <xf numFmtId="4" fontId="3" fillId="21"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3" fillId="3" borderId="0" xfId="0" applyNumberFormat="1" applyFont="1" applyFill="1" applyAlignment="1" applyProtection="1">
      <alignment horizontal="center" vertical="center"/>
      <protection hidden="1"/>
    </xf>
    <xf numFmtId="39" fontId="126"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1" fillId="2" borderId="0" xfId="0" applyFont="1" applyFill="1" applyAlignment="1">
      <alignment horizontal="center"/>
    </xf>
    <xf numFmtId="39" fontId="110"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39" fontId="21" fillId="3" borderId="0" xfId="0" applyNumberFormat="1" applyFont="1" applyFill="1" applyAlignment="1" applyProtection="1">
      <alignment horizontal="center"/>
      <protection hidden="1"/>
    </xf>
    <xf numFmtId="4" fontId="5" fillId="3" borderId="0" xfId="0" applyNumberFormat="1" applyFont="1" applyFill="1" applyAlignment="1" applyProtection="1">
      <alignment horizontal="center"/>
      <protection hidden="1"/>
    </xf>
    <xf numFmtId="4" fontId="110" fillId="2" borderId="0" xfId="0" applyNumberFormat="1" applyFont="1" applyFill="1" applyAlignment="1" applyProtection="1">
      <alignment horizontal="center"/>
      <protection hidden="1"/>
    </xf>
    <xf numFmtId="4" fontId="5" fillId="2" borderId="0" xfId="0" applyNumberFormat="1" applyFont="1" applyFill="1" applyAlignment="1" applyProtection="1">
      <alignment horizontal="center"/>
      <protection hidden="1"/>
    </xf>
    <xf numFmtId="4" fontId="5" fillId="0" borderId="0" xfId="0" applyNumberFormat="1" applyFont="1" applyAlignment="1" applyProtection="1">
      <alignment horizontal="center"/>
      <protection hidden="1"/>
    </xf>
    <xf numFmtId="4" fontId="5" fillId="15" borderId="0" xfId="0" applyNumberFormat="1" applyFont="1" applyFill="1" applyAlignment="1" applyProtection="1">
      <alignment horizontal="center"/>
      <protection hidden="1"/>
    </xf>
    <xf numFmtId="0" fontId="5" fillId="15" borderId="0" xfId="0" applyFont="1" applyFill="1" applyAlignment="1">
      <alignment horizontal="center"/>
    </xf>
    <xf numFmtId="37" fontId="30" fillId="2" borderId="10" xfId="0" applyNumberFormat="1" applyFont="1" applyFill="1" applyBorder="1" applyProtection="1">
      <protection locked="0"/>
    </xf>
    <xf numFmtId="37" fontId="30" fillId="2" borderId="12" xfId="0" applyNumberFormat="1" applyFont="1" applyFill="1" applyBorder="1" applyProtection="1">
      <protection locked="0"/>
    </xf>
    <xf numFmtId="0" fontId="0" fillId="2" borderId="156" xfId="0" applyFill="1" applyBorder="1" applyProtection="1">
      <protection hidden="1"/>
    </xf>
    <xf numFmtId="0" fontId="8" fillId="15" borderId="0" xfId="0" applyFont="1" applyFill="1" applyAlignment="1">
      <alignment horizontal="center"/>
    </xf>
    <xf numFmtId="0" fontId="14" fillId="15" borderId="0" xfId="0" quotePrefix="1" applyFont="1" applyFill="1" applyAlignment="1">
      <alignment horizontal="right" vertical="center"/>
    </xf>
    <xf numFmtId="0" fontId="14" fillId="15" borderId="5" xfId="0" quotePrefix="1" applyFont="1" applyFill="1" applyBorder="1" applyAlignment="1">
      <alignment horizontal="right"/>
    </xf>
    <xf numFmtId="3" fontId="110" fillId="15" borderId="0" xfId="0" applyNumberFormat="1" applyFont="1" applyFill="1" applyAlignment="1">
      <alignment wrapText="1"/>
    </xf>
    <xf numFmtId="4" fontId="3" fillId="32" borderId="142" xfId="0" applyNumberFormat="1" applyFont="1" applyFill="1" applyBorder="1" applyAlignment="1" applyProtection="1">
      <alignment horizontal="center"/>
      <protection locked="0"/>
    </xf>
    <xf numFmtId="4" fontId="3" fillId="32" borderId="143" xfId="0" applyNumberFormat="1" applyFont="1" applyFill="1" applyBorder="1" applyAlignment="1" applyProtection="1">
      <alignment horizontal="center"/>
      <protection locked="0"/>
    </xf>
    <xf numFmtId="4" fontId="3" fillId="32" borderId="144" xfId="0" applyNumberFormat="1" applyFont="1" applyFill="1" applyBorder="1" applyAlignment="1" applyProtection="1">
      <alignment horizontal="center"/>
      <protection locked="0"/>
    </xf>
    <xf numFmtId="4" fontId="3" fillId="32" borderId="145" xfId="0" applyNumberFormat="1" applyFont="1" applyFill="1" applyBorder="1" applyAlignment="1" applyProtection="1">
      <alignment horizontal="center"/>
      <protection locked="0"/>
    </xf>
    <xf numFmtId="4" fontId="0" fillId="15" borderId="0" xfId="0" applyNumberFormat="1" applyFill="1"/>
    <xf numFmtId="49" fontId="3" fillId="32" borderId="142" xfId="0" applyNumberFormat="1" applyFont="1" applyFill="1" applyBorder="1" applyAlignment="1" applyProtection="1">
      <alignment horizontal="center"/>
      <protection locked="0"/>
    </xf>
    <xf numFmtId="49" fontId="3" fillId="32" borderId="143" xfId="0" applyNumberFormat="1" applyFont="1" applyFill="1" applyBorder="1" applyAlignment="1" applyProtection="1">
      <alignment horizontal="center"/>
      <protection locked="0"/>
    </xf>
    <xf numFmtId="49" fontId="3" fillId="32" borderId="144" xfId="0" applyNumberFormat="1" applyFont="1" applyFill="1" applyBorder="1" applyAlignment="1" applyProtection="1">
      <alignment horizontal="center"/>
      <protection locked="0"/>
    </xf>
    <xf numFmtId="49" fontId="3" fillId="32" borderId="145" xfId="0" applyNumberFormat="1" applyFont="1" applyFill="1" applyBorder="1" applyAlignment="1" applyProtection="1">
      <alignment horizontal="center"/>
      <protection locked="0"/>
    </xf>
    <xf numFmtId="4" fontId="109" fillId="15" borderId="0" xfId="0" applyNumberFormat="1" applyFont="1" applyFill="1" applyAlignment="1" applyProtection="1">
      <alignment vertical="top"/>
      <protection hidden="1"/>
    </xf>
    <xf numFmtId="4" fontId="109" fillId="15" borderId="0" xfId="0" applyNumberFormat="1" applyFont="1" applyFill="1" applyProtection="1">
      <protection hidden="1"/>
    </xf>
    <xf numFmtId="0" fontId="0" fillId="15" borderId="44" xfId="0" applyFill="1" applyBorder="1"/>
    <xf numFmtId="4" fontId="5" fillId="2" borderId="5" xfId="0" applyNumberFormat="1" applyFont="1" applyFill="1" applyBorder="1" applyProtection="1">
      <protection hidden="1"/>
    </xf>
    <xf numFmtId="37" fontId="200" fillId="3" borderId="3" xfId="0" applyNumberFormat="1" applyFont="1" applyFill="1" applyBorder="1" applyAlignment="1" applyProtection="1">
      <alignment horizontal="left"/>
      <protection hidden="1"/>
    </xf>
    <xf numFmtId="39" fontId="200"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10"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09" fillId="15" borderId="0" xfId="0" applyNumberFormat="1" applyFont="1" applyFill="1"/>
    <xf numFmtId="0" fontId="109" fillId="2" borderId="0" xfId="0" applyFont="1" applyFill="1" applyAlignment="1" applyProtection="1">
      <alignment vertical="center" wrapText="1"/>
      <protection hidden="1"/>
    </xf>
    <xf numFmtId="39" fontId="109" fillId="24"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xf numFmtId="39" fontId="10" fillId="24" borderId="0" xfId="0" applyNumberFormat="1" applyFont="1" applyFill="1" applyProtection="1">
      <protection locked="0"/>
    </xf>
    <xf numFmtId="0" fontId="3" fillId="15" borderId="0" xfId="0" quotePrefix="1" applyFont="1" applyFill="1" applyAlignment="1" applyProtection="1">
      <alignment horizontal="left"/>
      <protection hidden="1"/>
    </xf>
    <xf numFmtId="0" fontId="9" fillId="15" borderId="97" xfId="0" applyFont="1" applyFill="1" applyBorder="1" applyProtection="1">
      <protection hidden="1"/>
    </xf>
    <xf numFmtId="0" fontId="0" fillId="15" borderId="94" xfId="0" applyFill="1" applyBorder="1" applyProtection="1">
      <protection hidden="1"/>
    </xf>
    <xf numFmtId="0" fontId="0" fillId="15" borderId="94" xfId="0" applyFill="1" applyBorder="1"/>
    <xf numFmtId="0" fontId="9" fillId="15" borderId="94" xfId="0" quotePrefix="1" applyFont="1" applyFill="1" applyBorder="1"/>
    <xf numFmtId="0" fontId="0" fillId="15" borderId="95" xfId="0" applyFill="1" applyBorder="1"/>
    <xf numFmtId="0" fontId="9" fillId="15" borderId="157" xfId="0" applyFont="1" applyFill="1" applyBorder="1" applyProtection="1">
      <protection hidden="1"/>
    </xf>
    <xf numFmtId="0" fontId="0" fillId="15" borderId="154" xfId="0" applyFill="1" applyBorder="1" applyProtection="1">
      <protection hidden="1"/>
    </xf>
    <xf numFmtId="0" fontId="0" fillId="15" borderId="154" xfId="0" applyFill="1" applyBorder="1"/>
    <xf numFmtId="0" fontId="0" fillId="15" borderId="84" xfId="0" applyFill="1" applyBorder="1"/>
    <xf numFmtId="0" fontId="9" fillId="15" borderId="98" xfId="0" applyFont="1" applyFill="1" applyBorder="1" applyProtection="1">
      <protection hidden="1"/>
    </xf>
    <xf numFmtId="0" fontId="112" fillId="15" borderId="0" xfId="0" applyFont="1" applyFill="1"/>
    <xf numFmtId="0" fontId="106" fillId="15" borderId="0" xfId="0" applyFont="1" applyFill="1" applyProtection="1">
      <protection hidden="1"/>
    </xf>
    <xf numFmtId="0" fontId="9" fillId="15" borderId="44" xfId="0" applyFont="1" applyFill="1" applyBorder="1"/>
    <xf numFmtId="0" fontId="3" fillId="2" borderId="1" xfId="0" applyFont="1" applyFill="1" applyBorder="1" applyAlignment="1" applyProtection="1">
      <alignment horizontal="right"/>
      <protection hidden="1"/>
    </xf>
    <xf numFmtId="39" fontId="9" fillId="3" borderId="20" xfId="0" applyNumberFormat="1" applyFont="1" applyFill="1" applyBorder="1" applyAlignment="1" applyProtection="1">
      <alignment horizontal="right"/>
      <protection hidden="1"/>
    </xf>
    <xf numFmtId="0" fontId="9" fillId="3" borderId="158" xfId="0" applyFont="1" applyFill="1" applyBorder="1" applyAlignment="1" applyProtection="1">
      <alignment horizontal="left"/>
      <protection hidden="1"/>
    </xf>
    <xf numFmtId="37" fontId="8" fillId="20" borderId="29" xfId="0" applyNumberFormat="1" applyFont="1" applyFill="1" applyBorder="1" applyAlignment="1" applyProtection="1">
      <alignment horizontal="right"/>
      <protection locked="0"/>
    </xf>
    <xf numFmtId="37" fontId="8" fillId="16" borderId="77" xfId="0" applyNumberFormat="1" applyFont="1" applyFill="1" applyBorder="1" applyAlignment="1" applyProtection="1">
      <alignment horizontal="right"/>
      <protection locked="0"/>
    </xf>
    <xf numFmtId="37" fontId="8" fillId="16" borderId="29" xfId="0" applyNumberFormat="1" applyFont="1" applyFill="1" applyBorder="1" applyAlignment="1" applyProtection="1">
      <alignment horizontal="right"/>
      <protection locked="0"/>
    </xf>
    <xf numFmtId="37" fontId="8" fillId="16" borderId="79" xfId="0" applyNumberFormat="1" applyFont="1" applyFill="1" applyBorder="1" applyAlignment="1" applyProtection="1">
      <alignment horizontal="right"/>
      <protection locked="0"/>
    </xf>
    <xf numFmtId="4" fontId="0" fillId="0" borderId="2" xfId="0" applyNumberFormat="1" applyBorder="1" applyProtection="1">
      <protection locked="0"/>
    </xf>
    <xf numFmtId="0" fontId="144" fillId="0" borderId="0" xfId="0" applyFont="1" applyAlignment="1">
      <alignment vertical="center"/>
    </xf>
    <xf numFmtId="0" fontId="14" fillId="5" borderId="0" xfId="0" applyFont="1" applyFill="1" applyAlignment="1" applyProtection="1">
      <alignment horizontal="center" vertical="center"/>
      <protection locked="0"/>
    </xf>
    <xf numFmtId="0" fontId="0" fillId="0" borderId="16" xfId="0" applyBorder="1"/>
    <xf numFmtId="39" fontId="110" fillId="3" borderId="30" xfId="0" applyNumberFormat="1" applyFont="1" applyFill="1" applyBorder="1" applyAlignment="1" applyProtection="1">
      <alignment horizontal="center"/>
      <protection hidden="1"/>
    </xf>
    <xf numFmtId="39" fontId="110" fillId="3" borderId="3" xfId="0" applyNumberFormat="1" applyFont="1" applyFill="1" applyBorder="1" applyAlignment="1" applyProtection="1">
      <alignment horizontal="center"/>
      <protection hidden="1"/>
    </xf>
    <xf numFmtId="0" fontId="7" fillId="24" borderId="0" xfId="0" applyFont="1" applyFill="1" applyAlignment="1" applyProtection="1">
      <alignment horizontal="left" vertical="top"/>
      <protection hidden="1"/>
    </xf>
    <xf numFmtId="39" fontId="112" fillId="3" borderId="0" xfId="0" applyNumberFormat="1" applyFont="1" applyFill="1" applyAlignment="1" applyProtection="1">
      <alignment horizontal="center"/>
      <protection hidden="1"/>
    </xf>
    <xf numFmtId="1" fontId="110" fillId="3" borderId="0" xfId="0" applyNumberFormat="1" applyFont="1" applyFill="1" applyAlignment="1" applyProtection="1">
      <alignment horizontal="center"/>
      <protection hidden="1"/>
    </xf>
    <xf numFmtId="1" fontId="112"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5" borderId="5" xfId="0" applyFill="1" applyBorder="1" applyAlignment="1" applyProtection="1">
      <alignment horizontal="left" vertical="center" wrapText="1" indent="2"/>
      <protection hidden="1"/>
    </xf>
    <xf numFmtId="0" fontId="3" fillId="15" borderId="0" xfId="0" applyFont="1" applyFill="1" applyAlignment="1" applyProtection="1">
      <alignment horizontal="center" vertical="center" wrapText="1"/>
      <protection hidden="1"/>
    </xf>
    <xf numFmtId="0" fontId="3" fillId="15" borderId="0" xfId="0" applyFont="1" applyFill="1" applyAlignment="1" applyProtection="1">
      <alignment horizontal="center" vertical="top" wrapText="1"/>
      <protection hidden="1"/>
    </xf>
    <xf numFmtId="0" fontId="3" fillId="15" borderId="0" xfId="0" applyFont="1" applyFill="1" applyAlignment="1" applyProtection="1">
      <alignment horizontal="center" vertical="center"/>
      <protection hidden="1"/>
    </xf>
    <xf numFmtId="0" fontId="5" fillId="15" borderId="0" xfId="0" applyFont="1" applyFill="1" applyAlignment="1" applyProtection="1">
      <alignment horizontal="center" vertical="center"/>
      <protection hidden="1"/>
    </xf>
    <xf numFmtId="0" fontId="3" fillId="15" borderId="0" xfId="0" applyFont="1" applyFill="1" applyAlignment="1" applyProtection="1">
      <alignment horizontal="right" vertical="center"/>
      <protection hidden="1"/>
    </xf>
    <xf numFmtId="0" fontId="5" fillId="15" borderId="0" xfId="0" applyFont="1" applyFill="1" applyAlignment="1" applyProtection="1">
      <alignment vertical="center"/>
      <protection hidden="1"/>
    </xf>
    <xf numFmtId="0" fontId="3" fillId="15" borderId="4" xfId="0" applyFont="1" applyFill="1" applyBorder="1" applyProtection="1">
      <protection hidden="1"/>
    </xf>
    <xf numFmtId="0" fontId="0" fillId="23" borderId="0" xfId="0" applyFill="1" applyAlignment="1" applyProtection="1">
      <alignment vertical="center"/>
      <protection hidden="1"/>
    </xf>
    <xf numFmtId="0" fontId="0" fillId="15" borderId="30" xfId="0" applyFill="1" applyBorder="1" applyAlignment="1">
      <alignment vertical="center"/>
    </xf>
    <xf numFmtId="0" fontId="5" fillId="15" borderId="3" xfId="0" applyFont="1" applyFill="1" applyBorder="1" applyAlignment="1" applyProtection="1">
      <alignment horizontal="left" vertical="center"/>
      <protection hidden="1"/>
    </xf>
    <xf numFmtId="0" fontId="5" fillId="15" borderId="24" xfId="0" applyFont="1" applyFill="1" applyBorder="1" applyAlignment="1" applyProtection="1">
      <alignment horizontal="left" vertical="center"/>
      <protection hidden="1"/>
    </xf>
    <xf numFmtId="0" fontId="3" fillId="19" borderId="3" xfId="0" applyFont="1" applyFill="1" applyBorder="1" applyAlignment="1" applyProtection="1">
      <alignment horizontal="center" vertical="center"/>
      <protection hidden="1"/>
    </xf>
    <xf numFmtId="0" fontId="3" fillId="19" borderId="0" xfId="0" applyFont="1" applyFill="1" applyAlignment="1" applyProtection="1">
      <alignment horizontal="center" vertical="center"/>
      <protection hidden="1"/>
    </xf>
    <xf numFmtId="0" fontId="0" fillId="19" borderId="30" xfId="0" applyFill="1" applyBorder="1" applyAlignment="1">
      <alignment vertical="center"/>
    </xf>
    <xf numFmtId="0" fontId="0" fillId="19" borderId="3" xfId="0" applyFill="1" applyBorder="1" applyAlignment="1">
      <alignment vertical="center"/>
    </xf>
    <xf numFmtId="0" fontId="5" fillId="19" borderId="3" xfId="0" applyFont="1" applyFill="1" applyBorder="1" applyAlignment="1" applyProtection="1">
      <alignment horizontal="left" vertical="center"/>
      <protection hidden="1"/>
    </xf>
    <xf numFmtId="0" fontId="0" fillId="19" borderId="14" xfId="0" applyFill="1" applyBorder="1" applyAlignment="1">
      <alignment vertical="center"/>
    </xf>
    <xf numFmtId="0" fontId="0" fillId="19" borderId="24" xfId="0" applyFill="1" applyBorder="1" applyAlignment="1">
      <alignment vertical="center"/>
    </xf>
    <xf numFmtId="0" fontId="5" fillId="19" borderId="24" xfId="0" applyFont="1" applyFill="1" applyBorder="1" applyAlignment="1" applyProtection="1">
      <alignment horizontal="left" vertical="center"/>
      <protection hidden="1"/>
    </xf>
    <xf numFmtId="0" fontId="201" fillId="15" borderId="0" xfId="0" applyFont="1" applyFill="1" applyAlignment="1" applyProtection="1">
      <alignment horizontal="right"/>
      <protection hidden="1"/>
    </xf>
    <xf numFmtId="0" fontId="202" fillId="15" borderId="0" xfId="0" applyFont="1" applyFill="1" applyAlignment="1">
      <alignment vertical="center"/>
    </xf>
    <xf numFmtId="0" fontId="202" fillId="15" borderId="0" xfId="0" applyFont="1" applyFill="1" applyAlignment="1" applyProtection="1">
      <alignment horizontal="left" vertical="center"/>
      <protection hidden="1"/>
    </xf>
    <xf numFmtId="0" fontId="202" fillId="15" borderId="0" xfId="0" applyFont="1" applyFill="1" applyAlignment="1" applyProtection="1">
      <alignment horizontal="left"/>
      <protection hidden="1"/>
    </xf>
    <xf numFmtId="0" fontId="202" fillId="15" borderId="0" xfId="0" applyFont="1" applyFill="1" applyProtection="1">
      <protection hidden="1"/>
    </xf>
    <xf numFmtId="0" fontId="202" fillId="15" borderId="0" xfId="0" applyFont="1" applyFill="1" applyAlignment="1" applyProtection="1">
      <alignment horizontal="center" vertical="center"/>
      <protection hidden="1"/>
    </xf>
    <xf numFmtId="0" fontId="203" fillId="15" borderId="0" xfId="0" applyFont="1" applyFill="1" applyAlignment="1" applyProtection="1">
      <alignment horizontal="center" vertical="center"/>
      <protection hidden="1"/>
    </xf>
    <xf numFmtId="0" fontId="72" fillId="15" borderId="25" xfId="0" applyFont="1" applyFill="1" applyBorder="1" applyProtection="1">
      <protection hidden="1"/>
    </xf>
    <xf numFmtId="0" fontId="10" fillId="15" borderId="0" xfId="0" applyFont="1" applyFill="1" applyAlignment="1" applyProtection="1">
      <alignment horizontal="center" vertical="center"/>
      <protection hidden="1"/>
    </xf>
    <xf numFmtId="0" fontId="3" fillId="15" borderId="0" xfId="0" applyFont="1" applyFill="1" applyAlignment="1" applyProtection="1">
      <alignment horizontal="left" vertical="center"/>
      <protection hidden="1"/>
    </xf>
    <xf numFmtId="4" fontId="110" fillId="15" borderId="0" xfId="0" applyNumberFormat="1" applyFont="1" applyFill="1" applyProtection="1">
      <protection hidden="1"/>
    </xf>
    <xf numFmtId="0" fontId="5" fillId="15" borderId="0" xfId="0" applyFont="1" applyFill="1" applyAlignment="1">
      <alignment horizontal="left"/>
    </xf>
    <xf numFmtId="0" fontId="110" fillId="15" borderId="23" xfId="4" applyFont="1" applyFill="1" applyBorder="1" applyProtection="1">
      <protection hidden="1"/>
    </xf>
    <xf numFmtId="0" fontId="110" fillId="15" borderId="7" xfId="4" applyFont="1" applyFill="1" applyBorder="1" applyProtection="1">
      <protection hidden="1"/>
    </xf>
    <xf numFmtId="0" fontId="124" fillId="15" borderId="7" xfId="4" applyFont="1" applyFill="1" applyBorder="1" applyProtection="1">
      <protection hidden="1"/>
    </xf>
    <xf numFmtId="0" fontId="110" fillId="15" borderId="7" xfId="4" applyFont="1" applyFill="1" applyBorder="1" applyAlignment="1" applyProtection="1">
      <alignment horizontal="center"/>
      <protection hidden="1"/>
    </xf>
    <xf numFmtId="8" fontId="195" fillId="34" borderId="12" xfId="0" applyNumberFormat="1" applyFont="1" applyFill="1" applyBorder="1" applyAlignment="1" applyProtection="1">
      <alignment horizontal="right" vertical="center"/>
      <protection hidden="1"/>
    </xf>
    <xf numFmtId="8" fontId="195" fillId="33" borderId="12" xfId="0" applyNumberFormat="1" applyFont="1" applyFill="1" applyBorder="1" applyAlignment="1" applyProtection="1">
      <alignment horizontal="right" vertical="center"/>
      <protection hidden="1"/>
    </xf>
    <xf numFmtId="4" fontId="115" fillId="14" borderId="3" xfId="0" applyNumberFormat="1" applyFont="1" applyFill="1" applyBorder="1" applyAlignment="1" applyProtection="1">
      <alignment horizontal="center"/>
      <protection hidden="1"/>
    </xf>
    <xf numFmtId="4" fontId="115"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5" borderId="0" xfId="0" applyNumberFormat="1" applyFill="1" applyProtection="1">
      <protection hidden="1"/>
    </xf>
    <xf numFmtId="9" fontId="194" fillId="34" borderId="12" xfId="0" applyNumberFormat="1" applyFont="1" applyFill="1" applyBorder="1" applyAlignment="1" applyProtection="1">
      <alignment horizontal="center" vertical="center"/>
      <protection hidden="1"/>
    </xf>
    <xf numFmtId="9" fontId="194" fillId="33" borderId="12" xfId="0" applyNumberFormat="1" applyFont="1" applyFill="1" applyBorder="1" applyAlignment="1" applyProtection="1">
      <alignment horizontal="center" vertical="center"/>
      <protection hidden="1"/>
    </xf>
    <xf numFmtId="0" fontId="8" fillId="15" borderId="7" xfId="0" applyFont="1" applyFill="1" applyBorder="1" applyAlignment="1" applyProtection="1">
      <alignment horizontal="right" vertical="center"/>
      <protection hidden="1"/>
    </xf>
    <xf numFmtId="0" fontId="8" fillId="15" borderId="7" xfId="0" applyFont="1" applyFill="1" applyBorder="1" applyAlignment="1" applyProtection="1">
      <alignment horizontal="left" vertical="center"/>
      <protection hidden="1"/>
    </xf>
    <xf numFmtId="0" fontId="0" fillId="15" borderId="7" xfId="0" applyFill="1" applyBorder="1" applyAlignment="1" applyProtection="1">
      <alignment horizontal="right" vertical="center"/>
      <protection hidden="1"/>
    </xf>
    <xf numFmtId="0" fontId="0" fillId="15" borderId="7" xfId="0" applyFill="1" applyBorder="1" applyAlignment="1" applyProtection="1">
      <alignment vertical="center"/>
      <protection hidden="1"/>
    </xf>
    <xf numFmtId="0" fontId="7" fillId="15" borderId="7" xfId="0" applyFont="1" applyFill="1" applyBorder="1" applyAlignment="1" applyProtection="1">
      <alignment vertical="center"/>
      <protection hidden="1"/>
    </xf>
    <xf numFmtId="0" fontId="0" fillId="15" borderId="7" xfId="0" applyFill="1" applyBorder="1" applyAlignment="1" applyProtection="1">
      <alignment horizontal="right" indent="1"/>
      <protection hidden="1"/>
    </xf>
    <xf numFmtId="0" fontId="3" fillId="15" borderId="7" xfId="0" applyFont="1" applyFill="1" applyBorder="1" applyAlignment="1" applyProtection="1">
      <alignment horizontal="right"/>
      <protection hidden="1"/>
    </xf>
    <xf numFmtId="0" fontId="7" fillId="15" borderId="7" xfId="0" applyFont="1" applyFill="1" applyBorder="1" applyProtection="1">
      <protection hidden="1"/>
    </xf>
    <xf numFmtId="0" fontId="5" fillId="15" borderId="5" xfId="0" applyFont="1" applyFill="1" applyBorder="1" applyAlignment="1" applyProtection="1">
      <alignment horizontal="center" vertical="center" wrapText="1"/>
      <protection hidden="1"/>
    </xf>
    <xf numFmtId="0" fontId="0" fillId="15" borderId="21" xfId="0" applyFill="1" applyBorder="1" applyAlignment="1">
      <alignment horizontal="center" vertical="center" wrapText="1"/>
    </xf>
    <xf numFmtId="0" fontId="43" fillId="15" borderId="5" xfId="0" applyFont="1" applyFill="1" applyBorder="1" applyAlignment="1" applyProtection="1">
      <alignment horizontal="centerContinuous"/>
      <protection hidden="1"/>
    </xf>
    <xf numFmtId="0" fontId="0" fillId="0" borderId="0" xfId="0" applyAlignment="1">
      <alignment horizontal="centerContinuous"/>
    </xf>
    <xf numFmtId="0" fontId="0" fillId="0" borderId="20" xfId="0" applyBorder="1" applyAlignment="1">
      <alignment horizontal="centerContinuous"/>
    </xf>
    <xf numFmtId="0" fontId="3" fillId="15" borderId="6" xfId="0" applyFont="1" applyFill="1" applyBorder="1" applyAlignment="1" applyProtection="1">
      <alignment horizontal="center"/>
      <protection hidden="1"/>
    </xf>
    <xf numFmtId="0" fontId="0" fillId="23" borderId="25" xfId="0" applyFill="1" applyBorder="1" applyProtection="1">
      <protection hidden="1"/>
    </xf>
    <xf numFmtId="0" fontId="3" fillId="15" borderId="15" xfId="0" applyFont="1" applyFill="1" applyBorder="1" applyAlignment="1" applyProtection="1">
      <alignment horizontal="center"/>
      <protection hidden="1"/>
    </xf>
    <xf numFmtId="0" fontId="168" fillId="15" borderId="5" xfId="0" applyFont="1" applyFill="1" applyBorder="1" applyAlignment="1" applyProtection="1">
      <alignment horizontal="left" vertical="center" indent="1"/>
      <protection hidden="1"/>
    </xf>
    <xf numFmtId="0" fontId="0" fillId="15" borderId="11" xfId="0" applyFill="1" applyBorder="1" applyProtection="1">
      <protection hidden="1"/>
    </xf>
    <xf numFmtId="0" fontId="0" fillId="23" borderId="6" xfId="0" applyFill="1" applyBorder="1" applyProtection="1">
      <protection hidden="1"/>
    </xf>
    <xf numFmtId="0" fontId="9" fillId="15" borderId="7" xfId="0" applyFont="1" applyFill="1" applyBorder="1" applyProtection="1">
      <protection hidden="1"/>
    </xf>
    <xf numFmtId="0" fontId="11" fillId="15" borderId="56" xfId="0" applyFont="1" applyFill="1" applyBorder="1" applyProtection="1">
      <protection hidden="1"/>
    </xf>
    <xf numFmtId="14" fontId="14" fillId="24" borderId="0" xfId="0" applyNumberFormat="1" applyFont="1" applyFill="1" applyProtection="1">
      <protection locked="0"/>
    </xf>
    <xf numFmtId="14" fontId="0" fillId="24" borderId="0" xfId="0" applyNumberFormat="1" applyFill="1" applyProtection="1">
      <protection locked="0"/>
    </xf>
    <xf numFmtId="1" fontId="207" fillId="10" borderId="0" xfId="0" applyNumberFormat="1" applyFont="1" applyFill="1" applyProtection="1">
      <protection hidden="1"/>
    </xf>
    <xf numFmtId="37" fontId="8" fillId="15" borderId="30" xfId="0" applyNumberFormat="1" applyFont="1" applyFill="1" applyBorder="1" applyProtection="1">
      <protection hidden="1"/>
    </xf>
    <xf numFmtId="0" fontId="3" fillId="15" borderId="4" xfId="0" applyFont="1" applyFill="1" applyBorder="1" applyAlignment="1" applyProtection="1">
      <alignment horizontal="centerContinuous"/>
      <protection hidden="1"/>
    </xf>
    <xf numFmtId="0" fontId="0" fillId="15" borderId="4" xfId="0" applyFill="1" applyBorder="1" applyAlignment="1" applyProtection="1">
      <alignment horizontal="centerContinuous"/>
      <protection hidden="1"/>
    </xf>
    <xf numFmtId="0" fontId="5" fillId="15" borderId="4" xfId="0" applyFont="1" applyFill="1" applyBorder="1" applyAlignment="1" applyProtection="1">
      <alignment horizontal="centerContinuous"/>
      <protection hidden="1"/>
    </xf>
    <xf numFmtId="37" fontId="8" fillId="15" borderId="8" xfId="0" applyNumberFormat="1" applyFont="1" applyFill="1" applyBorder="1" applyProtection="1">
      <protection hidden="1"/>
    </xf>
    <xf numFmtId="0" fontId="0" fillId="19" borderId="25" xfId="0" applyFill="1" applyBorder="1" applyProtection="1">
      <protection hidden="1"/>
    </xf>
    <xf numFmtId="0" fontId="7" fillId="15" borderId="30" xfId="0" applyFont="1" applyFill="1" applyBorder="1" applyProtection="1">
      <protection hidden="1"/>
    </xf>
    <xf numFmtId="0" fontId="109" fillId="15" borderId="0" xfId="0" applyFont="1" applyFill="1" applyProtection="1">
      <protection hidden="1"/>
    </xf>
    <xf numFmtId="0" fontId="3" fillId="23" borderId="0" xfId="0" applyFont="1" applyFill="1" applyAlignment="1" applyProtection="1">
      <alignment horizontal="center" vertical="center"/>
      <protection locked="0"/>
    </xf>
    <xf numFmtId="4" fontId="21" fillId="15" borderId="0" xfId="0" applyNumberFormat="1" applyFont="1" applyFill="1" applyProtection="1">
      <protection hidden="1"/>
    </xf>
    <xf numFmtId="4" fontId="106" fillId="15" borderId="0" xfId="0" applyNumberFormat="1" applyFont="1" applyFill="1" applyAlignment="1" applyProtection="1">
      <alignment horizontal="right" vertical="center"/>
      <protection hidden="1"/>
    </xf>
    <xf numFmtId="0" fontId="9" fillId="2" borderId="9" xfId="0" applyFont="1" applyFill="1" applyBorder="1" applyProtection="1">
      <protection hidden="1"/>
    </xf>
    <xf numFmtId="0" fontId="0" fillId="15" borderId="7" xfId="0" applyFill="1" applyBorder="1" applyAlignment="1">
      <alignment horizontal="centerContinuous" vertical="center"/>
    </xf>
    <xf numFmtId="0" fontId="0" fillId="15" borderId="7" xfId="0" applyFill="1" applyBorder="1" applyAlignment="1" applyProtection="1">
      <alignment horizontal="centerContinuous"/>
      <protection hidden="1"/>
    </xf>
    <xf numFmtId="0" fontId="0" fillId="15" borderId="19" xfId="0" applyFill="1" applyBorder="1" applyAlignment="1" applyProtection="1">
      <alignment horizontal="centerContinuous"/>
      <protection hidden="1"/>
    </xf>
    <xf numFmtId="0" fontId="0" fillId="15" borderId="0" xfId="0" applyFill="1" applyAlignment="1">
      <alignment horizontal="centerContinuous" vertical="center"/>
    </xf>
    <xf numFmtId="0" fontId="0" fillId="15" borderId="20" xfId="0" applyFill="1" applyBorder="1" applyAlignment="1" applyProtection="1">
      <alignment horizontal="centerContinuous"/>
      <protection hidden="1"/>
    </xf>
    <xf numFmtId="0" fontId="3" fillId="19" borderId="15" xfId="0" applyFont="1" applyFill="1" applyBorder="1" applyAlignment="1" applyProtection="1">
      <alignment horizontal="center"/>
      <protection hidden="1"/>
    </xf>
    <xf numFmtId="0" fontId="3" fillId="19" borderId="6" xfId="0" applyFont="1" applyFill="1" applyBorder="1" applyAlignment="1" applyProtection="1">
      <alignment horizontal="center"/>
      <protection hidden="1"/>
    </xf>
    <xf numFmtId="4" fontId="8" fillId="16" borderId="12" xfId="0" applyNumberFormat="1" applyFont="1" applyFill="1" applyBorder="1" applyAlignment="1" applyProtection="1">
      <alignment horizontal="center"/>
      <protection locked="0"/>
    </xf>
    <xf numFmtId="1" fontId="98" fillId="16" borderId="2" xfId="0" applyNumberFormat="1" applyFont="1" applyFill="1" applyBorder="1" applyAlignment="1" applyProtection="1">
      <alignment horizontal="center" vertical="center"/>
      <protection locked="0"/>
    </xf>
    <xf numFmtId="0" fontId="99" fillId="15" borderId="0" xfId="0" applyFont="1" applyFill="1" applyAlignment="1">
      <alignment horizontal="center"/>
    </xf>
    <xf numFmtId="4" fontId="56" fillId="15" borderId="0" xfId="0" applyNumberFormat="1" applyFont="1" applyFill="1" applyProtection="1">
      <protection hidden="1"/>
    </xf>
    <xf numFmtId="0" fontId="24" fillId="15" borderId="3" xfId="0" applyFont="1" applyFill="1" applyBorder="1" applyAlignment="1" applyProtection="1">
      <alignment horizontal="right"/>
      <protection hidden="1"/>
    </xf>
    <xf numFmtId="0" fontId="24" fillId="15" borderId="0" xfId="0" applyFont="1" applyFill="1" applyAlignment="1" applyProtection="1">
      <alignment horizontal="right"/>
      <protection hidden="1"/>
    </xf>
    <xf numFmtId="14" fontId="5" fillId="15" borderId="1" xfId="0" applyNumberFormat="1" applyFont="1" applyFill="1" applyBorder="1" applyAlignment="1" applyProtection="1">
      <alignment horizontal="center"/>
      <protection hidden="1"/>
    </xf>
    <xf numFmtId="0" fontId="159" fillId="0" borderId="1" xfId="0" applyFont="1" applyBorder="1"/>
    <xf numFmtId="0" fontId="112" fillId="2" borderId="0" xfId="0" applyFont="1" applyFill="1" applyAlignment="1" applyProtection="1">
      <alignment horizontal="center" wrapText="1"/>
      <protection hidden="1"/>
    </xf>
    <xf numFmtId="164" fontId="10" fillId="2" borderId="4" xfId="0" applyNumberFormat="1" applyFont="1" applyFill="1" applyBorder="1" applyProtection="1">
      <protection hidden="1"/>
    </xf>
    <xf numFmtId="0" fontId="98" fillId="16" borderId="2" xfId="0" applyFont="1" applyFill="1" applyBorder="1" applyAlignment="1" applyProtection="1">
      <alignment horizontal="center" vertical="center"/>
      <protection locked="0"/>
    </xf>
    <xf numFmtId="0" fontId="11" fillId="16" borderId="12" xfId="0" applyFont="1" applyFill="1" applyBorder="1" applyAlignment="1" applyProtection="1">
      <alignment horizontal="center" vertical="center"/>
      <protection locked="0"/>
    </xf>
    <xf numFmtId="0" fontId="207" fillId="15" borderId="0" xfId="0" applyFont="1" applyFill="1" applyProtection="1">
      <protection hidden="1"/>
    </xf>
    <xf numFmtId="0" fontId="5" fillId="15" borderId="5" xfId="0" applyFont="1" applyFill="1" applyBorder="1" applyAlignment="1">
      <alignment horizontal="center" wrapText="1"/>
    </xf>
    <xf numFmtId="0" fontId="5" fillId="15" borderId="26" xfId="0" applyFont="1" applyFill="1" applyBorder="1" applyAlignment="1">
      <alignment horizontal="center" wrapText="1"/>
    </xf>
    <xf numFmtId="0" fontId="144" fillId="15" borderId="0" xfId="0" applyFont="1" applyFill="1" applyAlignment="1" applyProtection="1">
      <alignment horizontal="left" indent="1"/>
      <protection hidden="1"/>
    </xf>
    <xf numFmtId="0" fontId="9" fillId="15" borderId="0" xfId="0" applyFont="1" applyFill="1" applyAlignment="1" applyProtection="1">
      <alignment horizontal="left" vertical="top"/>
      <protection hidden="1"/>
    </xf>
    <xf numFmtId="0" fontId="19" fillId="15" borderId="0" xfId="0" applyFont="1" applyFill="1" applyProtection="1">
      <protection hidden="1"/>
    </xf>
    <xf numFmtId="0" fontId="3" fillId="15" borderId="21" xfId="0" applyFont="1" applyFill="1" applyBorder="1" applyAlignment="1" applyProtection="1">
      <alignment horizontal="centerContinuous"/>
      <protection hidden="1"/>
    </xf>
    <xf numFmtId="0" fontId="0" fillId="15" borderId="8" xfId="0" applyFill="1" applyBorder="1" applyAlignment="1" applyProtection="1">
      <alignment horizontal="center" vertical="center"/>
      <protection hidden="1"/>
    </xf>
    <xf numFmtId="0" fontId="0" fillId="15" borderId="3" xfId="0" applyFill="1" applyBorder="1" applyAlignment="1" applyProtection="1">
      <alignment horizontal="center" vertical="center"/>
      <protection hidden="1"/>
    </xf>
    <xf numFmtId="0" fontId="0" fillId="15" borderId="1" xfId="0" applyFill="1" applyBorder="1" applyAlignment="1" applyProtection="1">
      <alignment horizontal="center" vertical="center"/>
      <protection hidden="1"/>
    </xf>
    <xf numFmtId="0" fontId="14" fillId="15" borderId="8" xfId="0" applyFont="1" applyFill="1" applyBorder="1" applyProtection="1">
      <protection hidden="1"/>
    </xf>
    <xf numFmtId="0" fontId="46" fillId="15" borderId="8" xfId="0" applyFont="1" applyFill="1" applyBorder="1" applyProtection="1">
      <protection hidden="1"/>
    </xf>
    <xf numFmtId="0" fontId="3" fillId="15" borderId="0" xfId="0" applyFont="1" applyFill="1" applyAlignment="1" applyProtection="1">
      <alignment horizontal="left" vertical="center" indent="1"/>
      <protection hidden="1"/>
    </xf>
    <xf numFmtId="0" fontId="124" fillId="15" borderId="1" xfId="0" applyFont="1" applyFill="1" applyBorder="1" applyAlignment="1" applyProtection="1">
      <alignment horizontal="center"/>
      <protection hidden="1"/>
    </xf>
    <xf numFmtId="0" fontId="124" fillId="15" borderId="11" xfId="0" applyFont="1" applyFill="1" applyBorder="1" applyAlignment="1" applyProtection="1">
      <alignment horizontal="center"/>
      <protection hidden="1"/>
    </xf>
    <xf numFmtId="0" fontId="0" fillId="15" borderId="39" xfId="0" applyFill="1" applyBorder="1"/>
    <xf numFmtId="0" fontId="0" fillId="15" borderId="25" xfId="0" applyFill="1" applyBorder="1"/>
    <xf numFmtId="0" fontId="13" fillId="15" borderId="0" xfId="0" applyFont="1" applyFill="1" applyAlignment="1" applyProtection="1">
      <alignment horizontal="left"/>
      <protection hidden="1"/>
    </xf>
    <xf numFmtId="0" fontId="46" fillId="15" borderId="0" xfId="0" applyFont="1" applyFill="1" applyAlignment="1" applyProtection="1">
      <alignment horizontal="left"/>
      <protection hidden="1"/>
    </xf>
    <xf numFmtId="0" fontId="14" fillId="15" borderId="0" xfId="0" applyFont="1" applyFill="1" applyAlignment="1" applyProtection="1">
      <alignment horizontal="left"/>
      <protection hidden="1"/>
    </xf>
    <xf numFmtId="0" fontId="46" fillId="15" borderId="0" xfId="0" applyFont="1" applyFill="1" applyAlignment="1" applyProtection="1">
      <alignment horizontal="left" vertical="center"/>
      <protection hidden="1"/>
    </xf>
    <xf numFmtId="0" fontId="13" fillId="15" borderId="0" xfId="0" applyFont="1" applyFill="1" applyAlignment="1" applyProtection="1">
      <alignment horizontal="left" vertical="center"/>
      <protection hidden="1"/>
    </xf>
    <xf numFmtId="0" fontId="13" fillId="15" borderId="1" xfId="0" applyFont="1" applyFill="1" applyBorder="1" applyAlignment="1" applyProtection="1">
      <alignment horizontal="left"/>
      <protection hidden="1"/>
    </xf>
    <xf numFmtId="0" fontId="10" fillId="15" borderId="25" xfId="0" applyFont="1" applyFill="1" applyBorder="1" applyAlignment="1" applyProtection="1">
      <alignment horizontal="left"/>
      <protection hidden="1"/>
    </xf>
    <xf numFmtId="0" fontId="46" fillId="15" borderId="1" xfId="0" applyFont="1" applyFill="1" applyBorder="1" applyAlignment="1" applyProtection="1">
      <alignment horizontal="left"/>
      <protection hidden="1"/>
    </xf>
    <xf numFmtId="0" fontId="13" fillId="15" borderId="8" xfId="0" applyFont="1" applyFill="1" applyBorder="1" applyAlignment="1" applyProtection="1">
      <alignment horizontal="left"/>
      <protection hidden="1"/>
    </xf>
    <xf numFmtId="0" fontId="5" fillId="15" borderId="8" xfId="0" applyFont="1" applyFill="1" applyBorder="1" applyAlignment="1" applyProtection="1">
      <alignment horizontal="left" vertical="center"/>
      <protection hidden="1"/>
    </xf>
    <xf numFmtId="0" fontId="5" fillId="15" borderId="30" xfId="0" applyFont="1" applyFill="1" applyBorder="1" applyAlignment="1" applyProtection="1">
      <alignment horizontal="left" vertical="center"/>
      <protection hidden="1"/>
    </xf>
    <xf numFmtId="0" fontId="5" fillId="15" borderId="14" xfId="0" applyFont="1" applyFill="1" applyBorder="1" applyAlignment="1" applyProtection="1">
      <alignment horizontal="left" vertical="center"/>
      <protection hidden="1"/>
    </xf>
    <xf numFmtId="0" fontId="10" fillId="15" borderId="8" xfId="0" applyFont="1" applyFill="1" applyBorder="1" applyAlignment="1" applyProtection="1">
      <alignment horizontal="left"/>
      <protection hidden="1"/>
    </xf>
    <xf numFmtId="0" fontId="0" fillId="15" borderId="0" xfId="0" applyFill="1" applyAlignment="1">
      <alignment horizontal="right" vertical="center" wrapText="1" indent="1"/>
    </xf>
    <xf numFmtId="0" fontId="10" fillId="15" borderId="0" xfId="0" applyFont="1" applyFill="1" applyAlignment="1">
      <alignment horizontal="center" vertical="center"/>
    </xf>
    <xf numFmtId="0" fontId="209" fillId="15" borderId="0" xfId="0" applyFont="1" applyFill="1" applyAlignment="1" applyProtection="1">
      <alignment horizontal="left"/>
      <protection hidden="1"/>
    </xf>
    <xf numFmtId="0" fontId="13" fillId="15" borderId="4" xfId="0" applyFont="1" applyFill="1" applyBorder="1" applyAlignment="1" applyProtection="1">
      <alignment horizontal="right" vertical="center" wrapText="1" indent="1"/>
      <protection hidden="1"/>
    </xf>
    <xf numFmtId="0" fontId="0" fillId="15" borderId="4" xfId="0" applyFill="1" applyBorder="1" applyAlignment="1">
      <alignment horizontal="right" vertical="center" wrapText="1" indent="1"/>
    </xf>
    <xf numFmtId="0" fontId="5" fillId="15" borderId="4" xfId="0" applyFont="1" applyFill="1" applyBorder="1" applyAlignment="1" applyProtection="1">
      <alignment horizontal="left" vertical="center"/>
      <protection hidden="1"/>
    </xf>
    <xf numFmtId="0" fontId="10" fillId="15" borderId="4" xfId="0" applyFont="1" applyFill="1" applyBorder="1" applyAlignment="1" applyProtection="1">
      <alignment horizontal="center" vertical="center"/>
      <protection hidden="1"/>
    </xf>
    <xf numFmtId="0" fontId="10" fillId="15" borderId="4" xfId="0" applyFont="1" applyFill="1" applyBorder="1" applyAlignment="1">
      <alignment horizontal="center" vertical="center"/>
    </xf>
    <xf numFmtId="3" fontId="14" fillId="15" borderId="4" xfId="0" applyNumberFormat="1" applyFont="1" applyFill="1" applyBorder="1" applyAlignment="1" applyProtection="1">
      <alignment horizontal="right" vertical="center"/>
      <protection hidden="1"/>
    </xf>
    <xf numFmtId="0" fontId="8" fillId="15" borderId="0" xfId="0" applyFont="1" applyFill="1" applyAlignment="1" applyProtection="1">
      <alignment horizontal="right"/>
      <protection hidden="1"/>
    </xf>
    <xf numFmtId="0" fontId="8" fillId="15" borderId="0" xfId="0" applyFont="1" applyFill="1" applyAlignment="1" applyProtection="1">
      <alignment horizontal="centerContinuous"/>
      <protection hidden="1"/>
    </xf>
    <xf numFmtId="0" fontId="121" fillId="15" borderId="0" xfId="0" applyFont="1" applyFill="1" applyAlignment="1" applyProtection="1">
      <alignment horizontal="centerContinuous"/>
      <protection hidden="1"/>
    </xf>
    <xf numFmtId="0" fontId="121" fillId="15" borderId="20" xfId="0" applyFont="1" applyFill="1" applyBorder="1" applyAlignment="1" applyProtection="1">
      <alignment horizontal="centerContinuous"/>
      <protection hidden="1"/>
    </xf>
    <xf numFmtId="0" fontId="10" fillId="15" borderId="1" xfId="0" applyFont="1" applyFill="1" applyBorder="1" applyAlignment="1" applyProtection="1">
      <alignment horizontal="left"/>
      <protection hidden="1"/>
    </xf>
    <xf numFmtId="0" fontId="5" fillId="15" borderId="1" xfId="0" applyFont="1" applyFill="1" applyBorder="1" applyAlignment="1" applyProtection="1">
      <alignment horizontal="right"/>
      <protection hidden="1"/>
    </xf>
    <xf numFmtId="0" fontId="0" fillId="15" borderId="39" xfId="0" applyFill="1" applyBorder="1" applyProtection="1">
      <protection hidden="1"/>
    </xf>
    <xf numFmtId="0" fontId="0" fillId="15" borderId="54" xfId="0" applyFill="1" applyBorder="1" applyProtection="1">
      <protection hidden="1"/>
    </xf>
    <xf numFmtId="0" fontId="14" fillId="15" borderId="54" xfId="0" applyFont="1" applyFill="1" applyBorder="1" applyAlignment="1" applyProtection="1">
      <alignment horizontal="center"/>
      <protection hidden="1"/>
    </xf>
    <xf numFmtId="0" fontId="14" fillId="15" borderId="11" xfId="0" applyFont="1" applyFill="1" applyBorder="1" applyAlignment="1" applyProtection="1">
      <alignment horizontal="center"/>
      <protection hidden="1"/>
    </xf>
    <xf numFmtId="0" fontId="0" fillId="19" borderId="67" xfId="0" applyFill="1" applyBorder="1" applyProtection="1">
      <protection hidden="1"/>
    </xf>
    <xf numFmtId="0" fontId="0" fillId="23" borderId="39" xfId="0" applyFill="1" applyBorder="1" applyProtection="1">
      <protection hidden="1"/>
    </xf>
    <xf numFmtId="0" fontId="0" fillId="23" borderId="68" xfId="0" applyFill="1" applyBorder="1" applyProtection="1">
      <protection hidden="1"/>
    </xf>
    <xf numFmtId="0" fontId="15" fillId="15" borderId="0" xfId="0" applyFont="1" applyFill="1" applyProtection="1">
      <protection hidden="1"/>
    </xf>
    <xf numFmtId="0" fontId="0" fillId="19" borderId="4" xfId="0" applyFill="1" applyBorder="1" applyProtection="1">
      <protection hidden="1"/>
    </xf>
    <xf numFmtId="0" fontId="0" fillId="15" borderId="5" xfId="0" applyFill="1" applyBorder="1" applyAlignment="1">
      <alignment horizontal="left" wrapText="1"/>
    </xf>
    <xf numFmtId="0" fontId="0" fillId="15" borderId="21" xfId="0" applyFill="1" applyBorder="1" applyAlignment="1">
      <alignment horizontal="left" wrapText="1"/>
    </xf>
    <xf numFmtId="0" fontId="3" fillId="15" borderId="5" xfId="0" applyFont="1" applyFill="1" applyBorder="1" applyAlignment="1" applyProtection="1">
      <alignment horizontal="centerContinuous"/>
      <protection hidden="1"/>
    </xf>
    <xf numFmtId="0" fontId="168" fillId="2" borderId="1" xfId="0" applyFont="1" applyFill="1" applyBorder="1" applyAlignment="1" applyProtection="1">
      <alignment horizontal="left"/>
      <protection hidden="1"/>
    </xf>
    <xf numFmtId="0" fontId="144" fillId="15" borderId="1" xfId="0" applyFont="1" applyFill="1" applyBorder="1" applyAlignment="1" applyProtection="1">
      <alignment horizontal="left" indent="1"/>
      <protection hidden="1"/>
    </xf>
    <xf numFmtId="0" fontId="46" fillId="15"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174" fillId="15" borderId="0" xfId="0" applyFont="1" applyFill="1" applyAlignment="1" applyProtection="1">
      <alignment horizontal="left" vertical="center"/>
      <protection hidden="1"/>
    </xf>
    <xf numFmtId="0" fontId="211" fillId="15" borderId="8" xfId="0" applyFont="1" applyFill="1" applyBorder="1" applyAlignment="1" applyProtection="1">
      <alignment horizontal="left" vertical="center"/>
      <protection hidden="1"/>
    </xf>
    <xf numFmtId="0" fontId="0" fillId="15" borderId="12" xfId="0" applyFill="1" applyBorder="1" applyProtection="1">
      <protection locked="0"/>
    </xf>
    <xf numFmtId="0" fontId="0" fillId="0" borderId="30" xfId="0" applyBorder="1" applyProtection="1">
      <protection hidden="1"/>
    </xf>
    <xf numFmtId="0" fontId="0" fillId="0" borderId="14" xfId="0" applyBorder="1" applyProtection="1">
      <protection hidden="1"/>
    </xf>
    <xf numFmtId="0" fontId="0" fillId="0" borderId="3" xfId="0" applyBorder="1" applyProtection="1">
      <protection hidden="1"/>
    </xf>
    <xf numFmtId="0" fontId="0" fillId="0" borderId="24" xfId="0" applyBorder="1" applyProtection="1">
      <protection hidden="1"/>
    </xf>
    <xf numFmtId="0" fontId="0" fillId="0" borderId="9" xfId="0" applyBorder="1" applyProtection="1">
      <protection hidden="1"/>
    </xf>
    <xf numFmtId="0" fontId="0" fillId="0" borderId="11" xfId="0" applyBorder="1" applyProtection="1">
      <protection hidden="1"/>
    </xf>
    <xf numFmtId="37" fontId="0" fillId="15" borderId="12" xfId="0" applyNumberFormat="1" applyFill="1" applyBorder="1" applyProtection="1">
      <protection locked="0"/>
    </xf>
    <xf numFmtId="37" fontId="3" fillId="27" borderId="25" xfId="0" applyNumberFormat="1" applyFont="1" applyFill="1" applyBorder="1" applyAlignment="1" applyProtection="1">
      <alignment horizontal="center"/>
      <protection hidden="1"/>
    </xf>
    <xf numFmtId="37" fontId="14" fillId="27" borderId="9" xfId="0" applyNumberFormat="1" applyFont="1" applyFill="1" applyBorder="1" applyAlignment="1" applyProtection="1">
      <alignment horizontal="left" vertical="center"/>
      <protection hidden="1"/>
    </xf>
    <xf numFmtId="3" fontId="0" fillId="0" borderId="0" xfId="0" applyNumberFormat="1" applyProtection="1">
      <protection hidden="1"/>
    </xf>
    <xf numFmtId="4" fontId="138" fillId="15"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117" fillId="15" borderId="0" xfId="0" applyFont="1" applyFill="1" applyAlignment="1" applyProtection="1">
      <alignment horizontal="right" vertical="center"/>
      <protection hidden="1"/>
    </xf>
    <xf numFmtId="0" fontId="112" fillId="15" borderId="0" xfId="0" applyFont="1" applyFill="1" applyAlignment="1" applyProtection="1">
      <alignment horizontal="right" vertical="center"/>
      <protection hidden="1"/>
    </xf>
    <xf numFmtId="0" fontId="138" fillId="15" borderId="0" xfId="0" applyFont="1" applyFill="1" applyAlignment="1" applyProtection="1">
      <alignment horizontal="center" vertical="center"/>
      <protection hidden="1"/>
    </xf>
    <xf numFmtId="0" fontId="0" fillId="35" borderId="14" xfId="0" applyFill="1" applyBorder="1" applyProtection="1">
      <protection hidden="1"/>
    </xf>
    <xf numFmtId="0" fontId="3" fillId="35" borderId="0" xfId="0" applyFont="1" applyFill="1" applyAlignment="1" applyProtection="1">
      <alignment horizontal="center"/>
      <protection hidden="1"/>
    </xf>
    <xf numFmtId="0" fontId="3" fillId="35" borderId="24" xfId="0" applyFont="1" applyFill="1" applyBorder="1" applyProtection="1">
      <protection hidden="1"/>
    </xf>
    <xf numFmtId="0" fontId="3" fillId="35" borderId="24" xfId="0" applyFont="1" applyFill="1" applyBorder="1" applyAlignment="1" applyProtection="1">
      <alignment horizontal="center"/>
      <protection hidden="1"/>
    </xf>
    <xf numFmtId="0" fontId="0" fillId="35" borderId="0" xfId="0" applyFill="1" applyProtection="1">
      <protection hidden="1"/>
    </xf>
    <xf numFmtId="0" fontId="3" fillId="35" borderId="14" xfId="0" applyFont="1" applyFill="1" applyBorder="1" applyProtection="1">
      <protection hidden="1"/>
    </xf>
    <xf numFmtId="0" fontId="3" fillId="35" borderId="14" xfId="0" applyFont="1" applyFill="1" applyBorder="1" applyAlignment="1" applyProtection="1">
      <alignment horizontal="center"/>
      <protection hidden="1"/>
    </xf>
    <xf numFmtId="0" fontId="0" fillId="35" borderId="1" xfId="0" applyFill="1" applyBorder="1" applyProtection="1">
      <protection hidden="1"/>
    </xf>
    <xf numFmtId="0" fontId="0" fillId="5" borderId="15" xfId="0" applyFill="1" applyBorder="1" applyAlignment="1">
      <alignment horizontal="center"/>
    </xf>
    <xf numFmtId="0" fontId="3" fillId="36" borderId="6" xfId="0" applyFont="1" applyFill="1" applyBorder="1" applyProtection="1">
      <protection hidden="1"/>
    </xf>
    <xf numFmtId="0" fontId="3" fillId="36" borderId="6" xfId="0" applyFont="1" applyFill="1" applyBorder="1" applyAlignment="1" applyProtection="1">
      <alignment horizontal="center"/>
      <protection hidden="1"/>
    </xf>
    <xf numFmtId="0" fontId="112" fillId="15" borderId="3" xfId="0" applyFont="1" applyFill="1" applyBorder="1" applyAlignment="1">
      <alignment horizontal="right" vertical="center" wrapText="1"/>
    </xf>
    <xf numFmtId="0" fontId="9" fillId="14" borderId="0" xfId="0" applyFont="1" applyFill="1" applyProtection="1">
      <protection locked="0"/>
    </xf>
    <xf numFmtId="0" fontId="0" fillId="14" borderId="0" xfId="0" applyFill="1" applyProtection="1">
      <protection locked="0"/>
    </xf>
    <xf numFmtId="49" fontId="9" fillId="14" borderId="0" xfId="1" applyNumberFormat="1" applyFont="1" applyFill="1" applyProtection="1">
      <protection locked="0"/>
    </xf>
    <xf numFmtId="3" fontId="116" fillId="3" borderId="0" xfId="0" applyNumberFormat="1" applyFont="1" applyFill="1" applyProtection="1">
      <protection hidden="1"/>
    </xf>
    <xf numFmtId="175" fontId="116" fillId="3" borderId="0" xfId="0" applyNumberFormat="1" applyFont="1" applyFill="1" applyProtection="1">
      <protection hidden="1"/>
    </xf>
    <xf numFmtId="0" fontId="0" fillId="5" borderId="6" xfId="0" applyFill="1" applyBorder="1" applyAlignment="1">
      <alignment horizontal="center"/>
    </xf>
    <xf numFmtId="0" fontId="9" fillId="15" borderId="0" xfId="0" applyFont="1" applyFill="1" applyAlignment="1">
      <alignment vertical="top" wrapText="1"/>
    </xf>
    <xf numFmtId="0" fontId="3" fillId="3" borderId="0" xfId="0" applyFont="1" applyFill="1" applyAlignment="1" applyProtection="1">
      <alignment vertical="center"/>
      <protection hidden="1"/>
    </xf>
    <xf numFmtId="0" fontId="3" fillId="36" borderId="3" xfId="0" applyFont="1" applyFill="1" applyBorder="1" applyProtection="1">
      <protection hidden="1"/>
    </xf>
    <xf numFmtId="0" fontId="112" fillId="3" borderId="4" xfId="0" applyFont="1" applyFill="1" applyBorder="1" applyAlignment="1" applyProtection="1">
      <alignment vertical="center"/>
      <protection hidden="1"/>
    </xf>
    <xf numFmtId="0" fontId="3" fillId="36" borderId="69" xfId="0" applyFont="1" applyFill="1" applyBorder="1" applyProtection="1">
      <protection hidden="1"/>
    </xf>
    <xf numFmtId="0" fontId="9" fillId="2" borderId="21" xfId="0" applyFont="1" applyFill="1" applyBorder="1" applyAlignment="1" applyProtection="1">
      <alignment horizontal="left" vertical="center"/>
      <protection hidden="1"/>
    </xf>
    <xf numFmtId="0" fontId="11" fillId="14" borderId="0" xfId="0" applyFont="1" applyFill="1" applyProtection="1">
      <protection hidden="1"/>
    </xf>
    <xf numFmtId="0" fontId="11" fillId="14" borderId="20" xfId="0" applyFont="1" applyFill="1" applyBorder="1" applyProtection="1">
      <protection hidden="1"/>
    </xf>
    <xf numFmtId="0" fontId="206" fillId="2" borderId="0" xfId="0" applyFont="1" applyFill="1" applyProtection="1">
      <protection hidden="1"/>
    </xf>
    <xf numFmtId="0" fontId="206" fillId="14" borderId="5" xfId="0" applyFont="1" applyFill="1" applyBorder="1" applyAlignment="1" applyProtection="1">
      <alignment horizontal="center" vertical="center"/>
      <protection hidden="1"/>
    </xf>
    <xf numFmtId="0" fontId="0" fillId="5" borderId="3" xfId="0" applyFill="1" applyBorder="1"/>
    <xf numFmtId="0" fontId="0" fillId="5" borderId="24" xfId="0" applyFill="1" applyBorder="1"/>
    <xf numFmtId="4" fontId="0" fillId="3" borderId="4" xfId="0" applyNumberFormat="1" applyFill="1" applyBorder="1" applyProtection="1">
      <protection hidden="1"/>
    </xf>
    <xf numFmtId="4" fontId="0" fillId="3" borderId="9" xfId="0" applyNumberFormat="1" applyFill="1" applyBorder="1" applyProtection="1">
      <protection hidden="1"/>
    </xf>
    <xf numFmtId="183" fontId="168" fillId="3" borderId="0" xfId="0" applyNumberFormat="1" applyFont="1" applyFill="1" applyAlignment="1" applyProtection="1">
      <alignment horizontal="left" vertical="center"/>
      <protection hidden="1"/>
    </xf>
    <xf numFmtId="0" fontId="173" fillId="3" borderId="0" xfId="0" applyFont="1" applyFill="1" applyAlignment="1" applyProtection="1">
      <alignment horizontal="right" indent="1"/>
      <protection hidden="1"/>
    </xf>
    <xf numFmtId="0" fontId="168" fillId="3" borderId="0" xfId="0" applyFont="1" applyFill="1" applyAlignment="1" applyProtection="1">
      <alignment horizontal="left" indent="1"/>
      <protection hidden="1"/>
    </xf>
    <xf numFmtId="0" fontId="5" fillId="14" borderId="0" xfId="0" applyFont="1" applyFill="1" applyProtection="1">
      <protection hidden="1"/>
    </xf>
    <xf numFmtId="0" fontId="144" fillId="2" borderId="0" xfId="0" applyFont="1" applyFill="1" applyAlignment="1" applyProtection="1">
      <alignment horizontal="left" indent="1"/>
      <protection hidden="1"/>
    </xf>
    <xf numFmtId="0" fontId="144"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44" fillId="15" borderId="5" xfId="0" applyFont="1" applyFill="1" applyBorder="1" applyAlignment="1" applyProtection="1">
      <alignment vertical="center"/>
      <protection hidden="1"/>
    </xf>
    <xf numFmtId="0" fontId="144" fillId="15" borderId="0" xfId="0" applyFont="1" applyFill="1" applyAlignment="1" applyProtection="1">
      <alignment horizontal="right"/>
      <protection hidden="1"/>
    </xf>
    <xf numFmtId="39" fontId="120" fillId="14" borderId="0" xfId="0" applyNumberFormat="1" applyFont="1" applyFill="1" applyProtection="1">
      <protection hidden="1"/>
    </xf>
    <xf numFmtId="0" fontId="122" fillId="15" borderId="0" xfId="0" applyFont="1" applyFill="1"/>
    <xf numFmtId="0" fontId="112" fillId="2" borderId="0" xfId="0" applyFont="1" applyFill="1" applyAlignment="1" applyProtection="1">
      <alignment horizontal="center"/>
      <protection hidden="1"/>
    </xf>
    <xf numFmtId="14" fontId="5" fillId="24" borderId="0" xfId="0" applyNumberFormat="1" applyFont="1" applyFill="1" applyProtection="1">
      <protection locked="0"/>
    </xf>
    <xf numFmtId="0" fontId="106" fillId="2" borderId="0" xfId="0" applyFont="1" applyFill="1" applyAlignment="1" applyProtection="1">
      <alignment horizontal="left"/>
      <protection hidden="1"/>
    </xf>
    <xf numFmtId="194" fontId="30" fillId="2" borderId="10" xfId="0" applyNumberFormat="1" applyFont="1" applyFill="1" applyBorder="1" applyProtection="1">
      <protection locked="0"/>
    </xf>
    <xf numFmtId="0" fontId="213" fillId="15" borderId="0" xfId="0" applyFont="1" applyFill="1" applyAlignment="1" applyProtection="1">
      <alignment horizontal="centerContinuous" vertical="center"/>
      <protection hidden="1"/>
    </xf>
    <xf numFmtId="3" fontId="30" fillId="15" borderId="0" xfId="0" applyNumberFormat="1" applyFont="1" applyFill="1" applyAlignment="1" applyProtection="1">
      <alignment horizontal="center"/>
      <protection hidden="1"/>
    </xf>
    <xf numFmtId="0" fontId="116" fillId="15" borderId="23" xfId="0" applyFont="1" applyFill="1" applyBorder="1" applyAlignment="1" applyProtection="1">
      <alignment horizontal="center" vertical="center"/>
      <protection hidden="1"/>
    </xf>
    <xf numFmtId="164" fontId="10" fillId="2" borderId="0" xfId="0" applyNumberFormat="1" applyFont="1" applyFill="1" applyProtection="1">
      <protection hidden="1"/>
    </xf>
    <xf numFmtId="0" fontId="22" fillId="2" borderId="7" xfId="0" applyFont="1" applyFill="1" applyBorder="1" applyAlignment="1" applyProtection="1">
      <alignment horizontal="right"/>
      <protection hidden="1"/>
    </xf>
    <xf numFmtId="0" fontId="147" fillId="0" borderId="0" xfId="0" applyFont="1" applyAlignment="1">
      <alignment vertical="center"/>
    </xf>
    <xf numFmtId="0" fontId="14" fillId="2" borderId="0" xfId="0" applyFont="1" applyFill="1" applyAlignment="1" applyProtection="1">
      <alignment horizontal="center" vertical="center"/>
      <protection locked="0"/>
    </xf>
    <xf numFmtId="0" fontId="88" fillId="2" borderId="0" xfId="0" applyFont="1" applyFill="1" applyProtection="1">
      <protection hidden="1"/>
    </xf>
    <xf numFmtId="0" fontId="87" fillId="2" borderId="0" xfId="0" applyFont="1" applyFill="1" applyAlignment="1" applyProtection="1">
      <alignment horizontal="right"/>
      <protection hidden="1"/>
    </xf>
    <xf numFmtId="0" fontId="11" fillId="2" borderId="15" xfId="0" applyFont="1" applyFill="1" applyBorder="1" applyAlignment="1" applyProtection="1">
      <alignment horizontal="center" vertical="center" wrapText="1"/>
      <protection locked="0"/>
    </xf>
    <xf numFmtId="0" fontId="3" fillId="2" borderId="39" xfId="0" applyFont="1" applyFill="1" applyBorder="1" applyAlignment="1" applyProtection="1">
      <alignment horizontal="left" vertical="center"/>
      <protection hidden="1"/>
    </xf>
    <xf numFmtId="0" fontId="120" fillId="2" borderId="25" xfId="0" applyFont="1" applyFill="1" applyBorder="1" applyAlignment="1" applyProtection="1">
      <alignment horizontal="left" vertical="top"/>
      <protection hidden="1"/>
    </xf>
    <xf numFmtId="0" fontId="159" fillId="15" borderId="25" xfId="0" applyFont="1" applyFill="1" applyBorder="1" applyAlignment="1" applyProtection="1">
      <alignment vertical="center"/>
      <protection hidden="1"/>
    </xf>
    <xf numFmtId="0" fontId="75" fillId="2" borderId="0" xfId="0" applyFont="1" applyFill="1" applyAlignment="1" applyProtection="1">
      <alignment horizontal="left"/>
      <protection hidden="1"/>
    </xf>
    <xf numFmtId="182" fontId="5" fillId="15" borderId="0" xfId="0" applyNumberFormat="1" applyFont="1" applyFill="1" applyAlignment="1" applyProtection="1">
      <alignment horizontal="center"/>
      <protection hidden="1"/>
    </xf>
    <xf numFmtId="0" fontId="0" fillId="15" borderId="0" xfId="0" applyFill="1" applyAlignment="1">
      <alignment wrapText="1"/>
    </xf>
    <xf numFmtId="0" fontId="147" fillId="5" borderId="0" xfId="0" applyFont="1" applyFill="1" applyAlignment="1" applyProtection="1">
      <alignment horizontal="center"/>
      <protection hidden="1"/>
    </xf>
    <xf numFmtId="0" fontId="109" fillId="5" borderId="0" xfId="0" applyFont="1" applyFill="1" applyAlignment="1" applyProtection="1">
      <alignment horizontal="center" vertical="center" wrapText="1"/>
      <protection hidden="1"/>
    </xf>
    <xf numFmtId="4" fontId="3" fillId="3" borderId="24" xfId="0" applyNumberFormat="1" applyFont="1" applyFill="1" applyBorder="1" applyAlignment="1" applyProtection="1">
      <alignment horizontal="right" indent="1"/>
      <protection hidden="1"/>
    </xf>
    <xf numFmtId="0" fontId="168" fillId="2" borderId="0" xfId="0" applyFont="1" applyFill="1" applyProtection="1">
      <protection hidden="1"/>
    </xf>
    <xf numFmtId="37" fontId="7" fillId="3" borderId="0" xfId="0" applyNumberFormat="1" applyFont="1" applyFill="1" applyAlignment="1" applyProtection="1">
      <alignment horizontal="right"/>
      <protection locked="0"/>
    </xf>
    <xf numFmtId="0" fontId="3" fillId="3" borderId="6" xfId="0" applyFont="1" applyFill="1" applyBorder="1" applyAlignment="1" applyProtection="1">
      <alignment horizontal="right"/>
      <protection hidden="1"/>
    </xf>
    <xf numFmtId="0" fontId="144" fillId="2" borderId="0" xfId="0" applyFont="1" applyFill="1" applyAlignment="1" applyProtection="1">
      <alignment horizontal="right" indent="2"/>
      <protection hidden="1"/>
    </xf>
    <xf numFmtId="37" fontId="200" fillId="3" borderId="30" xfId="0" applyNumberFormat="1" applyFont="1" applyFill="1" applyBorder="1" applyAlignment="1" applyProtection="1">
      <alignment horizontal="right"/>
      <protection hidden="1"/>
    </xf>
    <xf numFmtId="37" fontId="200" fillId="3" borderId="3" xfId="0" applyNumberFormat="1" applyFont="1" applyFill="1" applyBorder="1" applyAlignment="1" applyProtection="1">
      <alignment horizontal="right"/>
      <protection hidden="1"/>
    </xf>
    <xf numFmtId="0" fontId="34" fillId="3" borderId="0" xfId="0" applyFont="1" applyFill="1" applyAlignment="1" applyProtection="1">
      <alignment horizontal="center"/>
      <protection hidden="1"/>
    </xf>
    <xf numFmtId="4" fontId="115" fillId="0" borderId="0" xfId="0" applyNumberFormat="1" applyFont="1" applyProtection="1">
      <protection hidden="1"/>
    </xf>
    <xf numFmtId="0" fontId="128" fillId="5" borderId="0" xfId="0" applyFont="1" applyFill="1" applyProtection="1">
      <protection hidden="1"/>
    </xf>
    <xf numFmtId="0" fontId="9" fillId="2" borderId="3" xfId="0" applyFont="1" applyFill="1" applyBorder="1" applyAlignment="1" applyProtection="1">
      <alignment horizontal="center" vertical="center" wrapText="1"/>
      <protection hidden="1"/>
    </xf>
    <xf numFmtId="0" fontId="5" fillId="23" borderId="0" xfId="0" applyFont="1" applyFill="1" applyProtection="1">
      <protection hidden="1"/>
    </xf>
    <xf numFmtId="0" fontId="9" fillId="15" borderId="3" xfId="0" applyFont="1" applyFill="1" applyBorder="1" applyAlignment="1">
      <alignment horizontal="left"/>
    </xf>
    <xf numFmtId="0" fontId="3" fillId="8" borderId="8"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09" fillId="2" borderId="0" xfId="0" applyFont="1" applyFill="1" applyProtection="1">
      <protection hidden="1"/>
    </xf>
    <xf numFmtId="3" fontId="8" fillId="20" borderId="9" xfId="0" applyNumberFormat="1" applyFont="1" applyFill="1" applyBorder="1" applyProtection="1">
      <protection locked="0"/>
    </xf>
    <xf numFmtId="0" fontId="73" fillId="15" borderId="20" xfId="0" applyFont="1" applyFill="1" applyBorder="1" applyAlignment="1">
      <alignment vertical="center"/>
    </xf>
    <xf numFmtId="0" fontId="206" fillId="3" borderId="5"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173" fillId="3" borderId="0" xfId="0" applyFont="1" applyFill="1" applyAlignment="1" applyProtection="1">
      <alignment vertical="center"/>
      <protection hidden="1"/>
    </xf>
    <xf numFmtId="0" fontId="173" fillId="3" borderId="5" xfId="0" applyFont="1" applyFill="1" applyBorder="1" applyAlignment="1" applyProtection="1">
      <alignment horizontal="center" vertical="center"/>
      <protection hidden="1"/>
    </xf>
    <xf numFmtId="0" fontId="8" fillId="3" borderId="159" xfId="0" applyFont="1" applyFill="1" applyBorder="1" applyAlignment="1" applyProtection="1">
      <alignment vertical="center"/>
      <protection hidden="1"/>
    </xf>
    <xf numFmtId="0" fontId="7" fillId="3" borderId="159" xfId="0" applyFont="1" applyFill="1" applyBorder="1" applyAlignment="1" applyProtection="1">
      <alignment vertical="center"/>
      <protection hidden="1"/>
    </xf>
    <xf numFmtId="4" fontId="7" fillId="3" borderId="159" xfId="0" applyNumberFormat="1" applyFont="1" applyFill="1" applyBorder="1" applyAlignment="1" applyProtection="1">
      <alignment vertical="center"/>
      <protection hidden="1"/>
    </xf>
    <xf numFmtId="4" fontId="8" fillId="3" borderId="159" xfId="0" applyNumberFormat="1" applyFont="1" applyFill="1" applyBorder="1" applyAlignment="1" applyProtection="1">
      <alignment horizontal="right" vertical="center"/>
      <protection hidden="1"/>
    </xf>
    <xf numFmtId="39" fontId="7" fillId="3" borderId="159" xfId="0" applyNumberFormat="1" applyFont="1" applyFill="1" applyBorder="1" applyAlignment="1" applyProtection="1">
      <alignment horizontal="right" vertical="center"/>
      <protection hidden="1"/>
    </xf>
    <xf numFmtId="0" fontId="3" fillId="3" borderId="159" xfId="0" applyFont="1" applyFill="1" applyBorder="1" applyAlignment="1" applyProtection="1">
      <alignment horizontal="right" vertical="center"/>
      <protection hidden="1"/>
    </xf>
    <xf numFmtId="37" fontId="5" fillId="0" borderId="1" xfId="0" applyNumberFormat="1" applyFont="1" applyBorder="1" applyProtection="1">
      <protection locked="0"/>
    </xf>
    <xf numFmtId="0" fontId="106" fillId="15"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65" fillId="5" borderId="0" xfId="0" applyFont="1" applyFill="1" applyAlignment="1" applyProtection="1">
      <alignment horizontal="center" vertical="center"/>
      <protection hidden="1"/>
    </xf>
    <xf numFmtId="0" fontId="8" fillId="15" borderId="0" xfId="0" applyFont="1" applyFill="1"/>
    <xf numFmtId="0" fontId="0" fillId="8" borderId="160" xfId="0" applyFill="1" applyBorder="1" applyProtection="1">
      <protection hidden="1"/>
    </xf>
    <xf numFmtId="0" fontId="0" fillId="5" borderId="160" xfId="0" applyFill="1" applyBorder="1" applyAlignment="1" applyProtection="1">
      <alignment vertical="top"/>
      <protection hidden="1"/>
    </xf>
    <xf numFmtId="0" fontId="0" fillId="5" borderId="160" xfId="0" applyFill="1" applyBorder="1"/>
    <xf numFmtId="37" fontId="0" fillId="0" borderId="0" xfId="0" applyNumberFormat="1" applyProtection="1">
      <protection hidden="1"/>
    </xf>
    <xf numFmtId="37" fontId="0" fillId="0" borderId="12" xfId="0" applyNumberFormat="1" applyBorder="1" applyProtection="1">
      <protection hidden="1"/>
    </xf>
    <xf numFmtId="37" fontId="0" fillId="0" borderId="43" xfId="0" applyNumberFormat="1" applyBorder="1" applyProtection="1">
      <protection hidden="1"/>
    </xf>
    <xf numFmtId="0" fontId="5" fillId="0" borderId="7" xfId="0" applyFont="1" applyBorder="1" applyProtection="1">
      <protection hidden="1"/>
    </xf>
    <xf numFmtId="0" fontId="0" fillId="0" borderId="19" xfId="0" applyBorder="1" applyProtection="1">
      <protection hidden="1"/>
    </xf>
    <xf numFmtId="0" fontId="0" fillId="0" borderId="20" xfId="0" applyBorder="1" applyProtection="1">
      <protection hidden="1"/>
    </xf>
    <xf numFmtId="37" fontId="0" fillId="0" borderId="4" xfId="0" applyNumberFormat="1" applyBorder="1" applyProtection="1">
      <protection hidden="1"/>
    </xf>
    <xf numFmtId="0" fontId="0" fillId="0" borderId="4" xfId="0" applyBorder="1" applyProtection="1">
      <protection hidden="1"/>
    </xf>
    <xf numFmtId="0" fontId="0" fillId="0" borderId="22" xfId="0" applyBorder="1" applyProtection="1">
      <protection hidden="1"/>
    </xf>
    <xf numFmtId="0" fontId="3" fillId="0" borderId="7" xfId="0" applyFont="1" applyBorder="1" applyProtection="1">
      <protection hidden="1"/>
    </xf>
    <xf numFmtId="0" fontId="3" fillId="0" borderId="4" xfId="0" applyFont="1" applyBorder="1" applyProtection="1">
      <protection hidden="1"/>
    </xf>
    <xf numFmtId="37" fontId="116" fillId="2" borderId="8" xfId="0" applyNumberFormat="1" applyFont="1" applyFill="1" applyBorder="1" applyProtection="1">
      <protection hidden="1"/>
    </xf>
    <xf numFmtId="0" fontId="10" fillId="0" borderId="0" xfId="0" applyFont="1" applyAlignment="1">
      <alignment vertical="center"/>
    </xf>
    <xf numFmtId="0" fontId="5" fillId="0" borderId="0" xfId="0" applyFont="1" applyAlignment="1" applyProtection="1">
      <alignment horizontal="left" vertical="top"/>
      <protection hidden="1"/>
    </xf>
    <xf numFmtId="37" fontId="5" fillId="15" borderId="1" xfId="0" applyNumberFormat="1" applyFont="1" applyFill="1" applyBorder="1" applyProtection="1">
      <protection hidden="1"/>
    </xf>
    <xf numFmtId="0" fontId="0" fillId="15" borderId="20" xfId="0" applyFill="1" applyBorder="1" applyAlignment="1">
      <alignment wrapText="1"/>
    </xf>
    <xf numFmtId="0" fontId="0" fillId="15" borderId="5" xfId="0" applyFill="1" applyBorder="1" applyAlignment="1">
      <alignment wrapText="1"/>
    </xf>
    <xf numFmtId="0" fontId="0" fillId="15" borderId="36" xfId="0" applyFill="1" applyBorder="1" applyProtection="1">
      <protection hidden="1"/>
    </xf>
    <xf numFmtId="0" fontId="3" fillId="15" borderId="70" xfId="0" applyFont="1" applyFill="1" applyBorder="1" applyAlignment="1" applyProtection="1">
      <alignment horizontal="right"/>
      <protection hidden="1"/>
    </xf>
    <xf numFmtId="0" fontId="19" fillId="14" borderId="5" xfId="0" applyFont="1" applyFill="1" applyBorder="1" applyProtection="1">
      <protection hidden="1"/>
    </xf>
    <xf numFmtId="0" fontId="19" fillId="14" borderId="0" xfId="0" applyFont="1" applyFill="1" applyProtection="1">
      <protection hidden="1"/>
    </xf>
    <xf numFmtId="0" fontId="19" fillId="14" borderId="0" xfId="0" applyFont="1" applyFill="1" applyAlignment="1" applyProtection="1">
      <alignment horizontal="center"/>
      <protection hidden="1"/>
    </xf>
    <xf numFmtId="0" fontId="144" fillId="15" borderId="0" xfId="0" applyFont="1" applyFill="1" applyProtection="1">
      <protection hidden="1"/>
    </xf>
    <xf numFmtId="0" fontId="14" fillId="15" borderId="0" xfId="0" applyFont="1" applyFill="1"/>
    <xf numFmtId="0" fontId="9" fillId="15" borderId="5" xfId="0" applyFont="1" applyFill="1" applyBorder="1" applyAlignment="1" applyProtection="1">
      <alignment horizontal="left"/>
      <protection hidden="1"/>
    </xf>
    <xf numFmtId="0" fontId="34" fillId="15"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173" fillId="3" borderId="0" xfId="0" applyFont="1" applyFill="1" applyAlignment="1" applyProtection="1">
      <alignment horizontal="left" vertical="center"/>
      <protection hidden="1"/>
    </xf>
    <xf numFmtId="0" fontId="168" fillId="15" borderId="20" xfId="0" applyFont="1" applyFill="1" applyBorder="1" applyAlignment="1" applyProtection="1">
      <alignment horizontal="center" vertical="center"/>
      <protection hidden="1"/>
    </xf>
    <xf numFmtId="0" fontId="5" fillId="15" borderId="5" xfId="0" applyFont="1" applyFill="1" applyBorder="1" applyAlignment="1">
      <alignment vertical="top"/>
    </xf>
    <xf numFmtId="0" fontId="5" fillId="15" borderId="5" xfId="0" applyFont="1" applyFill="1" applyBorder="1" applyAlignment="1">
      <alignment horizontal="left" indent="1"/>
    </xf>
    <xf numFmtId="37" fontId="0" fillId="2" borderId="2" xfId="0" applyNumberFormat="1" applyFill="1" applyBorder="1" applyProtection="1">
      <protection locked="0"/>
    </xf>
    <xf numFmtId="0" fontId="0" fillId="0" borderId="100" xfId="0" applyBorder="1"/>
    <xf numFmtId="0" fontId="5" fillId="15" borderId="13" xfId="0" applyFont="1" applyFill="1" applyBorder="1" applyAlignment="1" applyProtection="1">
      <alignment horizontal="right"/>
      <protection hidden="1"/>
    </xf>
    <xf numFmtId="0" fontId="46" fillId="15" borderId="0" xfId="0" applyFont="1" applyFill="1" applyAlignment="1" applyProtection="1">
      <alignment vertical="center"/>
      <protection hidden="1"/>
    </xf>
    <xf numFmtId="0" fontId="0" fillId="2" borderId="20" xfId="0" applyFill="1" applyBorder="1" applyAlignment="1" applyProtection="1">
      <alignment vertical="center"/>
      <protection hidden="1"/>
    </xf>
    <xf numFmtId="0" fontId="0" fillId="15" borderId="0" xfId="0" applyFill="1" applyAlignment="1" applyProtection="1">
      <alignment vertical="top" wrapText="1"/>
      <protection hidden="1"/>
    </xf>
    <xf numFmtId="0" fontId="5" fillId="15" borderId="0" xfId="0" applyFont="1" applyFill="1" applyAlignment="1" applyProtection="1">
      <alignment vertical="top" wrapText="1"/>
      <protection hidden="1"/>
    </xf>
    <xf numFmtId="0" fontId="0" fillId="15" borderId="4" xfId="0" applyFill="1" applyBorder="1" applyAlignment="1" applyProtection="1">
      <alignment vertical="top"/>
      <protection hidden="1"/>
    </xf>
    <xf numFmtId="0" fontId="19" fillId="2" borderId="4" xfId="0" applyFont="1" applyFill="1" applyBorder="1" applyAlignment="1" applyProtection="1">
      <alignment horizontal="left"/>
      <protection hidden="1"/>
    </xf>
    <xf numFmtId="37" fontId="110" fillId="2" borderId="0" xfId="0" applyNumberFormat="1" applyFont="1" applyFill="1" applyAlignment="1" applyProtection="1">
      <alignment vertical="top" wrapText="1"/>
      <protection hidden="1"/>
    </xf>
    <xf numFmtId="0" fontId="7" fillId="15" borderId="0" xfId="0" applyFont="1" applyFill="1" applyAlignment="1" applyProtection="1">
      <alignment vertical="top"/>
      <protection hidden="1"/>
    </xf>
    <xf numFmtId="37" fontId="5" fillId="0" borderId="0" xfId="0" applyNumberFormat="1" applyFont="1" applyAlignment="1">
      <alignment horizontal="center"/>
    </xf>
    <xf numFmtId="0" fontId="3" fillId="0" borderId="20" xfId="0" applyFont="1" applyBorder="1" applyAlignment="1" applyProtection="1">
      <alignment horizontal="right"/>
      <protection hidden="1"/>
    </xf>
    <xf numFmtId="0" fontId="3" fillId="2" borderId="21" xfId="0" applyFont="1" applyFill="1" applyBorder="1" applyAlignment="1" applyProtection="1">
      <alignment horizontal="right"/>
      <protection hidden="1"/>
    </xf>
    <xf numFmtId="0" fontId="167"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5" borderId="1" xfId="0" applyNumberFormat="1" applyFont="1" applyFill="1" applyBorder="1" applyAlignment="1" applyProtection="1">
      <alignment horizontal="center"/>
      <protection hidden="1"/>
    </xf>
    <xf numFmtId="0" fontId="126"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0" fontId="173" fillId="2" borderId="0" xfId="0" applyFont="1" applyFill="1" applyProtection="1">
      <protection hidden="1"/>
    </xf>
    <xf numFmtId="0" fontId="167" fillId="2" borderId="0" xfId="0" applyFont="1" applyFill="1" applyAlignment="1" applyProtection="1">
      <alignment vertical="top"/>
      <protection hidden="1"/>
    </xf>
    <xf numFmtId="0" fontId="5" fillId="0" borderId="23" xfId="0" quotePrefix="1" applyFont="1" applyBorder="1" applyAlignment="1" applyProtection="1">
      <alignment horizontal="center"/>
      <protection hidden="1"/>
    </xf>
    <xf numFmtId="0" fontId="5" fillId="0" borderId="5" xfId="0" quotePrefix="1" applyFont="1" applyBorder="1" applyAlignment="1" applyProtection="1">
      <alignment horizontal="left" indent="1"/>
      <protection hidden="1"/>
    </xf>
    <xf numFmtId="0" fontId="5" fillId="0" borderId="5" xfId="0" quotePrefix="1" applyFont="1" applyBorder="1" applyAlignment="1" applyProtection="1">
      <alignment horizontal="center"/>
      <protection hidden="1"/>
    </xf>
    <xf numFmtId="0" fontId="3" fillId="0" borderId="5" xfId="0" quotePrefix="1" applyFont="1" applyBorder="1" applyAlignment="1" applyProtection="1">
      <alignment horizontal="right"/>
      <protection hidden="1"/>
    </xf>
    <xf numFmtId="0" fontId="3" fillId="0" borderId="21" xfId="0" quotePrefix="1" applyFont="1" applyBorder="1" applyAlignment="1" applyProtection="1">
      <alignment horizontal="right"/>
      <protection hidden="1"/>
    </xf>
    <xf numFmtId="0" fontId="128" fillId="5" borderId="0" xfId="0" applyFont="1" applyFill="1" applyAlignment="1" applyProtection="1">
      <alignment horizontal="center" vertical="center"/>
      <protection hidden="1"/>
    </xf>
    <xf numFmtId="37" fontId="110" fillId="0" borderId="0" xfId="0" applyNumberFormat="1" applyFont="1" applyProtection="1">
      <protection hidden="1"/>
    </xf>
    <xf numFmtId="0" fontId="110" fillId="0" borderId="0" xfId="0" applyFont="1" applyAlignment="1" applyProtection="1">
      <alignment horizontal="left"/>
      <protection hidden="1"/>
    </xf>
    <xf numFmtId="164" fontId="10" fillId="4" borderId="0" xfId="0" applyNumberFormat="1" applyFont="1" applyFill="1" applyAlignment="1" applyProtection="1">
      <alignment vertical="center"/>
      <protection locked="0" hidden="1"/>
    </xf>
    <xf numFmtId="0" fontId="214" fillId="2" borderId="0" xfId="0" applyFont="1" applyFill="1" applyAlignment="1" applyProtection="1">
      <alignment vertical="center"/>
      <protection hidden="1"/>
    </xf>
    <xf numFmtId="0" fontId="5" fillId="15" borderId="5" xfId="0" applyFont="1" applyFill="1" applyBorder="1" applyAlignment="1" applyProtection="1">
      <alignment vertical="center" wrapText="1"/>
      <protection hidden="1"/>
    </xf>
    <xf numFmtId="0" fontId="5" fillId="15" borderId="21" xfId="0" applyFont="1" applyFill="1" applyBorder="1" applyAlignment="1" applyProtection="1">
      <alignment vertical="center" wrapText="1"/>
      <protection hidden="1"/>
    </xf>
    <xf numFmtId="0" fontId="144" fillId="3" borderId="0" xfId="0" applyFont="1" applyFill="1" applyAlignment="1" applyProtection="1">
      <alignment horizontal="center"/>
      <protection hidden="1"/>
    </xf>
    <xf numFmtId="0" fontId="173" fillId="2" borderId="0" xfId="0" applyFont="1" applyFill="1"/>
    <xf numFmtId="4" fontId="21" fillId="3" borderId="0" xfId="0" applyNumberFormat="1" applyFont="1" applyFill="1" applyProtection="1">
      <protection hidden="1"/>
    </xf>
    <xf numFmtId="4" fontId="110"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22"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7" xfId="0" applyFill="1" applyBorder="1" applyAlignment="1" applyProtection="1">
      <alignment vertical="center"/>
      <protection hidden="1"/>
    </xf>
    <xf numFmtId="0" fontId="83" fillId="3" borderId="1" xfId="0" applyFont="1" applyFill="1" applyBorder="1" applyProtection="1">
      <protection hidden="1"/>
    </xf>
    <xf numFmtId="0" fontId="9" fillId="3" borderId="9" xfId="0" applyFont="1" applyFill="1" applyBorder="1" applyAlignment="1" applyProtection="1">
      <alignment vertical="top"/>
      <protection hidden="1"/>
    </xf>
    <xf numFmtId="0" fontId="9" fillId="3" borderId="1" xfId="0" applyFont="1" applyFill="1" applyBorder="1" applyAlignment="1" applyProtection="1">
      <alignment horizontal="left" vertical="top"/>
      <protection hidden="1"/>
    </xf>
    <xf numFmtId="0" fontId="3" fillId="26" borderId="12"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4" borderId="0" xfId="0" applyNumberFormat="1" applyFont="1" applyFill="1" applyAlignment="1" applyProtection="1">
      <alignment vertical="top"/>
      <protection locked="0"/>
    </xf>
    <xf numFmtId="0" fontId="21" fillId="15" borderId="0" xfId="0" applyFont="1" applyFill="1" applyProtection="1">
      <protection hidden="1"/>
    </xf>
    <xf numFmtId="0" fontId="3" fillId="15" borderId="0" xfId="0" applyFont="1" applyFill="1" applyAlignment="1">
      <alignment horizontal="center"/>
    </xf>
    <xf numFmtId="0" fontId="0" fillId="19" borderId="4" xfId="0" applyFill="1" applyBorder="1"/>
    <xf numFmtId="14" fontId="0" fillId="24" borderId="0" xfId="0" applyNumberFormat="1" applyFill="1" applyAlignment="1" applyProtection="1">
      <alignment horizontal="center"/>
      <protection locked="0"/>
    </xf>
    <xf numFmtId="0" fontId="3" fillId="2" borderId="45" xfId="0" applyFont="1" applyFill="1" applyBorder="1" applyAlignment="1" applyProtection="1">
      <alignment horizontal="right"/>
      <protection hidden="1"/>
    </xf>
    <xf numFmtId="1" fontId="5" fillId="15" borderId="0" xfId="0" applyNumberFormat="1" applyFont="1" applyFill="1" applyProtection="1">
      <protection locked="0"/>
    </xf>
    <xf numFmtId="4" fontId="5" fillId="15" borderId="30" xfId="0" applyNumberFormat="1" applyFont="1" applyFill="1" applyBorder="1" applyAlignment="1" applyProtection="1">
      <alignment horizontal="left" indent="1"/>
      <protection hidden="1"/>
    </xf>
    <xf numFmtId="1" fontId="14" fillId="16" borderId="2" xfId="0" applyNumberFormat="1" applyFont="1" applyFill="1" applyBorder="1" applyAlignment="1" applyProtection="1">
      <alignment horizontal="center"/>
      <protection locked="0"/>
    </xf>
    <xf numFmtId="3" fontId="11" fillId="16" borderId="1" xfId="0" applyNumberFormat="1" applyFont="1" applyFill="1" applyBorder="1" applyProtection="1">
      <protection locked="0"/>
    </xf>
    <xf numFmtId="3" fontId="11" fillId="27" borderId="1" xfId="0" applyNumberFormat="1" applyFont="1" applyFill="1" applyBorder="1" applyProtection="1">
      <protection hidden="1"/>
    </xf>
    <xf numFmtId="0" fontId="110" fillId="15" borderId="19" xfId="0" applyFont="1" applyFill="1" applyBorder="1" applyProtection="1">
      <protection hidden="1"/>
    </xf>
    <xf numFmtId="0" fontId="3" fillId="24" borderId="23" xfId="0" quotePrefix="1" applyFont="1" applyFill="1" applyBorder="1" applyAlignment="1" applyProtection="1">
      <alignment horizontal="right"/>
      <protection hidden="1"/>
    </xf>
    <xf numFmtId="0" fontId="5" fillId="24" borderId="7" xfId="0" applyFont="1" applyFill="1" applyBorder="1" applyProtection="1">
      <protection hidden="1"/>
    </xf>
    <xf numFmtId="0" fontId="9" fillId="24" borderId="7" xfId="0" applyFont="1" applyFill="1" applyBorder="1" applyAlignment="1" applyProtection="1">
      <alignment horizontal="left" vertical="top" wrapText="1"/>
      <protection hidden="1"/>
    </xf>
    <xf numFmtId="0" fontId="11" fillId="24" borderId="7" xfId="0" applyFont="1" applyFill="1" applyBorder="1" applyAlignment="1" applyProtection="1">
      <alignment horizontal="center" wrapText="1"/>
      <protection hidden="1"/>
    </xf>
    <xf numFmtId="0" fontId="9" fillId="24" borderId="7" xfId="0" applyFont="1" applyFill="1" applyBorder="1" applyAlignment="1" applyProtection="1">
      <alignment horizontal="right" vertical="top" wrapText="1"/>
      <protection hidden="1"/>
    </xf>
    <xf numFmtId="0" fontId="3" fillId="24" borderId="0" xfId="0" quotePrefix="1" applyFont="1" applyFill="1" applyAlignment="1" applyProtection="1">
      <alignment horizontal="right"/>
      <protection hidden="1"/>
    </xf>
    <xf numFmtId="0" fontId="9" fillId="24" borderId="0" xfId="0" applyFont="1" applyFill="1" applyAlignment="1" applyProtection="1">
      <alignment horizontal="left" vertical="top" wrapText="1"/>
      <protection hidden="1"/>
    </xf>
    <xf numFmtId="0" fontId="3" fillId="24" borderId="21" xfId="0" applyFont="1" applyFill="1" applyBorder="1" applyAlignment="1" applyProtection="1">
      <alignment horizontal="left"/>
      <protection hidden="1"/>
    </xf>
    <xf numFmtId="0" fontId="9" fillId="24" borderId="7" xfId="0" applyFont="1" applyFill="1" applyBorder="1" applyAlignment="1" applyProtection="1">
      <alignment horizontal="center" vertical="top" wrapText="1"/>
      <protection hidden="1"/>
    </xf>
    <xf numFmtId="0" fontId="11" fillId="24" borderId="27" xfId="0" applyFont="1" applyFill="1" applyBorder="1" applyAlignment="1" applyProtection="1">
      <alignment horizontal="center" wrapText="1"/>
      <protection hidden="1"/>
    </xf>
    <xf numFmtId="0" fontId="11" fillId="15" borderId="5" xfId="0" applyFont="1" applyFill="1" applyBorder="1" applyAlignment="1" applyProtection="1">
      <alignment horizontal="left" indent="1"/>
      <protection hidden="1"/>
    </xf>
    <xf numFmtId="0" fontId="0" fillId="15" borderId="0" xfId="0" applyFill="1" applyAlignment="1" applyProtection="1">
      <alignment wrapText="1"/>
      <protection hidden="1"/>
    </xf>
    <xf numFmtId="0" fontId="5" fillId="15" borderId="0" xfId="0" quotePrefix="1" applyFont="1" applyFill="1" applyProtection="1">
      <protection hidden="1"/>
    </xf>
    <xf numFmtId="0" fontId="106" fillId="2" borderId="0" xfId="0" applyFont="1" applyFill="1" applyAlignment="1" applyProtection="1">
      <alignment horizontal="left" vertical="top"/>
      <protection hidden="1"/>
    </xf>
    <xf numFmtId="0" fontId="15" fillId="15" borderId="20" xfId="0" applyFont="1" applyFill="1" applyBorder="1" applyAlignment="1" applyProtection="1">
      <alignment horizontal="center" wrapText="1"/>
      <protection hidden="1"/>
    </xf>
    <xf numFmtId="0" fontId="212" fillId="2" borderId="0" xfId="0" applyFont="1" applyFill="1" applyAlignment="1" applyProtection="1">
      <alignment horizontal="center"/>
      <protection hidden="1"/>
    </xf>
    <xf numFmtId="0" fontId="3" fillId="15" borderId="5" xfId="0" applyFont="1" applyFill="1" applyBorder="1" applyAlignment="1" applyProtection="1">
      <alignment horizontal="center" vertical="center"/>
      <protection locked="0"/>
    </xf>
    <xf numFmtId="0" fontId="5" fillId="0" borderId="20" xfId="0" applyFont="1" applyBorder="1" applyProtection="1">
      <protection hidden="1"/>
    </xf>
    <xf numFmtId="0" fontId="0" fillId="0" borderId="12" xfId="0" applyBorder="1" applyProtection="1">
      <protection hidden="1"/>
    </xf>
    <xf numFmtId="182" fontId="14" fillId="24" borderId="0" xfId="0" applyNumberFormat="1" applyFont="1" applyFill="1" applyProtection="1">
      <protection locked="0"/>
    </xf>
    <xf numFmtId="182" fontId="5" fillId="24" borderId="0" xfId="0" applyNumberFormat="1" applyFont="1" applyFill="1" applyProtection="1">
      <protection locked="0"/>
    </xf>
    <xf numFmtId="182" fontId="0" fillId="24" borderId="0" xfId="0" applyNumberFormat="1" applyFill="1" applyProtection="1">
      <protection locked="0"/>
    </xf>
    <xf numFmtId="164" fontId="8" fillId="3" borderId="0" xfId="0" applyNumberFormat="1" applyFont="1" applyFill="1" applyAlignment="1" applyProtection="1">
      <alignment horizontal="right"/>
      <protection hidden="1"/>
    </xf>
    <xf numFmtId="0" fontId="167" fillId="2" borderId="0" xfId="0" applyFont="1" applyFill="1" applyProtection="1">
      <protection hidden="1"/>
    </xf>
    <xf numFmtId="164" fontId="3" fillId="2" borderId="0" xfId="0" applyNumberFormat="1" applyFont="1" applyFill="1" applyProtection="1">
      <protection hidden="1"/>
    </xf>
    <xf numFmtId="0" fontId="173" fillId="2" borderId="7" xfId="0" applyFont="1" applyFill="1" applyBorder="1" applyProtection="1">
      <protection hidden="1"/>
    </xf>
    <xf numFmtId="0" fontId="10" fillId="29" borderId="107" xfId="0" applyFont="1" applyFill="1" applyBorder="1" applyProtection="1">
      <protection hidden="1"/>
    </xf>
    <xf numFmtId="0" fontId="8" fillId="24" borderId="0" xfId="0" quotePrefix="1" applyFont="1" applyFill="1" applyAlignment="1" applyProtection="1">
      <alignment horizontal="center"/>
      <protection hidden="1"/>
    </xf>
    <xf numFmtId="0" fontId="3" fillId="0" borderId="162" xfId="0" applyFont="1" applyBorder="1"/>
    <xf numFmtId="0" fontId="0" fillId="0" borderId="106" xfId="0" applyBorder="1"/>
    <xf numFmtId="0" fontId="3" fillId="0" borderId="163" xfId="0" quotePrefix="1" applyFont="1" applyBorder="1" applyAlignment="1">
      <alignment horizontal="right"/>
    </xf>
    <xf numFmtId="0" fontId="0" fillId="0" borderId="171" xfId="0" applyBorder="1"/>
    <xf numFmtId="0" fontId="5" fillId="0" borderId="163" xfId="0" quotePrefix="1" applyFont="1" applyBorder="1" applyAlignment="1">
      <alignment horizontal="left" indent="2"/>
    </xf>
    <xf numFmtId="0" fontId="0" fillId="0" borderId="163" xfId="0" quotePrefix="1" applyBorder="1"/>
    <xf numFmtId="0" fontId="5" fillId="0" borderId="163" xfId="0" quotePrefix="1" applyFont="1" applyBorder="1" applyAlignment="1">
      <alignment horizontal="right" indent="2"/>
    </xf>
    <xf numFmtId="2" fontId="0" fillId="0" borderId="171" xfId="0" applyNumberFormat="1" applyBorder="1" applyAlignment="1">
      <alignment horizontal="center"/>
    </xf>
    <xf numFmtId="0" fontId="5" fillId="0" borderId="163" xfId="0" quotePrefix="1" applyFont="1" applyBorder="1"/>
    <xf numFmtId="0" fontId="9" fillId="0" borderId="163" xfId="0" applyFont="1" applyBorder="1" applyAlignment="1" applyProtection="1">
      <alignment horizontal="center"/>
      <protection hidden="1"/>
    </xf>
    <xf numFmtId="0" fontId="0" fillId="0" borderId="171" xfId="0" applyBorder="1" applyAlignment="1">
      <alignment horizontal="center"/>
    </xf>
    <xf numFmtId="0" fontId="0" fillId="0" borderId="163" xfId="0" applyBorder="1"/>
    <xf numFmtId="0" fontId="3" fillId="0" borderId="164" xfId="0" quotePrefix="1" applyFont="1" applyBorder="1" applyAlignment="1">
      <alignment horizontal="right"/>
    </xf>
    <xf numFmtId="0" fontId="5" fillId="0" borderId="87" xfId="0" applyFont="1" applyBorder="1"/>
    <xf numFmtId="0" fontId="0" fillId="0" borderId="87" xfId="0" applyBorder="1"/>
    <xf numFmtId="37" fontId="7" fillId="26" borderId="87" xfId="0" applyNumberFormat="1" applyFont="1" applyFill="1" applyBorder="1" applyAlignment="1" applyProtection="1">
      <alignment horizontal="right"/>
      <protection hidden="1"/>
    </xf>
    <xf numFmtId="0" fontId="0" fillId="0" borderId="177" xfId="0" applyBorder="1"/>
    <xf numFmtId="0" fontId="5" fillId="0" borderId="170" xfId="0" applyFont="1" applyBorder="1"/>
    <xf numFmtId="0" fontId="9" fillId="2" borderId="0" xfId="0" applyFont="1" applyFill="1" applyAlignment="1" applyProtection="1">
      <alignment vertical="top" wrapText="1"/>
      <protection hidden="1"/>
    </xf>
    <xf numFmtId="0" fontId="126" fillId="31" borderId="0" xfId="0" applyFont="1" applyFill="1" applyAlignment="1" applyProtection="1">
      <alignment horizontal="center"/>
      <protection hidden="1"/>
    </xf>
    <xf numFmtId="0" fontId="66" fillId="2" borderId="8" xfId="2" applyFill="1" applyBorder="1" applyAlignment="1" applyProtection="1">
      <protection hidden="1"/>
    </xf>
    <xf numFmtId="0" fontId="144" fillId="5" borderId="0" xfId="0" applyFont="1" applyFill="1" applyAlignment="1" applyProtection="1">
      <alignment horizontal="center"/>
      <protection hidden="1"/>
    </xf>
    <xf numFmtId="0" fontId="41"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59" fillId="5" borderId="0" xfId="0" applyFont="1" applyFill="1" applyAlignment="1">
      <alignment vertical="center"/>
    </xf>
    <xf numFmtId="0" fontId="159" fillId="5" borderId="0" xfId="0" applyFont="1" applyFill="1" applyAlignment="1" applyProtection="1">
      <alignment vertical="center"/>
      <protection hidden="1"/>
    </xf>
    <xf numFmtId="0" fontId="3" fillId="15" borderId="24" xfId="0" applyFont="1" applyFill="1" applyBorder="1" applyAlignment="1" applyProtection="1">
      <alignment horizontal="right" vertical="center"/>
      <protection hidden="1"/>
    </xf>
    <xf numFmtId="0" fontId="3" fillId="15" borderId="70" xfId="0" applyFont="1" applyFill="1" applyBorder="1" applyAlignment="1" applyProtection="1">
      <alignment horizontal="right" vertical="center"/>
      <protection hidden="1"/>
    </xf>
    <xf numFmtId="0" fontId="3" fillId="15" borderId="11" xfId="0" applyFont="1" applyFill="1" applyBorder="1" applyAlignment="1" applyProtection="1">
      <alignment horizontal="right" vertical="center"/>
      <protection hidden="1"/>
    </xf>
    <xf numFmtId="0" fontId="10" fillId="15" borderId="1" xfId="0" applyFont="1" applyFill="1" applyBorder="1" applyProtection="1">
      <protection hidden="1"/>
    </xf>
    <xf numFmtId="37" fontId="3" fillId="27" borderId="30" xfId="0" applyNumberFormat="1" applyFont="1" applyFill="1" applyBorder="1" applyAlignment="1" applyProtection="1">
      <alignment horizontal="right" indent="1"/>
      <protection hidden="1"/>
    </xf>
    <xf numFmtId="37" fontId="3" fillId="27" borderId="8" xfId="0" applyNumberFormat="1" applyFont="1" applyFill="1" applyBorder="1" applyAlignment="1">
      <alignment horizontal="right" indent="1"/>
    </xf>
    <xf numFmtId="37" fontId="5" fillId="0" borderId="2" xfId="0" applyNumberFormat="1" applyFont="1" applyBorder="1" applyProtection="1">
      <protection locked="0"/>
    </xf>
    <xf numFmtId="0" fontId="9" fillId="0" borderId="12" xfId="0" applyFont="1" applyBorder="1" applyAlignment="1" applyProtection="1">
      <alignment horizontal="center"/>
      <protection hidden="1"/>
    </xf>
    <xf numFmtId="3" fontId="9" fillId="0" borderId="12" xfId="0" applyNumberFormat="1" applyFont="1" applyBorder="1" applyAlignment="1" applyProtection="1">
      <alignment horizontal="center"/>
      <protection hidden="1"/>
    </xf>
    <xf numFmtId="0" fontId="9" fillId="15" borderId="4" xfId="0" applyFont="1" applyFill="1" applyBorder="1" applyAlignment="1">
      <alignment horizontal="center"/>
    </xf>
    <xf numFmtId="0" fontId="9" fillId="27" borderId="0" xfId="0" applyFont="1" applyFill="1" applyAlignment="1" applyProtection="1">
      <alignment horizontal="center"/>
      <protection hidden="1"/>
    </xf>
    <xf numFmtId="0" fontId="9" fillId="0" borderId="0" xfId="0" applyFont="1" applyAlignment="1" applyProtection="1">
      <alignment horizontal="center" vertical="center"/>
      <protection hidden="1"/>
    </xf>
    <xf numFmtId="0" fontId="180" fillId="15" borderId="0" xfId="0" applyFont="1" applyFill="1" applyAlignment="1" applyProtection="1">
      <alignment horizontal="left"/>
      <protection hidden="1"/>
    </xf>
    <xf numFmtId="4" fontId="128" fillId="7" borderId="39" xfId="0" applyNumberFormat="1" applyFont="1" applyFill="1" applyBorder="1" applyProtection="1">
      <protection hidden="1"/>
    </xf>
    <xf numFmtId="1" fontId="11" fillId="3" borderId="144" xfId="0" applyNumberFormat="1" applyFont="1" applyFill="1" applyBorder="1" applyProtection="1">
      <protection hidden="1"/>
    </xf>
    <xf numFmtId="0" fontId="9" fillId="15" borderId="21" xfId="0" applyFont="1" applyFill="1" applyBorder="1" applyProtection="1">
      <protection hidden="1"/>
    </xf>
    <xf numFmtId="3" fontId="9" fillId="15" borderId="4" xfId="0" applyNumberFormat="1" applyFont="1" applyFill="1" applyBorder="1"/>
    <xf numFmtId="0" fontId="9" fillId="15" borderId="0" xfId="0" applyFont="1" applyFill="1" applyAlignment="1" applyProtection="1">
      <alignment horizontal="right"/>
      <protection hidden="1"/>
    </xf>
    <xf numFmtId="0" fontId="11" fillId="15" borderId="5" xfId="0" applyFont="1" applyFill="1" applyBorder="1" applyAlignment="1" applyProtection="1">
      <alignment horizontal="right"/>
      <protection hidden="1"/>
    </xf>
    <xf numFmtId="0" fontId="11" fillId="0" borderId="0" xfId="0" applyFont="1" applyAlignment="1" applyProtection="1">
      <alignment horizontal="center"/>
      <protection hidden="1"/>
    </xf>
    <xf numFmtId="37" fontId="9" fillId="0" borderId="0" xfId="0" applyNumberFormat="1" applyFont="1" applyAlignment="1" applyProtection="1">
      <alignment horizontal="center"/>
      <protection hidden="1"/>
    </xf>
    <xf numFmtId="0" fontId="9" fillId="0" borderId="1" xfId="0" applyFont="1" applyBorder="1" applyAlignment="1" applyProtection="1">
      <alignment horizontal="center"/>
      <protection hidden="1"/>
    </xf>
    <xf numFmtId="0" fontId="0" fillId="15" borderId="0" xfId="0" applyFill="1" applyAlignment="1">
      <alignment horizontal="left" vertical="top" wrapText="1"/>
    </xf>
    <xf numFmtId="9" fontId="11" fillId="0" borderId="12"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15" fillId="0" borderId="12" xfId="0" applyFont="1" applyBorder="1" applyAlignment="1" applyProtection="1">
      <alignment horizontal="center"/>
      <protection hidden="1"/>
    </xf>
    <xf numFmtId="37" fontId="215" fillId="0" borderId="0" xfId="0" applyNumberFormat="1" applyFont="1" applyAlignment="1" applyProtection="1">
      <alignment horizontal="center"/>
      <protection hidden="1"/>
    </xf>
    <xf numFmtId="9" fontId="216" fillId="0" borderId="12" xfId="0" applyNumberFormat="1" applyFont="1" applyBorder="1" applyAlignment="1" applyProtection="1">
      <alignment horizontal="center"/>
      <protection hidden="1"/>
    </xf>
    <xf numFmtId="4" fontId="8" fillId="15" borderId="0" xfId="0" applyNumberFormat="1" applyFont="1" applyFill="1" applyAlignment="1" applyProtection="1">
      <alignment horizontal="center" wrapText="1"/>
      <protection hidden="1"/>
    </xf>
    <xf numFmtId="0" fontId="144" fillId="15" borderId="0" xfId="0" applyFont="1" applyFill="1" applyAlignment="1">
      <alignment horizontal="center" wrapText="1"/>
    </xf>
    <xf numFmtId="1" fontId="11" fillId="0" borderId="54" xfId="0" applyNumberFormat="1" applyFont="1" applyBorder="1" applyAlignment="1" applyProtection="1">
      <alignment horizontal="center"/>
      <protection locked="0"/>
    </xf>
    <xf numFmtId="0" fontId="111" fillId="5" borderId="0" xfId="0" applyFont="1" applyFill="1" applyAlignment="1" applyProtection="1">
      <alignment horizontal="center"/>
      <protection hidden="1"/>
    </xf>
    <xf numFmtId="4" fontId="207" fillId="2" borderId="5" xfId="0" applyNumberFormat="1" applyFont="1" applyFill="1" applyBorder="1" applyAlignment="1" applyProtection="1">
      <alignment horizontal="left" indent="1"/>
      <protection hidden="1"/>
    </xf>
    <xf numFmtId="37" fontId="8" fillId="14" borderId="30" xfId="0" applyNumberFormat="1" applyFont="1" applyFill="1" applyBorder="1" applyAlignment="1" applyProtection="1">
      <alignment horizontal="right"/>
      <protection hidden="1"/>
    </xf>
    <xf numFmtId="0" fontId="117" fillId="3" borderId="0" xfId="0" applyFont="1" applyFill="1" applyAlignment="1" applyProtection="1">
      <alignment wrapText="1"/>
      <protection hidden="1"/>
    </xf>
    <xf numFmtId="37" fontId="123"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8" borderId="9" xfId="0" applyNumberFormat="1" applyFont="1" applyFill="1" applyBorder="1" applyAlignment="1" applyProtection="1">
      <alignment horizontal="center"/>
      <protection hidden="1"/>
    </xf>
    <xf numFmtId="37" fontId="123" fillId="14" borderId="30" xfId="0" applyNumberFormat="1" applyFont="1" applyFill="1" applyBorder="1" applyProtection="1">
      <protection hidden="1"/>
    </xf>
    <xf numFmtId="37" fontId="116" fillId="15" borderId="8" xfId="0" applyNumberFormat="1" applyFont="1" applyFill="1" applyBorder="1" applyAlignment="1" applyProtection="1">
      <alignment horizontal="right"/>
      <protection hidden="1"/>
    </xf>
    <xf numFmtId="37" fontId="116" fillId="3" borderId="0" xfId="0" applyNumberFormat="1" applyFont="1" applyFill="1" applyProtection="1">
      <protection hidden="1"/>
    </xf>
    <xf numFmtId="0" fontId="9" fillId="3" borderId="0" xfId="0" applyFont="1" applyFill="1" applyAlignment="1" applyProtection="1">
      <alignment horizontal="left" vertical="center"/>
      <protection hidden="1"/>
    </xf>
    <xf numFmtId="4" fontId="9" fillId="3" borderId="0" xfId="0" applyNumberFormat="1" applyFont="1" applyFill="1" applyAlignment="1" applyProtection="1">
      <alignment horizontal="left" vertical="center"/>
      <protection hidden="1"/>
    </xf>
    <xf numFmtId="37" fontId="7" fillId="28" borderId="9" xfId="0" applyNumberFormat="1" applyFont="1" applyFill="1" applyBorder="1" applyAlignment="1" applyProtection="1">
      <alignment horizontal="right" vertical="center"/>
      <protection hidden="1"/>
    </xf>
    <xf numFmtId="37" fontId="7" fillId="3" borderId="1" xfId="0" applyNumberFormat="1" applyFont="1" applyFill="1" applyBorder="1" applyAlignment="1" applyProtection="1">
      <alignment horizontal="right" vertical="center"/>
      <protection locked="0"/>
    </xf>
    <xf numFmtId="0" fontId="5" fillId="15" borderId="0" xfId="0" applyFont="1" applyFill="1" applyAlignment="1">
      <alignment horizontal="center" vertical="center" wrapText="1"/>
    </xf>
    <xf numFmtId="37" fontId="0" fillId="15" borderId="0" xfId="0" applyNumberFormat="1" applyFill="1"/>
    <xf numFmtId="0" fontId="46" fillId="15"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5" fillId="3" borderId="0" xfId="0" quotePrefix="1" applyFont="1" applyFill="1" applyAlignment="1" applyProtection="1">
      <alignment horizontal="left"/>
      <protection hidden="1"/>
    </xf>
    <xf numFmtId="4" fontId="11" fillId="3" borderId="7" xfId="0" applyNumberFormat="1" applyFont="1" applyFill="1" applyBorder="1" applyAlignment="1" applyProtection="1">
      <alignment horizontal="right" vertical="center"/>
      <protection hidden="1"/>
    </xf>
    <xf numFmtId="0" fontId="8" fillId="3" borderId="20" xfId="0" applyFont="1" applyFill="1" applyBorder="1" applyAlignment="1" applyProtection="1">
      <alignment vertical="center"/>
      <protection hidden="1"/>
    </xf>
    <xf numFmtId="4" fontId="15" fillId="2" borderId="0" xfId="0" applyNumberFormat="1" applyFont="1" applyFill="1" applyAlignment="1" applyProtection="1">
      <alignment vertical="center"/>
      <protection hidden="1"/>
    </xf>
    <xf numFmtId="4" fontId="15" fillId="21" borderId="0" xfId="0" applyNumberFormat="1" applyFont="1" applyFill="1" applyAlignment="1" applyProtection="1">
      <alignment vertical="center"/>
      <protection hidden="1"/>
    </xf>
    <xf numFmtId="4" fontId="7" fillId="0" borderId="0" xfId="0" applyNumberFormat="1" applyFont="1" applyAlignment="1" applyProtection="1">
      <alignment vertical="center"/>
      <protection hidden="1"/>
    </xf>
    <xf numFmtId="4" fontId="144" fillId="27" borderId="108" xfId="0" applyNumberFormat="1" applyFont="1" applyFill="1" applyBorder="1" applyAlignment="1" applyProtection="1">
      <alignment horizontal="center"/>
      <protection hidden="1"/>
    </xf>
    <xf numFmtId="4" fontId="122" fillId="2" borderId="55" xfId="0" applyNumberFormat="1" applyFont="1" applyFill="1" applyBorder="1" applyAlignment="1" applyProtection="1">
      <alignment horizontal="left" indent="1"/>
      <protection hidden="1"/>
    </xf>
    <xf numFmtId="0" fontId="130" fillId="15" borderId="0" xfId="0" applyFont="1" applyFill="1" applyAlignment="1" applyProtection="1">
      <alignment horizontal="left"/>
      <protection hidden="1"/>
    </xf>
    <xf numFmtId="0" fontId="109" fillId="15" borderId="0" xfId="0" applyFont="1" applyFill="1" applyAlignment="1" applyProtection="1">
      <alignment horizontal="left"/>
      <protection hidden="1"/>
    </xf>
    <xf numFmtId="0" fontId="109" fillId="15" borderId="0" xfId="0" applyFont="1" applyFill="1" applyAlignment="1" applyProtection="1">
      <alignment vertical="center"/>
      <protection hidden="1"/>
    </xf>
    <xf numFmtId="0" fontId="110" fillId="15"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0" xfId="0" applyBorder="1" applyAlignment="1">
      <alignment wrapText="1"/>
    </xf>
    <xf numFmtId="1" fontId="184"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12" fillId="0" borderId="0" xfId="0" applyFont="1" applyAlignment="1">
      <alignment horizontal="center"/>
    </xf>
    <xf numFmtId="0" fontId="8" fillId="3" borderId="7" xfId="0" applyFont="1" applyFill="1" applyBorder="1" applyAlignment="1" applyProtection="1">
      <alignment horizontal="left" vertical="top"/>
      <protection hidden="1"/>
    </xf>
    <xf numFmtId="0" fontId="7" fillId="3" borderId="8" xfId="0" applyFont="1" applyFill="1" applyBorder="1" applyAlignment="1" applyProtection="1">
      <alignment horizontal="left"/>
      <protection hidden="1"/>
    </xf>
    <xf numFmtId="0" fontId="14" fillId="3" borderId="0" xfId="0" applyFont="1" applyFill="1" applyAlignment="1" applyProtection="1">
      <alignment horizontal="right"/>
      <protection hidden="1"/>
    </xf>
    <xf numFmtId="0" fontId="14" fillId="3" borderId="25" xfId="0" applyFont="1" applyFill="1" applyBorder="1" applyAlignment="1" applyProtection="1">
      <alignment vertical="center"/>
      <protection hidden="1"/>
    </xf>
    <xf numFmtId="39" fontId="3" fillId="3" borderId="25" xfId="0" applyNumberFormat="1" applyFont="1" applyFill="1" applyBorder="1" applyProtection="1">
      <protection hidden="1"/>
    </xf>
    <xf numFmtId="39" fontId="8" fillId="3" borderId="25" xfId="0" applyNumberFormat="1" applyFont="1" applyFill="1" applyBorder="1" applyProtection="1">
      <protection hidden="1"/>
    </xf>
    <xf numFmtId="39" fontId="8" fillId="3" borderId="25" xfId="0" applyNumberFormat="1" applyFont="1" applyFill="1" applyBorder="1" applyAlignment="1" applyProtection="1">
      <alignment horizontal="center"/>
      <protection hidden="1"/>
    </xf>
    <xf numFmtId="39" fontId="8" fillId="3" borderId="25" xfId="0" applyNumberFormat="1" applyFont="1" applyFill="1" applyBorder="1" applyAlignment="1" applyProtection="1">
      <alignment horizontal="left"/>
      <protection hidden="1"/>
    </xf>
    <xf numFmtId="176" fontId="138" fillId="3" borderId="25" xfId="0" applyNumberFormat="1" applyFont="1" applyFill="1" applyBorder="1" applyAlignment="1" applyProtection="1">
      <alignment horizontal="center"/>
      <protection hidden="1"/>
    </xf>
    <xf numFmtId="39" fontId="123" fillId="3" borderId="25" xfId="0" applyNumberFormat="1" applyFont="1" applyFill="1" applyBorder="1" applyAlignment="1" applyProtection="1">
      <alignment horizontal="center"/>
      <protection hidden="1"/>
    </xf>
    <xf numFmtId="176" fontId="11" fillId="3" borderId="25"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176" fontId="112" fillId="3" borderId="1" xfId="0" applyNumberFormat="1" applyFont="1" applyFill="1" applyBorder="1" applyAlignment="1" applyProtection="1">
      <alignment horizontal="center"/>
      <protection hidden="1"/>
    </xf>
    <xf numFmtId="39" fontId="116" fillId="3" borderId="1" xfId="0" applyNumberFormat="1" applyFont="1" applyFill="1" applyBorder="1" applyAlignment="1" applyProtection="1">
      <alignment horizontal="center"/>
      <protection hidden="1"/>
    </xf>
    <xf numFmtId="39" fontId="5" fillId="3" borderId="8" xfId="0" applyNumberFormat="1" applyFont="1" applyFill="1" applyBorder="1" applyProtection="1">
      <protection hidden="1"/>
    </xf>
    <xf numFmtId="176" fontId="112" fillId="3" borderId="8" xfId="0" applyNumberFormat="1" applyFont="1" applyFill="1" applyBorder="1" applyAlignment="1" applyProtection="1">
      <alignment horizontal="center"/>
      <protection hidden="1"/>
    </xf>
    <xf numFmtId="39" fontId="116" fillId="3" borderId="8" xfId="0" applyNumberFormat="1" applyFont="1" applyFill="1" applyBorder="1" applyAlignment="1" applyProtection="1">
      <alignment horizontal="center"/>
      <protection hidden="1"/>
    </xf>
    <xf numFmtId="0" fontId="7" fillId="14" borderId="0" xfId="0" applyFont="1" applyFill="1" applyAlignment="1" applyProtection="1">
      <alignment horizontal="left"/>
      <protection hidden="1"/>
    </xf>
    <xf numFmtId="0" fontId="5" fillId="15" borderId="0" xfId="0" applyFont="1" applyFill="1" applyAlignment="1">
      <alignment horizontal="center" vertical="center"/>
    </xf>
    <xf numFmtId="0" fontId="14" fillId="14" borderId="0" xfId="0" applyFont="1" applyFill="1" applyAlignment="1" applyProtection="1">
      <alignment vertical="center"/>
      <protection hidden="1"/>
    </xf>
    <xf numFmtId="0" fontId="5" fillId="3" borderId="25" xfId="0" applyFont="1" applyFill="1" applyBorder="1" applyAlignment="1" applyProtection="1">
      <alignment vertical="center"/>
      <protection hidden="1"/>
    </xf>
    <xf numFmtId="0" fontId="3" fillId="14" borderId="0" xfId="0" applyFont="1" applyFill="1" applyAlignment="1" applyProtection="1">
      <alignment horizontal="left"/>
      <protection hidden="1"/>
    </xf>
    <xf numFmtId="0" fontId="5" fillId="14"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1" fillId="3" borderId="7" xfId="0" applyNumberFormat="1" applyFont="1" applyFill="1" applyBorder="1" applyAlignment="1" applyProtection="1">
      <alignment horizontal="right" vertical="top"/>
      <protection hidden="1"/>
    </xf>
    <xf numFmtId="176" fontId="11" fillId="20" borderId="12" xfId="0" applyNumberFormat="1" applyFont="1" applyFill="1" applyBorder="1" applyAlignment="1" applyProtection="1">
      <alignment horizontal="center" vertical="center"/>
      <protection locked="0"/>
    </xf>
    <xf numFmtId="1" fontId="7" fillId="14" borderId="0" xfId="0" applyNumberFormat="1" applyFont="1" applyFill="1" applyAlignment="1" applyProtection="1">
      <alignment horizontal="right"/>
      <protection hidden="1"/>
    </xf>
    <xf numFmtId="39" fontId="9"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right"/>
      <protection hidden="1"/>
    </xf>
    <xf numFmtId="0" fontId="11" fillId="3" borderId="10" xfId="0" applyFont="1" applyFill="1" applyBorder="1" applyAlignment="1" applyProtection="1">
      <alignment horizontal="center"/>
      <protection hidden="1"/>
    </xf>
    <xf numFmtId="3" fontId="7" fillId="14" borderId="0" xfId="0" applyNumberFormat="1" applyFont="1" applyFill="1" applyAlignment="1" applyProtection="1">
      <alignment horizontal="right"/>
      <protection hidden="1"/>
    </xf>
    <xf numFmtId="39" fontId="7" fillId="14" borderId="0" xfId="0" applyNumberFormat="1" applyFont="1" applyFill="1" applyProtection="1">
      <protection hidden="1"/>
    </xf>
    <xf numFmtId="0" fontId="7" fillId="14" borderId="0" xfId="0" applyFont="1" applyFill="1" applyProtection="1">
      <protection hidden="1"/>
    </xf>
    <xf numFmtId="0" fontId="46" fillId="14" borderId="0" xfId="0" applyFont="1" applyFill="1" applyProtection="1">
      <protection hidden="1"/>
    </xf>
    <xf numFmtId="0" fontId="218" fillId="3" borderId="0" xfId="0" applyFont="1" applyFill="1" applyAlignment="1" applyProtection="1">
      <alignment horizontal="center" vertical="center"/>
      <protection hidden="1"/>
    </xf>
    <xf numFmtId="0" fontId="14" fillId="3" borderId="0" xfId="0" applyFont="1" applyFill="1" applyAlignment="1" applyProtection="1">
      <alignment horizontal="right" vertical="center"/>
      <protection hidden="1"/>
    </xf>
    <xf numFmtId="0" fontId="9" fillId="5" borderId="0" xfId="0" applyFont="1" applyFill="1" applyAlignment="1" applyProtection="1">
      <alignment horizontal="right"/>
      <protection hidden="1"/>
    </xf>
    <xf numFmtId="1" fontId="8" fillId="3" borderId="10" xfId="0" applyNumberFormat="1" applyFont="1" applyFill="1" applyBorder="1" applyAlignment="1" applyProtection="1">
      <alignment horizontal="center"/>
      <protection hidden="1"/>
    </xf>
    <xf numFmtId="0" fontId="11" fillId="3" borderId="0" xfId="0" applyFont="1" applyFill="1" applyAlignment="1" applyProtection="1">
      <alignment horizontal="right" vertical="center"/>
      <protection hidden="1"/>
    </xf>
    <xf numFmtId="39" fontId="7" fillId="3" borderId="4" xfId="0" applyNumberFormat="1" applyFont="1" applyFill="1" applyBorder="1" applyProtection="1">
      <protection hidden="1"/>
    </xf>
    <xf numFmtId="0" fontId="11" fillId="3" borderId="28" xfId="0" applyFont="1" applyFill="1" applyBorder="1" applyAlignment="1" applyProtection="1">
      <alignment horizontal="center"/>
      <protection hidden="1"/>
    </xf>
    <xf numFmtId="39" fontId="8" fillId="3" borderId="70" xfId="0" applyNumberFormat="1" applyFont="1" applyFill="1" applyBorder="1" applyAlignment="1" applyProtection="1">
      <alignment horizontal="right"/>
      <protection hidden="1"/>
    </xf>
    <xf numFmtId="0" fontId="8" fillId="19" borderId="23" xfId="0" quotePrefix="1" applyFont="1" applyFill="1" applyBorder="1" applyAlignment="1" applyProtection="1">
      <alignment horizontal="right" vertical="center"/>
      <protection hidden="1"/>
    </xf>
    <xf numFmtId="4" fontId="7" fillId="19" borderId="7" xfId="0" applyNumberFormat="1" applyFont="1" applyFill="1" applyBorder="1" applyAlignment="1" applyProtection="1">
      <alignment horizontal="left" vertical="center"/>
      <protection hidden="1"/>
    </xf>
    <xf numFmtId="0" fontId="7" fillId="19" borderId="7" xfId="0" applyFont="1" applyFill="1" applyBorder="1" applyAlignment="1" applyProtection="1">
      <alignment horizontal="left" vertical="center"/>
      <protection hidden="1"/>
    </xf>
    <xf numFmtId="0" fontId="8" fillId="19" borderId="7" xfId="0" applyFont="1" applyFill="1" applyBorder="1" applyAlignment="1" applyProtection="1">
      <alignment horizontal="right" vertical="center"/>
      <protection hidden="1"/>
    </xf>
    <xf numFmtId="39" fontId="7" fillId="19" borderId="7" xfId="0" applyNumberFormat="1" applyFont="1" applyFill="1" applyBorder="1" applyAlignment="1" applyProtection="1">
      <alignment horizontal="center" vertical="center"/>
      <protection hidden="1"/>
    </xf>
    <xf numFmtId="39" fontId="7" fillId="19" borderId="7" xfId="0" applyNumberFormat="1" applyFont="1" applyFill="1" applyBorder="1" applyAlignment="1" applyProtection="1">
      <alignment horizontal="right" vertical="center"/>
      <protection hidden="1"/>
    </xf>
    <xf numFmtId="0" fontId="8" fillId="19" borderId="7" xfId="0" quotePrefix="1" applyFont="1" applyFill="1" applyBorder="1" applyAlignment="1" applyProtection="1">
      <alignment horizontal="right" vertical="center"/>
      <protection hidden="1"/>
    </xf>
    <xf numFmtId="0" fontId="0" fillId="19" borderId="19" xfId="0" applyFill="1" applyBorder="1"/>
    <xf numFmtId="0" fontId="8" fillId="19" borderId="5" xfId="0" quotePrefix="1" applyFont="1" applyFill="1" applyBorder="1" applyAlignment="1" applyProtection="1">
      <alignment horizontal="right" vertical="center"/>
      <protection hidden="1"/>
    </xf>
    <xf numFmtId="4" fontId="7" fillId="19" borderId="0" xfId="0" applyNumberFormat="1" applyFont="1" applyFill="1" applyAlignment="1" applyProtection="1">
      <alignment horizontal="left" vertical="center"/>
      <protection hidden="1"/>
    </xf>
    <xf numFmtId="0" fontId="7" fillId="19" borderId="0" xfId="0" applyFont="1" applyFill="1" applyAlignment="1" applyProtection="1">
      <alignment horizontal="left" vertical="center"/>
      <protection hidden="1"/>
    </xf>
    <xf numFmtId="0" fontId="8" fillId="19" borderId="0" xfId="0" applyFont="1" applyFill="1" applyAlignment="1" applyProtection="1">
      <alignment horizontal="right" vertical="center"/>
      <protection hidden="1"/>
    </xf>
    <xf numFmtId="39" fontId="7" fillId="19" borderId="0" xfId="0" applyNumberFormat="1" applyFont="1" applyFill="1" applyAlignment="1" applyProtection="1">
      <alignment horizontal="center" vertical="center"/>
      <protection hidden="1"/>
    </xf>
    <xf numFmtId="39" fontId="7" fillId="19" borderId="0" xfId="0" applyNumberFormat="1" applyFont="1" applyFill="1" applyAlignment="1" applyProtection="1">
      <alignment horizontal="right" vertical="center"/>
      <protection hidden="1"/>
    </xf>
    <xf numFmtId="0" fontId="8" fillId="19" borderId="0" xfId="0" quotePrefix="1" applyFont="1" applyFill="1" applyAlignment="1" applyProtection="1">
      <alignment horizontal="right" vertical="center"/>
      <protection hidden="1"/>
    </xf>
    <xf numFmtId="0" fontId="0" fillId="19" borderId="20" xfId="0" applyFill="1" applyBorder="1"/>
    <xf numFmtId="0" fontId="0" fillId="19" borderId="5" xfId="0" applyFill="1" applyBorder="1"/>
    <xf numFmtId="0" fontId="0" fillId="19" borderId="21" xfId="0" applyFill="1" applyBorder="1"/>
    <xf numFmtId="4" fontId="7" fillId="19" borderId="4" xfId="0" applyNumberFormat="1" applyFont="1" applyFill="1" applyBorder="1" applyAlignment="1" applyProtection="1">
      <alignment horizontal="left" vertical="center"/>
      <protection hidden="1"/>
    </xf>
    <xf numFmtId="0" fontId="0" fillId="19" borderId="22" xfId="0" applyFill="1" applyBorder="1"/>
    <xf numFmtId="37" fontId="7" fillId="27" borderId="27" xfId="0" applyNumberFormat="1" applyFont="1" applyFill="1" applyBorder="1" applyProtection="1">
      <protection hidden="1"/>
    </xf>
    <xf numFmtId="4" fontId="8" fillId="15" borderId="30" xfId="0" applyNumberFormat="1" applyFont="1" applyFill="1" applyBorder="1" applyAlignment="1" applyProtection="1">
      <alignment horizontal="left"/>
      <protection hidden="1"/>
    </xf>
    <xf numFmtId="4" fontId="8" fillId="15" borderId="8" xfId="0" applyNumberFormat="1"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4" fontId="7" fillId="15" borderId="8" xfId="0" applyNumberFormat="1" applyFont="1" applyFill="1" applyBorder="1" applyAlignment="1" applyProtection="1">
      <alignment horizontal="left"/>
      <protection hidden="1"/>
    </xf>
    <xf numFmtId="0" fontId="8" fillId="15" borderId="8" xfId="0" applyFont="1" applyFill="1" applyBorder="1" applyAlignment="1" applyProtection="1">
      <alignment horizontal="right"/>
      <protection hidden="1"/>
    </xf>
    <xf numFmtId="39" fontId="7" fillId="15" borderId="8" xfId="0" applyNumberFormat="1" applyFont="1" applyFill="1" applyBorder="1" applyAlignment="1" applyProtection="1">
      <alignment horizontal="center"/>
      <protection hidden="1"/>
    </xf>
    <xf numFmtId="39" fontId="7" fillId="15" borderId="8" xfId="0" applyNumberFormat="1" applyFont="1" applyFill="1" applyBorder="1" applyAlignment="1" applyProtection="1">
      <alignment horizontal="right"/>
      <protection hidden="1"/>
    </xf>
    <xf numFmtId="0" fontId="36" fillId="15" borderId="8" xfId="0" applyFont="1" applyFill="1" applyBorder="1" applyAlignment="1" applyProtection="1">
      <alignment horizontal="right"/>
      <protection hidden="1"/>
    </xf>
    <xf numFmtId="4" fontId="7" fillId="15" borderId="69" xfId="0" applyNumberFormat="1" applyFont="1" applyFill="1" applyBorder="1" applyAlignment="1" applyProtection="1">
      <alignment horizontal="left" vertical="center"/>
      <protection hidden="1"/>
    </xf>
    <xf numFmtId="4" fontId="7" fillId="15" borderId="4" xfId="0" applyNumberFormat="1" applyFont="1" applyFill="1" applyBorder="1" applyAlignment="1" applyProtection="1">
      <alignment horizontal="left" vertical="center"/>
      <protection hidden="1"/>
    </xf>
    <xf numFmtId="0" fontId="7" fillId="15" borderId="4" xfId="0" applyFont="1" applyFill="1" applyBorder="1" applyAlignment="1" applyProtection="1">
      <alignment horizontal="left" vertical="center"/>
      <protection hidden="1"/>
    </xf>
    <xf numFmtId="0" fontId="8" fillId="15" borderId="4" xfId="0" applyFont="1" applyFill="1" applyBorder="1" applyAlignment="1" applyProtection="1">
      <alignment horizontal="right" vertical="center"/>
      <protection hidden="1"/>
    </xf>
    <xf numFmtId="39" fontId="7" fillId="15" borderId="4" xfId="0" applyNumberFormat="1" applyFont="1" applyFill="1" applyBorder="1" applyAlignment="1">
      <alignment horizontal="center" vertical="center"/>
    </xf>
    <xf numFmtId="39" fontId="7" fillId="15" borderId="4" xfId="0" applyNumberFormat="1" applyFont="1" applyFill="1" applyBorder="1" applyAlignment="1" applyProtection="1">
      <alignment horizontal="right" vertical="center"/>
      <protection hidden="1"/>
    </xf>
    <xf numFmtId="0" fontId="0" fillId="15" borderId="70" xfId="0" applyFill="1" applyBorder="1"/>
    <xf numFmtId="0" fontId="219" fillId="19" borderId="4" xfId="0" applyFont="1" applyFill="1" applyBorder="1" applyProtection="1">
      <protection hidden="1"/>
    </xf>
    <xf numFmtId="37" fontId="7" fillId="2" borderId="1" xfId="0" applyNumberFormat="1" applyFont="1" applyFill="1" applyBorder="1" applyProtection="1">
      <protection locked="0"/>
    </xf>
    <xf numFmtId="0" fontId="122" fillId="5" borderId="0" xfId="0" applyFont="1" applyFill="1" applyAlignment="1" applyProtection="1">
      <alignment vertical="center"/>
      <protection hidden="1"/>
    </xf>
    <xf numFmtId="168" fontId="129" fillId="0" borderId="0" xfId="0" applyNumberFormat="1" applyFont="1" applyAlignment="1" applyProtection="1">
      <alignment horizontal="right"/>
      <protection hidden="1"/>
    </xf>
    <xf numFmtId="168" fontId="129" fillId="0" borderId="20" xfId="0" applyNumberFormat="1" applyFont="1" applyBorder="1" applyAlignment="1" applyProtection="1">
      <alignment horizontal="right"/>
      <protection hidden="1"/>
    </xf>
    <xf numFmtId="1" fontId="3" fillId="15" borderId="0" xfId="0" applyNumberFormat="1" applyFont="1" applyFill="1" applyAlignment="1" applyProtection="1">
      <alignment horizontal="center"/>
      <protection hidden="1"/>
    </xf>
    <xf numFmtId="1" fontId="5" fillId="15" borderId="0" xfId="0" applyNumberFormat="1" applyFont="1" applyFill="1" applyAlignment="1" applyProtection="1">
      <alignment horizontal="center"/>
      <protection hidden="1"/>
    </xf>
    <xf numFmtId="0" fontId="109" fillId="5" borderId="0" xfId="0" applyFont="1" applyFill="1" applyProtection="1">
      <protection hidden="1"/>
    </xf>
    <xf numFmtId="0" fontId="220" fillId="5" borderId="0" xfId="0" applyFont="1" applyFill="1" applyAlignment="1" applyProtection="1">
      <alignment horizontal="left"/>
      <protection hidden="1"/>
    </xf>
    <xf numFmtId="0" fontId="220" fillId="5" borderId="0" xfId="0" applyFont="1" applyFill="1" applyProtection="1">
      <protection hidden="1"/>
    </xf>
    <xf numFmtId="0" fontId="113"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64" fillId="2" borderId="0" xfId="0" applyFont="1" applyFill="1" applyAlignment="1" applyProtection="1">
      <alignment horizontal="left" vertical="center"/>
      <protection hidden="1"/>
    </xf>
    <xf numFmtId="0" fontId="24" fillId="15" borderId="0" xfId="0" applyFont="1" applyFill="1"/>
    <xf numFmtId="14" fontId="0" fillId="15" borderId="0" xfId="0" applyNumberFormat="1" applyFill="1" applyProtection="1">
      <protection locked="0"/>
    </xf>
    <xf numFmtId="39" fontId="0" fillId="15" borderId="0" xfId="0" applyNumberFormat="1" applyFill="1" applyProtection="1">
      <protection locked="0"/>
    </xf>
    <xf numFmtId="37" fontId="0" fillId="2" borderId="12" xfId="0" applyNumberFormat="1" applyFill="1" applyBorder="1" applyAlignment="1" applyProtection="1">
      <alignment horizontal="right" vertical="center"/>
      <protection locked="0"/>
    </xf>
    <xf numFmtId="0" fontId="23" fillId="2" borderId="0" xfId="0" applyFont="1" applyFill="1" applyAlignment="1" applyProtection="1">
      <alignment horizontal="right"/>
      <protection hidden="1"/>
    </xf>
    <xf numFmtId="0" fontId="0" fillId="2" borderId="106" xfId="0" applyFill="1" applyBorder="1" applyProtection="1">
      <protection hidden="1"/>
    </xf>
    <xf numFmtId="0" fontId="3" fillId="2" borderId="106" xfId="0" applyFont="1" applyFill="1" applyBorder="1" applyAlignment="1" applyProtection="1">
      <alignment horizontal="center"/>
      <protection hidden="1"/>
    </xf>
    <xf numFmtId="0" fontId="21" fillId="2" borderId="106" xfId="0" applyFont="1" applyFill="1" applyBorder="1" applyProtection="1">
      <protection hidden="1"/>
    </xf>
    <xf numFmtId="0" fontId="92" fillId="2" borderId="0" xfId="0" applyFont="1" applyFill="1" applyAlignment="1" applyProtection="1">
      <alignment horizontal="right"/>
      <protection hidden="1"/>
    </xf>
    <xf numFmtId="0" fontId="169" fillId="15" borderId="0" xfId="0" applyFont="1" applyFill="1" applyAlignment="1" applyProtection="1">
      <alignment horizontal="center"/>
      <protection hidden="1"/>
    </xf>
    <xf numFmtId="0" fontId="115" fillId="15" borderId="0" xfId="0" applyFont="1" applyFill="1" applyAlignment="1" applyProtection="1">
      <alignment vertical="center"/>
      <protection hidden="1"/>
    </xf>
    <xf numFmtId="14" fontId="3" fillId="24" borderId="0" xfId="0" applyNumberFormat="1" applyFont="1" applyFill="1" applyProtection="1">
      <protection locked="0"/>
    </xf>
    <xf numFmtId="37" fontId="0" fillId="2" borderId="1" xfId="0" applyNumberFormat="1" applyFill="1" applyBorder="1" applyProtection="1">
      <protection locked="0"/>
    </xf>
    <xf numFmtId="37" fontId="199" fillId="0" borderId="0" xfId="0" applyNumberFormat="1" applyFont="1"/>
    <xf numFmtId="39" fontId="0" fillId="0" borderId="0" xfId="0" applyNumberFormat="1" applyAlignment="1" applyProtection="1">
      <alignment horizontal="center"/>
      <protection locked="0"/>
    </xf>
    <xf numFmtId="39" fontId="10" fillId="24" borderId="0" xfId="0" applyNumberFormat="1" applyFont="1" applyFill="1" applyAlignment="1" applyProtection="1">
      <alignment horizontal="left"/>
      <protection locked="0"/>
    </xf>
    <xf numFmtId="14" fontId="3" fillId="24" borderId="0" xfId="0" applyNumberFormat="1" applyFont="1" applyFill="1" applyAlignment="1" applyProtection="1">
      <alignment horizontal="center"/>
      <protection locked="0"/>
    </xf>
    <xf numFmtId="0" fontId="9" fillId="2" borderId="5" xfId="0" applyFont="1" applyFill="1" applyBorder="1" applyAlignment="1" applyProtection="1">
      <alignment horizontal="left"/>
      <protection hidden="1"/>
    </xf>
    <xf numFmtId="0" fontId="5" fillId="15" borderId="31" xfId="0" applyFont="1" applyFill="1" applyBorder="1" applyAlignment="1" applyProtection="1">
      <alignment vertical="top" wrapText="1"/>
      <protection hidden="1"/>
    </xf>
    <xf numFmtId="0" fontId="14" fillId="15" borderId="31" xfId="0" applyFont="1" applyFill="1" applyBorder="1" applyAlignment="1" applyProtection="1">
      <alignment horizontal="center" vertical="top"/>
      <protection hidden="1"/>
    </xf>
    <xf numFmtId="0" fontId="5" fillId="15" borderId="31" xfId="0" applyFont="1" applyFill="1" applyBorder="1" applyAlignment="1" applyProtection="1">
      <alignment horizontal="left" vertical="top" wrapText="1"/>
      <protection hidden="1"/>
    </xf>
    <xf numFmtId="0" fontId="0" fillId="15" borderId="31" xfId="0" applyFill="1" applyBorder="1" applyAlignment="1" applyProtection="1">
      <alignment vertical="top" wrapText="1"/>
      <protection hidden="1"/>
    </xf>
    <xf numFmtId="0" fontId="5" fillId="15" borderId="31" xfId="0" applyFont="1" applyFill="1" applyBorder="1" applyAlignment="1">
      <alignment vertical="top" wrapText="1"/>
    </xf>
    <xf numFmtId="0" fontId="3" fillId="15" borderId="4" xfId="0" applyFont="1" applyFill="1" applyBorder="1" applyAlignment="1" applyProtection="1">
      <alignment vertical="top" wrapText="1"/>
      <protection hidden="1"/>
    </xf>
    <xf numFmtId="0" fontId="7" fillId="15" borderId="4" xfId="0" applyFont="1" applyFill="1" applyBorder="1" applyAlignment="1" applyProtection="1">
      <alignment horizontal="right" vertical="top"/>
      <protection hidden="1"/>
    </xf>
    <xf numFmtId="4" fontId="0" fillId="3" borderId="32" xfId="0" applyNumberFormat="1" applyFill="1" applyBorder="1" applyProtection="1">
      <protection hidden="1"/>
    </xf>
    <xf numFmtId="39" fontId="9" fillId="3" borderId="13"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5" borderId="3" xfId="0" applyFont="1" applyFill="1" applyBorder="1" applyProtection="1">
      <protection hidden="1"/>
    </xf>
    <xf numFmtId="0" fontId="14" fillId="15" borderId="0" xfId="0" applyFont="1" applyFill="1" applyAlignment="1" applyProtection="1">
      <alignment vertical="top"/>
      <protection hidden="1"/>
    </xf>
    <xf numFmtId="0" fontId="46" fillId="15" borderId="0" xfId="0" applyFont="1" applyFill="1" applyAlignment="1" applyProtection="1">
      <alignment vertical="top"/>
      <protection hidden="1"/>
    </xf>
    <xf numFmtId="0" fontId="46" fillId="15" borderId="0" xfId="0" applyFont="1" applyFill="1" applyAlignment="1" applyProtection="1">
      <alignment horizontal="left" indent="1"/>
      <protection hidden="1"/>
    </xf>
    <xf numFmtId="0" fontId="14" fillId="15" borderId="1" xfId="0" applyFont="1" applyFill="1" applyBorder="1" applyAlignment="1" applyProtection="1">
      <alignment vertical="top"/>
      <protection hidden="1"/>
    </xf>
    <xf numFmtId="0" fontId="14" fillId="15" borderId="16" xfId="0" applyFont="1" applyFill="1" applyBorder="1" applyAlignment="1" applyProtection="1">
      <alignment horizontal="right"/>
      <protection hidden="1"/>
    </xf>
    <xf numFmtId="0" fontId="0" fillId="15" borderId="16" xfId="0" applyFill="1" applyBorder="1" applyAlignment="1" applyProtection="1">
      <alignment horizontal="left"/>
      <protection hidden="1"/>
    </xf>
    <xf numFmtId="0" fontId="7" fillId="15" borderId="13" xfId="0" applyFont="1" applyFill="1" applyBorder="1" applyProtection="1">
      <protection hidden="1"/>
    </xf>
    <xf numFmtId="168" fontId="7" fillId="3" borderId="0" xfId="0" applyNumberFormat="1" applyFont="1" applyFill="1" applyProtection="1">
      <protection hidden="1"/>
    </xf>
    <xf numFmtId="3" fontId="7" fillId="3" borderId="0" xfId="0" applyNumberFormat="1" applyFont="1" applyFill="1" applyProtection="1">
      <protection hidden="1"/>
    </xf>
    <xf numFmtId="0" fontId="0" fillId="24" borderId="1" xfId="0" applyFill="1" applyBorder="1" applyAlignment="1" applyProtection="1">
      <alignment horizontal="center"/>
      <protection hidden="1"/>
    </xf>
    <xf numFmtId="0" fontId="0" fillId="24" borderId="1" xfId="0" applyFill="1" applyBorder="1" applyProtection="1">
      <protection hidden="1"/>
    </xf>
    <xf numFmtId="0" fontId="0" fillId="24" borderId="1" xfId="0" applyFill="1" applyBorder="1" applyAlignment="1" applyProtection="1">
      <alignment horizontal="left"/>
      <protection hidden="1"/>
    </xf>
    <xf numFmtId="0" fontId="5" fillId="24" borderId="1" xfId="0" applyFont="1" applyFill="1" applyBorder="1" applyAlignment="1" applyProtection="1">
      <alignment vertical="top"/>
      <protection hidden="1"/>
    </xf>
    <xf numFmtId="49" fontId="8" fillId="24" borderId="0" xfId="0" applyNumberFormat="1" applyFont="1" applyFill="1" applyAlignment="1" applyProtection="1">
      <alignment horizontal="center" vertical="center"/>
      <protection hidden="1"/>
    </xf>
    <xf numFmtId="0" fontId="5" fillId="24" borderId="0" xfId="0" applyFont="1" applyFill="1" applyAlignment="1" applyProtection="1">
      <alignment horizontal="left" vertical="center"/>
      <protection hidden="1"/>
    </xf>
    <xf numFmtId="3" fontId="11" fillId="24" borderId="0" xfId="0" applyNumberFormat="1" applyFont="1" applyFill="1" applyAlignment="1" applyProtection="1">
      <alignment horizontal="center"/>
      <protection hidden="1"/>
    </xf>
    <xf numFmtId="3" fontId="11" fillId="24" borderId="0" xfId="0" applyNumberFormat="1" applyFont="1" applyFill="1" applyAlignment="1" applyProtection="1">
      <alignment horizontal="right"/>
      <protection hidden="1"/>
    </xf>
    <xf numFmtId="0" fontId="11" fillId="24" borderId="0" xfId="0" applyFont="1" applyFill="1" applyAlignment="1" applyProtection="1">
      <alignment horizontal="right"/>
      <protection hidden="1"/>
    </xf>
    <xf numFmtId="0" fontId="5" fillId="24" borderId="0" xfId="0" applyFont="1" applyFill="1" applyAlignment="1" applyProtection="1">
      <alignment vertical="center"/>
      <protection hidden="1"/>
    </xf>
    <xf numFmtId="4" fontId="5" fillId="24" borderId="0" xfId="0" applyNumberFormat="1" applyFont="1" applyFill="1" applyProtection="1">
      <protection hidden="1"/>
    </xf>
    <xf numFmtId="164" fontId="3" fillId="24" borderId="5" xfId="0" applyNumberFormat="1" applyFont="1" applyFill="1" applyBorder="1" applyAlignment="1" applyProtection="1">
      <alignment horizontal="right"/>
      <protection hidden="1"/>
    </xf>
    <xf numFmtId="0" fontId="3" fillId="24" borderId="5" xfId="0" applyFont="1" applyFill="1" applyBorder="1" applyProtection="1">
      <protection hidden="1"/>
    </xf>
    <xf numFmtId="0" fontId="3" fillId="24" borderId="5" xfId="0" applyFont="1" applyFill="1" applyBorder="1" applyAlignment="1" applyProtection="1">
      <alignment vertical="top"/>
      <protection hidden="1"/>
    </xf>
    <xf numFmtId="0" fontId="3" fillId="24" borderId="107" xfId="0" applyFont="1" applyFill="1" applyBorder="1"/>
    <xf numFmtId="0" fontId="14" fillId="24" borderId="5" xfId="0" applyFont="1" applyFill="1" applyBorder="1" applyAlignment="1" applyProtection="1">
      <alignment horizontal="left" vertical="center"/>
      <protection hidden="1"/>
    </xf>
    <xf numFmtId="0" fontId="8" fillId="24" borderId="0" xfId="0" applyFont="1" applyFill="1" applyAlignment="1">
      <alignment horizontal="left"/>
    </xf>
    <xf numFmtId="0" fontId="56" fillId="5" borderId="0" xfId="0" applyFont="1" applyFill="1" applyAlignment="1">
      <alignment horizontal="left"/>
    </xf>
    <xf numFmtId="0" fontId="3" fillId="15" borderId="11" xfId="0" applyFont="1" applyFill="1" applyBorder="1" applyAlignment="1" applyProtection="1">
      <alignment horizontal="right"/>
      <protection hidden="1"/>
    </xf>
    <xf numFmtId="0" fontId="3" fillId="2" borderId="7" xfId="0" applyFont="1" applyFill="1" applyBorder="1" applyAlignment="1" applyProtection="1">
      <alignment vertical="top"/>
      <protection hidden="1"/>
    </xf>
    <xf numFmtId="0" fontId="9" fillId="2" borderId="7" xfId="0" applyFont="1" applyFill="1" applyBorder="1" applyAlignment="1" applyProtection="1">
      <alignment vertical="top"/>
      <protection hidden="1"/>
    </xf>
    <xf numFmtId="0" fontId="5" fillId="2" borderId="7" xfId="0" applyFont="1" applyFill="1" applyBorder="1" applyAlignment="1" applyProtection="1">
      <alignment horizontal="right"/>
      <protection hidden="1"/>
    </xf>
    <xf numFmtId="0" fontId="3" fillId="15" borderId="0" xfId="0" quotePrefix="1" applyFont="1" applyFill="1" applyAlignment="1" applyProtection="1">
      <alignment horizontal="right" vertical="top"/>
      <protection hidden="1"/>
    </xf>
    <xf numFmtId="37" fontId="5" fillId="25" borderId="1" xfId="0" applyNumberFormat="1" applyFont="1" applyFill="1" applyBorder="1" applyProtection="1">
      <protection hidden="1"/>
    </xf>
    <xf numFmtId="3" fontId="7" fillId="0" borderId="12" xfId="0" applyNumberFormat="1" applyFont="1" applyBorder="1" applyAlignment="1" applyProtection="1">
      <alignment horizontal="center" vertical="center"/>
      <protection hidden="1"/>
    </xf>
    <xf numFmtId="3" fontId="7" fillId="0" borderId="58" xfId="0" applyNumberFormat="1" applyFont="1" applyBorder="1" applyAlignment="1" applyProtection="1">
      <alignment horizontal="center" vertical="center"/>
      <protection hidden="1"/>
    </xf>
    <xf numFmtId="3" fontId="7" fillId="0" borderId="51" xfId="0" applyNumberFormat="1" applyFont="1" applyBorder="1" applyAlignment="1" applyProtection="1">
      <alignment horizontal="center" vertical="center"/>
      <protection hidden="1"/>
    </xf>
    <xf numFmtId="3" fontId="7" fillId="0" borderId="110" xfId="0" applyNumberFormat="1" applyFont="1" applyBorder="1" applyAlignment="1" applyProtection="1">
      <alignment horizontal="center" vertical="center"/>
      <protection hidden="1"/>
    </xf>
    <xf numFmtId="0" fontId="222" fillId="15" borderId="0" xfId="0" applyFont="1" applyFill="1"/>
    <xf numFmtId="0" fontId="25" fillId="15" borderId="0" xfId="0" applyFont="1" applyFill="1" applyAlignment="1">
      <alignment horizontal="left"/>
    </xf>
    <xf numFmtId="0" fontId="66" fillId="15" borderId="5" xfId="2" applyFill="1" applyBorder="1" applyAlignment="1" applyProtection="1">
      <protection hidden="1"/>
    </xf>
    <xf numFmtId="0" fontId="66" fillId="15" borderId="20" xfId="2" applyFill="1" applyBorder="1" applyAlignment="1" applyProtection="1"/>
    <xf numFmtId="0" fontId="223" fillId="15" borderId="0" xfId="0" applyFont="1" applyFill="1"/>
    <xf numFmtId="0" fontId="223" fillId="15" borderId="20" xfId="0" applyFont="1" applyFill="1" applyBorder="1"/>
    <xf numFmtId="0" fontId="146" fillId="15" borderId="0" xfId="0" applyFont="1" applyFill="1"/>
    <xf numFmtId="0" fontId="3" fillId="15" borderId="0" xfId="0" applyFont="1" applyFill="1" applyAlignment="1" applyProtection="1">
      <alignment horizontal="right" vertical="top"/>
      <protection hidden="1"/>
    </xf>
    <xf numFmtId="0" fontId="3" fillId="15" borderId="0" xfId="0" applyFont="1" applyFill="1" applyAlignment="1" applyProtection="1">
      <alignment horizontal="right" vertical="center" wrapText="1" indent="1"/>
      <protection hidden="1"/>
    </xf>
    <xf numFmtId="0" fontId="3" fillId="15" borderId="4" xfId="0" applyFont="1" applyFill="1" applyBorder="1" applyAlignment="1" applyProtection="1">
      <alignment horizontal="center" wrapText="1"/>
      <protection hidden="1"/>
    </xf>
    <xf numFmtId="0" fontId="5" fillId="15" borderId="0" xfId="0" applyFont="1" applyFill="1" applyAlignment="1" applyProtection="1">
      <alignment horizontal="right" indent="1"/>
      <protection hidden="1"/>
    </xf>
    <xf numFmtId="0" fontId="3" fillId="15" borderId="54" xfId="0" applyFont="1" applyFill="1" applyBorder="1" applyAlignment="1" applyProtection="1">
      <alignment horizontal="right"/>
      <protection hidden="1"/>
    </xf>
    <xf numFmtId="0" fontId="9" fillId="3" borderId="0" xfId="0" applyFont="1" applyFill="1" applyAlignment="1" applyProtection="1">
      <alignment vertical="center"/>
      <protection hidden="1"/>
    </xf>
    <xf numFmtId="0" fontId="9" fillId="3" borderId="20" xfId="0" applyFont="1" applyFill="1" applyBorder="1" applyAlignment="1" applyProtection="1">
      <alignment vertical="center"/>
      <protection hidden="1"/>
    </xf>
    <xf numFmtId="0" fontId="9" fillId="3" borderId="16" xfId="0" applyFont="1" applyFill="1" applyBorder="1" applyProtection="1">
      <protection hidden="1"/>
    </xf>
    <xf numFmtId="0" fontId="8" fillId="3" borderId="16" xfId="0" applyFont="1" applyFill="1" applyBorder="1" applyProtection="1">
      <protection hidden="1"/>
    </xf>
    <xf numFmtId="0" fontId="0" fillId="7" borderId="6" xfId="0" applyFill="1" applyBorder="1" applyAlignment="1" applyProtection="1">
      <alignment horizontal="center"/>
      <protection hidden="1"/>
    </xf>
    <xf numFmtId="0" fontId="226" fillId="9" borderId="1" xfId="0" applyFont="1" applyFill="1" applyBorder="1" applyAlignment="1" applyProtection="1">
      <alignment horizontal="center" vertical="center"/>
      <protection hidden="1"/>
    </xf>
    <xf numFmtId="0" fontId="0" fillId="3" borderId="0" xfId="0" applyFill="1" applyAlignment="1" applyProtection="1">
      <alignment horizontal="right" indent="1"/>
      <protection hidden="1"/>
    </xf>
    <xf numFmtId="0" fontId="46" fillId="3" borderId="0" xfId="0" applyFont="1" applyFill="1" applyAlignment="1" applyProtection="1">
      <alignment horizontal="left"/>
      <protection hidden="1"/>
    </xf>
    <xf numFmtId="0" fontId="46" fillId="3" borderId="0" xfId="0" applyFont="1" applyFill="1" applyAlignment="1" applyProtection="1">
      <alignment vertical="top"/>
      <protection hidden="1"/>
    </xf>
    <xf numFmtId="166" fontId="8" fillId="28" borderId="1" xfId="0" applyNumberFormat="1" applyFont="1" applyFill="1" applyBorder="1" applyAlignment="1" applyProtection="1">
      <alignment horizontal="center"/>
      <protection hidden="1"/>
    </xf>
    <xf numFmtId="0" fontId="126" fillId="10" borderId="0" xfId="0" applyFont="1" applyFill="1" applyAlignment="1">
      <alignment horizontal="center"/>
    </xf>
    <xf numFmtId="0" fontId="106" fillId="10" borderId="0" xfId="0" applyFont="1" applyFill="1" applyAlignment="1">
      <alignment horizontal="center"/>
    </xf>
    <xf numFmtId="37" fontId="123" fillId="10" borderId="0" xfId="0" applyNumberFormat="1" applyFont="1" applyFill="1" applyAlignment="1">
      <alignment horizontal="right"/>
    </xf>
    <xf numFmtId="0" fontId="7" fillId="14" borderId="6" xfId="0" applyFont="1" applyFill="1" applyBorder="1" applyAlignment="1" applyProtection="1">
      <alignment horizontal="center"/>
      <protection hidden="1"/>
    </xf>
    <xf numFmtId="0" fontId="46" fillId="3" borderId="0" xfId="0" applyFont="1" applyFill="1" applyAlignment="1" applyProtection="1">
      <alignment horizontal="right"/>
      <protection hidden="1"/>
    </xf>
    <xf numFmtId="0" fontId="13" fillId="3" borderId="0" xfId="0" applyFont="1" applyFill="1" applyProtection="1">
      <protection hidden="1"/>
    </xf>
    <xf numFmtId="0" fontId="227" fillId="3" borderId="0" xfId="0" applyFont="1" applyFill="1" applyProtection="1">
      <protection hidden="1"/>
    </xf>
    <xf numFmtId="0" fontId="13" fillId="3" borderId="0" xfId="0" applyFont="1" applyFill="1" applyAlignment="1" applyProtection="1">
      <alignment vertical="center"/>
      <protection hidden="1"/>
    </xf>
    <xf numFmtId="0" fontId="35" fillId="3" borderId="0" xfId="0" applyFont="1" applyFill="1" applyAlignment="1" applyProtection="1">
      <alignment vertical="center"/>
      <protection hidden="1"/>
    </xf>
    <xf numFmtId="0" fontId="0" fillId="7" borderId="6" xfId="0" applyFill="1" applyBorder="1" applyAlignment="1" applyProtection="1">
      <alignment horizontal="center" vertical="center"/>
      <protection hidden="1"/>
    </xf>
    <xf numFmtId="0" fontId="0" fillId="7" borderId="6" xfId="0" applyFill="1" applyBorder="1" applyAlignment="1" applyProtection="1">
      <alignment vertical="center"/>
      <protection hidden="1"/>
    </xf>
    <xf numFmtId="0" fontId="126" fillId="10" borderId="0" xfId="0" applyFont="1" applyFill="1" applyAlignment="1">
      <alignment horizontal="center" vertical="center"/>
    </xf>
    <xf numFmtId="0" fontId="5" fillId="0" borderId="0" xfId="0" applyFont="1" applyAlignment="1">
      <alignment vertical="center"/>
    </xf>
    <xf numFmtId="0" fontId="5" fillId="15" borderId="9" xfId="0" applyFont="1" applyFill="1" applyBorder="1" applyAlignment="1" applyProtection="1">
      <alignment horizontal="left" vertical="center"/>
      <protection hidden="1"/>
    </xf>
    <xf numFmtId="0" fontId="35" fillId="3" borderId="0" xfId="0" applyFont="1" applyFill="1" applyAlignment="1" applyProtection="1">
      <alignment vertical="top"/>
      <protection hidden="1"/>
    </xf>
    <xf numFmtId="0" fontId="3" fillId="26"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4" xfId="0" applyFont="1" applyFill="1" applyBorder="1" applyAlignment="1" applyProtection="1">
      <alignment horizontal="right" indent="1"/>
      <protection hidden="1"/>
    </xf>
    <xf numFmtId="0" fontId="3" fillId="3" borderId="4" xfId="0" applyFont="1" applyFill="1" applyBorder="1" applyAlignment="1" applyProtection="1">
      <alignment horizontal="center"/>
      <protection hidden="1"/>
    </xf>
    <xf numFmtId="0" fontId="14" fillId="15" borderId="23" xfId="0" applyFont="1" applyFill="1" applyBorder="1" applyAlignment="1" applyProtection="1">
      <alignment horizontal="left" vertical="center" indent="1"/>
      <protection hidden="1"/>
    </xf>
    <xf numFmtId="0" fontId="14" fillId="15" borderId="5" xfId="0" applyFont="1" applyFill="1" applyBorder="1" applyAlignment="1" applyProtection="1">
      <alignment horizontal="left" indent="1"/>
      <protection hidden="1"/>
    </xf>
    <xf numFmtId="0" fontId="5" fillId="5" borderId="0" xfId="0" applyFont="1" applyFill="1"/>
    <xf numFmtId="0" fontId="3" fillId="29" borderId="0" xfId="0" applyFont="1" applyFill="1" applyAlignment="1" applyProtection="1">
      <alignment horizontal="right"/>
      <protection hidden="1"/>
    </xf>
    <xf numFmtId="0" fontId="3" fillId="0" borderId="0" xfId="0" applyFont="1" applyAlignment="1" applyProtection="1">
      <alignment horizontal="left"/>
      <protection hidden="1"/>
    </xf>
    <xf numFmtId="39" fontId="9" fillId="3" borderId="1" xfId="0" applyNumberFormat="1" applyFont="1" applyFill="1" applyBorder="1" applyAlignment="1" applyProtection="1">
      <alignment horizontal="right"/>
      <protection hidden="1"/>
    </xf>
    <xf numFmtId="39" fontId="9" fillId="29" borderId="26" xfId="0" applyNumberFormat="1" applyFont="1" applyFill="1" applyBorder="1" applyAlignment="1" applyProtection="1">
      <alignment horizontal="right"/>
      <protection hidden="1"/>
    </xf>
    <xf numFmtId="39" fontId="9" fillId="29" borderId="1" xfId="0" applyNumberFormat="1" applyFont="1" applyFill="1" applyBorder="1" applyAlignment="1" applyProtection="1">
      <alignment horizontal="right"/>
      <protection hidden="1"/>
    </xf>
    <xf numFmtId="39" fontId="9" fillId="29" borderId="29" xfId="0" applyNumberFormat="1" applyFont="1" applyFill="1" applyBorder="1" applyAlignment="1" applyProtection="1">
      <alignment horizontal="right"/>
      <protection hidden="1"/>
    </xf>
    <xf numFmtId="0" fontId="25" fillId="15" borderId="5" xfId="0" applyFont="1" applyFill="1" applyBorder="1" applyAlignment="1" applyProtection="1">
      <alignment horizontal="left" indent="1"/>
      <protection hidden="1"/>
    </xf>
    <xf numFmtId="4" fontId="5" fillId="2" borderId="0" xfId="0" applyNumberFormat="1" applyFont="1" applyFill="1" applyProtection="1">
      <protection hidden="1"/>
    </xf>
    <xf numFmtId="0" fontId="173" fillId="2" borderId="0" xfId="0" applyFont="1" applyFill="1" applyAlignment="1" applyProtection="1">
      <alignment horizontal="right" indent="2"/>
      <protection hidden="1"/>
    </xf>
    <xf numFmtId="0" fontId="7" fillId="15" borderId="3" xfId="0" applyFont="1" applyFill="1" applyBorder="1" applyProtection="1">
      <protection hidden="1"/>
    </xf>
    <xf numFmtId="0" fontId="7" fillId="15" borderId="9" xfId="0" applyFont="1" applyFill="1" applyBorder="1" applyProtection="1">
      <protection hidden="1"/>
    </xf>
    <xf numFmtId="4" fontId="0" fillId="3" borderId="0" xfId="0" applyNumberFormat="1" applyFill="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0" xfId="0" applyFont="1" applyFill="1" applyAlignment="1" applyProtection="1">
      <alignment horizontal="center"/>
      <protection hidden="1"/>
    </xf>
    <xf numFmtId="0" fontId="13" fillId="15" borderId="1" xfId="0" applyFont="1" applyFill="1" applyBorder="1" applyAlignment="1" applyProtection="1">
      <alignment horizontal="center"/>
      <protection hidden="1"/>
    </xf>
    <xf numFmtId="4" fontId="9" fillId="3" borderId="6" xfId="0" applyNumberFormat="1" applyFont="1" applyFill="1" applyBorder="1" applyAlignment="1" applyProtection="1">
      <alignment horizontal="center"/>
      <protection hidden="1"/>
    </xf>
    <xf numFmtId="4" fontId="9" fillId="3" borderId="7"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4" fillId="3" borderId="0" xfId="0" applyFont="1" applyFill="1" applyAlignment="1" applyProtection="1">
      <alignment horizontal="left" vertical="top"/>
      <protection hidden="1"/>
    </xf>
    <xf numFmtId="0" fontId="65" fillId="5" borderId="0" xfId="0" applyFont="1" applyFill="1" applyAlignment="1" applyProtection="1">
      <alignment vertical="top"/>
      <protection hidden="1"/>
    </xf>
    <xf numFmtId="0" fontId="56"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12" fillId="15" borderId="0" xfId="0" applyNumberFormat="1" applyFont="1" applyFill="1" applyProtection="1">
      <protection hidden="1"/>
    </xf>
    <xf numFmtId="4" fontId="11" fillId="15" borderId="0" xfId="0" applyNumberFormat="1" applyFont="1" applyFill="1" applyProtection="1">
      <protection hidden="1"/>
    </xf>
    <xf numFmtId="37" fontId="0" fillId="24" borderId="0" xfId="0" applyNumberFormat="1" applyFill="1" applyProtection="1">
      <protection locked="0"/>
    </xf>
    <xf numFmtId="37" fontId="0" fillId="24" borderId="0" xfId="0" applyNumberFormat="1" applyFill="1" applyAlignment="1" applyProtection="1">
      <alignment vertical="top"/>
      <protection locked="0"/>
    </xf>
    <xf numFmtId="37" fontId="0" fillId="0" borderId="0" xfId="0" applyNumberFormat="1" applyProtection="1">
      <protection locked="0"/>
    </xf>
    <xf numFmtId="14" fontId="0" fillId="24" borderId="0" xfId="0" applyNumberFormat="1" applyFill="1" applyAlignment="1" applyProtection="1">
      <alignment vertical="top"/>
      <protection locked="0"/>
    </xf>
    <xf numFmtId="14" fontId="5" fillId="24" borderId="1" xfId="0" applyNumberFormat="1" applyFont="1" applyFill="1" applyBorder="1" applyAlignment="1" applyProtection="1">
      <alignment horizontal="center"/>
      <protection locked="0"/>
    </xf>
    <xf numFmtId="0" fontId="5" fillId="24" borderId="19" xfId="0" applyFont="1" applyFill="1" applyBorder="1" applyProtection="1">
      <protection hidden="1"/>
    </xf>
    <xf numFmtId="0" fontId="3" fillId="24" borderId="23" xfId="0" applyFont="1" applyFill="1" applyBorder="1" applyAlignment="1" applyProtection="1">
      <alignment horizontal="right"/>
      <protection hidden="1"/>
    </xf>
    <xf numFmtId="37" fontId="112" fillId="0" borderId="0" xfId="0" applyNumberFormat="1" applyFont="1" applyProtection="1">
      <protection hidden="1"/>
    </xf>
    <xf numFmtId="0" fontId="112" fillId="0" borderId="0" xfId="0" applyFont="1" applyAlignment="1" applyProtection="1">
      <alignment vertical="center"/>
      <protection hidden="1"/>
    </xf>
    <xf numFmtId="37" fontId="5" fillId="24" borderId="0" xfId="0" applyNumberFormat="1" applyFont="1" applyFill="1" applyProtection="1">
      <protection locked="0"/>
    </xf>
    <xf numFmtId="37" fontId="5" fillId="24" borderId="0" xfId="0" applyNumberFormat="1" applyFont="1" applyFill="1" applyAlignment="1" applyProtection="1">
      <alignment vertical="top"/>
      <protection locked="0"/>
    </xf>
    <xf numFmtId="37" fontId="0" fillId="24" borderId="1" xfId="0" applyNumberFormat="1" applyFill="1" applyBorder="1" applyAlignment="1" applyProtection="1">
      <alignment horizontal="center"/>
      <protection locked="0"/>
    </xf>
    <xf numFmtId="37" fontId="0" fillId="24" borderId="25" xfId="0" applyNumberFormat="1" applyFill="1" applyBorder="1" applyAlignment="1" applyProtection="1">
      <alignment horizontal="center"/>
      <protection locked="0"/>
    </xf>
    <xf numFmtId="37" fontId="5" fillId="24" borderId="0" xfId="0" applyNumberFormat="1" applyFont="1" applyFill="1" applyAlignment="1" applyProtection="1">
      <alignment horizontal="left" indent="1"/>
      <protection locked="0"/>
    </xf>
    <xf numFmtId="0" fontId="46" fillId="2" borderId="27" xfId="0" applyFont="1" applyFill="1" applyBorder="1" applyAlignment="1" applyProtection="1">
      <alignment vertical="center"/>
      <protection hidden="1"/>
    </xf>
    <xf numFmtId="0" fontId="10" fillId="2" borderId="27" xfId="0" applyFont="1" applyFill="1" applyBorder="1" applyAlignment="1" applyProtection="1">
      <alignment horizontal="left" vertical="center" indent="1"/>
      <protection hidden="1"/>
    </xf>
    <xf numFmtId="0" fontId="13" fillId="2" borderId="8" xfId="0" applyFont="1" applyFill="1" applyBorder="1" applyAlignment="1" applyProtection="1">
      <alignment vertical="center"/>
      <protection hidden="1"/>
    </xf>
    <xf numFmtId="0" fontId="14" fillId="2" borderId="0" xfId="0" applyFont="1" applyFill="1" applyAlignment="1" applyProtection="1">
      <alignment horizontal="center" vertical="center"/>
      <protection hidden="1"/>
    </xf>
    <xf numFmtId="0" fontId="159" fillId="23" borderId="0" xfId="0" applyFont="1" applyFill="1" applyAlignment="1" applyProtection="1">
      <alignment vertical="center"/>
      <protection hidden="1"/>
    </xf>
    <xf numFmtId="0" fontId="11" fillId="15" borderId="0" xfId="0" applyFont="1" applyFill="1" applyAlignment="1" applyProtection="1">
      <alignment horizontal="right" vertical="center"/>
      <protection hidden="1"/>
    </xf>
    <xf numFmtId="0" fontId="8" fillId="15" borderId="5" xfId="0" applyFont="1" applyFill="1" applyBorder="1" applyAlignment="1">
      <alignment vertical="center" wrapText="1"/>
    </xf>
    <xf numFmtId="0" fontId="8" fillId="15" borderId="5" xfId="0" applyFont="1" applyFill="1" applyBorder="1"/>
    <xf numFmtId="0" fontId="112" fillId="15" borderId="5" xfId="0" applyFont="1" applyFill="1" applyBorder="1"/>
    <xf numFmtId="0" fontId="110" fillId="15" borderId="5" xfId="0" applyFont="1" applyFill="1" applyBorder="1"/>
    <xf numFmtId="0" fontId="5" fillId="8" borderId="0" xfId="0" applyFont="1" applyFill="1" applyProtection="1">
      <protection hidden="1"/>
    </xf>
    <xf numFmtId="0" fontId="122" fillId="8" borderId="20" xfId="0" applyFont="1" applyFill="1" applyBorder="1" applyAlignment="1" applyProtection="1">
      <alignment vertical="top" wrapText="1"/>
      <protection hidden="1"/>
    </xf>
    <xf numFmtId="0" fontId="3" fillId="16" borderId="12" xfId="0" applyFont="1" applyFill="1" applyBorder="1" applyAlignment="1" applyProtection="1">
      <alignment horizontal="center" vertical="center"/>
      <protection locked="0" hidden="1"/>
    </xf>
    <xf numFmtId="0" fontId="3" fillId="15" borderId="11" xfId="0" applyFont="1" applyFill="1" applyBorder="1" applyAlignment="1">
      <alignment horizontal="right" vertical="center"/>
    </xf>
    <xf numFmtId="0" fontId="10" fillId="15" borderId="3" xfId="0" applyFont="1" applyFill="1" applyBorder="1" applyAlignment="1">
      <alignment vertical="center"/>
    </xf>
    <xf numFmtId="0" fontId="4" fillId="15" borderId="0" xfId="0" applyFont="1" applyFill="1" applyAlignment="1">
      <alignment horizontal="right" vertical="center"/>
    </xf>
    <xf numFmtId="37" fontId="112" fillId="15" borderId="0" xfId="0" applyNumberFormat="1" applyFont="1" applyFill="1"/>
    <xf numFmtId="0" fontId="8" fillId="2" borderId="5" xfId="0" applyFont="1" applyFill="1" applyBorder="1" applyAlignment="1" applyProtection="1">
      <alignment horizontal="left" indent="1"/>
      <protection hidden="1"/>
    </xf>
    <xf numFmtId="0" fontId="7" fillId="2" borderId="25" xfId="0" applyFont="1" applyFill="1" applyBorder="1" applyProtection="1">
      <protection hidden="1"/>
    </xf>
    <xf numFmtId="0" fontId="9" fillId="2" borderId="25" xfId="0" applyFont="1" applyFill="1" applyBorder="1" applyProtection="1">
      <protection hidden="1"/>
    </xf>
    <xf numFmtId="3" fontId="28" fillId="15" borderId="0" xfId="0" applyNumberFormat="1" applyFont="1" applyFill="1" applyAlignment="1" applyProtection="1">
      <alignment horizontal="right"/>
      <protection hidden="1"/>
    </xf>
    <xf numFmtId="0" fontId="5" fillId="15" borderId="7" xfId="0" applyFont="1" applyFill="1" applyBorder="1" applyAlignment="1">
      <alignment vertical="top" wrapText="1"/>
    </xf>
    <xf numFmtId="0" fontId="5" fillId="15" borderId="19" xfId="0" applyFont="1" applyFill="1" applyBorder="1" applyAlignment="1">
      <alignment vertical="top" wrapText="1"/>
    </xf>
    <xf numFmtId="0" fontId="5" fillId="15" borderId="23" xfId="0" applyFont="1" applyFill="1" applyBorder="1" applyAlignment="1">
      <alignment vertical="top"/>
    </xf>
    <xf numFmtId="0" fontId="5" fillId="15" borderId="0" xfId="0" applyFont="1" applyFill="1" applyAlignment="1">
      <alignment vertical="top"/>
    </xf>
    <xf numFmtId="0" fontId="5" fillId="15" borderId="20" xfId="0" applyFont="1" applyFill="1" applyBorder="1" applyAlignment="1">
      <alignment vertical="top"/>
    </xf>
    <xf numFmtId="0" fontId="5" fillId="15" borderId="21" xfId="0" applyFont="1" applyFill="1" applyBorder="1" applyAlignment="1">
      <alignment vertical="top"/>
    </xf>
    <xf numFmtId="0" fontId="5" fillId="15" borderId="4" xfId="0" applyFont="1" applyFill="1" applyBorder="1" applyAlignment="1">
      <alignment vertical="top"/>
    </xf>
    <xf numFmtId="0" fontId="5" fillId="15" borderId="22" xfId="0" applyFont="1" applyFill="1" applyBorder="1" applyAlignment="1">
      <alignment vertical="top"/>
    </xf>
    <xf numFmtId="0" fontId="3" fillId="15" borderId="5" xfId="0" applyFont="1" applyFill="1" applyBorder="1" applyAlignment="1">
      <alignment horizontal="right" vertical="center"/>
    </xf>
    <xf numFmtId="0" fontId="5" fillId="15" borderId="5" xfId="0" applyFont="1" applyFill="1" applyBorder="1" applyAlignment="1">
      <alignment horizontal="left" vertical="center" indent="1"/>
    </xf>
    <xf numFmtId="0" fontId="5" fillId="15" borderId="5" xfId="0" applyFont="1" applyFill="1" applyBorder="1" applyAlignment="1">
      <alignment horizontal="left" vertical="top" indent="1"/>
    </xf>
    <xf numFmtId="0" fontId="3" fillId="23" borderId="0" xfId="0" applyFont="1" applyFill="1" applyProtection="1">
      <protection hidden="1"/>
    </xf>
    <xf numFmtId="0" fontId="5" fillId="23" borderId="0" xfId="0" applyFont="1" applyFill="1" applyAlignment="1" applyProtection="1">
      <alignment horizontal="left" vertical="center" indent="1"/>
      <protection hidden="1"/>
    </xf>
    <xf numFmtId="0" fontId="0" fillId="23" borderId="0" xfId="0" applyFill="1" applyAlignment="1" applyProtection="1">
      <alignment horizontal="left" vertical="center" indent="1"/>
      <protection hidden="1"/>
    </xf>
    <xf numFmtId="0" fontId="228" fillId="23" borderId="0" xfId="0" applyFont="1" applyFill="1" applyProtection="1">
      <protection hidden="1"/>
    </xf>
    <xf numFmtId="0" fontId="229" fillId="23" borderId="0" xfId="0" applyFont="1" applyFill="1" applyProtection="1">
      <protection hidden="1"/>
    </xf>
    <xf numFmtId="0" fontId="11" fillId="15" borderId="0" xfId="0" applyFont="1" applyFill="1" applyAlignment="1" applyProtection="1">
      <alignment horizontal="center" vertical="center"/>
      <protection locked="0"/>
    </xf>
    <xf numFmtId="0" fontId="230" fillId="23" borderId="0" xfId="0" applyFont="1" applyFill="1" applyProtection="1">
      <protection hidden="1"/>
    </xf>
    <xf numFmtId="0" fontId="229" fillId="23" borderId="0" xfId="0" applyFont="1" applyFill="1" applyAlignment="1" applyProtection="1">
      <alignment vertical="top"/>
      <protection hidden="1"/>
    </xf>
    <xf numFmtId="0" fontId="229" fillId="0" borderId="0" xfId="0" applyFont="1" applyProtection="1">
      <protection hidden="1"/>
    </xf>
    <xf numFmtId="0" fontId="228" fillId="23" borderId="0" xfId="0" applyFont="1" applyFill="1" applyAlignment="1" applyProtection="1">
      <alignment horizontal="center"/>
      <protection hidden="1"/>
    </xf>
    <xf numFmtId="0" fontId="228" fillId="23" borderId="0" xfId="0" applyFont="1" applyFill="1" applyAlignment="1" applyProtection="1">
      <alignment vertical="center"/>
      <protection hidden="1"/>
    </xf>
    <xf numFmtId="37" fontId="228" fillId="23" borderId="0" xfId="0" applyNumberFormat="1" applyFont="1" applyFill="1" applyAlignment="1" applyProtection="1">
      <alignment horizontal="center"/>
      <protection hidden="1"/>
    </xf>
    <xf numFmtId="3" fontId="110" fillId="27" borderId="68" xfId="0" applyNumberFormat="1" applyFont="1" applyFill="1" applyBorder="1" applyAlignment="1" applyProtection="1">
      <alignment horizontal="right"/>
      <protection hidden="1"/>
    </xf>
    <xf numFmtId="3" fontId="110" fillId="27" borderId="112" xfId="0" applyNumberFormat="1" applyFont="1" applyFill="1" applyBorder="1" applyAlignment="1" applyProtection="1">
      <alignment horizontal="right"/>
      <protection hidden="1"/>
    </xf>
    <xf numFmtId="0" fontId="173" fillId="5" borderId="0" xfId="0" applyFont="1" applyFill="1" applyAlignment="1" applyProtection="1">
      <alignment horizontal="left" vertical="center"/>
      <protection hidden="1"/>
    </xf>
    <xf numFmtId="0" fontId="14" fillId="15" borderId="20" xfId="0" quotePrefix="1" applyFont="1" applyFill="1" applyBorder="1" applyAlignment="1">
      <alignment horizontal="right"/>
    </xf>
    <xf numFmtId="37" fontId="116" fillId="15" borderId="8" xfId="0" applyNumberFormat="1" applyFont="1" applyFill="1" applyBorder="1" applyProtection="1">
      <protection hidden="1"/>
    </xf>
    <xf numFmtId="0" fontId="5" fillId="15" borderId="5" xfId="4" applyFill="1" applyBorder="1" applyAlignment="1" applyProtection="1">
      <alignment horizontal="right"/>
      <protection hidden="1"/>
    </xf>
    <xf numFmtId="0" fontId="159" fillId="23" borderId="0" xfId="0" applyFont="1" applyFill="1" applyProtection="1">
      <protection hidden="1"/>
    </xf>
    <xf numFmtId="37" fontId="3" fillId="28" borderId="1" xfId="0" applyNumberFormat="1" applyFont="1" applyFill="1" applyBorder="1" applyProtection="1">
      <protection hidden="1"/>
    </xf>
    <xf numFmtId="0" fontId="5" fillId="24" borderId="5" xfId="0" applyFont="1" applyFill="1" applyBorder="1" applyAlignment="1" applyProtection="1">
      <alignment horizontal="center"/>
      <protection hidden="1"/>
    </xf>
    <xf numFmtId="15" fontId="126" fillId="0" borderId="0" xfId="0" applyNumberFormat="1" applyFont="1" applyAlignment="1">
      <alignment horizontal="center"/>
    </xf>
    <xf numFmtId="4" fontId="181"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6" borderId="2" xfId="0" applyNumberFormat="1" applyFont="1" applyFill="1" applyBorder="1" applyAlignment="1" applyProtection="1">
      <alignment horizontal="center"/>
      <protection locked="0"/>
    </xf>
    <xf numFmtId="37" fontId="3" fillId="27" borderId="2" xfId="0" applyNumberFormat="1" applyFont="1" applyFill="1" applyBorder="1" applyAlignment="1" applyProtection="1">
      <alignment horizontal="right"/>
      <protection hidden="1"/>
    </xf>
    <xf numFmtId="0" fontId="3" fillId="2" borderId="23" xfId="0" quotePrefix="1" applyFont="1" applyFill="1" applyBorder="1" applyAlignment="1" applyProtection="1">
      <alignment horizontal="right"/>
      <protection hidden="1"/>
    </xf>
    <xf numFmtId="0" fontId="107" fillId="2" borderId="5" xfId="0" quotePrefix="1" applyFont="1" applyFill="1" applyBorder="1" applyAlignment="1" applyProtection="1">
      <alignment horizontal="right" vertical="top"/>
      <protection hidden="1"/>
    </xf>
    <xf numFmtId="0" fontId="3" fillId="2" borderId="21" xfId="0" quotePrefix="1" applyFont="1" applyFill="1" applyBorder="1" applyAlignment="1" applyProtection="1">
      <alignment horizontal="right"/>
      <protection hidden="1"/>
    </xf>
    <xf numFmtId="0" fontId="109" fillId="2" borderId="0" xfId="0" applyFont="1" applyFill="1" applyAlignment="1" applyProtection="1">
      <alignment horizontal="left" indent="1"/>
      <protection hidden="1"/>
    </xf>
    <xf numFmtId="4" fontId="3" fillId="27" borderId="112" xfId="0" applyNumberFormat="1" applyFont="1" applyFill="1" applyBorder="1" applyAlignment="1" applyProtection="1">
      <alignment horizontal="right"/>
      <protection hidden="1"/>
    </xf>
    <xf numFmtId="1" fontId="5" fillId="32" borderId="142" xfId="0" applyNumberFormat="1" applyFont="1" applyFill="1" applyBorder="1" applyAlignment="1" applyProtection="1">
      <alignment horizontal="center" vertical="center"/>
      <protection locked="0"/>
    </xf>
    <xf numFmtId="1" fontId="5" fillId="32" borderId="143" xfId="0" applyNumberFormat="1" applyFont="1" applyFill="1" applyBorder="1" applyAlignment="1" applyProtection="1">
      <alignment horizontal="center" vertical="center"/>
      <protection locked="0"/>
    </xf>
    <xf numFmtId="4" fontId="3" fillId="27" borderId="58" xfId="0" quotePrefix="1" applyNumberFormat="1" applyFont="1" applyFill="1" applyBorder="1" applyAlignment="1" applyProtection="1">
      <alignment horizontal="right" indent="1"/>
      <protection hidden="1"/>
    </xf>
    <xf numFmtId="0" fontId="5" fillId="15" borderId="0" xfId="0" applyFont="1" applyFill="1" applyAlignment="1">
      <alignment horizontal="left" vertical="top" wrapText="1"/>
    </xf>
    <xf numFmtId="0" fontId="24" fillId="15" borderId="0" xfId="0" applyFont="1" applyFill="1" applyAlignment="1">
      <alignment horizontal="left" vertical="top" wrapText="1"/>
    </xf>
    <xf numFmtId="0" fontId="122" fillId="15" borderId="0" xfId="0" applyFont="1" applyFill="1" applyAlignment="1">
      <alignment horizontal="left" vertical="top" wrapText="1"/>
    </xf>
    <xf numFmtId="37" fontId="5" fillId="15" borderId="0" xfId="0" applyNumberFormat="1" applyFont="1" applyFill="1" applyAlignment="1">
      <alignment horizontal="right" vertical="top" wrapText="1"/>
    </xf>
    <xf numFmtId="0" fontId="5" fillId="15" borderId="0" xfId="0" applyFont="1" applyFill="1" applyAlignment="1">
      <alignment horizontal="left" vertical="top"/>
    </xf>
    <xf numFmtId="4" fontId="110" fillId="0" borderId="0" xfId="0" applyNumberFormat="1" applyFont="1"/>
    <xf numFmtId="37" fontId="5" fillId="15" borderId="12" xfId="0" applyNumberFormat="1" applyFont="1" applyFill="1" applyBorder="1" applyAlignment="1">
      <alignment horizontal="right" wrapText="1"/>
    </xf>
    <xf numFmtId="0" fontId="0" fillId="15" borderId="12" xfId="0" applyFill="1" applyBorder="1" applyAlignment="1">
      <alignment horizontal="right" wrapText="1"/>
    </xf>
    <xf numFmtId="0" fontId="14" fillId="21" borderId="0" xfId="0" applyFont="1" applyFill="1" applyAlignment="1" applyProtection="1">
      <alignment horizontal="center" vertical="center"/>
      <protection locked="0"/>
    </xf>
    <xf numFmtId="4" fontId="28" fillId="14" borderId="30" xfId="0" applyNumberFormat="1" applyFont="1" applyFill="1" applyBorder="1" applyAlignment="1" applyProtection="1">
      <alignment horizontal="right" wrapText="1"/>
      <protection hidden="1"/>
    </xf>
    <xf numFmtId="3" fontId="112" fillId="15" borderId="3" xfId="0" applyNumberFormat="1" applyFont="1" applyFill="1" applyBorder="1" applyAlignment="1">
      <alignment horizontal="right" wrapText="1"/>
    </xf>
    <xf numFmtId="4" fontId="116" fillId="3" borderId="3" xfId="0" applyNumberFormat="1" applyFont="1" applyFill="1" applyBorder="1" applyAlignment="1" applyProtection="1">
      <alignment horizontal="center"/>
      <protection hidden="1"/>
    </xf>
    <xf numFmtId="14" fontId="144" fillId="15" borderId="20" xfId="4" applyNumberFormat="1" applyFont="1" applyFill="1" applyBorder="1" applyProtection="1">
      <protection hidden="1"/>
    </xf>
    <xf numFmtId="0" fontId="5" fillId="15" borderId="12" xfId="4" applyFill="1" applyBorder="1" applyProtection="1">
      <protection hidden="1"/>
    </xf>
    <xf numFmtId="37" fontId="110" fillId="0" borderId="0" xfId="0" applyNumberFormat="1" applyFont="1" applyProtection="1">
      <protection locked="0"/>
    </xf>
    <xf numFmtId="37" fontId="110" fillId="0" borderId="0" xfId="0" applyNumberFormat="1" applyFont="1" applyAlignment="1">
      <alignment horizontal="right"/>
    </xf>
    <xf numFmtId="37" fontId="124" fillId="0" borderId="0" xfId="0" applyNumberFormat="1" applyFont="1" applyAlignment="1" applyProtection="1">
      <alignment horizontal="right"/>
      <protection hidden="1"/>
    </xf>
    <xf numFmtId="37" fontId="116" fillId="0" borderId="0" xfId="0" applyNumberFormat="1" applyFont="1" applyAlignment="1" applyProtection="1">
      <alignment horizontal="right"/>
      <protection hidden="1"/>
    </xf>
    <xf numFmtId="37" fontId="110" fillId="0" borderId="0" xfId="0" quotePrefix="1" applyNumberFormat="1" applyFont="1" applyAlignment="1" applyProtection="1">
      <alignment horizontal="right"/>
      <protection hidden="1"/>
    </xf>
    <xf numFmtId="37" fontId="110" fillId="0" borderId="0" xfId="0" applyNumberFormat="1" applyFont="1" applyAlignment="1" applyProtection="1">
      <alignment horizontal="right"/>
      <protection hidden="1"/>
    </xf>
    <xf numFmtId="37" fontId="112" fillId="0" borderId="0" xfId="0" applyNumberFormat="1" applyFont="1" applyAlignment="1" applyProtection="1">
      <alignment horizontal="right"/>
      <protection hidden="1"/>
    </xf>
    <xf numFmtId="49" fontId="3" fillId="0" borderId="0" xfId="0" quotePrefix="1" applyNumberFormat="1" applyFont="1" applyAlignment="1" applyProtection="1">
      <alignment horizontal="center"/>
      <protection hidden="1"/>
    </xf>
    <xf numFmtId="1" fontId="110" fillId="2" borderId="0" xfId="0" applyNumberFormat="1" applyFont="1" applyFill="1" applyAlignment="1" applyProtection="1">
      <alignment horizontal="center"/>
      <protection hidden="1"/>
    </xf>
    <xf numFmtId="1" fontId="3" fillId="16" borderId="12" xfId="0" applyNumberFormat="1" applyFont="1" applyFill="1" applyBorder="1" applyAlignment="1" applyProtection="1">
      <alignment horizontal="center" vertical="center"/>
      <protection locked="0"/>
    </xf>
    <xf numFmtId="41" fontId="229" fillId="23" borderId="0" xfId="0" applyNumberFormat="1" applyFont="1" applyFill="1" applyProtection="1">
      <protection hidden="1"/>
    </xf>
    <xf numFmtId="0" fontId="35" fillId="15" borderId="5" xfId="0" applyFont="1" applyFill="1" applyBorder="1" applyAlignment="1" applyProtection="1">
      <alignment horizontal="center"/>
      <protection hidden="1"/>
    </xf>
    <xf numFmtId="0" fontId="35" fillId="15" borderId="21" xfId="0" applyFont="1" applyFill="1" applyBorder="1" applyAlignment="1" applyProtection="1">
      <alignment horizontal="center"/>
      <protection hidden="1"/>
    </xf>
    <xf numFmtId="37" fontId="110" fillId="15" borderId="0" xfId="0" applyNumberFormat="1" applyFont="1" applyFill="1"/>
    <xf numFmtId="37" fontId="110" fillId="15" borderId="0" xfId="0" applyNumberFormat="1" applyFont="1" applyFill="1" applyProtection="1">
      <protection hidden="1"/>
    </xf>
    <xf numFmtId="37" fontId="0" fillId="2" borderId="59" xfId="0" applyNumberFormat="1" applyFill="1" applyBorder="1" applyProtection="1">
      <protection locked="0"/>
    </xf>
    <xf numFmtId="0" fontId="5" fillId="15" borderId="5" xfId="0" applyFont="1" applyFill="1" applyBorder="1" applyProtection="1">
      <protection hidden="1"/>
    </xf>
    <xf numFmtId="0" fontId="112" fillId="15" borderId="0" xfId="0" applyFont="1" applyFill="1" applyAlignment="1" applyProtection="1">
      <alignment vertical="center"/>
      <protection hidden="1"/>
    </xf>
    <xf numFmtId="0" fontId="112" fillId="15" borderId="0" xfId="0" applyFont="1" applyFill="1" applyAlignment="1">
      <alignment vertical="center"/>
    </xf>
    <xf numFmtId="0" fontId="112" fillId="15" borderId="24" xfId="0" applyFont="1" applyFill="1" applyBorder="1" applyAlignment="1">
      <alignment vertical="center"/>
    </xf>
    <xf numFmtId="0" fontId="13" fillId="15" borderId="0" xfId="0" applyFont="1" applyFill="1" applyAlignment="1" applyProtection="1">
      <alignment vertical="center"/>
      <protection hidden="1"/>
    </xf>
    <xf numFmtId="0" fontId="10" fillId="15" borderId="0" xfId="0" applyFont="1" applyFill="1" applyAlignment="1" applyProtection="1">
      <alignment horizontal="right" vertical="center"/>
      <protection hidden="1"/>
    </xf>
    <xf numFmtId="0" fontId="10" fillId="15" borderId="0" xfId="0" applyFont="1" applyFill="1" applyProtection="1">
      <protection hidden="1"/>
    </xf>
    <xf numFmtId="40" fontId="110" fillId="2" borderId="0" xfId="0" applyNumberFormat="1" applyFont="1" applyFill="1" applyAlignment="1" applyProtection="1">
      <alignment vertical="center"/>
      <protection hidden="1"/>
    </xf>
    <xf numFmtId="0" fontId="3" fillId="15" borderId="0" xfId="0" applyFont="1" applyFill="1" applyAlignment="1">
      <alignment horizontal="left" vertical="top" wrapText="1"/>
    </xf>
    <xf numFmtId="0" fontId="122" fillId="15" borderId="0" xfId="0" applyFont="1" applyFill="1" applyAlignment="1">
      <alignment horizontal="center" vertical="top"/>
    </xf>
    <xf numFmtId="37" fontId="109" fillId="0" borderId="0" xfId="0" applyNumberFormat="1" applyFont="1" applyAlignment="1">
      <alignment horizontal="right"/>
    </xf>
    <xf numFmtId="0" fontId="0" fillId="0" borderId="0" xfId="0" applyAlignment="1">
      <alignment horizontal="left" indent="1"/>
    </xf>
    <xf numFmtId="0" fontId="10" fillId="15" borderId="32" xfId="0" applyFont="1" applyFill="1" applyBorder="1" applyAlignment="1">
      <alignment horizontal="left" indent="1"/>
    </xf>
    <xf numFmtId="0" fontId="3" fillId="15" borderId="75" xfId="0" applyFont="1" applyFill="1" applyBorder="1" applyAlignment="1">
      <alignment horizontal="left" indent="1"/>
    </xf>
    <xf numFmtId="0" fontId="5" fillId="15" borderId="75" xfId="0" applyFont="1" applyFill="1" applyBorder="1" applyAlignment="1">
      <alignment horizontal="left" indent="1"/>
    </xf>
    <xf numFmtId="0" fontId="0" fillId="15" borderId="33" xfId="0" applyFill="1" applyBorder="1" applyAlignment="1">
      <alignment horizontal="left" indent="1"/>
    </xf>
    <xf numFmtId="0" fontId="19" fillId="15" borderId="75" xfId="0" quotePrefix="1" applyFont="1" applyFill="1" applyBorder="1" applyAlignment="1">
      <alignment horizontal="left" vertical="center"/>
    </xf>
    <xf numFmtId="0" fontId="66" fillId="15" borderId="100" xfId="2" applyFill="1" applyBorder="1" applyAlignment="1" applyProtection="1">
      <alignment horizontal="right"/>
    </xf>
    <xf numFmtId="0" fontId="66" fillId="15" borderId="100" xfId="2" quotePrefix="1" applyFill="1" applyBorder="1" applyAlignment="1" applyProtection="1">
      <alignment horizontal="right"/>
    </xf>
    <xf numFmtId="0" fontId="0" fillId="15" borderId="72" xfId="0" applyFill="1" applyBorder="1" applyAlignment="1">
      <alignment horizontal="right"/>
    </xf>
    <xf numFmtId="0" fontId="25" fillId="15" borderId="75" xfId="0" applyFont="1" applyFill="1" applyBorder="1" applyAlignment="1">
      <alignment horizontal="left" indent="1"/>
    </xf>
    <xf numFmtId="0" fontId="19" fillId="15" borderId="75" xfId="0" applyFont="1" applyFill="1" applyBorder="1" applyAlignment="1">
      <alignment horizontal="left" vertical="center"/>
    </xf>
    <xf numFmtId="37" fontId="0" fillId="2" borderId="8"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5" xfId="0" applyNumberFormat="1" applyFill="1" applyBorder="1" applyAlignment="1" applyProtection="1">
      <alignment wrapText="1"/>
      <protection hidden="1"/>
    </xf>
    <xf numFmtId="37" fontId="0" fillId="2" borderId="25" xfId="0" applyNumberFormat="1" applyFill="1" applyBorder="1" applyAlignment="1" applyProtection="1">
      <alignment vertical="top" wrapText="1"/>
      <protection hidden="1"/>
    </xf>
    <xf numFmtId="0" fontId="0" fillId="15" borderId="37" xfId="0" applyFill="1" applyBorder="1" applyProtection="1">
      <protection hidden="1"/>
    </xf>
    <xf numFmtId="0" fontId="66" fillId="15" borderId="102" xfId="2" applyFill="1" applyBorder="1" applyAlignment="1" applyProtection="1">
      <alignment horizontal="left" indent="1"/>
      <protection hidden="1"/>
    </xf>
    <xf numFmtId="0" fontId="0" fillId="15" borderId="38" xfId="0" applyFill="1" applyBorder="1" applyProtection="1">
      <protection hidden="1"/>
    </xf>
    <xf numFmtId="0" fontId="0" fillId="15" borderId="23" xfId="0" applyFill="1" applyBorder="1" applyAlignment="1" applyProtection="1">
      <alignment horizontal="left" indent="1"/>
      <protection hidden="1"/>
    </xf>
    <xf numFmtId="0" fontId="66" fillId="15" borderId="5" xfId="2" applyFill="1" applyBorder="1" applyAlignment="1" applyProtection="1">
      <alignment horizontal="left" indent="1"/>
      <protection hidden="1"/>
    </xf>
    <xf numFmtId="0" fontId="0" fillId="15" borderId="37" xfId="0" applyFill="1" applyBorder="1" applyAlignment="1" applyProtection="1">
      <alignment horizontal="left" indent="1"/>
      <protection hidden="1"/>
    </xf>
    <xf numFmtId="0" fontId="0" fillId="15" borderId="38" xfId="0" applyFill="1" applyBorder="1" applyAlignment="1" applyProtection="1">
      <alignment horizontal="left" indent="1"/>
      <protection hidden="1"/>
    </xf>
    <xf numFmtId="0" fontId="144" fillId="0" borderId="0" xfId="0" applyFont="1" applyAlignment="1" applyProtection="1">
      <alignment horizontal="left"/>
      <protection hidden="1"/>
    </xf>
    <xf numFmtId="0" fontId="5" fillId="0" borderId="0" xfId="0" applyFont="1" applyAlignment="1">
      <alignment vertical="top" wrapText="1"/>
    </xf>
    <xf numFmtId="0" fontId="5" fillId="15" borderId="0" xfId="0" applyFont="1" applyFill="1" applyAlignment="1">
      <alignment wrapText="1"/>
    </xf>
    <xf numFmtId="0" fontId="129" fillId="15" borderId="5" xfId="0" applyFont="1" applyFill="1" applyBorder="1" applyAlignment="1">
      <alignment vertical="center" wrapText="1"/>
    </xf>
    <xf numFmtId="0" fontId="129" fillId="15" borderId="0" xfId="0" applyFont="1" applyFill="1" applyAlignment="1">
      <alignment vertical="center" wrapText="1"/>
    </xf>
    <xf numFmtId="0" fontId="129" fillId="15" borderId="20" xfId="0" applyFont="1" applyFill="1" applyBorder="1" applyAlignment="1">
      <alignment vertical="center" wrapText="1"/>
    </xf>
    <xf numFmtId="0" fontId="129" fillId="15" borderId="5" xfId="0" applyFont="1" applyFill="1" applyBorder="1" applyAlignment="1">
      <alignment horizontal="centerContinuous" vertical="center" wrapText="1"/>
    </xf>
    <xf numFmtId="0" fontId="129" fillId="15" borderId="20" xfId="0" applyFont="1" applyFill="1" applyBorder="1" applyAlignment="1">
      <alignment horizontal="centerContinuous" vertical="center" wrapText="1"/>
    </xf>
    <xf numFmtId="0" fontId="129" fillId="15" borderId="21" xfId="0" applyFont="1" applyFill="1" applyBorder="1" applyAlignment="1">
      <alignment vertical="center" wrapText="1"/>
    </xf>
    <xf numFmtId="0" fontId="129" fillId="15" borderId="4" xfId="0" applyFont="1" applyFill="1" applyBorder="1" applyAlignment="1">
      <alignment vertical="center" wrapText="1"/>
    </xf>
    <xf numFmtId="0" fontId="129" fillId="15" borderId="22" xfId="0" applyFont="1" applyFill="1" applyBorder="1" applyAlignment="1">
      <alignment vertical="center" wrapText="1"/>
    </xf>
    <xf numFmtId="0" fontId="129" fillId="15" borderId="0" xfId="0" applyFont="1" applyFill="1" applyAlignment="1" applyProtection="1">
      <alignment horizontal="centerContinuous"/>
      <protection hidden="1"/>
    </xf>
    <xf numFmtId="0" fontId="233" fillId="15" borderId="4" xfId="2" applyFont="1" applyFill="1" applyBorder="1" applyAlignment="1" applyProtection="1">
      <alignment horizontal="center" vertical="top"/>
    </xf>
    <xf numFmtId="0" fontId="233" fillId="15" borderId="0" xfId="2" applyFont="1" applyFill="1" applyAlignment="1" applyProtection="1">
      <alignment horizontal="center" vertical="top"/>
    </xf>
    <xf numFmtId="4" fontId="0" fillId="0" borderId="0" xfId="0" applyNumberFormat="1" applyProtection="1">
      <protection locked="0"/>
    </xf>
    <xf numFmtId="0" fontId="0" fillId="24" borderId="0" xfId="0" applyFill="1"/>
    <xf numFmtId="0" fontId="3" fillId="0" borderId="41" xfId="0" applyFont="1" applyBorder="1" applyProtection="1">
      <protection hidden="1"/>
    </xf>
    <xf numFmtId="0" fontId="107" fillId="0" borderId="5" xfId="0" quotePrefix="1" applyFont="1" applyBorder="1" applyAlignment="1" applyProtection="1">
      <alignment horizontal="right" vertical="top"/>
      <protection hidden="1"/>
    </xf>
    <xf numFmtId="0" fontId="108" fillId="0" borderId="41" xfId="0" applyFont="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5" borderId="0" xfId="0" applyNumberFormat="1" applyFill="1" applyAlignment="1" applyProtection="1">
      <alignment horizontal="center" vertical="center"/>
      <protection hidden="1"/>
    </xf>
    <xf numFmtId="0" fontId="211" fillId="15" borderId="0" xfId="0" applyFont="1" applyFill="1" applyAlignment="1" applyProtection="1">
      <alignment vertical="center"/>
      <protection hidden="1"/>
    </xf>
    <xf numFmtId="1" fontId="3" fillId="15" borderId="2" xfId="0" applyNumberFormat="1" applyFont="1" applyFill="1" applyBorder="1" applyAlignment="1" applyProtection="1">
      <alignment horizontal="center"/>
      <protection locked="0"/>
    </xf>
    <xf numFmtId="37" fontId="0" fillId="15" borderId="0" xfId="0" applyNumberFormat="1" applyFill="1" applyProtection="1">
      <protection locked="0"/>
    </xf>
    <xf numFmtId="37" fontId="3" fillId="15" borderId="0" xfId="0" quotePrefix="1" applyNumberFormat="1" applyFont="1" applyFill="1" applyAlignment="1" applyProtection="1">
      <alignment horizontal="right"/>
      <protection locked="0"/>
    </xf>
    <xf numFmtId="37" fontId="0" fillId="15" borderId="8" xfId="0" applyNumberFormat="1" applyFill="1" applyBorder="1" applyProtection="1">
      <protection locked="0"/>
    </xf>
    <xf numFmtId="37" fontId="5" fillId="16" borderId="1" xfId="0" applyNumberFormat="1" applyFont="1" applyFill="1" applyBorder="1" applyProtection="1">
      <protection locked="0"/>
    </xf>
    <xf numFmtId="37" fontId="0" fillId="15" borderId="19" xfId="0" applyNumberFormat="1" applyFill="1" applyBorder="1" applyProtection="1">
      <protection hidden="1"/>
    </xf>
    <xf numFmtId="37" fontId="0" fillId="15" borderId="29" xfId="0" applyNumberFormat="1" applyFill="1" applyBorder="1" applyProtection="1">
      <protection hidden="1"/>
    </xf>
    <xf numFmtId="14" fontId="0" fillId="15" borderId="5" xfId="0" applyNumberFormat="1" applyFill="1" applyBorder="1" applyProtection="1">
      <protection hidden="1"/>
    </xf>
    <xf numFmtId="37" fontId="0" fillId="15" borderId="20" xfId="0" applyNumberFormat="1" applyFill="1" applyBorder="1" applyProtection="1">
      <protection hidden="1"/>
    </xf>
    <xf numFmtId="37" fontId="5" fillId="15" borderId="0" xfId="0" applyNumberFormat="1" applyFont="1" applyFill="1" applyProtection="1">
      <protection hidden="1"/>
    </xf>
    <xf numFmtId="14" fontId="3" fillId="15" borderId="5" xfId="0" quotePrefix="1" applyNumberFormat="1" applyFont="1" applyFill="1" applyBorder="1" applyAlignment="1" applyProtection="1">
      <alignment horizontal="right"/>
      <protection hidden="1"/>
    </xf>
    <xf numFmtId="37" fontId="3" fillId="15" borderId="0" xfId="0" quotePrefix="1" applyNumberFormat="1" applyFont="1" applyFill="1" applyAlignment="1" applyProtection="1">
      <alignment horizontal="right"/>
      <protection hidden="1"/>
    </xf>
    <xf numFmtId="14" fontId="0" fillId="15" borderId="21" xfId="0" applyNumberFormat="1" applyFill="1" applyBorder="1" applyProtection="1">
      <protection hidden="1"/>
    </xf>
    <xf numFmtId="37" fontId="0" fillId="15" borderId="4" xfId="0" applyNumberFormat="1" applyFill="1" applyBorder="1" applyProtection="1">
      <protection hidden="1"/>
    </xf>
    <xf numFmtId="39" fontId="112" fillId="15" borderId="0" xfId="0" applyNumberFormat="1" applyFont="1" applyFill="1" applyProtection="1">
      <protection hidden="1"/>
    </xf>
    <xf numFmtId="191" fontId="112" fillId="15" borderId="0" xfId="0" applyNumberFormat="1" applyFont="1" applyFill="1" applyProtection="1">
      <protection hidden="1"/>
    </xf>
    <xf numFmtId="37" fontId="0" fillId="15" borderId="22" xfId="0" applyNumberFormat="1" applyFill="1" applyBorder="1" applyProtection="1">
      <protection hidden="1"/>
    </xf>
    <xf numFmtId="0" fontId="5" fillId="15" borderId="0" xfId="0" applyFont="1" applyFill="1" applyAlignment="1">
      <alignment horizontal="left" vertical="center" wrapText="1"/>
    </xf>
    <xf numFmtId="37" fontId="0" fillId="16" borderId="2" xfId="0" applyNumberFormat="1" applyFill="1" applyBorder="1" applyProtection="1">
      <protection locked="0"/>
    </xf>
    <xf numFmtId="0" fontId="10" fillId="15" borderId="0" xfId="0" applyFont="1" applyFill="1" applyAlignment="1" applyProtection="1">
      <alignment horizontal="left"/>
      <protection hidden="1"/>
    </xf>
    <xf numFmtId="0" fontId="7" fillId="2" borderId="8" xfId="0" applyFont="1" applyFill="1" applyBorder="1" applyProtection="1">
      <protection hidden="1"/>
    </xf>
    <xf numFmtId="0" fontId="115" fillId="15" borderId="0" xfId="0" applyFont="1" applyFill="1" applyAlignment="1" applyProtection="1">
      <alignment horizontal="left"/>
      <protection hidden="1"/>
    </xf>
    <xf numFmtId="0" fontId="43" fillId="2" borderId="0" xfId="0" applyFont="1" applyFill="1" applyAlignment="1" applyProtection="1">
      <alignment vertical="center"/>
      <protection hidden="1"/>
    </xf>
    <xf numFmtId="0" fontId="43" fillId="2" borderId="7" xfId="0" applyFont="1" applyFill="1" applyBorder="1" applyAlignment="1" applyProtection="1">
      <alignment vertical="center"/>
      <protection hidden="1"/>
    </xf>
    <xf numFmtId="39" fontId="5" fillId="0" borderId="2" xfId="0" applyNumberFormat="1" applyFont="1" applyBorder="1" applyProtection="1">
      <protection locked="0"/>
    </xf>
    <xf numFmtId="3" fontId="110" fillId="15" borderId="0" xfId="0" applyNumberFormat="1" applyFont="1" applyFill="1" applyProtection="1">
      <protection locked="0"/>
    </xf>
    <xf numFmtId="0" fontId="7" fillId="15" borderId="0" xfId="0" applyFont="1" applyFill="1" applyAlignment="1" applyProtection="1">
      <alignment vertical="center"/>
      <protection hidden="1"/>
    </xf>
    <xf numFmtId="0" fontId="106" fillId="2" borderId="0" xfId="0" applyFont="1" applyFill="1" applyAlignment="1" applyProtection="1">
      <alignment horizontal="left" vertical="center"/>
      <protection hidden="1"/>
    </xf>
    <xf numFmtId="0" fontId="9" fillId="15" borderId="1" xfId="0" applyFont="1" applyFill="1" applyBorder="1" applyAlignment="1" applyProtection="1">
      <alignment horizontal="left"/>
      <protection hidden="1"/>
    </xf>
    <xf numFmtId="0" fontId="9" fillId="15" borderId="1" xfId="0" applyFont="1" applyFill="1" applyBorder="1" applyAlignment="1" applyProtection="1">
      <alignment horizontal="left" vertical="top"/>
      <protection hidden="1"/>
    </xf>
    <xf numFmtId="0" fontId="9" fillId="15" borderId="1" xfId="0" applyFont="1" applyFill="1" applyBorder="1" applyAlignment="1">
      <alignment horizontal="left" vertical="center"/>
    </xf>
    <xf numFmtId="0" fontId="77" fillId="2" borderId="5" xfId="0" applyFont="1" applyFill="1" applyBorder="1" applyAlignment="1" applyProtection="1">
      <alignment horizontal="left" vertical="top"/>
      <protection hidden="1"/>
    </xf>
    <xf numFmtId="0" fontId="10" fillId="27" borderId="39" xfId="0" applyFont="1" applyFill="1" applyBorder="1" applyAlignment="1" applyProtection="1">
      <alignment horizontal="center" vertical="center"/>
      <protection hidden="1"/>
    </xf>
    <xf numFmtId="0" fontId="112" fillId="27" borderId="25" xfId="0" applyFont="1" applyFill="1" applyBorder="1" applyAlignment="1" applyProtection="1">
      <alignment horizontal="center" vertical="center"/>
      <protection hidden="1"/>
    </xf>
    <xf numFmtId="0" fontId="10" fillId="27" borderId="25" xfId="0" applyFont="1" applyFill="1" applyBorder="1" applyAlignment="1" applyProtection="1">
      <alignment horizontal="center" vertical="center"/>
      <protection hidden="1"/>
    </xf>
    <xf numFmtId="0" fontId="19" fillId="27" borderId="25" xfId="0" applyFont="1" applyFill="1" applyBorder="1" applyAlignment="1" applyProtection="1">
      <alignment horizontal="center" vertical="center"/>
      <protection hidden="1"/>
    </xf>
    <xf numFmtId="1" fontId="3" fillId="19" borderId="10" xfId="0" applyNumberFormat="1" applyFont="1" applyFill="1" applyBorder="1" applyAlignment="1" applyProtection="1">
      <alignment horizontal="center" vertical="center"/>
      <protection hidden="1"/>
    </xf>
    <xf numFmtId="0" fontId="3" fillId="15" borderId="25" xfId="0" applyFont="1" applyFill="1" applyBorder="1" applyAlignment="1" applyProtection="1">
      <alignment horizontal="right"/>
      <protection hidden="1"/>
    </xf>
    <xf numFmtId="6" fontId="9" fillId="2" borderId="0" xfId="0" applyNumberFormat="1" applyFont="1" applyFill="1" applyAlignment="1" applyProtection="1">
      <alignment horizontal="left"/>
      <protection hidden="1"/>
    </xf>
    <xf numFmtId="4" fontId="110" fillId="2" borderId="0" xfId="0" applyNumberFormat="1" applyFont="1" applyFill="1" applyProtection="1">
      <protection hidden="1"/>
    </xf>
    <xf numFmtId="0" fontId="207" fillId="15" borderId="67" xfId="0" applyFont="1" applyFill="1" applyBorder="1" applyProtection="1">
      <protection hidden="1"/>
    </xf>
    <xf numFmtId="0" fontId="3" fillId="15" borderId="0" xfId="0" applyFont="1" applyFill="1" applyAlignment="1" applyProtection="1">
      <alignment wrapText="1"/>
      <protection hidden="1"/>
    </xf>
    <xf numFmtId="0" fontId="159" fillId="15" borderId="21" xfId="0" applyFont="1" applyFill="1" applyBorder="1" applyProtection="1">
      <protection hidden="1"/>
    </xf>
    <xf numFmtId="1" fontId="3" fillId="19" borderId="6" xfId="0" applyNumberFormat="1" applyFont="1" applyFill="1" applyBorder="1" applyAlignment="1" applyProtection="1">
      <alignment horizontal="center" vertical="center"/>
      <protection hidden="1"/>
    </xf>
    <xf numFmtId="0" fontId="15" fillId="15" borderId="0" xfId="0" applyFont="1" applyFill="1" applyAlignment="1" applyProtection="1">
      <alignment vertical="top"/>
      <protection hidden="1"/>
    </xf>
    <xf numFmtId="0" fontId="9" fillId="15" borderId="4" xfId="0" applyFont="1" applyFill="1" applyBorder="1" applyProtection="1">
      <protection hidden="1"/>
    </xf>
    <xf numFmtId="1" fontId="0" fillId="10" borderId="6" xfId="0" applyNumberFormat="1" applyFill="1" applyBorder="1" applyAlignment="1" applyProtection="1">
      <alignment vertical="center"/>
      <protection hidden="1"/>
    </xf>
    <xf numFmtId="0" fontId="15" fillId="15" borderId="0" xfId="0" applyFont="1" applyFill="1" applyAlignment="1" applyProtection="1">
      <alignment vertical="top" wrapText="1"/>
      <protection hidden="1"/>
    </xf>
    <xf numFmtId="0" fontId="5" fillId="15" borderId="4" xfId="4" applyFill="1" applyBorder="1" applyProtection="1">
      <protection hidden="1"/>
    </xf>
    <xf numFmtId="6" fontId="102" fillId="15" borderId="0" xfId="0" applyNumberFormat="1" applyFont="1" applyFill="1" applyAlignment="1" applyProtection="1">
      <alignment horizontal="center" vertical="center"/>
      <protection hidden="1"/>
    </xf>
    <xf numFmtId="0" fontId="110" fillId="15" borderId="0" xfId="0" applyFont="1" applyFill="1" applyAlignment="1">
      <alignment horizontal="center"/>
    </xf>
    <xf numFmtId="0" fontId="3" fillId="0" borderId="0" xfId="0" applyFont="1" applyAlignment="1">
      <alignment horizontal="right"/>
    </xf>
    <xf numFmtId="0" fontId="110" fillId="0" borderId="0" xfId="0" applyFont="1" applyAlignment="1">
      <alignment horizontal="left"/>
    </xf>
    <xf numFmtId="0" fontId="237" fillId="15" borderId="0" xfId="0" applyFont="1" applyFill="1" applyAlignment="1" applyProtection="1">
      <alignment vertical="center"/>
      <protection hidden="1"/>
    </xf>
    <xf numFmtId="0" fontId="235" fillId="15" borderId="0" xfId="0" applyFont="1" applyFill="1" applyAlignment="1" applyProtection="1">
      <alignment vertical="center"/>
      <protection hidden="1"/>
    </xf>
    <xf numFmtId="0" fontId="236" fillId="15" borderId="0" xfId="0" applyFont="1" applyFill="1" applyAlignment="1" applyProtection="1">
      <alignment vertical="center"/>
      <protection hidden="1"/>
    </xf>
    <xf numFmtId="182" fontId="112" fillId="15" borderId="0" xfId="0" applyNumberFormat="1" applyFont="1" applyFill="1" applyAlignment="1" applyProtection="1">
      <alignment horizontal="center"/>
      <protection hidden="1"/>
    </xf>
    <xf numFmtId="0" fontId="3" fillId="15" borderId="24" xfId="0" applyFont="1" applyFill="1" applyBorder="1" applyAlignment="1" applyProtection="1">
      <alignment horizontal="right"/>
      <protection hidden="1"/>
    </xf>
    <xf numFmtId="37" fontId="8" fillId="15" borderId="0" xfId="0" applyNumberFormat="1" applyFont="1" applyFill="1" applyProtection="1">
      <protection hidden="1"/>
    </xf>
    <xf numFmtId="37" fontId="0" fillId="15" borderId="8" xfId="0" applyNumberFormat="1" applyFill="1" applyBorder="1" applyProtection="1">
      <protection hidden="1"/>
    </xf>
    <xf numFmtId="0" fontId="3" fillId="15" borderId="7" xfId="0" applyFont="1" applyFill="1" applyBorder="1" applyAlignment="1" applyProtection="1">
      <alignment horizontal="left" vertical="center"/>
      <protection hidden="1"/>
    </xf>
    <xf numFmtId="0" fontId="9" fillId="15" borderId="7" xfId="0" applyFont="1" applyFill="1" applyBorder="1" applyAlignment="1" applyProtection="1">
      <alignment vertical="center"/>
      <protection hidden="1"/>
    </xf>
    <xf numFmtId="0" fontId="3" fillId="15" borderId="4" xfId="0" applyFont="1" applyFill="1" applyBorder="1" applyAlignment="1" applyProtection="1">
      <alignment horizontal="center"/>
      <protection hidden="1"/>
    </xf>
    <xf numFmtId="0" fontId="3" fillId="15" borderId="4" xfId="0" applyFont="1" applyFill="1" applyBorder="1" applyAlignment="1" applyProtection="1">
      <alignment horizontal="left" indent="1"/>
      <protection hidden="1"/>
    </xf>
    <xf numFmtId="0" fontId="0" fillId="15" borderId="4" xfId="0" applyFill="1" applyBorder="1" applyAlignment="1" applyProtection="1">
      <alignment horizontal="right" indent="1"/>
      <protection hidden="1"/>
    </xf>
    <xf numFmtId="0" fontId="14" fillId="15" borderId="0" xfId="0" applyFont="1" applyFill="1" applyAlignment="1" applyProtection="1">
      <alignment horizontal="right"/>
      <protection hidden="1"/>
    </xf>
    <xf numFmtId="0" fontId="9" fillId="15" borderId="7" xfId="0" applyFont="1" applyFill="1" applyBorder="1" applyAlignment="1" applyProtection="1">
      <alignment horizontal="center" vertical="center"/>
      <protection hidden="1"/>
    </xf>
    <xf numFmtId="4" fontId="9" fillId="3" borderId="15" xfId="0" applyNumberFormat="1" applyFont="1" applyFill="1" applyBorder="1" applyAlignment="1" applyProtection="1">
      <alignment horizontal="center"/>
      <protection hidden="1"/>
    </xf>
    <xf numFmtId="0" fontId="50" fillId="9" borderId="25" xfId="0" applyFont="1" applyFill="1" applyBorder="1" applyAlignment="1" applyProtection="1">
      <alignment horizontal="center" vertical="center"/>
      <protection hidden="1"/>
    </xf>
    <xf numFmtId="0" fontId="46" fillId="3" borderId="0" xfId="0" applyFont="1" applyFill="1" applyAlignment="1" applyProtection="1">
      <alignment horizontal="left" vertical="top"/>
      <protection hidden="1"/>
    </xf>
    <xf numFmtId="0" fontId="11" fillId="15" borderId="7" xfId="0" applyFont="1" applyFill="1" applyBorder="1" applyAlignment="1" applyProtection="1">
      <alignment horizontal="right" vertical="center"/>
      <protection hidden="1"/>
    </xf>
    <xf numFmtId="0" fontId="110" fillId="0" borderId="0" xfId="0" quotePrefix="1" applyFont="1" applyAlignment="1" applyProtection="1">
      <alignment horizontal="center"/>
      <protection hidden="1"/>
    </xf>
    <xf numFmtId="0" fontId="46" fillId="14" borderId="0" xfId="0" applyFont="1" applyFill="1" applyAlignment="1" applyProtection="1">
      <alignment vertical="center"/>
      <protection hidden="1"/>
    </xf>
    <xf numFmtId="4" fontId="9" fillId="3" borderId="7" xfId="0" applyNumberFormat="1" applyFont="1" applyFill="1" applyBorder="1" applyAlignment="1" applyProtection="1">
      <alignment horizontal="left" vertical="top"/>
      <protection hidden="1"/>
    </xf>
    <xf numFmtId="0" fontId="5" fillId="19" borderId="0" xfId="0" applyFont="1" applyFill="1" applyAlignment="1">
      <alignment horizontal="right"/>
    </xf>
    <xf numFmtId="0" fontId="7" fillId="2" borderId="0" xfId="0" applyFont="1" applyFill="1" applyAlignment="1" applyProtection="1">
      <alignmen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10" fillId="2" borderId="0" xfId="0" applyNumberFormat="1" applyFont="1" applyFill="1" applyProtection="1">
      <protection hidden="1"/>
    </xf>
    <xf numFmtId="40" fontId="5" fillId="2" borderId="0" xfId="0" applyNumberFormat="1" applyFont="1" applyFill="1" applyAlignment="1" applyProtection="1">
      <alignment horizontal="left" vertical="center"/>
      <protection hidden="1"/>
    </xf>
    <xf numFmtId="0" fontId="5" fillId="15" borderId="0" xfId="4" applyFill="1"/>
    <xf numFmtId="182" fontId="144" fillId="15" borderId="0" xfId="4" applyNumberFormat="1" applyFont="1" applyFill="1" applyAlignment="1" applyProtection="1">
      <alignment horizontal="center"/>
      <protection hidden="1"/>
    </xf>
    <xf numFmtId="182" fontId="5" fillId="15" borderId="0" xfId="4" applyNumberFormat="1" applyFill="1" applyAlignment="1" applyProtection="1">
      <alignment horizontal="center"/>
      <protection hidden="1"/>
    </xf>
    <xf numFmtId="1" fontId="5" fillId="15" borderId="0" xfId="4" applyNumberFormat="1" applyFill="1" applyAlignment="1" applyProtection="1">
      <alignment horizontal="center"/>
      <protection hidden="1"/>
    </xf>
    <xf numFmtId="0" fontId="5" fillId="15" borderId="7" xfId="4" applyFill="1" applyBorder="1" applyAlignment="1" applyProtection="1">
      <alignment horizontal="center"/>
      <protection hidden="1"/>
    </xf>
    <xf numFmtId="0" fontId="5" fillId="15" borderId="19" xfId="4" applyFill="1" applyBorder="1" applyAlignment="1" applyProtection="1">
      <alignment horizontal="center"/>
      <protection hidden="1"/>
    </xf>
    <xf numFmtId="1" fontId="110" fillId="2" borderId="5" xfId="0" applyNumberFormat="1" applyFont="1" applyFill="1" applyBorder="1" applyAlignment="1" applyProtection="1">
      <alignment horizontal="center" vertical="top"/>
      <protection hidden="1"/>
    </xf>
    <xf numFmtId="164" fontId="126" fillId="2" borderId="5" xfId="0" applyNumberFormat="1" applyFont="1" applyFill="1" applyBorder="1" applyAlignment="1" applyProtection="1">
      <alignment vertical="top"/>
      <protection hidden="1"/>
    </xf>
    <xf numFmtId="1" fontId="110" fillId="2" borderId="20" xfId="0" applyNumberFormat="1" applyFont="1" applyFill="1" applyBorder="1" applyAlignment="1" applyProtection="1">
      <alignment horizontal="center" vertical="top"/>
      <protection hidden="1"/>
    </xf>
    <xf numFmtId="40" fontId="126" fillId="2" borderId="0" xfId="0" applyNumberFormat="1" applyFont="1" applyFill="1" applyAlignment="1" applyProtection="1">
      <alignment horizontal="right"/>
      <protection hidden="1"/>
    </xf>
    <xf numFmtId="38" fontId="116" fillId="2" borderId="0" xfId="0" applyNumberFormat="1" applyFont="1" applyFill="1" applyAlignment="1" applyProtection="1">
      <alignment horizontal="right"/>
      <protection hidden="1"/>
    </xf>
    <xf numFmtId="37" fontId="7" fillId="16" borderId="12" xfId="0" applyNumberFormat="1" applyFont="1" applyFill="1" applyBorder="1" applyProtection="1">
      <protection locked="0"/>
    </xf>
    <xf numFmtId="37" fontId="0" fillId="5" borderId="0" xfId="0" applyNumberFormat="1" applyFill="1" applyProtection="1">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0" fillId="2" borderId="20" xfId="0" applyNumberFormat="1" applyFill="1" applyBorder="1" applyProtection="1">
      <protection hidden="1"/>
    </xf>
    <xf numFmtId="37" fontId="116" fillId="2" borderId="0" xfId="0" applyNumberFormat="1" applyFont="1" applyFill="1" applyProtection="1">
      <protection hidden="1"/>
    </xf>
    <xf numFmtId="40" fontId="165" fillId="21" borderId="0" xfId="0" applyNumberFormat="1" applyFont="1" applyFill="1" applyAlignment="1" applyProtection="1">
      <alignment horizontal="right"/>
      <protection hidden="1"/>
    </xf>
    <xf numFmtId="40" fontId="239" fillId="21" borderId="20" xfId="0" applyNumberFormat="1" applyFont="1" applyFill="1" applyBorder="1" applyAlignment="1" applyProtection="1">
      <alignment horizontal="right"/>
      <protection hidden="1"/>
    </xf>
    <xf numFmtId="37" fontId="7" fillId="27" borderId="12" xfId="0" applyNumberFormat="1" applyFont="1" applyFill="1" applyBorder="1" applyProtection="1">
      <protection hidden="1"/>
    </xf>
    <xf numFmtId="0" fontId="8" fillId="2" borderId="74" xfId="0" applyFont="1" applyFill="1" applyBorder="1" applyAlignment="1" applyProtection="1">
      <alignment horizontal="center"/>
      <protection hidden="1"/>
    </xf>
    <xf numFmtId="0" fontId="110" fillId="2" borderId="4" xfId="0" applyFont="1" applyFill="1" applyBorder="1" applyAlignment="1" applyProtection="1">
      <alignment vertical="top"/>
      <protection hidden="1"/>
    </xf>
    <xf numFmtId="0" fontId="0" fillId="2" borderId="7" xfId="0" applyFill="1" applyBorder="1" applyAlignment="1" applyProtection="1">
      <alignment horizontal="center"/>
      <protection hidden="1"/>
    </xf>
    <xf numFmtId="0" fontId="110" fillId="2" borderId="7" xfId="0" applyFont="1" applyFill="1" applyBorder="1" applyProtection="1">
      <protection hidden="1"/>
    </xf>
    <xf numFmtId="0" fontId="110" fillId="2" borderId="20" xfId="0" applyFont="1" applyFill="1" applyBorder="1" applyProtection="1">
      <protection hidden="1"/>
    </xf>
    <xf numFmtId="37" fontId="7" fillId="0" borderId="1" xfId="0" applyNumberFormat="1" applyFont="1" applyBorder="1" applyProtection="1">
      <protection locked="0"/>
    </xf>
    <xf numFmtId="0" fontId="159" fillId="37" borderId="0" xfId="0" applyFont="1" applyFill="1" applyAlignment="1" applyProtection="1">
      <alignment horizontal="left" indent="1"/>
      <protection hidden="1"/>
    </xf>
    <xf numFmtId="37" fontId="5" fillId="2" borderId="2" xfId="0" applyNumberFormat="1" applyFont="1" applyFill="1" applyBorder="1" applyProtection="1">
      <protection hidden="1"/>
    </xf>
    <xf numFmtId="4" fontId="138" fillId="15" borderId="0" xfId="0" applyNumberFormat="1" applyFont="1" applyFill="1" applyProtection="1">
      <protection hidden="1"/>
    </xf>
    <xf numFmtId="0" fontId="11" fillId="3" borderId="0" xfId="0" applyFont="1" applyFill="1" applyAlignment="1" applyProtection="1">
      <alignment horizontal="center"/>
      <protection hidden="1"/>
    </xf>
    <xf numFmtId="0" fontId="0" fillId="15" borderId="0" xfId="0" applyFill="1" applyAlignment="1">
      <alignment horizontal="left" vertical="center" wrapText="1"/>
    </xf>
    <xf numFmtId="0" fontId="0" fillId="15" borderId="4" xfId="0" applyFill="1" applyBorder="1" applyAlignment="1">
      <alignment horizontal="left" vertical="center" wrapText="1"/>
    </xf>
    <xf numFmtId="0" fontId="5" fillId="15" borderId="5" xfId="0" applyFont="1" applyFill="1" applyBorder="1" applyAlignment="1" applyProtection="1">
      <alignment horizontal="left" indent="2"/>
      <protection hidden="1"/>
    </xf>
    <xf numFmtId="0" fontId="5" fillId="15" borderId="21" xfId="0" applyFont="1" applyFill="1" applyBorder="1" applyAlignment="1" applyProtection="1">
      <alignment horizontal="left" indent="2"/>
      <protection hidden="1"/>
    </xf>
    <xf numFmtId="0" fontId="8" fillId="15" borderId="56" xfId="0" applyFont="1" applyFill="1" applyBorder="1" applyAlignment="1" applyProtection="1">
      <alignment horizontal="center"/>
      <protection hidden="1"/>
    </xf>
    <xf numFmtId="37" fontId="3" fillId="15" borderId="0" xfId="0" applyNumberFormat="1" applyFont="1" applyFill="1" applyProtection="1">
      <protection hidden="1"/>
    </xf>
    <xf numFmtId="37" fontId="8" fillId="15" borderId="24" xfId="0" applyNumberFormat="1" applyFont="1" applyFill="1" applyBorder="1" applyProtection="1">
      <protection locked="0"/>
    </xf>
    <xf numFmtId="37" fontId="8" fillId="15" borderId="24" xfId="0" applyNumberFormat="1" applyFont="1" applyFill="1" applyBorder="1" applyProtection="1">
      <protection hidden="1"/>
    </xf>
    <xf numFmtId="0" fontId="3" fillId="15" borderId="8" xfId="0" applyFont="1" applyFill="1" applyBorder="1" applyProtection="1">
      <protection hidden="1"/>
    </xf>
    <xf numFmtId="0" fontId="7" fillId="15" borderId="7" xfId="0" applyFont="1" applyFill="1" applyBorder="1" applyAlignment="1" applyProtection="1">
      <alignment horizontal="right"/>
      <protection hidden="1"/>
    </xf>
    <xf numFmtId="0" fontId="66" fillId="0" borderId="100" xfId="2" applyFill="1" applyBorder="1" applyAlignment="1" applyProtection="1">
      <alignment horizontal="right"/>
    </xf>
    <xf numFmtId="0" fontId="3" fillId="0" borderId="75" xfId="0" applyFont="1" applyBorder="1" applyAlignment="1">
      <alignment horizontal="left" indent="1"/>
    </xf>
    <xf numFmtId="0" fontId="0" fillId="23" borderId="15" xfId="0" applyFill="1" applyBorder="1" applyProtection="1">
      <protection hidden="1"/>
    </xf>
    <xf numFmtId="37" fontId="3" fillId="27" borderId="9" xfId="0" quotePrefix="1" applyNumberFormat="1" applyFont="1" applyFill="1" applyBorder="1" applyAlignment="1" applyProtection="1">
      <alignment horizontal="center"/>
      <protection hidden="1"/>
    </xf>
    <xf numFmtId="37" fontId="3" fillId="27" borderId="1" xfId="0" quotePrefix="1" applyNumberFormat="1" applyFont="1" applyFill="1" applyBorder="1" applyProtection="1">
      <protection hidden="1"/>
    </xf>
    <xf numFmtId="37" fontId="46" fillId="15" borderId="24" xfId="0" applyNumberFormat="1" applyFont="1" applyFill="1" applyBorder="1" applyAlignment="1" applyProtection="1">
      <alignment horizontal="right"/>
      <protection hidden="1"/>
    </xf>
    <xf numFmtId="37" fontId="14" fillId="27" borderId="39" xfId="0" quotePrefix="1" applyNumberFormat="1" applyFont="1" applyFill="1" applyBorder="1" applyAlignment="1" applyProtection="1">
      <alignment horizontal="center"/>
      <protection hidden="1"/>
    </xf>
    <xf numFmtId="37" fontId="14" fillId="27" borderId="25" xfId="0" quotePrefix="1" applyNumberFormat="1" applyFont="1" applyFill="1" applyBorder="1" applyAlignment="1" applyProtection="1">
      <alignment horizontal="center"/>
      <protection hidden="1"/>
    </xf>
    <xf numFmtId="0" fontId="8" fillId="3" borderId="0" xfId="0" applyFont="1" applyFill="1" applyAlignment="1" applyProtection="1">
      <alignment vertical="top"/>
      <protection hidden="1"/>
    </xf>
    <xf numFmtId="0" fontId="5" fillId="14" borderId="0" xfId="0" applyFont="1" applyFill="1" applyProtection="1">
      <protection locked="0"/>
    </xf>
    <xf numFmtId="0" fontId="127" fillId="24" borderId="7" xfId="0" applyFont="1" applyFill="1" applyBorder="1" applyProtection="1">
      <protection hidden="1"/>
    </xf>
    <xf numFmtId="0" fontId="7" fillId="14" borderId="5" xfId="0" applyFont="1" applyFill="1" applyBorder="1" applyAlignment="1" applyProtection="1">
      <alignment vertical="center"/>
      <protection hidden="1"/>
    </xf>
    <xf numFmtId="4" fontId="9" fillId="15" borderId="0" xfId="0" applyNumberFormat="1" applyFont="1" applyFill="1" applyProtection="1">
      <protection hidden="1"/>
    </xf>
    <xf numFmtId="0" fontId="11" fillId="3" borderId="0" xfId="0" applyFont="1" applyFill="1" applyAlignment="1" applyProtection="1">
      <alignment horizontal="centerContinuous" vertical="top"/>
      <protection hidden="1"/>
    </xf>
    <xf numFmtId="0" fontId="0" fillId="3" borderId="0" xfId="0" applyFill="1" applyAlignment="1" applyProtection="1">
      <alignment horizontal="centerContinuous"/>
      <protection hidden="1"/>
    </xf>
    <xf numFmtId="4" fontId="0" fillId="3" borderId="0" xfId="0" applyNumberFormat="1" applyFill="1" applyAlignment="1" applyProtection="1">
      <alignment horizontal="centerContinuous"/>
      <protection hidden="1"/>
    </xf>
    <xf numFmtId="0" fontId="7" fillId="15" borderId="0" xfId="0" applyFont="1" applyFill="1" applyAlignment="1">
      <alignment vertical="center"/>
    </xf>
    <xf numFmtId="0" fontId="19" fillId="15" borderId="0" xfId="0" applyFont="1" applyFill="1" applyAlignment="1">
      <alignment horizontal="center"/>
    </xf>
    <xf numFmtId="0" fontId="7" fillId="15" borderId="5" xfId="0" applyFont="1" applyFill="1" applyBorder="1" applyAlignment="1">
      <alignment vertical="center"/>
    </xf>
    <xf numFmtId="0" fontId="9" fillId="3" borderId="7" xfId="0" applyFont="1" applyFill="1" applyBorder="1" applyAlignment="1" applyProtection="1">
      <alignment vertical="top"/>
      <protection hidden="1"/>
    </xf>
    <xf numFmtId="0" fontId="11" fillId="3" borderId="7" xfId="0" applyFont="1" applyFill="1" applyBorder="1" applyAlignment="1" applyProtection="1">
      <alignment horizontal="centerContinuous" vertical="top"/>
      <protection hidden="1"/>
    </xf>
    <xf numFmtId="0" fontId="0" fillId="3" borderId="7" xfId="0" applyFill="1" applyBorder="1" applyAlignment="1" applyProtection="1">
      <alignment horizontal="centerContinuous"/>
      <protection hidden="1"/>
    </xf>
    <xf numFmtId="4" fontId="0" fillId="3" borderId="7" xfId="0" applyNumberFormat="1" applyFill="1" applyBorder="1" applyAlignment="1" applyProtection="1">
      <alignment horizontal="centerContinuous"/>
      <protection hidden="1"/>
    </xf>
    <xf numFmtId="0" fontId="3" fillId="3" borderId="7" xfId="0" applyFont="1" applyFill="1" applyBorder="1" applyAlignment="1" applyProtection="1">
      <alignment horizontal="centerContinuous"/>
      <protection hidden="1"/>
    </xf>
    <xf numFmtId="0" fontId="7" fillId="15" borderId="7" xfId="0" applyFont="1" applyFill="1" applyBorder="1" applyAlignment="1">
      <alignment vertical="center"/>
    </xf>
    <xf numFmtId="0" fontId="7" fillId="15" borderId="7" xfId="0" applyFont="1" applyFill="1" applyBorder="1" applyAlignment="1">
      <alignment horizontal="right" vertical="top"/>
    </xf>
    <xf numFmtId="0" fontId="19" fillId="15" borderId="7" xfId="0" applyFont="1" applyFill="1" applyBorder="1" applyAlignment="1">
      <alignment horizontal="center"/>
    </xf>
    <xf numFmtId="0" fontId="11"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5" borderId="1" xfId="0" applyFont="1" applyFill="1" applyBorder="1" applyAlignment="1">
      <alignment vertical="center"/>
    </xf>
    <xf numFmtId="0" fontId="7" fillId="15" borderId="1" xfId="0" applyFont="1" applyFill="1" applyBorder="1" applyAlignment="1">
      <alignment horizontal="right" vertical="top"/>
    </xf>
    <xf numFmtId="0" fontId="19" fillId="15" borderId="1" xfId="0" applyFont="1" applyFill="1" applyBorder="1" applyAlignment="1">
      <alignment horizontal="center"/>
    </xf>
    <xf numFmtId="0" fontId="3" fillId="3" borderId="0" xfId="0" applyFont="1" applyFill="1" applyAlignment="1" applyProtection="1">
      <alignment horizontal="left" vertical="center"/>
      <protection hidden="1"/>
    </xf>
    <xf numFmtId="0" fontId="3" fillId="20" borderId="2" xfId="0" applyFont="1" applyFill="1" applyBorder="1" applyAlignment="1" applyProtection="1">
      <alignment horizontal="centerContinuous"/>
      <protection locked="0"/>
    </xf>
    <xf numFmtId="0" fontId="14" fillId="3" borderId="1" xfId="0" applyFont="1" applyFill="1" applyBorder="1" applyAlignment="1" applyProtection="1">
      <alignment vertical="center"/>
      <protection hidden="1"/>
    </xf>
    <xf numFmtId="0" fontId="5" fillId="3" borderId="1" xfId="0" applyFont="1" applyFill="1" applyBorder="1" applyAlignment="1" applyProtection="1">
      <alignment horizontal="left" indent="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4" fontId="9"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46" fillId="15" borderId="4"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234" fillId="8" borderId="0" xfId="0" applyFont="1" applyFill="1" applyAlignment="1" applyProtection="1">
      <alignment horizontal="center"/>
      <protection hidden="1"/>
    </xf>
    <xf numFmtId="0" fontId="76" fillId="2" borderId="0" xfId="0" applyFont="1" applyFill="1" applyAlignment="1" applyProtection="1">
      <alignment horizontal="right" wrapText="1"/>
      <protection hidden="1"/>
    </xf>
    <xf numFmtId="4" fontId="5" fillId="32" borderId="190" xfId="0" applyNumberFormat="1" applyFont="1" applyFill="1" applyBorder="1" applyProtection="1">
      <protection locked="0"/>
    </xf>
    <xf numFmtId="4" fontId="5" fillId="32" borderId="192" xfId="0" applyNumberFormat="1" applyFont="1" applyFill="1" applyBorder="1" applyAlignment="1" applyProtection="1">
      <alignment horizontal="right"/>
      <protection locked="0"/>
    </xf>
    <xf numFmtId="4" fontId="122" fillId="2" borderId="0" xfId="0" applyNumberFormat="1" applyFont="1" applyFill="1" applyProtection="1">
      <protection hidden="1"/>
    </xf>
    <xf numFmtId="4" fontId="110" fillId="2" borderId="0" xfId="0" applyNumberFormat="1" applyFont="1" applyFill="1" applyAlignment="1" applyProtection="1">
      <alignment horizontal="left"/>
      <protection hidden="1"/>
    </xf>
    <xf numFmtId="0" fontId="3" fillId="15" borderId="0" xfId="0" applyFont="1" applyFill="1" applyAlignment="1">
      <alignment vertical="center"/>
    </xf>
    <xf numFmtId="0" fontId="147" fillId="0" borderId="7" xfId="0" applyFont="1" applyBorder="1" applyAlignment="1">
      <alignment vertical="top"/>
    </xf>
    <xf numFmtId="0" fontId="3" fillId="2" borderId="15" xfId="0" quotePrefix="1" applyFont="1" applyFill="1" applyBorder="1" applyAlignment="1" applyProtection="1">
      <alignment horizontal="center" vertical="center"/>
      <protection hidden="1"/>
    </xf>
    <xf numFmtId="0" fontId="3" fillId="2" borderId="10" xfId="0" quotePrefix="1" applyFont="1" applyFill="1" applyBorder="1" applyAlignment="1" applyProtection="1">
      <alignment horizontal="center" vertical="center"/>
      <protection hidden="1"/>
    </xf>
    <xf numFmtId="0" fontId="14" fillId="3" borderId="7" xfId="0" applyFont="1" applyFill="1" applyBorder="1" applyAlignment="1" applyProtection="1">
      <alignment vertical="center"/>
      <protection hidden="1"/>
    </xf>
    <xf numFmtId="0" fontId="5" fillId="3" borderId="4" xfId="0" applyFont="1" applyFill="1" applyBorder="1" applyAlignment="1" applyProtection="1">
      <alignment horizontal="right"/>
      <protection hidden="1"/>
    </xf>
    <xf numFmtId="0" fontId="5" fillId="15" borderId="3" xfId="0" applyFont="1" applyFill="1" applyBorder="1" applyAlignment="1">
      <alignment horizontal="left"/>
    </xf>
    <xf numFmtId="0" fontId="5" fillId="15" borderId="3" xfId="0" applyFont="1" applyFill="1" applyBorder="1" applyAlignment="1">
      <alignment vertical="center"/>
    </xf>
    <xf numFmtId="0" fontId="5" fillId="15" borderId="30" xfId="0" applyFont="1" applyFill="1" applyBorder="1" applyAlignment="1">
      <alignment vertical="center"/>
    </xf>
    <xf numFmtId="0" fontId="5" fillId="15" borderId="9" xfId="0" applyFont="1" applyFill="1" applyBorder="1" applyAlignment="1">
      <alignment vertical="top"/>
    </xf>
    <xf numFmtId="0" fontId="0" fillId="15" borderId="9" xfId="0" applyFill="1" applyBorder="1" applyAlignment="1">
      <alignment vertical="top"/>
    </xf>
    <xf numFmtId="0" fontId="0" fillId="15" borderId="16" xfId="0" applyFill="1" applyBorder="1" applyAlignment="1" applyProtection="1">
      <alignment horizontal="right" vertical="center"/>
      <protection hidden="1"/>
    </xf>
    <xf numFmtId="0" fontId="5" fillId="15" borderId="16"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3" fillId="3" borderId="0" xfId="0" quotePrefix="1" applyFont="1" applyFill="1" applyAlignment="1" applyProtection="1">
      <alignment horizontal="right"/>
      <protection hidden="1"/>
    </xf>
    <xf numFmtId="37" fontId="7" fillId="28" borderId="69" xfId="0" applyNumberFormat="1" applyFont="1" applyFill="1" applyBorder="1" applyAlignment="1" applyProtection="1">
      <alignment horizontal="right"/>
      <protection hidden="1"/>
    </xf>
    <xf numFmtId="0" fontId="9" fillId="3" borderId="4" xfId="0" applyFont="1" applyFill="1" applyBorder="1" applyAlignment="1" applyProtection="1">
      <alignment vertical="top"/>
      <protection hidden="1"/>
    </xf>
    <xf numFmtId="0" fontId="5" fillId="3" borderId="0" xfId="0" applyFont="1" applyFill="1" applyAlignment="1" applyProtection="1">
      <alignment horizontal="left" vertical="top"/>
      <protection hidden="1"/>
    </xf>
    <xf numFmtId="4" fontId="8" fillId="3" borderId="24" xfId="0" applyNumberFormat="1" applyFont="1" applyFill="1" applyBorder="1" applyAlignment="1" applyProtection="1">
      <alignment horizontal="left" vertical="center"/>
      <protection hidden="1"/>
    </xf>
    <xf numFmtId="0" fontId="24" fillId="15" borderId="0" xfId="0" applyFont="1" applyFill="1" applyAlignment="1">
      <alignment horizontal="center"/>
    </xf>
    <xf numFmtId="0" fontId="5" fillId="15" borderId="0" xfId="0" applyFont="1" applyFill="1" applyAlignment="1">
      <alignment horizontal="right"/>
    </xf>
    <xf numFmtId="0" fontId="5" fillId="15" borderId="0" xfId="0" applyFont="1" applyFill="1" applyAlignment="1" applyProtection="1">
      <alignment horizontal="center" vertical="top"/>
      <protection hidden="1"/>
    </xf>
    <xf numFmtId="4" fontId="5" fillId="15" borderId="0" xfId="0" applyNumberFormat="1" applyFont="1" applyFill="1" applyProtection="1">
      <protection hidden="1"/>
    </xf>
    <xf numFmtId="0" fontId="5" fillId="15" borderId="1" xfId="0" applyFont="1" applyFill="1" applyBorder="1" applyAlignment="1" applyProtection="1">
      <alignment horizontal="center" vertical="top"/>
      <protection hidden="1"/>
    </xf>
    <xf numFmtId="0" fontId="9" fillId="15" borderId="14" xfId="0" applyFont="1" applyFill="1" applyBorder="1" applyProtection="1">
      <protection hidden="1"/>
    </xf>
    <xf numFmtId="0" fontId="110" fillId="15" borderId="3" xfId="0" applyFont="1" applyFill="1" applyBorder="1" applyProtection="1">
      <protection hidden="1"/>
    </xf>
    <xf numFmtId="0" fontId="3" fillId="15" borderId="4" xfId="0" applyFont="1" applyFill="1" applyBorder="1" applyAlignment="1" applyProtection="1">
      <alignment horizontal="right" vertical="center"/>
      <protection hidden="1"/>
    </xf>
    <xf numFmtId="0" fontId="7" fillId="15" borderId="7" xfId="0" applyFont="1" applyFill="1" applyBorder="1" applyAlignment="1" applyProtection="1">
      <alignment horizontal="center" vertical="center"/>
      <protection hidden="1"/>
    </xf>
    <xf numFmtId="0" fontId="9" fillId="2" borderId="67" xfId="0" applyFont="1" applyFill="1" applyBorder="1" applyAlignment="1" applyProtection="1">
      <alignment horizontal="left" vertical="center" indent="1"/>
      <protection hidden="1"/>
    </xf>
    <xf numFmtId="37" fontId="82" fillId="2" borderId="12" xfId="0" applyNumberFormat="1" applyFont="1" applyFill="1" applyBorder="1" applyProtection="1">
      <protection locked="0"/>
    </xf>
    <xf numFmtId="194" fontId="30" fillId="2" borderId="3" xfId="0" applyNumberFormat="1" applyFont="1" applyFill="1" applyBorder="1" applyProtection="1">
      <protection locked="0"/>
    </xf>
    <xf numFmtId="37" fontId="30" fillId="2" borderId="9" xfId="0" applyNumberFormat="1" applyFont="1" applyFill="1" applyBorder="1" applyProtection="1">
      <protection locked="0"/>
    </xf>
    <xf numFmtId="0" fontId="212" fillId="2" borderId="0" xfId="0" applyFont="1" applyFill="1" applyAlignment="1" applyProtection="1">
      <alignment horizontal="center" vertical="center"/>
      <protection hidden="1"/>
    </xf>
    <xf numFmtId="0" fontId="0" fillId="0" borderId="20" xfId="0" applyBorder="1"/>
    <xf numFmtId="0" fontId="126" fillId="15" borderId="0" xfId="0" applyFont="1" applyFill="1" applyAlignment="1" applyProtection="1">
      <alignment horizontal="center"/>
      <protection hidden="1"/>
    </xf>
    <xf numFmtId="182" fontId="144" fillId="15" borderId="0" xfId="0" applyNumberFormat="1" applyFont="1" applyFill="1" applyAlignment="1" applyProtection="1">
      <alignment horizontal="center"/>
      <protection hidden="1"/>
    </xf>
    <xf numFmtId="0" fontId="173" fillId="15" borderId="0" xfId="0" applyFont="1" applyFill="1" applyAlignment="1" applyProtection="1">
      <alignment horizontal="center"/>
      <protection hidden="1"/>
    </xf>
    <xf numFmtId="0" fontId="106" fillId="2" borderId="0" xfId="0" applyFont="1" applyFill="1" applyAlignment="1" applyProtection="1">
      <alignment vertical="center"/>
      <protection hidden="1"/>
    </xf>
    <xf numFmtId="0" fontId="208" fillId="15" borderId="0" xfId="0" applyFont="1" applyFill="1" applyProtection="1">
      <protection hidden="1"/>
    </xf>
    <xf numFmtId="0" fontId="208" fillId="15" borderId="0" xfId="0" applyFont="1" applyFill="1" applyAlignment="1" applyProtection="1">
      <alignment vertical="center"/>
      <protection hidden="1"/>
    </xf>
    <xf numFmtId="0" fontId="208" fillId="15" borderId="0" xfId="0" applyFont="1" applyFill="1" applyAlignment="1" applyProtection="1">
      <alignment vertical="top"/>
      <protection hidden="1"/>
    </xf>
    <xf numFmtId="37" fontId="30" fillId="2" borderId="0" xfId="0" applyNumberFormat="1" applyFont="1" applyFill="1" applyProtection="1">
      <protection locked="0"/>
    </xf>
    <xf numFmtId="4" fontId="3" fillId="3" borderId="24" xfId="0" applyNumberFormat="1" applyFont="1" applyFill="1" applyBorder="1" applyAlignment="1" applyProtection="1">
      <alignment horizontal="right" vertical="top"/>
      <protection hidden="1"/>
    </xf>
    <xf numFmtId="4" fontId="7" fillId="3" borderId="7" xfId="0" applyNumberFormat="1" applyFont="1" applyFill="1" applyBorder="1" applyAlignment="1" applyProtection="1">
      <alignment horizontal="right" vertical="center"/>
      <protection hidden="1"/>
    </xf>
    <xf numFmtId="0" fontId="9" fillId="24" borderId="0" xfId="0" applyFont="1" applyFill="1" applyAlignment="1" applyProtection="1">
      <alignment horizontal="right" vertical="top"/>
      <protection hidden="1"/>
    </xf>
    <xf numFmtId="0" fontId="128" fillId="5" borderId="0" xfId="0" applyFont="1" applyFill="1" applyAlignment="1" applyProtection="1">
      <alignment horizontal="center"/>
      <protection hidden="1"/>
    </xf>
    <xf numFmtId="0" fontId="10" fillId="15" borderId="21" xfId="0" applyFont="1" applyFill="1" applyBorder="1" applyProtection="1">
      <protection hidden="1"/>
    </xf>
    <xf numFmtId="0" fontId="10" fillId="15" borderId="4" xfId="0" applyFont="1" applyFill="1" applyBorder="1" applyProtection="1">
      <protection hidden="1"/>
    </xf>
    <xf numFmtId="0" fontId="43" fillId="15" borderId="5" xfId="0" applyFont="1" applyFill="1" applyBorder="1" applyProtection="1">
      <protection hidden="1"/>
    </xf>
    <xf numFmtId="0" fontId="55" fillId="15" borderId="5" xfId="0" applyFont="1" applyFill="1" applyBorder="1" applyProtection="1">
      <protection hidden="1"/>
    </xf>
    <xf numFmtId="0" fontId="5" fillId="15" borderId="5" xfId="0" quotePrefix="1" applyFont="1" applyFill="1" applyBorder="1" applyAlignment="1" applyProtection="1">
      <alignment horizontal="right" indent="1"/>
      <protection hidden="1"/>
    </xf>
    <xf numFmtId="0" fontId="5" fillId="15" borderId="5" xfId="0" applyFont="1" applyFill="1" applyBorder="1"/>
    <xf numFmtId="0" fontId="5" fillId="15" borderId="26" xfId="0" quotePrefix="1" applyFont="1" applyFill="1" applyBorder="1" applyAlignment="1" applyProtection="1">
      <alignment horizontal="right" vertical="top" indent="1"/>
      <protection hidden="1"/>
    </xf>
    <xf numFmtId="0" fontId="0" fillId="15" borderId="29" xfId="0" applyFill="1" applyBorder="1" applyAlignment="1" applyProtection="1">
      <alignment vertical="top"/>
      <protection hidden="1"/>
    </xf>
    <xf numFmtId="40" fontId="39" fillId="2" borderId="0" xfId="0" applyNumberFormat="1" applyFont="1" applyFill="1" applyAlignment="1" applyProtection="1">
      <alignment horizontal="right" vertical="center"/>
      <protection hidden="1"/>
    </xf>
    <xf numFmtId="0" fontId="13" fillId="15" borderId="0" xfId="0" applyFont="1" applyFill="1" applyAlignment="1" applyProtection="1">
      <alignment horizontal="right"/>
      <protection hidden="1"/>
    </xf>
    <xf numFmtId="0" fontId="9" fillId="15" borderId="0" xfId="0" quotePrefix="1" applyFont="1" applyFill="1" applyAlignment="1" applyProtection="1">
      <alignment horizontal="right"/>
      <protection hidden="1"/>
    </xf>
    <xf numFmtId="3" fontId="5" fillId="2" borderId="0" xfId="0" applyNumberFormat="1" applyFont="1" applyFill="1" applyAlignment="1" applyProtection="1">
      <alignment horizontal="right"/>
      <protection hidden="1"/>
    </xf>
    <xf numFmtId="37" fontId="5" fillId="27" borderId="1" xfId="0" applyNumberFormat="1" applyFont="1" applyFill="1" applyBorder="1" applyProtection="1">
      <protection hidden="1"/>
    </xf>
    <xf numFmtId="0" fontId="3" fillId="15" borderId="2" xfId="0" applyFont="1" applyFill="1" applyBorder="1" applyAlignment="1" applyProtection="1">
      <alignment horizontal="center"/>
      <protection locked="0"/>
    </xf>
    <xf numFmtId="4" fontId="208" fillId="15" borderId="0" xfId="0" applyNumberFormat="1" applyFont="1" applyFill="1" applyAlignment="1" applyProtection="1">
      <alignment horizontal="center"/>
      <protection hidden="1"/>
    </xf>
    <xf numFmtId="0" fontId="5" fillId="2" borderId="0" xfId="0" quotePrefix="1" applyFont="1" applyFill="1" applyProtection="1">
      <protection hidden="1"/>
    </xf>
    <xf numFmtId="0" fontId="207" fillId="15" borderId="0" xfId="0" applyFont="1" applyFill="1" applyAlignment="1" applyProtection="1">
      <alignment horizontal="center"/>
      <protection hidden="1"/>
    </xf>
    <xf numFmtId="0" fontId="207" fillId="15" borderId="24" xfId="0" applyFont="1" applyFill="1" applyBorder="1" applyAlignment="1" applyProtection="1">
      <alignment horizontal="center"/>
      <protection hidden="1"/>
    </xf>
    <xf numFmtId="0" fontId="100" fillId="15" borderId="132" xfId="0" applyFont="1" applyFill="1" applyBorder="1" applyAlignment="1" applyProtection="1">
      <alignment horizontal="centerContinuous" vertical="center"/>
      <protection hidden="1"/>
    </xf>
    <xf numFmtId="0" fontId="191" fillId="15" borderId="153" xfId="0" applyFont="1" applyFill="1" applyBorder="1" applyAlignment="1" applyProtection="1">
      <alignment horizontal="left" vertical="center"/>
      <protection hidden="1"/>
    </xf>
    <xf numFmtId="0" fontId="191" fillId="15" borderId="1" xfId="0" applyFont="1" applyFill="1" applyBorder="1" applyAlignment="1" applyProtection="1">
      <alignment horizontal="center" vertical="center"/>
      <protection hidden="1"/>
    </xf>
    <xf numFmtId="0" fontId="191" fillId="33" borderId="1" xfId="0" applyFont="1" applyFill="1" applyBorder="1" applyAlignment="1" applyProtection="1">
      <alignment horizontal="center" vertical="center"/>
      <protection hidden="1"/>
    </xf>
    <xf numFmtId="0" fontId="191" fillId="33" borderId="0" xfId="0" applyFont="1" applyFill="1" applyAlignment="1" applyProtection="1">
      <alignment horizontal="left"/>
      <protection hidden="1"/>
    </xf>
    <xf numFmtId="0" fontId="191" fillId="33" borderId="0" xfId="0" applyFont="1" applyFill="1" applyAlignment="1" applyProtection="1">
      <alignment horizontal="center"/>
      <protection hidden="1"/>
    </xf>
    <xf numFmtId="0" fontId="193" fillId="15" borderId="193" xfId="0" applyFont="1" applyFill="1" applyBorder="1" applyAlignment="1" applyProtection="1">
      <alignment horizontal="center"/>
      <protection hidden="1"/>
    </xf>
    <xf numFmtId="0" fontId="192" fillId="15" borderId="191" xfId="0" applyFont="1" applyFill="1" applyBorder="1" applyAlignment="1" applyProtection="1">
      <alignment horizontal="center" vertical="center"/>
      <protection hidden="1"/>
    </xf>
    <xf numFmtId="0" fontId="192" fillId="15" borderId="191" xfId="0" applyFont="1" applyFill="1" applyBorder="1" applyProtection="1">
      <protection hidden="1"/>
    </xf>
    <xf numFmtId="0" fontId="192" fillId="15" borderId="191" xfId="0" applyFont="1" applyFill="1" applyBorder="1" applyAlignment="1" applyProtection="1">
      <alignment horizontal="right"/>
      <protection hidden="1"/>
    </xf>
    <xf numFmtId="0" fontId="97" fillId="15" borderId="194" xfId="0" applyFont="1" applyFill="1" applyBorder="1" applyProtection="1">
      <protection hidden="1"/>
    </xf>
    <xf numFmtId="0" fontId="193" fillId="15" borderId="195" xfId="0" applyFont="1" applyFill="1" applyBorder="1" applyAlignment="1" applyProtection="1">
      <alignment horizontal="center"/>
      <protection hidden="1"/>
    </xf>
    <xf numFmtId="0" fontId="192" fillId="15" borderId="0" xfId="0" applyFont="1" applyFill="1" applyAlignment="1" applyProtection="1">
      <alignment horizontal="center" vertical="center"/>
      <protection hidden="1"/>
    </xf>
    <xf numFmtId="0" fontId="192" fillId="15" borderId="0" xfId="0" applyFont="1" applyFill="1" applyProtection="1">
      <protection hidden="1"/>
    </xf>
    <xf numFmtId="0" fontId="192" fillId="15" borderId="0" xfId="0" applyFont="1" applyFill="1" applyAlignment="1" applyProtection="1">
      <alignment horizontal="right"/>
      <protection hidden="1"/>
    </xf>
    <xf numFmtId="0" fontId="97" fillId="15" borderId="196" xfId="0" applyFont="1" applyFill="1" applyBorder="1" applyProtection="1">
      <protection hidden="1"/>
    </xf>
    <xf numFmtId="0" fontId="193" fillId="15" borderId="0" xfId="0" applyFont="1" applyFill="1" applyAlignment="1" applyProtection="1">
      <alignment horizontal="center" vertical="center"/>
      <protection hidden="1"/>
    </xf>
    <xf numFmtId="0" fontId="193" fillId="15" borderId="0" xfId="0" applyFont="1" applyFill="1" applyAlignment="1" applyProtection="1">
      <alignment horizontal="center"/>
      <protection hidden="1"/>
    </xf>
    <xf numFmtId="0" fontId="191" fillId="33" borderId="0" xfId="0" applyFont="1" applyFill="1" applyAlignment="1" applyProtection="1">
      <alignment horizontal="center" vertical="center"/>
      <protection hidden="1"/>
    </xf>
    <xf numFmtId="0" fontId="191" fillId="15" borderId="0" xfId="0" applyFont="1" applyFill="1" applyAlignment="1" applyProtection="1">
      <alignment horizontal="center" vertical="center"/>
      <protection hidden="1"/>
    </xf>
    <xf numFmtId="0" fontId="193" fillId="15" borderId="197" xfId="0" applyFont="1" applyFill="1" applyBorder="1" applyAlignment="1" applyProtection="1">
      <alignment horizontal="center"/>
      <protection hidden="1"/>
    </xf>
    <xf numFmtId="0" fontId="192" fillId="15" borderId="160" xfId="0" applyFont="1" applyFill="1" applyBorder="1" applyAlignment="1" applyProtection="1">
      <alignment horizontal="center" vertical="center"/>
      <protection hidden="1"/>
    </xf>
    <xf numFmtId="0" fontId="192" fillId="15" borderId="160" xfId="0" applyFont="1" applyFill="1" applyBorder="1" applyProtection="1">
      <protection hidden="1"/>
    </xf>
    <xf numFmtId="0" fontId="192" fillId="15" borderId="160" xfId="0" applyFont="1" applyFill="1" applyBorder="1" applyAlignment="1" applyProtection="1">
      <alignment horizontal="right"/>
      <protection hidden="1"/>
    </xf>
    <xf numFmtId="0" fontId="97" fillId="15" borderId="198" xfId="0" applyFont="1" applyFill="1" applyBorder="1" applyProtection="1">
      <protection hidden="1"/>
    </xf>
    <xf numFmtId="0" fontId="191" fillId="33" borderId="160" xfId="0" applyFont="1" applyFill="1" applyBorder="1" applyAlignment="1" applyProtection="1">
      <alignment horizontal="center"/>
      <protection hidden="1"/>
    </xf>
    <xf numFmtId="0" fontId="191" fillId="33" borderId="160"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5" fillId="24" borderId="4" xfId="0" applyFont="1" applyFill="1" applyBorder="1" applyProtection="1">
      <protection hidden="1"/>
    </xf>
    <xf numFmtId="1" fontId="0" fillId="10" borderId="8" xfId="0" applyNumberFormat="1" applyFill="1" applyBorder="1" applyProtection="1">
      <protection hidden="1"/>
    </xf>
    <xf numFmtId="3" fontId="0" fillId="8" borderId="1" xfId="0" applyNumberFormat="1" applyFill="1" applyBorder="1" applyProtection="1">
      <protection locked="0"/>
    </xf>
    <xf numFmtId="0" fontId="5" fillId="2" borderId="8" xfId="0" applyFont="1" applyFill="1" applyBorder="1" applyProtection="1">
      <protection hidden="1"/>
    </xf>
    <xf numFmtId="3" fontId="112"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4" borderId="0" xfId="0" applyFont="1" applyFill="1" applyProtection="1">
      <protection locked="0" hidden="1"/>
    </xf>
    <xf numFmtId="164" fontId="10" fillId="4" borderId="5" xfId="0" applyNumberFormat="1" applyFont="1" applyFill="1" applyBorder="1" applyAlignment="1" applyProtection="1">
      <alignment horizontal="left" indent="1"/>
      <protection locked="0" hidden="1"/>
    </xf>
    <xf numFmtId="0" fontId="240" fillId="5" borderId="0" xfId="0" applyFont="1" applyFill="1" applyAlignment="1" applyProtection="1">
      <alignment horizontal="center"/>
      <protection hidden="1"/>
    </xf>
    <xf numFmtId="0" fontId="241" fillId="15" borderId="0" xfId="0" applyFont="1" applyFill="1" applyAlignment="1" applyProtection="1">
      <alignment vertical="center"/>
      <protection hidden="1"/>
    </xf>
    <xf numFmtId="0" fontId="4" fillId="0" borderId="0" xfId="0" applyFont="1" applyProtection="1">
      <protection hidden="1"/>
    </xf>
    <xf numFmtId="37" fontId="8" fillId="14" borderId="0" xfId="0" applyNumberFormat="1" applyFont="1" applyFill="1" applyAlignment="1" applyProtection="1">
      <alignment horizontal="right"/>
      <protection hidden="1"/>
    </xf>
    <xf numFmtId="0" fontId="14" fillId="15" borderId="0" xfId="0" quotePrefix="1" applyFont="1" applyFill="1" applyAlignment="1" applyProtection="1">
      <alignment horizontal="left"/>
      <protection hidden="1"/>
    </xf>
    <xf numFmtId="0" fontId="10" fillId="15" borderId="1" xfId="0" applyFont="1" applyFill="1" applyBorder="1" applyAlignment="1" applyProtection="1">
      <alignment horizontal="left" vertical="center" indent="1"/>
      <protection hidden="1"/>
    </xf>
    <xf numFmtId="0" fontId="3" fillId="15" borderId="0" xfId="0" quotePrefix="1" applyFont="1" applyFill="1" applyAlignment="1" applyProtection="1">
      <alignment horizontal="center"/>
      <protection hidden="1"/>
    </xf>
    <xf numFmtId="0" fontId="5" fillId="15" borderId="1" xfId="0" applyFont="1" applyFill="1" applyBorder="1" applyAlignment="1" applyProtection="1">
      <alignment vertical="center"/>
      <protection hidden="1"/>
    </xf>
    <xf numFmtId="0" fontId="46" fillId="15" borderId="8" xfId="0" applyFont="1" applyFill="1" applyBorder="1" applyAlignment="1" applyProtection="1">
      <alignment horizontal="left"/>
      <protection hidden="1"/>
    </xf>
    <xf numFmtId="0" fontId="5" fillId="15" borderId="14" xfId="0" applyFont="1" applyFill="1" applyBorder="1" applyProtection="1">
      <protection hidden="1"/>
    </xf>
    <xf numFmtId="0" fontId="46" fillId="15" borderId="8" xfId="0" applyFont="1" applyFill="1" applyBorder="1" applyAlignment="1" applyProtection="1">
      <alignment horizontal="center"/>
      <protection hidden="1"/>
    </xf>
    <xf numFmtId="166" fontId="19" fillId="15" borderId="9" xfId="0" applyNumberFormat="1" applyFont="1" applyFill="1" applyBorder="1" applyProtection="1">
      <protection locked="0"/>
    </xf>
    <xf numFmtId="0" fontId="14" fillId="16" borderId="12" xfId="0" applyFont="1" applyFill="1" applyBorder="1" applyAlignment="1" applyProtection="1">
      <alignment horizontal="center" vertical="center"/>
      <protection locked="0"/>
    </xf>
    <xf numFmtId="0" fontId="46" fillId="15" borderId="0" xfId="0" applyFont="1" applyFill="1" applyAlignment="1" applyProtection="1">
      <alignment horizontal="left" vertical="center" wrapText="1"/>
      <protection hidden="1"/>
    </xf>
    <xf numFmtId="0" fontId="3" fillId="15" borderId="0" xfId="0" quotePrefix="1" applyFont="1" applyFill="1" applyAlignment="1" applyProtection="1">
      <alignment horizontal="center" vertical="center"/>
      <protection hidden="1"/>
    </xf>
    <xf numFmtId="0" fontId="46" fillId="15" borderId="24" xfId="0" applyFont="1" applyFill="1" applyBorder="1" applyAlignment="1" applyProtection="1">
      <alignment horizontal="left" vertical="center" wrapText="1"/>
      <protection hidden="1"/>
    </xf>
    <xf numFmtId="0" fontId="10" fillId="15" borderId="0" xfId="0" quotePrefix="1" applyFont="1" applyFill="1" applyAlignment="1" applyProtection="1">
      <alignment horizontal="center" vertical="center" wrapText="1"/>
      <protection hidden="1"/>
    </xf>
    <xf numFmtId="0" fontId="14" fillId="15" borderId="8" xfId="0" quotePrefix="1" applyFont="1" applyFill="1" applyBorder="1" applyAlignment="1" applyProtection="1">
      <alignment horizontal="right"/>
      <protection hidden="1"/>
    </xf>
    <xf numFmtId="0" fontId="46" fillId="15" borderId="1" xfId="0" applyFont="1" applyFill="1" applyBorder="1" applyAlignment="1" applyProtection="1">
      <alignment vertical="top"/>
      <protection hidden="1"/>
    </xf>
    <xf numFmtId="0" fontId="3" fillId="15" borderId="28" xfId="0" quotePrefix="1" applyFont="1" applyFill="1" applyBorder="1" applyAlignment="1" applyProtection="1">
      <alignment horizontal="center"/>
      <protection hidden="1"/>
    </xf>
    <xf numFmtId="0" fontId="131" fillId="15" borderId="8" xfId="0" applyFont="1" applyFill="1" applyBorder="1" applyAlignment="1" applyProtection="1">
      <alignment vertical="center" wrapText="1"/>
      <protection hidden="1"/>
    </xf>
    <xf numFmtId="0" fontId="131" fillId="15" borderId="0" xfId="0" applyFont="1" applyFill="1" applyAlignment="1" applyProtection="1">
      <alignment vertical="center" wrapText="1"/>
      <protection hidden="1"/>
    </xf>
    <xf numFmtId="0" fontId="131" fillId="15" borderId="1" xfId="0" applyFont="1" applyFill="1" applyBorder="1" applyAlignment="1" applyProtection="1">
      <alignment vertical="center" wrapText="1"/>
      <protection hidden="1"/>
    </xf>
    <xf numFmtId="195" fontId="46" fillId="15" borderId="2" xfId="0" applyNumberFormat="1" applyFont="1" applyFill="1" applyBorder="1" applyProtection="1">
      <protection locked="0"/>
    </xf>
    <xf numFmtId="37" fontId="0" fillId="15" borderId="2" xfId="0" applyNumberFormat="1" applyFill="1" applyBorder="1" applyProtection="1">
      <protection locked="0"/>
    </xf>
    <xf numFmtId="0" fontId="8" fillId="15" borderId="0" xfId="0" applyFont="1" applyFill="1" applyAlignment="1" applyProtection="1">
      <alignment horizontal="center" vertical="top"/>
      <protection hidden="1"/>
    </xf>
    <xf numFmtId="0" fontId="9" fillId="0" borderId="12" xfId="0" quotePrefix="1" applyFont="1" applyBorder="1" applyAlignment="1" applyProtection="1">
      <alignment horizontal="center"/>
      <protection hidden="1"/>
    </xf>
    <xf numFmtId="39" fontId="4" fillId="24" borderId="0" xfId="0" applyNumberFormat="1" applyFont="1" applyFill="1" applyProtection="1">
      <protection locked="0"/>
    </xf>
    <xf numFmtId="39" fontId="4" fillId="0" borderId="0" xfId="0" applyNumberFormat="1" applyFont="1" applyProtection="1">
      <protection locked="0"/>
    </xf>
    <xf numFmtId="39" fontId="0" fillId="0" borderId="0" xfId="0" applyNumberFormat="1" applyAlignment="1" applyProtection="1">
      <alignment vertical="top"/>
      <protection locked="0"/>
    </xf>
    <xf numFmtId="0" fontId="14" fillId="27" borderId="12" xfId="0" applyFont="1" applyFill="1" applyBorder="1" applyAlignment="1" applyProtection="1">
      <alignment horizontal="center" vertical="center"/>
      <protection hidden="1"/>
    </xf>
    <xf numFmtId="37" fontId="3" fillId="27" borderId="2" xfId="0" applyNumberFormat="1" applyFont="1" applyFill="1" applyBorder="1" applyProtection="1">
      <protection hidden="1"/>
    </xf>
    <xf numFmtId="37" fontId="3" fillId="27" borderId="48" xfId="0" applyNumberFormat="1" applyFont="1" applyFill="1" applyBorder="1" applyProtection="1">
      <protection hidden="1"/>
    </xf>
    <xf numFmtId="37" fontId="3" fillId="27" borderId="49" xfId="0" applyNumberFormat="1" applyFont="1" applyFill="1" applyBorder="1" applyProtection="1">
      <protection hidden="1"/>
    </xf>
    <xf numFmtId="37" fontId="3" fillId="27" borderId="53" xfId="0" applyNumberFormat="1" applyFont="1" applyFill="1" applyBorder="1" applyProtection="1">
      <protection hidden="1"/>
    </xf>
    <xf numFmtId="37" fontId="3" fillId="15" borderId="0" xfId="0" applyNumberFormat="1" applyFont="1" applyFill="1" applyAlignment="1" applyProtection="1">
      <alignment horizontal="right"/>
      <protection hidden="1"/>
    </xf>
    <xf numFmtId="2" fontId="110" fillId="15" borderId="0" xfId="0" applyNumberFormat="1" applyFont="1" applyFill="1" applyProtection="1">
      <protection hidden="1"/>
    </xf>
    <xf numFmtId="0" fontId="110" fillId="15" borderId="8" xfId="0" applyFont="1" applyFill="1" applyBorder="1" applyProtection="1">
      <protection hidden="1"/>
    </xf>
    <xf numFmtId="0" fontId="110" fillId="15" borderId="14" xfId="0" applyFont="1" applyFill="1" applyBorder="1" applyProtection="1">
      <protection hidden="1"/>
    </xf>
    <xf numFmtId="3" fontId="110" fillId="15" borderId="8" xfId="0" applyNumberFormat="1" applyFont="1" applyFill="1" applyBorder="1" applyProtection="1">
      <protection hidden="1"/>
    </xf>
    <xf numFmtId="0" fontId="131" fillId="15" borderId="0" xfId="0" applyFont="1" applyFill="1" applyAlignment="1" applyProtection="1">
      <alignment horizontal="left" vertical="center" indent="1"/>
      <protection hidden="1"/>
    </xf>
    <xf numFmtId="0" fontId="22" fillId="15" borderId="8" xfId="0" applyFont="1" applyFill="1" applyBorder="1" applyAlignment="1" applyProtection="1">
      <alignment vertical="center"/>
      <protection hidden="1"/>
    </xf>
    <xf numFmtId="0" fontId="22" fillId="15" borderId="0" xfId="0" applyFont="1" applyFill="1" applyAlignment="1" applyProtection="1">
      <alignment vertical="center"/>
      <protection hidden="1"/>
    </xf>
    <xf numFmtId="0" fontId="22" fillId="15" borderId="1" xfId="0" applyFont="1" applyFill="1" applyBorder="1" applyAlignment="1" applyProtection="1">
      <alignment vertical="center"/>
      <protection hidden="1"/>
    </xf>
    <xf numFmtId="39" fontId="13" fillId="15" borderId="0" xfId="0" applyNumberFormat="1" applyFont="1" applyFill="1" applyProtection="1">
      <protection locked="0"/>
    </xf>
    <xf numFmtId="39" fontId="13" fillId="15" borderId="0" xfId="0" applyNumberFormat="1" applyFont="1" applyFill="1" applyAlignment="1" applyProtection="1">
      <alignment vertical="top"/>
      <protection locked="0"/>
    </xf>
    <xf numFmtId="0" fontId="242" fillId="15" borderId="0" xfId="0" applyFont="1" applyFill="1" applyAlignment="1">
      <alignment vertical="center"/>
    </xf>
    <xf numFmtId="39" fontId="22" fillId="15" borderId="0" xfId="0" applyNumberFormat="1" applyFont="1" applyFill="1" applyAlignment="1" applyProtection="1">
      <alignment horizontal="left" indent="3"/>
      <protection locked="0"/>
    </xf>
    <xf numFmtId="39" fontId="22" fillId="15" borderId="0" xfId="0" applyNumberFormat="1" applyFont="1" applyFill="1" applyAlignment="1" applyProtection="1">
      <alignment horizontal="left" vertical="top" indent="3"/>
      <protection locked="0"/>
    </xf>
    <xf numFmtId="49" fontId="7" fillId="32" borderId="142" xfId="0" applyNumberFormat="1" applyFont="1" applyFill="1" applyBorder="1" applyAlignment="1" applyProtection="1">
      <alignment horizontal="right"/>
      <protection locked="0"/>
    </xf>
    <xf numFmtId="39" fontId="5" fillId="32" borderId="142" xfId="0" applyNumberFormat="1" applyFont="1" applyFill="1" applyBorder="1" applyAlignment="1" applyProtection="1">
      <alignment horizontal="right"/>
      <protection locked="0"/>
    </xf>
    <xf numFmtId="39" fontId="5" fillId="32" borderId="143" xfId="0" applyNumberFormat="1" applyFont="1" applyFill="1" applyBorder="1" applyAlignment="1" applyProtection="1">
      <alignment horizontal="right"/>
      <protection locked="0"/>
    </xf>
    <xf numFmtId="39" fontId="5" fillId="32" borderId="145" xfId="0" applyNumberFormat="1" applyFont="1" applyFill="1" applyBorder="1" applyAlignment="1" applyProtection="1">
      <alignment horizontal="right"/>
      <protection locked="0"/>
    </xf>
    <xf numFmtId="49" fontId="7" fillId="32" borderId="143" xfId="0" applyNumberFormat="1" applyFont="1" applyFill="1" applyBorder="1" applyAlignment="1" applyProtection="1">
      <alignment horizontal="right"/>
      <protection locked="0"/>
    </xf>
    <xf numFmtId="49" fontId="7" fillId="32" borderId="145" xfId="0" applyNumberFormat="1" applyFont="1" applyFill="1" applyBorder="1" applyAlignment="1" applyProtection="1">
      <alignment horizontal="right"/>
      <protection locked="0"/>
    </xf>
    <xf numFmtId="37" fontId="5" fillId="15" borderId="2" xfId="0" applyNumberFormat="1" applyFont="1" applyFill="1" applyBorder="1" applyProtection="1">
      <protection locked="0"/>
    </xf>
    <xf numFmtId="39" fontId="0" fillId="15" borderId="0" xfId="0" applyNumberFormat="1" applyFill="1" applyProtection="1">
      <protection hidden="1"/>
    </xf>
    <xf numFmtId="39" fontId="0" fillId="15" borderId="20" xfId="0" applyNumberFormat="1" applyFill="1" applyBorder="1" applyProtection="1">
      <protection hidden="1"/>
    </xf>
    <xf numFmtId="39" fontId="5" fillId="15" borderId="5" xfId="0" applyNumberFormat="1" applyFont="1" applyFill="1" applyBorder="1" applyAlignment="1" applyProtection="1">
      <alignment horizontal="left" indent="2"/>
      <protection hidden="1"/>
    </xf>
    <xf numFmtId="39" fontId="5" fillId="15" borderId="0" xfId="0" quotePrefix="1" applyNumberFormat="1" applyFont="1" applyFill="1" applyAlignment="1" applyProtection="1">
      <alignment horizontal="right"/>
      <protection hidden="1"/>
    </xf>
    <xf numFmtId="39" fontId="0" fillId="15" borderId="21" xfId="0" applyNumberFormat="1" applyFill="1" applyBorder="1" applyProtection="1">
      <protection hidden="1"/>
    </xf>
    <xf numFmtId="39" fontId="0" fillId="15" borderId="4" xfId="0" applyNumberFormat="1" applyFill="1" applyBorder="1" applyProtection="1">
      <protection hidden="1"/>
    </xf>
    <xf numFmtId="39" fontId="0" fillId="15" borderId="22" xfId="0" applyNumberFormat="1" applyFill="1" applyBorder="1" applyProtection="1">
      <protection hidden="1"/>
    </xf>
    <xf numFmtId="39" fontId="3" fillId="15" borderId="5" xfId="0" applyNumberFormat="1" applyFont="1" applyFill="1" applyBorder="1" applyAlignment="1" applyProtection="1">
      <alignment horizontal="left" indent="1"/>
      <protection hidden="1"/>
    </xf>
    <xf numFmtId="39" fontId="213" fillId="15" borderId="23" xfId="0" applyNumberFormat="1" applyFont="1" applyFill="1" applyBorder="1" applyAlignment="1" applyProtection="1">
      <alignment horizontal="centerContinuous" vertical="center"/>
      <protection locked="0"/>
    </xf>
    <xf numFmtId="39" fontId="0" fillId="15" borderId="7" xfId="0" applyNumberFormat="1" applyFill="1" applyBorder="1" applyAlignment="1" applyProtection="1">
      <alignment horizontal="centerContinuous"/>
      <protection locked="0"/>
    </xf>
    <xf numFmtId="39" fontId="0" fillId="15" borderId="19" xfId="0" applyNumberFormat="1" applyFill="1" applyBorder="1" applyAlignment="1" applyProtection="1">
      <alignment horizontal="centerContinuous"/>
      <protection locked="0"/>
    </xf>
    <xf numFmtId="39" fontId="5" fillId="15" borderId="5" xfId="0" applyNumberFormat="1" applyFont="1" applyFill="1" applyBorder="1" applyAlignment="1" applyProtection="1">
      <alignment horizontal="left" vertical="center" indent="1"/>
      <protection locked="0"/>
    </xf>
    <xf numFmtId="39" fontId="0" fillId="15" borderId="0" xfId="0" applyNumberFormat="1" applyFill="1" applyAlignment="1" applyProtection="1">
      <alignment vertical="top"/>
      <protection locked="0"/>
    </xf>
    <xf numFmtId="39" fontId="0" fillId="15" borderId="20" xfId="0" applyNumberFormat="1" applyFill="1" applyBorder="1" applyAlignment="1" applyProtection="1">
      <alignment vertical="top"/>
      <protection locked="0"/>
    </xf>
    <xf numFmtId="39" fontId="5" fillId="15" borderId="26" xfId="0" applyNumberFormat="1" applyFont="1" applyFill="1" applyBorder="1" applyAlignment="1" applyProtection="1">
      <alignment horizontal="left" vertical="center" indent="1"/>
      <protection locked="0"/>
    </xf>
    <xf numFmtId="39" fontId="0" fillId="15" borderId="1" xfId="0" applyNumberFormat="1" applyFill="1" applyBorder="1" applyProtection="1">
      <protection locked="0"/>
    </xf>
    <xf numFmtId="39" fontId="0" fillId="15" borderId="29" xfId="0" applyNumberFormat="1" applyFill="1" applyBorder="1" applyProtection="1">
      <protection locked="0"/>
    </xf>
    <xf numFmtId="39" fontId="5" fillId="15" borderId="5" xfId="0" applyNumberFormat="1" applyFont="1" applyFill="1" applyBorder="1" applyAlignment="1" applyProtection="1">
      <alignment horizontal="left" vertical="center"/>
      <protection locked="0"/>
    </xf>
    <xf numFmtId="39" fontId="0" fillId="15" borderId="20" xfId="0" applyNumberFormat="1" applyFill="1" applyBorder="1" applyProtection="1">
      <protection locked="0"/>
    </xf>
    <xf numFmtId="39" fontId="5" fillId="15" borderId="5" xfId="0" applyNumberFormat="1" applyFont="1" applyFill="1" applyBorder="1" applyAlignment="1" applyProtection="1">
      <alignment horizontal="left" indent="1"/>
      <protection hidden="1"/>
    </xf>
    <xf numFmtId="39" fontId="5" fillId="15" borderId="5" xfId="0" applyNumberFormat="1" applyFont="1" applyFill="1" applyBorder="1" applyAlignment="1" applyProtection="1">
      <alignment horizontal="left" vertical="center" indent="3"/>
      <protection hidden="1"/>
    </xf>
    <xf numFmtId="39" fontId="5" fillId="15" borderId="5" xfId="0" applyNumberFormat="1" applyFont="1" applyFill="1" applyBorder="1" applyAlignment="1" applyProtection="1">
      <alignment horizontal="left" indent="3"/>
      <protection hidden="1"/>
    </xf>
    <xf numFmtId="39" fontId="3" fillId="15" borderId="5" xfId="0" quotePrefix="1" applyNumberFormat="1" applyFont="1" applyFill="1" applyBorder="1" applyAlignment="1" applyProtection="1">
      <alignment horizontal="right"/>
      <protection locked="0"/>
    </xf>
    <xf numFmtId="39" fontId="5" fillId="15" borderId="0" xfId="0" applyNumberFormat="1" applyFont="1" applyFill="1" applyProtection="1">
      <protection locked="0"/>
    </xf>
    <xf numFmtId="39" fontId="4" fillId="15" borderId="20" xfId="0" applyNumberFormat="1" applyFont="1" applyFill="1" applyBorder="1" applyProtection="1">
      <protection locked="0"/>
    </xf>
    <xf numFmtId="39" fontId="4" fillId="15" borderId="5" xfId="0" applyNumberFormat="1" applyFont="1" applyFill="1" applyBorder="1" applyProtection="1">
      <protection locked="0"/>
    </xf>
    <xf numFmtId="39" fontId="4" fillId="15" borderId="0" xfId="0" applyNumberFormat="1" applyFont="1" applyFill="1" applyProtection="1">
      <protection locked="0"/>
    </xf>
    <xf numFmtId="39" fontId="5" fillId="15" borderId="0" xfId="0" applyNumberFormat="1" applyFont="1" applyFill="1" applyProtection="1">
      <protection hidden="1"/>
    </xf>
    <xf numFmtId="39" fontId="0" fillId="15" borderId="21" xfId="0" applyNumberFormat="1" applyFill="1" applyBorder="1" applyProtection="1">
      <protection locked="0"/>
    </xf>
    <xf numFmtId="39" fontId="5" fillId="15" borderId="4" xfId="0" applyNumberFormat="1" applyFont="1" applyFill="1" applyBorder="1" applyProtection="1">
      <protection locked="0"/>
    </xf>
    <xf numFmtId="39" fontId="0" fillId="15" borderId="4" xfId="0" applyNumberFormat="1" applyFill="1" applyBorder="1" applyProtection="1">
      <protection locked="0"/>
    </xf>
    <xf numFmtId="39" fontId="0" fillId="15" borderId="22" xfId="0" applyNumberFormat="1" applyFill="1" applyBorder="1" applyProtection="1">
      <protection locked="0"/>
    </xf>
    <xf numFmtId="166" fontId="46" fillId="15" borderId="3" xfId="0" applyNumberFormat="1" applyFont="1" applyFill="1" applyBorder="1" applyAlignment="1" applyProtection="1">
      <alignment horizontal="center"/>
      <protection hidden="1"/>
    </xf>
    <xf numFmtId="186" fontId="5" fillId="15" borderId="0" xfId="0" applyNumberFormat="1" applyFont="1" applyFill="1" applyAlignment="1" applyProtection="1">
      <alignment horizontal="center"/>
      <protection hidden="1"/>
    </xf>
    <xf numFmtId="4" fontId="5" fillId="15" borderId="8" xfId="0" applyNumberFormat="1" applyFont="1" applyFill="1" applyBorder="1" applyAlignment="1" applyProtection="1">
      <alignment horizontal="left" indent="1"/>
      <protection hidden="1"/>
    </xf>
    <xf numFmtId="4" fontId="5" fillId="15" borderId="0" xfId="0" applyNumberFormat="1" applyFont="1" applyFill="1" applyAlignment="1" applyProtection="1">
      <alignment horizontal="left" indent="1"/>
      <protection hidden="1"/>
    </xf>
    <xf numFmtId="0" fontId="243" fillId="2" borderId="41" xfId="0" applyFont="1" applyFill="1" applyBorder="1" applyProtection="1">
      <protection hidden="1"/>
    </xf>
    <xf numFmtId="0" fontId="3" fillId="16" borderId="2" xfId="0" applyFont="1" applyFill="1" applyBorder="1" applyAlignment="1" applyProtection="1">
      <alignment horizontal="center"/>
      <protection locked="0"/>
    </xf>
    <xf numFmtId="0" fontId="122" fillId="15" borderId="0" xfId="0" applyFont="1" applyFill="1" applyAlignment="1" applyProtection="1">
      <alignment horizontal="left"/>
      <protection hidden="1"/>
    </xf>
    <xf numFmtId="0" fontId="3" fillId="15" borderId="56" xfId="0" applyFont="1" applyFill="1" applyBorder="1" applyProtection="1">
      <protection hidden="1"/>
    </xf>
    <xf numFmtId="0" fontId="10" fillId="15" borderId="8" xfId="0" applyFont="1" applyFill="1" applyBorder="1" applyAlignment="1" applyProtection="1">
      <alignment vertical="center"/>
      <protection hidden="1"/>
    </xf>
    <xf numFmtId="0" fontId="13" fillId="15" borderId="1" xfId="0" applyFont="1" applyFill="1" applyBorder="1" applyAlignment="1" applyProtection="1">
      <alignment vertical="center"/>
      <protection hidden="1"/>
    </xf>
    <xf numFmtId="0" fontId="0" fillId="15" borderId="4" xfId="0" applyFill="1" applyBorder="1" applyAlignment="1" applyProtection="1">
      <alignment horizontal="center"/>
      <protection hidden="1"/>
    </xf>
    <xf numFmtId="0" fontId="46" fillId="15" borderId="24" xfId="0" applyFont="1" applyFill="1" applyBorder="1" applyAlignment="1" applyProtection="1">
      <alignment horizontal="left" vertical="center"/>
      <protection hidden="1"/>
    </xf>
    <xf numFmtId="0" fontId="5" fillId="15" borderId="7" xfId="0" applyFont="1" applyFill="1" applyBorder="1" applyAlignment="1" applyProtection="1">
      <alignment horizontal="center"/>
      <protection hidden="1"/>
    </xf>
    <xf numFmtId="0" fontId="0" fillId="15" borderId="1" xfId="0" applyFill="1" applyBorder="1" applyAlignment="1" applyProtection="1">
      <alignment horizontal="center"/>
      <protection hidden="1"/>
    </xf>
    <xf numFmtId="0" fontId="5" fillId="2" borderId="7" xfId="0" applyFont="1" applyFill="1" applyBorder="1" applyAlignment="1" applyProtection="1">
      <alignment horizontal="center"/>
      <protection hidden="1"/>
    </xf>
    <xf numFmtId="0" fontId="0" fillId="15" borderId="13" xfId="0" applyFill="1" applyBorder="1" applyAlignment="1" applyProtection="1">
      <alignment horizontal="center"/>
      <protection hidden="1"/>
    </xf>
    <xf numFmtId="0" fontId="131" fillId="15" borderId="0" xfId="0" applyFont="1" applyFill="1" applyAlignment="1" applyProtection="1">
      <alignment horizontal="center" vertical="center" wrapText="1"/>
      <protection hidden="1"/>
    </xf>
    <xf numFmtId="0" fontId="3" fillId="15" borderId="15" xfId="0" quotePrefix="1" applyFont="1" applyFill="1" applyBorder="1" applyAlignment="1" applyProtection="1">
      <alignment horizontal="center"/>
      <protection hidden="1"/>
    </xf>
    <xf numFmtId="37" fontId="46" fillId="14" borderId="9" xfId="0" applyNumberFormat="1" applyFont="1" applyFill="1" applyBorder="1" applyAlignment="1" applyProtection="1">
      <alignment horizontal="right"/>
      <protection hidden="1"/>
    </xf>
    <xf numFmtId="0" fontId="46" fillId="15" borderId="0" xfId="0" applyFont="1" applyFill="1" applyAlignment="1" applyProtection="1">
      <alignment horizontal="right"/>
      <protection hidden="1"/>
    </xf>
    <xf numFmtId="0" fontId="0" fillId="21" borderId="30" xfId="0" applyFill="1" applyBorder="1" applyProtection="1">
      <protection hidden="1"/>
    </xf>
    <xf numFmtId="0" fontId="0" fillId="21" borderId="8" xfId="0" applyFill="1" applyBorder="1" applyProtection="1">
      <protection hidden="1"/>
    </xf>
    <xf numFmtId="0" fontId="3" fillId="21" borderId="69" xfId="0" applyFont="1" applyFill="1" applyBorder="1" applyAlignment="1" applyProtection="1">
      <alignment horizontal="center"/>
      <protection hidden="1"/>
    </xf>
    <xf numFmtId="37" fontId="14" fillId="36" borderId="4" xfId="0" applyNumberFormat="1" applyFont="1" applyFill="1" applyBorder="1" applyAlignment="1" applyProtection="1">
      <alignment horizontal="right"/>
      <protection hidden="1"/>
    </xf>
    <xf numFmtId="37" fontId="14" fillId="21" borderId="4" xfId="0" applyNumberFormat="1" applyFont="1" applyFill="1" applyBorder="1" applyAlignment="1" applyProtection="1">
      <alignment horizontal="right"/>
      <protection hidden="1"/>
    </xf>
    <xf numFmtId="0" fontId="14" fillId="15" borderId="0" xfId="0" applyFont="1" applyFill="1" applyAlignment="1" applyProtection="1">
      <alignment vertical="center"/>
      <protection hidden="1"/>
    </xf>
    <xf numFmtId="0" fontId="10" fillId="15" borderId="16" xfId="0" applyFont="1" applyFill="1" applyBorder="1" applyAlignment="1" applyProtection="1">
      <alignment vertical="center"/>
      <protection hidden="1"/>
    </xf>
    <xf numFmtId="0" fontId="19" fillId="15" borderId="16" xfId="0" applyFont="1" applyFill="1" applyBorder="1" applyProtection="1">
      <protection hidden="1"/>
    </xf>
    <xf numFmtId="0" fontId="46" fillId="15" borderId="1" xfId="0" applyFont="1" applyFill="1" applyBorder="1" applyAlignment="1" applyProtection="1">
      <alignment vertical="center"/>
      <protection hidden="1"/>
    </xf>
    <xf numFmtId="0" fontId="3" fillId="15" borderId="4" xfId="0" applyFont="1" applyFill="1" applyBorder="1" applyAlignment="1" applyProtection="1">
      <alignment horizontal="right"/>
      <protection hidden="1"/>
    </xf>
    <xf numFmtId="0" fontId="10" fillId="15" borderId="7" xfId="0" applyFont="1" applyFill="1" applyBorder="1" applyAlignment="1" applyProtection="1">
      <alignment vertical="center"/>
      <protection hidden="1"/>
    </xf>
    <xf numFmtId="0" fontId="46" fillId="15" borderId="8" xfId="0" applyFont="1" applyFill="1" applyBorder="1" applyAlignment="1" applyProtection="1">
      <alignment horizontal="left" vertical="center"/>
      <protection hidden="1"/>
    </xf>
    <xf numFmtId="0" fontId="46" fillId="15" borderId="14" xfId="0" applyFont="1" applyFill="1" applyBorder="1" applyAlignment="1" applyProtection="1">
      <alignment horizontal="left" vertical="center"/>
      <protection hidden="1"/>
    </xf>
    <xf numFmtId="0" fontId="5" fillId="15" borderId="1" xfId="0" applyFont="1" applyFill="1" applyBorder="1" applyAlignment="1" applyProtection="1">
      <alignment horizontal="center"/>
      <protection hidden="1"/>
    </xf>
    <xf numFmtId="0" fontId="13" fillId="15" borderId="0" xfId="0" quotePrefix="1" applyFont="1" applyFill="1" applyAlignment="1" applyProtection="1">
      <alignment horizontal="center" vertical="center"/>
      <protection hidden="1"/>
    </xf>
    <xf numFmtId="0" fontId="46" fillId="15" borderId="0" xfId="0" quotePrefix="1" applyFont="1" applyFill="1" applyAlignment="1" applyProtection="1">
      <alignment horizontal="right"/>
      <protection hidden="1"/>
    </xf>
    <xf numFmtId="0" fontId="46" fillId="15" borderId="0" xfId="0" applyFont="1" applyFill="1" applyAlignment="1" applyProtection="1">
      <alignment horizontal="center"/>
      <protection hidden="1"/>
    </xf>
    <xf numFmtId="0" fontId="5" fillId="15" borderId="0" xfId="0" quotePrefix="1" applyFont="1" applyFill="1" applyAlignment="1" applyProtection="1">
      <alignment horizontal="center"/>
      <protection hidden="1"/>
    </xf>
    <xf numFmtId="0" fontId="46" fillId="15" borderId="0" xfId="0" applyFont="1" applyFill="1" applyAlignment="1" applyProtection="1">
      <alignment horizontal="center" vertical="center"/>
      <protection locked="0"/>
    </xf>
    <xf numFmtId="0" fontId="5" fillId="15" borderId="0" xfId="0" quotePrefix="1" applyFont="1" applyFill="1" applyAlignment="1" applyProtection="1">
      <alignment horizontal="center" vertical="center"/>
      <protection hidden="1"/>
    </xf>
    <xf numFmtId="0" fontId="5" fillId="15" borderId="6" xfId="0" applyFont="1" applyFill="1" applyBorder="1" applyProtection="1">
      <protection hidden="1"/>
    </xf>
    <xf numFmtId="0" fontId="131" fillId="15" borderId="4" xfId="0" applyFont="1" applyFill="1" applyBorder="1" applyAlignment="1" applyProtection="1">
      <alignment vertical="center" wrapText="1"/>
      <protection hidden="1"/>
    </xf>
    <xf numFmtId="0" fontId="131" fillId="15" borderId="4" xfId="0" applyFont="1" applyFill="1" applyBorder="1" applyAlignment="1" applyProtection="1">
      <alignment horizontal="center" vertical="center" wrapText="1"/>
      <protection hidden="1"/>
    </xf>
    <xf numFmtId="0" fontId="131" fillId="15" borderId="4" xfId="0" applyFont="1" applyFill="1" applyBorder="1" applyAlignment="1" applyProtection="1">
      <alignment horizontal="left" indent="1"/>
      <protection hidden="1"/>
    </xf>
    <xf numFmtId="0" fontId="13" fillId="15" borderId="4" xfId="0" applyFont="1" applyFill="1" applyBorder="1" applyAlignment="1" applyProtection="1">
      <alignment vertical="top"/>
      <protection hidden="1"/>
    </xf>
    <xf numFmtId="0" fontId="198" fillId="15" borderId="7" xfId="0" applyFont="1" applyFill="1" applyBorder="1" applyAlignment="1" applyProtection="1">
      <alignment horizontal="center" vertical="center"/>
      <protection hidden="1"/>
    </xf>
    <xf numFmtId="0" fontId="46" fillId="15" borderId="7" xfId="0" applyFont="1" applyFill="1" applyBorder="1" applyProtection="1">
      <protection hidden="1"/>
    </xf>
    <xf numFmtId="0" fontId="5" fillId="15" borderId="200" xfId="0" applyFont="1" applyFill="1" applyBorder="1" applyProtection="1">
      <protection hidden="1"/>
    </xf>
    <xf numFmtId="0" fontId="19" fillId="15" borderId="7" xfId="0" applyFont="1" applyFill="1" applyBorder="1" applyAlignment="1" applyProtection="1">
      <alignment vertical="center"/>
      <protection hidden="1"/>
    </xf>
    <xf numFmtId="0" fontId="46" fillId="15" borderId="11" xfId="0" applyFont="1" applyFill="1" applyBorder="1" applyAlignment="1" applyProtection="1">
      <alignment horizontal="left" vertical="center"/>
      <protection hidden="1"/>
    </xf>
    <xf numFmtId="0" fontId="46" fillId="15" borderId="3" xfId="0" applyFont="1" applyFill="1" applyBorder="1" applyAlignment="1" applyProtection="1">
      <alignment horizontal="left" vertical="center"/>
      <protection hidden="1"/>
    </xf>
    <xf numFmtId="0" fontId="46" fillId="15" borderId="9" xfId="0" applyFont="1" applyFill="1" applyBorder="1" applyAlignment="1" applyProtection="1">
      <alignment horizontal="left" vertical="center"/>
      <protection hidden="1"/>
    </xf>
    <xf numFmtId="0" fontId="46" fillId="15" borderId="1" xfId="0" applyFont="1" applyFill="1" applyBorder="1" applyAlignment="1" applyProtection="1">
      <alignment horizontal="center" vertical="center"/>
      <protection locked="0"/>
    </xf>
    <xf numFmtId="0" fontId="5" fillId="15" borderId="8" xfId="0" quotePrefix="1" applyFont="1" applyFill="1" applyBorder="1" applyAlignment="1" applyProtection="1">
      <alignment horizontal="center" vertical="center"/>
      <protection hidden="1"/>
    </xf>
    <xf numFmtId="0" fontId="7" fillId="15" borderId="39" xfId="0" applyFont="1" applyFill="1" applyBorder="1" applyAlignment="1" applyProtection="1">
      <alignment horizontal="left" vertical="center"/>
      <protection locked="0"/>
    </xf>
    <xf numFmtId="0" fontId="13" fillId="15" borderId="25" xfId="0" quotePrefix="1" applyFont="1" applyFill="1" applyBorder="1" applyAlignment="1" applyProtection="1">
      <alignment horizontal="center" vertical="center"/>
      <protection hidden="1"/>
    </xf>
    <xf numFmtId="0" fontId="46" fillId="15" borderId="25" xfId="0" applyFont="1" applyFill="1" applyBorder="1" applyAlignment="1" applyProtection="1">
      <alignment horizontal="center" vertical="center"/>
      <protection locked="0"/>
    </xf>
    <xf numFmtId="0" fontId="5" fillId="15" borderId="201" xfId="0" applyFont="1" applyFill="1" applyBorder="1" applyProtection="1">
      <protection hidden="1"/>
    </xf>
    <xf numFmtId="0" fontId="5" fillId="15" borderId="99" xfId="0" applyFont="1" applyFill="1" applyBorder="1" applyProtection="1">
      <protection hidden="1"/>
    </xf>
    <xf numFmtId="0" fontId="10" fillId="15" borderId="0" xfId="0" quotePrefix="1" applyFont="1" applyFill="1" applyAlignment="1" applyProtection="1">
      <alignment horizontal="center"/>
      <protection hidden="1"/>
    </xf>
    <xf numFmtId="0" fontId="10" fillId="15" borderId="0" xfId="0" quotePrefix="1" applyFont="1" applyFill="1" applyAlignment="1" applyProtection="1">
      <alignment horizontal="right"/>
      <protection hidden="1"/>
    </xf>
    <xf numFmtId="0" fontId="10" fillId="15" borderId="7" xfId="0" quotePrefix="1" applyFont="1" applyFill="1" applyBorder="1" applyAlignment="1" applyProtection="1">
      <alignment horizontal="center"/>
      <protection hidden="1"/>
    </xf>
    <xf numFmtId="0" fontId="13" fillId="15" borderId="4" xfId="0" applyFont="1" applyFill="1" applyBorder="1" applyAlignment="1" applyProtection="1">
      <alignment horizontal="center"/>
      <protection hidden="1"/>
    </xf>
    <xf numFmtId="0" fontId="13" fillId="15" borderId="24" xfId="0" applyFont="1" applyFill="1" applyBorder="1" applyAlignment="1" applyProtection="1">
      <alignment horizontal="left" vertical="center"/>
      <protection hidden="1"/>
    </xf>
    <xf numFmtId="0" fontId="14" fillId="15" borderId="24" xfId="0" applyFont="1" applyFill="1" applyBorder="1" applyAlignment="1" applyProtection="1">
      <alignment horizontal="right" indent="1"/>
      <protection hidden="1"/>
    </xf>
    <xf numFmtId="37" fontId="46" fillId="14" borderId="1" xfId="0" applyNumberFormat="1" applyFont="1" applyFill="1" applyBorder="1" applyAlignment="1" applyProtection="1">
      <alignment horizontal="center" vertical="center"/>
      <protection hidden="1"/>
    </xf>
    <xf numFmtId="0" fontId="244" fillId="5" borderId="0" xfId="0" applyFont="1" applyFill="1" applyAlignment="1" applyProtection="1">
      <alignment horizontal="left" vertical="center"/>
      <protection hidden="1"/>
    </xf>
    <xf numFmtId="39" fontId="5" fillId="24" borderId="0" xfId="0" applyNumberFormat="1" applyFont="1" applyFill="1" applyAlignment="1" applyProtection="1">
      <alignment vertical="top"/>
      <protection locked="0"/>
    </xf>
    <xf numFmtId="0" fontId="245" fillId="15" borderId="0" xfId="0" applyFont="1" applyFill="1" applyAlignment="1" applyProtection="1">
      <alignment vertical="top" wrapText="1"/>
      <protection hidden="1"/>
    </xf>
    <xf numFmtId="39" fontId="215" fillId="0" borderId="0" xfId="0" applyNumberFormat="1" applyFont="1" applyAlignment="1" applyProtection="1">
      <alignment horizontal="center"/>
      <protection hidden="1"/>
    </xf>
    <xf numFmtId="4" fontId="9" fillId="0" borderId="0" xfId="0" applyNumberFormat="1" applyFont="1" applyAlignment="1" applyProtection="1">
      <alignment horizontal="center"/>
      <protection hidden="1"/>
    </xf>
    <xf numFmtId="4" fontId="215" fillId="0" borderId="0" xfId="0" applyNumberFormat="1" applyFont="1" applyAlignment="1" applyProtection="1">
      <alignment horizontal="center"/>
      <protection hidden="1"/>
    </xf>
    <xf numFmtId="0" fontId="164" fillId="8" borderId="0" xfId="0" applyFont="1" applyFill="1" applyAlignment="1" applyProtection="1">
      <alignment horizontal="center"/>
      <protection hidden="1"/>
    </xf>
    <xf numFmtId="0" fontId="110" fillId="2" borderId="0" xfId="0" applyFont="1" applyFill="1" applyAlignment="1" applyProtection="1">
      <alignment horizontal="left" indent="1"/>
      <protection hidden="1"/>
    </xf>
    <xf numFmtId="0" fontId="9" fillId="2" borderId="120" xfId="0" applyFont="1" applyFill="1" applyBorder="1" applyAlignment="1" applyProtection="1">
      <alignment horizontal="left" vertical="center"/>
      <protection hidden="1"/>
    </xf>
    <xf numFmtId="0" fontId="246" fillId="15" borderId="0" xfId="0" applyFont="1" applyFill="1" applyAlignment="1" applyProtection="1">
      <alignment horizontal="center"/>
      <protection hidden="1"/>
    </xf>
    <xf numFmtId="3" fontId="246" fillId="15" borderId="0" xfId="0" applyNumberFormat="1" applyFont="1" applyFill="1" applyAlignment="1" applyProtection="1">
      <alignment horizontal="left"/>
      <protection hidden="1"/>
    </xf>
    <xf numFmtId="0" fontId="7" fillId="3" borderId="0" xfId="0" applyFont="1" applyFill="1" applyAlignment="1" applyProtection="1">
      <alignment horizontal="right"/>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0" fillId="15" borderId="0" xfId="0" applyFill="1" applyAlignment="1">
      <alignment vertical="center" wrapText="1"/>
    </xf>
    <xf numFmtId="0" fontId="3" fillId="0" borderId="203" xfId="0" applyFont="1" applyBorder="1" applyAlignment="1">
      <alignment horizontal="center"/>
    </xf>
    <xf numFmtId="0" fontId="3" fillId="0" borderId="79" xfId="0" applyFont="1" applyBorder="1" applyAlignment="1">
      <alignment horizontal="center"/>
    </xf>
    <xf numFmtId="182" fontId="0" fillId="0" borderId="202" xfId="0" applyNumberFormat="1" applyBorder="1" applyAlignment="1">
      <alignment horizontal="center"/>
    </xf>
    <xf numFmtId="182" fontId="0" fillId="0" borderId="78" xfId="0" applyNumberFormat="1" applyBorder="1" applyAlignment="1">
      <alignment horizontal="center"/>
    </xf>
    <xf numFmtId="182" fontId="5" fillId="0" borderId="202" xfId="0" applyNumberFormat="1" applyFont="1" applyBorder="1" applyAlignment="1">
      <alignment horizontal="center"/>
    </xf>
    <xf numFmtId="182" fontId="5" fillId="0" borderId="78" xfId="0" applyNumberFormat="1" applyFont="1" applyBorder="1" applyAlignment="1">
      <alignment horizontal="center"/>
    </xf>
    <xf numFmtId="182" fontId="0" fillId="0" borderId="6" xfId="0" applyNumberFormat="1" applyBorder="1" applyAlignment="1">
      <alignment horizontal="center"/>
    </xf>
    <xf numFmtId="182" fontId="5" fillId="0" borderId="6" xfId="0" applyNumberFormat="1" applyFont="1" applyBorder="1" applyAlignment="1">
      <alignment horizontal="center"/>
    </xf>
    <xf numFmtId="0" fontId="3" fillId="0" borderId="23" xfId="0" applyFont="1" applyBorder="1" applyAlignment="1">
      <alignment horizontal="center"/>
    </xf>
    <xf numFmtId="0" fontId="3" fillId="0" borderId="204" xfId="0" applyFont="1" applyBorder="1" applyAlignment="1">
      <alignment horizontal="center"/>
    </xf>
    <xf numFmtId="0" fontId="3" fillId="0" borderId="205" xfId="0" applyFont="1" applyBorder="1" applyAlignment="1">
      <alignment horizontal="center"/>
    </xf>
    <xf numFmtId="0" fontId="3" fillId="0" borderId="21" xfId="0" applyFont="1" applyBorder="1" applyAlignment="1">
      <alignment horizontal="center"/>
    </xf>
    <xf numFmtId="182" fontId="0" fillId="0" borderId="5" xfId="0" applyNumberFormat="1" applyBorder="1" applyAlignment="1">
      <alignment horizontal="center"/>
    </xf>
    <xf numFmtId="182" fontId="0" fillId="0" borderId="20" xfId="0" applyNumberFormat="1" applyBorder="1" applyAlignment="1">
      <alignment horizontal="center"/>
    </xf>
    <xf numFmtId="182" fontId="5" fillId="0" borderId="5" xfId="0" applyNumberFormat="1" applyFont="1" applyBorder="1" applyAlignment="1">
      <alignment horizontal="right" indent="1"/>
    </xf>
    <xf numFmtId="182" fontId="5" fillId="0" borderId="20" xfId="0" applyNumberFormat="1" applyFont="1" applyBorder="1" applyAlignment="1">
      <alignment horizontal="center"/>
    </xf>
    <xf numFmtId="182" fontId="0" fillId="0" borderId="21" xfId="0" applyNumberFormat="1" applyBorder="1" applyAlignment="1">
      <alignment horizontal="center"/>
    </xf>
    <xf numFmtId="0" fontId="48" fillId="9" borderId="25" xfId="0" applyFont="1" applyFill="1" applyBorder="1" applyAlignment="1" applyProtection="1">
      <alignment horizontal="center" vertical="center"/>
      <protection hidden="1"/>
    </xf>
    <xf numFmtId="0" fontId="8" fillId="3" borderId="7" xfId="0" applyFont="1" applyFill="1" applyBorder="1" applyAlignment="1" applyProtection="1">
      <alignment vertical="top"/>
      <protection hidden="1"/>
    </xf>
    <xf numFmtId="4" fontId="9" fillId="3" borderId="7" xfId="0" applyNumberFormat="1" applyFont="1" applyFill="1" applyBorder="1" applyAlignment="1" applyProtection="1">
      <alignment horizontal="right" vertical="top"/>
      <protection hidden="1"/>
    </xf>
    <xf numFmtId="4" fontId="7" fillId="3" borderId="7" xfId="0" applyNumberFormat="1" applyFont="1" applyFill="1" applyBorder="1" applyAlignment="1" applyProtection="1">
      <alignment horizontal="right" vertical="top"/>
      <protection hidden="1"/>
    </xf>
    <xf numFmtId="165" fontId="8" fillId="16" borderId="25" xfId="0" applyNumberFormat="1" applyFont="1" applyFill="1" applyBorder="1" applyAlignment="1" applyProtection="1">
      <alignment horizontal="center"/>
      <protection locked="0"/>
    </xf>
    <xf numFmtId="0" fontId="7" fillId="2" borderId="3" xfId="0" applyFont="1" applyFill="1" applyBorder="1" applyProtection="1">
      <protection hidden="1"/>
    </xf>
    <xf numFmtId="0" fontId="7" fillId="2" borderId="30" xfId="0" applyFont="1" applyFill="1" applyBorder="1" applyProtection="1">
      <protection hidden="1"/>
    </xf>
    <xf numFmtId="37" fontId="3" fillId="15" borderId="3" xfId="0" applyNumberFormat="1" applyFont="1" applyFill="1" applyBorder="1" applyAlignment="1" applyProtection="1">
      <alignment horizontal="right"/>
      <protection hidden="1"/>
    </xf>
    <xf numFmtId="0" fontId="7" fillId="15" borderId="0" xfId="0" applyFont="1" applyFill="1" applyAlignment="1">
      <alignment horizontal="left" vertical="center"/>
    </xf>
    <xf numFmtId="49" fontId="90" fillId="15" borderId="0" xfId="0" applyNumberFormat="1" applyFont="1" applyFill="1" applyAlignment="1" applyProtection="1">
      <alignment horizontal="center" vertical="top" wrapText="1"/>
      <protection hidden="1"/>
    </xf>
    <xf numFmtId="0" fontId="3" fillId="2" borderId="0" xfId="0" applyFont="1" applyFill="1" applyAlignment="1" applyProtection="1">
      <alignment horizontal="left" vertical="center"/>
      <protection hidden="1"/>
    </xf>
    <xf numFmtId="0" fontId="159" fillId="15" borderId="0" xfId="0" applyFont="1" applyFill="1" applyAlignment="1" applyProtection="1">
      <alignment vertical="center"/>
      <protection hidden="1"/>
    </xf>
    <xf numFmtId="0" fontId="3" fillId="16" borderId="10" xfId="0" applyFont="1" applyFill="1" applyBorder="1" applyAlignment="1" applyProtection="1">
      <alignment horizontal="center" vertical="center"/>
      <protection locked="0"/>
    </xf>
    <xf numFmtId="0" fontId="7" fillId="18" borderId="25" xfId="0" applyFont="1" applyFill="1" applyBorder="1" applyAlignment="1" applyProtection="1">
      <alignment vertical="top"/>
      <protection hidden="1"/>
    </xf>
    <xf numFmtId="168" fontId="9" fillId="2" borderId="0" xfId="0" applyNumberFormat="1" applyFont="1" applyFill="1" applyAlignment="1" applyProtection="1">
      <alignment horizontal="left"/>
      <protection hidden="1"/>
    </xf>
    <xf numFmtId="0" fontId="3" fillId="16" borderId="207" xfId="0" applyFont="1" applyFill="1" applyBorder="1" applyAlignment="1" applyProtection="1">
      <alignment horizontal="center" vertical="center"/>
      <protection locked="0"/>
    </xf>
    <xf numFmtId="0" fontId="10" fillId="27" borderId="201" xfId="0" applyFont="1" applyFill="1" applyBorder="1" applyAlignment="1" applyProtection="1">
      <alignment horizontal="center" vertical="center"/>
      <protection hidden="1"/>
    </xf>
    <xf numFmtId="0" fontId="112" fillId="27" borderId="99" xfId="0" applyFont="1" applyFill="1" applyBorder="1" applyAlignment="1" applyProtection="1">
      <alignment horizontal="center" vertical="center"/>
      <protection hidden="1"/>
    </xf>
    <xf numFmtId="0" fontId="10" fillId="27" borderId="99" xfId="0" applyFont="1" applyFill="1" applyBorder="1" applyAlignment="1" applyProtection="1">
      <alignment horizontal="center" vertical="center"/>
      <protection hidden="1"/>
    </xf>
    <xf numFmtId="0" fontId="19" fillId="27" borderId="99" xfId="0" applyFont="1" applyFill="1" applyBorder="1" applyAlignment="1" applyProtection="1">
      <alignment horizontal="center" vertical="center"/>
      <protection hidden="1"/>
    </xf>
    <xf numFmtId="0" fontId="3" fillId="15" borderId="8" xfId="0" applyFont="1" applyFill="1" applyBorder="1" applyAlignment="1" applyProtection="1">
      <alignment horizontal="right"/>
      <protection hidden="1"/>
    </xf>
    <xf numFmtId="0" fontId="3" fillId="15" borderId="8" xfId="0" applyFont="1" applyFill="1" applyBorder="1" applyAlignment="1" applyProtection="1">
      <alignment horizontal="left"/>
      <protection hidden="1"/>
    </xf>
    <xf numFmtId="0" fontId="3" fillId="15" borderId="1" xfId="0" applyFont="1" applyFill="1" applyBorder="1" applyProtection="1">
      <protection hidden="1"/>
    </xf>
    <xf numFmtId="37" fontId="3" fillId="15" borderId="30" xfId="0" applyNumberFormat="1" applyFont="1" applyFill="1" applyBorder="1" applyAlignment="1" applyProtection="1">
      <alignment horizontal="right"/>
      <protection hidden="1"/>
    </xf>
    <xf numFmtId="37" fontId="3" fillId="15" borderId="8"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9" fillId="2" borderId="7" xfId="0" applyFont="1" applyFill="1" applyBorder="1" applyProtection="1">
      <protection hidden="1"/>
    </xf>
    <xf numFmtId="6" fontId="102" fillId="2" borderId="0" xfId="0" applyNumberFormat="1" applyFont="1" applyFill="1" applyAlignment="1" applyProtection="1">
      <alignment horizontal="center" vertical="center"/>
      <protection hidden="1"/>
    </xf>
    <xf numFmtId="37" fontId="8" fillId="16" borderId="3" xfId="0" applyNumberFormat="1" applyFont="1" applyFill="1" applyBorder="1" applyProtection="1">
      <protection locked="0"/>
    </xf>
    <xf numFmtId="37" fontId="8" fillId="16" borderId="0" xfId="0" applyNumberFormat="1" applyFont="1" applyFill="1" applyProtection="1">
      <protection locked="0"/>
    </xf>
    <xf numFmtId="37" fontId="3" fillId="16" borderId="0" xfId="0" applyNumberFormat="1" applyFont="1" applyFill="1" applyProtection="1">
      <protection locked="0"/>
    </xf>
    <xf numFmtId="0" fontId="5" fillId="2" borderId="26" xfId="0" applyFont="1" applyFill="1" applyBorder="1" applyProtection="1">
      <protection hidden="1"/>
    </xf>
    <xf numFmtId="0" fontId="5" fillId="2" borderId="5" xfId="0" applyFont="1" applyFill="1" applyBorder="1" applyProtection="1">
      <protection hidden="1"/>
    </xf>
    <xf numFmtId="0" fontId="7" fillId="15" borderId="1" xfId="0" applyFont="1" applyFill="1" applyBorder="1" applyAlignment="1" applyProtection="1">
      <alignment horizontal="left" vertical="top"/>
      <protection hidden="1"/>
    </xf>
    <xf numFmtId="1" fontId="0" fillId="10" borderId="15" xfId="0" applyNumberFormat="1" applyFill="1" applyBorder="1" applyAlignment="1" applyProtection="1">
      <alignment vertical="center"/>
      <protection hidden="1"/>
    </xf>
    <xf numFmtId="1" fontId="0" fillId="10" borderId="10" xfId="0" applyNumberFormat="1" applyFill="1" applyBorder="1" applyAlignment="1" applyProtection="1">
      <alignment vertical="center"/>
      <protection hidden="1"/>
    </xf>
    <xf numFmtId="1" fontId="3" fillId="19" borderId="28" xfId="0" applyNumberFormat="1" applyFont="1" applyFill="1" applyBorder="1" applyAlignment="1" applyProtection="1">
      <alignment horizontal="center" vertical="center"/>
      <protection hidden="1"/>
    </xf>
    <xf numFmtId="0" fontId="8" fillId="0" borderId="0" xfId="0" applyFont="1"/>
    <xf numFmtId="0" fontId="10" fillId="15" borderId="6" xfId="0" applyFont="1" applyFill="1" applyBorder="1" applyAlignment="1" applyProtection="1">
      <alignment horizontal="center"/>
      <protection hidden="1"/>
    </xf>
    <xf numFmtId="0" fontId="10" fillId="15" borderId="12" xfId="0" applyFont="1" applyFill="1" applyBorder="1" applyAlignment="1" applyProtection="1">
      <alignment horizontal="center"/>
      <protection hidden="1"/>
    </xf>
    <xf numFmtId="0" fontId="13" fillId="23" borderId="6" xfId="0" applyFont="1" applyFill="1" applyBorder="1" applyProtection="1">
      <protection hidden="1"/>
    </xf>
    <xf numFmtId="0" fontId="10" fillId="15" borderId="10" xfId="0" applyFont="1" applyFill="1" applyBorder="1" applyAlignment="1" applyProtection="1">
      <alignment horizontal="center"/>
      <protection hidden="1"/>
    </xf>
    <xf numFmtId="0" fontId="10" fillId="15" borderId="15" xfId="0" applyFont="1" applyFill="1" applyBorder="1" applyAlignment="1" applyProtection="1">
      <alignment horizontal="center"/>
      <protection hidden="1"/>
    </xf>
    <xf numFmtId="18" fontId="10" fillId="15" borderId="0" xfId="0" applyNumberFormat="1" applyFont="1" applyFill="1" applyAlignment="1" applyProtection="1">
      <alignment horizontal="center"/>
      <protection hidden="1"/>
    </xf>
    <xf numFmtId="0" fontId="19" fillId="15" borderId="1" xfId="0" applyFont="1" applyFill="1" applyBorder="1" applyAlignment="1" applyProtection="1">
      <alignment horizontal="left" vertical="center"/>
      <protection hidden="1"/>
    </xf>
    <xf numFmtId="0" fontId="19" fillId="15" borderId="25" xfId="0" applyFont="1" applyFill="1" applyBorder="1" applyAlignment="1" applyProtection="1">
      <alignment horizontal="left" vertical="center"/>
      <protection hidden="1"/>
    </xf>
    <xf numFmtId="0" fontId="8" fillId="3" borderId="0" xfId="0" applyFont="1" applyFill="1" applyAlignment="1" applyProtection="1">
      <alignment horizontal="center" vertical="center"/>
      <protection hidden="1"/>
    </xf>
    <xf numFmtId="0" fontId="117" fillId="3" borderId="3" xfId="0" applyFont="1" applyFill="1" applyBorder="1" applyAlignment="1" applyProtection="1">
      <alignment wrapText="1"/>
      <protection hidden="1"/>
    </xf>
    <xf numFmtId="0" fontId="5" fillId="15" borderId="3" xfId="0" applyFont="1" applyFill="1" applyBorder="1" applyAlignment="1" applyProtection="1">
      <alignment horizontal="center"/>
      <protection hidden="1"/>
    </xf>
    <xf numFmtId="37" fontId="116" fillId="3" borderId="3" xfId="0" applyNumberFormat="1" applyFont="1" applyFill="1" applyBorder="1" applyProtection="1">
      <protection hidden="1"/>
    </xf>
    <xf numFmtId="0" fontId="3" fillId="19"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19" borderId="0" xfId="0" applyFont="1" applyFill="1" applyAlignment="1">
      <alignment horizontal="center" vertical="top"/>
    </xf>
    <xf numFmtId="0" fontId="5" fillId="3" borderId="8" xfId="0" applyFont="1" applyFill="1" applyBorder="1" applyProtection="1">
      <protection hidden="1"/>
    </xf>
    <xf numFmtId="0" fontId="5" fillId="3" borderId="4" xfId="0" applyFont="1" applyFill="1" applyBorder="1" applyAlignment="1" applyProtection="1">
      <alignment vertical="center"/>
      <protection hidden="1"/>
    </xf>
    <xf numFmtId="0" fontId="8" fillId="2" borderId="0" xfId="0" applyFont="1" applyFill="1"/>
    <xf numFmtId="0" fontId="7" fillId="15" borderId="5" xfId="0" applyFont="1" applyFill="1" applyBorder="1" applyAlignment="1" applyProtection="1">
      <alignment horizontal="left" indent="1"/>
      <protection hidden="1"/>
    </xf>
    <xf numFmtId="0" fontId="43"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3" fillId="3" borderId="25" xfId="0" applyFont="1" applyFill="1" applyBorder="1" applyProtection="1">
      <protection hidden="1"/>
    </xf>
    <xf numFmtId="39" fontId="3" fillId="3" borderId="0" xfId="0" applyNumberFormat="1" applyFont="1" applyFill="1" applyProtection="1">
      <protection hidden="1"/>
    </xf>
    <xf numFmtId="0" fontId="3" fillId="7" borderId="6" xfId="0" applyFont="1" applyFill="1" applyBorder="1" applyAlignment="1" applyProtection="1">
      <alignment horizontal="center"/>
      <protection hidden="1"/>
    </xf>
    <xf numFmtId="0" fontId="3" fillId="3" borderId="28" xfId="0" applyFont="1" applyFill="1" applyBorder="1" applyAlignment="1" applyProtection="1">
      <alignment horizontal="center"/>
      <protection hidden="1"/>
    </xf>
    <xf numFmtId="0" fontId="3" fillId="3" borderId="51" xfId="0" applyFont="1" applyFill="1" applyBorder="1" applyAlignment="1" applyProtection="1">
      <alignment horizontal="center"/>
      <protection hidden="1"/>
    </xf>
    <xf numFmtId="0" fontId="3" fillId="3" borderId="5" xfId="0" applyFont="1" applyFill="1" applyBorder="1" applyAlignment="1" applyProtection="1">
      <alignment horizontal="right"/>
      <protection hidden="1"/>
    </xf>
    <xf numFmtId="0" fontId="3" fillId="3" borderId="21" xfId="0" applyFont="1" applyFill="1" applyBorder="1" applyAlignment="1" applyProtection="1">
      <alignment horizontal="right"/>
      <protection hidden="1"/>
    </xf>
    <xf numFmtId="0" fontId="3" fillId="3" borderId="4" xfId="0" applyFont="1" applyFill="1" applyBorder="1" applyAlignment="1" applyProtection="1">
      <alignment horizontal="left"/>
      <protection hidden="1"/>
    </xf>
    <xf numFmtId="39" fontId="3" fillId="3" borderId="4"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14" fillId="3" borderId="0" xfId="0" applyFont="1" applyFill="1" applyAlignment="1" applyProtection="1">
      <alignment horizontal="left"/>
      <protection hidden="1"/>
    </xf>
    <xf numFmtId="39" fontId="117" fillId="3" borderId="30" xfId="0" applyNumberFormat="1" applyFont="1" applyFill="1" applyBorder="1" applyAlignment="1" applyProtection="1">
      <alignment wrapText="1"/>
      <protection hidden="1"/>
    </xf>
    <xf numFmtId="0" fontId="117" fillId="3" borderId="8"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9" fillId="15" borderId="154" xfId="0" applyFont="1" applyFill="1" applyBorder="1"/>
    <xf numFmtId="176" fontId="139" fillId="29" borderId="0" xfId="0" applyNumberFormat="1" applyFont="1" applyFill="1" applyAlignment="1" applyProtection="1">
      <alignment horizontal="right"/>
      <protection hidden="1"/>
    </xf>
    <xf numFmtId="0" fontId="46" fillId="15" borderId="4" xfId="0" applyFont="1" applyFill="1" applyBorder="1" applyAlignment="1" applyProtection="1">
      <alignment horizontal="left" vertical="center"/>
      <protection hidden="1"/>
    </xf>
    <xf numFmtId="0" fontId="19" fillId="15" borderId="25" xfId="0" applyFont="1" applyFill="1" applyBorder="1" applyProtection="1">
      <protection hidden="1"/>
    </xf>
    <xf numFmtId="0" fontId="111" fillId="5"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3" xfId="0" quotePrefix="1" applyFont="1" applyBorder="1" applyAlignment="1">
      <alignment horizontal="right" indent="1"/>
    </xf>
    <xf numFmtId="0" fontId="3" fillId="0" borderId="171" xfId="0" applyFont="1" applyBorder="1"/>
    <xf numFmtId="39" fontId="5" fillId="24" borderId="1" xfId="0" applyNumberFormat="1" applyFont="1" applyFill="1" applyBorder="1" applyAlignment="1" applyProtection="1">
      <alignment horizontal="center"/>
      <protection locked="0"/>
    </xf>
    <xf numFmtId="0" fontId="3" fillId="3" borderId="9" xfId="0" applyFont="1" applyFill="1" applyBorder="1" applyAlignment="1" applyProtection="1">
      <alignment horizontal="right"/>
      <protection hidden="1"/>
    </xf>
    <xf numFmtId="39" fontId="3" fillId="3" borderId="10"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7" xfId="0" applyFont="1" applyFill="1" applyBorder="1" applyAlignment="1" applyProtection="1">
      <alignment vertical="top"/>
      <protection hidden="1"/>
    </xf>
    <xf numFmtId="4" fontId="7" fillId="3" borderId="7"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5" xfId="0" applyNumberFormat="1" applyFont="1" applyFill="1" applyBorder="1" applyProtection="1">
      <protection hidden="1"/>
    </xf>
    <xf numFmtId="39" fontId="5" fillId="22" borderId="15" xfId="0" applyNumberFormat="1" applyFont="1" applyFill="1" applyBorder="1" applyProtection="1">
      <protection hidden="1"/>
    </xf>
    <xf numFmtId="39" fontId="5" fillId="22" borderId="6" xfId="0" applyNumberFormat="1" applyFont="1" applyFill="1" applyBorder="1" applyProtection="1">
      <protection hidden="1"/>
    </xf>
    <xf numFmtId="1" fontId="3" fillId="3" borderId="10" xfId="0" applyNumberFormat="1" applyFont="1" applyFill="1" applyBorder="1" applyAlignment="1" applyProtection="1">
      <alignment horizontal="right"/>
      <protection hidden="1"/>
    </xf>
    <xf numFmtId="39" fontId="3" fillId="3" borderId="6"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3" xfId="0" applyFont="1" applyFill="1" applyBorder="1" applyProtection="1">
      <protection hidden="1"/>
    </xf>
    <xf numFmtId="39" fontId="46" fillId="3" borderId="13" xfId="0" applyNumberFormat="1" applyFont="1" applyFill="1" applyBorder="1" applyProtection="1">
      <protection hidden="1"/>
    </xf>
    <xf numFmtId="0" fontId="11" fillId="3" borderId="30" xfId="0" applyFont="1" applyFill="1" applyBorder="1" applyProtection="1">
      <protection hidden="1"/>
    </xf>
    <xf numFmtId="176" fontId="11" fillId="26" borderId="12" xfId="0" applyNumberFormat="1" applyFont="1" applyFill="1" applyBorder="1" applyAlignment="1" applyProtection="1">
      <alignment horizontal="center"/>
      <protection hidden="1"/>
    </xf>
    <xf numFmtId="0" fontId="5" fillId="2" borderId="1" xfId="0" applyFont="1" applyFill="1" applyBorder="1" applyAlignment="1" applyProtection="1">
      <alignment vertical="center"/>
      <protection hidden="1"/>
    </xf>
    <xf numFmtId="0" fontId="19" fillId="2" borderId="1" xfId="0" applyFont="1" applyFill="1" applyBorder="1" applyAlignment="1" applyProtection="1">
      <alignment horizontal="left" vertical="center" indent="2"/>
      <protection hidden="1"/>
    </xf>
    <xf numFmtId="0" fontId="19" fillId="2" borderId="0" xfId="0" applyFont="1" applyFill="1" applyAlignment="1" applyProtection="1">
      <alignment horizontal="left" vertical="center" indent="2"/>
      <protection hidden="1"/>
    </xf>
    <xf numFmtId="0" fontId="73" fillId="15" borderId="0" xfId="0" applyFont="1" applyFill="1" applyAlignment="1" applyProtection="1">
      <alignment horizontal="center" vertical="center"/>
      <protection hidden="1"/>
    </xf>
    <xf numFmtId="0" fontId="3" fillId="2" borderId="4" xfId="0" applyFont="1" applyFill="1" applyBorder="1" applyAlignment="1" applyProtection="1">
      <alignment horizontal="right" vertical="center"/>
      <protection hidden="1"/>
    </xf>
    <xf numFmtId="0" fontId="3" fillId="2" borderId="9" xfId="0" applyFont="1" applyFill="1" applyBorder="1" applyAlignment="1" applyProtection="1">
      <alignment horizontal="center"/>
      <protection hidden="1"/>
    </xf>
    <xf numFmtId="37" fontId="0" fillId="15" borderId="0" xfId="0" applyNumberFormat="1" applyFill="1" applyAlignment="1" applyProtection="1">
      <alignment horizontal="right" vertical="center"/>
      <protection locked="0"/>
    </xf>
    <xf numFmtId="0" fontId="3" fillId="2" borderId="4" xfId="0" applyFont="1" applyFill="1" applyBorder="1" applyAlignment="1" applyProtection="1">
      <alignment vertical="top"/>
      <protection hidden="1"/>
    </xf>
    <xf numFmtId="0" fontId="3" fillId="2" borderId="51" xfId="0" applyFont="1" applyFill="1" applyBorder="1" applyAlignment="1" applyProtection="1">
      <alignment horizontal="center"/>
      <protection hidden="1"/>
    </xf>
    <xf numFmtId="173" fontId="7" fillId="15" borderId="0" xfId="0" applyNumberFormat="1" applyFont="1" applyFill="1" applyAlignment="1" applyProtection="1">
      <alignment vertical="center"/>
      <protection locked="0"/>
    </xf>
    <xf numFmtId="0" fontId="3" fillId="2" borderId="69" xfId="0" applyFont="1" applyFill="1" applyBorder="1" applyAlignment="1" applyProtection="1">
      <alignment horizontal="center"/>
      <protection hidden="1"/>
    </xf>
    <xf numFmtId="37" fontId="7" fillId="15" borderId="0" xfId="0" applyNumberFormat="1" applyFont="1" applyFill="1" applyAlignment="1" applyProtection="1">
      <alignment vertical="center"/>
      <protection locked="0"/>
    </xf>
    <xf numFmtId="37" fontId="7" fillId="15" borderId="0" xfId="0" applyNumberFormat="1" applyFont="1" applyFill="1" applyAlignment="1" applyProtection="1">
      <alignment horizontal="right" vertical="center"/>
      <protection locked="0"/>
    </xf>
    <xf numFmtId="0" fontId="234" fillId="15" borderId="0" xfId="0" applyFont="1" applyFill="1" applyAlignment="1">
      <alignment horizontal="center" vertical="center"/>
    </xf>
    <xf numFmtId="0" fontId="5" fillId="2" borderId="5" xfId="0" applyFont="1" applyFill="1" applyBorder="1" applyAlignment="1" applyProtection="1">
      <alignment wrapText="1"/>
      <protection hidden="1"/>
    </xf>
    <xf numFmtId="0" fontId="5" fillId="2" borderId="21" xfId="0" applyFont="1" applyFill="1" applyBorder="1" applyAlignment="1" applyProtection="1">
      <alignment wrapText="1"/>
      <protection hidden="1"/>
    </xf>
    <xf numFmtId="3" fontId="0" fillId="15" borderId="0" xfId="0" applyNumberFormat="1" applyFill="1"/>
    <xf numFmtId="37" fontId="5" fillId="15" borderId="0" xfId="0" applyNumberFormat="1" applyFont="1" applyFill="1"/>
    <xf numFmtId="37" fontId="0" fillId="15" borderId="4" xfId="0" applyNumberFormat="1" applyFill="1" applyBorder="1"/>
    <xf numFmtId="37" fontId="9" fillId="15" borderId="0" xfId="0" applyNumberFormat="1" applyFont="1" applyFill="1" applyAlignment="1" applyProtection="1">
      <alignment vertical="center"/>
      <protection locked="0"/>
    </xf>
    <xf numFmtId="0" fontId="5" fillId="15" borderId="0" xfId="0" applyFont="1" applyFill="1" applyAlignment="1">
      <alignment vertical="center" wrapText="1"/>
    </xf>
    <xf numFmtId="37" fontId="0" fillId="15" borderId="7" xfId="0" applyNumberFormat="1" applyFill="1" applyBorder="1"/>
    <xf numFmtId="173" fontId="116" fillId="15" borderId="0" xfId="0" applyNumberFormat="1" applyFont="1" applyFill="1" applyAlignment="1" applyProtection="1">
      <alignment horizontal="right" vertical="center"/>
      <protection locked="0"/>
    </xf>
    <xf numFmtId="0" fontId="0" fillId="15" borderId="3" xfId="0" applyFill="1" applyBorder="1" applyAlignment="1" applyProtection="1">
      <alignment wrapText="1"/>
      <protection hidden="1"/>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3" fillId="15" borderId="0" xfId="0" applyFont="1" applyFill="1" applyAlignment="1" applyProtection="1">
      <alignment horizontal="center" wrapText="1"/>
      <protection hidden="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5" fillId="15" borderId="23" xfId="0" applyFont="1" applyFill="1" applyBorder="1"/>
    <xf numFmtId="0" fontId="5" fillId="15" borderId="21" xfId="0" applyFont="1" applyFill="1" applyBorder="1"/>
    <xf numFmtId="0" fontId="110" fillId="15" borderId="0" xfId="0" applyFont="1" applyFill="1" applyAlignment="1">
      <alignment vertical="center" wrapText="1"/>
    </xf>
    <xf numFmtId="0" fontId="208" fillId="8" borderId="0" xfId="0" applyFont="1" applyFill="1" applyAlignment="1" applyProtection="1">
      <alignment horizontal="center"/>
      <protection hidden="1"/>
    </xf>
    <xf numFmtId="0" fontId="14" fillId="16" borderId="12" xfId="0" applyFont="1" applyFill="1" applyBorder="1" applyAlignment="1" applyProtection="1">
      <alignment horizontal="center" vertical="center"/>
      <protection locked="0" hidden="1"/>
    </xf>
    <xf numFmtId="0" fontId="3" fillId="2" borderId="28" xfId="0" applyFont="1" applyFill="1" applyBorder="1" applyAlignment="1" applyProtection="1">
      <alignment horizontal="center"/>
      <protection hidden="1"/>
    </xf>
    <xf numFmtId="0" fontId="0" fillId="2" borderId="15" xfId="0" applyFill="1" applyBorder="1" applyAlignment="1" applyProtection="1">
      <alignment vertical="center"/>
      <protection hidden="1"/>
    </xf>
    <xf numFmtId="0" fontId="234" fillId="8" borderId="0" xfId="0" applyFont="1" applyFill="1" applyAlignment="1" applyProtection="1">
      <alignment horizontal="center" vertical="center"/>
      <protection hidden="1"/>
    </xf>
    <xf numFmtId="0" fontId="5" fillId="15" borderId="23" xfId="0" applyFont="1" applyFill="1" applyBorder="1" applyAlignment="1">
      <alignment vertical="center"/>
    </xf>
    <xf numFmtId="0" fontId="0" fillId="15" borderId="7" xfId="0" applyFill="1" applyBorder="1" applyAlignment="1">
      <alignment vertical="center"/>
    </xf>
    <xf numFmtId="0" fontId="0" fillId="15" borderId="19" xfId="0" applyFill="1" applyBorder="1" applyAlignment="1">
      <alignment vertical="center"/>
    </xf>
    <xf numFmtId="37" fontId="5" fillId="15" borderId="0" xfId="0" applyNumberFormat="1" applyFont="1" applyFill="1" applyAlignment="1">
      <alignment horizontal="right"/>
    </xf>
    <xf numFmtId="37" fontId="5" fillId="0" borderId="110" xfId="0" applyNumberFormat="1" applyFont="1" applyBorder="1"/>
    <xf numFmtId="37" fontId="5" fillId="15" borderId="0" xfId="0" applyNumberFormat="1" applyFont="1" applyFill="1" applyAlignment="1" applyProtection="1">
      <alignment vertical="top"/>
      <protection hidden="1"/>
    </xf>
    <xf numFmtId="0" fontId="247" fillId="23" borderId="0" xfId="0" applyFont="1" applyFill="1" applyProtection="1">
      <protection hidden="1"/>
    </xf>
    <xf numFmtId="0" fontId="115" fillId="15" borderId="0" xfId="0" applyFont="1" applyFill="1" applyAlignment="1">
      <alignment vertical="center"/>
    </xf>
    <xf numFmtId="0" fontId="229" fillId="23" borderId="0" xfId="0" applyFont="1" applyFill="1" applyAlignment="1" applyProtection="1">
      <alignment vertical="center"/>
      <protection hidden="1"/>
    </xf>
    <xf numFmtId="0" fontId="0" fillId="15" borderId="3" xfId="0" applyFill="1" applyBorder="1" applyAlignment="1" applyProtection="1">
      <alignment vertical="center"/>
      <protection hidden="1"/>
    </xf>
    <xf numFmtId="0" fontId="0" fillId="15" borderId="24" xfId="0" applyFill="1" applyBorder="1" applyAlignment="1" applyProtection="1">
      <alignment vertical="center"/>
      <protection hidden="1"/>
    </xf>
    <xf numFmtId="0" fontId="14" fillId="15" borderId="0" xfId="0" applyFont="1" applyFill="1" applyAlignment="1" applyProtection="1">
      <alignment horizontal="right" vertical="top"/>
      <protection hidden="1"/>
    </xf>
    <xf numFmtId="0" fontId="0" fillId="15" borderId="3" xfId="0" applyFill="1" applyBorder="1" applyAlignment="1" applyProtection="1">
      <alignment vertical="top"/>
      <protection hidden="1"/>
    </xf>
    <xf numFmtId="14" fontId="0" fillId="15" borderId="21" xfId="0" applyNumberFormat="1" applyFill="1" applyBorder="1" applyAlignment="1" applyProtection="1">
      <alignment vertical="top"/>
      <protection hidden="1"/>
    </xf>
    <xf numFmtId="37" fontId="0" fillId="15" borderId="4" xfId="0" applyNumberFormat="1" applyFill="1" applyBorder="1" applyAlignment="1" applyProtection="1">
      <alignment vertical="top"/>
      <protection hidden="1"/>
    </xf>
    <xf numFmtId="37" fontId="0" fillId="15" borderId="22" xfId="0" applyNumberFormat="1" applyFill="1" applyBorder="1" applyAlignment="1" applyProtection="1">
      <alignment vertical="top"/>
      <protection hidden="1"/>
    </xf>
    <xf numFmtId="3" fontId="109" fillId="15" borderId="0" xfId="0" applyNumberFormat="1" applyFont="1" applyFill="1" applyAlignment="1" applyProtection="1">
      <alignment wrapText="1"/>
      <protection hidden="1"/>
    </xf>
    <xf numFmtId="0" fontId="147" fillId="15" borderId="0" xfId="0" applyFont="1" applyFill="1" applyProtection="1">
      <protection hidden="1"/>
    </xf>
    <xf numFmtId="3" fontId="147" fillId="15" borderId="0" xfId="0" applyNumberFormat="1" applyFont="1" applyFill="1" applyAlignment="1" applyProtection="1">
      <alignment wrapText="1"/>
      <protection hidden="1"/>
    </xf>
    <xf numFmtId="0" fontId="7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4" borderId="6" xfId="0" applyFill="1" applyBorder="1" applyAlignment="1" applyProtection="1">
      <alignment horizontal="center"/>
      <protection hidden="1"/>
    </xf>
    <xf numFmtId="0" fontId="14" fillId="28" borderId="1" xfId="0" quotePrefix="1" applyFont="1" applyFill="1" applyBorder="1" applyProtection="1">
      <protection hidden="1"/>
    </xf>
    <xf numFmtId="0" fontId="48" fillId="9" borderId="25" xfId="0" applyFont="1" applyFill="1" applyBorder="1" applyAlignment="1" applyProtection="1">
      <alignment horizontal="center"/>
      <protection hidden="1"/>
    </xf>
    <xf numFmtId="0" fontId="124" fillId="31" borderId="8" xfId="0" applyFont="1" applyFill="1" applyBorder="1" applyAlignment="1" applyProtection="1">
      <alignment vertical="center"/>
      <protection hidden="1"/>
    </xf>
    <xf numFmtId="0" fontId="124" fillId="31" borderId="0" xfId="0" applyFont="1" applyFill="1" applyAlignment="1" applyProtection="1">
      <alignment vertical="center"/>
      <protection hidden="1"/>
    </xf>
    <xf numFmtId="0" fontId="10" fillId="15" borderId="27" xfId="0" applyFont="1" applyFill="1" applyBorder="1" applyAlignment="1" applyProtection="1">
      <alignment horizontal="left" vertical="center" indent="1"/>
      <protection hidden="1"/>
    </xf>
    <xf numFmtId="0" fontId="7" fillId="15" borderId="27" xfId="0" applyFont="1" applyFill="1" applyBorder="1" applyAlignment="1" applyProtection="1">
      <alignment horizontal="center" vertical="center"/>
      <protection hidden="1"/>
    </xf>
    <xf numFmtId="0" fontId="34" fillId="3" borderId="0" xfId="0" applyFont="1" applyFill="1" applyAlignment="1" applyProtection="1">
      <alignment horizontal="left"/>
      <protection hidden="1"/>
    </xf>
    <xf numFmtId="0" fontId="19" fillId="15" borderId="1" xfId="0" applyFont="1" applyFill="1" applyBorder="1" applyAlignment="1" applyProtection="1">
      <alignment vertical="center"/>
      <protection hidden="1"/>
    </xf>
    <xf numFmtId="0" fontId="19" fillId="15" borderId="25" xfId="0" applyFont="1" applyFill="1" applyBorder="1" applyAlignment="1" applyProtection="1">
      <alignment vertical="center"/>
      <protection hidden="1"/>
    </xf>
    <xf numFmtId="3" fontId="14" fillId="15" borderId="0" xfId="0" applyNumberFormat="1" applyFont="1" applyFill="1" applyProtection="1">
      <protection hidden="1"/>
    </xf>
    <xf numFmtId="0" fontId="74" fillId="9" borderId="25" xfId="0" applyFont="1" applyFill="1" applyBorder="1" applyAlignment="1" applyProtection="1">
      <alignment horizontal="center"/>
      <protection hidden="1"/>
    </xf>
    <xf numFmtId="0" fontId="74" fillId="9" borderId="25" xfId="0" applyFont="1" applyFill="1" applyBorder="1" applyAlignment="1" applyProtection="1">
      <alignment horizontal="center" vertical="center"/>
      <protection hidden="1"/>
    </xf>
    <xf numFmtId="4" fontId="9" fillId="3" borderId="7" xfId="0" applyNumberFormat="1" applyFont="1" applyFill="1" applyBorder="1" applyProtection="1">
      <protection hidden="1"/>
    </xf>
    <xf numFmtId="39" fontId="248" fillId="38" borderId="210" xfId="6" applyNumberFormat="1" applyAlignment="1" applyProtection="1">
      <alignment horizontal="center"/>
      <protection hidden="1"/>
    </xf>
    <xf numFmtId="0" fontId="3" fillId="3" borderId="10"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48" fillId="9" borderId="8" xfId="0" applyFont="1" applyFill="1" applyBorder="1" applyAlignment="1" applyProtection="1">
      <alignment horizontal="center" vertical="center"/>
      <protection hidden="1"/>
    </xf>
    <xf numFmtId="1" fontId="11" fillId="10" borderId="0" xfId="0" applyNumberFormat="1" applyFont="1" applyFill="1" applyProtection="1">
      <protection hidden="1"/>
    </xf>
    <xf numFmtId="37" fontId="3" fillId="15" borderId="8" xfId="0" applyNumberFormat="1" applyFont="1" applyFill="1" applyBorder="1" applyProtection="1">
      <protection hidden="1"/>
    </xf>
    <xf numFmtId="37" fontId="14" fillId="27" borderId="69" xfId="0" quotePrefix="1" applyNumberFormat="1" applyFont="1" applyFill="1" applyBorder="1" applyAlignment="1" applyProtection="1">
      <alignment horizontal="center"/>
      <protection hidden="1"/>
    </xf>
    <xf numFmtId="37" fontId="14" fillId="27" borderId="4" xfId="0" quotePrefix="1" applyNumberFormat="1" applyFont="1" applyFill="1" applyBorder="1" applyAlignment="1" applyProtection="1">
      <alignment horizontal="center"/>
      <protection hidden="1"/>
    </xf>
    <xf numFmtId="37" fontId="0" fillId="16" borderId="2" xfId="0" applyNumberFormat="1" applyFill="1" applyBorder="1" applyAlignment="1" applyProtection="1">
      <alignment horizontal="right"/>
      <protection locked="0"/>
    </xf>
    <xf numFmtId="0" fontId="11" fillId="0" borderId="0" xfId="0" applyFont="1"/>
    <xf numFmtId="0" fontId="9" fillId="2" borderId="0" xfId="0" applyFont="1" applyFill="1" applyAlignment="1" applyProtection="1">
      <alignment vertical="center" wrapText="1"/>
      <protection hidden="1"/>
    </xf>
    <xf numFmtId="0" fontId="3" fillId="3" borderId="7" xfId="0" applyFont="1" applyFill="1" applyBorder="1" applyAlignment="1" applyProtection="1">
      <alignment horizontal="center"/>
      <protection hidden="1"/>
    </xf>
    <xf numFmtId="39" fontId="3" fillId="3" borderId="7" xfId="0" applyNumberFormat="1" applyFont="1" applyFill="1" applyBorder="1" applyProtection="1">
      <protection hidden="1"/>
    </xf>
    <xf numFmtId="39" fontId="8" fillId="3" borderId="7" xfId="0" applyNumberFormat="1" applyFont="1" applyFill="1" applyBorder="1" applyProtection="1">
      <protection hidden="1"/>
    </xf>
    <xf numFmtId="39" fontId="8" fillId="3" borderId="7" xfId="0" applyNumberFormat="1" applyFont="1" applyFill="1" applyBorder="1" applyAlignment="1" applyProtection="1">
      <alignment horizontal="right"/>
      <protection hidden="1"/>
    </xf>
    <xf numFmtId="0" fontId="3" fillId="3" borderId="47" xfId="0" applyFont="1" applyFill="1" applyBorder="1" applyAlignment="1" applyProtection="1">
      <alignment horizontal="center"/>
      <protection hidden="1"/>
    </xf>
    <xf numFmtId="0" fontId="3" fillId="15" borderId="100" xfId="0" applyFont="1" applyFill="1" applyBorder="1" applyAlignment="1">
      <alignment wrapText="1"/>
    </xf>
    <xf numFmtId="0" fontId="0" fillId="15" borderId="0" xfId="0" applyFill="1" applyAlignment="1" applyProtection="1">
      <alignment horizontal="right" vertical="center"/>
      <protection hidden="1"/>
    </xf>
    <xf numFmtId="0" fontId="5" fillId="15" borderId="0" xfId="0" applyFont="1" applyFill="1" applyAlignment="1" applyProtection="1">
      <alignment horizontal="right" vertical="center"/>
      <protection hidden="1"/>
    </xf>
    <xf numFmtId="0" fontId="0" fillId="15" borderId="25" xfId="0" applyFill="1" applyBorder="1" applyAlignment="1" applyProtection="1">
      <alignment vertical="center"/>
      <protection hidden="1"/>
    </xf>
    <xf numFmtId="0" fontId="110" fillId="2" borderId="7" xfId="0" applyFont="1" applyFill="1" applyBorder="1" applyAlignment="1" applyProtection="1">
      <alignment vertical="top"/>
      <protection hidden="1"/>
    </xf>
    <xf numFmtId="3" fontId="8" fillId="2" borderId="0" xfId="0" applyNumberFormat="1" applyFont="1" applyFill="1" applyAlignment="1" applyProtection="1">
      <alignment horizontal="center"/>
      <protection locked="0"/>
    </xf>
    <xf numFmtId="1" fontId="184" fillId="10" borderId="0" xfId="0" applyNumberFormat="1" applyFont="1" applyFill="1" applyAlignment="1" applyProtection="1">
      <alignment vertical="center" wrapText="1"/>
      <protection hidden="1"/>
    </xf>
    <xf numFmtId="0" fontId="5" fillId="15" borderId="0" xfId="0" quotePrefix="1" applyFont="1" applyFill="1" applyAlignment="1">
      <alignment horizontal="center"/>
    </xf>
    <xf numFmtId="166" fontId="0" fillId="15" borderId="0" xfId="0" applyNumberFormat="1" applyFill="1" applyAlignment="1">
      <alignment horizontal="center"/>
    </xf>
    <xf numFmtId="166" fontId="5" fillId="15" borderId="0" xfId="0" applyNumberFormat="1" applyFont="1" applyFill="1" applyAlignment="1">
      <alignment horizontal="center"/>
    </xf>
    <xf numFmtId="0" fontId="7" fillId="15" borderId="0" xfId="0" applyFont="1" applyFill="1" applyAlignment="1">
      <alignment wrapText="1"/>
    </xf>
    <xf numFmtId="0" fontId="9" fillId="0" borderId="66" xfId="0" applyFont="1" applyBorder="1" applyAlignment="1">
      <alignment horizontal="center"/>
    </xf>
    <xf numFmtId="37" fontId="5" fillId="0" borderId="50" xfId="0" applyNumberFormat="1" applyFont="1" applyBorder="1"/>
    <xf numFmtId="37" fontId="5" fillId="0" borderId="51" xfId="0" applyNumberFormat="1" applyFont="1" applyBorder="1"/>
    <xf numFmtId="37" fontId="5" fillId="15" borderId="109" xfId="0" applyNumberFormat="1" applyFont="1" applyFill="1" applyBorder="1" applyAlignment="1">
      <alignment horizontal="right"/>
    </xf>
    <xf numFmtId="37" fontId="5" fillId="15" borderId="43" xfId="0" applyNumberFormat="1" applyFont="1" applyFill="1" applyBorder="1" applyAlignment="1">
      <alignment horizontal="right"/>
    </xf>
    <xf numFmtId="37" fontId="5" fillId="15" borderId="66" xfId="0" applyNumberFormat="1" applyFont="1" applyFill="1" applyBorder="1" applyAlignment="1">
      <alignment horizontal="right"/>
    </xf>
    <xf numFmtId="37" fontId="5" fillId="15" borderId="46" xfId="0" applyNumberFormat="1" applyFont="1" applyFill="1" applyBorder="1" applyAlignment="1">
      <alignment horizontal="right"/>
    </xf>
    <xf numFmtId="37" fontId="5" fillId="15" borderId="12" xfId="0" applyNumberFormat="1" applyFont="1" applyFill="1" applyBorder="1" applyAlignment="1">
      <alignment horizontal="right"/>
    </xf>
    <xf numFmtId="37" fontId="5" fillId="15" borderId="58" xfId="0" applyNumberFormat="1" applyFont="1" applyFill="1" applyBorder="1" applyAlignment="1">
      <alignment horizontal="right"/>
    </xf>
    <xf numFmtId="0" fontId="0" fillId="15" borderId="50" xfId="0" applyFill="1" applyBorder="1"/>
    <xf numFmtId="0" fontId="0" fillId="15" borderId="51" xfId="0" applyFill="1" applyBorder="1"/>
    <xf numFmtId="0" fontId="0" fillId="15" borderId="110" xfId="0" applyFill="1" applyBorder="1"/>
    <xf numFmtId="37" fontId="5" fillId="15" borderId="0" xfId="0" applyNumberFormat="1" applyFont="1" applyFill="1" applyAlignment="1">
      <alignment horizontal="center"/>
    </xf>
    <xf numFmtId="37" fontId="5" fillId="15" borderId="50" xfId="0" applyNumberFormat="1" applyFont="1" applyFill="1" applyBorder="1"/>
    <xf numFmtId="37" fontId="5" fillId="15" borderId="110" xfId="0" applyNumberFormat="1" applyFont="1" applyFill="1" applyBorder="1"/>
    <xf numFmtId="37" fontId="5" fillId="15" borderId="20" xfId="0" applyNumberFormat="1" applyFont="1" applyFill="1" applyBorder="1"/>
    <xf numFmtId="0" fontId="0" fillId="5" borderId="0" xfId="0" applyFill="1" applyAlignment="1">
      <alignment horizontal="center" vertical="center"/>
    </xf>
    <xf numFmtId="0" fontId="0" fillId="15" borderId="8" xfId="0" applyFill="1" applyBorder="1" applyAlignment="1">
      <alignment horizontal="center"/>
    </xf>
    <xf numFmtId="0" fontId="5" fillId="15" borderId="8" xfId="0" applyFont="1" applyFill="1" applyBorder="1" applyAlignment="1">
      <alignment horizontal="center"/>
    </xf>
    <xf numFmtId="0" fontId="5" fillId="15" borderId="14" xfId="0" applyFont="1" applyFill="1" applyBorder="1" applyAlignment="1">
      <alignment horizontal="center"/>
    </xf>
    <xf numFmtId="0" fontId="3" fillId="15" borderId="3" xfId="0" applyFont="1" applyFill="1" applyBorder="1" applyAlignment="1">
      <alignment horizontal="center"/>
    </xf>
    <xf numFmtId="0" fontId="5" fillId="15" borderId="3" xfId="0" quotePrefix="1" applyFont="1" applyFill="1" applyBorder="1" applyAlignment="1">
      <alignment horizontal="center"/>
    </xf>
    <xf numFmtId="37" fontId="5" fillId="15" borderId="24" xfId="0" applyNumberFormat="1" applyFont="1" applyFill="1" applyBorder="1" applyAlignment="1">
      <alignment horizontal="right"/>
    </xf>
    <xf numFmtId="0" fontId="56" fillId="39" borderId="0" xfId="0" applyFont="1" applyFill="1" applyAlignment="1" applyProtection="1">
      <alignment horizontal="center"/>
      <protection hidden="1"/>
    </xf>
    <xf numFmtId="37" fontId="7" fillId="15" borderId="0" xfId="0" applyNumberFormat="1" applyFont="1" applyFill="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9" fillId="15" borderId="48" xfId="0" applyNumberFormat="1" applyFont="1" applyFill="1" applyBorder="1" applyAlignment="1" applyProtection="1">
      <alignment vertical="center"/>
      <protection locked="0"/>
    </xf>
    <xf numFmtId="37" fontId="7" fillId="15" borderId="53" xfId="0" applyNumberFormat="1" applyFont="1" applyFill="1" applyBorder="1" applyAlignment="1" applyProtection="1">
      <alignment vertical="center"/>
      <protection locked="0"/>
    </xf>
    <xf numFmtId="37" fontId="126" fillId="3" borderId="0" xfId="0" applyNumberFormat="1" applyFont="1" applyFill="1" applyAlignment="1" applyProtection="1">
      <alignment horizontal="right"/>
      <protection hidden="1"/>
    </xf>
    <xf numFmtId="37" fontId="112" fillId="0" borderId="0" xfId="0" applyNumberFormat="1" applyFont="1" applyAlignment="1" applyProtection="1">
      <alignment horizontal="center"/>
      <protection hidden="1"/>
    </xf>
    <xf numFmtId="1" fontId="3" fillId="8" borderId="4" xfId="0" applyNumberFormat="1" applyFont="1" applyFill="1" applyBorder="1" applyProtection="1">
      <protection hidden="1"/>
    </xf>
    <xf numFmtId="4" fontId="3" fillId="2" borderId="0" xfId="0" applyNumberFormat="1" applyFont="1" applyFill="1" applyProtection="1">
      <protection hidden="1"/>
    </xf>
    <xf numFmtId="1" fontId="110" fillId="15" borderId="0" xfId="0" applyNumberFormat="1" applyFont="1" applyFill="1" applyAlignment="1" applyProtection="1">
      <alignment horizontal="center"/>
      <protection hidden="1"/>
    </xf>
    <xf numFmtId="0" fontId="10" fillId="15" borderId="0" xfId="0" applyFont="1" applyFill="1" applyAlignment="1">
      <alignment horizontal="left" indent="1"/>
    </xf>
    <xf numFmtId="0" fontId="19" fillId="15" borderId="0" xfId="0" applyFont="1" applyFill="1" applyAlignment="1">
      <alignment horizontal="left" vertical="center"/>
    </xf>
    <xf numFmtId="0" fontId="19" fillId="15" borderId="0" xfId="0" quotePrefix="1" applyFont="1" applyFill="1" applyAlignment="1">
      <alignment horizontal="left" vertical="center"/>
    </xf>
    <xf numFmtId="0" fontId="0" fillId="15" borderId="0" xfId="0" applyFill="1" applyAlignment="1">
      <alignment horizontal="left" indent="1"/>
    </xf>
    <xf numFmtId="0" fontId="25" fillId="15" borderId="0" xfId="0" applyFont="1" applyFill="1" applyAlignment="1">
      <alignment horizontal="left" indent="1"/>
    </xf>
    <xf numFmtId="0" fontId="5" fillId="15" borderId="0" xfId="0" applyFont="1" applyFill="1" applyAlignment="1">
      <alignment horizontal="left" indent="1"/>
    </xf>
    <xf numFmtId="0" fontId="3" fillId="15" borderId="0" xfId="0" applyFont="1" applyFill="1" applyAlignment="1">
      <alignment horizontal="left" indent="1"/>
    </xf>
    <xf numFmtId="0" fontId="3" fillId="0" borderId="0" xfId="0" applyFont="1" applyAlignment="1">
      <alignment horizontal="left" indent="1"/>
    </xf>
    <xf numFmtId="1" fontId="11" fillId="35" borderId="0" xfId="0" applyNumberFormat="1" applyFont="1" applyFill="1" applyAlignment="1" applyProtection="1">
      <alignment horizontal="right" vertical="center"/>
      <protection hidden="1"/>
    </xf>
    <xf numFmtId="0" fontId="136" fillId="15" borderId="0" xfId="0" applyFont="1" applyFill="1" applyProtection="1">
      <protection hidden="1"/>
    </xf>
    <xf numFmtId="2" fontId="136" fillId="15" borderId="0" xfId="0" applyNumberFormat="1" applyFont="1" applyFill="1" applyProtection="1">
      <protection hidden="1"/>
    </xf>
    <xf numFmtId="0" fontId="5" fillId="0" borderId="0" xfId="0" applyFont="1" applyAlignment="1">
      <alignment horizontal="center" vertical="top" wrapText="1"/>
    </xf>
    <xf numFmtId="39" fontId="46" fillId="3" borderId="1" xfId="0" applyNumberFormat="1" applyFont="1" applyFill="1" applyBorder="1" applyProtection="1">
      <protection hidden="1"/>
    </xf>
    <xf numFmtId="0" fontId="124" fillId="3" borderId="3" xfId="0" applyFont="1" applyFill="1" applyBorder="1" applyAlignment="1" applyProtection="1">
      <alignment horizontal="right" vertical="center"/>
      <protection hidden="1"/>
    </xf>
    <xf numFmtId="4" fontId="7" fillId="3" borderId="1" xfId="0" applyNumberFormat="1" applyFont="1" applyFill="1" applyBorder="1" applyAlignment="1" applyProtection="1">
      <alignment horizontal="right" vertical="center"/>
      <protection hidden="1"/>
    </xf>
    <xf numFmtId="0" fontId="43" fillId="15" borderId="5" xfId="0" applyFont="1" applyFill="1" applyBorder="1" applyAlignment="1" applyProtection="1">
      <alignment horizontal="centerContinuous" vertical="top"/>
      <protection hidden="1"/>
    </xf>
    <xf numFmtId="0" fontId="109" fillId="2" borderId="0" xfId="0" applyFont="1" applyFill="1" applyAlignment="1">
      <alignment horizontal="center"/>
    </xf>
    <xf numFmtId="0" fontId="120" fillId="2" borderId="0" xfId="0" applyFont="1" applyFill="1" applyAlignment="1">
      <alignment horizontal="left"/>
    </xf>
    <xf numFmtId="0" fontId="19" fillId="3" borderId="5" xfId="0" applyFont="1" applyFill="1" applyBorder="1" applyProtection="1">
      <protection hidden="1"/>
    </xf>
    <xf numFmtId="0" fontId="19" fillId="3" borderId="0" xfId="0" applyFont="1" applyFill="1" applyProtection="1">
      <protection hidden="1"/>
    </xf>
    <xf numFmtId="0" fontId="19" fillId="3" borderId="20" xfId="0" applyFont="1" applyFill="1" applyBorder="1" applyProtection="1">
      <protection hidden="1"/>
    </xf>
    <xf numFmtId="37" fontId="8" fillId="28" borderId="1" xfId="0" quotePrefix="1" applyNumberFormat="1" applyFont="1" applyFill="1" applyBorder="1" applyAlignment="1" applyProtection="1">
      <alignment horizontal="center"/>
      <protection hidden="1"/>
    </xf>
    <xf numFmtId="0" fontId="147" fillId="0" borderId="0" xfId="0" applyFont="1"/>
    <xf numFmtId="0" fontId="246" fillId="15" borderId="0" xfId="0" applyFont="1" applyFill="1" applyProtection="1">
      <protection hidden="1"/>
    </xf>
    <xf numFmtId="4" fontId="21" fillId="5" borderId="0" xfId="0" applyNumberFormat="1" applyFont="1" applyFill="1" applyAlignment="1" applyProtection="1">
      <alignment horizontal="center"/>
      <protection hidden="1"/>
    </xf>
    <xf numFmtId="4" fontId="3" fillId="15" borderId="60" xfId="0" applyNumberFormat="1" applyFont="1" applyFill="1" applyBorder="1" applyAlignment="1" applyProtection="1">
      <alignment horizontal="center" vertical="center"/>
      <protection locked="0"/>
    </xf>
    <xf numFmtId="0" fontId="0" fillId="15" borderId="75" xfId="0" applyFill="1" applyBorder="1" applyAlignment="1">
      <alignment horizontal="right" indent="1"/>
    </xf>
    <xf numFmtId="0" fontId="7" fillId="3" borderId="0" xfId="0" applyFont="1" applyFill="1" applyAlignment="1" applyProtection="1">
      <alignment horizontal="right" indent="2"/>
      <protection hidden="1"/>
    </xf>
    <xf numFmtId="37" fontId="7" fillId="20" borderId="51" xfId="0" applyNumberFormat="1" applyFont="1" applyFill="1" applyBorder="1" applyAlignment="1" applyProtection="1">
      <alignment horizontal="right"/>
      <protection locked="0"/>
    </xf>
    <xf numFmtId="37" fontId="7" fillId="20" borderId="52" xfId="0" applyNumberFormat="1" applyFont="1" applyFill="1" applyBorder="1" applyAlignment="1" applyProtection="1">
      <alignment horizontal="right"/>
      <protection locked="0"/>
    </xf>
    <xf numFmtId="0" fontId="7" fillId="3" borderId="0" xfId="0" applyFont="1" applyFill="1" applyAlignment="1" applyProtection="1">
      <alignment horizontal="right" indent="1"/>
      <protection hidden="1"/>
    </xf>
    <xf numFmtId="40" fontId="39" fillId="2" borderId="4" xfId="0" applyNumberFormat="1" applyFont="1" applyFill="1" applyBorder="1" applyAlignment="1" applyProtection="1">
      <alignment horizontal="right" vertical="center"/>
      <protection hidden="1"/>
    </xf>
    <xf numFmtId="0" fontId="0" fillId="4" borderId="4" xfId="0" applyFill="1" applyBorder="1" applyProtection="1">
      <protection hidden="1"/>
    </xf>
    <xf numFmtId="40" fontId="11" fillId="2" borderId="0" xfId="0" applyNumberFormat="1" applyFont="1" applyFill="1" applyProtection="1">
      <protection hidden="1"/>
    </xf>
    <xf numFmtId="0" fontId="0" fillId="15" borderId="65" xfId="0" applyFill="1" applyBorder="1"/>
    <xf numFmtId="0" fontId="5" fillId="15" borderId="7" xfId="4" applyFill="1" applyBorder="1" applyProtection="1">
      <protection hidden="1"/>
    </xf>
    <xf numFmtId="0" fontId="5" fillId="15" borderId="5" xfId="4" quotePrefix="1" applyFill="1" applyBorder="1" applyAlignment="1" applyProtection="1">
      <alignment horizontal="left"/>
      <protection hidden="1"/>
    </xf>
    <xf numFmtId="0" fontId="147" fillId="2" borderId="0" xfId="0" applyFont="1" applyFill="1" applyProtection="1">
      <protection hidden="1"/>
    </xf>
    <xf numFmtId="0" fontId="3" fillId="0" borderId="0" xfId="0" applyFont="1" applyAlignment="1" applyProtection="1">
      <alignment horizontal="center" vertical="center" wrapText="1"/>
      <protection hidden="1"/>
    </xf>
    <xf numFmtId="4" fontId="3" fillId="2" borderId="82" xfId="0" applyNumberFormat="1" applyFont="1" applyFill="1" applyBorder="1" applyAlignment="1" applyProtection="1">
      <alignment horizontal="center"/>
      <protection hidden="1"/>
    </xf>
    <xf numFmtId="4" fontId="5" fillId="32" borderId="82" xfId="0" applyNumberFormat="1" applyFont="1" applyFill="1" applyBorder="1" applyAlignment="1" applyProtection="1">
      <alignment horizontal="center"/>
      <protection locked="0"/>
    </xf>
    <xf numFmtId="2" fontId="3" fillId="2" borderId="37" xfId="0" applyNumberFormat="1"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10" fillId="15" borderId="1"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wrapText="1"/>
      <protection hidden="1"/>
    </xf>
    <xf numFmtId="39" fontId="10" fillId="15" borderId="0" xfId="0" applyNumberFormat="1" applyFont="1" applyFill="1" applyAlignment="1" applyProtection="1">
      <alignment horizontal="centerContinuous"/>
      <protection locked="0"/>
    </xf>
    <xf numFmtId="0" fontId="5" fillId="15" borderId="36" xfId="0" applyFont="1" applyFill="1" applyBorder="1" applyProtection="1">
      <protection hidden="1"/>
    </xf>
    <xf numFmtId="0" fontId="5" fillId="15" borderId="56" xfId="0" applyFont="1" applyFill="1" applyBorder="1" applyProtection="1">
      <protection hidden="1"/>
    </xf>
    <xf numFmtId="0" fontId="5" fillId="15" borderId="56" xfId="0" applyFont="1" applyFill="1" applyBorder="1" applyAlignment="1" applyProtection="1">
      <alignment horizontal="left"/>
      <protection hidden="1"/>
    </xf>
    <xf numFmtId="0" fontId="5" fillId="15" borderId="7" xfId="0" applyFont="1" applyFill="1" applyBorder="1" applyAlignment="1" applyProtection="1">
      <alignment horizontal="left" vertical="center" indent="1"/>
      <protection hidden="1"/>
    </xf>
    <xf numFmtId="39" fontId="22" fillId="15" borderId="8" xfId="0" applyNumberFormat="1" applyFont="1" applyFill="1" applyBorder="1" applyAlignment="1" applyProtection="1">
      <alignment horizontal="left"/>
      <protection hidden="1"/>
    </xf>
    <xf numFmtId="0" fontId="72" fillId="15" borderId="8" xfId="0" applyFont="1" applyFill="1" applyBorder="1" applyAlignment="1" applyProtection="1">
      <alignment vertical="center"/>
      <protection hidden="1"/>
    </xf>
    <xf numFmtId="0" fontId="242" fillId="15" borderId="8" xfId="0" applyFont="1" applyFill="1" applyBorder="1" applyAlignment="1" applyProtection="1">
      <alignment vertical="center"/>
      <protection hidden="1"/>
    </xf>
    <xf numFmtId="0" fontId="4" fillId="15" borderId="8" xfId="0" applyFont="1" applyFill="1" applyBorder="1" applyProtection="1">
      <protection hidden="1"/>
    </xf>
    <xf numFmtId="0" fontId="242" fillId="15" borderId="1" xfId="0" applyFont="1" applyFill="1" applyBorder="1" applyAlignment="1" applyProtection="1">
      <alignment vertical="center"/>
      <protection hidden="1"/>
    </xf>
    <xf numFmtId="39" fontId="22" fillId="15" borderId="1" xfId="0" applyNumberFormat="1" applyFont="1" applyFill="1" applyBorder="1" applyAlignment="1" applyProtection="1">
      <alignment horizontal="left" vertical="top"/>
      <protection hidden="1"/>
    </xf>
    <xf numFmtId="0" fontId="189" fillId="15" borderId="1" xfId="0" applyFont="1" applyFill="1" applyBorder="1" applyAlignment="1" applyProtection="1">
      <alignment vertical="center"/>
      <protection hidden="1"/>
    </xf>
    <xf numFmtId="0" fontId="4" fillId="15" borderId="1" xfId="0" applyFont="1" applyFill="1" applyBorder="1" applyProtection="1">
      <protection hidden="1"/>
    </xf>
    <xf numFmtId="0" fontId="4" fillId="0" borderId="54" xfId="0" applyFont="1" applyBorder="1" applyProtection="1">
      <protection locked="0"/>
    </xf>
    <xf numFmtId="39" fontId="4" fillId="0" borderId="12" xfId="0" applyNumberFormat="1" applyFont="1" applyBorder="1" applyProtection="1">
      <protection locked="0"/>
    </xf>
    <xf numFmtId="39" fontId="4" fillId="0" borderId="39" xfId="0" applyNumberFormat="1" applyFont="1" applyBorder="1" applyProtection="1">
      <protection locked="0"/>
    </xf>
    <xf numFmtId="0" fontId="13" fillId="15" borderId="0" xfId="0" quotePrefix="1" applyFont="1" applyFill="1" applyAlignment="1" applyProtection="1">
      <alignment horizontal="left"/>
      <protection hidden="1"/>
    </xf>
    <xf numFmtId="0" fontId="46" fillId="15" borderId="0" xfId="0" quotePrefix="1" applyFont="1" applyFill="1" applyAlignment="1" applyProtection="1">
      <alignment horizontal="center"/>
      <protection hidden="1"/>
    </xf>
    <xf numFmtId="37" fontId="5" fillId="15" borderId="0" xfId="0" applyNumberFormat="1" applyFont="1" applyFill="1" applyAlignment="1" applyProtection="1">
      <alignment horizontal="center"/>
      <protection hidden="1"/>
    </xf>
    <xf numFmtId="37" fontId="7" fillId="14" borderId="0" xfId="0" applyNumberFormat="1" applyFont="1" applyFill="1" applyAlignment="1" applyProtection="1">
      <alignment horizontal="right"/>
      <protection hidden="1"/>
    </xf>
    <xf numFmtId="37" fontId="46" fillId="14" borderId="0" xfId="0" applyNumberFormat="1" applyFont="1" applyFill="1" applyAlignment="1" applyProtection="1">
      <alignment horizontal="right"/>
      <protection hidden="1"/>
    </xf>
    <xf numFmtId="0" fontId="46" fillId="14" borderId="0" xfId="0" applyFont="1" applyFill="1" applyAlignment="1" applyProtection="1">
      <alignment horizontal="right"/>
      <protection hidden="1"/>
    </xf>
    <xf numFmtId="0" fontId="46" fillId="15" borderId="1" xfId="0" quotePrefix="1" applyFont="1" applyFill="1" applyBorder="1" applyAlignment="1" applyProtection="1">
      <alignment horizontal="left"/>
      <protection hidden="1"/>
    </xf>
    <xf numFmtId="0" fontId="5" fillId="15" borderId="1" xfId="0" quotePrefix="1" applyFont="1" applyFill="1" applyBorder="1" applyAlignment="1" applyProtection="1">
      <alignment horizontal="center"/>
      <protection hidden="1"/>
    </xf>
    <xf numFmtId="37" fontId="14" fillId="15" borderId="2" xfId="0" applyNumberFormat="1" applyFont="1" applyFill="1" applyBorder="1" applyProtection="1">
      <protection locked="0"/>
    </xf>
    <xf numFmtId="0" fontId="10" fillId="15" borderId="25" xfId="0" quotePrefix="1" applyFont="1" applyFill="1" applyBorder="1" applyAlignment="1" applyProtection="1">
      <alignment horizontal="center"/>
      <protection hidden="1"/>
    </xf>
    <xf numFmtId="0" fontId="5" fillId="19" borderId="0" xfId="0" applyFont="1" applyFill="1" applyAlignment="1" applyProtection="1">
      <alignment horizontal="center"/>
      <protection hidden="1"/>
    </xf>
    <xf numFmtId="0" fontId="5" fillId="19" borderId="30" xfId="0" applyFont="1" applyFill="1" applyBorder="1" applyProtection="1">
      <protection hidden="1"/>
    </xf>
    <xf numFmtId="0" fontId="5" fillId="19" borderId="8" xfId="0" applyFont="1" applyFill="1" applyBorder="1" applyAlignment="1" applyProtection="1">
      <alignment horizontal="center"/>
      <protection hidden="1"/>
    </xf>
    <xf numFmtId="0" fontId="46" fillId="15" borderId="25" xfId="0" quotePrefix="1" applyFont="1" applyFill="1" applyBorder="1" applyAlignment="1" applyProtection="1">
      <alignment horizontal="left"/>
      <protection hidden="1"/>
    </xf>
    <xf numFmtId="39" fontId="10" fillId="15" borderId="25" xfId="0" applyNumberFormat="1" applyFont="1" applyFill="1" applyBorder="1" applyAlignment="1" applyProtection="1">
      <alignment horizontal="left"/>
      <protection hidden="1"/>
    </xf>
    <xf numFmtId="0" fontId="72" fillId="15" borderId="25" xfId="0" applyFont="1" applyFill="1" applyBorder="1" applyAlignment="1" applyProtection="1">
      <alignment vertical="center"/>
      <protection hidden="1"/>
    </xf>
    <xf numFmtId="0" fontId="242" fillId="15" borderId="25" xfId="0" applyFont="1" applyFill="1" applyBorder="1" applyAlignment="1" applyProtection="1">
      <alignment vertical="center"/>
      <protection hidden="1"/>
    </xf>
    <xf numFmtId="0" fontId="4" fillId="15" borderId="25" xfId="0" applyFont="1" applyFill="1" applyBorder="1" applyProtection="1">
      <protection hidden="1"/>
    </xf>
    <xf numFmtId="37" fontId="110" fillId="15" borderId="0" xfId="0" applyNumberFormat="1" applyFont="1" applyFill="1" applyAlignment="1" applyProtection="1">
      <alignment vertical="center"/>
      <protection hidden="1"/>
    </xf>
    <xf numFmtId="0" fontId="72" fillId="15" borderId="25" xfId="0" applyFont="1" applyFill="1" applyBorder="1" applyAlignment="1" applyProtection="1">
      <alignment horizontal="centerContinuous" vertical="center"/>
      <protection hidden="1"/>
    </xf>
    <xf numFmtId="0" fontId="3" fillId="0" borderId="25" xfId="0" applyFont="1" applyBorder="1" applyAlignment="1" applyProtection="1">
      <alignment horizontal="centerContinuous" vertical="center"/>
      <protection hidden="1"/>
    </xf>
    <xf numFmtId="39" fontId="10" fillId="15" borderId="25" xfId="0" applyNumberFormat="1" applyFont="1" applyFill="1" applyBorder="1" applyAlignment="1" applyProtection="1">
      <alignment horizontal="centerContinuous"/>
      <protection hidden="1"/>
    </xf>
    <xf numFmtId="0" fontId="242" fillId="15" borderId="25" xfId="0" applyFont="1" applyFill="1" applyBorder="1" applyAlignment="1" applyProtection="1">
      <alignment horizontal="centerContinuous" vertical="center"/>
      <protection hidden="1"/>
    </xf>
    <xf numFmtId="0" fontId="4" fillId="15" borderId="25" xfId="0" applyFont="1" applyFill="1" applyBorder="1" applyAlignment="1" applyProtection="1">
      <alignment horizontal="centerContinuous"/>
      <protection hidden="1"/>
    </xf>
    <xf numFmtId="0" fontId="13" fillId="15" borderId="0" xfId="0" quotePrefix="1" applyFont="1" applyFill="1" applyAlignment="1" applyProtection="1">
      <alignment horizontal="left" vertical="center"/>
      <protection hidden="1"/>
    </xf>
    <xf numFmtId="0" fontId="5" fillId="19" borderId="8" xfId="0" applyFont="1" applyFill="1" applyBorder="1" applyProtection="1">
      <protection hidden="1"/>
    </xf>
    <xf numFmtId="2" fontId="10" fillId="16" borderId="12" xfId="0" applyNumberFormat="1" applyFont="1" applyFill="1" applyBorder="1" applyAlignment="1" applyProtection="1">
      <alignment horizontal="center" vertical="center"/>
      <protection locked="0"/>
    </xf>
    <xf numFmtId="2" fontId="5" fillId="15" borderId="0" xfId="0" applyNumberFormat="1" applyFont="1" applyFill="1" applyProtection="1">
      <protection hidden="1"/>
    </xf>
    <xf numFmtId="0" fontId="46" fillId="15" borderId="1" xfId="0" quotePrefix="1" applyFont="1" applyFill="1" applyBorder="1" applyAlignment="1" applyProtection="1">
      <alignment horizontal="center"/>
      <protection hidden="1"/>
    </xf>
    <xf numFmtId="0" fontId="5" fillId="15" borderId="11" xfId="0" applyFont="1" applyFill="1" applyBorder="1" applyAlignment="1" applyProtection="1">
      <alignment horizontal="center"/>
      <protection hidden="1"/>
    </xf>
    <xf numFmtId="0" fontId="5" fillId="19" borderId="1" xfId="0" applyFont="1" applyFill="1" applyBorder="1" applyAlignment="1" applyProtection="1">
      <alignment horizontal="center"/>
      <protection hidden="1"/>
    </xf>
    <xf numFmtId="0" fontId="80" fillId="5" borderId="0" xfId="0" applyFont="1" applyFill="1" applyAlignment="1" applyProtection="1">
      <alignment horizontal="center" vertical="center"/>
      <protection hidden="1"/>
    </xf>
    <xf numFmtId="39" fontId="0" fillId="0" borderId="0" xfId="0" applyNumberFormat="1" applyAlignment="1" applyProtection="1">
      <alignment vertical="center"/>
      <protection locked="0"/>
    </xf>
    <xf numFmtId="0" fontId="13" fillId="15" borderId="25" xfId="0" applyFont="1" applyFill="1" applyBorder="1" applyAlignment="1" applyProtection="1">
      <alignment horizontal="center" vertical="center"/>
      <protection hidden="1"/>
    </xf>
    <xf numFmtId="0" fontId="13" fillId="15" borderId="8"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protection hidden="1"/>
    </xf>
    <xf numFmtId="0" fontId="22" fillId="15" borderId="25" xfId="0" applyFont="1" applyFill="1" applyBorder="1" applyAlignment="1" applyProtection="1">
      <alignment horizontal="centerContinuous" vertical="center"/>
      <protection hidden="1"/>
    </xf>
    <xf numFmtId="0" fontId="10" fillId="15" borderId="25" xfId="0" applyFont="1" applyFill="1" applyBorder="1" applyAlignment="1" applyProtection="1">
      <alignment horizontal="center" vertical="center"/>
      <protection hidden="1"/>
    </xf>
    <xf numFmtId="0" fontId="13" fillId="15" borderId="31" xfId="0" applyFont="1" applyFill="1" applyBorder="1" applyAlignment="1" applyProtection="1">
      <alignment horizontal="center" vertical="center"/>
      <protection hidden="1"/>
    </xf>
    <xf numFmtId="37" fontId="110" fillId="2" borderId="0" xfId="0" applyNumberFormat="1" applyFont="1" applyFill="1" applyProtection="1">
      <protection hidden="1"/>
    </xf>
    <xf numFmtId="0" fontId="46" fillId="15" borderId="0" xfId="0" quotePrefix="1" applyFont="1" applyFill="1" applyAlignment="1" applyProtection="1">
      <alignment horizontal="left"/>
      <protection hidden="1"/>
    </xf>
    <xf numFmtId="0" fontId="39" fillId="15" borderId="4" xfId="0" applyFont="1" applyFill="1" applyBorder="1" applyAlignment="1" applyProtection="1">
      <alignment horizontal="center" vertical="center"/>
      <protection hidden="1"/>
    </xf>
    <xf numFmtId="0" fontId="46" fillId="15" borderId="4" xfId="0" applyFont="1" applyFill="1" applyBorder="1" applyAlignment="1" applyProtection="1">
      <alignment horizontal="left"/>
      <protection hidden="1"/>
    </xf>
    <xf numFmtId="0" fontId="256" fillId="15" borderId="4" xfId="0" applyFont="1" applyFill="1" applyBorder="1" applyAlignment="1" applyProtection="1">
      <alignment vertical="center"/>
      <protection hidden="1"/>
    </xf>
    <xf numFmtId="0" fontId="5" fillId="19" borderId="69" xfId="0" applyFont="1" applyFill="1" applyBorder="1" applyProtection="1">
      <protection hidden="1"/>
    </xf>
    <xf numFmtId="0" fontId="5" fillId="19" borderId="4" xfId="0" applyFont="1" applyFill="1" applyBorder="1" applyProtection="1">
      <protection hidden="1"/>
    </xf>
    <xf numFmtId="0" fontId="5" fillId="19" borderId="4" xfId="0" applyFont="1" applyFill="1" applyBorder="1" applyAlignment="1" applyProtection="1">
      <alignment horizontal="center"/>
      <protection hidden="1"/>
    </xf>
    <xf numFmtId="0" fontId="7" fillId="15" borderId="4" xfId="0" quotePrefix="1" applyFont="1" applyFill="1" applyBorder="1" applyAlignment="1" applyProtection="1">
      <alignment horizontal="left"/>
      <protection hidden="1"/>
    </xf>
    <xf numFmtId="0" fontId="46" fillId="15" borderId="4" xfId="0" applyFont="1" applyFill="1" applyBorder="1" applyAlignment="1" applyProtection="1">
      <alignment horizontal="center"/>
      <protection hidden="1"/>
    </xf>
    <xf numFmtId="0" fontId="5" fillId="2" borderId="4" xfId="0" applyFont="1" applyFill="1" applyBorder="1" applyAlignment="1" applyProtection="1">
      <alignment horizontal="right"/>
      <protection hidden="1"/>
    </xf>
    <xf numFmtId="39" fontId="10" fillId="15" borderId="8" xfId="0" applyNumberFormat="1" applyFont="1" applyFill="1" applyBorder="1" applyAlignment="1" applyProtection="1">
      <alignment horizontal="left"/>
      <protection hidden="1"/>
    </xf>
    <xf numFmtId="0" fontId="72" fillId="15" borderId="7" xfId="0" applyFont="1" applyFill="1" applyBorder="1" applyAlignment="1" applyProtection="1">
      <alignment vertical="center"/>
      <protection hidden="1"/>
    </xf>
    <xf numFmtId="0" fontId="189" fillId="15" borderId="8" xfId="0" applyFont="1" applyFill="1" applyBorder="1" applyAlignment="1" applyProtection="1">
      <alignment vertical="center"/>
      <protection hidden="1"/>
    </xf>
    <xf numFmtId="0" fontId="13" fillId="15" borderId="0" xfId="0" quotePrefix="1" applyFont="1" applyFill="1" applyAlignment="1" applyProtection="1">
      <alignment horizontal="center"/>
      <protection hidden="1"/>
    </xf>
    <xf numFmtId="49" fontId="121" fillId="15" borderId="0" xfId="0" applyNumberFormat="1" applyFont="1" applyFill="1" applyAlignment="1" applyProtection="1">
      <alignment horizontal="left"/>
      <protection hidden="1"/>
    </xf>
    <xf numFmtId="0" fontId="189" fillId="15" borderId="0" xfId="0" applyFont="1" applyFill="1" applyAlignment="1" applyProtection="1">
      <alignment vertical="center"/>
      <protection hidden="1"/>
    </xf>
    <xf numFmtId="166" fontId="73" fillId="15" borderId="0" xfId="0" applyNumberFormat="1" applyFont="1" applyFill="1" applyProtection="1">
      <protection hidden="1"/>
    </xf>
    <xf numFmtId="166" fontId="73" fillId="15" borderId="0" xfId="0" applyNumberFormat="1" applyFont="1" applyFill="1" applyAlignment="1" applyProtection="1">
      <alignment horizontal="center"/>
      <protection hidden="1"/>
    </xf>
    <xf numFmtId="0" fontId="72" fillId="15" borderId="0" xfId="0" applyFont="1" applyFill="1" applyAlignment="1" applyProtection="1">
      <alignment horizontal="centerContinuous" vertical="center"/>
      <protection hidden="1"/>
    </xf>
    <xf numFmtId="0" fontId="3" fillId="0" borderId="0" xfId="0" applyFont="1" applyAlignment="1" applyProtection="1">
      <alignment horizontal="centerContinuous" vertical="center"/>
      <protection hidden="1"/>
    </xf>
    <xf numFmtId="39" fontId="10" fillId="15" borderId="0" xfId="0" applyNumberFormat="1" applyFont="1" applyFill="1" applyAlignment="1" applyProtection="1">
      <alignment horizontal="centerContinuous"/>
      <protection hidden="1"/>
    </xf>
    <xf numFmtId="0" fontId="242" fillId="15" borderId="0" xfId="0" applyFont="1" applyFill="1" applyAlignment="1" applyProtection="1">
      <alignment horizontal="centerContinuous" vertical="center"/>
      <protection hidden="1"/>
    </xf>
    <xf numFmtId="0" fontId="22" fillId="15" borderId="0" xfId="0" applyFont="1" applyFill="1" applyAlignment="1" applyProtection="1">
      <alignment horizontal="centerContinuous" vertical="center"/>
      <protection hidden="1"/>
    </xf>
    <xf numFmtId="0" fontId="22" fillId="15" borderId="8" xfId="0" applyFont="1" applyFill="1" applyBorder="1" applyAlignment="1" applyProtection="1">
      <alignment horizontal="centerContinuous" vertical="center"/>
      <protection hidden="1"/>
    </xf>
    <xf numFmtId="0" fontId="22" fillId="15" borderId="30" xfId="0" applyFont="1" applyFill="1" applyBorder="1" applyAlignment="1" applyProtection="1">
      <alignment horizontal="centerContinuous" vertical="center"/>
      <protection hidden="1"/>
    </xf>
    <xf numFmtId="0" fontId="242" fillId="15" borderId="8" xfId="0" applyFont="1" applyFill="1" applyBorder="1" applyAlignment="1" applyProtection="1">
      <alignment horizontal="centerContinuous" vertical="center"/>
      <protection hidden="1"/>
    </xf>
    <xf numFmtId="0" fontId="4" fillId="15" borderId="8" xfId="0" applyFont="1" applyFill="1" applyBorder="1" applyAlignment="1" applyProtection="1">
      <alignment horizontal="centerContinuous"/>
      <protection hidden="1"/>
    </xf>
    <xf numFmtId="0" fontId="4" fillId="15" borderId="0" xfId="0" applyFont="1" applyFill="1" applyAlignment="1" applyProtection="1">
      <alignment horizontal="centerContinuous"/>
      <protection hidden="1"/>
    </xf>
    <xf numFmtId="0" fontId="5" fillId="15" borderId="9" xfId="0" applyFont="1" applyFill="1" applyBorder="1" applyProtection="1">
      <protection hidden="1"/>
    </xf>
    <xf numFmtId="0" fontId="10" fillId="15" borderId="14" xfId="0" applyFont="1" applyFill="1" applyBorder="1" applyAlignment="1" applyProtection="1">
      <alignment horizontal="center"/>
      <protection hidden="1"/>
    </xf>
    <xf numFmtId="0" fontId="10" fillId="15" borderId="30" xfId="0" applyFont="1" applyFill="1" applyBorder="1" applyAlignment="1" applyProtection="1">
      <alignment horizontal="center"/>
      <protection hidden="1"/>
    </xf>
    <xf numFmtId="0" fontId="5" fillId="19" borderId="30" xfId="0" applyFont="1" applyFill="1" applyBorder="1" applyAlignment="1" applyProtection="1">
      <alignment horizontal="center"/>
      <protection hidden="1"/>
    </xf>
    <xf numFmtId="0" fontId="10" fillId="15" borderId="4" xfId="0" applyFont="1" applyFill="1" applyBorder="1" applyAlignment="1" applyProtection="1">
      <alignment horizontal="center"/>
      <protection hidden="1"/>
    </xf>
    <xf numFmtId="0" fontId="5" fillId="19" borderId="69" xfId="0" applyFont="1" applyFill="1" applyBorder="1" applyAlignment="1" applyProtection="1">
      <alignment horizontal="center"/>
      <protection hidden="1"/>
    </xf>
    <xf numFmtId="0" fontId="72" fillId="15" borderId="25" xfId="0" applyFont="1" applyFill="1" applyBorder="1" applyAlignment="1" applyProtection="1">
      <alignment horizontal="center" vertical="center"/>
      <protection hidden="1"/>
    </xf>
    <xf numFmtId="0" fontId="13" fillId="15" borderId="54" xfId="0" applyFont="1" applyFill="1" applyBorder="1" applyAlignment="1">
      <alignment horizontal="center" vertical="center" wrapText="1"/>
    </xf>
    <xf numFmtId="0" fontId="5" fillId="19" borderId="3"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protection hidden="1"/>
    </xf>
    <xf numFmtId="0" fontId="256" fillId="15" borderId="8" xfId="0" applyFont="1" applyFill="1" applyBorder="1" applyAlignment="1" applyProtection="1">
      <alignment vertical="center"/>
      <protection hidden="1"/>
    </xf>
    <xf numFmtId="0" fontId="5" fillId="19" borderId="9" xfId="0" applyFont="1" applyFill="1" applyBorder="1" applyAlignment="1" applyProtection="1">
      <alignment horizontal="center"/>
      <protection hidden="1"/>
    </xf>
    <xf numFmtId="0" fontId="256" fillId="15" borderId="25" xfId="0" applyFont="1" applyFill="1" applyBorder="1" applyAlignment="1" applyProtection="1">
      <alignment vertical="center"/>
      <protection hidden="1"/>
    </xf>
    <xf numFmtId="0" fontId="5" fillId="15" borderId="0" xfId="0" applyFont="1" applyFill="1" applyAlignment="1" applyProtection="1">
      <alignment horizontal="centerContinuous"/>
      <protection hidden="1"/>
    </xf>
    <xf numFmtId="0" fontId="46" fillId="15" borderId="0" xfId="0" applyFont="1" applyFill="1" applyAlignment="1" applyProtection="1">
      <alignment horizontal="centerContinuous"/>
      <protection hidden="1"/>
    </xf>
    <xf numFmtId="0" fontId="46" fillId="15" borderId="1" xfId="0" applyFont="1" applyFill="1" applyBorder="1" applyAlignment="1" applyProtection="1">
      <alignment horizontal="center" vertical="center"/>
      <protection hidden="1"/>
    </xf>
    <xf numFmtId="0" fontId="80" fillId="5" borderId="0" xfId="0" applyFont="1" applyFill="1" applyAlignment="1" applyProtection="1">
      <alignment horizontal="center" vertical="top"/>
      <protection hidden="1"/>
    </xf>
    <xf numFmtId="0" fontId="10" fillId="15" borderId="0" xfId="0" applyFont="1" applyFill="1" applyAlignment="1" applyProtection="1">
      <alignment horizontal="center" vertical="top"/>
      <protection hidden="1"/>
    </xf>
    <xf numFmtId="0" fontId="13" fillId="15" borderId="0" xfId="0" applyFont="1" applyFill="1" applyAlignment="1" applyProtection="1">
      <alignment horizontal="left" vertical="top"/>
      <protection hidden="1"/>
    </xf>
    <xf numFmtId="0" fontId="13" fillId="15" borderId="1" xfId="0" applyFont="1" applyFill="1" applyBorder="1" applyAlignment="1" applyProtection="1">
      <alignment horizontal="left" vertical="top"/>
      <protection hidden="1"/>
    </xf>
    <xf numFmtId="39" fontId="13" fillId="15" borderId="0" xfId="0" applyNumberFormat="1" applyFont="1" applyFill="1" applyProtection="1">
      <protection hidden="1"/>
    </xf>
    <xf numFmtId="0" fontId="13" fillId="15" borderId="0" xfId="0" applyFont="1" applyFill="1" applyAlignment="1" applyProtection="1">
      <alignment horizontal="center" vertical="center"/>
      <protection hidden="1"/>
    </xf>
    <xf numFmtId="39" fontId="13" fillId="15" borderId="0" xfId="0" applyNumberFormat="1" applyFont="1" applyFill="1" applyAlignment="1" applyProtection="1">
      <alignment vertical="top"/>
      <protection hidden="1"/>
    </xf>
    <xf numFmtId="3" fontId="46" fillId="15" borderId="0" xfId="0" applyNumberFormat="1" applyFont="1" applyFill="1" applyProtection="1">
      <protection hidden="1"/>
    </xf>
    <xf numFmtId="37" fontId="46" fillId="15" borderId="0" xfId="0" applyNumberFormat="1" applyFont="1" applyFill="1" applyAlignment="1" applyProtection="1">
      <alignment horizontal="right"/>
      <protection hidden="1"/>
    </xf>
    <xf numFmtId="0" fontId="13" fillId="15" borderId="4" xfId="0" applyFont="1" applyFill="1" applyBorder="1" applyAlignment="1" applyProtection="1">
      <alignment vertical="center"/>
      <protection hidden="1"/>
    </xf>
    <xf numFmtId="0" fontId="5" fillId="15" borderId="4" xfId="0" quotePrefix="1" applyFont="1" applyFill="1" applyBorder="1" applyAlignment="1" applyProtection="1">
      <alignment horizontal="center"/>
      <protection hidden="1"/>
    </xf>
    <xf numFmtId="37" fontId="46" fillId="14" borderId="4" xfId="0" applyNumberFormat="1" applyFont="1" applyFill="1" applyBorder="1" applyAlignment="1" applyProtection="1">
      <alignment horizontal="right"/>
      <protection hidden="1"/>
    </xf>
    <xf numFmtId="37" fontId="46" fillId="15" borderId="4" xfId="0" applyNumberFormat="1" applyFont="1" applyFill="1" applyBorder="1" applyAlignment="1" applyProtection="1">
      <alignment horizontal="right"/>
      <protection hidden="1"/>
    </xf>
    <xf numFmtId="39" fontId="10" fillId="15" borderId="25" xfId="0" applyNumberFormat="1" applyFont="1" applyFill="1" applyBorder="1" applyAlignment="1" applyProtection="1">
      <alignment horizontal="left" indent="1"/>
      <protection hidden="1"/>
    </xf>
    <xf numFmtId="0" fontId="13" fillId="15" borderId="25" xfId="0" applyFont="1" applyFill="1" applyBorder="1" applyAlignment="1" applyProtection="1">
      <alignment vertical="center"/>
      <protection hidden="1"/>
    </xf>
    <xf numFmtId="0" fontId="13" fillId="15" borderId="8" xfId="0" applyFont="1" applyFill="1" applyBorder="1" applyAlignment="1" applyProtection="1">
      <alignment vertical="center"/>
      <protection hidden="1"/>
    </xf>
    <xf numFmtId="0" fontId="0" fillId="15" borderId="2" xfId="0" applyFill="1" applyBorder="1" applyProtection="1">
      <protection locked="0"/>
    </xf>
    <xf numFmtId="0" fontId="13" fillId="2" borderId="0" xfId="0" applyFont="1" applyFill="1" applyAlignment="1" applyProtection="1">
      <alignment horizontal="center" vertical="top"/>
      <protection hidden="1"/>
    </xf>
    <xf numFmtId="0" fontId="14" fillId="15" borderId="0" xfId="0" applyFont="1" applyFill="1" applyAlignment="1" applyProtection="1">
      <alignment horizontal="centerContinuous"/>
      <protection hidden="1"/>
    </xf>
    <xf numFmtId="39" fontId="46" fillId="24" borderId="0" xfId="0" applyNumberFormat="1" applyFont="1" applyFill="1" applyProtection="1">
      <protection locked="0"/>
    </xf>
    <xf numFmtId="4" fontId="110" fillId="2" borderId="0" xfId="0" quotePrefix="1" applyNumberFormat="1" applyFont="1" applyFill="1" applyProtection="1">
      <protection hidden="1"/>
    </xf>
    <xf numFmtId="4" fontId="116" fillId="2" borderId="0" xfId="0" applyNumberFormat="1" applyFont="1" applyFill="1" applyAlignment="1" applyProtection="1">
      <alignment vertical="center"/>
      <protection hidden="1"/>
    </xf>
    <xf numFmtId="14" fontId="0" fillId="0" borderId="0" xfId="0" applyNumberFormat="1" applyAlignment="1" applyProtection="1">
      <alignment vertical="center"/>
      <protection hidden="1"/>
    </xf>
    <xf numFmtId="0" fontId="3" fillId="15" borderId="25" xfId="0" applyFont="1" applyFill="1" applyBorder="1" applyAlignment="1" applyProtection="1">
      <alignment horizontal="center"/>
      <protection hidden="1"/>
    </xf>
    <xf numFmtId="0" fontId="126" fillId="15" borderId="0" xfId="0" applyFont="1" applyFill="1" applyAlignment="1" applyProtection="1">
      <alignment vertical="top" wrapText="1"/>
      <protection hidden="1"/>
    </xf>
    <xf numFmtId="0" fontId="250" fillId="15" borderId="0" xfId="0" applyFont="1" applyFill="1" applyAlignment="1">
      <alignment horizontal="left" indent="1"/>
    </xf>
    <xf numFmtId="40" fontId="27" fillId="2" borderId="0" xfId="0" applyNumberFormat="1" applyFont="1" applyFill="1" applyAlignment="1" applyProtection="1">
      <alignment horizontal="left"/>
      <protection hidden="1"/>
    </xf>
    <xf numFmtId="0" fontId="23" fillId="2" borderId="7" xfId="0" applyFont="1" applyFill="1" applyBorder="1" applyAlignment="1" applyProtection="1">
      <alignment horizontal="left"/>
      <protection hidden="1"/>
    </xf>
    <xf numFmtId="185" fontId="181" fillId="2" borderId="3" xfId="0" applyNumberFormat="1" applyFont="1" applyFill="1" applyBorder="1" applyAlignment="1" applyProtection="1">
      <alignment horizontal="center"/>
      <protection hidden="1"/>
    </xf>
    <xf numFmtId="185" fontId="181" fillId="15" borderId="24" xfId="0" applyNumberFormat="1" applyFont="1" applyFill="1" applyBorder="1" applyAlignment="1">
      <alignment horizontal="center"/>
    </xf>
    <xf numFmtId="185" fontId="181" fillId="15" borderId="0" xfId="0" applyNumberFormat="1" applyFont="1" applyFill="1" applyAlignment="1">
      <alignment horizontal="center"/>
    </xf>
    <xf numFmtId="0" fontId="0" fillId="35" borderId="8" xfId="0" applyFill="1" applyBorder="1" applyProtection="1">
      <protection hidden="1"/>
    </xf>
    <xf numFmtId="0" fontId="0" fillId="35" borderId="1" xfId="0" applyFill="1" applyBorder="1" applyAlignment="1" applyProtection="1">
      <alignment vertical="top"/>
      <protection hidden="1"/>
    </xf>
    <xf numFmtId="0" fontId="39" fillId="15" borderId="0" xfId="0" applyFont="1" applyFill="1" applyAlignment="1" applyProtection="1">
      <alignment vertical="center"/>
      <protection hidden="1"/>
    </xf>
    <xf numFmtId="0" fontId="39" fillId="15" borderId="8" xfId="0" applyFont="1" applyFill="1" applyBorder="1" applyAlignment="1" applyProtection="1">
      <alignment vertical="center"/>
      <protection hidden="1"/>
    </xf>
    <xf numFmtId="0" fontId="39" fillId="15" borderId="1" xfId="0" applyFont="1" applyFill="1" applyBorder="1" applyAlignment="1" applyProtection="1">
      <alignment vertical="center"/>
      <protection hidden="1"/>
    </xf>
    <xf numFmtId="0" fontId="3" fillId="8" borderId="14" xfId="0" applyFont="1" applyFill="1" applyBorder="1" applyAlignment="1" applyProtection="1">
      <alignment horizontal="center" vertical="center" wrapText="1"/>
      <protection hidden="1"/>
    </xf>
    <xf numFmtId="1" fontId="110" fillId="15" borderId="0" xfId="0" applyNumberFormat="1" applyFont="1" applyFill="1"/>
    <xf numFmtId="1" fontId="110" fillId="15" borderId="0" xfId="0" applyNumberFormat="1" applyFont="1" applyFill="1" applyAlignment="1">
      <alignment horizontal="center"/>
    </xf>
    <xf numFmtId="183" fontId="110" fillId="15" borderId="0" xfId="0" applyNumberFormat="1" applyFont="1" applyFill="1" applyAlignment="1">
      <alignment horizontal="center"/>
    </xf>
    <xf numFmtId="0" fontId="112" fillId="15" borderId="0" xfId="0" applyFont="1" applyFill="1" applyAlignment="1" applyProtection="1">
      <alignment horizontal="center" vertical="center"/>
      <protection hidden="1"/>
    </xf>
    <xf numFmtId="0" fontId="126" fillId="2" borderId="0" xfId="0" applyFont="1" applyFill="1" applyAlignment="1" applyProtection="1">
      <alignment horizontal="left"/>
      <protection hidden="1"/>
    </xf>
    <xf numFmtId="0" fontId="184" fillId="15" borderId="0" xfId="0" applyFont="1" applyFill="1" applyAlignment="1" applyProtection="1">
      <alignment horizontal="left"/>
      <protection hidden="1"/>
    </xf>
    <xf numFmtId="0" fontId="184" fillId="15" borderId="0" xfId="0" applyFont="1" applyFill="1" applyAlignment="1" applyProtection="1">
      <alignment horizontal="left" vertical="top"/>
      <protection hidden="1"/>
    </xf>
    <xf numFmtId="37" fontId="5" fillId="15" borderId="7" xfId="0" applyNumberFormat="1" applyFont="1" applyFill="1" applyBorder="1" applyAlignment="1" applyProtection="1">
      <alignment vertical="top"/>
      <protection hidden="1"/>
    </xf>
    <xf numFmtId="0" fontId="5" fillId="15" borderId="7" xfId="0" applyFont="1" applyFill="1" applyBorder="1" applyAlignment="1">
      <alignment vertical="top"/>
    </xf>
    <xf numFmtId="0" fontId="3" fillId="15" borderId="7" xfId="0" applyFont="1" applyFill="1" applyBorder="1" applyAlignment="1" applyProtection="1">
      <alignment horizontal="left" vertical="top"/>
      <protection hidden="1"/>
    </xf>
    <xf numFmtId="0" fontId="5" fillId="15" borderId="7" xfId="0" applyFont="1" applyFill="1" applyBorder="1" applyAlignment="1" applyProtection="1">
      <alignment horizontal="left" vertical="top"/>
      <protection hidden="1"/>
    </xf>
    <xf numFmtId="0" fontId="5" fillId="15" borderId="7" xfId="0" applyFont="1" applyFill="1" applyBorder="1" applyAlignment="1" applyProtection="1">
      <alignment vertical="top"/>
      <protection hidden="1"/>
    </xf>
    <xf numFmtId="0" fontId="5" fillId="15" borderId="7" xfId="0" applyFont="1" applyFill="1" applyBorder="1" applyAlignment="1" applyProtection="1">
      <alignment horizontal="right" vertical="top"/>
      <protection hidden="1"/>
    </xf>
    <xf numFmtId="0" fontId="9" fillId="15" borderId="7" xfId="0" applyFont="1" applyFill="1" applyBorder="1" applyAlignment="1" applyProtection="1">
      <alignment horizontal="left" vertical="top"/>
      <protection hidden="1"/>
    </xf>
    <xf numFmtId="0" fontId="110" fillId="15" borderId="7" xfId="0" applyFont="1" applyFill="1" applyBorder="1" applyAlignment="1" applyProtection="1">
      <alignment vertical="top"/>
      <protection hidden="1"/>
    </xf>
    <xf numFmtId="0" fontId="147" fillId="15" borderId="7" xfId="0" applyFont="1" applyFill="1" applyBorder="1" applyAlignment="1">
      <alignment vertical="top"/>
    </xf>
    <xf numFmtId="0" fontId="112" fillId="3" borderId="0" xfId="0" applyFont="1" applyFill="1" applyAlignment="1" applyProtection="1">
      <alignment wrapText="1"/>
      <protection hidden="1"/>
    </xf>
    <xf numFmtId="0" fontId="257" fillId="15" borderId="0" xfId="0" applyFont="1" applyFill="1" applyAlignment="1" applyProtection="1">
      <alignment horizontal="right" vertical="center" wrapText="1"/>
      <protection hidden="1"/>
    </xf>
    <xf numFmtId="0" fontId="258" fillId="15" borderId="0" xfId="0" applyFont="1" applyFill="1" applyAlignment="1" applyProtection="1">
      <alignment horizontal="center" vertical="center" wrapText="1"/>
      <protection hidden="1"/>
    </xf>
    <xf numFmtId="4" fontId="14" fillId="5" borderId="0" xfId="0" applyNumberFormat="1" applyFont="1" applyFill="1" applyAlignment="1" applyProtection="1">
      <alignment horizontal="center" vertical="center"/>
      <protection locked="0"/>
    </xf>
    <xf numFmtId="0" fontId="240" fillId="15" borderId="12" xfId="0" applyFont="1" applyFill="1" applyBorder="1" applyAlignment="1" applyProtection="1">
      <alignment horizontal="center"/>
      <protection locked="0"/>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38" fontId="5" fillId="27" borderId="1" xfId="0" applyNumberFormat="1" applyFont="1" applyFill="1" applyBorder="1" applyAlignment="1" applyProtection="1">
      <alignment horizontal="right"/>
      <protection hidden="1"/>
    </xf>
    <xf numFmtId="4" fontId="173" fillId="2" borderId="0" xfId="0" applyNumberFormat="1" applyFont="1" applyFill="1" applyAlignment="1" applyProtection="1">
      <alignment horizontal="center"/>
      <protection hidden="1"/>
    </xf>
    <xf numFmtId="0" fontId="110" fillId="2" borderId="0" xfId="0" applyFont="1" applyFill="1" applyAlignment="1" applyProtection="1">
      <alignment horizontal="right"/>
      <protection hidden="1"/>
    </xf>
    <xf numFmtId="0" fontId="144" fillId="2" borderId="45" xfId="0" applyFont="1" applyFill="1" applyBorder="1" applyAlignment="1" applyProtection="1">
      <alignment horizontal="left" vertical="center"/>
      <protection hidden="1"/>
    </xf>
    <xf numFmtId="37" fontId="110" fillId="15" borderId="0" xfId="0" applyNumberFormat="1" applyFont="1" applyFill="1" applyAlignment="1" applyProtection="1">
      <alignment vertical="top" wrapText="1"/>
      <protection hidden="1"/>
    </xf>
    <xf numFmtId="1" fontId="0" fillId="10" borderId="0" xfId="0" applyNumberFormat="1" applyFill="1" applyAlignment="1" applyProtection="1">
      <alignment vertical="top"/>
      <protection hidden="1"/>
    </xf>
    <xf numFmtId="37" fontId="112" fillId="15" borderId="0" xfId="0" applyNumberFormat="1" applyFont="1" applyFill="1" applyProtection="1">
      <protection hidden="1"/>
    </xf>
    <xf numFmtId="182" fontId="5" fillId="0" borderId="202" xfId="0" quotePrefix="1" applyNumberFormat="1" applyFont="1" applyBorder="1" applyAlignment="1">
      <alignment horizontal="center"/>
    </xf>
    <xf numFmtId="0" fontId="7" fillId="15" borderId="0" xfId="0" applyFont="1" applyFill="1" applyProtection="1">
      <protection locked="0"/>
    </xf>
    <xf numFmtId="0" fontId="14" fillId="15" borderId="10" xfId="0" applyFont="1" applyFill="1" applyBorder="1" applyAlignment="1" applyProtection="1">
      <alignment horizontal="center"/>
      <protection hidden="1"/>
    </xf>
    <xf numFmtId="0" fontId="14" fillId="15" borderId="15" xfId="0" applyFont="1" applyFill="1" applyBorder="1" applyAlignment="1" applyProtection="1">
      <alignment horizontal="center"/>
      <protection hidden="1"/>
    </xf>
    <xf numFmtId="0" fontId="14" fillId="15" borderId="6" xfId="0" applyFont="1" applyFill="1" applyBorder="1" applyAlignment="1" applyProtection="1">
      <alignment horizontal="center"/>
      <protection hidden="1"/>
    </xf>
    <xf numFmtId="37" fontId="10" fillId="15" borderId="3" xfId="0" applyNumberFormat="1" applyFont="1" applyFill="1" applyBorder="1" applyProtection="1">
      <protection hidden="1"/>
    </xf>
    <xf numFmtId="37" fontId="13" fillId="15" borderId="0" xfId="0" applyNumberFormat="1" applyFont="1" applyFill="1" applyProtection="1">
      <protection hidden="1"/>
    </xf>
    <xf numFmtId="0" fontId="7" fillId="15" borderId="6" xfId="0" applyFont="1" applyFill="1" applyBorder="1" applyProtection="1">
      <protection locked="0"/>
    </xf>
    <xf numFmtId="37" fontId="10" fillId="15" borderId="30" xfId="0" applyNumberFormat="1" applyFont="1" applyFill="1" applyBorder="1" applyProtection="1">
      <protection hidden="1"/>
    </xf>
    <xf numFmtId="37" fontId="10" fillId="15" borderId="8" xfId="0" applyNumberFormat="1" applyFont="1" applyFill="1" applyBorder="1" applyProtection="1">
      <protection hidden="1"/>
    </xf>
    <xf numFmtId="37" fontId="10" fillId="15" borderId="0" xfId="0" applyNumberFormat="1" applyFont="1" applyFill="1" applyProtection="1">
      <protection hidden="1"/>
    </xf>
    <xf numFmtId="3" fontId="159" fillId="15" borderId="0" xfId="0" applyNumberFormat="1" applyFont="1" applyFill="1" applyAlignment="1" applyProtection="1">
      <alignment vertical="center"/>
      <protection hidden="1"/>
    </xf>
    <xf numFmtId="0" fontId="147" fillId="0" borderId="0" xfId="0" applyFont="1" applyAlignment="1" applyProtection="1">
      <alignment horizontal="left"/>
      <protection hidden="1"/>
    </xf>
    <xf numFmtId="37" fontId="110" fillId="0" borderId="0" xfId="0" applyNumberFormat="1" applyFont="1"/>
    <xf numFmtId="37" fontId="0" fillId="16" borderId="2" xfId="0" applyNumberFormat="1" applyFill="1" applyBorder="1" applyAlignment="1" applyProtection="1">
      <alignment horizontal="right" vertical="center"/>
      <protection locked="0"/>
    </xf>
    <xf numFmtId="0" fontId="4" fillId="15" borderId="0" xfId="0" applyFont="1" applyFill="1" applyAlignment="1" applyProtection="1">
      <alignment horizontal="right"/>
      <protection hidden="1"/>
    </xf>
    <xf numFmtId="0" fontId="5" fillId="24" borderId="20" xfId="0" applyFont="1" applyFill="1" applyBorder="1" applyProtection="1">
      <protection hidden="1"/>
    </xf>
    <xf numFmtId="199" fontId="110" fillId="0" borderId="0" xfId="0" applyNumberFormat="1" applyFont="1"/>
    <xf numFmtId="4" fontId="168"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10" fillId="0" borderId="0" xfId="0" applyNumberFormat="1" applyFont="1" applyAlignment="1">
      <alignment horizontal="center"/>
    </xf>
    <xf numFmtId="0" fontId="3" fillId="0" borderId="0" xfId="0" applyFont="1" applyAlignment="1">
      <alignment horizontal="center" vertical="center"/>
    </xf>
    <xf numFmtId="182" fontId="5" fillId="0" borderId="5" xfId="0" applyNumberFormat="1" applyFont="1" applyBorder="1" applyAlignment="1">
      <alignment horizontal="right"/>
    </xf>
    <xf numFmtId="182" fontId="159" fillId="0" borderId="202" xfId="0" applyNumberFormat="1" applyFont="1" applyBorder="1" applyAlignment="1">
      <alignment horizontal="center"/>
    </xf>
    <xf numFmtId="0" fontId="10" fillId="3" borderId="25" xfId="0" applyFont="1" applyFill="1" applyBorder="1" applyAlignment="1" applyProtection="1">
      <alignment horizontal="center" vertical="center"/>
      <protection hidden="1"/>
    </xf>
    <xf numFmtId="0" fontId="208" fillId="8" borderId="0" xfId="0" applyFont="1" applyFill="1" applyAlignment="1" applyProtection="1">
      <alignment vertical="center" wrapText="1"/>
      <protection hidden="1"/>
    </xf>
    <xf numFmtId="0" fontId="208" fillId="8" borderId="4" xfId="0" applyFont="1" applyFill="1" applyBorder="1" applyAlignment="1" applyProtection="1">
      <alignment vertical="center" wrapText="1"/>
      <protection hidden="1"/>
    </xf>
    <xf numFmtId="4" fontId="11" fillId="15" borderId="0" xfId="0" applyNumberFormat="1" applyFont="1" applyFill="1" applyAlignment="1" applyProtection="1">
      <alignment vertical="center"/>
      <protection hidden="1"/>
    </xf>
    <xf numFmtId="0" fontId="207" fillId="0" borderId="0" xfId="0" applyFont="1" applyAlignment="1" applyProtection="1">
      <alignment vertical="center" wrapText="1"/>
      <protection hidden="1"/>
    </xf>
    <xf numFmtId="37" fontId="10" fillId="15" borderId="3" xfId="0" applyNumberFormat="1" applyFont="1" applyFill="1" applyBorder="1" applyProtection="1">
      <protection locked="0"/>
    </xf>
    <xf numFmtId="37" fontId="10" fillId="15" borderId="0" xfId="0" applyNumberFormat="1" applyFont="1" applyFill="1" applyProtection="1">
      <protection locked="0"/>
    </xf>
    <xf numFmtId="0" fontId="8" fillId="15" borderId="0" xfId="0" applyFont="1" applyFill="1" applyAlignment="1" applyProtection="1">
      <alignment horizontal="left" vertical="center"/>
      <protection hidden="1"/>
    </xf>
    <xf numFmtId="0" fontId="10" fillId="15" borderId="34" xfId="0" applyFont="1" applyFill="1" applyBorder="1" applyAlignment="1" applyProtection="1">
      <alignment horizontal="left"/>
      <protection hidden="1"/>
    </xf>
    <xf numFmtId="0" fontId="0" fillId="15" borderId="34" xfId="0" applyFill="1" applyBorder="1" applyProtection="1">
      <protection hidden="1"/>
    </xf>
    <xf numFmtId="0" fontId="19" fillId="15" borderId="34" xfId="0" applyFont="1" applyFill="1" applyBorder="1" applyAlignment="1" applyProtection="1">
      <alignment horizontal="left" vertical="center"/>
      <protection hidden="1"/>
    </xf>
    <xf numFmtId="0" fontId="13" fillId="15" borderId="13" xfId="0" applyFont="1" applyFill="1" applyBorder="1" applyProtection="1">
      <protection hidden="1"/>
    </xf>
    <xf numFmtId="0" fontId="3" fillId="15" borderId="13" xfId="0" applyFont="1" applyFill="1" applyBorder="1" applyAlignment="1" applyProtection="1">
      <alignment horizontal="left" indent="1"/>
      <protection hidden="1"/>
    </xf>
    <xf numFmtId="0" fontId="0" fillId="15" borderId="13" xfId="0" applyFill="1" applyBorder="1" applyAlignment="1" applyProtection="1">
      <alignment horizontal="right" indent="1"/>
      <protection hidden="1"/>
    </xf>
    <xf numFmtId="0" fontId="3" fillId="15" borderId="13" xfId="0" applyFont="1" applyFill="1" applyBorder="1" applyAlignment="1" applyProtection="1">
      <alignment horizontal="right"/>
      <protection hidden="1"/>
    </xf>
    <xf numFmtId="37" fontId="10" fillId="15" borderId="30" xfId="0" applyNumberFormat="1" applyFont="1" applyFill="1" applyBorder="1" applyProtection="1">
      <protection locked="0"/>
    </xf>
    <xf numFmtId="37" fontId="10" fillId="15" borderId="8" xfId="0" applyNumberFormat="1" applyFont="1" applyFill="1" applyBorder="1" applyProtection="1">
      <protection locked="0"/>
    </xf>
    <xf numFmtId="37" fontId="10" fillId="15" borderId="14" xfId="0" applyNumberFormat="1" applyFont="1" applyFill="1" applyBorder="1" applyProtection="1">
      <protection locked="0"/>
    </xf>
    <xf numFmtId="0" fontId="7" fillId="15" borderId="13" xfId="0" applyFont="1" applyFill="1" applyBorder="1" applyAlignment="1" applyProtection="1">
      <alignment horizontal="left"/>
      <protection hidden="1"/>
    </xf>
    <xf numFmtId="0" fontId="9" fillId="15" borderId="13" xfId="0" applyFont="1" applyFill="1" applyBorder="1" applyProtection="1">
      <protection hidden="1"/>
    </xf>
    <xf numFmtId="0" fontId="10" fillId="15" borderId="13" xfId="0" applyFont="1" applyFill="1" applyBorder="1" applyAlignment="1" applyProtection="1">
      <alignment horizontal="right"/>
      <protection hidden="1"/>
    </xf>
    <xf numFmtId="0" fontId="10" fillId="15" borderId="13" xfId="0" applyFont="1" applyFill="1" applyBorder="1" applyAlignment="1" applyProtection="1">
      <alignment horizontal="center"/>
      <protection hidden="1"/>
    </xf>
    <xf numFmtId="0" fontId="3" fillId="15" borderId="25" xfId="0" applyFont="1" applyFill="1" applyBorder="1" applyAlignment="1" applyProtection="1">
      <alignment horizontal="left"/>
      <protection hidden="1"/>
    </xf>
    <xf numFmtId="0" fontId="3" fillId="40" borderId="0" xfId="0" applyFont="1" applyFill="1" applyAlignment="1" applyProtection="1">
      <alignment horizontal="right"/>
      <protection hidden="1"/>
    </xf>
    <xf numFmtId="0" fontId="3" fillId="40" borderId="0" xfId="0" applyFont="1" applyFill="1" applyProtection="1">
      <protection hidden="1"/>
    </xf>
    <xf numFmtId="0" fontId="5" fillId="40" borderId="0" xfId="0" applyFont="1" applyFill="1" applyAlignment="1" applyProtection="1">
      <alignment horizontal="left"/>
      <protection hidden="1"/>
    </xf>
    <xf numFmtId="0" fontId="9" fillId="40" borderId="0" xfId="0" applyFont="1" applyFill="1" applyAlignment="1" applyProtection="1">
      <alignment horizontal="left" vertical="center"/>
      <protection hidden="1"/>
    </xf>
    <xf numFmtId="0" fontId="7" fillId="40" borderId="0" xfId="0" applyFont="1" applyFill="1" applyAlignment="1" applyProtection="1">
      <alignment horizontal="left" vertical="center"/>
      <protection hidden="1"/>
    </xf>
    <xf numFmtId="0" fontId="3" fillId="40" borderId="0" xfId="0" quotePrefix="1" applyFont="1" applyFill="1" applyAlignment="1" applyProtection="1">
      <alignment horizontal="right"/>
      <protection hidden="1"/>
    </xf>
    <xf numFmtId="0" fontId="5" fillId="40" borderId="0" xfId="0" quotePrefix="1" applyFont="1" applyFill="1" applyAlignment="1" applyProtection="1">
      <alignment horizontal="left"/>
      <protection hidden="1"/>
    </xf>
    <xf numFmtId="0" fontId="3" fillId="40" borderId="0" xfId="0" quotePrefix="1" applyFont="1" applyFill="1" applyAlignment="1" applyProtection="1">
      <alignment horizontal="right" vertical="center"/>
      <protection hidden="1"/>
    </xf>
    <xf numFmtId="0" fontId="3" fillId="40" borderId="10" xfId="0" applyFont="1" applyFill="1" applyBorder="1" applyAlignment="1" applyProtection="1">
      <alignment horizontal="center"/>
      <protection hidden="1"/>
    </xf>
    <xf numFmtId="0" fontId="9" fillId="40" borderId="0" xfId="0" quotePrefix="1" applyFont="1" applyFill="1" applyAlignment="1" applyProtection="1">
      <alignment horizontal="left"/>
      <protection hidden="1"/>
    </xf>
    <xf numFmtId="0" fontId="9" fillId="40" borderId="0" xfId="0" quotePrefix="1" applyFont="1" applyFill="1" applyAlignment="1" applyProtection="1">
      <alignment horizontal="right"/>
      <protection hidden="1"/>
    </xf>
    <xf numFmtId="166" fontId="3" fillId="40" borderId="0" xfId="0" applyNumberFormat="1" applyFont="1" applyFill="1" applyAlignment="1" applyProtection="1">
      <alignment horizontal="right"/>
      <protection locked="0"/>
    </xf>
    <xf numFmtId="1" fontId="3" fillId="40" borderId="12" xfId="0" applyNumberFormat="1" applyFont="1" applyFill="1" applyBorder="1" applyAlignment="1" applyProtection="1">
      <alignment horizontal="center"/>
      <protection hidden="1"/>
    </xf>
    <xf numFmtId="166" fontId="3" fillId="40" borderId="0" xfId="0" applyNumberFormat="1" applyFont="1" applyFill="1" applyAlignment="1" applyProtection="1">
      <alignment horizontal="right" indent="1"/>
      <protection locked="0"/>
    </xf>
    <xf numFmtId="0" fontId="3" fillId="40" borderId="6" xfId="0" applyFont="1" applyFill="1" applyBorder="1" applyAlignment="1" applyProtection="1">
      <alignment horizontal="center"/>
      <protection hidden="1"/>
    </xf>
    <xf numFmtId="0" fontId="5" fillId="40" borderId="0" xfId="0" applyFont="1" applyFill="1" applyProtection="1">
      <protection hidden="1"/>
    </xf>
    <xf numFmtId="0" fontId="9" fillId="40" borderId="0" xfId="0" applyFont="1" applyFill="1" applyProtection="1">
      <protection hidden="1"/>
    </xf>
    <xf numFmtId="0" fontId="9" fillId="40" borderId="0" xfId="0" applyFont="1" applyFill="1" applyAlignment="1" applyProtection="1">
      <alignment horizontal="right"/>
      <protection hidden="1"/>
    </xf>
    <xf numFmtId="0" fontId="25" fillId="40" borderId="0" xfId="0" applyFont="1" applyFill="1" applyAlignment="1" applyProtection="1">
      <alignment horizontal="right"/>
      <protection hidden="1"/>
    </xf>
    <xf numFmtId="0" fontId="7" fillId="40" borderId="0" xfId="0" applyFont="1" applyFill="1" applyProtection="1">
      <protection hidden="1"/>
    </xf>
    <xf numFmtId="0" fontId="0" fillId="40" borderId="0" xfId="0" applyFill="1" applyProtection="1">
      <protection hidden="1"/>
    </xf>
    <xf numFmtId="0" fontId="3" fillId="40" borderId="0" xfId="0" applyFont="1" applyFill="1" applyAlignment="1" applyProtection="1">
      <alignment horizontal="left"/>
      <protection hidden="1"/>
    </xf>
    <xf numFmtId="0" fontId="8" fillId="40" borderId="0" xfId="0" applyFont="1" applyFill="1" applyAlignment="1" applyProtection="1">
      <alignment horizontal="left" vertical="center"/>
      <protection hidden="1"/>
    </xf>
    <xf numFmtId="0" fontId="3" fillId="40" borderId="0" xfId="0" applyFont="1" applyFill="1" applyAlignment="1" applyProtection="1">
      <alignment horizontal="right" vertical="center"/>
      <protection hidden="1"/>
    </xf>
    <xf numFmtId="0" fontId="0" fillId="40" borderId="0" xfId="0" applyFill="1" applyAlignment="1" applyProtection="1">
      <alignment vertical="center"/>
      <protection hidden="1"/>
    </xf>
    <xf numFmtId="0" fontId="9" fillId="40" borderId="0" xfId="0" applyFont="1" applyFill="1" applyAlignment="1" applyProtection="1">
      <alignment vertical="center"/>
      <protection hidden="1"/>
    </xf>
    <xf numFmtId="0" fontId="15" fillId="40" borderId="0" xfId="0" applyFont="1" applyFill="1" applyAlignment="1" applyProtection="1">
      <alignment horizontal="left" vertical="center"/>
      <protection hidden="1"/>
    </xf>
    <xf numFmtId="0" fontId="9" fillId="40" borderId="0" xfId="0" applyFont="1" applyFill="1" applyAlignment="1" applyProtection="1">
      <alignment horizontal="center" vertical="center"/>
      <protection hidden="1"/>
    </xf>
    <xf numFmtId="1" fontId="9" fillId="40" borderId="0" xfId="0" applyNumberFormat="1" applyFont="1" applyFill="1" applyAlignment="1" applyProtection="1">
      <alignment horizontal="right" vertical="center"/>
      <protection hidden="1"/>
    </xf>
    <xf numFmtId="1" fontId="7" fillId="40" borderId="0" xfId="0" applyNumberFormat="1" applyFont="1" applyFill="1" applyAlignment="1" applyProtection="1">
      <alignment horizontal="right" vertical="center"/>
      <protection hidden="1"/>
    </xf>
    <xf numFmtId="0" fontId="3" fillId="40" borderId="4" xfId="0" applyFont="1" applyFill="1" applyBorder="1" applyAlignment="1" applyProtection="1">
      <alignment horizontal="right"/>
      <protection hidden="1"/>
    </xf>
    <xf numFmtId="0" fontId="0" fillId="40" borderId="4" xfId="0" applyFill="1" applyBorder="1" applyProtection="1">
      <protection hidden="1"/>
    </xf>
    <xf numFmtId="0" fontId="9" fillId="40" borderId="4" xfId="0" applyFont="1" applyFill="1" applyBorder="1" applyProtection="1">
      <protection hidden="1"/>
    </xf>
    <xf numFmtId="0" fontId="75" fillId="40" borderId="4" xfId="0" applyFont="1" applyFill="1" applyBorder="1" applyProtection="1">
      <protection hidden="1"/>
    </xf>
    <xf numFmtId="4" fontId="7" fillId="40" borderId="4" xfId="0" applyNumberFormat="1" applyFont="1" applyFill="1" applyBorder="1" applyProtection="1">
      <protection hidden="1"/>
    </xf>
    <xf numFmtId="4" fontId="9" fillId="40" borderId="4" xfId="0" applyNumberFormat="1" applyFont="1" applyFill="1" applyBorder="1" applyAlignment="1" applyProtection="1">
      <alignment horizontal="right"/>
      <protection hidden="1"/>
    </xf>
    <xf numFmtId="0" fontId="75" fillId="40" borderId="0" xfId="0" applyFont="1" applyFill="1" applyProtection="1">
      <protection hidden="1"/>
    </xf>
    <xf numFmtId="0" fontId="9" fillId="40" borderId="7" xfId="0" applyFont="1" applyFill="1" applyBorder="1" applyProtection="1">
      <protection hidden="1"/>
    </xf>
    <xf numFmtId="0" fontId="117" fillId="40" borderId="0" xfId="0" applyFont="1" applyFill="1" applyProtection="1">
      <protection hidden="1"/>
    </xf>
    <xf numFmtId="0" fontId="3" fillId="40" borderId="0" xfId="0" applyFont="1" applyFill="1" applyAlignment="1" applyProtection="1">
      <alignment vertical="center"/>
      <protection hidden="1"/>
    </xf>
    <xf numFmtId="0" fontId="3" fillId="40" borderId="4" xfId="0" applyFont="1" applyFill="1" applyBorder="1" applyProtection="1">
      <protection hidden="1"/>
    </xf>
    <xf numFmtId="1" fontId="3" fillId="40" borderId="12" xfId="0" applyNumberFormat="1" applyFont="1" applyFill="1" applyBorder="1" applyAlignment="1" applyProtection="1">
      <alignment horizontal="center" vertical="center"/>
      <protection hidden="1"/>
    </xf>
    <xf numFmtId="1" fontId="3" fillId="40" borderId="10" xfId="0" applyNumberFormat="1" applyFont="1" applyFill="1" applyBorder="1" applyAlignment="1" applyProtection="1">
      <alignment horizontal="center" vertical="center"/>
      <protection hidden="1"/>
    </xf>
    <xf numFmtId="0" fontId="0" fillId="40" borderId="0" xfId="0" applyFill="1" applyAlignment="1" applyProtection="1">
      <alignment horizontal="right"/>
      <protection hidden="1"/>
    </xf>
    <xf numFmtId="1" fontId="3" fillId="40" borderId="6" xfId="0" applyNumberFormat="1" applyFont="1" applyFill="1" applyBorder="1" applyAlignment="1" applyProtection="1">
      <alignment horizontal="center"/>
      <protection hidden="1"/>
    </xf>
    <xf numFmtId="0" fontId="3" fillId="40" borderId="10" xfId="0" quotePrefix="1" applyFont="1" applyFill="1" applyBorder="1" applyAlignment="1" applyProtection="1">
      <alignment horizontal="right"/>
      <protection hidden="1"/>
    </xf>
    <xf numFmtId="0" fontId="3" fillId="40" borderId="12" xfId="0" quotePrefix="1" applyFont="1" applyFill="1" applyBorder="1" applyAlignment="1" applyProtection="1">
      <alignment horizontal="right"/>
      <protection hidden="1"/>
    </xf>
    <xf numFmtId="0" fontId="7" fillId="40" borderId="0" xfId="0" applyFont="1" applyFill="1" applyAlignment="1" applyProtection="1">
      <alignment horizontal="left"/>
      <protection hidden="1"/>
    </xf>
    <xf numFmtId="1" fontId="3" fillId="40" borderId="10" xfId="0" applyNumberFormat="1" applyFont="1" applyFill="1" applyBorder="1" applyAlignment="1" applyProtection="1">
      <alignment horizontal="center"/>
      <protection hidden="1"/>
    </xf>
    <xf numFmtId="0" fontId="7" fillId="40" borderId="0" xfId="0" applyFont="1" applyFill="1" applyAlignment="1" applyProtection="1">
      <alignment vertical="top"/>
      <protection hidden="1"/>
    </xf>
    <xf numFmtId="0" fontId="9" fillId="40" borderId="0" xfId="0" applyFont="1" applyFill="1" applyAlignment="1" applyProtection="1">
      <alignment horizontal="centerContinuous" vertical="center"/>
      <protection hidden="1"/>
    </xf>
    <xf numFmtId="0" fontId="9" fillId="40" borderId="1" xfId="0" applyFont="1" applyFill="1" applyBorder="1" applyAlignment="1" applyProtection="1">
      <alignment horizontal="centerContinuous" vertical="center"/>
      <protection hidden="1"/>
    </xf>
    <xf numFmtId="0" fontId="5" fillId="40" borderId="0" xfId="0" applyFont="1" applyFill="1" applyAlignment="1" applyProtection="1">
      <alignment horizontal="right" vertical="top"/>
      <protection hidden="1"/>
    </xf>
    <xf numFmtId="0" fontId="9" fillId="40" borderId="0" xfId="0" applyFont="1" applyFill="1" applyAlignment="1">
      <alignment horizontal="right" vertical="center"/>
    </xf>
    <xf numFmtId="0" fontId="7" fillId="40" borderId="0" xfId="0" applyFont="1" applyFill="1" applyAlignment="1">
      <alignment horizontal="left"/>
    </xf>
    <xf numFmtId="0" fontId="9" fillId="40" borderId="0" xfId="0" applyFont="1" applyFill="1" applyAlignment="1">
      <alignment horizontal="left" vertical="center"/>
    </xf>
    <xf numFmtId="0" fontId="9" fillId="40" borderId="0" xfId="0" applyFont="1" applyFill="1" applyAlignment="1">
      <alignment horizontal="left" vertical="top" wrapText="1"/>
    </xf>
    <xf numFmtId="0" fontId="7" fillId="40" borderId="0" xfId="0" applyFont="1" applyFill="1" applyAlignment="1">
      <alignment horizontal="left" vertical="top"/>
    </xf>
    <xf numFmtId="0" fontId="7" fillId="40" borderId="3" xfId="0" applyFont="1" applyFill="1" applyBorder="1" applyAlignment="1" applyProtection="1">
      <alignment horizontal="left" vertical="top"/>
      <protection hidden="1"/>
    </xf>
    <xf numFmtId="0" fontId="9" fillId="40" borderId="1" xfId="0" applyFont="1" applyFill="1" applyBorder="1" applyAlignment="1">
      <alignment horizontal="left" vertical="center"/>
    </xf>
    <xf numFmtId="0" fontId="9" fillId="40" borderId="1" xfId="0" applyFont="1" applyFill="1" applyBorder="1" applyAlignment="1">
      <alignment horizontal="left" vertical="top" wrapText="1"/>
    </xf>
    <xf numFmtId="0" fontId="9" fillId="40" borderId="1" xfId="0" applyFont="1" applyFill="1" applyBorder="1" applyAlignment="1" applyProtection="1">
      <alignment horizontal="left" vertical="center"/>
      <protection hidden="1"/>
    </xf>
    <xf numFmtId="0" fontId="9" fillId="40" borderId="8" xfId="0" applyFont="1" applyFill="1" applyBorder="1" applyAlignment="1">
      <alignment horizontal="left" vertical="center"/>
    </xf>
    <xf numFmtId="0" fontId="9" fillId="40" borderId="8" xfId="0" applyFont="1" applyFill="1" applyBorder="1" applyAlignment="1">
      <alignment horizontal="left" vertical="top" wrapText="1"/>
    </xf>
    <xf numFmtId="0" fontId="9" fillId="40" borderId="8" xfId="0" applyFont="1" applyFill="1" applyBorder="1" applyAlignment="1" applyProtection="1">
      <alignment horizontal="left" vertical="center"/>
      <protection hidden="1"/>
    </xf>
    <xf numFmtId="0" fontId="7" fillId="40" borderId="3" xfId="0" applyFont="1" applyFill="1" applyBorder="1" applyAlignment="1" applyProtection="1">
      <alignment horizontal="left" vertical="center"/>
      <protection hidden="1"/>
    </xf>
    <xf numFmtId="0" fontId="9" fillId="40" borderId="3" xfId="0" applyFont="1" applyFill="1" applyBorder="1" applyAlignment="1" applyProtection="1">
      <alignment horizontal="left" vertical="center"/>
      <protection hidden="1"/>
    </xf>
    <xf numFmtId="0" fontId="9" fillId="40" borderId="0" xfId="0" applyFont="1" applyFill="1" applyAlignment="1" applyProtection="1">
      <alignment horizontal="left" vertical="top" wrapText="1"/>
      <protection hidden="1"/>
    </xf>
    <xf numFmtId="0" fontId="9" fillId="40" borderId="14" xfId="0" applyFont="1" applyFill="1" applyBorder="1" applyAlignment="1">
      <alignment horizontal="left" vertical="top" wrapText="1"/>
    </xf>
    <xf numFmtId="0" fontId="9" fillId="40" borderId="24" xfId="0" applyFont="1" applyFill="1" applyBorder="1" applyAlignment="1">
      <alignment horizontal="left" vertical="center"/>
    </xf>
    <xf numFmtId="0" fontId="9" fillId="40" borderId="3" xfId="0" applyFont="1" applyFill="1" applyBorder="1" applyAlignment="1">
      <alignment horizontal="left" vertical="center"/>
    </xf>
    <xf numFmtId="0" fontId="11" fillId="40" borderId="0" xfId="0" quotePrefix="1" applyFont="1" applyFill="1" applyAlignment="1">
      <alignment horizontal="left" vertical="top"/>
    </xf>
    <xf numFmtId="0" fontId="9" fillId="40" borderId="0" xfId="0" applyFont="1" applyFill="1" applyAlignment="1">
      <alignment horizontal="left" vertical="top"/>
    </xf>
    <xf numFmtId="0" fontId="3" fillId="40" borderId="1" xfId="0" applyFont="1" applyFill="1" applyBorder="1" applyAlignment="1" applyProtection="1">
      <alignment horizontal="right"/>
      <protection hidden="1"/>
    </xf>
    <xf numFmtId="0" fontId="3" fillId="40" borderId="1" xfId="0" applyFont="1" applyFill="1" applyBorder="1" applyProtection="1">
      <protection hidden="1"/>
    </xf>
    <xf numFmtId="0" fontId="7" fillId="40" borderId="1" xfId="0" applyFont="1" applyFill="1" applyBorder="1" applyProtection="1">
      <protection hidden="1"/>
    </xf>
    <xf numFmtId="0" fontId="9" fillId="40" borderId="1" xfId="0" applyFont="1" applyFill="1" applyBorder="1" applyProtection="1">
      <protection hidden="1"/>
    </xf>
    <xf numFmtId="166" fontId="3" fillId="40" borderId="1" xfId="0" applyNumberFormat="1" applyFont="1" applyFill="1" applyBorder="1" applyAlignment="1" applyProtection="1">
      <alignment horizontal="right"/>
      <protection locked="0"/>
    </xf>
    <xf numFmtId="167" fontId="8" fillId="40" borderId="24" xfId="0" applyNumberFormat="1" applyFont="1" applyFill="1" applyBorder="1" applyAlignment="1" applyProtection="1">
      <alignment horizontal="right" vertical="center"/>
      <protection hidden="1"/>
    </xf>
    <xf numFmtId="167" fontId="7" fillId="40" borderId="0" xfId="0" applyNumberFormat="1" applyFont="1" applyFill="1" applyAlignment="1" applyProtection="1">
      <alignment horizontal="left"/>
      <protection hidden="1"/>
    </xf>
    <xf numFmtId="0" fontId="8" fillId="40" borderId="0" xfId="0" applyFont="1" applyFill="1" applyAlignment="1" applyProtection="1">
      <alignment horizontal="right"/>
      <protection hidden="1"/>
    </xf>
    <xf numFmtId="0" fontId="7" fillId="40" borderId="0" xfId="0" applyFont="1" applyFill="1" applyAlignment="1" applyProtection="1">
      <alignment horizontal="center" vertical="center"/>
      <protection hidden="1"/>
    </xf>
    <xf numFmtId="0" fontId="0" fillId="40" borderId="0" xfId="0" applyFill="1" applyAlignment="1">
      <alignment horizontal="center"/>
    </xf>
    <xf numFmtId="4" fontId="7" fillId="40" borderId="0" xfId="0" applyNumberFormat="1" applyFont="1" applyFill="1" applyProtection="1">
      <protection hidden="1"/>
    </xf>
    <xf numFmtId="4" fontId="9" fillId="40" borderId="0" xfId="0" applyNumberFormat="1" applyFont="1" applyFill="1" applyProtection="1">
      <protection hidden="1"/>
    </xf>
    <xf numFmtId="0" fontId="8" fillId="40" borderId="0" xfId="0" applyFont="1" applyFill="1" applyProtection="1">
      <protection hidden="1"/>
    </xf>
    <xf numFmtId="0" fontId="3" fillId="40" borderId="0" xfId="0" applyFont="1" applyFill="1" applyAlignment="1" applyProtection="1">
      <alignment horizontal="right" indent="1"/>
      <protection hidden="1"/>
    </xf>
    <xf numFmtId="0" fontId="3" fillId="40" borderId="8" xfId="0" applyFont="1" applyFill="1" applyBorder="1" applyAlignment="1" applyProtection="1">
      <alignment horizontal="right"/>
      <protection hidden="1"/>
    </xf>
    <xf numFmtId="0" fontId="3" fillId="40" borderId="8" xfId="0" applyFont="1" applyFill="1" applyBorder="1" applyProtection="1">
      <protection hidden="1"/>
    </xf>
    <xf numFmtId="0" fontId="9" fillId="40" borderId="8" xfId="0" applyFont="1" applyFill="1" applyBorder="1" applyProtection="1">
      <protection hidden="1"/>
    </xf>
    <xf numFmtId="0" fontId="7" fillId="40" borderId="8" xfId="0" applyFont="1" applyFill="1" applyBorder="1" applyAlignment="1" applyProtection="1">
      <alignment horizontal="center" vertical="center"/>
      <protection hidden="1"/>
    </xf>
    <xf numFmtId="0" fontId="0" fillId="40" borderId="8" xfId="0" applyFill="1" applyBorder="1" applyAlignment="1">
      <alignment horizontal="center"/>
    </xf>
    <xf numFmtId="166" fontId="3" fillId="40" borderId="70" xfId="0" applyNumberFormat="1" applyFont="1" applyFill="1" applyBorder="1" applyAlignment="1" applyProtection="1">
      <alignment horizontal="right" indent="1"/>
      <protection locked="0"/>
    </xf>
    <xf numFmtId="0" fontId="9" fillId="40" borderId="0" xfId="0" applyFont="1" applyFill="1" applyAlignment="1" applyProtection="1">
      <alignment wrapText="1"/>
      <protection hidden="1"/>
    </xf>
    <xf numFmtId="0" fontId="9" fillId="40" borderId="0" xfId="0" applyFont="1" applyFill="1" applyAlignment="1" applyProtection="1">
      <alignment vertical="top"/>
      <protection hidden="1"/>
    </xf>
    <xf numFmtId="0" fontId="5" fillId="40" borderId="1" xfId="0" applyFont="1" applyFill="1" applyBorder="1" applyAlignment="1" applyProtection="1">
      <alignment horizontal="right" vertical="top"/>
      <protection hidden="1"/>
    </xf>
    <xf numFmtId="0" fontId="7" fillId="40" borderId="3" xfId="0" applyFont="1" applyFill="1" applyBorder="1" applyAlignment="1" applyProtection="1">
      <alignment vertical="top"/>
      <protection hidden="1"/>
    </xf>
    <xf numFmtId="0" fontId="7" fillId="40" borderId="9" xfId="0" applyFont="1" applyFill="1" applyBorder="1" applyAlignment="1" applyProtection="1">
      <alignment vertical="top"/>
      <protection hidden="1"/>
    </xf>
    <xf numFmtId="0" fontId="7" fillId="40" borderId="1" xfId="0" applyFont="1" applyFill="1" applyBorder="1" applyAlignment="1" applyProtection="1">
      <alignment vertical="top"/>
      <protection hidden="1"/>
    </xf>
    <xf numFmtId="0" fontId="9" fillId="40" borderId="1" xfId="0" applyFont="1" applyFill="1" applyBorder="1" applyAlignment="1" applyProtection="1">
      <alignment horizontal="center" vertical="center"/>
      <protection hidden="1"/>
    </xf>
    <xf numFmtId="0" fontId="7" fillId="40" borderId="25" xfId="0" applyFont="1" applyFill="1" applyBorder="1" applyAlignment="1" applyProtection="1">
      <alignment vertical="top"/>
      <protection hidden="1"/>
    </xf>
    <xf numFmtId="0" fontId="9" fillId="40" borderId="1" xfId="0" applyFont="1" applyFill="1" applyBorder="1" applyAlignment="1" applyProtection="1">
      <alignment horizontal="left"/>
      <protection hidden="1"/>
    </xf>
    <xf numFmtId="0" fontId="9" fillId="40" borderId="0" xfId="0" applyFont="1" applyFill="1" applyAlignment="1" applyProtection="1">
      <alignment horizontal="left"/>
      <protection hidden="1"/>
    </xf>
    <xf numFmtId="0" fontId="9" fillId="40" borderId="0" xfId="0" applyFont="1" applyFill="1" applyAlignment="1" applyProtection="1">
      <alignment horizontal="center" wrapText="1"/>
      <protection hidden="1"/>
    </xf>
    <xf numFmtId="0" fontId="19" fillId="40" borderId="0" xfId="0" applyFont="1" applyFill="1" applyAlignment="1" applyProtection="1">
      <alignment vertical="center"/>
      <protection hidden="1"/>
    </xf>
    <xf numFmtId="0" fontId="10" fillId="40" borderId="0" xfId="0" applyFont="1" applyFill="1" applyAlignment="1" applyProtection="1">
      <alignment horizontal="left"/>
      <protection hidden="1"/>
    </xf>
    <xf numFmtId="0" fontId="15" fillId="40" borderId="0" xfId="0" applyFont="1" applyFill="1" applyAlignment="1" applyProtection="1">
      <alignment horizontal="center"/>
      <protection hidden="1"/>
    </xf>
    <xf numFmtId="0" fontId="9" fillId="40" borderId="24" xfId="0" applyFont="1" applyFill="1" applyBorder="1" applyAlignment="1" applyProtection="1">
      <alignment horizontal="left"/>
      <protection hidden="1"/>
    </xf>
    <xf numFmtId="0" fontId="7" fillId="40" borderId="8" xfId="0" applyFont="1" applyFill="1" applyBorder="1" applyAlignment="1" applyProtection="1">
      <alignment vertical="center"/>
      <protection hidden="1"/>
    </xf>
    <xf numFmtId="166" fontId="3" fillId="40" borderId="14" xfId="0" applyNumberFormat="1" applyFont="1" applyFill="1" applyBorder="1" applyAlignment="1" applyProtection="1">
      <alignment horizontal="right" vertical="top" indent="1"/>
      <protection locked="0"/>
    </xf>
    <xf numFmtId="0" fontId="5" fillId="40" borderId="1" xfId="0" applyFont="1" applyFill="1" applyBorder="1" applyAlignment="1" applyProtection="1">
      <alignment horizontal="left" vertical="top"/>
      <protection hidden="1"/>
    </xf>
    <xf numFmtId="37" fontId="0" fillId="0" borderId="0" xfId="0" applyNumberFormat="1" applyAlignment="1" applyProtection="1">
      <alignment horizontal="right"/>
      <protection hidden="1"/>
    </xf>
    <xf numFmtId="0" fontId="22" fillId="15" borderId="0" xfId="0" applyFont="1" applyFill="1" applyAlignment="1" applyProtection="1">
      <alignment horizontal="right" vertical="center"/>
      <protection hidden="1"/>
    </xf>
    <xf numFmtId="0" fontId="14" fillId="15" borderId="4" xfId="0" applyFont="1" applyFill="1" applyBorder="1" applyProtection="1">
      <protection hidden="1"/>
    </xf>
    <xf numFmtId="0" fontId="3" fillId="15" borderId="7" xfId="0" applyFont="1" applyFill="1" applyBorder="1" applyAlignment="1" applyProtection="1">
      <alignment vertical="center"/>
      <protection hidden="1"/>
    </xf>
    <xf numFmtId="0" fontId="3" fillId="15" borderId="13" xfId="0" applyFont="1" applyFill="1" applyBorder="1" applyProtection="1">
      <protection hidden="1"/>
    </xf>
    <xf numFmtId="0" fontId="14" fillId="19" borderId="6"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37" fontId="0" fillId="0" borderId="1" xfId="0" applyNumberFormat="1" applyBorder="1" applyProtection="1">
      <protection locked="0"/>
    </xf>
    <xf numFmtId="0" fontId="9" fillId="15" borderId="0" xfId="0" applyFont="1" applyFill="1" applyAlignment="1" applyProtection="1">
      <alignment horizontal="left" vertical="top" wrapText="1"/>
      <protection hidden="1"/>
    </xf>
    <xf numFmtId="0" fontId="0" fillId="15" borderId="206" xfId="0" applyFill="1" applyBorder="1" applyProtection="1">
      <protection hidden="1"/>
    </xf>
    <xf numFmtId="0" fontId="0" fillId="15" borderId="206" xfId="0" applyFill="1" applyBorder="1" applyAlignment="1" applyProtection="1">
      <alignment horizontal="left" vertical="center" wrapText="1" indent="2"/>
      <protection hidden="1"/>
    </xf>
    <xf numFmtId="0" fontId="9" fillId="15" borderId="13" xfId="0" applyFont="1" applyFill="1" applyBorder="1" applyAlignment="1" applyProtection="1">
      <alignment horizontal="left" vertical="top" wrapText="1"/>
      <protection hidden="1"/>
    </xf>
    <xf numFmtId="0" fontId="3" fillId="19" borderId="24" xfId="0" applyFont="1" applyFill="1" applyBorder="1" applyAlignment="1" applyProtection="1">
      <alignment horizontal="center" vertical="center"/>
      <protection hidden="1"/>
    </xf>
    <xf numFmtId="0" fontId="8" fillId="23" borderId="0" xfId="0" applyFont="1" applyFill="1" applyAlignment="1" applyProtection="1">
      <alignment horizontal="center" vertical="center"/>
      <protection hidden="1"/>
    </xf>
    <xf numFmtId="3" fontId="3" fillId="15" borderId="3" xfId="0" applyNumberFormat="1" applyFont="1" applyFill="1" applyBorder="1" applyAlignment="1" applyProtection="1">
      <alignment vertical="center" wrapText="1"/>
      <protection hidden="1"/>
    </xf>
    <xf numFmtId="3" fontId="0" fillId="15" borderId="0" xfId="0" applyNumberFormat="1" applyFill="1" applyAlignment="1" applyProtection="1">
      <alignment vertical="center" wrapText="1"/>
      <protection hidden="1"/>
    </xf>
    <xf numFmtId="0" fontId="8" fillId="15" borderId="0" xfId="0" quotePrefix="1" applyFont="1" applyFill="1" applyAlignment="1" applyProtection="1">
      <alignment horizontal="center"/>
      <protection hidden="1"/>
    </xf>
    <xf numFmtId="0" fontId="7" fillId="15" borderId="0" xfId="0" applyFont="1" applyFill="1" applyAlignment="1" applyProtection="1">
      <alignment horizontal="right"/>
      <protection hidden="1"/>
    </xf>
    <xf numFmtId="0" fontId="8" fillId="15" borderId="12" xfId="0" quotePrefix="1" applyFont="1" applyFill="1" applyBorder="1" applyAlignment="1" applyProtection="1">
      <alignment horizontal="left" vertical="center"/>
      <protection hidden="1"/>
    </xf>
    <xf numFmtId="0" fontId="7" fillId="15" borderId="0" xfId="0" quotePrefix="1" applyFont="1" applyFill="1" applyProtection="1">
      <protection hidden="1"/>
    </xf>
    <xf numFmtId="0" fontId="7" fillId="15" borderId="0" xfId="0" quotePrefix="1" applyFont="1" applyFill="1" applyAlignment="1" applyProtection="1">
      <alignment horizontal="center"/>
      <protection hidden="1"/>
    </xf>
    <xf numFmtId="0" fontId="8" fillId="15" borderId="13" xfId="0" quotePrefix="1" applyFont="1" applyFill="1" applyBorder="1" applyAlignment="1" applyProtection="1">
      <alignment horizontal="center"/>
      <protection hidden="1"/>
    </xf>
    <xf numFmtId="0" fontId="8" fillId="15" borderId="0" xfId="0" applyFont="1" applyFill="1" applyAlignment="1" applyProtection="1">
      <alignment horizontal="right" vertical="center"/>
      <protection hidden="1"/>
    </xf>
    <xf numFmtId="0" fontId="0" fillId="15" borderId="25" xfId="0" applyFill="1" applyBorder="1" applyAlignment="1" applyProtection="1">
      <alignment horizontal="right" vertical="center"/>
      <protection hidden="1"/>
    </xf>
    <xf numFmtId="0" fontId="7" fillId="15" borderId="25" xfId="0" applyFont="1" applyFill="1" applyBorder="1" applyAlignment="1" applyProtection="1">
      <alignment vertical="center"/>
      <protection hidden="1"/>
    </xf>
    <xf numFmtId="0" fontId="7" fillId="15" borderId="25" xfId="0" applyFont="1" applyFill="1" applyBorder="1" applyAlignment="1" applyProtection="1">
      <alignment horizontal="center" vertical="center"/>
      <protection hidden="1"/>
    </xf>
    <xf numFmtId="0" fontId="5" fillId="15" borderId="0" xfId="0" applyFont="1" applyFill="1" applyAlignment="1" applyProtection="1">
      <alignment horizontal="left" vertical="center" wrapText="1"/>
      <protection locked="0"/>
    </xf>
    <xf numFmtId="0" fontId="0" fillId="19" borderId="30" xfId="0" applyFill="1" applyBorder="1" applyAlignment="1" applyProtection="1">
      <alignment horizontal="left" vertical="center"/>
      <protection hidden="1"/>
    </xf>
    <xf numFmtId="0" fontId="0" fillId="19" borderId="14" xfId="0" applyFill="1" applyBorder="1" applyAlignment="1" applyProtection="1">
      <alignment horizontal="left" vertical="center"/>
      <protection hidden="1"/>
    </xf>
    <xf numFmtId="0" fontId="0" fillId="19" borderId="3" xfId="0" applyFill="1" applyBorder="1" applyAlignment="1" applyProtection="1">
      <alignment horizontal="left" vertical="center"/>
      <protection hidden="1"/>
    </xf>
    <xf numFmtId="0" fontId="0" fillId="19" borderId="24" xfId="0" applyFill="1" applyBorder="1" applyAlignment="1" applyProtection="1">
      <alignment horizontal="left" vertical="center"/>
      <protection hidden="1"/>
    </xf>
    <xf numFmtId="0" fontId="5" fillId="15" borderId="4" xfId="0" applyFont="1" applyFill="1" applyBorder="1" applyAlignment="1" applyProtection="1">
      <alignment horizontal="right" vertical="center"/>
      <protection hidden="1"/>
    </xf>
    <xf numFmtId="0" fontId="0" fillId="15" borderId="4" xfId="0" applyFill="1" applyBorder="1" applyAlignment="1" applyProtection="1">
      <alignment vertical="center"/>
      <protection hidden="1"/>
    </xf>
    <xf numFmtId="0" fontId="7" fillId="15" borderId="4" xfId="0" applyFont="1" applyFill="1" applyBorder="1" applyAlignment="1" applyProtection="1">
      <alignment vertical="center"/>
      <protection hidden="1"/>
    </xf>
    <xf numFmtId="0" fontId="7" fillId="15" borderId="4" xfId="0" applyFont="1" applyFill="1" applyBorder="1" applyAlignment="1" applyProtection="1">
      <alignment horizontal="center" vertical="center"/>
      <protection hidden="1"/>
    </xf>
    <xf numFmtId="0" fontId="5" fillId="15" borderId="99" xfId="0" applyFont="1" applyFill="1" applyBorder="1" applyAlignment="1" applyProtection="1">
      <alignment horizontal="right" vertical="center"/>
      <protection hidden="1"/>
    </xf>
    <xf numFmtId="0" fontId="0" fillId="15" borderId="99" xfId="0" applyFill="1" applyBorder="1" applyAlignment="1" applyProtection="1">
      <alignment vertical="center"/>
      <protection hidden="1"/>
    </xf>
    <xf numFmtId="0" fontId="7" fillId="15" borderId="99" xfId="0" applyFont="1" applyFill="1" applyBorder="1" applyAlignment="1" applyProtection="1">
      <alignment vertical="center"/>
      <protection hidden="1"/>
    </xf>
    <xf numFmtId="0" fontId="7" fillId="15" borderId="99" xfId="0" applyFont="1" applyFill="1" applyBorder="1" applyAlignment="1" applyProtection="1">
      <alignment horizontal="center" vertical="center"/>
      <protection hidden="1"/>
    </xf>
    <xf numFmtId="0" fontId="3" fillId="15" borderId="16" xfId="0" applyFont="1" applyFill="1" applyBorder="1" applyAlignment="1" applyProtection="1">
      <alignment horizontal="right" vertical="center"/>
      <protection hidden="1"/>
    </xf>
    <xf numFmtId="0" fontId="0" fillId="15" borderId="16" xfId="0" applyFill="1" applyBorder="1" applyAlignment="1" applyProtection="1">
      <alignment vertical="center"/>
      <protection hidden="1"/>
    </xf>
    <xf numFmtId="0" fontId="7" fillId="15" borderId="16" xfId="0" applyFont="1" applyFill="1" applyBorder="1" applyAlignment="1" applyProtection="1">
      <alignment vertical="center"/>
      <protection hidden="1"/>
    </xf>
    <xf numFmtId="0" fontId="7" fillId="15" borderId="16" xfId="0" applyFont="1" applyFill="1" applyBorder="1" applyAlignment="1" applyProtection="1">
      <alignment horizontal="center" vertical="center"/>
      <protection hidden="1"/>
    </xf>
    <xf numFmtId="0" fontId="8" fillId="15" borderId="16" xfId="0" applyFont="1" applyFill="1" applyBorder="1" applyAlignment="1" applyProtection="1">
      <alignment horizontal="right" vertical="center"/>
      <protection hidden="1"/>
    </xf>
    <xf numFmtId="0" fontId="0" fillId="15" borderId="13" xfId="0" applyFill="1" applyBorder="1" applyAlignment="1" applyProtection="1">
      <alignment horizontal="right" vertical="center"/>
      <protection hidden="1"/>
    </xf>
    <xf numFmtId="0" fontId="0" fillId="15" borderId="13" xfId="0" applyFill="1" applyBorder="1" applyAlignment="1" applyProtection="1">
      <alignment vertical="center"/>
      <protection hidden="1"/>
    </xf>
    <xf numFmtId="0" fontId="7" fillId="15" borderId="13" xfId="0" applyFont="1" applyFill="1" applyBorder="1" applyAlignment="1" applyProtection="1">
      <alignment vertical="center"/>
      <protection hidden="1"/>
    </xf>
    <xf numFmtId="0" fontId="7" fillId="15" borderId="13" xfId="0" applyFont="1" applyFill="1" applyBorder="1" applyAlignment="1" applyProtection="1">
      <alignment horizontal="center" vertical="center"/>
      <protection hidden="1"/>
    </xf>
    <xf numFmtId="0" fontId="5" fillId="15" borderId="13" xfId="0" applyFont="1" applyFill="1" applyBorder="1" applyAlignment="1" applyProtection="1">
      <alignment horizontal="right" vertical="center"/>
      <protection hidden="1"/>
    </xf>
    <xf numFmtId="0" fontId="8" fillId="15" borderId="13" xfId="0" applyFont="1" applyFill="1" applyBorder="1" applyAlignment="1" applyProtection="1">
      <alignment horizontal="right" vertical="center"/>
      <protection hidden="1"/>
    </xf>
    <xf numFmtId="0" fontId="0" fillId="15" borderId="30" xfId="0" applyFill="1" applyBorder="1" applyAlignment="1" applyProtection="1">
      <alignment vertical="center"/>
      <protection hidden="1"/>
    </xf>
    <xf numFmtId="0" fontId="0" fillId="15" borderId="14" xfId="0" applyFill="1" applyBorder="1" applyAlignment="1" applyProtection="1">
      <alignment vertical="center"/>
      <protection hidden="1"/>
    </xf>
    <xf numFmtId="0" fontId="0" fillId="19" borderId="30" xfId="0" applyFill="1" applyBorder="1" applyAlignment="1" applyProtection="1">
      <alignment vertical="center"/>
      <protection hidden="1"/>
    </xf>
    <xf numFmtId="0" fontId="0" fillId="19" borderId="8" xfId="0" applyFill="1" applyBorder="1" applyAlignment="1" applyProtection="1">
      <alignment vertical="center"/>
      <protection hidden="1"/>
    </xf>
    <xf numFmtId="0" fontId="5" fillId="19" borderId="8" xfId="0" applyFont="1" applyFill="1" applyBorder="1" applyAlignment="1" applyProtection="1">
      <alignment horizontal="right" vertical="center"/>
      <protection hidden="1"/>
    </xf>
    <xf numFmtId="0" fontId="8" fillId="19" borderId="8" xfId="0" applyFont="1" applyFill="1" applyBorder="1" applyAlignment="1" applyProtection="1">
      <alignment horizontal="right" vertical="center"/>
      <protection hidden="1"/>
    </xf>
    <xf numFmtId="0" fontId="0" fillId="19" borderId="3" xfId="0" applyFill="1" applyBorder="1" applyAlignment="1" applyProtection="1">
      <alignment vertical="center"/>
      <protection hidden="1"/>
    </xf>
    <xf numFmtId="0" fontId="0" fillId="19" borderId="0" xfId="0" applyFill="1" applyAlignment="1" applyProtection="1">
      <alignment vertical="center"/>
      <protection hidden="1"/>
    </xf>
    <xf numFmtId="0" fontId="5" fillId="19" borderId="0" xfId="0" applyFont="1" applyFill="1" applyAlignment="1" applyProtection="1">
      <alignment horizontal="right" vertical="center"/>
      <protection hidden="1"/>
    </xf>
    <xf numFmtId="0" fontId="0" fillId="19" borderId="69" xfId="0" applyFill="1" applyBorder="1" applyAlignment="1" applyProtection="1">
      <alignment vertical="center"/>
      <protection hidden="1"/>
    </xf>
    <xf numFmtId="0" fontId="0" fillId="19" borderId="4" xfId="0" applyFill="1" applyBorder="1" applyAlignment="1" applyProtection="1">
      <alignment vertical="center"/>
      <protection hidden="1"/>
    </xf>
    <xf numFmtId="0" fontId="5" fillId="19" borderId="4" xfId="0" applyFont="1" applyFill="1" applyBorder="1" applyAlignment="1" applyProtection="1">
      <alignment horizontal="right" vertical="center"/>
      <protection hidden="1"/>
    </xf>
    <xf numFmtId="0" fontId="8" fillId="19" borderId="4" xfId="0" applyFont="1" applyFill="1" applyBorder="1" applyAlignment="1" applyProtection="1">
      <alignment horizontal="right" vertical="center"/>
      <protection hidden="1"/>
    </xf>
    <xf numFmtId="0" fontId="0" fillId="19" borderId="52" xfId="0" applyFill="1" applyBorder="1" applyAlignment="1" applyProtection="1">
      <alignment vertical="center"/>
      <protection hidden="1"/>
    </xf>
    <xf numFmtId="0" fontId="0" fillId="19" borderId="31" xfId="0" applyFill="1" applyBorder="1" applyAlignment="1" applyProtection="1">
      <alignment vertical="center"/>
      <protection hidden="1"/>
    </xf>
    <xf numFmtId="6" fontId="5" fillId="15" borderId="0" xfId="0" applyNumberFormat="1" applyFont="1" applyFill="1" applyProtection="1">
      <protection hidden="1"/>
    </xf>
    <xf numFmtId="0" fontId="9" fillId="40" borderId="30" xfId="0" applyFont="1" applyFill="1" applyBorder="1" applyAlignment="1">
      <alignment horizontal="left" vertical="top" wrapText="1"/>
    </xf>
    <xf numFmtId="176" fontId="10" fillId="27" borderId="39" xfId="0" applyNumberFormat="1" applyFont="1" applyFill="1" applyBorder="1" applyAlignment="1" applyProtection="1">
      <alignment horizontal="center" vertical="center"/>
      <protection hidden="1"/>
    </xf>
    <xf numFmtId="176" fontId="10" fillId="27" borderId="201" xfId="0" applyNumberFormat="1" applyFont="1" applyFill="1" applyBorder="1" applyAlignment="1" applyProtection="1">
      <alignment horizontal="center" vertical="center"/>
      <protection hidden="1"/>
    </xf>
    <xf numFmtId="0" fontId="0" fillId="23" borderId="0" xfId="0" applyFill="1"/>
    <xf numFmtId="0" fontId="3" fillId="15" borderId="13" xfId="0" applyFont="1" applyFill="1" applyBorder="1" applyAlignment="1" applyProtection="1">
      <alignment horizontal="center" vertical="center"/>
      <protection hidden="1"/>
    </xf>
    <xf numFmtId="0" fontId="3" fillId="0" borderId="0" xfId="0" applyFont="1" applyAlignment="1">
      <alignment horizontal="center" wrapText="1"/>
    </xf>
    <xf numFmtId="0" fontId="5" fillId="15" borderId="0" xfId="0" applyFont="1" applyFill="1" applyAlignment="1" applyProtection="1">
      <alignment vertical="center" wrapText="1"/>
      <protection locked="0"/>
    </xf>
    <xf numFmtId="0" fontId="0" fillId="0" borderId="66" xfId="0" applyBorder="1" applyAlignment="1">
      <alignment horizontal="center"/>
    </xf>
    <xf numFmtId="0" fontId="0" fillId="0" borderId="58" xfId="0" applyBorder="1" applyAlignment="1">
      <alignment horizontal="center"/>
    </xf>
    <xf numFmtId="0" fontId="0" fillId="0" borderId="110" xfId="0" applyBorder="1" applyAlignment="1">
      <alignment horizontal="center"/>
    </xf>
    <xf numFmtId="0" fontId="122" fillId="0" borderId="0" xfId="0" applyFont="1" applyAlignment="1">
      <alignment vertical="center"/>
    </xf>
    <xf numFmtId="0" fontId="0" fillId="0" borderId="48" xfId="0" applyBorder="1" applyAlignment="1">
      <alignment horizontal="center"/>
    </xf>
    <xf numFmtId="0" fontId="0" fillId="0" borderId="49" xfId="0" applyBorder="1" applyAlignment="1">
      <alignment horizontal="center"/>
    </xf>
    <xf numFmtId="0" fontId="0" fillId="0" borderId="53" xfId="0" applyBorder="1" applyAlignment="1">
      <alignment horizontal="center"/>
    </xf>
    <xf numFmtId="0" fontId="0" fillId="0" borderId="8" xfId="0" applyBorder="1" applyAlignment="1">
      <alignment horizontal="center"/>
    </xf>
    <xf numFmtId="0" fontId="0" fillId="0" borderId="109" xfId="0" applyBorder="1" applyAlignment="1">
      <alignment horizontal="center"/>
    </xf>
    <xf numFmtId="0" fontId="0" fillId="0" borderId="46" xfId="0" applyBorder="1" applyAlignment="1">
      <alignment horizontal="center"/>
    </xf>
    <xf numFmtId="0" fontId="0" fillId="0" borderId="50" xfId="0" applyBorder="1" applyAlignment="1">
      <alignment horizontal="center"/>
    </xf>
    <xf numFmtId="1" fontId="0" fillId="15" borderId="0" xfId="0" applyNumberFormat="1" applyFill="1" applyAlignment="1" applyProtection="1">
      <alignment horizontal="center"/>
      <protection hidden="1"/>
    </xf>
    <xf numFmtId="37" fontId="124" fillId="15" borderId="3" xfId="0" applyNumberFormat="1" applyFont="1" applyFill="1" applyBorder="1" applyProtection="1">
      <protection hidden="1"/>
    </xf>
    <xf numFmtId="0" fontId="79" fillId="2" borderId="0" xfId="0" applyFont="1" applyFill="1" applyAlignment="1" applyProtection="1">
      <alignment horizontal="right"/>
      <protection hidden="1"/>
    </xf>
    <xf numFmtId="0" fontId="79" fillId="0" borderId="0" xfId="0" applyFont="1" applyAlignment="1" applyProtection="1">
      <alignment horizontal="right"/>
      <protection hidden="1"/>
    </xf>
    <xf numFmtId="4" fontId="208" fillId="2" borderId="0" xfId="0" applyNumberFormat="1" applyFont="1" applyFill="1" applyAlignment="1" applyProtection="1">
      <alignment horizontal="left"/>
      <protection hidden="1"/>
    </xf>
    <xf numFmtId="0" fontId="3" fillId="27" borderId="207" xfId="0" applyFont="1" applyFill="1" applyBorder="1" applyAlignment="1" applyProtection="1">
      <alignment horizontal="center" vertical="center"/>
      <protection hidden="1"/>
    </xf>
    <xf numFmtId="0" fontId="14" fillId="0" borderId="0" xfId="0" applyFont="1" applyAlignment="1">
      <alignment horizontal="right"/>
    </xf>
    <xf numFmtId="0" fontId="0" fillId="0" borderId="124" xfId="0" applyBorder="1" applyAlignment="1">
      <alignment horizontal="center"/>
    </xf>
    <xf numFmtId="0" fontId="110" fillId="15" borderId="8" xfId="0" applyFont="1" applyFill="1" applyBorder="1" applyAlignment="1" applyProtection="1">
      <alignment vertical="center"/>
      <protection hidden="1"/>
    </xf>
    <xf numFmtId="0" fontId="3" fillId="15" borderId="0" xfId="0" quotePrefix="1" applyFont="1" applyFill="1" applyAlignment="1" applyProtection="1">
      <alignment horizontal="right" vertical="center"/>
      <protection hidden="1"/>
    </xf>
    <xf numFmtId="0" fontId="3" fillId="15" borderId="99" xfId="0" quotePrefix="1" applyFont="1" applyFill="1" applyBorder="1" applyAlignment="1" applyProtection="1">
      <alignment horizontal="right" vertical="center"/>
      <protection hidden="1"/>
    </xf>
    <xf numFmtId="0" fontId="3" fillId="15" borderId="12" xfId="0" quotePrefix="1" applyFont="1" applyFill="1" applyBorder="1" applyAlignment="1" applyProtection="1">
      <alignment horizontal="left"/>
      <protection hidden="1"/>
    </xf>
    <xf numFmtId="0" fontId="3" fillId="15" borderId="0" xfId="0" quotePrefix="1" applyFont="1" applyFill="1" applyAlignment="1" applyProtection="1">
      <alignment horizontal="center" vertical="top" wrapText="1"/>
      <protection hidden="1"/>
    </xf>
    <xf numFmtId="0" fontId="3" fillId="15" borderId="0" xfId="0" quotePrefix="1" applyFont="1" applyFill="1" applyAlignment="1" applyProtection="1">
      <alignment horizontal="center" vertical="center" wrapText="1"/>
      <protection hidden="1"/>
    </xf>
    <xf numFmtId="0" fontId="3" fillId="15" borderId="0" xfId="0" quotePrefix="1" applyFont="1" applyFill="1" applyAlignment="1" applyProtection="1">
      <alignment horizontal="center" wrapText="1"/>
      <protection hidden="1"/>
    </xf>
    <xf numFmtId="182" fontId="5" fillId="0" borderId="78" xfId="0" quotePrefix="1" applyNumberFormat="1" applyFont="1" applyBorder="1" applyAlignment="1">
      <alignment horizontal="center"/>
    </xf>
    <xf numFmtId="1" fontId="5" fillId="0" borderId="5" xfId="0" applyNumberFormat="1" applyFont="1" applyBorder="1" applyAlignment="1">
      <alignment horizontal="right" indent="1"/>
    </xf>
    <xf numFmtId="0" fontId="0" fillId="15" borderId="30" xfId="0" applyFill="1" applyBorder="1" applyAlignment="1">
      <alignment horizontal="center"/>
    </xf>
    <xf numFmtId="0" fontId="3" fillId="15" borderId="8" xfId="0" applyFont="1" applyFill="1" applyBorder="1" applyAlignment="1">
      <alignment horizontal="center" wrapText="1"/>
    </xf>
    <xf numFmtId="0" fontId="3" fillId="15" borderId="8" xfId="0" applyFont="1" applyFill="1" applyBorder="1" applyAlignment="1">
      <alignment horizontal="center"/>
    </xf>
    <xf numFmtId="0" fontId="0" fillId="15" borderId="3" xfId="0" applyFill="1" applyBorder="1" applyAlignment="1">
      <alignment horizontal="center"/>
    </xf>
    <xf numFmtId="0" fontId="3" fillId="15" borderId="0" xfId="0" applyFont="1" applyFill="1" applyAlignment="1">
      <alignment horizontal="center" wrapText="1"/>
    </xf>
    <xf numFmtId="0" fontId="3" fillId="15" borderId="3" xfId="0" applyFont="1" applyFill="1" applyBorder="1" applyAlignment="1">
      <alignment horizontal="center" vertical="center"/>
    </xf>
    <xf numFmtId="0" fontId="3" fillId="15" borderId="0" xfId="0" applyFont="1" applyFill="1" applyAlignment="1">
      <alignment horizontal="right" vertical="center" indent="1"/>
    </xf>
    <xf numFmtId="0" fontId="3" fillId="15" borderId="9" xfId="0" applyFont="1" applyFill="1" applyBorder="1" applyAlignment="1">
      <alignment horizontal="right"/>
    </xf>
    <xf numFmtId="0" fontId="3" fillId="15" borderId="1" xfId="0" applyFont="1" applyFill="1" applyBorder="1" applyAlignment="1">
      <alignment horizontal="right"/>
    </xf>
    <xf numFmtId="0" fontId="3" fillId="15" borderId="1" xfId="0" applyFont="1" applyFill="1" applyBorder="1" applyAlignment="1">
      <alignment horizontal="center"/>
    </xf>
    <xf numFmtId="0" fontId="3" fillId="15" borderId="1" xfId="0" quotePrefix="1" applyFont="1" applyFill="1" applyBorder="1" applyAlignment="1">
      <alignment horizontal="center"/>
    </xf>
    <xf numFmtId="1" fontId="14" fillId="27" borderId="2" xfId="0" applyNumberFormat="1" applyFont="1" applyFill="1" applyBorder="1" applyAlignment="1" applyProtection="1">
      <alignment horizontal="center" vertical="center"/>
      <protection hidden="1"/>
    </xf>
    <xf numFmtId="0" fontId="207" fillId="15" borderId="67" xfId="0" applyFont="1" applyFill="1" applyBorder="1" applyAlignment="1" applyProtection="1">
      <alignment vertical="center"/>
      <protection hidden="1"/>
    </xf>
    <xf numFmtId="0" fontId="19" fillId="15" borderId="5" xfId="0" applyFont="1" applyFill="1" applyBorder="1" applyAlignment="1" applyProtection="1">
      <alignment horizontal="centerContinuous"/>
      <protection hidden="1"/>
    </xf>
    <xf numFmtId="0" fontId="8" fillId="15" borderId="56" xfId="0" applyFont="1" applyFill="1" applyBorder="1" applyProtection="1">
      <protection hidden="1"/>
    </xf>
    <xf numFmtId="37" fontId="124" fillId="15" borderId="30" xfId="0" applyNumberFormat="1" applyFont="1" applyFill="1" applyBorder="1" applyProtection="1">
      <protection hidden="1"/>
    </xf>
    <xf numFmtId="37" fontId="124" fillId="15" borderId="8" xfId="0" applyNumberFormat="1" applyFont="1" applyFill="1" applyBorder="1" applyProtection="1">
      <protection hidden="1"/>
    </xf>
    <xf numFmtId="37" fontId="124" fillId="15" borderId="0" xfId="0" applyNumberFormat="1" applyFont="1" applyFill="1" applyProtection="1">
      <protection hidden="1"/>
    </xf>
    <xf numFmtId="0" fontId="46" fillId="15" borderId="13" xfId="0" applyFont="1" applyFill="1" applyBorder="1" applyAlignment="1" applyProtection="1">
      <alignment vertical="center"/>
      <protection hidden="1"/>
    </xf>
    <xf numFmtId="0" fontId="10" fillId="15" borderId="183" xfId="0" applyFont="1" applyFill="1" applyBorder="1" applyAlignment="1" applyProtection="1">
      <alignment horizontal="center"/>
      <protection hidden="1"/>
    </xf>
    <xf numFmtId="0" fontId="0" fillId="15" borderId="16" xfId="0" applyFill="1" applyBorder="1" applyAlignment="1" applyProtection="1">
      <alignment horizontal="right" indent="1"/>
      <protection hidden="1"/>
    </xf>
    <xf numFmtId="0" fontId="9" fillId="15" borderId="16" xfId="0" applyFont="1" applyFill="1" applyBorder="1" applyProtection="1">
      <protection hidden="1"/>
    </xf>
    <xf numFmtId="0" fontId="7" fillId="15" borderId="16" xfId="0" applyFont="1" applyFill="1" applyBorder="1" applyProtection="1">
      <protection hidden="1"/>
    </xf>
    <xf numFmtId="0" fontId="3" fillId="15" borderId="16" xfId="0" applyFont="1" applyFill="1" applyBorder="1" applyAlignment="1" applyProtection="1">
      <alignment horizontal="right"/>
      <protection hidden="1"/>
    </xf>
    <xf numFmtId="0" fontId="147" fillId="0" borderId="0" xfId="0" applyFont="1" applyProtection="1">
      <protection hidden="1"/>
    </xf>
    <xf numFmtId="37" fontId="147" fillId="0" borderId="0" xfId="0" applyNumberFormat="1" applyFont="1" applyProtection="1">
      <protection hidden="1"/>
    </xf>
    <xf numFmtId="0" fontId="147" fillId="0" borderId="0" xfId="0" applyFont="1" applyAlignment="1" applyProtection="1">
      <alignment horizontal="center"/>
      <protection hidden="1"/>
    </xf>
    <xf numFmtId="0" fontId="24" fillId="23" borderId="0" xfId="0" applyFont="1" applyFill="1" applyProtection="1">
      <protection hidden="1"/>
    </xf>
    <xf numFmtId="0" fontId="112" fillId="15" borderId="0" xfId="0" applyFont="1" applyFill="1" applyAlignment="1" applyProtection="1">
      <alignment vertical="top" wrapText="1"/>
      <protection hidden="1"/>
    </xf>
    <xf numFmtId="14" fontId="200" fillId="15" borderId="0" xfId="0" applyNumberFormat="1" applyFont="1" applyFill="1" applyAlignment="1" applyProtection="1">
      <alignment horizontal="center" vertical="center" wrapText="1"/>
      <protection hidden="1"/>
    </xf>
    <xf numFmtId="0" fontId="106" fillId="15" borderId="0" xfId="0" applyFont="1" applyFill="1" applyAlignment="1" applyProtection="1">
      <alignment horizontal="center" vertical="center"/>
      <protection hidden="1"/>
    </xf>
    <xf numFmtId="40" fontId="110" fillId="2" borderId="0" xfId="0" applyNumberFormat="1" applyFont="1" applyFill="1" applyAlignment="1" applyProtection="1">
      <alignment horizontal="right"/>
      <protection hidden="1"/>
    </xf>
    <xf numFmtId="1" fontId="10" fillId="15" borderId="10" xfId="0" applyNumberFormat="1" applyFont="1" applyFill="1" applyBorder="1" applyAlignment="1" applyProtection="1">
      <alignment horizontal="center"/>
      <protection hidden="1"/>
    </xf>
    <xf numFmtId="0" fontId="13" fillId="15" borderId="6" xfId="0" applyFont="1" applyFill="1" applyBorder="1" applyProtection="1">
      <protection hidden="1"/>
    </xf>
    <xf numFmtId="1" fontId="10" fillId="15" borderId="15" xfId="0" applyNumberFormat="1"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0" fontId="79" fillId="15" borderId="0" xfId="0" applyFont="1" applyFill="1" applyAlignment="1" applyProtection="1">
      <alignment horizontal="right"/>
      <protection hidden="1"/>
    </xf>
    <xf numFmtId="0" fontId="4" fillId="2" borderId="1" xfId="0" applyFont="1" applyFill="1" applyBorder="1" applyAlignment="1" applyProtection="1">
      <alignment horizontal="left" indent="1"/>
      <protection hidden="1"/>
    </xf>
    <xf numFmtId="0" fontId="204" fillId="15" borderId="0" xfId="0" applyFont="1" applyFill="1" applyAlignment="1" applyProtection="1">
      <alignment horizontal="right"/>
      <protection hidden="1"/>
    </xf>
    <xf numFmtId="0" fontId="265" fillId="15" borderId="0" xfId="0" applyFont="1" applyFill="1" applyAlignment="1" applyProtection="1">
      <alignment horizontal="left" vertical="center"/>
      <protection hidden="1"/>
    </xf>
    <xf numFmtId="0" fontId="265" fillId="15" borderId="0" xfId="0" applyFont="1" applyFill="1" applyAlignment="1" applyProtection="1">
      <alignment horizontal="left"/>
      <protection hidden="1"/>
    </xf>
    <xf numFmtId="0" fontId="265" fillId="15" borderId="0" xfId="0" applyFont="1" applyFill="1" applyProtection="1">
      <protection hidden="1"/>
    </xf>
    <xf numFmtId="0" fontId="265" fillId="15" borderId="0" xfId="0" applyFont="1" applyFill="1" applyAlignment="1" applyProtection="1">
      <alignment horizontal="center" vertical="center"/>
      <protection hidden="1"/>
    </xf>
    <xf numFmtId="0" fontId="266" fillId="15" borderId="0" xfId="0" applyFont="1" applyFill="1" applyAlignment="1" applyProtection="1">
      <alignment horizontal="center" vertical="center"/>
      <protection hidden="1"/>
    </xf>
    <xf numFmtId="0" fontId="266" fillId="15" borderId="25" xfId="0" applyFont="1" applyFill="1" applyBorder="1" applyAlignment="1" applyProtection="1">
      <alignment horizontal="left" vertical="center"/>
      <protection hidden="1"/>
    </xf>
    <xf numFmtId="0" fontId="266" fillId="15" borderId="0" xfId="0" applyFont="1" applyFill="1" applyAlignment="1" applyProtection="1">
      <alignment horizontal="left" vertical="center"/>
      <protection hidden="1"/>
    </xf>
    <xf numFmtId="0" fontId="265" fillId="15" borderId="0" xfId="0" applyFont="1" applyFill="1" applyAlignment="1" applyProtection="1">
      <alignment vertical="center"/>
      <protection hidden="1"/>
    </xf>
    <xf numFmtId="0" fontId="266" fillId="15" borderId="0" xfId="0" applyFont="1" applyFill="1" applyAlignment="1" applyProtection="1">
      <alignment vertical="center"/>
      <protection hidden="1"/>
    </xf>
    <xf numFmtId="0" fontId="265" fillId="15" borderId="4" xfId="0" applyFont="1" applyFill="1" applyBorder="1" applyAlignment="1" applyProtection="1">
      <alignment vertical="center"/>
      <protection hidden="1"/>
    </xf>
    <xf numFmtId="0" fontId="266" fillId="15" borderId="0" xfId="0" applyFont="1" applyFill="1" applyAlignment="1" applyProtection="1">
      <alignment horizontal="left" vertical="center" indent="1"/>
      <protection hidden="1"/>
    </xf>
    <xf numFmtId="0" fontId="5" fillId="15" borderId="7" xfId="0" applyFont="1" applyFill="1" applyBorder="1" applyAlignment="1" applyProtection="1">
      <alignment horizontal="left" vertical="center"/>
      <protection hidden="1"/>
    </xf>
    <xf numFmtId="0" fontId="9" fillId="23" borderId="0" xfId="0" applyFont="1" applyFill="1" applyAlignment="1" applyProtection="1">
      <alignment horizontal="center" vertical="top"/>
      <protection hidden="1"/>
    </xf>
    <xf numFmtId="0" fontId="13" fillId="15" borderId="27" xfId="0" applyFont="1" applyFill="1" applyBorder="1" applyProtection="1">
      <protection hidden="1"/>
    </xf>
    <xf numFmtId="0" fontId="7" fillId="23" borderId="0" xfId="0" applyFont="1" applyFill="1" applyAlignment="1" applyProtection="1">
      <alignment horizontal="center"/>
      <protection hidden="1"/>
    </xf>
    <xf numFmtId="0" fontId="9" fillId="23" borderId="0" xfId="0" applyFont="1" applyFill="1" applyAlignment="1" applyProtection="1">
      <alignment horizontal="center"/>
      <protection hidden="1"/>
    </xf>
    <xf numFmtId="0" fontId="36" fillId="15" borderId="0" xfId="0" applyFont="1" applyFill="1" applyProtection="1">
      <protection hidden="1"/>
    </xf>
    <xf numFmtId="0" fontId="8" fillId="15" borderId="12" xfId="0" quotePrefix="1" applyFont="1" applyFill="1" applyBorder="1" applyAlignment="1" applyProtection="1">
      <alignment horizontal="center" vertical="center"/>
      <protection hidden="1"/>
    </xf>
    <xf numFmtId="0" fontId="8" fillId="15" borderId="0" xfId="0" quotePrefix="1" applyFont="1" applyFill="1" applyAlignment="1" applyProtection="1">
      <alignment horizontal="center" vertical="center"/>
      <protection hidden="1"/>
    </xf>
    <xf numFmtId="0" fontId="10" fillId="15" borderId="0" xfId="0" applyFont="1" applyFill="1" applyAlignment="1" applyProtection="1">
      <alignment vertical="top"/>
      <protection hidden="1"/>
    </xf>
    <xf numFmtId="0" fontId="10" fillId="15" borderId="16" xfId="0" applyFont="1" applyFill="1" applyBorder="1" applyAlignment="1" applyProtection="1">
      <alignment vertical="top"/>
      <protection hidden="1"/>
    </xf>
    <xf numFmtId="0" fontId="8" fillId="15" borderId="0" xfId="0" quotePrefix="1" applyFont="1" applyFill="1" applyProtection="1">
      <protection hidden="1"/>
    </xf>
    <xf numFmtId="0" fontId="36" fillId="15" borderId="0" xfId="0" applyFont="1" applyFill="1" applyAlignment="1" applyProtection="1">
      <alignment vertical="top"/>
      <protection hidden="1"/>
    </xf>
    <xf numFmtId="0" fontId="3" fillId="15" borderId="14" xfId="0" applyFont="1" applyFill="1" applyBorder="1" applyAlignment="1">
      <alignment horizontal="center"/>
    </xf>
    <xf numFmtId="0" fontId="3" fillId="15" borderId="24" xfId="0" applyFont="1" applyFill="1" applyBorder="1" applyAlignment="1">
      <alignment horizontal="center" wrapText="1"/>
    </xf>
    <xf numFmtId="0" fontId="3" fillId="15" borderId="11" xfId="0" applyFont="1" applyFill="1" applyBorder="1" applyAlignment="1">
      <alignment horizontal="center"/>
    </xf>
    <xf numFmtId="3" fontId="0" fillId="15" borderId="1" xfId="0" applyNumberFormat="1" applyFill="1" applyBorder="1" applyProtection="1">
      <protection locked="0"/>
    </xf>
    <xf numFmtId="0" fontId="8" fillId="15" borderId="2" xfId="0" applyFont="1" applyFill="1" applyBorder="1" applyAlignment="1" applyProtection="1">
      <alignment horizontal="center" vertical="center"/>
      <protection hidden="1"/>
    </xf>
    <xf numFmtId="0" fontId="3" fillId="15" borderId="2" xfId="0" applyFont="1" applyFill="1" applyBorder="1" applyAlignment="1" applyProtection="1">
      <alignment horizontal="center" vertical="center"/>
      <protection hidden="1"/>
    </xf>
    <xf numFmtId="0" fontId="116" fillId="15" borderId="0" xfId="0" applyFont="1" applyFill="1" applyProtection="1">
      <protection hidden="1"/>
    </xf>
    <xf numFmtId="0" fontId="5" fillId="23" borderId="0" xfId="0" quotePrefix="1" applyFont="1" applyFill="1" applyProtection="1">
      <protection hidden="1"/>
    </xf>
    <xf numFmtId="0" fontId="207" fillId="23" borderId="0" xfId="0" applyFont="1" applyFill="1" applyAlignment="1" applyProtection="1">
      <alignment horizontal="center"/>
      <protection hidden="1"/>
    </xf>
    <xf numFmtId="0" fontId="159" fillId="23" borderId="2" xfId="0" applyFont="1" applyFill="1" applyBorder="1" applyAlignment="1" applyProtection="1">
      <alignment horizontal="center" vertical="center"/>
      <protection hidden="1"/>
    </xf>
    <xf numFmtId="0" fontId="10" fillId="15" borderId="4"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46" fillId="22" borderId="6" xfId="0" applyFont="1" applyFill="1" applyBorder="1" applyProtection="1">
      <protection hidden="1"/>
    </xf>
    <xf numFmtId="37" fontId="5" fillId="27" borderId="1" xfId="0" applyNumberFormat="1" applyFont="1" applyFill="1" applyBorder="1" applyAlignment="1" applyProtection="1">
      <alignment horizontal="right"/>
      <protection hidden="1"/>
    </xf>
    <xf numFmtId="0" fontId="7" fillId="0" borderId="0" xfId="0" applyFont="1" applyAlignment="1">
      <alignment vertical="top"/>
    </xf>
    <xf numFmtId="0" fontId="14" fillId="26" borderId="4" xfId="0" quotePrefix="1" applyFont="1" applyFill="1" applyBorder="1" applyProtection="1">
      <protection hidden="1"/>
    </xf>
    <xf numFmtId="0" fontId="46" fillId="27" borderId="4" xfId="0" applyFont="1" applyFill="1" applyBorder="1" applyProtection="1">
      <protection hidden="1"/>
    </xf>
    <xf numFmtId="49" fontId="5" fillId="16" borderId="9" xfId="0" applyNumberFormat="1" applyFont="1" applyFill="1" applyBorder="1" applyAlignment="1" applyProtection="1">
      <alignment vertical="center" wrapText="1"/>
      <protection locked="0"/>
    </xf>
    <xf numFmtId="49" fontId="5" fillId="16" borderId="1" xfId="0" applyNumberFormat="1" applyFont="1" applyFill="1" applyBorder="1" applyAlignment="1" applyProtection="1">
      <alignment vertical="center" wrapText="1"/>
      <protection locked="0"/>
    </xf>
    <xf numFmtId="49" fontId="5" fillId="16" borderId="11" xfId="0" applyNumberFormat="1" applyFont="1" applyFill="1" applyBorder="1" applyAlignment="1" applyProtection="1">
      <alignment vertical="center" wrapText="1"/>
      <protection locked="0"/>
    </xf>
    <xf numFmtId="4" fontId="11" fillId="3" borderId="30" xfId="0" applyNumberFormat="1" applyFont="1" applyFill="1" applyBorder="1" applyProtection="1">
      <protection hidden="1"/>
    </xf>
    <xf numFmtId="4" fontId="11" fillId="3" borderId="8" xfId="0" applyNumberFormat="1" applyFont="1" applyFill="1" applyBorder="1" applyProtection="1">
      <protection hidden="1"/>
    </xf>
    <xf numFmtId="0" fontId="0" fillId="3" borderId="24" xfId="0" applyFill="1" applyBorder="1" applyProtection="1">
      <protection hidden="1"/>
    </xf>
    <xf numFmtId="49" fontId="5" fillId="14" borderId="30" xfId="0" applyNumberFormat="1" applyFont="1" applyFill="1" applyBorder="1" applyAlignment="1" applyProtection="1">
      <alignment vertical="center" wrapText="1"/>
      <protection hidden="1"/>
    </xf>
    <xf numFmtId="49" fontId="5" fillId="15" borderId="8" xfId="0" applyNumberFormat="1" applyFont="1" applyFill="1" applyBorder="1" applyAlignment="1" applyProtection="1">
      <alignment vertical="center" wrapText="1"/>
      <protection hidden="1"/>
    </xf>
    <xf numFmtId="49" fontId="5" fillId="15" borderId="14" xfId="0" applyNumberFormat="1" applyFont="1" applyFill="1" applyBorder="1" applyAlignment="1" applyProtection="1">
      <alignment vertical="center" wrapText="1"/>
      <protection hidden="1"/>
    </xf>
    <xf numFmtId="49" fontId="5" fillId="15" borderId="11" xfId="0" applyNumberFormat="1" applyFont="1" applyFill="1" applyBorder="1" applyAlignment="1" applyProtection="1">
      <alignment vertical="center" wrapText="1"/>
      <protection hidden="1"/>
    </xf>
    <xf numFmtId="37" fontId="9" fillId="0" borderId="0" xfId="0" applyNumberFormat="1" applyFont="1"/>
    <xf numFmtId="0" fontId="0" fillId="14" borderId="6" xfId="0" applyFill="1" applyBorder="1" applyProtection="1">
      <protection hidden="1"/>
    </xf>
    <xf numFmtId="4" fontId="122" fillId="3" borderId="3" xfId="0" applyNumberFormat="1" applyFont="1" applyFill="1" applyBorder="1" applyAlignment="1" applyProtection="1">
      <alignment wrapText="1"/>
      <protection hidden="1"/>
    </xf>
    <xf numFmtId="4" fontId="122" fillId="3" borderId="0" xfId="0" applyNumberFormat="1" applyFont="1" applyFill="1" applyAlignment="1" applyProtection="1">
      <alignment wrapText="1"/>
      <protection hidden="1"/>
    </xf>
    <xf numFmtId="0" fontId="7" fillId="14" borderId="3" xfId="0" applyFont="1" applyFill="1" applyBorder="1" applyAlignment="1" applyProtection="1">
      <alignment horizontal="center"/>
      <protection hidden="1"/>
    </xf>
    <xf numFmtId="0" fontId="7" fillId="14" borderId="0" xfId="0" applyFont="1" applyFill="1" applyAlignment="1" applyProtection="1">
      <alignment horizontal="center"/>
      <protection hidden="1"/>
    </xf>
    <xf numFmtId="0" fontId="7" fillId="14" borderId="24" xfId="0" applyFont="1" applyFill="1" applyBorder="1" applyAlignment="1" applyProtection="1">
      <alignment horizontal="center"/>
      <protection hidden="1"/>
    </xf>
    <xf numFmtId="0" fontId="5" fillId="15" borderId="30" xfId="0" applyFont="1" applyFill="1" applyBorder="1" applyAlignment="1">
      <alignment horizontal="left"/>
    </xf>
    <xf numFmtId="0" fontId="5" fillId="15" borderId="8" xfId="0" applyFont="1" applyFill="1" applyBorder="1" applyAlignment="1">
      <alignment horizontal="left"/>
    </xf>
    <xf numFmtId="0" fontId="5" fillId="15" borderId="14" xfId="0" applyFont="1" applyFill="1" applyBorder="1" applyAlignment="1">
      <alignment horizontal="left"/>
    </xf>
    <xf numFmtId="0" fontId="3" fillId="15" borderId="0" xfId="0" applyFont="1" applyFill="1" applyAlignment="1">
      <alignment horizontal="left"/>
    </xf>
    <xf numFmtId="0" fontId="5" fillId="15" borderId="24" xfId="0" applyFont="1" applyFill="1" applyBorder="1" applyAlignment="1">
      <alignment horizontal="left"/>
    </xf>
    <xf numFmtId="0" fontId="4" fillId="15" borderId="0" xfId="0" applyFont="1" applyFill="1" applyAlignment="1">
      <alignment horizontal="right"/>
    </xf>
    <xf numFmtId="0" fontId="4" fillId="15" borderId="0" xfId="0" applyFont="1" applyFill="1" applyAlignment="1">
      <alignment horizontal="left"/>
    </xf>
    <xf numFmtId="0" fontId="5" fillId="15" borderId="1" xfId="0" applyFont="1" applyFill="1" applyBorder="1" applyAlignment="1">
      <alignment horizontal="center"/>
    </xf>
    <xf numFmtId="3" fontId="7" fillId="15" borderId="0" xfId="0" applyNumberFormat="1" applyFont="1" applyFill="1" applyAlignment="1">
      <alignment horizontal="right"/>
    </xf>
    <xf numFmtId="0" fontId="5" fillId="15" borderId="9" xfId="0" applyFont="1" applyFill="1" applyBorder="1" applyAlignment="1">
      <alignment horizontal="left"/>
    </xf>
    <xf numFmtId="0" fontId="5" fillId="15" borderId="1" xfId="0" applyFont="1" applyFill="1" applyBorder="1" applyAlignment="1">
      <alignment horizontal="left"/>
    </xf>
    <xf numFmtId="0" fontId="5" fillId="15" borderId="11" xfId="0" applyFont="1" applyFill="1" applyBorder="1" applyAlignment="1">
      <alignment horizontal="left"/>
    </xf>
    <xf numFmtId="37" fontId="5" fillId="16" borderId="1" xfId="0" applyNumberFormat="1" applyFont="1" applyFill="1" applyBorder="1" applyAlignment="1" applyProtection="1">
      <alignment horizontal="right"/>
      <protection locked="0"/>
    </xf>
    <xf numFmtId="1" fontId="5" fillId="16" borderId="12" xfId="0" applyNumberFormat="1" applyFont="1" applyFill="1" applyBorder="1" applyAlignment="1" applyProtection="1">
      <alignment horizontal="center" vertical="center"/>
      <protection locked="0"/>
    </xf>
    <xf numFmtId="0" fontId="0" fillId="14" borderId="0" xfId="0" applyFill="1" applyProtection="1">
      <protection hidden="1"/>
    </xf>
    <xf numFmtId="0" fontId="5" fillId="14" borderId="0" xfId="0" quotePrefix="1" applyFont="1" applyFill="1" applyAlignment="1" applyProtection="1">
      <alignment horizontal="right"/>
      <protection hidden="1"/>
    </xf>
    <xf numFmtId="0" fontId="0" fillId="14" borderId="0" xfId="0" applyFill="1" applyAlignment="1" applyProtection="1">
      <alignment horizontal="right"/>
      <protection hidden="1"/>
    </xf>
    <xf numFmtId="0" fontId="3" fillId="14" borderId="0" xfId="0" applyFont="1" applyFill="1" applyProtection="1">
      <protection hidden="1"/>
    </xf>
    <xf numFmtId="0" fontId="14" fillId="14" borderId="0" xfId="0" applyFont="1" applyFill="1" applyProtection="1">
      <protection hidden="1"/>
    </xf>
    <xf numFmtId="199" fontId="5" fillId="26" borderId="1" xfId="0" applyNumberFormat="1" applyFont="1" applyFill="1" applyBorder="1" applyProtection="1">
      <protection hidden="1"/>
    </xf>
    <xf numFmtId="4" fontId="3" fillId="3" borderId="3" xfId="0" quotePrefix="1" applyNumberFormat="1" applyFont="1" applyFill="1" applyBorder="1" applyAlignment="1" applyProtection="1">
      <alignment horizontal="right"/>
      <protection hidden="1"/>
    </xf>
    <xf numFmtId="4" fontId="5" fillId="3" borderId="24" xfId="0" applyNumberFormat="1" applyFont="1" applyFill="1" applyBorder="1" applyProtection="1">
      <protection hidden="1"/>
    </xf>
    <xf numFmtId="4" fontId="5" fillId="3" borderId="0" xfId="0" applyNumberFormat="1" applyFont="1" applyFill="1" applyAlignment="1" applyProtection="1">
      <alignment vertical="center"/>
      <protection hidden="1"/>
    </xf>
    <xf numFmtId="4" fontId="5" fillId="3" borderId="24" xfId="0" applyNumberFormat="1" applyFont="1" applyFill="1" applyBorder="1" applyAlignment="1" applyProtection="1">
      <alignment vertical="center"/>
      <protection hidden="1"/>
    </xf>
    <xf numFmtId="3" fontId="21" fillId="3" borderId="0" xfId="0" applyNumberFormat="1" applyFont="1" applyFill="1" applyProtection="1">
      <protection hidden="1"/>
    </xf>
    <xf numFmtId="3" fontId="21" fillId="3" borderId="24" xfId="0" applyNumberFormat="1" applyFont="1" applyFill="1" applyBorder="1" applyProtection="1">
      <protection hidden="1"/>
    </xf>
    <xf numFmtId="0" fontId="46" fillId="3" borderId="4" xfId="0" applyFont="1" applyFill="1" applyBorder="1" applyAlignment="1" applyProtection="1">
      <alignment vertical="top"/>
      <protection hidden="1"/>
    </xf>
    <xf numFmtId="0" fontId="3" fillId="3" borderId="4" xfId="0" applyFont="1" applyFill="1" applyBorder="1" applyAlignment="1" applyProtection="1">
      <alignment horizontal="right" vertical="center"/>
      <protection hidden="1"/>
    </xf>
    <xf numFmtId="0" fontId="5" fillId="0" borderId="0" xfId="0" applyFont="1" applyAlignment="1">
      <alignment horizontal="center" wrapText="1"/>
    </xf>
    <xf numFmtId="0" fontId="268" fillId="5" borderId="0" xfId="0" quotePrefix="1" applyFont="1" applyFill="1" applyAlignment="1">
      <alignment horizontal="left"/>
    </xf>
    <xf numFmtId="0" fontId="107" fillId="16" borderId="0" xfId="0" applyFont="1" applyFill="1" applyAlignment="1" applyProtection="1">
      <alignment horizontal="center" vertical="center"/>
      <protection locked="0"/>
    </xf>
    <xf numFmtId="0" fontId="4" fillId="14" borderId="0" xfId="0" applyFont="1" applyFill="1" applyProtection="1">
      <protection hidden="1"/>
    </xf>
    <xf numFmtId="0" fontId="7" fillId="0" borderId="0" xfId="0" applyFont="1" applyAlignment="1">
      <alignment vertical="center"/>
    </xf>
    <xf numFmtId="0" fontId="11" fillId="10" borderId="0" xfId="0" applyFont="1" applyFill="1" applyAlignment="1">
      <alignment horizontal="center" vertical="top"/>
    </xf>
    <xf numFmtId="0" fontId="55" fillId="15" borderId="0" xfId="0" applyFont="1" applyFill="1" applyAlignment="1">
      <alignment horizontal="right"/>
    </xf>
    <xf numFmtId="0" fontId="5" fillId="15" borderId="3" xfId="0" applyFont="1" applyFill="1" applyBorder="1" applyAlignment="1">
      <alignment vertical="top"/>
    </xf>
    <xf numFmtId="37" fontId="112" fillId="0" borderId="0" xfId="0" applyNumberFormat="1" applyFont="1"/>
    <xf numFmtId="199" fontId="112" fillId="0" borderId="0" xfId="0" applyNumberFormat="1" applyFont="1"/>
    <xf numFmtId="0" fontId="0" fillId="14" borderId="3" xfId="0" applyFill="1" applyBorder="1" applyAlignment="1" applyProtection="1">
      <alignment horizontal="center"/>
      <protection hidden="1"/>
    </xf>
    <xf numFmtId="0" fontId="0" fillId="14" borderId="0" xfId="0" applyFill="1" applyAlignment="1" applyProtection="1">
      <alignment horizontal="center"/>
      <protection hidden="1"/>
    </xf>
    <xf numFmtId="0" fontId="0" fillId="14" borderId="24" xfId="0" applyFill="1" applyBorder="1" applyAlignment="1" applyProtection="1">
      <alignment horizontal="center"/>
      <protection hidden="1"/>
    </xf>
    <xf numFmtId="0" fontId="144" fillId="2" borderId="0" xfId="0" applyFont="1" applyFill="1" applyAlignment="1" applyProtection="1">
      <alignment horizontal="center" vertical="center"/>
      <protection hidden="1"/>
    </xf>
    <xf numFmtId="0" fontId="3" fillId="0" borderId="20" xfId="0" applyFont="1" applyBorder="1" applyAlignment="1">
      <alignment horizontal="center"/>
    </xf>
    <xf numFmtId="37" fontId="8" fillId="14" borderId="9" xfId="0" applyNumberFormat="1" applyFont="1" applyFill="1" applyBorder="1" applyAlignment="1" applyProtection="1">
      <alignment horizontal="center"/>
      <protection hidden="1"/>
    </xf>
    <xf numFmtId="37" fontId="8" fillId="14" borderId="1" xfId="0" applyNumberFormat="1" applyFont="1" applyFill="1" applyBorder="1" applyAlignment="1" applyProtection="1">
      <alignment horizontal="center" vertical="center"/>
      <protection hidden="1"/>
    </xf>
    <xf numFmtId="0" fontId="7" fillId="15" borderId="13" xfId="0" applyFont="1" applyFill="1" applyBorder="1" applyAlignment="1">
      <alignment horizontal="right" vertical="top"/>
    </xf>
    <xf numFmtId="0" fontId="9" fillId="29" borderId="1" xfId="0" applyFont="1" applyFill="1" applyBorder="1" applyAlignment="1" applyProtection="1">
      <alignment horizontal="left" vertical="center"/>
      <protection hidden="1"/>
    </xf>
    <xf numFmtId="0" fontId="9" fillId="29" borderId="29" xfId="0" applyFont="1" applyFill="1" applyBorder="1" applyAlignment="1" applyProtection="1">
      <alignment horizontal="left" vertical="center"/>
      <protection hidden="1"/>
    </xf>
    <xf numFmtId="39" fontId="28" fillId="3" borderId="0" xfId="0" applyNumberFormat="1" applyFont="1" applyFill="1" applyAlignment="1" applyProtection="1">
      <alignment horizontal="center" vertical="center"/>
      <protection hidden="1"/>
    </xf>
    <xf numFmtId="0" fontId="9" fillId="2" borderId="0" xfId="0" applyFont="1" applyFill="1" applyAlignment="1" applyProtection="1">
      <alignment vertical="center"/>
      <protection hidden="1"/>
    </xf>
    <xf numFmtId="182" fontId="0" fillId="24" borderId="0" xfId="0" applyNumberFormat="1" applyFill="1" applyAlignment="1" applyProtection="1">
      <alignment vertical="center"/>
      <protection locked="0"/>
    </xf>
    <xf numFmtId="0" fontId="13" fillId="15" borderId="1" xfId="0" applyFont="1" applyFill="1" applyBorder="1" applyAlignment="1" applyProtection="1">
      <alignment horizontal="left" vertical="center"/>
      <protection hidden="1"/>
    </xf>
    <xf numFmtId="0" fontId="66" fillId="15" borderId="100" xfId="2" applyFill="1" applyBorder="1" applyAlignment="1" applyProtection="1">
      <alignment horizontal="right" vertical="center"/>
    </xf>
    <xf numFmtId="0" fontId="3" fillId="15" borderId="75" xfId="0" applyFont="1" applyFill="1" applyBorder="1" applyAlignment="1">
      <alignment horizontal="left" wrapText="1" indent="1"/>
    </xf>
    <xf numFmtId="0" fontId="3" fillId="15" borderId="0" xfId="0" applyFont="1" applyFill="1" applyAlignment="1">
      <alignment horizontal="left" wrapText="1" indent="1"/>
    </xf>
    <xf numFmtId="182" fontId="5" fillId="0" borderId="5" xfId="0" applyNumberFormat="1" applyFont="1" applyBorder="1" applyAlignment="1">
      <alignment horizontal="right" vertical="center" indent="1"/>
    </xf>
    <xf numFmtId="182" fontId="5" fillId="0" borderId="202" xfId="0" applyNumberFormat="1" applyFont="1" applyBorder="1" applyAlignment="1">
      <alignment horizontal="center" vertical="center"/>
    </xf>
    <xf numFmtId="182" fontId="5" fillId="0" borderId="6" xfId="0" applyNumberFormat="1" applyFont="1" applyBorder="1" applyAlignment="1">
      <alignment horizontal="center" vertical="center"/>
    </xf>
    <xf numFmtId="182" fontId="5" fillId="0" borderId="78" xfId="0" applyNumberFormat="1" applyFont="1" applyBorder="1" applyAlignment="1">
      <alignment horizontal="center" vertical="center"/>
    </xf>
    <xf numFmtId="182" fontId="5" fillId="0" borderId="20" xfId="0" applyNumberFormat="1" applyFont="1" applyBorder="1" applyAlignment="1">
      <alignment horizontal="center" vertical="center"/>
    </xf>
    <xf numFmtId="0" fontId="14" fillId="15" borderId="3" xfId="0" quotePrefix="1" applyFont="1" applyFill="1" applyBorder="1" applyAlignment="1" applyProtection="1">
      <alignment horizontal="center"/>
      <protection hidden="1"/>
    </xf>
    <xf numFmtId="0" fontId="19" fillId="15" borderId="25" xfId="0" applyFont="1" applyFill="1" applyBorder="1" applyAlignment="1" applyProtection="1">
      <alignment horizontal="left" vertical="center" indent="1"/>
      <protection hidden="1"/>
    </xf>
    <xf numFmtId="0" fontId="0" fillId="15" borderId="88" xfId="0" applyFill="1" applyBorder="1" applyProtection="1">
      <protection hidden="1"/>
    </xf>
    <xf numFmtId="0" fontId="73" fillId="15" borderId="0" xfId="0" applyFont="1" applyFill="1" applyProtection="1">
      <protection hidden="1"/>
    </xf>
    <xf numFmtId="0" fontId="10" fillId="15" borderId="34" xfId="0" applyFont="1" applyFill="1" applyBorder="1" applyAlignment="1" applyProtection="1">
      <alignment horizontal="left" vertical="center" indent="1"/>
      <protection hidden="1"/>
    </xf>
    <xf numFmtId="0" fontId="7" fillId="15" borderId="34" xfId="0" applyFont="1" applyFill="1" applyBorder="1" applyAlignment="1" applyProtection="1">
      <alignment horizontal="center" vertical="center"/>
      <protection hidden="1"/>
    </xf>
    <xf numFmtId="0" fontId="14" fillId="15" borderId="24" xfId="0" applyFont="1" applyFill="1" applyBorder="1" applyProtection="1">
      <protection hidden="1"/>
    </xf>
    <xf numFmtId="0" fontId="152" fillId="16" borderId="2" xfId="0" applyFont="1" applyFill="1" applyBorder="1" applyAlignment="1" applyProtection="1">
      <alignment horizontal="center"/>
      <protection locked="0"/>
    </xf>
    <xf numFmtId="0" fontId="170" fillId="15" borderId="39" xfId="0" applyFont="1" applyFill="1" applyBorder="1" applyAlignment="1" applyProtection="1">
      <alignment horizontal="left" vertical="center" wrapText="1"/>
      <protection hidden="1"/>
    </xf>
    <xf numFmtId="0" fontId="0" fillId="16" borderId="1" xfId="0" applyFill="1" applyBorder="1" applyProtection="1">
      <protection locked="0"/>
    </xf>
    <xf numFmtId="0" fontId="0" fillId="15" borderId="75" xfId="0" applyFill="1" applyBorder="1" applyProtection="1">
      <protection hidden="1"/>
    </xf>
    <xf numFmtId="0" fontId="0" fillId="15" borderId="218" xfId="0" applyFill="1" applyBorder="1" applyProtection="1">
      <protection hidden="1"/>
    </xf>
    <xf numFmtId="182" fontId="5" fillId="15" borderId="2" xfId="0" applyNumberFormat="1" applyFont="1" applyFill="1" applyBorder="1" applyAlignment="1" applyProtection="1">
      <alignment horizontal="center"/>
      <protection hidden="1"/>
    </xf>
    <xf numFmtId="182" fontId="5" fillId="15" borderId="30" xfId="0" applyNumberFormat="1" applyFont="1" applyFill="1" applyBorder="1" applyAlignment="1" applyProtection="1">
      <alignment horizontal="center"/>
      <protection hidden="1"/>
    </xf>
    <xf numFmtId="0" fontId="5" fillId="15" borderId="9" xfId="0" applyFont="1" applyFill="1" applyBorder="1" applyAlignment="1" applyProtection="1">
      <alignment horizontal="center"/>
      <protection hidden="1"/>
    </xf>
    <xf numFmtId="0" fontId="5" fillId="15" borderId="43" xfId="0" applyFont="1" applyFill="1" applyBorder="1" applyAlignment="1" applyProtection="1">
      <alignment horizontal="center"/>
      <protection hidden="1"/>
    </xf>
    <xf numFmtId="0" fontId="10" fillId="15" borderId="0" xfId="4" applyFont="1" applyFill="1" applyProtection="1">
      <protection hidden="1"/>
    </xf>
    <xf numFmtId="0" fontId="10" fillId="15" borderId="0" xfId="4" applyFont="1" applyFill="1" applyAlignment="1" applyProtection="1">
      <alignment horizontal="center"/>
      <protection hidden="1"/>
    </xf>
    <xf numFmtId="0" fontId="46" fillId="15" borderId="24" xfId="0" applyFont="1" applyFill="1" applyBorder="1" applyProtection="1">
      <protection hidden="1"/>
    </xf>
    <xf numFmtId="0" fontId="112" fillId="15" borderId="0" xfId="0" applyFont="1" applyFill="1" applyAlignment="1">
      <alignment horizontal="center"/>
    </xf>
    <xf numFmtId="3" fontId="112" fillId="15" borderId="0" xfId="0" applyNumberFormat="1" applyFont="1" applyFill="1"/>
    <xf numFmtId="0" fontId="9" fillId="15" borderId="7" xfId="0" applyFont="1" applyFill="1" applyBorder="1" applyAlignment="1" applyProtection="1">
      <alignment horizontal="center"/>
      <protection hidden="1"/>
    </xf>
    <xf numFmtId="0" fontId="11" fillId="15" borderId="7" xfId="0" applyFont="1" applyFill="1" applyBorder="1" applyAlignment="1">
      <alignment horizontal="center" textRotation="90"/>
    </xf>
    <xf numFmtId="0" fontId="9" fillId="15" borderId="7" xfId="0" applyFont="1" applyFill="1" applyBorder="1" applyAlignment="1">
      <alignment horizontal="center"/>
    </xf>
    <xf numFmtId="3" fontId="9" fillId="15" borderId="7" xfId="0" applyNumberFormat="1" applyFont="1" applyFill="1" applyBorder="1"/>
    <xf numFmtId="0" fontId="9" fillId="15" borderId="23" xfId="0" applyFont="1" applyFill="1" applyBorder="1" applyProtection="1">
      <protection hidden="1"/>
    </xf>
    <xf numFmtId="181" fontId="9" fillId="16" borderId="0" xfId="0" applyNumberFormat="1" applyFont="1" applyFill="1" applyAlignment="1" applyProtection="1">
      <alignment horizontal="center"/>
      <protection locked="0" hidden="1"/>
    </xf>
    <xf numFmtId="181" fontId="9" fillId="27" borderId="0" xfId="0" applyNumberFormat="1" applyFont="1" applyFill="1" applyAlignment="1" applyProtection="1">
      <alignment horizontal="center"/>
      <protection hidden="1"/>
    </xf>
    <xf numFmtId="0" fontId="11" fillId="15" borderId="0" xfId="0" applyFont="1" applyFill="1" applyAlignment="1">
      <alignment horizontal="left"/>
    </xf>
    <xf numFmtId="0" fontId="9" fillId="15" borderId="21" xfId="0" applyFont="1" applyFill="1" applyBorder="1" applyAlignment="1" applyProtection="1">
      <alignment horizontal="center"/>
      <protection hidden="1"/>
    </xf>
    <xf numFmtId="0" fontId="11" fillId="15" borderId="4" xfId="0" applyFont="1" applyFill="1" applyBorder="1" applyAlignment="1">
      <alignment horizontal="center" textRotation="90"/>
    </xf>
    <xf numFmtId="0" fontId="272" fillId="5" borderId="0" xfId="0" applyFont="1" applyFill="1" applyAlignment="1" applyProtection="1">
      <alignment horizontal="center"/>
      <protection hidden="1"/>
    </xf>
    <xf numFmtId="4" fontId="36" fillId="3" borderId="0" xfId="0" applyNumberFormat="1" applyFont="1" applyFill="1" applyAlignment="1" applyProtection="1">
      <alignment horizontal="left"/>
      <protection hidden="1"/>
    </xf>
    <xf numFmtId="39" fontId="3" fillId="14" borderId="54" xfId="0" applyNumberFormat="1" applyFont="1" applyFill="1" applyBorder="1" applyAlignment="1" applyProtection="1">
      <alignment horizontal="center" vertical="center"/>
      <protection locked="0"/>
    </xf>
    <xf numFmtId="0" fontId="7" fillId="15" borderId="8" xfId="0" applyFont="1" applyFill="1" applyBorder="1" applyAlignment="1" applyProtection="1">
      <alignment vertical="center"/>
      <protection hidden="1"/>
    </xf>
    <xf numFmtId="0" fontId="7" fillId="15" borderId="8" xfId="0" applyFont="1" applyFill="1" applyBorder="1" applyAlignment="1">
      <alignment vertical="center"/>
    </xf>
    <xf numFmtId="0" fontId="3" fillId="15" borderId="0" xfId="0" applyFont="1" applyFill="1" applyAlignment="1">
      <alignment horizontal="right" vertical="center"/>
    </xf>
    <xf numFmtId="0" fontId="140" fillId="15" borderId="3" xfId="0" applyFont="1" applyFill="1" applyBorder="1" applyAlignment="1">
      <alignment wrapText="1"/>
    </xf>
    <xf numFmtId="0" fontId="140" fillId="15" borderId="0" xfId="0" applyFont="1" applyFill="1" applyAlignment="1">
      <alignment wrapText="1"/>
    </xf>
    <xf numFmtId="0" fontId="140" fillId="15" borderId="3" xfId="0" applyFont="1" applyFill="1" applyBorder="1" applyAlignment="1">
      <alignment vertical="top" wrapText="1"/>
    </xf>
    <xf numFmtId="0" fontId="140" fillId="15" borderId="0" xfId="0" applyFont="1" applyFill="1" applyAlignment="1">
      <alignment vertical="top" wrapText="1"/>
    </xf>
    <xf numFmtId="0" fontId="140" fillId="15" borderId="1" xfId="0" applyFont="1" applyFill="1" applyBorder="1" applyAlignment="1">
      <alignment vertical="top"/>
    </xf>
    <xf numFmtId="37" fontId="9" fillId="27" borderId="1" xfId="0" applyNumberFormat="1" applyFont="1" applyFill="1" applyBorder="1" applyProtection="1">
      <protection hidden="1"/>
    </xf>
    <xf numFmtId="49" fontId="3" fillId="15" borderId="0" xfId="0" quotePrefix="1" applyNumberFormat="1" applyFont="1" applyFill="1" applyAlignment="1" applyProtection="1">
      <alignment horizontal="right"/>
      <protection hidden="1"/>
    </xf>
    <xf numFmtId="49" fontId="3" fillId="15" borderId="3" xfId="0" applyNumberFormat="1" applyFont="1" applyFill="1" applyBorder="1" applyAlignment="1" applyProtection="1">
      <alignment horizontal="right"/>
      <protection hidden="1"/>
    </xf>
    <xf numFmtId="0" fontId="140" fillId="15" borderId="3" xfId="0" applyFont="1" applyFill="1" applyBorder="1" applyAlignment="1">
      <alignment horizontal="center" vertical="center"/>
    </xf>
    <xf numFmtId="0" fontId="140" fillId="15" borderId="3" xfId="0" applyFont="1" applyFill="1" applyBorder="1" applyAlignment="1">
      <alignment horizontal="left" indent="1"/>
    </xf>
    <xf numFmtId="0" fontId="140" fillId="15" borderId="0" xfId="0" applyFont="1" applyFill="1" applyAlignment="1">
      <alignment horizontal="left" wrapText="1" indent="1"/>
    </xf>
    <xf numFmtId="0" fontId="140" fillId="15" borderId="9" xfId="0" applyFont="1" applyFill="1" applyBorder="1" applyAlignment="1">
      <alignment horizontal="left" vertical="top" indent="1"/>
    </xf>
    <xf numFmtId="0" fontId="151" fillId="0" borderId="0" xfId="0" applyFont="1" applyAlignment="1" applyProtection="1">
      <alignment vertical="center" wrapText="1"/>
      <protection hidden="1"/>
    </xf>
    <xf numFmtId="1" fontId="154" fillId="27" borderId="81" xfId="0" applyNumberFormat="1" applyFont="1" applyFill="1" applyBorder="1" applyAlignment="1" applyProtection="1">
      <alignment horizontal="center" vertical="center"/>
      <protection hidden="1"/>
    </xf>
    <xf numFmtId="180" fontId="154" fillId="27" borderId="82" xfId="0" applyNumberFormat="1" applyFont="1" applyFill="1" applyBorder="1" applyAlignment="1" applyProtection="1">
      <alignment horizontal="center" vertical="center"/>
      <protection hidden="1"/>
    </xf>
    <xf numFmtId="1" fontId="154" fillId="16" borderId="81" xfId="0" applyNumberFormat="1" applyFont="1" applyFill="1" applyBorder="1" applyAlignment="1" applyProtection="1">
      <alignment horizontal="center" vertical="center"/>
      <protection locked="0"/>
    </xf>
    <xf numFmtId="0" fontId="13" fillId="15" borderId="0" xfId="0" applyFont="1" applyFill="1"/>
    <xf numFmtId="14" fontId="19" fillId="24" borderId="0" xfId="0" applyNumberFormat="1" applyFont="1" applyFill="1" applyProtection="1">
      <protection locked="0"/>
    </xf>
    <xf numFmtId="2" fontId="116" fillId="15" borderId="24" xfId="0" applyNumberFormat="1" applyFont="1" applyFill="1" applyBorder="1" applyAlignment="1">
      <alignment horizontal="center"/>
    </xf>
    <xf numFmtId="0" fontId="11" fillId="17" borderId="0" xfId="0" quotePrefix="1" applyFont="1" applyFill="1" applyProtection="1">
      <protection hidden="1"/>
    </xf>
    <xf numFmtId="0" fontId="144" fillId="8" borderId="0" xfId="0" applyFont="1" applyFill="1" applyAlignment="1" applyProtection="1">
      <alignment vertical="top" wrapText="1"/>
      <protection hidden="1"/>
    </xf>
    <xf numFmtId="0" fontId="0" fillId="15" borderId="0" xfId="0" applyFill="1" applyAlignment="1">
      <alignment horizontal="right"/>
    </xf>
    <xf numFmtId="183" fontId="110" fillId="2" borderId="0" xfId="0" applyNumberFormat="1" applyFont="1" applyFill="1" applyAlignment="1" applyProtection="1">
      <alignment horizontal="center"/>
      <protection hidden="1"/>
    </xf>
    <xf numFmtId="42" fontId="5" fillId="0" borderId="0" xfId="0" applyNumberFormat="1" applyFont="1"/>
    <xf numFmtId="0" fontId="5" fillId="0" borderId="0" xfId="0" applyFont="1" applyAlignment="1" applyProtection="1">
      <alignment horizontal="center" vertical="center"/>
      <protection hidden="1"/>
    </xf>
    <xf numFmtId="0" fontId="110" fillId="0" borderId="5" xfId="0" applyFont="1" applyBorder="1" applyProtection="1">
      <protection hidden="1"/>
    </xf>
    <xf numFmtId="37" fontId="0" fillId="0" borderId="0" xfId="0" applyNumberFormat="1" applyAlignment="1" applyProtection="1">
      <alignment vertical="center"/>
      <protection locked="0"/>
    </xf>
    <xf numFmtId="0" fontId="0" fillId="24" borderId="5" xfId="0" applyFill="1" applyBorder="1" applyProtection="1">
      <protection hidden="1"/>
    </xf>
    <xf numFmtId="42" fontId="5" fillId="0" borderId="66" xfId="0" applyNumberFormat="1" applyFont="1" applyBorder="1" applyProtection="1">
      <protection hidden="1"/>
    </xf>
    <xf numFmtId="42" fontId="5" fillId="0" borderId="58" xfId="0" applyNumberFormat="1" applyFont="1" applyBorder="1" applyProtection="1">
      <protection hidden="1"/>
    </xf>
    <xf numFmtId="42" fontId="5" fillId="0" borderId="110" xfId="0" applyNumberFormat="1" applyFont="1" applyBorder="1" applyProtection="1">
      <protection hidden="1"/>
    </xf>
    <xf numFmtId="0" fontId="3" fillId="15" borderId="109" xfId="0" applyFont="1" applyFill="1" applyBorder="1" applyAlignment="1" applyProtection="1">
      <alignment horizontal="center"/>
      <protection locked="0"/>
    </xf>
    <xf numFmtId="0" fontId="3" fillId="15" borderId="46" xfId="0" applyFont="1" applyFill="1" applyBorder="1" applyAlignment="1" applyProtection="1">
      <alignment horizontal="center"/>
      <protection locked="0"/>
    </xf>
    <xf numFmtId="0" fontId="3" fillId="15" borderId="50" xfId="0" applyFont="1" applyFill="1" applyBorder="1" applyAlignment="1" applyProtection="1">
      <alignment horizontal="center"/>
      <protection locked="0"/>
    </xf>
    <xf numFmtId="37" fontId="3" fillId="15" borderId="66" xfId="0" applyNumberFormat="1" applyFont="1" applyFill="1" applyBorder="1" applyProtection="1">
      <protection locked="0"/>
    </xf>
    <xf numFmtId="37" fontId="3" fillId="15" borderId="58" xfId="0" applyNumberFormat="1" applyFont="1" applyFill="1" applyBorder="1" applyProtection="1">
      <protection locked="0"/>
    </xf>
    <xf numFmtId="37" fontId="3" fillId="15" borderId="110" xfId="0" applyNumberFormat="1" applyFont="1" applyFill="1" applyBorder="1" applyProtection="1">
      <protection locked="0"/>
    </xf>
    <xf numFmtId="0" fontId="112" fillId="15" borderId="0" xfId="0" applyFont="1" applyFill="1" applyAlignment="1" applyProtection="1">
      <alignment horizontal="right" vertical="top" wrapText="1"/>
      <protection hidden="1"/>
    </xf>
    <xf numFmtId="37" fontId="124" fillId="15" borderId="3" xfId="0" applyNumberFormat="1" applyFont="1" applyFill="1" applyBorder="1" applyProtection="1">
      <protection locked="0"/>
    </xf>
    <xf numFmtId="37" fontId="124" fillId="15" borderId="0" xfId="0" applyNumberFormat="1" applyFont="1" applyFill="1" applyProtection="1">
      <protection locked="0"/>
    </xf>
    <xf numFmtId="37" fontId="275" fillId="2" borderId="12" xfId="0" applyNumberFormat="1" applyFont="1" applyFill="1" applyBorder="1" applyProtection="1">
      <protection locked="0"/>
    </xf>
    <xf numFmtId="0" fontId="110" fillId="0" borderId="0" xfId="0" applyFont="1" applyAlignment="1">
      <alignment horizontal="right"/>
    </xf>
    <xf numFmtId="0" fontId="3" fillId="32" borderId="25" xfId="0" applyFont="1" applyFill="1" applyBorder="1" applyAlignment="1" applyProtection="1">
      <alignment horizontal="center" wrapText="1"/>
      <protection locked="0"/>
    </xf>
    <xf numFmtId="0" fontId="3" fillId="32" borderId="1" xfId="0" applyFont="1" applyFill="1" applyBorder="1" applyAlignment="1" applyProtection="1">
      <alignment horizontal="center" wrapText="1"/>
      <protection locked="0"/>
    </xf>
    <xf numFmtId="0" fontId="3" fillId="27" borderId="1" xfId="0" applyFont="1" applyFill="1" applyBorder="1" applyAlignment="1" applyProtection="1">
      <alignment horizontal="center"/>
      <protection hidden="1"/>
    </xf>
    <xf numFmtId="0" fontId="5" fillId="0" borderId="109" xfId="0" applyFont="1" applyBorder="1" applyAlignment="1" applyProtection="1">
      <alignment horizontal="right"/>
      <protection hidden="1"/>
    </xf>
    <xf numFmtId="0" fontId="5" fillId="0" borderId="43" xfId="0" applyFont="1" applyBorder="1" applyAlignment="1" applyProtection="1">
      <alignment horizontal="right"/>
      <protection hidden="1"/>
    </xf>
    <xf numFmtId="0" fontId="5" fillId="0" borderId="66" xfId="0" applyFont="1" applyBorder="1" applyAlignment="1" applyProtection="1">
      <alignment horizontal="right"/>
      <protection hidden="1"/>
    </xf>
    <xf numFmtId="0" fontId="0" fillId="0" borderId="46" xfId="0" applyBorder="1" applyProtection="1">
      <protection hidden="1"/>
    </xf>
    <xf numFmtId="0" fontId="0" fillId="0" borderId="58" xfId="0" applyBorder="1" applyProtection="1">
      <protection hidden="1"/>
    </xf>
    <xf numFmtId="0" fontId="0" fillId="0" borderId="50" xfId="0" applyBorder="1" applyProtection="1">
      <protection hidden="1"/>
    </xf>
    <xf numFmtId="0" fontId="0" fillId="0" borderId="51" xfId="0" applyBorder="1" applyProtection="1">
      <protection hidden="1"/>
    </xf>
    <xf numFmtId="0" fontId="0" fillId="0" borderId="110" xfId="0" applyBorder="1" applyProtection="1">
      <protection hidden="1"/>
    </xf>
    <xf numFmtId="4" fontId="259" fillId="2" borderId="0" xfId="0" applyNumberFormat="1" applyFont="1" applyFill="1" applyAlignment="1" applyProtection="1">
      <alignment vertical="center" wrapText="1"/>
      <protection hidden="1"/>
    </xf>
    <xf numFmtId="0" fontId="21" fillId="2" borderId="0" xfId="0" applyFont="1" applyFill="1" applyAlignment="1" applyProtection="1">
      <alignment horizontal="left"/>
      <protection hidden="1"/>
    </xf>
    <xf numFmtId="39" fontId="21" fillId="24" borderId="0" xfId="0" applyNumberFormat="1" applyFont="1" applyFill="1" applyAlignment="1" applyProtection="1">
      <alignment horizontal="left"/>
      <protection locked="0"/>
    </xf>
    <xf numFmtId="0" fontId="147" fillId="2" borderId="0" xfId="0" applyFont="1" applyFill="1" applyAlignment="1" applyProtection="1">
      <alignment horizontal="center"/>
      <protection hidden="1"/>
    </xf>
    <xf numFmtId="0" fontId="3" fillId="2" borderId="8" xfId="0" applyFont="1" applyFill="1" applyBorder="1" applyAlignment="1" applyProtection="1">
      <alignment horizontal="left"/>
      <protection hidden="1"/>
    </xf>
    <xf numFmtId="0" fontId="117" fillId="5" borderId="0" xfId="0" applyFont="1" applyFill="1" applyAlignment="1" applyProtection="1">
      <alignment horizontal="center" vertical="center"/>
      <protection hidden="1"/>
    </xf>
    <xf numFmtId="0" fontId="167" fillId="15" borderId="0" xfId="0" applyFont="1" applyFill="1" applyAlignment="1">
      <alignment horizontal="center"/>
    </xf>
    <xf numFmtId="4" fontId="276" fillId="32" borderId="142" xfId="0" applyNumberFormat="1" applyFont="1" applyFill="1" applyBorder="1" applyAlignment="1" applyProtection="1">
      <alignment horizontal="center"/>
      <protection locked="0"/>
    </xf>
    <xf numFmtId="4" fontId="276" fillId="32" borderId="143" xfId="0" applyNumberFormat="1" applyFont="1" applyFill="1" applyBorder="1" applyAlignment="1" applyProtection="1">
      <alignment horizontal="center"/>
      <protection locked="0"/>
    </xf>
    <xf numFmtId="0" fontId="124" fillId="15" borderId="0" xfId="0" applyFont="1" applyFill="1"/>
    <xf numFmtId="0" fontId="181" fillId="2" borderId="0" xfId="0" applyFont="1" applyFill="1" applyProtection="1">
      <protection hidden="1"/>
    </xf>
    <xf numFmtId="0" fontId="116" fillId="2" borderId="0" xfId="0" applyFont="1" applyFill="1" applyProtection="1">
      <protection hidden="1"/>
    </xf>
    <xf numFmtId="37" fontId="0" fillId="2" borderId="0" xfId="0" applyNumberFormat="1" applyFill="1" applyAlignment="1" applyProtection="1">
      <alignment vertical="center"/>
      <protection hidden="1"/>
    </xf>
    <xf numFmtId="1" fontId="3" fillId="16" borderId="87" xfId="0" applyNumberFormat="1" applyFont="1" applyFill="1" applyBorder="1" applyAlignment="1" applyProtection="1">
      <alignment horizontal="center"/>
      <protection locked="0"/>
    </xf>
    <xf numFmtId="0" fontId="133" fillId="2" borderId="0" xfId="0" applyFont="1" applyFill="1" applyAlignment="1" applyProtection="1">
      <alignment horizontal="left" vertical="top" wrapText="1"/>
      <protection hidden="1"/>
    </xf>
    <xf numFmtId="0" fontId="277" fillId="0" borderId="0" xfId="0" applyFont="1" applyAlignment="1">
      <alignment vertical="center"/>
    </xf>
    <xf numFmtId="0" fontId="117" fillId="0" borderId="0" xfId="0" applyFont="1" applyProtection="1">
      <protection hidden="1"/>
    </xf>
    <xf numFmtId="37" fontId="8" fillId="27" borderId="1" xfId="0" applyNumberFormat="1" applyFont="1" applyFill="1" applyBorder="1" applyProtection="1">
      <protection hidden="1"/>
    </xf>
    <xf numFmtId="37" fontId="5" fillId="15" borderId="0" xfId="0" applyNumberFormat="1" applyFont="1" applyFill="1" applyAlignment="1">
      <alignment horizontal="left"/>
    </xf>
    <xf numFmtId="38" fontId="110" fillId="0" borderId="0" xfId="0" applyNumberFormat="1" applyFont="1"/>
    <xf numFmtId="0" fontId="278" fillId="15" borderId="0" xfId="0" applyFont="1" applyFill="1" applyAlignment="1" applyProtection="1">
      <alignment horizontal="center" vertical="center"/>
      <protection hidden="1"/>
    </xf>
    <xf numFmtId="0" fontId="278" fillId="15" borderId="0" xfId="0" applyFont="1" applyFill="1" applyProtection="1">
      <protection hidden="1"/>
    </xf>
    <xf numFmtId="0" fontId="112" fillId="24" borderId="0" xfId="0" applyFont="1" applyFill="1" applyProtection="1">
      <protection hidden="1"/>
    </xf>
    <xf numFmtId="3" fontId="112" fillId="0" borderId="0" xfId="0" applyNumberFormat="1" applyFont="1" applyAlignment="1" applyProtection="1">
      <alignment horizontal="right"/>
      <protection hidden="1"/>
    </xf>
    <xf numFmtId="0" fontId="138" fillId="0" borderId="0" xfId="0" applyFont="1" applyAlignment="1" applyProtection="1">
      <alignment horizontal="center"/>
      <protection hidden="1"/>
    </xf>
    <xf numFmtId="0" fontId="112" fillId="0" borderId="20" xfId="0" applyFont="1" applyBorder="1"/>
    <xf numFmtId="4" fontId="112" fillId="0" borderId="0" xfId="0" applyNumberFormat="1" applyFont="1" applyAlignment="1" applyProtection="1">
      <alignment horizontal="right"/>
      <protection hidden="1"/>
    </xf>
    <xf numFmtId="39" fontId="110" fillId="0" borderId="0" xfId="0" applyNumberFormat="1" applyFont="1" applyAlignment="1" applyProtection="1">
      <alignment horizontal="right"/>
      <protection hidden="1"/>
    </xf>
    <xf numFmtId="3" fontId="3" fillId="0" borderId="0" xfId="0" applyNumberFormat="1" applyFont="1" applyProtection="1">
      <protection hidden="1"/>
    </xf>
    <xf numFmtId="37" fontId="8" fillId="26" borderId="1" xfId="0" applyNumberFormat="1" applyFont="1" applyFill="1" applyBorder="1" applyAlignment="1" applyProtection="1">
      <alignment horizontal="right"/>
      <protection locked="0"/>
    </xf>
    <xf numFmtId="0" fontId="279" fillId="5" borderId="2" xfId="2" applyFont="1" applyFill="1" applyBorder="1" applyAlignment="1" applyProtection="1">
      <alignment horizontal="center" vertical="center"/>
    </xf>
    <xf numFmtId="37" fontId="152" fillId="15" borderId="0" xfId="0" applyNumberFormat="1" applyFont="1" applyFill="1" applyProtection="1">
      <protection hidden="1"/>
    </xf>
    <xf numFmtId="0" fontId="152" fillId="15" borderId="0" xfId="0" quotePrefix="1" applyFont="1" applyFill="1" applyAlignment="1" applyProtection="1">
      <alignment horizontal="center"/>
      <protection hidden="1"/>
    </xf>
    <xf numFmtId="37" fontId="278" fillId="15" borderId="0" xfId="0" applyNumberFormat="1" applyFont="1" applyFill="1" applyProtection="1">
      <protection hidden="1"/>
    </xf>
    <xf numFmtId="0" fontId="278" fillId="15" borderId="0" xfId="0" applyFont="1" applyFill="1" applyAlignment="1" applyProtection="1">
      <alignment vertical="center"/>
      <protection hidden="1"/>
    </xf>
    <xf numFmtId="4" fontId="234" fillId="2" borderId="0" xfId="0" applyNumberFormat="1" applyFont="1" applyFill="1" applyAlignment="1" applyProtection="1">
      <alignment vertical="center" wrapText="1"/>
      <protection hidden="1"/>
    </xf>
    <xf numFmtId="37" fontId="30" fillId="2" borderId="15" xfId="0" applyNumberFormat="1" applyFont="1" applyFill="1" applyBorder="1" applyProtection="1">
      <protection locked="0"/>
    </xf>
    <xf numFmtId="1" fontId="0" fillId="10" borderId="43" xfId="0" applyNumberFormat="1" applyFill="1" applyBorder="1" applyAlignment="1" applyProtection="1">
      <alignment vertical="center"/>
      <protection hidden="1"/>
    </xf>
    <xf numFmtId="37" fontId="9" fillId="15" borderId="49" xfId="0" applyNumberFormat="1" applyFont="1" applyFill="1" applyBorder="1" applyAlignment="1" applyProtection="1">
      <alignment vertical="center"/>
      <protection locked="0"/>
    </xf>
    <xf numFmtId="37" fontId="9" fillId="15" borderId="53" xfId="0" applyNumberFormat="1" applyFont="1" applyFill="1" applyBorder="1" applyAlignment="1" applyProtection="1">
      <alignment vertical="center"/>
      <protection locked="0"/>
    </xf>
    <xf numFmtId="0" fontId="3" fillId="0" borderId="12" xfId="0" applyFont="1" applyBorder="1" applyProtection="1">
      <protection hidden="1"/>
    </xf>
    <xf numFmtId="171" fontId="5" fillId="2" borderId="12" xfId="0" applyNumberFormat="1" applyFont="1" applyFill="1" applyBorder="1" applyAlignment="1" applyProtection="1">
      <alignment horizontal="right"/>
      <protection locked="0"/>
    </xf>
    <xf numFmtId="3" fontId="5" fillId="2" borderId="49" xfId="0" applyNumberFormat="1" applyFont="1" applyFill="1" applyBorder="1" applyProtection="1">
      <protection hidden="1"/>
    </xf>
    <xf numFmtId="3" fontId="5" fillId="2" borderId="53" xfId="0" applyNumberFormat="1" applyFont="1" applyFill="1" applyBorder="1" applyProtection="1">
      <protection hidden="1"/>
    </xf>
    <xf numFmtId="4" fontId="3" fillId="2" borderId="2" xfId="0" applyNumberFormat="1" applyFont="1" applyFill="1" applyBorder="1" applyAlignment="1" applyProtection="1">
      <alignment horizontal="center"/>
      <protection hidden="1"/>
    </xf>
    <xf numFmtId="3" fontId="5" fillId="2" borderId="48" xfId="0" applyNumberFormat="1" applyFont="1" applyFill="1" applyBorder="1" applyProtection="1">
      <protection hidden="1"/>
    </xf>
    <xf numFmtId="3" fontId="108" fillId="2" borderId="49" xfId="0" applyNumberFormat="1" applyFont="1" applyFill="1" applyBorder="1" applyProtection="1">
      <protection hidden="1"/>
    </xf>
    <xf numFmtId="3" fontId="108" fillId="2" borderId="49" xfId="0" applyNumberFormat="1" applyFont="1" applyFill="1" applyBorder="1" applyAlignment="1" applyProtection="1">
      <alignment horizontal="center"/>
      <protection hidden="1"/>
    </xf>
    <xf numFmtId="3" fontId="243" fillId="2" borderId="49" xfId="0" applyNumberFormat="1" applyFont="1" applyFill="1" applyBorder="1" applyProtection="1">
      <protection hidden="1"/>
    </xf>
    <xf numFmtId="3" fontId="108" fillId="2" borderId="53" xfId="0" applyNumberFormat="1" applyFont="1" applyFill="1" applyBorder="1" applyProtection="1">
      <protection hidden="1"/>
    </xf>
    <xf numFmtId="37" fontId="3" fillId="27" borderId="86" xfId="0" applyNumberFormat="1" applyFont="1" applyFill="1" applyBorder="1" applyProtection="1">
      <protection hidden="1"/>
    </xf>
    <xf numFmtId="37" fontId="3" fillId="27" borderId="135" xfId="0" applyNumberFormat="1" applyFont="1" applyFill="1" applyBorder="1" applyProtection="1">
      <protection hidden="1"/>
    </xf>
    <xf numFmtId="37" fontId="5" fillId="27" borderId="135" xfId="0" applyNumberFormat="1" applyFont="1" applyFill="1" applyBorder="1" applyProtection="1">
      <protection hidden="1"/>
    </xf>
    <xf numFmtId="37" fontId="3" fillId="27" borderId="53" xfId="0" applyNumberFormat="1" applyFont="1" applyFill="1" applyBorder="1" applyAlignment="1" applyProtection="1">
      <alignment horizontal="right"/>
      <protection hidden="1"/>
    </xf>
    <xf numFmtId="37" fontId="5" fillId="27" borderId="58" xfId="0" applyNumberFormat="1" applyFont="1" applyFill="1" applyBorder="1" applyProtection="1">
      <protection hidden="1"/>
    </xf>
    <xf numFmtId="37" fontId="5" fillId="27" borderId="58" xfId="0" applyNumberFormat="1" applyFont="1" applyFill="1" applyBorder="1" applyAlignment="1" applyProtection="1">
      <alignment horizontal="center"/>
      <protection hidden="1"/>
    </xf>
    <xf numFmtId="37" fontId="3" fillId="27" borderId="58" xfId="0" applyNumberFormat="1" applyFont="1" applyFill="1" applyBorder="1" applyProtection="1">
      <protection hidden="1"/>
    </xf>
    <xf numFmtId="182" fontId="5" fillId="24" borderId="0" xfId="0" applyNumberFormat="1" applyFont="1" applyFill="1" applyAlignment="1" applyProtection="1">
      <alignment wrapText="1"/>
      <protection locked="0"/>
    </xf>
    <xf numFmtId="182" fontId="3" fillId="24" borderId="0" xfId="0" applyNumberFormat="1" applyFont="1" applyFill="1" applyAlignment="1" applyProtection="1">
      <alignment horizontal="center"/>
      <protection locked="0"/>
    </xf>
    <xf numFmtId="182" fontId="14" fillId="24" borderId="0" xfId="0" applyNumberFormat="1" applyFont="1" applyFill="1" applyAlignment="1" applyProtection="1">
      <alignment horizontal="center"/>
      <protection locked="0"/>
    </xf>
    <xf numFmtId="182" fontId="0" fillId="24" borderId="0" xfId="0" applyNumberFormat="1" applyFill="1" applyAlignment="1" applyProtection="1">
      <alignment horizontal="center"/>
      <protection locked="0"/>
    </xf>
    <xf numFmtId="182" fontId="109" fillId="24" borderId="0" xfId="0" applyNumberFormat="1" applyFont="1" applyFill="1" applyAlignment="1" applyProtection="1">
      <alignment horizontal="center"/>
      <protection locked="0"/>
    </xf>
    <xf numFmtId="182" fontId="5" fillId="24" borderId="0" xfId="0" applyNumberFormat="1" applyFont="1" applyFill="1" applyAlignment="1" applyProtection="1">
      <alignment horizontal="center" wrapText="1"/>
      <protection locked="0"/>
    </xf>
    <xf numFmtId="0" fontId="3" fillId="16" borderId="0" xfId="0" applyFont="1" applyFill="1" applyAlignment="1" applyProtection="1">
      <alignment horizontal="center"/>
      <protection locked="0"/>
    </xf>
    <xf numFmtId="0" fontId="110" fillId="0" borderId="0" xfId="0" applyFont="1" applyAlignment="1" applyProtection="1">
      <alignment horizontal="center" vertical="center"/>
      <protection hidden="1"/>
    </xf>
    <xf numFmtId="182" fontId="5" fillId="24" borderId="0" xfId="0" applyNumberFormat="1" applyFont="1" applyFill="1" applyAlignment="1" applyProtection="1">
      <alignment horizontal="center"/>
      <protection locked="0"/>
    </xf>
    <xf numFmtId="182" fontId="10" fillId="24" borderId="0" xfId="0" applyNumberFormat="1" applyFont="1" applyFill="1" applyAlignment="1" applyProtection="1">
      <alignment horizontal="center"/>
      <protection locked="0"/>
    </xf>
    <xf numFmtId="182" fontId="5" fillId="24" borderId="1" xfId="0" applyNumberFormat="1" applyFont="1" applyFill="1" applyBorder="1" applyAlignment="1" applyProtection="1">
      <alignment horizontal="center"/>
      <protection locked="0"/>
    </xf>
    <xf numFmtId="3" fontId="9" fillId="0" borderId="0" xfId="0" applyNumberFormat="1" applyFont="1" applyAlignment="1" applyProtection="1">
      <alignment horizontal="right"/>
      <protection hidden="1"/>
    </xf>
    <xf numFmtId="37" fontId="9" fillId="0" borderId="0" xfId="0" applyNumberFormat="1" applyFont="1" applyAlignment="1" applyProtection="1">
      <alignment horizontal="right"/>
      <protection hidden="1"/>
    </xf>
    <xf numFmtId="37" fontId="112" fillId="0" borderId="20" xfId="0" applyNumberFormat="1" applyFont="1" applyBorder="1" applyAlignment="1" applyProtection="1">
      <alignment horizontal="center"/>
      <protection hidden="1"/>
    </xf>
    <xf numFmtId="37" fontId="3" fillId="27" borderId="39" xfId="0" applyNumberFormat="1" applyFont="1" applyFill="1" applyBorder="1" applyProtection="1">
      <protection hidden="1"/>
    </xf>
    <xf numFmtId="0" fontId="14" fillId="15" borderId="4" xfId="0" applyFont="1" applyFill="1" applyBorder="1" applyAlignment="1" applyProtection="1">
      <alignment horizontal="center"/>
      <protection hidden="1"/>
    </xf>
    <xf numFmtId="0" fontId="7" fillId="15" borderId="8" xfId="0" applyFont="1" applyFill="1" applyBorder="1" applyAlignment="1" applyProtection="1">
      <alignment horizontal="center" vertical="center" wrapText="1"/>
      <protection hidden="1"/>
    </xf>
    <xf numFmtId="37" fontId="14" fillId="27" borderId="25"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37" fontId="14" fillId="27" borderId="39" xfId="0" applyNumberFormat="1" applyFont="1" applyFill="1" applyBorder="1" applyAlignment="1" applyProtection="1">
      <alignment horizontal="right" vertical="center"/>
      <protection hidden="1"/>
    </xf>
    <xf numFmtId="3" fontId="14" fillId="15" borderId="30"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0" fontId="7" fillId="15" borderId="1" xfId="0" applyFont="1" applyFill="1" applyBorder="1" applyAlignment="1">
      <alignment horizontal="center" vertical="center" wrapText="1"/>
    </xf>
    <xf numFmtId="0" fontId="5" fillId="15" borderId="8" xfId="0" applyFont="1" applyFill="1" applyBorder="1" applyAlignment="1" applyProtection="1">
      <alignment horizontal="left"/>
      <protection hidden="1"/>
    </xf>
    <xf numFmtId="0" fontId="0" fillId="15" borderId="25" xfId="0" applyFill="1" applyBorder="1" applyAlignment="1" applyProtection="1">
      <alignment horizontal="center" vertical="center"/>
      <protection hidden="1"/>
    </xf>
    <xf numFmtId="0" fontId="280" fillId="5" borderId="0" xfId="0" applyFont="1" applyFill="1" applyProtection="1">
      <protection hidden="1"/>
    </xf>
    <xf numFmtId="0" fontId="281" fillId="5" borderId="0" xfId="0" applyFont="1" applyFill="1" applyAlignment="1" applyProtection="1">
      <alignment horizontal="center"/>
      <protection hidden="1"/>
    </xf>
    <xf numFmtId="4" fontId="147" fillId="0" borderId="0" xfId="0" applyNumberFormat="1" applyFont="1" applyProtection="1">
      <protection hidden="1"/>
    </xf>
    <xf numFmtId="1" fontId="147" fillId="0" borderId="0" xfId="0" applyNumberFormat="1" applyFont="1" applyProtection="1">
      <protection hidden="1"/>
    </xf>
    <xf numFmtId="0" fontId="110" fillId="0" borderId="0" xfId="0" applyFont="1" applyAlignment="1" applyProtection="1">
      <alignment vertical="center"/>
      <protection hidden="1"/>
    </xf>
    <xf numFmtId="1" fontId="110" fillId="0" borderId="0" xfId="0" applyNumberFormat="1" applyFont="1" applyProtection="1">
      <protection hidden="1"/>
    </xf>
    <xf numFmtId="1" fontId="126" fillId="0" borderId="0" xfId="0" applyNumberFormat="1" applyFont="1" applyAlignment="1" applyProtection="1">
      <alignment horizontal="center"/>
      <protection hidden="1"/>
    </xf>
    <xf numFmtId="1" fontId="126" fillId="0" borderId="0" xfId="0" applyNumberFormat="1" applyFont="1" applyProtection="1">
      <protection hidden="1"/>
    </xf>
    <xf numFmtId="0" fontId="14" fillId="23" borderId="0" xfId="0" applyFont="1" applyFill="1" applyAlignment="1" applyProtection="1">
      <alignment horizontal="center"/>
      <protection hidden="1"/>
    </xf>
    <xf numFmtId="0" fontId="3" fillId="19" borderId="0" xfId="0" applyFont="1" applyFill="1" applyAlignment="1" applyProtection="1">
      <alignment horizontal="center"/>
      <protection hidden="1"/>
    </xf>
    <xf numFmtId="0" fontId="5" fillId="0" borderId="0" xfId="0" applyFont="1" applyProtection="1">
      <protection locked="0"/>
    </xf>
    <xf numFmtId="37" fontId="5" fillId="0" borderId="0" xfId="0" applyNumberFormat="1" applyFont="1" applyProtection="1">
      <protection locked="0"/>
    </xf>
    <xf numFmtId="0" fontId="11" fillId="15" borderId="0" xfId="0" applyFont="1" applyFill="1" applyProtection="1">
      <protection hidden="1"/>
    </xf>
    <xf numFmtId="0" fontId="14" fillId="15" borderId="4" xfId="0" quotePrefix="1" applyFont="1" applyFill="1" applyBorder="1" applyAlignment="1" applyProtection="1">
      <alignment horizontal="center"/>
      <protection hidden="1"/>
    </xf>
    <xf numFmtId="0" fontId="19" fillId="15" borderId="27" xfId="0" applyFont="1" applyFill="1" applyBorder="1" applyAlignment="1" applyProtection="1">
      <alignment horizontal="left" vertical="center"/>
      <protection hidden="1"/>
    </xf>
    <xf numFmtId="0" fontId="14" fillId="15" borderId="13" xfId="0" quotePrefix="1" applyFont="1" applyFill="1" applyBorder="1" applyAlignment="1" applyProtection="1">
      <alignment horizontal="center"/>
      <protection hidden="1"/>
    </xf>
    <xf numFmtId="0" fontId="46" fillId="15" borderId="13" xfId="0" applyFont="1" applyFill="1" applyBorder="1" applyProtection="1">
      <protection hidden="1"/>
    </xf>
    <xf numFmtId="0" fontId="3" fillId="15" borderId="183" xfId="0" applyFont="1" applyFill="1" applyBorder="1" applyAlignment="1" applyProtection="1">
      <alignment horizontal="center"/>
      <protection hidden="1"/>
    </xf>
    <xf numFmtId="0" fontId="152" fillId="0" borderId="0" xfId="0" applyFont="1" applyProtection="1">
      <protection hidden="1"/>
    </xf>
    <xf numFmtId="180" fontId="0" fillId="0" borderId="0" xfId="0" applyNumberFormat="1" applyProtection="1">
      <protection hidden="1"/>
    </xf>
    <xf numFmtId="0" fontId="3" fillId="15" borderId="16" xfId="0" applyFont="1" applyFill="1" applyBorder="1" applyAlignment="1" applyProtection="1">
      <alignment vertical="top"/>
      <protection hidden="1"/>
    </xf>
    <xf numFmtId="0" fontId="5" fillId="15" borderId="16" xfId="0" applyFont="1" applyFill="1" applyBorder="1" applyProtection="1">
      <protection hidden="1"/>
    </xf>
    <xf numFmtId="0" fontId="9" fillId="15" borderId="16" xfId="0" applyFont="1" applyFill="1" applyBorder="1" applyAlignment="1" applyProtection="1">
      <alignment vertical="top"/>
      <protection hidden="1"/>
    </xf>
    <xf numFmtId="0" fontId="5" fillId="15" borderId="16" xfId="0" applyFont="1" applyFill="1" applyBorder="1" applyAlignment="1" applyProtection="1">
      <alignment horizontal="right"/>
      <protection hidden="1"/>
    </xf>
    <xf numFmtId="182" fontId="14" fillId="24" borderId="1" xfId="0" applyNumberFormat="1" applyFont="1" applyFill="1" applyBorder="1" applyAlignment="1" applyProtection="1">
      <alignment horizontal="center"/>
      <protection locked="0"/>
    </xf>
    <xf numFmtId="182" fontId="0" fillId="0" borderId="0" xfId="0" applyNumberFormat="1" applyAlignment="1" applyProtection="1">
      <alignment horizontal="center"/>
      <protection locked="0"/>
    </xf>
    <xf numFmtId="0" fontId="7" fillId="15" borderId="16" xfId="0" applyFont="1" applyFill="1" applyBorder="1" applyAlignment="1" applyProtection="1">
      <alignment vertical="top"/>
      <protection hidden="1"/>
    </xf>
    <xf numFmtId="1" fontId="14" fillId="0" borderId="1" xfId="0" applyNumberFormat="1" applyFont="1" applyBorder="1" applyAlignment="1" applyProtection="1">
      <alignment horizontal="center"/>
      <protection hidden="1"/>
    </xf>
    <xf numFmtId="1" fontId="14" fillId="0" borderId="4" xfId="0" applyNumberFormat="1" applyFont="1" applyBorder="1" applyAlignment="1" applyProtection="1">
      <alignment horizontal="center"/>
      <protection hidden="1"/>
    </xf>
    <xf numFmtId="37" fontId="14" fillId="14" borderId="8" xfId="0" applyNumberFormat="1" applyFont="1" applyFill="1" applyBorder="1" applyProtection="1">
      <protection hidden="1"/>
    </xf>
    <xf numFmtId="0" fontId="14" fillId="14" borderId="8" xfId="0" applyFont="1" applyFill="1" applyBorder="1" applyProtection="1">
      <protection hidden="1"/>
    </xf>
    <xf numFmtId="0" fontId="0" fillId="15" borderId="12" xfId="0" applyFill="1" applyBorder="1" applyAlignment="1" applyProtection="1">
      <alignment horizontal="center"/>
      <protection hidden="1"/>
    </xf>
    <xf numFmtId="0" fontId="3" fillId="15" borderId="0" xfId="0" applyFont="1" applyFill="1" applyAlignment="1" applyProtection="1">
      <alignment horizontal="left" vertical="center"/>
      <protection locked="0"/>
    </xf>
    <xf numFmtId="38" fontId="147" fillId="2" borderId="4" xfId="0" applyNumberFormat="1" applyFont="1" applyFill="1" applyBorder="1" applyAlignment="1" applyProtection="1">
      <alignment horizontal="center"/>
      <protection hidden="1"/>
    </xf>
    <xf numFmtId="164" fontId="126" fillId="2" borderId="0" xfId="0" applyNumberFormat="1" applyFont="1" applyFill="1" applyProtection="1">
      <protection hidden="1"/>
    </xf>
    <xf numFmtId="38" fontId="110" fillId="2" borderId="4" xfId="0" applyNumberFormat="1" applyFont="1" applyFill="1" applyBorder="1" applyAlignment="1" applyProtection="1">
      <alignment horizontal="center"/>
      <protection hidden="1"/>
    </xf>
    <xf numFmtId="0" fontId="3" fillId="15" borderId="8" xfId="0" applyFont="1" applyFill="1" applyBorder="1" applyAlignment="1" applyProtection="1">
      <alignment horizontal="left" vertical="center"/>
      <protection locked="0"/>
    </xf>
    <xf numFmtId="0" fontId="3" fillId="15" borderId="14" xfId="0" applyFont="1" applyFill="1" applyBorder="1" applyAlignment="1" applyProtection="1">
      <alignment horizontal="left" vertical="center"/>
      <protection locked="0"/>
    </xf>
    <xf numFmtId="0" fontId="5" fillId="15" borderId="3" xfId="0" quotePrefix="1" applyFont="1" applyFill="1" applyBorder="1" applyAlignment="1" applyProtection="1">
      <alignment horizontal="right"/>
      <protection hidden="1"/>
    </xf>
    <xf numFmtId="0" fontId="0" fillId="15" borderId="3" xfId="0" applyFill="1" applyBorder="1" applyAlignment="1" applyProtection="1">
      <alignment horizontal="right"/>
      <protection hidden="1"/>
    </xf>
    <xf numFmtId="0" fontId="112" fillId="15" borderId="24" xfId="0" applyFont="1" applyFill="1" applyBorder="1" applyProtection="1">
      <protection hidden="1"/>
    </xf>
    <xf numFmtId="0" fontId="0" fillId="15" borderId="109" xfId="0" applyFill="1" applyBorder="1" applyAlignment="1" applyProtection="1">
      <alignment horizontal="center"/>
      <protection hidden="1"/>
    </xf>
    <xf numFmtId="0" fontId="0" fillId="15" borderId="46" xfId="0" applyFill="1" applyBorder="1" applyAlignment="1" applyProtection="1">
      <alignment horizontal="center"/>
      <protection hidden="1"/>
    </xf>
    <xf numFmtId="0" fontId="0" fillId="15" borderId="50" xfId="0" applyFill="1" applyBorder="1" applyAlignment="1" applyProtection="1">
      <alignment horizontal="center"/>
      <protection hidden="1"/>
    </xf>
    <xf numFmtId="0" fontId="144" fillId="15" borderId="0" xfId="0" applyFont="1" applyFill="1" applyAlignment="1" applyProtection="1">
      <alignment horizontal="center"/>
      <protection hidden="1"/>
    </xf>
    <xf numFmtId="0" fontId="3" fillId="15" borderId="0" xfId="0" applyFont="1" applyFill="1" applyAlignment="1" applyProtection="1">
      <alignment vertical="center"/>
      <protection locked="0"/>
    </xf>
    <xf numFmtId="0" fontId="3" fillId="15" borderId="0" xfId="0" applyFont="1" applyFill="1" applyAlignment="1" applyProtection="1">
      <alignment horizontal="center" vertical="top"/>
      <protection hidden="1"/>
    </xf>
    <xf numFmtId="3" fontId="3" fillId="16" borderId="12" xfId="0" applyNumberFormat="1" applyFont="1" applyFill="1" applyBorder="1" applyProtection="1">
      <protection locked="0"/>
    </xf>
    <xf numFmtId="0" fontId="0" fillId="0" borderId="20" xfId="0" applyBorder="1" applyAlignment="1">
      <alignment horizontal="center"/>
    </xf>
    <xf numFmtId="49" fontId="8" fillId="5" borderId="0" xfId="0" applyNumberFormat="1" applyFont="1" applyFill="1" applyAlignment="1" applyProtection="1">
      <alignment horizontal="right"/>
      <protection hidden="1"/>
    </xf>
    <xf numFmtId="49" fontId="8" fillId="15" borderId="7" xfId="0" applyNumberFormat="1" applyFont="1" applyFill="1" applyBorder="1" applyAlignment="1" applyProtection="1">
      <alignment horizontal="right"/>
      <protection hidden="1"/>
    </xf>
    <xf numFmtId="49" fontId="8" fillId="15" borderId="4" xfId="0" applyNumberFormat="1" applyFont="1" applyFill="1" applyBorder="1" applyAlignment="1" applyProtection="1">
      <alignment horizontal="right"/>
      <protection hidden="1"/>
    </xf>
    <xf numFmtId="49" fontId="8" fillId="15" borderId="0" xfId="0" applyNumberFormat="1" applyFont="1" applyFill="1" applyAlignment="1" applyProtection="1">
      <alignment horizontal="right"/>
      <protection hidden="1"/>
    </xf>
    <xf numFmtId="0" fontId="36" fillId="15" borderId="4" xfId="0" applyFont="1" applyFill="1" applyBorder="1" applyProtection="1">
      <protection hidden="1"/>
    </xf>
    <xf numFmtId="0" fontId="3" fillId="2" borderId="4" xfId="0" applyFont="1" applyFill="1" applyBorder="1" applyProtection="1">
      <protection hidden="1"/>
    </xf>
    <xf numFmtId="49" fontId="8" fillId="2" borderId="4" xfId="0" applyNumberFormat="1" applyFont="1" applyFill="1" applyBorder="1" applyAlignment="1" applyProtection="1">
      <alignment horizontal="right"/>
      <protection hidden="1"/>
    </xf>
    <xf numFmtId="49" fontId="8" fillId="2" borderId="23" xfId="0" applyNumberFormat="1" applyFont="1" applyFill="1" applyBorder="1" applyAlignment="1" applyProtection="1">
      <alignment horizontal="right"/>
      <protection hidden="1"/>
    </xf>
    <xf numFmtId="0" fontId="3" fillId="2" borderId="7" xfId="0" applyFont="1" applyFill="1" applyBorder="1" applyProtection="1">
      <protection hidden="1"/>
    </xf>
    <xf numFmtId="49" fontId="8" fillId="2" borderId="7" xfId="0" applyNumberFormat="1" applyFont="1" applyFill="1" applyBorder="1" applyAlignment="1" applyProtection="1">
      <alignment horizontal="right"/>
      <protection hidden="1"/>
    </xf>
    <xf numFmtId="49" fontId="8" fillId="2" borderId="5" xfId="0" applyNumberFormat="1" applyFont="1" applyFill="1" applyBorder="1" applyAlignment="1" applyProtection="1">
      <alignment horizontal="right"/>
      <protection hidden="1"/>
    </xf>
    <xf numFmtId="49" fontId="8" fillId="2" borderId="21" xfId="0" applyNumberFormat="1" applyFont="1" applyFill="1" applyBorder="1" applyAlignment="1" applyProtection="1">
      <alignment horizontal="right"/>
      <protection hidden="1"/>
    </xf>
    <xf numFmtId="40" fontId="56" fillId="2" borderId="4" xfId="0" applyNumberFormat="1" applyFont="1" applyFill="1" applyBorder="1" applyAlignment="1" applyProtection="1">
      <alignment horizontal="left"/>
      <protection hidden="1"/>
    </xf>
    <xf numFmtId="40" fontId="56" fillId="2" borderId="4" xfId="0" applyNumberFormat="1" applyFont="1" applyFill="1" applyBorder="1" applyAlignment="1" applyProtection="1">
      <alignment horizontal="center"/>
      <protection hidden="1"/>
    </xf>
    <xf numFmtId="49" fontId="8" fillId="2" borderId="5" xfId="0" applyNumberFormat="1" applyFont="1" applyFill="1" applyBorder="1" applyAlignment="1" applyProtection="1">
      <alignment horizontal="left" vertical="center"/>
      <protection hidden="1"/>
    </xf>
    <xf numFmtId="0" fontId="11" fillId="2" borderId="0" xfId="0" applyFont="1" applyFill="1" applyProtection="1">
      <protection hidden="1"/>
    </xf>
    <xf numFmtId="0" fontId="8" fillId="2" borderId="20" xfId="0" applyFont="1" applyFill="1" applyBorder="1" applyAlignment="1" applyProtection="1">
      <alignment horizontal="center"/>
      <protection hidden="1"/>
    </xf>
    <xf numFmtId="0" fontId="3" fillId="15" borderId="5" xfId="0" applyFont="1" applyFill="1" applyBorder="1" applyProtection="1">
      <protection hidden="1"/>
    </xf>
    <xf numFmtId="0" fontId="3" fillId="15" borderId="26" xfId="0" applyFont="1" applyFill="1" applyBorder="1" applyProtection="1">
      <protection hidden="1"/>
    </xf>
    <xf numFmtId="0" fontId="50" fillId="2" borderId="0" xfId="0" applyFont="1" applyFill="1" applyProtection="1">
      <protection hidden="1"/>
    </xf>
    <xf numFmtId="37" fontId="5" fillId="2" borderId="0" xfId="0" applyNumberFormat="1" applyFont="1" applyFill="1" applyProtection="1">
      <protection hidden="1"/>
    </xf>
    <xf numFmtId="37" fontId="21" fillId="2" borderId="0" xfId="0" applyNumberFormat="1" applyFont="1" applyFill="1" applyAlignment="1" applyProtection="1">
      <alignment horizontal="right"/>
      <protection hidden="1"/>
    </xf>
    <xf numFmtId="0" fontId="3" fillId="5" borderId="20" xfId="0" applyFont="1" applyFill="1" applyBorder="1" applyProtection="1">
      <protection hidden="1"/>
    </xf>
    <xf numFmtId="0" fontId="3" fillId="15" borderId="21" xfId="0" applyFont="1" applyFill="1" applyBorder="1" applyProtection="1">
      <protection hidden="1"/>
    </xf>
    <xf numFmtId="0" fontId="3" fillId="2" borderId="4" xfId="0" quotePrefix="1" applyFont="1" applyFill="1" applyBorder="1" applyAlignment="1" applyProtection="1">
      <alignment horizontal="right"/>
      <protection hidden="1"/>
    </xf>
    <xf numFmtId="0" fontId="110" fillId="0" borderId="0" xfId="0" applyFont="1" applyAlignment="1" applyProtection="1">
      <alignment horizontal="right"/>
      <protection hidden="1"/>
    </xf>
    <xf numFmtId="3" fontId="116" fillId="2" borderId="0" xfId="0" applyNumberFormat="1" applyFont="1" applyFill="1" applyProtection="1">
      <protection hidden="1"/>
    </xf>
    <xf numFmtId="0" fontId="159" fillId="15" borderId="0" xfId="0" applyFont="1" applyFill="1" applyAlignment="1" applyProtection="1">
      <alignment vertical="top"/>
      <protection hidden="1"/>
    </xf>
    <xf numFmtId="0" fontId="159" fillId="15" borderId="0" xfId="0" applyFont="1" applyFill="1" applyProtection="1">
      <protection hidden="1"/>
    </xf>
    <xf numFmtId="0" fontId="9" fillId="0" borderId="111" xfId="0" applyFont="1" applyBorder="1" applyAlignment="1" applyProtection="1">
      <alignment horizontal="center"/>
      <protection hidden="1"/>
    </xf>
    <xf numFmtId="168" fontId="129" fillId="0" borderId="0" xfId="0" applyNumberFormat="1" applyFont="1" applyAlignment="1" applyProtection="1">
      <alignment horizontal="center"/>
      <protection hidden="1"/>
    </xf>
    <xf numFmtId="189" fontId="0" fillId="0" borderId="0" xfId="0" applyNumberFormat="1" applyAlignment="1" applyProtection="1">
      <alignment horizontal="right"/>
      <protection hidden="1"/>
    </xf>
    <xf numFmtId="180" fontId="0" fillId="0" borderId="0" xfId="0" applyNumberFormat="1" applyAlignment="1" applyProtection="1">
      <alignment horizontal="right"/>
      <protection hidden="1"/>
    </xf>
    <xf numFmtId="168" fontId="129" fillId="0" borderId="23" xfId="0" applyNumberFormat="1" applyFont="1" applyBorder="1" applyAlignment="1" applyProtection="1">
      <alignment horizontal="right"/>
      <protection hidden="1"/>
    </xf>
    <xf numFmtId="168" fontId="129" fillId="0" borderId="7" xfId="0" applyNumberFormat="1" applyFont="1" applyBorder="1" applyAlignment="1" applyProtection="1">
      <alignment horizontal="right"/>
      <protection hidden="1"/>
    </xf>
    <xf numFmtId="168" fontId="129" fillId="0" borderId="19" xfId="0" applyNumberFormat="1" applyFont="1" applyBorder="1" applyAlignment="1" applyProtection="1">
      <alignment horizontal="right"/>
      <protection hidden="1"/>
    </xf>
    <xf numFmtId="3" fontId="129" fillId="0" borderId="5" xfId="0" applyNumberFormat="1" applyFont="1" applyBorder="1" applyAlignment="1" applyProtection="1">
      <alignment horizontal="right"/>
      <protection hidden="1"/>
    </xf>
    <xf numFmtId="0" fontId="10" fillId="0" borderId="2" xfId="0" applyFont="1" applyBorder="1" applyAlignment="1">
      <alignment horizontal="center"/>
    </xf>
    <xf numFmtId="192" fontId="129" fillId="0" borderId="0" xfId="0" applyNumberFormat="1" applyFont="1" applyAlignment="1" applyProtection="1">
      <alignment horizontal="right"/>
      <protection hidden="1"/>
    </xf>
    <xf numFmtId="3" fontId="9" fillId="0" borderId="4" xfId="0" applyNumberFormat="1" applyFont="1" applyBorder="1" applyAlignment="1" applyProtection="1">
      <alignment horizontal="center"/>
      <protection hidden="1"/>
    </xf>
    <xf numFmtId="3" fontId="9" fillId="0" borderId="22" xfId="0" applyNumberFormat="1" applyFont="1" applyBorder="1" applyAlignment="1" applyProtection="1">
      <alignment horizontal="center"/>
      <protection hidden="1"/>
    </xf>
    <xf numFmtId="3" fontId="0" fillId="0" borderId="0" xfId="0" applyNumberFormat="1" applyAlignment="1" applyProtection="1">
      <alignment horizontal="right"/>
      <protection hidden="1"/>
    </xf>
    <xf numFmtId="3" fontId="0" fillId="0" borderId="20" xfId="0" applyNumberFormat="1" applyBorder="1" applyAlignment="1" applyProtection="1">
      <alignment horizontal="right"/>
      <protection hidden="1"/>
    </xf>
    <xf numFmtId="180" fontId="129" fillId="0" borderId="0" xfId="0" applyNumberFormat="1" applyFont="1" applyAlignment="1" applyProtection="1">
      <alignment horizontal="right"/>
      <protection hidden="1"/>
    </xf>
    <xf numFmtId="14" fontId="0" fillId="15" borderId="23" xfId="0" applyNumberFormat="1" applyFill="1" applyBorder="1" applyProtection="1">
      <protection locked="0"/>
    </xf>
    <xf numFmtId="37" fontId="0" fillId="15" borderId="7" xfId="0" applyNumberFormat="1" applyFill="1" applyBorder="1" applyProtection="1">
      <protection locked="0"/>
    </xf>
    <xf numFmtId="37" fontId="0" fillId="15" borderId="19" xfId="0" applyNumberFormat="1" applyFill="1" applyBorder="1" applyProtection="1">
      <protection locked="0"/>
    </xf>
    <xf numFmtId="14" fontId="5" fillId="15" borderId="5" xfId="0" applyNumberFormat="1" applyFont="1" applyFill="1" applyBorder="1" applyAlignment="1" applyProtection="1">
      <alignment horizontal="left" indent="1"/>
      <protection locked="0"/>
    </xf>
    <xf numFmtId="37" fontId="5" fillId="15" borderId="0" xfId="0" applyNumberFormat="1" applyFont="1" applyFill="1" applyProtection="1">
      <protection locked="0"/>
    </xf>
    <xf numFmtId="37" fontId="0" fillId="15" borderId="20" xfId="0" applyNumberFormat="1" applyFill="1" applyBorder="1" applyProtection="1">
      <protection locked="0"/>
    </xf>
    <xf numFmtId="14" fontId="3" fillId="15" borderId="5" xfId="0" applyNumberFormat="1" applyFont="1" applyFill="1" applyBorder="1" applyProtection="1">
      <protection locked="0"/>
    </xf>
    <xf numFmtId="14" fontId="110" fillId="15" borderId="5" xfId="0" applyNumberFormat="1" applyFont="1" applyFill="1" applyBorder="1" applyProtection="1">
      <protection locked="0"/>
    </xf>
    <xf numFmtId="14" fontId="0" fillId="15" borderId="5" xfId="0" applyNumberFormat="1" applyFill="1" applyBorder="1" applyAlignment="1" applyProtection="1">
      <alignment horizontal="left" indent="1"/>
      <protection locked="0"/>
    </xf>
    <xf numFmtId="14" fontId="5" fillId="15" borderId="21" xfId="0" applyNumberFormat="1" applyFont="1" applyFill="1" applyBorder="1" applyAlignment="1" applyProtection="1">
      <alignment horizontal="left" vertical="top" indent="1"/>
      <protection locked="0"/>
    </xf>
    <xf numFmtId="37" fontId="5" fillId="15" borderId="4" xfId="0" applyNumberFormat="1" applyFont="1" applyFill="1" applyBorder="1" applyProtection="1">
      <protection locked="0"/>
    </xf>
    <xf numFmtId="37" fontId="0" fillId="15" borderId="4" xfId="0" applyNumberFormat="1" applyFill="1" applyBorder="1" applyProtection="1">
      <protection locked="0"/>
    </xf>
    <xf numFmtId="37" fontId="0" fillId="15" borderId="22" xfId="0" applyNumberFormat="1" applyFill="1" applyBorder="1" applyProtection="1">
      <protection locked="0"/>
    </xf>
    <xf numFmtId="182" fontId="24" fillId="24" borderId="0" xfId="0" applyNumberFormat="1" applyFont="1" applyFill="1" applyAlignment="1" applyProtection="1">
      <alignment horizontal="center"/>
      <protection locked="0"/>
    </xf>
    <xf numFmtId="0" fontId="110" fillId="0" borderId="0" xfId="0" applyFont="1" applyAlignment="1" applyProtection="1">
      <alignment vertical="top"/>
      <protection hidden="1"/>
    </xf>
    <xf numFmtId="182" fontId="0" fillId="24" borderId="0" xfId="0" applyNumberFormat="1" applyFill="1" applyAlignment="1" applyProtection="1">
      <alignment vertical="top"/>
      <protection locked="0"/>
    </xf>
    <xf numFmtId="171" fontId="5" fillId="2" borderId="0" xfId="0" applyNumberFormat="1" applyFont="1" applyFill="1" applyAlignment="1" applyProtection="1">
      <alignment horizontal="right"/>
      <protection locked="0"/>
    </xf>
    <xf numFmtId="37" fontId="0" fillId="27" borderId="25" xfId="0" applyNumberFormat="1" applyFill="1" applyBorder="1" applyProtection="1">
      <protection hidden="1"/>
    </xf>
    <xf numFmtId="0" fontId="147" fillId="0" borderId="0" xfId="0" applyFont="1" applyAlignment="1">
      <alignment horizontal="center"/>
    </xf>
    <xf numFmtId="0" fontId="55" fillId="15" borderId="8" xfId="0" applyFont="1" applyFill="1" applyBorder="1"/>
    <xf numFmtId="0" fontId="3" fillId="15" borderId="0" xfId="0" quotePrefix="1" applyFont="1" applyFill="1" applyAlignment="1">
      <alignment horizontal="center"/>
    </xf>
    <xf numFmtId="0" fontId="3" fillId="15" borderId="0" xfId="0" applyFont="1" applyFill="1" applyAlignment="1">
      <alignment horizontal="right"/>
    </xf>
    <xf numFmtId="37" fontId="0" fillId="16" borderId="25" xfId="0" applyNumberFormat="1" applyFill="1" applyBorder="1" applyProtection="1">
      <protection locked="0"/>
    </xf>
    <xf numFmtId="3" fontId="0" fillId="16" borderId="1" xfId="0" applyNumberFormat="1" applyFill="1" applyBorder="1" applyProtection="1">
      <protection locked="0"/>
    </xf>
    <xf numFmtId="3" fontId="0" fillId="27" borderId="25" xfId="0" applyNumberFormat="1" applyFill="1" applyBorder="1" applyProtection="1">
      <protection hidden="1"/>
    </xf>
    <xf numFmtId="6" fontId="0" fillId="27" borderId="1" xfId="0" applyNumberFormat="1" applyFill="1" applyBorder="1" applyAlignment="1" applyProtection="1">
      <alignment horizontal="right"/>
      <protection hidden="1"/>
    </xf>
    <xf numFmtId="10" fontId="0" fillId="16" borderId="1" xfId="0" applyNumberFormat="1" applyFill="1" applyBorder="1" applyProtection="1">
      <protection locked="0"/>
    </xf>
    <xf numFmtId="8" fontId="0" fillId="27" borderId="1" xfId="0" applyNumberFormat="1" applyFill="1" applyBorder="1" applyAlignment="1" applyProtection="1">
      <alignment horizontal="right"/>
      <protection hidden="1"/>
    </xf>
    <xf numFmtId="0" fontId="147" fillId="15" borderId="3" xfId="0" applyFont="1" applyFill="1" applyBorder="1" applyProtection="1">
      <protection hidden="1"/>
    </xf>
    <xf numFmtId="3" fontId="123" fillId="15" borderId="0" xfId="0" applyNumberFormat="1" applyFont="1" applyFill="1" applyProtection="1">
      <protection hidden="1"/>
    </xf>
    <xf numFmtId="4" fontId="116" fillId="15" borderId="0" xfId="0" applyNumberFormat="1" applyFont="1" applyFill="1" applyProtection="1">
      <protection hidden="1"/>
    </xf>
    <xf numFmtId="0" fontId="138" fillId="15" borderId="0" xfId="0" applyFont="1" applyFill="1" applyAlignment="1" applyProtection="1">
      <alignment vertical="top" wrapText="1"/>
      <protection hidden="1"/>
    </xf>
    <xf numFmtId="1" fontId="138" fillId="15" borderId="3" xfId="0" applyNumberFormat="1" applyFont="1" applyFill="1" applyBorder="1" applyAlignment="1" applyProtection="1">
      <alignment horizontal="center" vertical="top" wrapText="1"/>
      <protection hidden="1"/>
    </xf>
    <xf numFmtId="0" fontId="3" fillId="15" borderId="24" xfId="0" applyFont="1" applyFill="1" applyBorder="1" applyAlignment="1" applyProtection="1">
      <alignment horizontal="center"/>
      <protection hidden="1"/>
    </xf>
    <xf numFmtId="0" fontId="13" fillId="0" borderId="0" xfId="0" applyFont="1"/>
    <xf numFmtId="0" fontId="23" fillId="15" borderId="0" xfId="0" applyFont="1" applyFill="1" applyAlignment="1">
      <alignment vertical="center"/>
    </xf>
    <xf numFmtId="0" fontId="10" fillId="5" borderId="0" xfId="0" applyFont="1" applyFill="1" applyAlignment="1" applyProtection="1">
      <alignment horizontal="center" vertical="center"/>
      <protection hidden="1"/>
    </xf>
    <xf numFmtId="0" fontId="23" fillId="15" borderId="0" xfId="0" applyFont="1" applyFill="1" applyAlignment="1">
      <alignment vertical="top"/>
    </xf>
    <xf numFmtId="0" fontId="3" fillId="15" borderId="47" xfId="0" applyFont="1" applyFill="1" applyBorder="1" applyAlignment="1" applyProtection="1">
      <alignment horizontal="center"/>
      <protection hidden="1"/>
    </xf>
    <xf numFmtId="0" fontId="3" fillId="15" borderId="43" xfId="0" quotePrefix="1" applyFont="1" applyFill="1" applyBorder="1" applyAlignment="1" applyProtection="1">
      <alignment horizontal="center"/>
      <protection hidden="1"/>
    </xf>
    <xf numFmtId="0" fontId="14" fillId="15" borderId="30" xfId="0" applyFont="1" applyFill="1" applyBorder="1" applyProtection="1">
      <protection locked="0"/>
    </xf>
    <xf numFmtId="0" fontId="14" fillId="15" borderId="8" xfId="0" applyFont="1" applyFill="1" applyBorder="1" applyProtection="1">
      <protection locked="0"/>
    </xf>
    <xf numFmtId="0" fontId="14" fillId="15" borderId="3" xfId="0" applyFont="1" applyFill="1" applyBorder="1" applyProtection="1">
      <protection locked="0"/>
    </xf>
    <xf numFmtId="0" fontId="14" fillId="15" borderId="0" xfId="0" applyFont="1" applyFill="1" applyProtection="1">
      <protection locked="0"/>
    </xf>
    <xf numFmtId="0" fontId="3" fillId="15" borderId="51" xfId="0" quotePrefix="1" applyFont="1" applyFill="1" applyBorder="1" applyAlignment="1" applyProtection="1">
      <alignment horizontal="center"/>
      <protection hidden="1"/>
    </xf>
    <xf numFmtId="0" fontId="110" fillId="15" borderId="1" xfId="0" applyFont="1" applyFill="1" applyBorder="1" applyProtection="1">
      <protection hidden="1"/>
    </xf>
    <xf numFmtId="37" fontId="14" fillId="27" borderId="1" xfId="0" applyNumberFormat="1" applyFont="1" applyFill="1" applyBorder="1" applyProtection="1">
      <protection hidden="1"/>
    </xf>
    <xf numFmtId="0" fontId="46" fillId="15" borderId="9" xfId="0" applyFont="1" applyFill="1" applyBorder="1" applyProtection="1">
      <protection hidden="1"/>
    </xf>
    <xf numFmtId="0" fontId="13" fillId="15" borderId="1" xfId="0" applyFont="1" applyFill="1" applyBorder="1" applyAlignment="1" applyProtection="1">
      <alignment horizontal="right"/>
      <protection hidden="1"/>
    </xf>
    <xf numFmtId="0" fontId="14" fillId="15" borderId="16" xfId="0" applyFont="1" applyFill="1" applyBorder="1" applyAlignment="1" applyProtection="1">
      <alignment vertical="center"/>
      <protection hidden="1"/>
    </xf>
    <xf numFmtId="0" fontId="109" fillId="0" borderId="0" xfId="0" applyFont="1" applyAlignment="1">
      <alignment horizontal="right" vertical="center" wrapText="1"/>
    </xf>
    <xf numFmtId="37" fontId="0" fillId="15" borderId="1" xfId="0" applyNumberFormat="1" applyFill="1" applyBorder="1" applyProtection="1">
      <protection locked="0"/>
    </xf>
    <xf numFmtId="0" fontId="206" fillId="5" borderId="0" xfId="0" applyFont="1" applyFill="1" applyAlignment="1" applyProtection="1">
      <alignment horizontal="center"/>
      <protection hidden="1"/>
    </xf>
    <xf numFmtId="0" fontId="109" fillId="5" borderId="0" xfId="0" applyFont="1" applyFill="1" applyAlignment="1" applyProtection="1">
      <alignment vertical="center"/>
      <protection hidden="1"/>
    </xf>
    <xf numFmtId="182" fontId="5" fillId="0" borderId="203" xfId="0" applyNumberFormat="1" applyFont="1" applyBorder="1" applyAlignment="1">
      <alignment horizontal="center"/>
    </xf>
    <xf numFmtId="182" fontId="5" fillId="0" borderId="28" xfId="0" applyNumberFormat="1" applyFont="1" applyBorder="1" applyAlignment="1">
      <alignment horizontal="center"/>
    </xf>
    <xf numFmtId="182" fontId="5" fillId="0" borderId="79" xfId="0" applyNumberFormat="1" applyFont="1" applyBorder="1" applyAlignment="1">
      <alignment horizontal="center"/>
    </xf>
    <xf numFmtId="182" fontId="5" fillId="0" borderId="22" xfId="0" applyNumberFormat="1" applyFont="1" applyBorder="1" applyAlignment="1">
      <alignment horizontal="center"/>
    </xf>
    <xf numFmtId="3" fontId="11" fillId="40" borderId="0" xfId="0" applyNumberFormat="1" applyFont="1" applyFill="1" applyAlignment="1" applyProtection="1">
      <alignment horizontal="center"/>
      <protection locked="0"/>
    </xf>
    <xf numFmtId="0" fontId="3" fillId="40" borderId="0" xfId="0" applyFont="1" applyFill="1"/>
    <xf numFmtId="1" fontId="0" fillId="15" borderId="78" xfId="0" applyNumberFormat="1" applyFill="1" applyBorder="1" applyAlignment="1" applyProtection="1">
      <alignment vertical="center"/>
      <protection hidden="1"/>
    </xf>
    <xf numFmtId="0" fontId="138" fillId="15" borderId="88" xfId="0" applyFont="1" applyFill="1" applyBorder="1" applyAlignment="1" applyProtection="1">
      <alignment vertical="center" wrapText="1"/>
      <protection hidden="1"/>
    </xf>
    <xf numFmtId="0" fontId="0" fillId="15" borderId="7" xfId="0" applyFill="1" applyBorder="1" applyAlignment="1">
      <alignment vertical="top" wrapText="1"/>
    </xf>
    <xf numFmtId="37" fontId="82" fillId="2" borderId="39" xfId="0" applyNumberFormat="1" applyFont="1" applyFill="1" applyBorder="1" applyProtection="1">
      <protection locked="0"/>
    </xf>
    <xf numFmtId="194" fontId="30" fillId="2" borderId="30" xfId="0" applyNumberFormat="1" applyFont="1" applyFill="1" applyBorder="1" applyProtection="1">
      <protection hidden="1"/>
    </xf>
    <xf numFmtId="1" fontId="0" fillId="15" borderId="3" xfId="0" applyNumberFormat="1" applyFill="1" applyBorder="1" applyAlignment="1" applyProtection="1">
      <alignment vertical="center"/>
      <protection hidden="1"/>
    </xf>
    <xf numFmtId="0" fontId="3" fillId="15" borderId="20" xfId="0" applyFont="1" applyFill="1" applyBorder="1" applyAlignment="1" applyProtection="1">
      <alignment wrapText="1"/>
      <protection hidden="1"/>
    </xf>
    <xf numFmtId="0" fontId="3" fillId="15" borderId="1" xfId="0" applyFont="1" applyFill="1" applyBorder="1" applyAlignment="1" applyProtection="1">
      <alignment wrapText="1"/>
      <protection hidden="1"/>
    </xf>
    <xf numFmtId="1" fontId="3" fillId="19" borderId="15" xfId="0" applyNumberFormat="1" applyFont="1" applyFill="1" applyBorder="1" applyAlignment="1" applyProtection="1">
      <alignment horizontal="center" vertical="center"/>
      <protection hidden="1"/>
    </xf>
    <xf numFmtId="0" fontId="206" fillId="40" borderId="4" xfId="0" applyFont="1" applyFill="1" applyBorder="1" applyAlignment="1" applyProtection="1">
      <alignment horizontal="right"/>
      <protection hidden="1"/>
    </xf>
    <xf numFmtId="0" fontId="5" fillId="40" borderId="0" xfId="0" applyFont="1" applyFill="1" applyAlignment="1" applyProtection="1">
      <alignment horizontal="right"/>
      <protection hidden="1"/>
    </xf>
    <xf numFmtId="194" fontId="30" fillId="2" borderId="3" xfId="0" applyNumberFormat="1" applyFont="1" applyFill="1" applyBorder="1" applyProtection="1">
      <protection hidden="1"/>
    </xf>
    <xf numFmtId="4" fontId="234" fillId="15" borderId="0" xfId="0" applyNumberFormat="1" applyFont="1" applyFill="1" applyAlignment="1" applyProtection="1">
      <alignment vertical="center" wrapText="1"/>
      <protection hidden="1"/>
    </xf>
    <xf numFmtId="0" fontId="7" fillId="40" borderId="0" xfId="0" applyFont="1" applyFill="1" applyAlignment="1" applyProtection="1">
      <alignment vertical="center"/>
      <protection hidden="1"/>
    </xf>
    <xf numFmtId="0" fontId="3" fillId="40" borderId="4" xfId="0" applyFont="1" applyFill="1" applyBorder="1" applyAlignment="1" applyProtection="1">
      <alignment horizontal="right" vertical="center"/>
      <protection hidden="1"/>
    </xf>
    <xf numFmtId="0" fontId="0" fillId="40" borderId="4" xfId="0" applyFill="1" applyBorder="1" applyAlignment="1" applyProtection="1">
      <alignment vertical="center"/>
      <protection hidden="1"/>
    </xf>
    <xf numFmtId="0" fontId="9" fillId="40" borderId="4" xfId="0" applyFont="1" applyFill="1" applyBorder="1" applyAlignment="1" applyProtection="1">
      <alignment vertical="center"/>
      <protection hidden="1"/>
    </xf>
    <xf numFmtId="0" fontId="15" fillId="40" borderId="4" xfId="0" applyFont="1" applyFill="1" applyBorder="1" applyAlignment="1" applyProtection="1">
      <alignment horizontal="left" vertical="center"/>
      <protection hidden="1"/>
    </xf>
    <xf numFmtId="0" fontId="9" fillId="40" borderId="4" xfId="0" applyFont="1" applyFill="1" applyBorder="1" applyAlignment="1" applyProtection="1">
      <alignment horizontal="center" vertical="center"/>
      <protection hidden="1"/>
    </xf>
    <xf numFmtId="1" fontId="3" fillId="19" borderId="52" xfId="0" applyNumberFormat="1" applyFont="1" applyFill="1" applyBorder="1" applyAlignment="1" applyProtection="1">
      <alignment horizontal="center" vertical="center"/>
      <protection hidden="1"/>
    </xf>
    <xf numFmtId="1" fontId="3" fillId="19" borderId="31" xfId="0" applyNumberFormat="1" applyFont="1" applyFill="1" applyBorder="1" applyAlignment="1" applyProtection="1">
      <alignment horizontal="center" vertical="center"/>
      <protection hidden="1"/>
    </xf>
    <xf numFmtId="0" fontId="112" fillId="15" borderId="0" xfId="0" applyFont="1" applyFill="1" applyAlignment="1" applyProtection="1">
      <alignment horizontal="center" vertical="top" wrapText="1"/>
      <protection hidden="1"/>
    </xf>
    <xf numFmtId="37" fontId="8" fillId="15" borderId="3" xfId="0" applyNumberFormat="1" applyFont="1" applyFill="1" applyBorder="1" applyProtection="1">
      <protection hidden="1"/>
    </xf>
    <xf numFmtId="6" fontId="9" fillId="2" borderId="1" xfId="0" applyNumberFormat="1" applyFont="1" applyFill="1" applyBorder="1" applyAlignment="1" applyProtection="1">
      <alignment horizontal="left"/>
      <protection hidden="1"/>
    </xf>
    <xf numFmtId="166" fontId="3" fillId="40" borderId="11" xfId="0" applyNumberFormat="1" applyFont="1" applyFill="1" applyBorder="1" applyAlignment="1" applyProtection="1">
      <alignment horizontal="right"/>
      <protection locked="0"/>
    </xf>
    <xf numFmtId="1" fontId="3" fillId="40" borderId="15" xfId="0" applyNumberFormat="1" applyFont="1" applyFill="1" applyBorder="1" applyAlignment="1" applyProtection="1">
      <alignment horizontal="center"/>
      <protection hidden="1"/>
    </xf>
    <xf numFmtId="0" fontId="0" fillId="11" borderId="9" xfId="0" applyFill="1" applyBorder="1" applyProtection="1">
      <protection hidden="1"/>
    </xf>
    <xf numFmtId="0" fontId="0" fillId="11" borderId="11" xfId="0" applyFill="1" applyBorder="1" applyProtection="1">
      <protection hidden="1"/>
    </xf>
    <xf numFmtId="166" fontId="3" fillId="40" borderId="24" xfId="0" applyNumberFormat="1" applyFont="1" applyFill="1" applyBorder="1" applyAlignment="1" applyProtection="1">
      <alignment horizontal="right" vertical="top"/>
      <protection locked="0"/>
    </xf>
    <xf numFmtId="0" fontId="3" fillId="40" borderId="28" xfId="0" applyFont="1" applyFill="1" applyBorder="1" applyAlignment="1" applyProtection="1">
      <alignment horizontal="center"/>
      <protection hidden="1"/>
    </xf>
    <xf numFmtId="0" fontId="0" fillId="11" borderId="69" xfId="0" applyFill="1" applyBorder="1" applyProtection="1">
      <protection hidden="1"/>
    </xf>
    <xf numFmtId="0" fontId="0" fillId="11" borderId="70" xfId="0" applyFill="1" applyBorder="1" applyProtection="1">
      <protection hidden="1"/>
    </xf>
    <xf numFmtId="0" fontId="11" fillId="15" borderId="56" xfId="0" applyFont="1" applyFill="1" applyBorder="1" applyAlignment="1" applyProtection="1">
      <alignment horizontal="centerContinuous"/>
      <protection hidden="1"/>
    </xf>
    <xf numFmtId="0" fontId="110" fillId="15" borderId="8" xfId="0" applyFont="1" applyFill="1" applyBorder="1" applyAlignment="1" applyProtection="1">
      <alignment horizontal="center" vertical="center"/>
      <protection hidden="1"/>
    </xf>
    <xf numFmtId="0" fontId="110" fillId="15" borderId="24" xfId="0" applyFont="1" applyFill="1" applyBorder="1" applyAlignment="1">
      <alignment vertical="center"/>
    </xf>
    <xf numFmtId="0" fontId="0" fillId="15" borderId="24" xfId="0" applyFill="1" applyBorder="1" applyAlignment="1">
      <alignment horizontal="center" vertical="center"/>
    </xf>
    <xf numFmtId="0" fontId="0" fillId="0" borderId="1" xfId="0" applyBorder="1" applyAlignment="1">
      <alignment horizontal="center"/>
    </xf>
    <xf numFmtId="0" fontId="266"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center" vertical="center"/>
      <protection hidden="1"/>
    </xf>
    <xf numFmtId="0" fontId="110" fillId="15" borderId="7" xfId="0" applyFont="1" applyFill="1" applyBorder="1" applyAlignment="1" applyProtection="1">
      <alignment vertical="center"/>
      <protection hidden="1"/>
    </xf>
    <xf numFmtId="0" fontId="3" fillId="15" borderId="7" xfId="0" applyFont="1" applyFill="1" applyBorder="1" applyAlignment="1" applyProtection="1">
      <alignment horizontal="center" vertical="center"/>
      <protection hidden="1"/>
    </xf>
    <xf numFmtId="0" fontId="3" fillId="15" borderId="4" xfId="0" applyFont="1" applyFill="1" applyBorder="1" applyAlignment="1" applyProtection="1">
      <alignment horizontal="center" vertical="center"/>
      <protection hidden="1"/>
    </xf>
    <xf numFmtId="0" fontId="202" fillId="15" borderId="7" xfId="0" applyFont="1" applyFill="1" applyBorder="1" applyAlignment="1" applyProtection="1">
      <alignment horizontal="center" vertical="center"/>
      <protection hidden="1"/>
    </xf>
    <xf numFmtId="37" fontId="7" fillId="15" borderId="0" xfId="0" applyNumberFormat="1" applyFont="1" applyFill="1" applyAlignment="1" applyProtection="1">
      <alignment vertical="center"/>
      <protection hidden="1"/>
    </xf>
    <xf numFmtId="0" fontId="0" fillId="15" borderId="8" xfId="0" applyFill="1" applyBorder="1" applyAlignment="1" applyProtection="1">
      <alignment horizontal="right" vertical="center"/>
      <protection hidden="1"/>
    </xf>
    <xf numFmtId="0" fontId="0" fillId="15" borderId="8" xfId="0" applyFill="1" applyBorder="1" applyAlignment="1" applyProtection="1">
      <alignment vertical="center"/>
      <protection hidden="1"/>
    </xf>
    <xf numFmtId="0" fontId="10" fillId="15" borderId="1" xfId="0" applyFont="1" applyFill="1" applyBorder="1" applyAlignment="1" applyProtection="1">
      <alignment horizontal="left" indent="1"/>
      <protection hidden="1"/>
    </xf>
    <xf numFmtId="37" fontId="181" fillId="15" borderId="0" xfId="0" applyNumberFormat="1" applyFont="1" applyFill="1" applyAlignment="1" applyProtection="1">
      <alignment vertical="center"/>
      <protection hidden="1"/>
    </xf>
    <xf numFmtId="0" fontId="147" fillId="15" borderId="0" xfId="0" applyFont="1" applyFill="1" applyAlignment="1" applyProtection="1">
      <alignment vertical="center"/>
      <protection hidden="1"/>
    </xf>
    <xf numFmtId="0" fontId="147" fillId="15" borderId="24" xfId="0" applyFont="1" applyFill="1" applyBorder="1" applyAlignment="1" applyProtection="1">
      <alignment vertical="center"/>
      <protection hidden="1"/>
    </xf>
    <xf numFmtId="0" fontId="110" fillId="15" borderId="27" xfId="0" applyFont="1" applyFill="1" applyBorder="1" applyProtection="1">
      <protection hidden="1"/>
    </xf>
    <xf numFmtId="0" fontId="266" fillId="15" borderId="99" xfId="0" applyFont="1" applyFill="1" applyBorder="1" applyAlignment="1" applyProtection="1">
      <alignment vertical="center"/>
      <protection hidden="1"/>
    </xf>
    <xf numFmtId="0" fontId="112" fillId="0" borderId="0" xfId="0" applyFont="1" applyAlignment="1">
      <alignment vertical="center"/>
    </xf>
    <xf numFmtId="0" fontId="110" fillId="0" borderId="0" xfId="0" applyFont="1" applyAlignment="1">
      <alignment vertical="center"/>
    </xf>
    <xf numFmtId="0" fontId="116" fillId="15" borderId="0" xfId="0" quotePrefix="1" applyFont="1" applyFill="1" applyAlignment="1" applyProtection="1">
      <alignment horizontal="center"/>
      <protection hidden="1"/>
    </xf>
    <xf numFmtId="0" fontId="284" fillId="15" borderId="0" xfId="0" applyFont="1" applyFill="1" applyAlignment="1" applyProtection="1">
      <alignment horizontal="center" vertical="center"/>
      <protection hidden="1"/>
    </xf>
    <xf numFmtId="0" fontId="7" fillId="15" borderId="0" xfId="0" applyFont="1" applyFill="1" applyAlignment="1" applyProtection="1">
      <alignment horizontal="left" vertical="top"/>
      <protection hidden="1"/>
    </xf>
    <xf numFmtId="0" fontId="13" fillId="15" borderId="0" xfId="0" applyFont="1" applyFill="1" applyAlignment="1" applyProtection="1">
      <alignment horizontal="center" vertical="top"/>
      <protection hidden="1"/>
    </xf>
    <xf numFmtId="0" fontId="3" fillId="23" borderId="0" xfId="0" applyFont="1" applyFill="1" applyAlignment="1" applyProtection="1">
      <alignment horizontal="center"/>
      <protection hidden="1"/>
    </xf>
    <xf numFmtId="0" fontId="123" fillId="15" borderId="0" xfId="0" quotePrefix="1" applyFont="1" applyFill="1" applyAlignment="1" applyProtection="1">
      <alignment horizontal="center"/>
      <protection hidden="1"/>
    </xf>
    <xf numFmtId="0" fontId="207" fillId="23" borderId="0" xfId="0" applyFont="1" applyFill="1" applyProtection="1">
      <protection hidden="1"/>
    </xf>
    <xf numFmtId="0" fontId="14" fillId="15" borderId="1" xfId="0" applyFont="1" applyFill="1" applyBorder="1" applyAlignment="1" applyProtection="1">
      <alignment horizontal="left"/>
      <protection hidden="1"/>
    </xf>
    <xf numFmtId="0" fontId="0" fillId="23" borderId="0" xfId="0" applyFill="1" applyAlignment="1" applyProtection="1">
      <alignment horizontal="center"/>
      <protection hidden="1"/>
    </xf>
    <xf numFmtId="0" fontId="286" fillId="23" borderId="0" xfId="0" applyFont="1" applyFill="1" applyAlignment="1" applyProtection="1">
      <alignment horizontal="center" vertical="center"/>
      <protection hidden="1"/>
    </xf>
    <xf numFmtId="0" fontId="10" fillId="15" borderId="81" xfId="0" applyFont="1" applyFill="1" applyBorder="1" applyAlignment="1">
      <alignment horizontal="center"/>
    </xf>
    <xf numFmtId="0" fontId="10" fillId="15" borderId="82" xfId="0" applyFont="1" applyFill="1" applyBorder="1" applyAlignment="1">
      <alignment horizontal="center"/>
    </xf>
    <xf numFmtId="0" fontId="10" fillId="15" borderId="2" xfId="0" applyFont="1" applyFill="1" applyBorder="1" applyAlignment="1">
      <alignment horizontal="center"/>
    </xf>
    <xf numFmtId="0" fontId="0" fillId="0" borderId="8" xfId="0" applyBorder="1" applyAlignment="1">
      <alignment horizontal="center" vertical="top"/>
    </xf>
    <xf numFmtId="0" fontId="0" fillId="0" borderId="44" xfId="0" applyBorder="1"/>
    <xf numFmtId="0" fontId="10" fillId="16" borderId="82" xfId="0" applyFont="1" applyFill="1" applyBorder="1" applyAlignment="1" applyProtection="1">
      <alignment horizontal="center"/>
      <protection locked="0"/>
    </xf>
    <xf numFmtId="0" fontId="10" fillId="0" borderId="109" xfId="0" applyFont="1" applyBorder="1" applyAlignment="1">
      <alignment horizontal="center"/>
    </xf>
    <xf numFmtId="0" fontId="10" fillId="16" borderId="66" xfId="0" applyFont="1" applyFill="1" applyBorder="1" applyAlignment="1" applyProtection="1">
      <alignment horizontal="center"/>
      <protection locked="0"/>
    </xf>
    <xf numFmtId="0" fontId="10" fillId="0" borderId="50" xfId="0" applyFont="1" applyBorder="1" applyAlignment="1">
      <alignment horizontal="center"/>
    </xf>
    <xf numFmtId="0" fontId="10" fillId="16" borderId="110" xfId="0" applyFont="1" applyFill="1" applyBorder="1" applyAlignment="1" applyProtection="1">
      <alignment horizontal="center"/>
      <protection locked="0"/>
    </xf>
    <xf numFmtId="0" fontId="126" fillId="15" borderId="0" xfId="0" applyFont="1" applyFill="1" applyProtection="1">
      <protection hidden="1"/>
    </xf>
    <xf numFmtId="0" fontId="10" fillId="3" borderId="0" xfId="0" applyFont="1" applyFill="1" applyAlignment="1" applyProtection="1">
      <alignment vertical="center"/>
      <protection hidden="1"/>
    </xf>
    <xf numFmtId="0" fontId="8" fillId="35" borderId="24" xfId="0" applyFont="1" applyFill="1" applyBorder="1" applyAlignment="1" applyProtection="1">
      <alignment horizontal="right"/>
      <protection hidden="1"/>
    </xf>
    <xf numFmtId="0" fontId="0" fillId="5" borderId="8" xfId="0" applyFill="1" applyBorder="1" applyProtection="1">
      <protection hidden="1"/>
    </xf>
    <xf numFmtId="4" fontId="5" fillId="5" borderId="8" xfId="0" applyNumberFormat="1" applyFont="1" applyFill="1" applyBorder="1" applyAlignment="1" applyProtection="1">
      <alignment horizontal="center"/>
      <protection hidden="1"/>
    </xf>
    <xf numFmtId="0" fontId="9" fillId="5" borderId="8" xfId="0" applyFont="1" applyFill="1" applyBorder="1" applyAlignment="1">
      <alignment horizontal="center"/>
    </xf>
    <xf numFmtId="39" fontId="0" fillId="27" borderId="1" xfId="0" applyNumberFormat="1" applyFill="1" applyBorder="1" applyAlignment="1" applyProtection="1">
      <alignment horizontal="center"/>
      <protection hidden="1"/>
    </xf>
    <xf numFmtId="4" fontId="5" fillId="5" borderId="0" xfId="0" applyNumberFormat="1" applyFont="1" applyFill="1" applyAlignment="1" applyProtection="1">
      <alignment horizontal="center"/>
      <protection hidden="1"/>
    </xf>
    <xf numFmtId="0" fontId="126" fillId="15" borderId="0" xfId="0" applyFont="1" applyFill="1" applyAlignment="1" applyProtection="1">
      <alignment vertical="center"/>
      <protection hidden="1"/>
    </xf>
    <xf numFmtId="0" fontId="46" fillId="15" borderId="25"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protection hidden="1"/>
    </xf>
    <xf numFmtId="0" fontId="10" fillId="15" borderId="7" xfId="0" applyFont="1" applyFill="1" applyBorder="1" applyAlignment="1" applyProtection="1">
      <alignment horizontal="left"/>
      <protection hidden="1"/>
    </xf>
    <xf numFmtId="0" fontId="5" fillId="0" borderId="109" xfId="0" applyFont="1" applyBorder="1" applyAlignment="1" applyProtection="1">
      <alignment horizontal="center"/>
      <protection hidden="1"/>
    </xf>
    <xf numFmtId="0" fontId="5" fillId="0" borderId="50" xfId="0" applyFont="1" applyBorder="1" applyAlignment="1" applyProtection="1">
      <alignment horizontal="center"/>
      <protection hidden="1"/>
    </xf>
    <xf numFmtId="0" fontId="124" fillId="15" borderId="8" xfId="0" applyFont="1" applyFill="1" applyBorder="1" applyAlignment="1" applyProtection="1">
      <alignment horizontal="center"/>
      <protection hidden="1"/>
    </xf>
    <xf numFmtId="0" fontId="110" fillId="15" borderId="1" xfId="0" applyFont="1" applyFill="1" applyBorder="1" applyAlignment="1" applyProtection="1">
      <alignment horizontal="center"/>
      <protection hidden="1"/>
    </xf>
    <xf numFmtId="0" fontId="19" fillId="15" borderId="8" xfId="0" applyFont="1" applyFill="1" applyBorder="1" applyProtection="1">
      <protection hidden="1"/>
    </xf>
    <xf numFmtId="0" fontId="46" fillId="23" borderId="0" xfId="0" applyFont="1" applyFill="1" applyAlignment="1" applyProtection="1">
      <alignment vertical="center"/>
      <protection hidden="1"/>
    </xf>
    <xf numFmtId="0" fontId="46" fillId="15" borderId="25" xfId="0" applyFont="1" applyFill="1" applyBorder="1" applyAlignment="1" applyProtection="1">
      <alignment horizontal="left" vertical="center"/>
      <protection hidden="1"/>
    </xf>
    <xf numFmtId="14" fontId="46" fillId="24" borderId="0" xfId="0" applyNumberFormat="1" applyFont="1" applyFill="1" applyAlignment="1" applyProtection="1">
      <alignment vertical="center"/>
      <protection locked="0"/>
    </xf>
    <xf numFmtId="39" fontId="46" fillId="24" borderId="0" xfId="0" applyNumberFormat="1" applyFont="1" applyFill="1" applyAlignment="1" applyProtection="1">
      <alignment vertical="center"/>
      <protection locked="0"/>
    </xf>
    <xf numFmtId="39" fontId="46" fillId="0" borderId="0" xfId="0" applyNumberFormat="1" applyFont="1" applyAlignment="1" applyProtection="1">
      <alignment vertical="center"/>
      <protection locked="0"/>
    </xf>
    <xf numFmtId="0" fontId="46" fillId="15" borderId="1" xfId="0" applyFont="1" applyFill="1" applyBorder="1" applyAlignment="1" applyProtection="1">
      <alignment horizontal="left" vertical="top"/>
      <protection hidden="1"/>
    </xf>
    <xf numFmtId="0" fontId="5" fillId="15" borderId="1" xfId="0" applyFont="1" applyFill="1" applyBorder="1" applyAlignment="1" applyProtection="1">
      <alignment horizontal="left" vertical="top"/>
      <protection hidden="1"/>
    </xf>
    <xf numFmtId="0" fontId="5" fillId="0" borderId="0" xfId="0" applyFont="1" applyAlignment="1" applyProtection="1">
      <alignment vertical="top"/>
      <protection hidden="1"/>
    </xf>
    <xf numFmtId="0" fontId="5" fillId="0" borderId="0" xfId="0" applyFont="1" applyAlignment="1" applyProtection="1">
      <alignment horizontal="center" vertical="top"/>
      <protection hidden="1"/>
    </xf>
    <xf numFmtId="0" fontId="46" fillId="15" borderId="0" xfId="0" applyFont="1" applyFill="1" applyAlignment="1" applyProtection="1">
      <alignment horizontal="left" vertical="top"/>
      <protection hidden="1"/>
    </xf>
    <xf numFmtId="0" fontId="5" fillId="15" borderId="0" xfId="0" applyFont="1" applyFill="1" applyAlignment="1" applyProtection="1">
      <alignment horizontal="left" vertical="top"/>
      <protection hidden="1"/>
    </xf>
    <xf numFmtId="0" fontId="13" fillId="15" borderId="7" xfId="0" applyFont="1" applyFill="1" applyBorder="1" applyAlignment="1" applyProtection="1">
      <alignment horizontal="left"/>
      <protection hidden="1"/>
    </xf>
    <xf numFmtId="0" fontId="5" fillId="15" borderId="7" xfId="0" applyFont="1" applyFill="1" applyBorder="1" applyAlignment="1" applyProtection="1">
      <alignment horizontal="left"/>
      <protection hidden="1"/>
    </xf>
    <xf numFmtId="0" fontId="10" fillId="15" borderId="7" xfId="0" applyFont="1" applyFill="1" applyBorder="1" applyAlignment="1" applyProtection="1">
      <alignment horizontal="right" vertical="center"/>
      <protection hidden="1"/>
    </xf>
    <xf numFmtId="0" fontId="5" fillId="15" borderId="36" xfId="0" applyFont="1" applyFill="1" applyBorder="1" applyAlignment="1" applyProtection="1">
      <alignment horizontal="left" vertical="center"/>
      <protection hidden="1"/>
    </xf>
    <xf numFmtId="0" fontId="10" fillId="15" borderId="1" xfId="0" applyFont="1" applyFill="1" applyBorder="1" applyAlignment="1" applyProtection="1">
      <alignment horizontal="right" vertical="center"/>
      <protection hidden="1"/>
    </xf>
    <xf numFmtId="0" fontId="5" fillId="15" borderId="11" xfId="0" applyFont="1" applyFill="1" applyBorder="1" applyAlignment="1" applyProtection="1">
      <alignment horizontal="left" vertical="center"/>
      <protection hidden="1"/>
    </xf>
    <xf numFmtId="0" fontId="3" fillId="15" borderId="1" xfId="0" applyFont="1" applyFill="1" applyBorder="1" applyAlignment="1" applyProtection="1">
      <alignment horizontal="right" vertical="center"/>
      <protection hidden="1"/>
    </xf>
    <xf numFmtId="49" fontId="0" fillId="16" borderId="1" xfId="0" applyNumberFormat="1" applyFill="1" applyBorder="1" applyAlignment="1" applyProtection="1">
      <alignment horizontal="center" vertical="top" wrapText="1"/>
      <protection locked="0"/>
    </xf>
    <xf numFmtId="49" fontId="0" fillId="42" borderId="1" xfId="0" applyNumberFormat="1" applyFill="1" applyBorder="1" applyAlignment="1" applyProtection="1">
      <alignment horizontal="center" vertical="top" wrapText="1"/>
      <protection locked="0"/>
    </xf>
    <xf numFmtId="0" fontId="168" fillId="0" borderId="0" xfId="0" applyFont="1" applyAlignment="1" applyProtection="1">
      <alignment vertical="top" wrapText="1"/>
      <protection hidden="1"/>
    </xf>
    <xf numFmtId="37" fontId="3" fillId="15" borderId="30" xfId="0" applyNumberFormat="1" applyFont="1" applyFill="1" applyBorder="1" applyProtection="1">
      <protection hidden="1"/>
    </xf>
    <xf numFmtId="0" fontId="10" fillId="15" borderId="3" xfId="0" applyFont="1" applyFill="1" applyBorder="1" applyAlignment="1" applyProtection="1">
      <alignment horizontal="center"/>
      <protection hidden="1"/>
    </xf>
    <xf numFmtId="0" fontId="0" fillId="0" borderId="24" xfId="0" applyBorder="1" applyAlignment="1">
      <alignment horizontal="center"/>
    </xf>
    <xf numFmtId="37" fontId="3" fillId="15" borderId="3" xfId="0" applyNumberFormat="1" applyFont="1" applyFill="1" applyBorder="1" applyProtection="1">
      <protection hidden="1"/>
    </xf>
    <xf numFmtId="0" fontId="0" fillId="0" borderId="36" xfId="0" applyBorder="1" applyAlignment="1">
      <alignment horizontal="center"/>
    </xf>
    <xf numFmtId="37" fontId="3" fillId="15" borderId="56" xfId="0" applyNumberFormat="1" applyFont="1" applyFill="1" applyBorder="1" applyProtection="1">
      <protection hidden="1"/>
    </xf>
    <xf numFmtId="0" fontId="46" fillId="15" borderId="8" xfId="0" applyFont="1" applyFill="1" applyBorder="1" applyAlignment="1" applyProtection="1">
      <alignment vertical="center"/>
      <protection hidden="1"/>
    </xf>
    <xf numFmtId="0" fontId="0" fillId="15" borderId="14" xfId="0" applyFill="1" applyBorder="1" applyAlignment="1">
      <alignment horizontal="center"/>
    </xf>
    <xf numFmtId="0" fontId="14" fillId="3" borderId="27" xfId="0" applyFont="1" applyFill="1" applyBorder="1" applyAlignment="1" applyProtection="1">
      <alignment horizontal="left" indent="2"/>
      <protection hidden="1"/>
    </xf>
    <xf numFmtId="0" fontId="14" fillId="3" borderId="27" xfId="0" applyFont="1" applyFill="1" applyBorder="1" applyProtection="1">
      <protection hidden="1"/>
    </xf>
    <xf numFmtId="0" fontId="5" fillId="3" borderId="27" xfId="0" applyFont="1" applyFill="1" applyBorder="1" applyProtection="1">
      <protection hidden="1"/>
    </xf>
    <xf numFmtId="3" fontId="46" fillId="3" borderId="27" xfId="0" applyNumberFormat="1" applyFont="1" applyFill="1" applyBorder="1" applyProtection="1">
      <protection hidden="1"/>
    </xf>
    <xf numFmtId="39" fontId="7" fillId="3" borderId="0" xfId="0" applyNumberFormat="1" applyFont="1" applyFill="1" applyAlignment="1" applyProtection="1">
      <alignment vertical="center"/>
      <protection hidden="1"/>
    </xf>
    <xf numFmtId="0" fontId="7" fillId="3" borderId="71" xfId="0" applyFont="1" applyFill="1" applyBorder="1" applyAlignment="1" applyProtection="1">
      <alignment horizontal="left"/>
      <protection hidden="1"/>
    </xf>
    <xf numFmtId="39" fontId="5" fillId="3" borderId="16" xfId="0" applyNumberFormat="1" applyFont="1" applyFill="1" applyBorder="1" applyProtection="1">
      <protection hidden="1"/>
    </xf>
    <xf numFmtId="39" fontId="5" fillId="3" borderId="32" xfId="0" applyNumberFormat="1" applyFont="1" applyFill="1" applyBorder="1" applyProtection="1">
      <protection hidden="1"/>
    </xf>
    <xf numFmtId="0" fontId="8" fillId="3" borderId="100" xfId="0" applyFont="1" applyFill="1" applyBorder="1" applyAlignment="1" applyProtection="1">
      <alignment horizontal="left" indent="1"/>
      <protection hidden="1"/>
    </xf>
    <xf numFmtId="39" fontId="5" fillId="3" borderId="75" xfId="0" applyNumberFormat="1" applyFont="1" applyFill="1" applyBorder="1" applyProtection="1">
      <protection hidden="1"/>
    </xf>
    <xf numFmtId="0" fontId="8" fillId="3" borderId="100" xfId="0" applyFont="1" applyFill="1" applyBorder="1" applyAlignment="1" applyProtection="1">
      <alignment horizontal="left"/>
      <protection hidden="1"/>
    </xf>
    <xf numFmtId="0" fontId="7" fillId="3" borderId="72" xfId="0" applyFont="1" applyFill="1" applyBorder="1" applyAlignment="1" applyProtection="1">
      <alignment horizontal="left"/>
      <protection hidden="1"/>
    </xf>
    <xf numFmtId="39" fontId="5" fillId="3" borderId="13" xfId="0" applyNumberFormat="1" applyFont="1" applyFill="1" applyBorder="1" applyProtection="1">
      <protection hidden="1"/>
    </xf>
    <xf numFmtId="39" fontId="5" fillId="3" borderId="33" xfId="0" applyNumberFormat="1" applyFont="1" applyFill="1" applyBorder="1" applyProtection="1">
      <protection hidden="1"/>
    </xf>
    <xf numFmtId="39" fontId="8" fillId="14" borderId="32" xfId="0" applyNumberFormat="1" applyFont="1" applyFill="1" applyBorder="1" applyProtection="1">
      <protection hidden="1"/>
    </xf>
    <xf numFmtId="0" fontId="8" fillId="3" borderId="100" xfId="0" applyFont="1" applyFill="1" applyBorder="1" applyProtection="1">
      <protection hidden="1"/>
    </xf>
    <xf numFmtId="39" fontId="8" fillId="14" borderId="75" xfId="0" applyNumberFormat="1" applyFont="1" applyFill="1" applyBorder="1" applyProtection="1">
      <protection hidden="1"/>
    </xf>
    <xf numFmtId="0" fontId="8" fillId="3" borderId="72" xfId="0" applyFont="1" applyFill="1" applyBorder="1" applyProtection="1">
      <protection hidden="1"/>
    </xf>
    <xf numFmtId="39" fontId="8" fillId="14" borderId="33" xfId="0" applyNumberFormat="1" applyFont="1" applyFill="1" applyBorder="1" applyProtection="1">
      <protection hidden="1"/>
    </xf>
    <xf numFmtId="37" fontId="110" fillId="3" borderId="0" xfId="0" applyNumberFormat="1" applyFont="1" applyFill="1" applyAlignment="1" applyProtection="1">
      <alignment horizontal="right"/>
      <protection hidden="1"/>
    </xf>
    <xf numFmtId="0" fontId="5" fillId="15" borderId="8" xfId="0" applyFont="1" applyFill="1" applyBorder="1" applyAlignment="1" applyProtection="1">
      <alignment vertical="center"/>
      <protection hidden="1"/>
    </xf>
    <xf numFmtId="0" fontId="13" fillId="15" borderId="34" xfId="0" applyFont="1" applyFill="1" applyBorder="1" applyProtection="1">
      <protection hidden="1"/>
    </xf>
    <xf numFmtId="0" fontId="10" fillId="15" borderId="34" xfId="0" applyFont="1" applyFill="1" applyBorder="1" applyProtection="1">
      <protection hidden="1"/>
    </xf>
    <xf numFmtId="3" fontId="110" fillId="0" borderId="0" xfId="0" applyNumberFormat="1" applyFont="1" applyAlignment="1" applyProtection="1">
      <alignment horizontal="center"/>
      <protection hidden="1"/>
    </xf>
    <xf numFmtId="0" fontId="9" fillId="3" borderId="5" xfId="0" applyFont="1" applyFill="1" applyBorder="1" applyAlignment="1" applyProtection="1">
      <alignment horizontal="right"/>
      <protection hidden="1"/>
    </xf>
    <xf numFmtId="0" fontId="43" fillId="3" borderId="5" xfId="0" applyFont="1" applyFill="1" applyBorder="1" applyProtection="1">
      <protection hidden="1"/>
    </xf>
    <xf numFmtId="0" fontId="43" fillId="3" borderId="0" xfId="0" applyFont="1" applyFill="1" applyProtection="1">
      <protection hidden="1"/>
    </xf>
    <xf numFmtId="0" fontId="43" fillId="3" borderId="20" xfId="0" applyFont="1" applyFill="1" applyBorder="1" applyProtection="1">
      <protection hidden="1"/>
    </xf>
    <xf numFmtId="166" fontId="14" fillId="26" borderId="4" xfId="0" applyNumberFormat="1" applyFont="1" applyFill="1" applyBorder="1" applyProtection="1">
      <protection hidden="1"/>
    </xf>
    <xf numFmtId="37" fontId="5" fillId="14" borderId="30" xfId="0" applyNumberFormat="1" applyFont="1" applyFill="1" applyBorder="1" applyAlignment="1" applyProtection="1">
      <alignment wrapText="1"/>
      <protection locked="0"/>
    </xf>
    <xf numFmtId="37" fontId="5" fillId="14" borderId="8" xfId="0" applyNumberFormat="1" applyFont="1" applyFill="1" applyBorder="1" applyAlignment="1" applyProtection="1">
      <alignment wrapText="1"/>
      <protection locked="0"/>
    </xf>
    <xf numFmtId="3" fontId="0" fillId="3" borderId="0" xfId="0" applyNumberFormat="1" applyFill="1" applyAlignment="1" applyProtection="1">
      <alignment horizontal="left"/>
      <protection hidden="1"/>
    </xf>
    <xf numFmtId="0" fontId="5" fillId="3" borderId="0" xfId="0" quotePrefix="1" applyFont="1" applyFill="1" applyAlignment="1" applyProtection="1">
      <alignment horizontal="center"/>
      <protection hidden="1"/>
    </xf>
    <xf numFmtId="0" fontId="5" fillId="3" borderId="8" xfId="0" quotePrefix="1" applyFont="1" applyFill="1" applyBorder="1" applyAlignment="1" applyProtection="1">
      <alignment horizontal="center"/>
      <protection hidden="1"/>
    </xf>
    <xf numFmtId="3" fontId="0" fillId="3" borderId="8" xfId="0" applyNumberFormat="1" applyFill="1" applyBorder="1" applyAlignment="1" applyProtection="1">
      <alignment horizontal="left"/>
      <protection hidden="1"/>
    </xf>
    <xf numFmtId="0" fontId="5" fillId="3" borderId="1" xfId="0" quotePrefix="1" applyFont="1" applyFill="1" applyBorder="1" applyAlignment="1" applyProtection="1">
      <alignment horizontal="center"/>
      <protection hidden="1"/>
    </xf>
    <xf numFmtId="3" fontId="0" fillId="3" borderId="1" xfId="0" applyNumberFormat="1" applyFill="1" applyBorder="1" applyAlignment="1" applyProtection="1">
      <alignment horizontal="left"/>
      <protection hidden="1"/>
    </xf>
    <xf numFmtId="201" fontId="0" fillId="3" borderId="8" xfId="0" applyNumberFormat="1" applyFill="1" applyBorder="1" applyAlignment="1" applyProtection="1">
      <alignment horizontal="center"/>
      <protection hidden="1"/>
    </xf>
    <xf numFmtId="201" fontId="0" fillId="3" borderId="0" xfId="0" applyNumberFormat="1" applyFill="1" applyAlignment="1" applyProtection="1">
      <alignment horizontal="center"/>
      <protection hidden="1"/>
    </xf>
    <xf numFmtId="201" fontId="0" fillId="3" borderId="1" xfId="0" applyNumberFormat="1" applyFill="1" applyBorder="1" applyAlignment="1" applyProtection="1">
      <alignment horizontal="center"/>
      <protection hidden="1"/>
    </xf>
    <xf numFmtId="0" fontId="14" fillId="3" borderId="0" xfId="0" applyFont="1" applyFill="1" applyAlignment="1" applyProtection="1">
      <alignment vertical="top"/>
      <protection hidden="1"/>
    </xf>
    <xf numFmtId="0" fontId="13" fillId="3" borderId="0" xfId="0" applyFont="1" applyFill="1" applyAlignment="1" applyProtection="1">
      <alignment horizontal="center"/>
      <protection hidden="1"/>
    </xf>
    <xf numFmtId="0" fontId="9" fillId="3" borderId="1" xfId="0" applyFont="1" applyFill="1" applyBorder="1" applyAlignment="1" applyProtection="1">
      <alignment horizontal="right"/>
      <protection hidden="1"/>
    </xf>
    <xf numFmtId="166" fontId="3" fillId="14" borderId="25" xfId="0" applyNumberFormat="1" applyFont="1" applyFill="1" applyBorder="1" applyAlignment="1" applyProtection="1">
      <alignment vertical="center"/>
      <protection locked="0"/>
    </xf>
    <xf numFmtId="166" fontId="3" fillId="14" borderId="54" xfId="0" applyNumberFormat="1" applyFont="1" applyFill="1" applyBorder="1" applyAlignment="1" applyProtection="1">
      <alignment vertical="center"/>
      <protection locked="0"/>
    </xf>
    <xf numFmtId="49" fontId="10" fillId="16" borderId="12" xfId="0" applyNumberFormat="1" applyFont="1" applyFill="1" applyBorder="1" applyAlignment="1" applyProtection="1">
      <alignment horizontal="center" vertical="center" wrapText="1"/>
      <protection locked="0"/>
    </xf>
    <xf numFmtId="14" fontId="0" fillId="0" borderId="0" xfId="0" applyNumberFormat="1"/>
    <xf numFmtId="3" fontId="3" fillId="15" borderId="0" xfId="0" applyNumberFormat="1" applyFont="1" applyFill="1" applyAlignment="1">
      <alignment horizontal="right"/>
    </xf>
    <xf numFmtId="3" fontId="3" fillId="15" borderId="0" xfId="0" applyNumberFormat="1" applyFont="1" applyFill="1"/>
    <xf numFmtId="0" fontId="0" fillId="15" borderId="24" xfId="0" applyFill="1" applyBorder="1" applyAlignment="1">
      <alignment vertical="center"/>
    </xf>
    <xf numFmtId="3" fontId="110" fillId="3" borderId="30" xfId="0" applyNumberFormat="1" applyFont="1" applyFill="1" applyBorder="1" applyProtection="1">
      <protection hidden="1"/>
    </xf>
    <xf numFmtId="3" fontId="110" fillId="3" borderId="8" xfId="0" applyNumberFormat="1" applyFont="1" applyFill="1" applyBorder="1" applyProtection="1">
      <protection hidden="1"/>
    </xf>
    <xf numFmtId="3" fontId="110" fillId="3" borderId="14" xfId="0" applyNumberFormat="1" applyFont="1" applyFill="1" applyBorder="1" applyProtection="1">
      <protection hidden="1"/>
    </xf>
    <xf numFmtId="0" fontId="3" fillId="2" borderId="0" xfId="0" applyFont="1" applyFill="1" applyAlignment="1" applyProtection="1">
      <alignment vertical="center"/>
      <protection hidden="1"/>
    </xf>
    <xf numFmtId="37" fontId="181" fillId="3" borderId="0" xfId="0" applyNumberFormat="1" applyFont="1" applyFill="1" applyAlignment="1" applyProtection="1">
      <alignment horizontal="right"/>
      <protection hidden="1"/>
    </xf>
    <xf numFmtId="37" fontId="116" fillId="3" borderId="0" xfId="0" applyNumberFormat="1" applyFont="1" applyFill="1" applyAlignment="1" applyProtection="1">
      <alignment horizontal="right"/>
      <protection hidden="1"/>
    </xf>
    <xf numFmtId="0" fontId="19" fillId="15" borderId="0" xfId="0" applyFont="1" applyFill="1" applyAlignment="1" applyProtection="1">
      <alignment horizontal="left" indent="1"/>
      <protection hidden="1"/>
    </xf>
    <xf numFmtId="0" fontId="19" fillId="15" borderId="0" xfId="0" applyFont="1" applyFill="1" applyAlignment="1" applyProtection="1">
      <alignment horizontal="left" vertical="center" indent="1"/>
      <protection hidden="1"/>
    </xf>
    <xf numFmtId="0" fontId="19" fillId="15" borderId="1" xfId="0" applyFont="1" applyFill="1" applyBorder="1" applyAlignment="1" applyProtection="1">
      <alignment horizontal="left" vertical="center" indent="1"/>
      <protection hidden="1"/>
    </xf>
    <xf numFmtId="0" fontId="5" fillId="15" borderId="13" xfId="0" applyFont="1" applyFill="1" applyBorder="1" applyProtection="1">
      <protection hidden="1"/>
    </xf>
    <xf numFmtId="0" fontId="14" fillId="15" borderId="11" xfId="0" applyFont="1" applyFill="1" applyBorder="1" applyProtection="1">
      <protection locked="0"/>
    </xf>
    <xf numFmtId="203" fontId="0" fillId="15" borderId="58" xfId="0" applyNumberFormat="1" applyFill="1" applyBorder="1" applyAlignment="1" applyProtection="1">
      <alignment horizontal="center"/>
      <protection hidden="1"/>
    </xf>
    <xf numFmtId="203" fontId="0" fillId="15" borderId="110" xfId="0" applyNumberFormat="1" applyFill="1" applyBorder="1" applyAlignment="1" applyProtection="1">
      <alignment horizontal="center"/>
      <protection hidden="1"/>
    </xf>
    <xf numFmtId="203" fontId="5" fillId="15" borderId="66" xfId="0" applyNumberFormat="1" applyFont="1" applyFill="1" applyBorder="1" applyAlignment="1" applyProtection="1">
      <alignment horizontal="center"/>
      <protection hidden="1"/>
    </xf>
    <xf numFmtId="203" fontId="5" fillId="15" borderId="58" xfId="0" applyNumberFormat="1" applyFont="1" applyFill="1" applyBorder="1" applyAlignment="1" applyProtection="1">
      <alignment horizontal="center"/>
      <protection hidden="1"/>
    </xf>
    <xf numFmtId="0" fontId="14" fillId="15" borderId="0" xfId="0" applyFont="1" applyFill="1" applyAlignment="1" applyProtection="1">
      <alignment horizontal="center" vertical="center"/>
      <protection hidden="1"/>
    </xf>
    <xf numFmtId="0" fontId="46" fillId="3" borderId="0" xfId="0" applyFont="1" applyFill="1" applyAlignment="1" applyProtection="1">
      <alignment horizontal="left" vertical="center"/>
      <protection hidden="1"/>
    </xf>
    <xf numFmtId="0" fontId="48" fillId="9" borderId="25" xfId="0" applyFont="1" applyFill="1" applyBorder="1" applyAlignment="1" applyProtection="1">
      <alignment vertical="center"/>
      <protection hidden="1"/>
    </xf>
    <xf numFmtId="0" fontId="48" fillId="9" borderId="0" xfId="0" applyFont="1" applyFill="1" applyAlignment="1" applyProtection="1">
      <alignment horizontal="center" vertical="center"/>
      <protection hidden="1"/>
    </xf>
    <xf numFmtId="0" fontId="139" fillId="24" borderId="27" xfId="0" applyFont="1" applyFill="1" applyBorder="1"/>
    <xf numFmtId="0" fontId="13" fillId="15" borderId="7" xfId="0" applyFont="1" applyFill="1" applyBorder="1" applyProtection="1">
      <protection hidden="1"/>
    </xf>
    <xf numFmtId="0" fontId="13" fillId="15" borderId="0" xfId="0" applyFont="1" applyFill="1" applyAlignment="1" applyProtection="1">
      <alignment vertical="top"/>
      <protection hidden="1"/>
    </xf>
    <xf numFmtId="0" fontId="13" fillId="15" borderId="4" xfId="0" applyFont="1" applyFill="1" applyBorder="1" applyAlignment="1" applyProtection="1">
      <alignment horizontal="left"/>
      <protection hidden="1"/>
    </xf>
    <xf numFmtId="0" fontId="10" fillId="15" borderId="70" xfId="0" quotePrefix="1" applyFont="1" applyFill="1" applyBorder="1" applyAlignment="1" applyProtection="1">
      <alignment horizontal="right"/>
      <protection hidden="1"/>
    </xf>
    <xf numFmtId="6" fontId="265" fillId="15" borderId="0" xfId="0" applyNumberFormat="1" applyFont="1" applyFill="1" applyAlignment="1" applyProtection="1">
      <alignment horizontal="center" vertical="center"/>
      <protection hidden="1"/>
    </xf>
    <xf numFmtId="0" fontId="7" fillId="3" borderId="7" xfId="0" applyFont="1" applyFill="1" applyBorder="1" applyAlignment="1" applyProtection="1">
      <alignment vertical="top"/>
      <protection hidden="1"/>
    </xf>
    <xf numFmtId="37" fontId="7" fillId="20" borderId="69" xfId="0" applyNumberFormat="1" applyFont="1" applyFill="1" applyBorder="1" applyAlignment="1" applyProtection="1">
      <alignment horizontal="right"/>
      <protection locked="0"/>
    </xf>
    <xf numFmtId="0" fontId="3" fillId="3" borderId="43" xfId="0" applyFont="1" applyFill="1" applyBorder="1" applyAlignment="1" applyProtection="1">
      <alignment horizontal="center"/>
      <protection hidden="1"/>
    </xf>
    <xf numFmtId="37" fontId="7" fillId="28" borderId="47" xfId="0" applyNumberFormat="1" applyFont="1" applyFill="1" applyBorder="1" applyAlignment="1" applyProtection="1">
      <alignment horizontal="right"/>
      <protection hidden="1"/>
    </xf>
    <xf numFmtId="0" fontId="5" fillId="15" borderId="8" xfId="0" applyFont="1" applyFill="1" applyBorder="1" applyAlignment="1" applyProtection="1">
      <alignment horizontal="center"/>
      <protection hidden="1"/>
    </xf>
    <xf numFmtId="0" fontId="9" fillId="15" borderId="0" xfId="0" applyFont="1" applyFill="1" applyAlignment="1" applyProtection="1">
      <alignment horizontal="centerContinuous" vertical="center"/>
      <protection hidden="1"/>
    </xf>
    <xf numFmtId="0" fontId="9" fillId="40" borderId="0" xfId="0" applyFont="1" applyFill="1" applyAlignment="1" applyProtection="1">
      <alignment horizontal="right" vertical="top"/>
      <protection hidden="1"/>
    </xf>
    <xf numFmtId="0" fontId="5" fillId="40" borderId="0" xfId="0" applyFont="1" applyFill="1" applyAlignment="1" applyProtection="1">
      <alignment horizontal="left" vertical="center"/>
      <protection hidden="1"/>
    </xf>
    <xf numFmtId="14" fontId="9" fillId="2" borderId="0" xfId="0" applyNumberFormat="1" applyFont="1" applyFill="1" applyProtection="1">
      <protection hidden="1"/>
    </xf>
    <xf numFmtId="0" fontId="9" fillId="2" borderId="0" xfId="0" applyFont="1" applyFill="1" applyAlignment="1" applyProtection="1">
      <alignment horizontal="right" vertical="center"/>
      <protection hidden="1"/>
    </xf>
    <xf numFmtId="0" fontId="15" fillId="15" borderId="4" xfId="0" applyFont="1" applyFill="1" applyBorder="1" applyAlignment="1" applyProtection="1">
      <alignment vertical="top" wrapText="1"/>
      <protection hidden="1"/>
    </xf>
    <xf numFmtId="0" fontId="9" fillId="15" borderId="4" xfId="0" applyFont="1" applyFill="1" applyBorder="1" applyAlignment="1" applyProtection="1">
      <alignment vertical="center"/>
      <protection hidden="1"/>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10" fillId="15" borderId="13" xfId="0" applyFont="1" applyFill="1" applyBorder="1" applyAlignment="1" applyProtection="1">
      <alignment horizontal="left"/>
      <protection hidden="1"/>
    </xf>
    <xf numFmtId="39" fontId="22" fillId="15" borderId="0" xfId="0" applyNumberFormat="1" applyFont="1" applyFill="1" applyProtection="1">
      <protection locked="0"/>
    </xf>
    <xf numFmtId="39" fontId="22" fillId="15" borderId="0" xfId="0" applyNumberFormat="1" applyFont="1" applyFill="1" applyAlignment="1" applyProtection="1">
      <alignment vertical="top"/>
      <protection locked="0"/>
    </xf>
    <xf numFmtId="0" fontId="265" fillId="15" borderId="0" xfId="0" applyFont="1" applyFill="1" applyAlignment="1" applyProtection="1">
      <alignment horizontal="right" vertical="center"/>
      <protection hidden="1"/>
    </xf>
    <xf numFmtId="0" fontId="116" fillId="15" borderId="0" xfId="0" applyFont="1" applyFill="1" applyAlignment="1" applyProtection="1">
      <alignment vertical="center"/>
      <protection hidden="1"/>
    </xf>
    <xf numFmtId="0" fontId="97" fillId="15" borderId="30" xfId="0" applyFont="1" applyFill="1" applyBorder="1" applyProtection="1">
      <protection hidden="1"/>
    </xf>
    <xf numFmtId="0" fontId="97" fillId="15" borderId="8" xfId="0" applyFont="1" applyFill="1" applyBorder="1" applyProtection="1">
      <protection hidden="1"/>
    </xf>
    <xf numFmtId="0" fontId="97" fillId="15" borderId="14" xfId="0" applyFont="1" applyFill="1" applyBorder="1" applyProtection="1">
      <protection hidden="1"/>
    </xf>
    <xf numFmtId="0" fontId="97" fillId="15" borderId="3" xfId="0" applyFont="1" applyFill="1" applyBorder="1" applyProtection="1">
      <protection hidden="1"/>
    </xf>
    <xf numFmtId="0" fontId="97" fillId="15" borderId="24" xfId="0" applyFont="1" applyFill="1" applyBorder="1" applyProtection="1">
      <protection hidden="1"/>
    </xf>
    <xf numFmtId="0" fontId="97" fillId="15" borderId="9" xfId="0" applyFont="1" applyFill="1" applyBorder="1" applyProtection="1">
      <protection hidden="1"/>
    </xf>
    <xf numFmtId="0" fontId="97" fillId="15" borderId="1" xfId="0" applyFont="1" applyFill="1" applyBorder="1" applyProtection="1">
      <protection hidden="1"/>
    </xf>
    <xf numFmtId="0" fontId="97" fillId="15" borderId="11" xfId="0" applyFont="1" applyFill="1" applyBorder="1" applyProtection="1">
      <protection hidden="1"/>
    </xf>
    <xf numFmtId="0" fontId="46" fillId="0" borderId="25" xfId="0" applyFont="1" applyBorder="1" applyAlignment="1" applyProtection="1">
      <alignment horizontal="left" vertical="center"/>
      <protection hidden="1"/>
    </xf>
    <xf numFmtId="0" fontId="13" fillId="15" borderId="25" xfId="0" applyFont="1" applyFill="1" applyBorder="1" applyAlignment="1" applyProtection="1">
      <alignment horizontal="left"/>
      <protection hidden="1"/>
    </xf>
    <xf numFmtId="0" fontId="10" fillId="15" borderId="1" xfId="0" applyFont="1" applyFill="1" applyBorder="1" applyAlignment="1" applyProtection="1">
      <alignment horizontal="center" vertical="center"/>
      <protection hidden="1"/>
    </xf>
    <xf numFmtId="0" fontId="144" fillId="15" borderId="0" xfId="0" applyFont="1" applyFill="1" applyAlignment="1" applyProtection="1">
      <alignment vertical="center"/>
      <protection hidden="1"/>
    </xf>
    <xf numFmtId="0" fontId="7" fillId="14" borderId="0" xfId="0" applyFont="1" applyFill="1" applyAlignment="1" applyProtection="1">
      <alignment horizontal="centerContinuous" vertical="top"/>
      <protection hidden="1"/>
    </xf>
    <xf numFmtId="0" fontId="15" fillId="14" borderId="101" xfId="0" applyFont="1" applyFill="1" applyBorder="1" applyAlignment="1" applyProtection="1">
      <alignment horizontal="centerContinuous" vertical="center"/>
      <protection hidden="1"/>
    </xf>
    <xf numFmtId="39" fontId="3" fillId="3" borderId="0" xfId="0" applyNumberFormat="1" applyFont="1" applyFill="1" applyAlignment="1" applyProtection="1">
      <alignment horizontal="center"/>
      <protection hidden="1"/>
    </xf>
    <xf numFmtId="39" fontId="5" fillId="3" borderId="0" xfId="0" applyNumberFormat="1" applyFont="1" applyFill="1" applyAlignment="1" applyProtection="1">
      <alignment vertical="top"/>
      <protection hidden="1"/>
    </xf>
    <xf numFmtId="3" fontId="7" fillId="8" borderId="0" xfId="0" applyNumberFormat="1" applyFont="1" applyFill="1" applyProtection="1">
      <protection locked="0"/>
    </xf>
    <xf numFmtId="39" fontId="3" fillId="3" borderId="0" xfId="0" applyNumberFormat="1" applyFont="1" applyFill="1" applyAlignment="1" applyProtection="1">
      <alignment horizontal="right" indent="1"/>
      <protection hidden="1"/>
    </xf>
    <xf numFmtId="39" fontId="8" fillId="3" borderId="24" xfId="0" applyNumberFormat="1" applyFont="1" applyFill="1" applyBorder="1" applyAlignment="1" applyProtection="1">
      <alignment horizontal="right"/>
      <protection hidden="1"/>
    </xf>
    <xf numFmtId="0" fontId="5" fillId="3" borderId="13" xfId="0" applyFont="1" applyFill="1" applyBorder="1" applyAlignment="1" applyProtection="1">
      <alignment horizontal="left"/>
      <protection hidden="1"/>
    </xf>
    <xf numFmtId="0" fontId="46" fillId="3" borderId="0" xfId="0" applyFont="1" applyFill="1" applyAlignment="1" applyProtection="1">
      <alignment horizontal="left" indent="1"/>
      <protection hidden="1"/>
    </xf>
    <xf numFmtId="0" fontId="3" fillId="3" borderId="0" xfId="0" applyFont="1" applyFill="1" applyAlignment="1" applyProtection="1">
      <alignment horizontal="left" indent="1"/>
      <protection hidden="1"/>
    </xf>
    <xf numFmtId="0" fontId="14" fillId="3" borderId="0" xfId="0" applyFont="1" applyFill="1" applyAlignment="1" applyProtection="1">
      <alignment horizontal="left" indent="1"/>
      <protection hidden="1"/>
    </xf>
    <xf numFmtId="0" fontId="3" fillId="2" borderId="75" xfId="0" applyFont="1" applyFill="1" applyBorder="1" applyProtection="1">
      <protection hidden="1"/>
    </xf>
    <xf numFmtId="0" fontId="3" fillId="3" borderId="75" xfId="0" applyFont="1" applyFill="1" applyBorder="1" applyProtection="1">
      <protection hidden="1"/>
    </xf>
    <xf numFmtId="0" fontId="15" fillId="3" borderId="75" xfId="0" applyFont="1" applyFill="1" applyBorder="1" applyProtection="1">
      <protection hidden="1"/>
    </xf>
    <xf numFmtId="0" fontId="15" fillId="3" borderId="13" xfId="0" applyFont="1" applyFill="1" applyBorder="1" applyAlignment="1" applyProtection="1">
      <alignment vertical="top"/>
      <protection hidden="1"/>
    </xf>
    <xf numFmtId="49" fontId="9" fillId="3" borderId="33" xfId="0" applyNumberFormat="1" applyFont="1" applyFill="1" applyBorder="1" applyAlignment="1" applyProtection="1">
      <alignment horizontal="center"/>
      <protection hidden="1"/>
    </xf>
    <xf numFmtId="4" fontId="9" fillId="3" borderId="72" xfId="0" applyNumberFormat="1" applyFont="1" applyFill="1" applyBorder="1" applyAlignment="1" applyProtection="1">
      <alignment horizontal="center"/>
      <protection hidden="1"/>
    </xf>
    <xf numFmtId="0" fontId="3" fillId="36" borderId="12" xfId="0" applyFont="1" applyFill="1" applyBorder="1" applyProtection="1">
      <protection hidden="1"/>
    </xf>
    <xf numFmtId="0" fontId="46" fillId="3" borderId="4" xfId="0" applyFont="1" applyFill="1" applyBorder="1" applyProtection="1">
      <protection hidden="1"/>
    </xf>
    <xf numFmtId="4" fontId="8" fillId="2" borderId="0" xfId="0" applyNumberFormat="1" applyFont="1" applyFill="1" applyAlignment="1">
      <alignment horizontal="right"/>
    </xf>
    <xf numFmtId="0" fontId="9" fillId="3" borderId="5" xfId="0" applyFont="1" applyFill="1" applyBorder="1" applyAlignment="1" applyProtection="1">
      <alignment horizontal="right" indent="1"/>
      <protection hidden="1"/>
    </xf>
    <xf numFmtId="0" fontId="46" fillId="3" borderId="1" xfId="0" applyFont="1" applyFill="1" applyBorder="1" applyAlignment="1" applyProtection="1">
      <alignment vertical="top"/>
      <protection hidden="1"/>
    </xf>
    <xf numFmtId="0" fontId="3" fillId="3" borderId="20" xfId="0" applyFont="1" applyFill="1" applyBorder="1" applyAlignment="1" applyProtection="1">
      <alignment horizontal="left"/>
      <protection hidden="1"/>
    </xf>
    <xf numFmtId="3" fontId="0" fillId="3" borderId="8" xfId="0" applyNumberFormat="1" applyFill="1" applyBorder="1" applyProtection="1">
      <protection hidden="1"/>
    </xf>
    <xf numFmtId="3" fontId="0" fillId="3" borderId="0" xfId="0" applyNumberFormat="1" applyFill="1" applyProtection="1">
      <protection hidden="1"/>
    </xf>
    <xf numFmtId="3" fontId="0" fillId="3" borderId="1" xfId="0" applyNumberFormat="1" applyFill="1" applyBorder="1" applyProtection="1">
      <protection hidden="1"/>
    </xf>
    <xf numFmtId="201" fontId="0" fillId="3" borderId="20" xfId="0" applyNumberFormat="1" applyFill="1" applyBorder="1" applyAlignment="1" applyProtection="1">
      <alignment horizontal="center"/>
      <protection hidden="1"/>
    </xf>
    <xf numFmtId="201" fontId="0" fillId="3" borderId="29" xfId="0" applyNumberFormat="1" applyFill="1" applyBorder="1" applyAlignment="1" applyProtection="1">
      <alignment horizontal="center"/>
      <protection hidden="1"/>
    </xf>
    <xf numFmtId="201" fontId="0" fillId="3" borderId="88" xfId="0" applyNumberFormat="1" applyFill="1" applyBorder="1" applyAlignment="1" applyProtection="1">
      <alignment horizontal="center"/>
      <protection hidden="1"/>
    </xf>
    <xf numFmtId="0" fontId="14" fillId="3" borderId="0" xfId="0" applyFont="1" applyFill="1" applyAlignment="1" applyProtection="1">
      <alignment horizontal="right" indent="1"/>
      <protection hidden="1"/>
    </xf>
    <xf numFmtId="0" fontId="14" fillId="3" borderId="0" xfId="0" applyFont="1" applyFill="1" applyAlignment="1" applyProtection="1">
      <alignment horizontal="right" vertical="center" indent="1"/>
      <protection hidden="1"/>
    </xf>
    <xf numFmtId="0" fontId="46" fillId="3" borderId="0" xfId="0" applyFont="1" applyFill="1" applyAlignment="1" applyProtection="1">
      <alignment horizontal="right" vertical="center"/>
      <protection hidden="1"/>
    </xf>
    <xf numFmtId="0" fontId="14" fillId="3" borderId="0" xfId="0" applyFont="1" applyFill="1" applyAlignment="1" applyProtection="1">
      <alignment horizontal="center"/>
      <protection hidden="1"/>
    </xf>
    <xf numFmtId="0" fontId="46" fillId="3" borderId="0" xfId="0" applyFont="1" applyFill="1" applyAlignment="1" applyProtection="1">
      <alignment horizontal="right" indent="1"/>
      <protection hidden="1"/>
    </xf>
    <xf numFmtId="0" fontId="14" fillId="3" borderId="1" xfId="0" applyFont="1" applyFill="1" applyBorder="1" applyAlignment="1" applyProtection="1">
      <alignment horizontal="right" indent="1"/>
      <protection hidden="1"/>
    </xf>
    <xf numFmtId="0" fontId="14" fillId="3" borderId="10" xfId="0" applyFont="1" applyFill="1" applyBorder="1" applyAlignment="1" applyProtection="1">
      <alignment horizontal="center"/>
      <protection hidden="1"/>
    </xf>
    <xf numFmtId="0" fontId="14" fillId="3" borderId="9" xfId="0" applyFont="1" applyFill="1" applyBorder="1" applyAlignment="1" applyProtection="1">
      <alignment horizontal="center"/>
      <protection hidden="1"/>
    </xf>
    <xf numFmtId="0" fontId="3" fillId="3" borderId="9" xfId="0" quotePrefix="1" applyFont="1" applyFill="1" applyBorder="1" applyAlignment="1" applyProtection="1">
      <alignment horizontal="center"/>
      <protection hidden="1"/>
    </xf>
    <xf numFmtId="0" fontId="46" fillId="3" borderId="3" xfId="0" applyFont="1" applyFill="1" applyBorder="1" applyProtection="1">
      <protection hidden="1"/>
    </xf>
    <xf numFmtId="0" fontId="46" fillId="3" borderId="1" xfId="0" applyFont="1" applyFill="1" applyBorder="1" applyAlignment="1" applyProtection="1">
      <alignment horizontal="right" vertical="top" indent="1"/>
      <protection hidden="1"/>
    </xf>
    <xf numFmtId="182" fontId="147" fillId="0" borderId="78" xfId="0" applyNumberFormat="1" applyFont="1" applyBorder="1" applyAlignment="1">
      <alignment horizontal="center"/>
    </xf>
    <xf numFmtId="0" fontId="3" fillId="15" borderId="1" xfId="0" applyFont="1" applyFill="1" applyBorder="1" applyAlignment="1" applyProtection="1">
      <alignment horizontal="center"/>
      <protection hidden="1"/>
    </xf>
    <xf numFmtId="1" fontId="208" fillId="15" borderId="0" xfId="0" applyNumberFormat="1" applyFont="1" applyFill="1" applyAlignment="1" applyProtection="1">
      <alignment wrapText="1"/>
      <protection hidden="1"/>
    </xf>
    <xf numFmtId="1" fontId="208" fillId="15" borderId="24" xfId="0" applyNumberFormat="1" applyFont="1" applyFill="1" applyBorder="1" applyAlignment="1" applyProtection="1">
      <alignment wrapText="1"/>
      <protection hidden="1"/>
    </xf>
    <xf numFmtId="0" fontId="14" fillId="15" borderId="0" xfId="0" applyFont="1" applyFill="1" applyAlignment="1">
      <alignment horizontal="center" vertical="center"/>
    </xf>
    <xf numFmtId="0" fontId="0" fillId="19" borderId="12" xfId="0" applyFill="1" applyBorder="1" applyProtection="1">
      <protection hidden="1"/>
    </xf>
    <xf numFmtId="37" fontId="11" fillId="27" borderId="1" xfId="0" applyNumberFormat="1" applyFont="1" applyFill="1" applyBorder="1" applyProtection="1">
      <protection hidden="1"/>
    </xf>
    <xf numFmtId="49" fontId="3" fillId="15" borderId="3" xfId="0" quotePrefix="1" applyNumberFormat="1" applyFont="1" applyFill="1" applyBorder="1" applyAlignment="1" applyProtection="1">
      <alignment horizontal="right"/>
      <protection hidden="1"/>
    </xf>
    <xf numFmtId="0" fontId="140" fillId="15" borderId="0" xfId="0" applyFont="1" applyFill="1" applyAlignment="1">
      <alignment vertical="center"/>
    </xf>
    <xf numFmtId="0" fontId="288" fillId="15" borderId="3" xfId="0" applyFont="1" applyFill="1" applyBorder="1" applyAlignment="1">
      <alignment vertical="center" wrapText="1"/>
    </xf>
    <xf numFmtId="37" fontId="9" fillId="15" borderId="0" xfId="0" applyNumberFormat="1" applyFont="1" applyFill="1" applyAlignment="1" applyProtection="1">
      <alignment horizontal="right"/>
      <protection hidden="1"/>
    </xf>
    <xf numFmtId="0" fontId="138" fillId="15" borderId="0" xfId="0" applyFont="1" applyFill="1" applyAlignment="1" applyProtection="1">
      <alignment horizontal="center"/>
      <protection hidden="1"/>
    </xf>
    <xf numFmtId="0" fontId="21" fillId="2" borderId="8" xfId="0" applyFont="1" applyFill="1" applyBorder="1" applyProtection="1">
      <protection hidden="1"/>
    </xf>
    <xf numFmtId="0" fontId="21" fillId="2" borderId="1" xfId="0" applyFont="1" applyFill="1" applyBorder="1" applyProtection="1">
      <protection hidden="1"/>
    </xf>
    <xf numFmtId="0" fontId="207" fillId="2" borderId="0" xfId="0" applyFont="1" applyFill="1" applyProtection="1">
      <protection hidden="1"/>
    </xf>
    <xf numFmtId="0" fontId="207" fillId="2" borderId="0" xfId="0" applyFont="1" applyFill="1" applyAlignment="1" applyProtection="1">
      <alignment horizontal="right"/>
      <protection hidden="1"/>
    </xf>
    <xf numFmtId="0" fontId="109" fillId="15" borderId="0" xfId="0" applyFont="1" applyFill="1" applyAlignment="1" applyProtection="1">
      <alignment horizontal="center"/>
      <protection hidden="1"/>
    </xf>
    <xf numFmtId="3" fontId="10" fillId="15" borderId="1" xfId="0" applyNumberFormat="1" applyFont="1" applyFill="1" applyBorder="1" applyProtection="1">
      <protection hidden="1"/>
    </xf>
    <xf numFmtId="3" fontId="10" fillId="15" borderId="11" xfId="0" applyNumberFormat="1" applyFont="1" applyFill="1" applyBorder="1" applyProtection="1">
      <protection hidden="1"/>
    </xf>
    <xf numFmtId="37" fontId="30" fillId="2" borderId="2" xfId="0" applyNumberFormat="1" applyFont="1" applyFill="1" applyBorder="1" applyProtection="1">
      <protection locked="0"/>
    </xf>
    <xf numFmtId="0" fontId="198" fillId="2" borderId="0" xfId="0" applyFont="1" applyFill="1" applyProtection="1">
      <protection hidden="1"/>
    </xf>
    <xf numFmtId="0" fontId="110" fillId="2" borderId="0" xfId="0" applyFont="1" applyFill="1" applyAlignment="1" applyProtection="1">
      <alignment horizontal="center" vertical="center"/>
      <protection hidden="1"/>
    </xf>
    <xf numFmtId="3" fontId="109" fillId="15" borderId="0" xfId="0" applyNumberFormat="1" applyFont="1" applyFill="1" applyAlignment="1" applyProtection="1">
      <alignment horizontal="center"/>
      <protection hidden="1"/>
    </xf>
    <xf numFmtId="0" fontId="109" fillId="15" borderId="0" xfId="0" applyFont="1" applyFill="1" applyAlignment="1" applyProtection="1">
      <alignment horizontal="center" vertical="center"/>
      <protection hidden="1"/>
    </xf>
    <xf numFmtId="4" fontId="115" fillId="15" borderId="0" xfId="0" applyNumberFormat="1" applyFont="1" applyFill="1" applyProtection="1">
      <protection hidden="1"/>
    </xf>
    <xf numFmtId="0" fontId="109" fillId="15" borderId="0" xfId="0" applyFont="1" applyFill="1" applyAlignment="1" applyProtection="1">
      <alignment horizontal="right"/>
      <protection hidden="1"/>
    </xf>
    <xf numFmtId="3" fontId="109" fillId="15" borderId="0" xfId="0" applyNumberFormat="1" applyFont="1" applyFill="1" applyAlignment="1" applyProtection="1">
      <alignment horizontal="right"/>
      <protection hidden="1"/>
    </xf>
    <xf numFmtId="0" fontId="109" fillId="15" borderId="7" xfId="0" applyFont="1" applyFill="1" applyBorder="1" applyAlignment="1" applyProtection="1">
      <alignment horizontal="center"/>
      <protection hidden="1"/>
    </xf>
    <xf numFmtId="0" fontId="208" fillId="15" borderId="3" xfId="0" applyFont="1" applyFill="1" applyBorder="1" applyAlignment="1" applyProtection="1">
      <alignment wrapText="1"/>
      <protection hidden="1"/>
    </xf>
    <xf numFmtId="3" fontId="5" fillId="15" borderId="169" xfId="0" applyNumberFormat="1" applyFont="1" applyFill="1" applyBorder="1" applyAlignment="1" applyProtection="1">
      <alignment horizontal="right"/>
      <protection hidden="1"/>
    </xf>
    <xf numFmtId="3" fontId="5" fillId="15" borderId="166" xfId="0" applyNumberFormat="1" applyFont="1" applyFill="1" applyBorder="1" applyAlignment="1" applyProtection="1">
      <alignment horizontal="right"/>
      <protection hidden="1"/>
    </xf>
    <xf numFmtId="3" fontId="5" fillId="15" borderId="165" xfId="0" applyNumberFormat="1" applyFont="1" applyFill="1" applyBorder="1" applyAlignment="1" applyProtection="1">
      <alignment horizontal="right"/>
      <protection hidden="1"/>
    </xf>
    <xf numFmtId="0" fontId="5" fillId="0" borderId="100" xfId="0" applyFont="1" applyBorder="1"/>
    <xf numFmtId="3" fontId="5" fillId="15" borderId="2" xfId="0" applyNumberFormat="1" applyFont="1" applyFill="1" applyBorder="1" applyAlignment="1" applyProtection="1">
      <alignment horizontal="right"/>
      <protection hidden="1"/>
    </xf>
    <xf numFmtId="3" fontId="5" fillId="15" borderId="167" xfId="0" applyNumberFormat="1" applyFont="1" applyFill="1" applyBorder="1" applyAlignment="1" applyProtection="1">
      <alignment horizontal="right"/>
      <protection hidden="1"/>
    </xf>
    <xf numFmtId="3" fontId="5" fillId="15" borderId="100" xfId="0" applyNumberFormat="1" applyFont="1" applyFill="1" applyBorder="1" applyAlignment="1" applyProtection="1">
      <alignment horizontal="right"/>
      <protection hidden="1"/>
    </xf>
    <xf numFmtId="0" fontId="5" fillId="15" borderId="75" xfId="0" applyFont="1" applyFill="1" applyBorder="1" applyAlignment="1" applyProtection="1">
      <alignment horizontal="right"/>
      <protection hidden="1"/>
    </xf>
    <xf numFmtId="3" fontId="5" fillId="15" borderId="72" xfId="0" applyNumberFormat="1" applyFont="1" applyFill="1" applyBorder="1" applyAlignment="1" applyProtection="1">
      <alignment horizontal="right"/>
      <protection hidden="1"/>
    </xf>
    <xf numFmtId="3" fontId="5" fillId="15" borderId="168" xfId="0" applyNumberFormat="1" applyFont="1" applyFill="1" applyBorder="1" applyAlignment="1" applyProtection="1">
      <alignment horizontal="right"/>
      <protection hidden="1"/>
    </xf>
    <xf numFmtId="37" fontId="123" fillId="15" borderId="3" xfId="0" applyNumberFormat="1" applyFont="1" applyFill="1" applyBorder="1" applyProtection="1">
      <protection locked="0"/>
    </xf>
    <xf numFmtId="0" fontId="0" fillId="24" borderId="0" xfId="0" applyFill="1" applyAlignment="1" applyProtection="1">
      <alignment horizontal="center"/>
      <protection hidden="1"/>
    </xf>
    <xf numFmtId="0" fontId="0" fillId="24" borderId="0" xfId="0" applyFill="1" applyAlignment="1" applyProtection="1">
      <alignment horizontal="left"/>
      <protection hidden="1"/>
    </xf>
    <xf numFmtId="0" fontId="8" fillId="24" borderId="0" xfId="0" applyFont="1" applyFill="1" applyAlignment="1" applyProtection="1">
      <alignment horizontal="left"/>
      <protection hidden="1"/>
    </xf>
    <xf numFmtId="40" fontId="3" fillId="2" borderId="1" xfId="0" applyNumberFormat="1" applyFont="1" applyFill="1" applyBorder="1" applyAlignment="1" applyProtection="1">
      <alignment horizontal="left"/>
      <protection hidden="1"/>
    </xf>
    <xf numFmtId="40" fontId="3" fillId="2" borderId="1" xfId="0" applyNumberFormat="1" applyFont="1" applyFill="1" applyBorder="1" applyAlignment="1" applyProtection="1">
      <alignment horizontal="center"/>
      <protection hidden="1"/>
    </xf>
    <xf numFmtId="164" fontId="3" fillId="2" borderId="1" xfId="0" applyNumberFormat="1" applyFont="1" applyFill="1" applyBorder="1" applyProtection="1">
      <protection hidden="1"/>
    </xf>
    <xf numFmtId="0" fontId="5" fillId="2" borderId="0" xfId="0" applyFont="1" applyFill="1" applyAlignment="1" applyProtection="1">
      <alignment horizontal="right" indent="1"/>
      <protection hidden="1"/>
    </xf>
    <xf numFmtId="0" fontId="36" fillId="2" borderId="5" xfId="0" quotePrefix="1" applyFont="1" applyFill="1" applyBorder="1" applyAlignment="1" applyProtection="1">
      <alignment horizontal="left" vertical="top"/>
      <protection hidden="1"/>
    </xf>
    <xf numFmtId="0" fontId="36" fillId="2" borderId="21" xfId="0" quotePrefix="1" applyFont="1" applyFill="1" applyBorder="1" applyAlignment="1" applyProtection="1">
      <alignment horizontal="left" vertical="top" indent="1"/>
      <protection hidden="1"/>
    </xf>
    <xf numFmtId="0" fontId="3" fillId="15" borderId="3" xfId="0" applyFont="1" applyFill="1" applyBorder="1" applyAlignment="1">
      <alignment horizontal="left"/>
    </xf>
    <xf numFmtId="0" fontId="14" fillId="15" borderId="0" xfId="0" applyFont="1" applyFill="1" applyAlignment="1">
      <alignment horizontal="left"/>
    </xf>
    <xf numFmtId="0" fontId="46" fillId="15" borderId="3" xfId="0" applyFont="1" applyFill="1" applyBorder="1" applyAlignment="1">
      <alignment horizontal="left"/>
    </xf>
    <xf numFmtId="0" fontId="46" fillId="15" borderId="0" xfId="0" applyFont="1" applyFill="1" applyAlignment="1">
      <alignment horizontal="right"/>
    </xf>
    <xf numFmtId="0" fontId="290" fillId="15" borderId="5" xfId="0" applyFont="1" applyFill="1" applyBorder="1" applyAlignment="1" applyProtection="1">
      <alignment vertical="center"/>
      <protection hidden="1"/>
    </xf>
    <xf numFmtId="0" fontId="289" fillId="15" borderId="0" xfId="0" applyFont="1" applyFill="1" applyProtection="1">
      <protection hidden="1"/>
    </xf>
    <xf numFmtId="1" fontId="0" fillId="10" borderId="12" xfId="0" applyNumberFormat="1" applyFill="1" applyBorder="1" applyAlignment="1" applyProtection="1">
      <alignment vertical="center"/>
      <protection hidden="1"/>
    </xf>
    <xf numFmtId="188" fontId="112" fillId="2" borderId="24" xfId="0" applyNumberFormat="1" applyFont="1" applyFill="1" applyBorder="1" applyAlignment="1" applyProtection="1">
      <alignment horizontal="center" vertical="center" wrapText="1"/>
      <protection hidden="1"/>
    </xf>
    <xf numFmtId="0" fontId="126" fillId="2" borderId="3" xfId="0" applyFont="1" applyFill="1" applyBorder="1" applyAlignment="1" applyProtection="1">
      <alignment horizontal="center" vertical="center" wrapText="1"/>
      <protection hidden="1"/>
    </xf>
    <xf numFmtId="0" fontId="66" fillId="0" borderId="0" xfId="2" applyBorder="1" applyAlignment="1" applyProtection="1">
      <alignment vertical="center"/>
      <protection hidden="1"/>
    </xf>
    <xf numFmtId="0" fontId="0" fillId="0" borderId="1" xfId="0" applyBorder="1"/>
    <xf numFmtId="0" fontId="211" fillId="15" borderId="0" xfId="0" applyFont="1" applyFill="1" applyAlignment="1" applyProtection="1">
      <alignment horizontal="left"/>
      <protection hidden="1"/>
    </xf>
    <xf numFmtId="0" fontId="3" fillId="0" borderId="4" xfId="0" applyFont="1" applyBorder="1" applyAlignment="1">
      <alignment horizontal="center"/>
    </xf>
    <xf numFmtId="37" fontId="0" fillId="15" borderId="1" xfId="0" applyNumberFormat="1" applyFill="1" applyBorder="1"/>
    <xf numFmtId="0" fontId="5" fillId="15" borderId="3" xfId="0" applyFont="1" applyFill="1" applyBorder="1" applyAlignment="1">
      <alignment wrapText="1"/>
    </xf>
    <xf numFmtId="0" fontId="5" fillId="15" borderId="24" xfId="0" applyFont="1" applyFill="1" applyBorder="1" applyAlignment="1">
      <alignment wrapText="1"/>
    </xf>
    <xf numFmtId="0" fontId="5" fillId="0" borderId="0" xfId="0" quotePrefix="1" applyFont="1" applyAlignment="1">
      <alignment horizontal="right"/>
    </xf>
    <xf numFmtId="0" fontId="5" fillId="0" borderId="0" xfId="0" quotePrefix="1" applyFont="1"/>
    <xf numFmtId="0" fontId="0" fillId="0" borderId="9" xfId="0" applyBorder="1"/>
    <xf numFmtId="37" fontId="0" fillId="15" borderId="25" xfId="0" applyNumberFormat="1" applyFill="1" applyBorder="1"/>
    <xf numFmtId="37" fontId="0" fillId="0" borderId="2" xfId="0" applyNumberFormat="1" applyBorder="1" applyProtection="1">
      <protection locked="0"/>
    </xf>
    <xf numFmtId="0" fontId="0" fillId="0" borderId="9" xfId="0" applyBorder="1" applyAlignment="1">
      <alignment vertical="center"/>
    </xf>
    <xf numFmtId="37" fontId="0" fillId="15" borderId="8" xfId="0" applyNumberFormat="1" applyFill="1" applyBorder="1"/>
    <xf numFmtId="0" fontId="3" fillId="0" borderId="0" xfId="0" applyFont="1" applyAlignment="1" applyProtection="1">
      <alignment horizontal="right" vertical="top"/>
      <protection hidden="1"/>
    </xf>
    <xf numFmtId="37" fontId="0" fillId="0" borderId="2" xfId="0" applyNumberFormat="1" applyBorder="1"/>
    <xf numFmtId="0" fontId="5" fillId="0" borderId="0" xfId="0" applyFont="1" applyAlignment="1" applyProtection="1">
      <alignment horizontal="right" vertical="top"/>
      <protection hidden="1"/>
    </xf>
    <xf numFmtId="4" fontId="126" fillId="0" borderId="0" xfId="0" applyNumberFormat="1" applyFont="1" applyAlignment="1" applyProtection="1">
      <alignment horizontal="center"/>
      <protection locked="0"/>
    </xf>
    <xf numFmtId="0" fontId="5" fillId="32" borderId="117" xfId="0" applyFont="1" applyFill="1" applyBorder="1" applyProtection="1">
      <protection locked="0"/>
    </xf>
    <xf numFmtId="37" fontId="5" fillId="27" borderId="224" xfId="0" quotePrefix="1" applyNumberFormat="1" applyFont="1" applyFill="1" applyBorder="1" applyAlignment="1" applyProtection="1">
      <alignment horizontal="right"/>
      <protection hidden="1"/>
    </xf>
    <xf numFmtId="0" fontId="165" fillId="2" borderId="9" xfId="0" applyFont="1" applyFill="1" applyBorder="1" applyProtection="1">
      <protection hidden="1"/>
    </xf>
    <xf numFmtId="0" fontId="11" fillId="2" borderId="0" xfId="0" applyFont="1" applyFill="1" applyAlignment="1" applyProtection="1">
      <alignment horizontal="right"/>
      <protection hidden="1"/>
    </xf>
    <xf numFmtId="0" fontId="11" fillId="0" borderId="109" xfId="0" applyFont="1" applyBorder="1" applyAlignment="1">
      <alignment horizontal="center"/>
    </xf>
    <xf numFmtId="0" fontId="11" fillId="0" borderId="43" xfId="0" applyFont="1" applyBorder="1" applyAlignment="1">
      <alignment horizontal="center"/>
    </xf>
    <xf numFmtId="0" fontId="5" fillId="15" borderId="20" xfId="0" applyFont="1" applyFill="1" applyBorder="1" applyAlignment="1">
      <alignment horizontal="right"/>
    </xf>
    <xf numFmtId="37" fontId="5" fillId="0" borderId="46" xfId="0" applyNumberFormat="1" applyFont="1" applyBorder="1"/>
    <xf numFmtId="37" fontId="5" fillId="0" borderId="12" xfId="0" applyNumberFormat="1" applyFont="1" applyBorder="1"/>
    <xf numFmtId="37" fontId="5" fillId="0" borderId="58" xfId="0" applyNumberFormat="1" applyFont="1" applyBorder="1"/>
    <xf numFmtId="0" fontId="112" fillId="15" borderId="0" xfId="4" applyFont="1" applyFill="1" applyAlignment="1">
      <alignment vertical="center"/>
    </xf>
    <xf numFmtId="0" fontId="200" fillId="15" borderId="0" xfId="4" applyFont="1" applyFill="1"/>
    <xf numFmtId="0" fontId="46" fillId="15" borderId="0" xfId="4" applyFont="1" applyFill="1"/>
    <xf numFmtId="0" fontId="46" fillId="0" borderId="0" xfId="4" applyFont="1"/>
    <xf numFmtId="0" fontId="200" fillId="15" borderId="0" xfId="4" applyFont="1" applyFill="1" applyAlignment="1">
      <alignment vertical="center"/>
    </xf>
    <xf numFmtId="0" fontId="200" fillId="24" borderId="30" xfId="4" applyFont="1" applyFill="1" applyBorder="1"/>
    <xf numFmtId="0" fontId="292" fillId="24" borderId="8" xfId="4" applyFont="1" applyFill="1" applyBorder="1" applyAlignment="1">
      <alignment vertical="center"/>
    </xf>
    <xf numFmtId="0" fontId="46" fillId="24" borderId="8" xfId="4" applyFont="1" applyFill="1" applyBorder="1"/>
    <xf numFmtId="0" fontId="46" fillId="24" borderId="14" xfId="4" applyFont="1" applyFill="1" applyBorder="1"/>
    <xf numFmtId="0" fontId="200" fillId="24" borderId="3" xfId="4" applyFont="1" applyFill="1" applyBorder="1"/>
    <xf numFmtId="0" fontId="292" fillId="24" borderId="0" xfId="4" applyFont="1" applyFill="1" applyAlignment="1">
      <alignment vertical="center"/>
    </xf>
    <xf numFmtId="0" fontId="46" fillId="24" borderId="0" xfId="4" applyFont="1" applyFill="1"/>
    <xf numFmtId="0" fontId="293" fillId="24" borderId="0" xfId="4" applyFont="1" applyFill="1" applyAlignment="1">
      <alignment horizontal="left" vertical="center"/>
    </xf>
    <xf numFmtId="0" fontId="294" fillId="24" borderId="0" xfId="4" applyFont="1" applyFill="1" applyAlignment="1">
      <alignment vertical="center"/>
    </xf>
    <xf numFmtId="0" fontId="46" fillId="24" borderId="24" xfId="4" applyFont="1" applyFill="1" applyBorder="1"/>
    <xf numFmtId="0" fontId="295" fillId="24" borderId="0" xfId="4" applyFont="1" applyFill="1" applyAlignment="1">
      <alignment vertical="center"/>
    </xf>
    <xf numFmtId="0" fontId="296" fillId="24" borderId="0" xfId="4" applyFont="1" applyFill="1" applyAlignment="1">
      <alignment vertical="center"/>
    </xf>
    <xf numFmtId="0" fontId="297" fillId="24" borderId="3" xfId="4" applyFont="1" applyFill="1" applyBorder="1"/>
    <xf numFmtId="0" fontId="13" fillId="24" borderId="24" xfId="4" applyFont="1" applyFill="1" applyBorder="1"/>
    <xf numFmtId="0" fontId="13" fillId="15" borderId="0" xfId="4" applyFont="1" applyFill="1"/>
    <xf numFmtId="0" fontId="13" fillId="0" borderId="0" xfId="4" applyFont="1"/>
    <xf numFmtId="0" fontId="10" fillId="27" borderId="12" xfId="4" applyFont="1" applyFill="1" applyBorder="1" applyAlignment="1" applyProtection="1">
      <alignment horizontal="center"/>
      <protection hidden="1"/>
    </xf>
    <xf numFmtId="0" fontId="299" fillId="24" borderId="0" xfId="4" applyFont="1" applyFill="1" applyAlignment="1">
      <alignment horizontal="center" vertical="center"/>
    </xf>
    <xf numFmtId="0" fontId="277" fillId="24" borderId="0" xfId="4" applyFont="1" applyFill="1"/>
    <xf numFmtId="0" fontId="10" fillId="24" borderId="3" xfId="4" applyFont="1" applyFill="1" applyBorder="1" applyAlignment="1">
      <alignment horizontal="center"/>
    </xf>
    <xf numFmtId="0" fontId="10" fillId="24" borderId="0" xfId="4" applyFont="1" applyFill="1" applyAlignment="1">
      <alignment horizontal="center"/>
    </xf>
    <xf numFmtId="0" fontId="300" fillId="24" borderId="0" xfId="4" applyFont="1" applyFill="1" applyAlignment="1">
      <alignment horizontal="left" vertical="center" indent="4"/>
    </xf>
    <xf numFmtId="0" fontId="300" fillId="24" borderId="0" xfId="4" applyFont="1" applyFill="1" applyAlignment="1">
      <alignment horizontal="left" vertical="center"/>
    </xf>
    <xf numFmtId="0" fontId="10" fillId="16" borderId="12" xfId="4" applyFont="1" applyFill="1" applyBorder="1" applyAlignment="1" applyProtection="1">
      <alignment horizontal="center"/>
      <protection locked="0"/>
    </xf>
    <xf numFmtId="0" fontId="277" fillId="24" borderId="0" xfId="4" applyFont="1" applyFill="1" applyAlignment="1">
      <alignment vertical="center"/>
    </xf>
    <xf numFmtId="0" fontId="277" fillId="24" borderId="0" xfId="4" applyFont="1" applyFill="1" applyAlignment="1">
      <alignment horizontal="left" indent="1"/>
    </xf>
    <xf numFmtId="0" fontId="46" fillId="24" borderId="0" xfId="4" applyFont="1" applyFill="1" applyAlignment="1">
      <alignment horizontal="left"/>
    </xf>
    <xf numFmtId="0" fontId="295" fillId="24" borderId="0" xfId="4" applyFont="1" applyFill="1" applyAlignment="1">
      <alignment horizontal="center" vertical="center"/>
    </xf>
    <xf numFmtId="0" fontId="277" fillId="24" borderId="0" xfId="4" quotePrefix="1" applyFont="1" applyFill="1" applyAlignment="1">
      <alignment horizontal="right" vertical="center" indent="1"/>
    </xf>
    <xf numFmtId="0" fontId="277" fillId="24" borderId="0" xfId="4" applyFont="1" applyFill="1" applyAlignment="1">
      <alignment horizontal="left" vertical="center"/>
    </xf>
    <xf numFmtId="0" fontId="277" fillId="24" borderId="0" xfId="4" applyFont="1" applyFill="1" applyAlignment="1">
      <alignment horizontal="left" vertical="center" indent="6"/>
    </xf>
    <xf numFmtId="0" fontId="277" fillId="24" borderId="0" xfId="4" applyFont="1" applyFill="1" applyAlignment="1">
      <alignment horizontal="left" vertical="top"/>
    </xf>
    <xf numFmtId="0" fontId="302" fillId="24" borderId="0" xfId="4" applyFont="1" applyFill="1"/>
    <xf numFmtId="0" fontId="200" fillId="24" borderId="9" xfId="4" applyFont="1" applyFill="1" applyBorder="1"/>
    <xf numFmtId="0" fontId="46" fillId="24" borderId="1" xfId="4" applyFont="1" applyFill="1" applyBorder="1"/>
    <xf numFmtId="0" fontId="46" fillId="24" borderId="11" xfId="4" applyFont="1" applyFill="1" applyBorder="1"/>
    <xf numFmtId="0" fontId="112" fillId="0" borderId="0" xfId="4" applyFont="1" applyAlignment="1">
      <alignment vertical="center"/>
    </xf>
    <xf numFmtId="0" fontId="200" fillId="0" borderId="0" xfId="4" applyFont="1"/>
    <xf numFmtId="0" fontId="3" fillId="0" borderId="0" xfId="0" applyFont="1" applyAlignment="1">
      <alignment horizontal="right" wrapText="1"/>
    </xf>
    <xf numFmtId="37" fontId="3" fillId="27" borderId="110" xfId="0" applyNumberFormat="1" applyFont="1" applyFill="1" applyBorder="1" applyProtection="1">
      <protection hidden="1"/>
    </xf>
    <xf numFmtId="0" fontId="5" fillId="32" borderId="225" xfId="0" applyFont="1" applyFill="1" applyBorder="1" applyProtection="1">
      <protection locked="0"/>
    </xf>
    <xf numFmtId="4" fontId="0" fillId="15" borderId="8" xfId="0" applyNumberFormat="1" applyFill="1" applyBorder="1" applyProtection="1">
      <protection hidden="1"/>
    </xf>
    <xf numFmtId="176" fontId="5" fillId="0" borderId="117" xfId="0" applyNumberFormat="1" applyFont="1" applyBorder="1" applyAlignment="1" applyProtection="1">
      <alignment horizontal="center"/>
      <protection locked="0"/>
    </xf>
    <xf numFmtId="4" fontId="3" fillId="0" borderId="0" xfId="0" applyNumberFormat="1" applyFont="1" applyProtection="1">
      <protection hidden="1"/>
    </xf>
    <xf numFmtId="37" fontId="7" fillId="2" borderId="0" xfId="0" applyNumberFormat="1" applyFont="1" applyFill="1" applyAlignment="1" applyProtection="1">
      <alignment horizontal="center"/>
      <protection hidden="1"/>
    </xf>
    <xf numFmtId="0" fontId="9" fillId="2" borderId="113" xfId="0" applyFont="1" applyFill="1" applyBorder="1" applyAlignment="1" applyProtection="1">
      <alignment horizontal="center"/>
      <protection hidden="1"/>
    </xf>
    <xf numFmtId="37" fontId="0" fillId="27" borderId="12" xfId="0" applyNumberFormat="1" applyFill="1" applyBorder="1" applyProtection="1">
      <protection hidden="1"/>
    </xf>
    <xf numFmtId="0" fontId="200" fillId="2" borderId="0" xfId="0" applyFont="1" applyFill="1" applyAlignment="1" applyProtection="1">
      <alignment horizontal="center"/>
      <protection hidden="1"/>
    </xf>
    <xf numFmtId="0" fontId="168" fillId="5" borderId="0" xfId="0" applyFont="1" applyFill="1" applyAlignment="1" applyProtection="1">
      <alignment horizontal="center"/>
      <protection hidden="1"/>
    </xf>
    <xf numFmtId="5" fontId="168" fillId="5" borderId="0" xfId="0" applyNumberFormat="1" applyFont="1" applyFill="1" applyAlignment="1" applyProtection="1">
      <alignment horizontal="right"/>
      <protection hidden="1"/>
    </xf>
    <xf numFmtId="3" fontId="113" fillId="5" borderId="0" xfId="0" applyNumberFormat="1" applyFont="1" applyFill="1" applyProtection="1">
      <protection hidden="1"/>
    </xf>
    <xf numFmtId="3" fontId="112" fillId="0" borderId="0" xfId="0" applyNumberFormat="1" applyFont="1" applyAlignment="1" applyProtection="1">
      <alignment horizontal="center"/>
      <protection hidden="1"/>
    </xf>
    <xf numFmtId="0" fontId="278" fillId="15" borderId="0" xfId="0" applyFont="1" applyFill="1" applyAlignment="1" applyProtection="1">
      <alignment horizontal="center"/>
      <protection hidden="1"/>
    </xf>
    <xf numFmtId="0" fontId="303" fillId="15" borderId="0" xfId="0" applyFont="1" applyFill="1" applyAlignment="1" applyProtection="1">
      <alignment horizontal="center"/>
      <protection hidden="1"/>
    </xf>
    <xf numFmtId="0" fontId="303" fillId="15" borderId="0" xfId="0" applyFont="1" applyFill="1" applyAlignment="1" applyProtection="1">
      <alignment horizontal="left"/>
      <protection hidden="1"/>
    </xf>
    <xf numFmtId="37" fontId="110" fillId="15" borderId="0" xfId="0" quotePrefix="1" applyNumberFormat="1" applyFont="1" applyFill="1" applyAlignment="1" applyProtection="1">
      <alignment horizontal="right"/>
      <protection hidden="1"/>
    </xf>
    <xf numFmtId="0" fontId="5" fillId="15" borderId="0" xfId="0" applyFont="1" applyFill="1" applyProtection="1">
      <protection locked="0"/>
    </xf>
    <xf numFmtId="37" fontId="5" fillId="27" borderId="226" xfId="0" quotePrefix="1" applyNumberFormat="1" applyFont="1" applyFill="1" applyBorder="1" applyAlignment="1" applyProtection="1">
      <alignment horizontal="right"/>
      <protection hidden="1"/>
    </xf>
    <xf numFmtId="0" fontId="110" fillId="4" borderId="0" xfId="0" applyFont="1" applyFill="1" applyProtection="1">
      <protection locked="0"/>
    </xf>
    <xf numFmtId="0" fontId="109" fillId="15" borderId="24" xfId="0" applyFont="1" applyFill="1" applyBorder="1" applyProtection="1">
      <protection hidden="1"/>
    </xf>
    <xf numFmtId="39" fontId="3" fillId="3" borderId="2" xfId="0" applyNumberFormat="1" applyFont="1" applyFill="1" applyBorder="1" applyAlignment="1" applyProtection="1">
      <alignment horizontal="center" vertical="center"/>
      <protection locked="0"/>
    </xf>
    <xf numFmtId="37" fontId="112" fillId="3" borderId="0" xfId="0" applyNumberFormat="1" applyFont="1" applyFill="1" applyAlignment="1" applyProtection="1">
      <alignment horizontal="center"/>
      <protection hidden="1"/>
    </xf>
    <xf numFmtId="0" fontId="112" fillId="2" borderId="0" xfId="0" applyFont="1" applyFill="1" applyAlignment="1" applyProtection="1">
      <alignment horizontal="left"/>
      <protection hidden="1"/>
    </xf>
    <xf numFmtId="0" fontId="200" fillId="2" borderId="0" xfId="0" applyFont="1" applyFill="1" applyProtection="1">
      <protection hidden="1"/>
    </xf>
    <xf numFmtId="37" fontId="3" fillId="16" borderId="12" xfId="0" applyNumberFormat="1" applyFont="1" applyFill="1" applyBorder="1" applyAlignment="1" applyProtection="1">
      <alignment horizontal="right"/>
      <protection locked="0"/>
    </xf>
    <xf numFmtId="37" fontId="147" fillId="15" borderId="0" xfId="0" applyNumberFormat="1" applyFont="1" applyFill="1"/>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43" fillId="2" borderId="0" xfId="0" applyFont="1" applyFill="1" applyAlignment="1" applyProtection="1">
      <alignment horizontal="left" vertical="center"/>
      <protection hidden="1"/>
    </xf>
    <xf numFmtId="0" fontId="8" fillId="15" borderId="8"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protection hidden="1"/>
    </xf>
    <xf numFmtId="0" fontId="9" fillId="2" borderId="1" xfId="0" applyFont="1" applyFill="1" applyBorder="1" applyAlignment="1" applyProtection="1">
      <alignment horizontal="left" vertical="center" wrapText="1"/>
      <protection hidden="1"/>
    </xf>
    <xf numFmtId="0" fontId="208" fillId="2" borderId="0" xfId="0" applyFont="1" applyFill="1" applyAlignment="1" applyProtection="1">
      <alignment horizontal="center" vertical="center" wrapText="1"/>
      <protection hidden="1"/>
    </xf>
    <xf numFmtId="6" fontId="133" fillId="2" borderId="3" xfId="0" applyNumberFormat="1" applyFont="1" applyFill="1" applyBorder="1" applyAlignment="1" applyProtection="1">
      <alignment horizontal="center"/>
      <protection hidden="1"/>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14" fillId="15" borderId="0" xfId="0" applyFont="1" applyFill="1" applyAlignment="1">
      <alignment horizontal="left" vertical="center"/>
    </xf>
    <xf numFmtId="0" fontId="5" fillId="15" borderId="13" xfId="0" applyFont="1" applyFill="1" applyBorder="1" applyAlignment="1" applyProtection="1">
      <alignment horizontal="left" vertical="center" wrapText="1"/>
      <protection locked="0"/>
    </xf>
    <xf numFmtId="0" fontId="19" fillId="15" borderId="0" xfId="0" applyFont="1" applyFill="1" applyAlignment="1" applyProtection="1">
      <alignment horizontal="left" vertical="center" wrapText="1"/>
      <protection hidden="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0" fontId="207" fillId="0" borderId="0" xfId="0" applyFont="1" applyAlignment="1" applyProtection="1">
      <alignment horizontal="right"/>
      <protection hidden="1"/>
    </xf>
    <xf numFmtId="0" fontId="159" fillId="0" borderId="0" xfId="0" applyFont="1" applyAlignment="1" applyProtection="1">
      <alignment horizontal="right"/>
      <protection hidden="1"/>
    </xf>
    <xf numFmtId="0" fontId="159" fillId="0" borderId="0" xfId="0" applyFont="1" applyAlignment="1" applyProtection="1">
      <alignment horizontal="left"/>
      <protection hidden="1"/>
    </xf>
    <xf numFmtId="3" fontId="129" fillId="24" borderId="0" xfId="0" applyNumberFormat="1" applyFont="1" applyFill="1" applyAlignment="1" applyProtection="1">
      <alignment horizontal="right"/>
      <protection hidden="1"/>
    </xf>
    <xf numFmtId="3" fontId="129" fillId="24" borderId="20" xfId="0" applyNumberFormat="1" applyFont="1" applyFill="1" applyBorder="1" applyAlignment="1" applyProtection="1">
      <alignment horizontal="right"/>
      <protection hidden="1"/>
    </xf>
    <xf numFmtId="3" fontId="129" fillId="24" borderId="5" xfId="0" applyNumberFormat="1" applyFont="1" applyFill="1" applyBorder="1" applyAlignment="1" applyProtection="1">
      <alignment horizontal="right"/>
      <protection hidden="1"/>
    </xf>
    <xf numFmtId="3" fontId="129" fillId="24" borderId="12" xfId="0" applyNumberFormat="1" applyFont="1" applyFill="1" applyBorder="1" applyAlignment="1" applyProtection="1">
      <alignment horizontal="right"/>
      <protection hidden="1"/>
    </xf>
    <xf numFmtId="0" fontId="0" fillId="24" borderId="0" xfId="0" applyFill="1" applyAlignment="1" applyProtection="1">
      <alignment horizontal="right"/>
      <protection hidden="1"/>
    </xf>
    <xf numFmtId="3" fontId="304" fillId="24" borderId="0" xfId="0" applyNumberFormat="1" applyFont="1" applyFill="1" applyAlignment="1" applyProtection="1">
      <alignment horizontal="right"/>
      <protection hidden="1"/>
    </xf>
    <xf numFmtId="3" fontId="304" fillId="24" borderId="20" xfId="0" applyNumberFormat="1" applyFont="1" applyFill="1" applyBorder="1" applyAlignment="1" applyProtection="1">
      <alignment horizontal="right"/>
      <protection hidden="1"/>
    </xf>
    <xf numFmtId="3" fontId="304" fillId="24" borderId="5" xfId="0" applyNumberFormat="1" applyFont="1" applyFill="1" applyBorder="1" applyAlignment="1" applyProtection="1">
      <alignment horizontal="right"/>
      <protection hidden="1"/>
    </xf>
    <xf numFmtId="3" fontId="305" fillId="24" borderId="12" xfId="0" applyNumberFormat="1" applyFont="1" applyFill="1" applyBorder="1" applyAlignment="1" applyProtection="1">
      <alignment horizontal="right"/>
      <protection hidden="1"/>
    </xf>
    <xf numFmtId="0" fontId="207" fillId="24" borderId="0" xfId="0" applyFont="1" applyFill="1" applyAlignment="1" applyProtection="1">
      <alignment horizontal="right"/>
      <protection hidden="1"/>
    </xf>
    <xf numFmtId="3" fontId="305" fillId="24" borderId="0" xfId="0" applyNumberFormat="1" applyFont="1" applyFill="1" applyAlignment="1" applyProtection="1">
      <alignment horizontal="right"/>
      <protection hidden="1"/>
    </xf>
    <xf numFmtId="3" fontId="305" fillId="24" borderId="20" xfId="0" applyNumberFormat="1" applyFont="1" applyFill="1" applyBorder="1" applyAlignment="1" applyProtection="1">
      <alignment horizontal="right"/>
      <protection hidden="1"/>
    </xf>
    <xf numFmtId="3" fontId="305" fillId="24" borderId="5" xfId="0" applyNumberFormat="1" applyFont="1" applyFill="1" applyBorder="1" applyAlignment="1" applyProtection="1">
      <alignment horizontal="right"/>
      <protection hidden="1"/>
    </xf>
    <xf numFmtId="0" fontId="159" fillId="24" borderId="0" xfId="0" applyFont="1" applyFill="1" applyAlignment="1" applyProtection="1">
      <alignment horizontal="right"/>
      <protection hidden="1"/>
    </xf>
    <xf numFmtId="3" fontId="129" fillId="24" borderId="58" xfId="0" applyNumberFormat="1" applyFont="1" applyFill="1" applyBorder="1" applyAlignment="1" applyProtection="1">
      <alignment horizontal="right"/>
      <protection hidden="1"/>
    </xf>
    <xf numFmtId="6" fontId="133" fillId="2" borderId="0" xfId="0" applyNumberFormat="1" applyFont="1" applyFill="1" applyProtection="1">
      <protection hidden="1"/>
    </xf>
    <xf numFmtId="3" fontId="11" fillId="40" borderId="0" xfId="0" applyNumberFormat="1" applyFont="1" applyFill="1" applyProtection="1">
      <protection locked="0"/>
    </xf>
    <xf numFmtId="0" fontId="5" fillId="15" borderId="3" xfId="0" applyFont="1" applyFill="1" applyBorder="1" applyAlignment="1" applyProtection="1">
      <alignment horizontal="left" vertical="center" wrapText="1"/>
      <protection locked="0"/>
    </xf>
    <xf numFmtId="168" fontId="9" fillId="2" borderId="30" xfId="0" applyNumberFormat="1" applyFont="1" applyFill="1" applyBorder="1" applyAlignment="1" applyProtection="1">
      <alignment horizontal="left"/>
      <protection hidden="1"/>
    </xf>
    <xf numFmtId="6" fontId="9" fillId="2" borderId="3" xfId="0" applyNumberFormat="1" applyFont="1" applyFill="1" applyBorder="1" applyAlignment="1" applyProtection="1">
      <alignment horizontal="left"/>
      <protection hidden="1"/>
    </xf>
    <xf numFmtId="6" fontId="133" fillId="2" borderId="3" xfId="0" applyNumberFormat="1" applyFont="1" applyFill="1" applyBorder="1" applyProtection="1">
      <protection hidden="1"/>
    </xf>
    <xf numFmtId="6" fontId="9" fillId="2" borderId="69" xfId="0" applyNumberFormat="1" applyFont="1" applyFill="1" applyBorder="1" applyAlignment="1" applyProtection="1">
      <alignment horizontal="right"/>
      <protection hidden="1"/>
    </xf>
    <xf numFmtId="1" fontId="3" fillId="19" borderId="200" xfId="0" applyNumberFormat="1" applyFont="1" applyFill="1" applyBorder="1" applyAlignment="1" applyProtection="1">
      <alignment horizontal="center" vertical="center"/>
      <protection hidden="1"/>
    </xf>
    <xf numFmtId="37" fontId="3" fillId="15" borderId="7" xfId="0" applyNumberFormat="1" applyFont="1" applyFill="1" applyBorder="1" applyProtection="1">
      <protection hidden="1"/>
    </xf>
    <xf numFmtId="0" fontId="3" fillId="40" borderId="12" xfId="0" applyFont="1" applyFill="1" applyBorder="1" applyAlignment="1" applyProtection="1">
      <alignment horizontal="center"/>
      <protection hidden="1"/>
    </xf>
    <xf numFmtId="37" fontId="14" fillId="14" borderId="9" xfId="0" quotePrefix="1" applyNumberFormat="1" applyFont="1" applyFill="1" applyBorder="1" applyAlignment="1" applyProtection="1">
      <alignment horizontal="center"/>
      <protection hidden="1"/>
    </xf>
    <xf numFmtId="37" fontId="14" fillId="14" borderId="11" xfId="0" quotePrefix="1" applyNumberFormat="1" applyFont="1" applyFill="1" applyBorder="1" applyProtection="1">
      <protection hidden="1"/>
    </xf>
    <xf numFmtId="0" fontId="10" fillId="15" borderId="1" xfId="0" quotePrefix="1" applyFont="1" applyFill="1" applyBorder="1" applyAlignment="1" applyProtection="1">
      <alignment horizontal="right" indent="1"/>
      <protection hidden="1"/>
    </xf>
    <xf numFmtId="0" fontId="10" fillId="15" borderId="1" xfId="0" quotePrefix="1" applyFont="1" applyFill="1" applyBorder="1" applyAlignment="1" applyProtection="1">
      <alignment horizontal="center"/>
      <protection hidden="1"/>
    </xf>
    <xf numFmtId="0" fontId="46" fillId="15" borderId="1" xfId="0" applyFont="1" applyFill="1" applyBorder="1" applyAlignment="1" applyProtection="1">
      <alignment horizontal="right" indent="1"/>
      <protection hidden="1"/>
    </xf>
    <xf numFmtId="0" fontId="10" fillId="15" borderId="4" xfId="0" quotePrefix="1" applyFont="1" applyFill="1" applyBorder="1" applyAlignment="1" applyProtection="1">
      <alignment horizontal="center"/>
      <protection hidden="1"/>
    </xf>
    <xf numFmtId="0" fontId="19" fillId="15" borderId="27" xfId="0" applyFont="1" applyFill="1" applyBorder="1" applyAlignment="1" applyProtection="1">
      <alignment vertical="center"/>
      <protection hidden="1"/>
    </xf>
    <xf numFmtId="0" fontId="10" fillId="15" borderId="4" xfId="0" quotePrefix="1" applyFont="1" applyFill="1" applyBorder="1" applyProtection="1">
      <protection hidden="1"/>
    </xf>
    <xf numFmtId="0" fontId="3" fillId="0" borderId="0" xfId="0" applyFont="1" applyAlignment="1" applyProtection="1">
      <alignment vertical="center"/>
      <protection hidden="1"/>
    </xf>
    <xf numFmtId="4" fontId="3" fillId="2" borderId="0" xfId="0" applyNumberFormat="1" applyFont="1" applyFill="1" applyAlignment="1" applyProtection="1">
      <alignment horizontal="left" indent="1"/>
      <protection hidden="1"/>
    </xf>
    <xf numFmtId="0" fontId="3" fillId="3" borderId="0" xfId="0" applyFont="1" applyFill="1" applyAlignment="1" applyProtection="1">
      <alignment horizontal="center" vertic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9" fontId="7" fillId="3"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0" fontId="3" fillId="3" borderId="1" xfId="0" applyFont="1" applyFill="1" applyBorder="1" applyAlignment="1" applyProtection="1">
      <alignment horizontal="left"/>
      <protection hidden="1"/>
    </xf>
    <xf numFmtId="0" fontId="7" fillId="3" borderId="0" xfId="0" applyFont="1" applyFill="1" applyAlignment="1" applyProtection="1">
      <alignment horizontal="center"/>
      <protection hidden="1"/>
    </xf>
    <xf numFmtId="0" fontId="5" fillId="15" borderId="5"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5" fillId="14" borderId="0" xfId="0" applyFont="1" applyFill="1" applyAlignment="1" applyProtection="1">
      <alignment horizontal="left"/>
      <protection hidden="1"/>
    </xf>
    <xf numFmtId="0" fontId="3" fillId="2" borderId="0" xfId="0" applyFont="1" applyFill="1" applyAlignment="1" applyProtection="1">
      <alignment horizontal="left" wrapText="1"/>
      <protection hidden="1"/>
    </xf>
    <xf numFmtId="1" fontId="11" fillId="3" borderId="0" xfId="0" applyNumberFormat="1" applyFont="1" applyFill="1" applyAlignment="1" applyProtection="1">
      <alignment horizontal="center"/>
      <protection hidden="1"/>
    </xf>
    <xf numFmtId="0" fontId="3" fillId="2" borderId="45" xfId="0" applyFont="1" applyFill="1" applyBorder="1" applyAlignment="1" applyProtection="1">
      <alignment horizontal="left" vertical="center"/>
      <protection hidden="1"/>
    </xf>
    <xf numFmtId="189" fontId="3" fillId="2" borderId="45" xfId="0" applyNumberFormat="1" applyFont="1" applyFill="1" applyBorder="1" applyAlignment="1" applyProtection="1">
      <alignment horizontal="center"/>
      <protection hidden="1"/>
    </xf>
    <xf numFmtId="171" fontId="3" fillId="2" borderId="45" xfId="0" applyNumberFormat="1" applyFont="1" applyFill="1" applyBorder="1" applyAlignment="1" applyProtection="1">
      <alignment horizontal="center"/>
      <protection hidden="1"/>
    </xf>
    <xf numFmtId="0" fontId="3" fillId="2" borderId="25"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37" fontId="5" fillId="27" borderId="85" xfId="0" applyNumberFormat="1" applyFont="1" applyFill="1" applyBorder="1" applyProtection="1">
      <protection hidden="1"/>
    </xf>
    <xf numFmtId="1" fontId="50" fillId="0" borderId="0" xfId="0" applyNumberFormat="1" applyFont="1" applyProtection="1">
      <protection hidden="1"/>
    </xf>
    <xf numFmtId="4" fontId="5" fillId="0" borderId="0" xfId="0" applyNumberFormat="1" applyFont="1" applyProtection="1">
      <protection hidden="1"/>
    </xf>
    <xf numFmtId="37" fontId="5" fillId="27" borderId="113" xfId="0" applyNumberFormat="1" applyFont="1" applyFill="1" applyBorder="1" applyProtection="1">
      <protection hidden="1"/>
    </xf>
    <xf numFmtId="39" fontId="5" fillId="27" borderId="113" xfId="0" applyNumberFormat="1" applyFont="1" applyFill="1" applyBorder="1" applyProtection="1">
      <protection hidden="1"/>
    </xf>
    <xf numFmtId="49" fontId="3" fillId="0" borderId="0" xfId="0" applyNumberFormat="1" applyFont="1" applyAlignment="1" applyProtection="1">
      <alignment horizontal="center"/>
      <protection locked="0"/>
    </xf>
    <xf numFmtId="0" fontId="50" fillId="0" borderId="0" xfId="0" applyFont="1" applyAlignment="1" applyProtection="1">
      <alignment horizontal="center"/>
      <protection hidden="1"/>
    </xf>
    <xf numFmtId="1" fontId="3" fillId="0" borderId="0" xfId="0" applyNumberFormat="1" applyFont="1" applyAlignment="1" applyProtection="1">
      <alignment horizontal="center"/>
      <protection hidden="1"/>
    </xf>
    <xf numFmtId="0" fontId="3" fillId="2" borderId="8" xfId="0" applyFont="1" applyFill="1" applyBorder="1" applyAlignment="1" applyProtection="1">
      <alignment horizontal="center"/>
      <protection hidden="1"/>
    </xf>
    <xf numFmtId="0" fontId="3" fillId="2" borderId="137" xfId="0" applyFont="1" applyFill="1" applyBorder="1" applyAlignment="1" applyProtection="1">
      <alignment horizontal="left" vertical="center"/>
      <protection hidden="1"/>
    </xf>
    <xf numFmtId="1" fontId="3" fillId="0" borderId="0" xfId="0" applyNumberFormat="1" applyFont="1" applyProtection="1">
      <protection hidden="1"/>
    </xf>
    <xf numFmtId="4" fontId="50" fillId="0" borderId="0" xfId="0" applyNumberFormat="1" applyFont="1" applyProtection="1">
      <protection hidden="1"/>
    </xf>
    <xf numFmtId="0" fontId="3" fillId="2" borderId="1" xfId="0" applyFont="1" applyFill="1" applyBorder="1" applyAlignment="1" applyProtection="1">
      <alignment horizontal="left"/>
      <protection hidden="1"/>
    </xf>
    <xf numFmtId="4" fontId="5" fillId="15" borderId="8" xfId="0" applyNumberFormat="1" applyFont="1" applyFill="1" applyBorder="1" applyProtection="1">
      <protection hidden="1"/>
    </xf>
    <xf numFmtId="0" fontId="3" fillId="2" borderId="45" xfId="0" applyFont="1" applyFill="1" applyBorder="1" applyAlignment="1" applyProtection="1">
      <alignment horizontal="left" vertical="center" wrapText="1"/>
      <protection hidden="1"/>
    </xf>
    <xf numFmtId="0" fontId="3" fillId="2" borderId="45" xfId="0" applyFont="1" applyFill="1" applyBorder="1" applyAlignment="1" applyProtection="1">
      <alignment horizontal="center" vertical="center" wrapText="1"/>
      <protection hidden="1"/>
    </xf>
    <xf numFmtId="0" fontId="3" fillId="2" borderId="8" xfId="0" applyFont="1" applyFill="1" applyBorder="1" applyAlignment="1" applyProtection="1">
      <alignment horizontal="center" vertical="center" wrapText="1"/>
      <protection hidden="1"/>
    </xf>
    <xf numFmtId="0" fontId="10" fillId="2" borderId="0" xfId="0" applyFont="1" applyFill="1" applyAlignment="1" applyProtection="1">
      <alignment horizontal="center" wrapText="1"/>
      <protection locked="0"/>
    </xf>
    <xf numFmtId="4" fontId="3" fillId="2" borderId="0" xfId="0" applyNumberFormat="1" applyFont="1" applyFill="1" applyAlignment="1" applyProtection="1">
      <alignment horizontal="center"/>
      <protection hidden="1"/>
    </xf>
    <xf numFmtId="4" fontId="5" fillId="2" borderId="5" xfId="0" applyNumberFormat="1" applyFont="1" applyFill="1" applyBorder="1" applyAlignment="1" applyProtection="1">
      <alignment horizontal="right"/>
      <protection hidden="1"/>
    </xf>
    <xf numFmtId="4" fontId="5" fillId="2" borderId="5" xfId="0" applyNumberFormat="1" applyFont="1" applyFill="1" applyBorder="1" applyAlignment="1" applyProtection="1">
      <alignment horizontal="center"/>
      <protection hidden="1"/>
    </xf>
    <xf numFmtId="171" fontId="5" fillId="2" borderId="5" xfId="0" applyNumberFormat="1" applyFont="1" applyFill="1" applyBorder="1" applyAlignment="1" applyProtection="1">
      <alignment horizontal="right"/>
      <protection hidden="1"/>
    </xf>
    <xf numFmtId="0" fontId="3" fillId="2" borderId="137" xfId="0" applyFont="1" applyFill="1" applyBorder="1" applyAlignment="1" applyProtection="1">
      <alignment horizontal="left" vertical="center" wrapText="1"/>
      <protection hidden="1"/>
    </xf>
    <xf numFmtId="0" fontId="3" fillId="2" borderId="137"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4" fontId="3" fillId="27" borderId="150" xfId="0" applyNumberFormat="1" applyFont="1" applyFill="1" applyBorder="1" applyAlignment="1" applyProtection="1">
      <alignment horizontal="center"/>
      <protection hidden="1"/>
    </xf>
    <xf numFmtId="37" fontId="5" fillId="27" borderId="48" xfId="0" applyNumberFormat="1" applyFont="1" applyFill="1" applyBorder="1" applyProtection="1">
      <protection hidden="1"/>
    </xf>
    <xf numFmtId="37" fontId="5" fillId="27" borderId="49" xfId="0" applyNumberFormat="1" applyFont="1" applyFill="1" applyBorder="1" applyProtection="1">
      <protection hidden="1"/>
    </xf>
    <xf numFmtId="37" fontId="5" fillId="2" borderId="53" xfId="0" applyNumberFormat="1" applyFont="1" applyFill="1" applyBorder="1" applyAlignment="1" applyProtection="1">
      <alignment horizontal="right"/>
      <protection hidden="1"/>
    </xf>
    <xf numFmtId="37" fontId="5" fillId="27" borderId="49" xfId="0" applyNumberFormat="1" applyFont="1" applyFill="1" applyBorder="1" applyAlignment="1" applyProtection="1">
      <alignment horizontal="center"/>
      <protection hidden="1"/>
    </xf>
    <xf numFmtId="0" fontId="3" fillId="15" borderId="137" xfId="0" applyFont="1" applyFill="1" applyBorder="1" applyAlignment="1" applyProtection="1">
      <alignment horizontal="left" vertical="center" wrapText="1"/>
      <protection hidden="1"/>
    </xf>
    <xf numFmtId="0" fontId="3" fillId="15" borderId="137" xfId="0" applyFont="1" applyFill="1" applyBorder="1" applyAlignment="1" applyProtection="1">
      <alignment horizontal="center" vertical="center" wrapText="1"/>
      <protection hidden="1"/>
    </xf>
    <xf numFmtId="4" fontId="3" fillId="2" borderId="81" xfId="0" applyNumberFormat="1" applyFont="1" applyFill="1" applyBorder="1" applyAlignment="1" applyProtection="1">
      <alignment horizontal="center"/>
      <protection hidden="1"/>
    </xf>
    <xf numFmtId="4" fontId="5" fillId="2" borderId="0" xfId="0" applyNumberFormat="1" applyFont="1" applyFill="1" applyAlignment="1" applyProtection="1">
      <alignment horizontal="right" vertical="top"/>
      <protection hidden="1"/>
    </xf>
    <xf numFmtId="4" fontId="5" fillId="2" borderId="0" xfId="0" applyNumberFormat="1" applyFont="1" applyFill="1" applyAlignment="1" applyProtection="1">
      <alignment vertical="top"/>
      <protection hidden="1"/>
    </xf>
    <xf numFmtId="0" fontId="3" fillId="0" borderId="0" xfId="0" applyFont="1" applyAlignment="1" applyProtection="1">
      <alignment vertical="top"/>
      <protection hidden="1"/>
    </xf>
    <xf numFmtId="0" fontId="3" fillId="2" borderId="124" xfId="0" applyFont="1" applyFill="1" applyBorder="1" applyAlignment="1" applyProtection="1">
      <alignment horizontal="left" wrapText="1"/>
      <protection hidden="1"/>
    </xf>
    <xf numFmtId="0" fontId="3" fillId="2" borderId="124" xfId="0" applyFont="1" applyFill="1" applyBorder="1" applyAlignment="1" applyProtection="1">
      <alignment horizontal="center" wrapText="1"/>
      <protection hidden="1"/>
    </xf>
    <xf numFmtId="2" fontId="3" fillId="2" borderId="59" xfId="0" applyNumberFormat="1" applyFont="1" applyFill="1" applyBorder="1" applyAlignment="1" applyProtection="1">
      <alignment horizontal="center"/>
      <protection hidden="1"/>
    </xf>
    <xf numFmtId="2" fontId="3" fillId="2" borderId="2" xfId="0" applyNumberFormat="1" applyFont="1" applyFill="1" applyBorder="1" applyAlignment="1" applyProtection="1">
      <alignment horizontal="center"/>
      <protection hidden="1"/>
    </xf>
    <xf numFmtId="3" fontId="3" fillId="2" borderId="48" xfId="0" applyNumberFormat="1" applyFont="1" applyFill="1" applyBorder="1" applyProtection="1">
      <protection hidden="1"/>
    </xf>
    <xf numFmtId="1" fontId="3" fillId="2" borderId="0" xfId="0" applyNumberFormat="1" applyFont="1" applyFill="1" applyProtection="1">
      <protection hidden="1"/>
    </xf>
    <xf numFmtId="3" fontId="3" fillId="2" borderId="49" xfId="0" applyNumberFormat="1" applyFont="1" applyFill="1" applyBorder="1" applyProtection="1">
      <protection hidden="1"/>
    </xf>
    <xf numFmtId="0" fontId="3" fillId="2" borderId="4" xfId="0" applyFont="1" applyFill="1" applyBorder="1" applyAlignment="1" applyProtection="1">
      <alignment horizontal="right" wrapText="1"/>
      <protection hidden="1"/>
    </xf>
    <xf numFmtId="0" fontId="3" fillId="2" borderId="4" xfId="0" applyFont="1" applyFill="1" applyBorder="1" applyAlignment="1" applyProtection="1">
      <alignment horizontal="center" wrapText="1"/>
      <protection hidden="1"/>
    </xf>
    <xf numFmtId="0" fontId="5" fillId="2" borderId="40" xfId="0" applyFont="1" applyFill="1" applyBorder="1" applyProtection="1">
      <protection hidden="1"/>
    </xf>
    <xf numFmtId="0" fontId="5" fillId="2" borderId="41" xfId="0" applyFont="1" applyFill="1" applyBorder="1" applyProtection="1">
      <protection hidden="1"/>
    </xf>
    <xf numFmtId="4" fontId="5" fillId="32" borderId="49" xfId="0" applyNumberFormat="1" applyFont="1" applyFill="1" applyBorder="1" applyAlignment="1" applyProtection="1">
      <alignment horizontal="right"/>
      <protection locked="0"/>
    </xf>
    <xf numFmtId="4" fontId="5" fillId="27" borderId="49" xfId="0" applyNumberFormat="1" applyFont="1" applyFill="1" applyBorder="1" applyAlignment="1" applyProtection="1">
      <alignment horizontal="right"/>
      <protection hidden="1"/>
    </xf>
    <xf numFmtId="4" fontId="5" fillId="32" borderId="53" xfId="0" applyNumberFormat="1" applyFont="1" applyFill="1" applyBorder="1" applyAlignment="1" applyProtection="1">
      <alignment horizontal="right"/>
      <protection locked="0"/>
    </xf>
    <xf numFmtId="0" fontId="3" fillId="2" borderId="0" xfId="0" applyFont="1" applyFill="1" applyAlignment="1" applyProtection="1">
      <alignment horizontal="right" wrapText="1"/>
      <protection hidden="1"/>
    </xf>
    <xf numFmtId="0" fontId="10" fillId="2" borderId="4" xfId="0" applyFont="1" applyFill="1" applyBorder="1" applyAlignment="1" applyProtection="1">
      <alignment horizontal="right"/>
      <protection hidden="1"/>
    </xf>
    <xf numFmtId="0" fontId="3" fillId="2" borderId="5" xfId="0" applyFont="1" applyFill="1" applyBorder="1" applyAlignment="1" applyProtection="1">
      <alignment horizontal="right" vertical="top"/>
      <protection hidden="1"/>
    </xf>
    <xf numFmtId="0" fontId="3" fillId="2" borderId="0" xfId="0" applyFont="1" applyFill="1" applyAlignment="1" applyProtection="1">
      <alignment wrapText="1"/>
      <protection hidden="1"/>
    </xf>
    <xf numFmtId="0" fontId="3" fillId="2" borderId="5" xfId="0" applyFont="1" applyFill="1" applyBorder="1" applyAlignment="1" applyProtection="1">
      <alignment horizontal="right" vertical="center"/>
      <protection hidden="1"/>
    </xf>
    <xf numFmtId="0" fontId="11" fillId="2" borderId="0" xfId="0" applyFont="1" applyFill="1" applyAlignment="1">
      <alignment horizontal="center" wrapText="1"/>
    </xf>
    <xf numFmtId="0" fontId="11" fillId="2" borderId="8" xfId="0" applyFont="1" applyFill="1" applyBorder="1" applyAlignment="1">
      <alignment horizontal="center" wrapText="1"/>
    </xf>
    <xf numFmtId="0" fontId="11" fillId="2" borderId="0" xfId="0" applyFont="1" applyFill="1" applyAlignment="1" applyProtection="1">
      <alignment horizontal="center" vertical="center" wrapText="1"/>
      <protection hidden="1"/>
    </xf>
    <xf numFmtId="0" fontId="9" fillId="15" borderId="20" xfId="0" applyFont="1" applyFill="1" applyBorder="1" applyProtection="1">
      <protection hidden="1"/>
    </xf>
    <xf numFmtId="0" fontId="11" fillId="40" borderId="0" xfId="0" applyFont="1" applyFill="1" applyProtection="1">
      <protection hidden="1"/>
    </xf>
    <xf numFmtId="0" fontId="3" fillId="8" borderId="0" xfId="0" applyFont="1" applyFill="1" applyProtection="1">
      <protection hidden="1"/>
    </xf>
    <xf numFmtId="0" fontId="11" fillId="40" borderId="0" xfId="0" applyFont="1" applyFill="1" applyProtection="1">
      <protection locked="0"/>
    </xf>
    <xf numFmtId="0" fontId="5" fillId="15" borderId="29" xfId="0" applyFont="1" applyFill="1" applyBorder="1" applyAlignment="1" applyProtection="1">
      <alignment horizontal="center" vertical="center"/>
      <protection hidden="1"/>
    </xf>
    <xf numFmtId="0" fontId="5" fillId="15" borderId="80" xfId="0" applyFont="1" applyFill="1" applyBorder="1" applyAlignment="1" applyProtection="1">
      <alignment horizontal="center"/>
      <protection hidden="1"/>
    </xf>
    <xf numFmtId="3" fontId="5" fillId="15" borderId="0" xfId="0" applyNumberFormat="1" applyFont="1" applyFill="1" applyAlignment="1" applyProtection="1">
      <alignment horizontal="center"/>
      <protection hidden="1"/>
    </xf>
    <xf numFmtId="3" fontId="5" fillId="15" borderId="20" xfId="0" applyNumberFormat="1" applyFont="1" applyFill="1" applyBorder="1" applyAlignment="1" applyProtection="1">
      <alignment horizontal="center" vertical="center"/>
      <protection hidden="1"/>
    </xf>
    <xf numFmtId="0" fontId="5" fillId="15" borderId="11" xfId="0" applyFont="1" applyFill="1" applyBorder="1" applyProtection="1">
      <protection hidden="1"/>
    </xf>
    <xf numFmtId="3" fontId="5" fillId="15" borderId="4" xfId="0" applyNumberFormat="1" applyFont="1" applyFill="1" applyBorder="1" applyAlignment="1" applyProtection="1">
      <alignment horizontal="center"/>
      <protection hidden="1"/>
    </xf>
    <xf numFmtId="0" fontId="11" fillId="40" borderId="0" xfId="0" applyFont="1" applyFill="1" applyAlignment="1" applyProtection="1">
      <alignment horizontal="left" vertical="center"/>
      <protection hidden="1"/>
    </xf>
    <xf numFmtId="1" fontId="9" fillId="40" borderId="0" xfId="0" applyNumberFormat="1" applyFont="1" applyFill="1" applyAlignment="1" applyProtection="1">
      <alignment horizontal="center" vertical="center"/>
      <protection hidden="1"/>
    </xf>
    <xf numFmtId="0" fontId="3" fillId="40" borderId="200" xfId="0" applyFont="1" applyFill="1" applyBorder="1" applyAlignment="1" applyProtection="1">
      <alignment horizontal="right"/>
      <protection hidden="1"/>
    </xf>
    <xf numFmtId="0" fontId="3" fillId="40" borderId="0" xfId="0" applyFont="1" applyFill="1" applyAlignment="1" applyProtection="1">
      <alignment horizontal="center"/>
      <protection hidden="1"/>
    </xf>
    <xf numFmtId="0" fontId="11" fillId="40" borderId="8" xfId="0" applyFont="1" applyFill="1" applyBorder="1" applyProtection="1">
      <protection hidden="1"/>
    </xf>
    <xf numFmtId="37" fontId="8" fillId="19" borderId="4" xfId="0" applyNumberFormat="1" applyFont="1" applyFill="1" applyBorder="1" applyProtection="1">
      <protection hidden="1"/>
    </xf>
    <xf numFmtId="164" fontId="3" fillId="2" borderId="23" xfId="0" applyNumberFormat="1" applyFont="1" applyFill="1" applyBorder="1" applyProtection="1">
      <protection hidden="1"/>
    </xf>
    <xf numFmtId="164" fontId="3" fillId="2" borderId="7" xfId="0" applyNumberFormat="1" applyFont="1" applyFill="1" applyBorder="1" applyAlignment="1" applyProtection="1">
      <alignment vertical="top"/>
      <protection hidden="1"/>
    </xf>
    <xf numFmtId="164" fontId="3" fillId="2" borderId="26" xfId="0" applyNumberFormat="1" applyFont="1" applyFill="1" applyBorder="1" applyProtection="1">
      <protection hidden="1"/>
    </xf>
    <xf numFmtId="164" fontId="3" fillId="2" borderId="1" xfId="0" applyNumberFormat="1" applyFont="1" applyFill="1" applyBorder="1" applyAlignment="1" applyProtection="1">
      <alignment vertical="top"/>
      <protection hidden="1"/>
    </xf>
    <xf numFmtId="164" fontId="3" fillId="2" borderId="5" xfId="0" applyNumberFormat="1" applyFont="1" applyFill="1" applyBorder="1" applyProtection="1">
      <protection hidden="1"/>
    </xf>
    <xf numFmtId="164" fontId="3" fillId="2" borderId="0" xfId="0" quotePrefix="1" applyNumberFormat="1" applyFont="1" applyFill="1" applyProtection="1">
      <protection hidden="1"/>
    </xf>
    <xf numFmtId="164" fontId="3" fillId="2" borderId="5" xfId="0" applyNumberFormat="1" applyFont="1" applyFill="1" applyBorder="1" applyAlignment="1" applyProtection="1">
      <alignment vertical="top"/>
      <protection hidden="1"/>
    </xf>
    <xf numFmtId="164" fontId="3" fillId="2" borderId="5" xfId="0" applyNumberFormat="1" applyFont="1" applyFill="1" applyBorder="1" applyAlignment="1" applyProtection="1">
      <alignment horizontal="right" vertical="top"/>
      <protection hidden="1"/>
    </xf>
    <xf numFmtId="37" fontId="3" fillId="2" borderId="5" xfId="0" applyNumberFormat="1" applyFont="1" applyFill="1" applyBorder="1" applyAlignment="1" applyProtection="1">
      <alignment vertical="top"/>
      <protection hidden="1"/>
    </xf>
    <xf numFmtId="37" fontId="3" fillId="2" borderId="0" xfId="0" applyNumberFormat="1" applyFont="1" applyFill="1" applyProtection="1">
      <protection hidden="1"/>
    </xf>
    <xf numFmtId="0" fontId="3" fillId="2" borderId="8" xfId="0" applyFont="1" applyFill="1" applyBorder="1" applyProtection="1">
      <protection hidden="1"/>
    </xf>
    <xf numFmtId="164" fontId="3" fillId="12" borderId="0" xfId="0" applyNumberFormat="1" applyFont="1" applyFill="1" applyProtection="1">
      <protection locked="0" hidden="1"/>
    </xf>
    <xf numFmtId="40" fontId="10" fillId="12" borderId="0" xfId="0" applyNumberFormat="1" applyFont="1" applyFill="1" applyAlignment="1" applyProtection="1">
      <alignment horizontal="right"/>
      <protection locked="0" hidden="1"/>
    </xf>
    <xf numFmtId="164" fontId="5" fillId="2" borderId="0" xfId="0" applyNumberFormat="1" applyFont="1" applyFill="1" applyAlignment="1" applyProtection="1">
      <alignment horizontal="left" vertical="top"/>
      <protection locked="0" hidden="1"/>
    </xf>
    <xf numFmtId="164" fontId="3" fillId="2" borderId="0" xfId="0" applyNumberFormat="1" applyFont="1" applyFill="1" applyAlignment="1" applyProtection="1">
      <alignment horizontal="centerContinuous" vertical="center"/>
      <protection hidden="1"/>
    </xf>
    <xf numFmtId="164" fontId="3" fillId="2" borderId="0" xfId="0" applyNumberFormat="1" applyFont="1" applyFill="1" applyAlignment="1" applyProtection="1">
      <alignment horizontal="center" vertical="center"/>
      <protection hidden="1"/>
    </xf>
    <xf numFmtId="164" fontId="3" fillId="2" borderId="5" xfId="0" applyNumberFormat="1" applyFont="1" applyFill="1" applyBorder="1" applyAlignment="1" applyProtection="1">
      <alignment horizontal="center"/>
      <protection hidden="1"/>
    </xf>
    <xf numFmtId="164" fontId="3" fillId="27" borderId="2" xfId="0" applyNumberFormat="1" applyFont="1" applyFill="1" applyBorder="1" applyAlignment="1" applyProtection="1">
      <alignment horizontal="center" vertical="center"/>
      <protection hidden="1"/>
    </xf>
    <xf numFmtId="164" fontId="3" fillId="2" borderId="0" xfId="0" applyNumberFormat="1" applyFont="1" applyFill="1" applyAlignment="1" applyProtection="1">
      <alignment horizontal="center"/>
      <protection locked="0"/>
    </xf>
    <xf numFmtId="164" fontId="3" fillId="2" borderId="0" xfId="0" applyNumberFormat="1" applyFont="1" applyFill="1" applyAlignment="1" applyProtection="1">
      <alignment horizontal="center"/>
      <protection hidden="1"/>
    </xf>
    <xf numFmtId="164" fontId="3" fillId="2" borderId="0" xfId="0" applyNumberFormat="1" applyFont="1" applyFill="1" applyAlignment="1" applyProtection="1">
      <alignment vertical="top"/>
      <protection hidden="1"/>
    </xf>
    <xf numFmtId="0" fontId="3" fillId="2" borderId="20" xfId="0" applyFont="1" applyFill="1" applyBorder="1" applyAlignment="1" applyProtection="1">
      <alignment horizontal="center"/>
      <protection hidden="1"/>
    </xf>
    <xf numFmtId="164" fontId="5" fillId="2" borderId="5" xfId="0" applyNumberFormat="1" applyFont="1" applyFill="1" applyBorder="1" applyAlignment="1" applyProtection="1">
      <alignment horizontal="center"/>
      <protection hidden="1"/>
    </xf>
    <xf numFmtId="164" fontId="5" fillId="2" borderId="0" xfId="0" applyNumberFormat="1" applyFont="1" applyFill="1" applyProtection="1">
      <protection hidden="1"/>
    </xf>
    <xf numFmtId="40" fontId="5" fillId="2" borderId="20" xfId="0" applyNumberFormat="1" applyFont="1" applyFill="1" applyBorder="1" applyProtection="1">
      <protection hidden="1"/>
    </xf>
    <xf numFmtId="40" fontId="5" fillId="5" borderId="0" xfId="0" applyNumberFormat="1" applyFont="1" applyFill="1" applyProtection="1">
      <protection hidden="1"/>
    </xf>
    <xf numFmtId="0" fontId="5" fillId="2" borderId="0" xfId="0" applyFont="1" applyFill="1"/>
    <xf numFmtId="164" fontId="3" fillId="2" borderId="21" xfId="0" applyNumberFormat="1" applyFont="1" applyFill="1" applyBorder="1" applyAlignment="1" applyProtection="1">
      <alignment horizontal="center"/>
      <protection hidden="1"/>
    </xf>
    <xf numFmtId="164" fontId="50" fillId="2" borderId="4" xfId="0" applyNumberFormat="1" applyFont="1" applyFill="1" applyBorder="1" applyProtection="1">
      <protection hidden="1"/>
    </xf>
    <xf numFmtId="164" fontId="50" fillId="2" borderId="4" xfId="0" applyNumberFormat="1" applyFont="1" applyFill="1" applyBorder="1" applyAlignment="1" applyProtection="1">
      <alignment horizontal="right"/>
      <protection hidden="1"/>
    </xf>
    <xf numFmtId="3" fontId="50" fillId="2" borderId="4" xfId="0" applyNumberFormat="1" applyFont="1" applyFill="1" applyBorder="1" applyProtection="1">
      <protection hidden="1"/>
    </xf>
    <xf numFmtId="164" fontId="3" fillId="13" borderId="5" xfId="0" applyNumberFormat="1" applyFont="1" applyFill="1" applyBorder="1" applyAlignment="1" applyProtection="1">
      <alignment horizontal="center"/>
      <protection hidden="1"/>
    </xf>
    <xf numFmtId="0" fontId="5" fillId="13" borderId="0" xfId="0" applyFont="1" applyFill="1" applyProtection="1">
      <protection hidden="1"/>
    </xf>
    <xf numFmtId="164" fontId="50" fillId="13" borderId="0" xfId="0" applyNumberFormat="1" applyFont="1" applyFill="1" applyProtection="1">
      <protection hidden="1"/>
    </xf>
    <xf numFmtId="164" fontId="50" fillId="13" borderId="0" xfId="0" applyNumberFormat="1" applyFont="1" applyFill="1" applyAlignment="1" applyProtection="1">
      <alignment horizontal="right"/>
      <protection hidden="1"/>
    </xf>
    <xf numFmtId="3" fontId="50" fillId="13" borderId="0" xfId="0" applyNumberFormat="1" applyFont="1" applyFill="1" applyProtection="1">
      <protection hidden="1"/>
    </xf>
    <xf numFmtId="164" fontId="50" fillId="2" borderId="0" xfId="0" applyNumberFormat="1" applyFont="1" applyFill="1" applyProtection="1">
      <protection hidden="1"/>
    </xf>
    <xf numFmtId="164" fontId="50" fillId="2" borderId="0" xfId="0" applyNumberFormat="1" applyFont="1" applyFill="1" applyAlignment="1" applyProtection="1">
      <alignment horizontal="right"/>
      <protection hidden="1"/>
    </xf>
    <xf numFmtId="0" fontId="3" fillId="5" borderId="0" xfId="0" quotePrefix="1" applyFont="1" applyFill="1" applyAlignment="1" applyProtection="1">
      <alignment horizontal="center"/>
      <protection hidden="1"/>
    </xf>
    <xf numFmtId="0" fontId="3" fillId="5" borderId="0" xfId="0" applyFont="1" applyFill="1" applyAlignment="1">
      <alignment horizontal="center"/>
    </xf>
    <xf numFmtId="1" fontId="3" fillId="2" borderId="0" xfId="0" applyNumberFormat="1" applyFont="1" applyFill="1" applyAlignment="1" applyProtection="1">
      <alignment horizontal="right"/>
      <protection hidden="1"/>
    </xf>
    <xf numFmtId="164" fontId="3" fillId="2" borderId="7" xfId="0" applyNumberFormat="1" applyFont="1" applyFill="1" applyBorder="1" applyProtection="1">
      <protection hidden="1"/>
    </xf>
    <xf numFmtId="40" fontId="5" fillId="2" borderId="0" xfId="0" applyNumberFormat="1" applyFont="1" applyFill="1" applyAlignment="1" applyProtection="1">
      <alignment horizontal="center"/>
      <protection hidden="1"/>
    </xf>
    <xf numFmtId="1" fontId="50" fillId="2" borderId="0" xfId="0" applyNumberFormat="1" applyFont="1" applyFill="1" applyProtection="1">
      <protection hidden="1"/>
    </xf>
    <xf numFmtId="164" fontId="3" fillId="2" borderId="4" xfId="0" applyNumberFormat="1" applyFont="1" applyFill="1" applyBorder="1" applyAlignment="1" applyProtection="1">
      <alignment vertical="top"/>
      <protection hidden="1"/>
    </xf>
    <xf numFmtId="164" fontId="3" fillId="2" borderId="4" xfId="0" applyNumberFormat="1" applyFont="1" applyFill="1" applyBorder="1" applyProtection="1">
      <protection hidden="1"/>
    </xf>
    <xf numFmtId="40" fontId="50" fillId="2" borderId="0" xfId="0" applyNumberFormat="1" applyFont="1" applyFill="1" applyProtection="1">
      <protection hidden="1"/>
    </xf>
    <xf numFmtId="40" fontId="50" fillId="2" borderId="20" xfId="0" applyNumberFormat="1" applyFont="1" applyFill="1" applyBorder="1" applyProtection="1">
      <protection hidden="1"/>
    </xf>
    <xf numFmtId="40" fontId="50" fillId="5" borderId="0" xfId="0" applyNumberFormat="1" applyFont="1" applyFill="1" applyProtection="1">
      <protection hidden="1"/>
    </xf>
    <xf numFmtId="164" fontId="11" fillId="2" borderId="0" xfId="0" applyNumberFormat="1" applyFont="1" applyFill="1" applyProtection="1">
      <protection hidden="1"/>
    </xf>
    <xf numFmtId="164" fontId="3" fillId="2" borderId="23" xfId="0" applyNumberFormat="1" applyFont="1" applyFill="1" applyBorder="1" applyAlignment="1" applyProtection="1">
      <alignment vertical="top"/>
      <protection hidden="1"/>
    </xf>
    <xf numFmtId="164" fontId="11" fillId="2" borderId="4" xfId="0" applyNumberFormat="1" applyFont="1" applyFill="1" applyBorder="1" applyAlignment="1" applyProtection="1">
      <alignment horizontal="right"/>
      <protection hidden="1"/>
    </xf>
    <xf numFmtId="0" fontId="10" fillId="2" borderId="23" xfId="0" applyFont="1" applyFill="1" applyBorder="1" applyProtection="1">
      <protection hidden="1"/>
    </xf>
    <xf numFmtId="0" fontId="10" fillId="2" borderId="7" xfId="0" applyFont="1" applyFill="1" applyBorder="1" applyProtection="1">
      <protection hidden="1"/>
    </xf>
    <xf numFmtId="0" fontId="50" fillId="2" borderId="5" xfId="0" applyFont="1" applyFill="1" applyBorder="1" applyProtection="1">
      <protection hidden="1"/>
    </xf>
    <xf numFmtId="0" fontId="50" fillId="2" borderId="26" xfId="0" applyFont="1" applyFill="1" applyBorder="1" applyProtection="1">
      <protection hidden="1"/>
    </xf>
    <xf numFmtId="0" fontId="3" fillId="2" borderId="1" xfId="0" applyFont="1" applyFill="1" applyBorder="1" applyProtection="1">
      <protection hidden="1"/>
    </xf>
    <xf numFmtId="37" fontId="5" fillId="2" borderId="1" xfId="0" applyNumberFormat="1" applyFont="1" applyFill="1" applyBorder="1" applyProtection="1">
      <protection hidden="1"/>
    </xf>
    <xf numFmtId="37" fontId="21" fillId="2" borderId="1" xfId="0" applyNumberFormat="1" applyFont="1" applyFill="1" applyBorder="1" applyAlignment="1" applyProtection="1">
      <alignment horizontal="right"/>
      <protection hidden="1"/>
    </xf>
    <xf numFmtId="3" fontId="21" fillId="2" borderId="1" xfId="0" applyNumberFormat="1" applyFont="1" applyFill="1" applyBorder="1" applyProtection="1">
      <protection hidden="1"/>
    </xf>
    <xf numFmtId="3" fontId="5" fillId="25" borderId="1" xfId="0" applyNumberFormat="1" applyFont="1" applyFill="1" applyBorder="1" applyAlignment="1" applyProtection="1">
      <alignment horizontal="right"/>
      <protection hidden="1"/>
    </xf>
    <xf numFmtId="0" fontId="21" fillId="2" borderId="0" xfId="0" applyFont="1" applyFill="1" applyAlignment="1" applyProtection="1">
      <alignment vertical="top"/>
      <protection hidden="1"/>
    </xf>
    <xf numFmtId="0" fontId="3" fillId="25" borderId="12" xfId="0" quotePrefix="1" applyFont="1" applyFill="1" applyBorder="1" applyAlignment="1" applyProtection="1">
      <alignment horizontal="center"/>
      <protection hidden="1"/>
    </xf>
    <xf numFmtId="0" fontId="3" fillId="2" borderId="0" xfId="0" applyFont="1" applyFill="1" applyAlignment="1" applyProtection="1">
      <alignment horizontal="right" vertical="top"/>
      <protection hidden="1"/>
    </xf>
    <xf numFmtId="37" fontId="5" fillId="25" borderId="1" xfId="0" applyNumberFormat="1" applyFont="1" applyFill="1" applyBorder="1" applyAlignment="1" applyProtection="1">
      <alignment horizontal="right"/>
      <protection hidden="1"/>
    </xf>
    <xf numFmtId="175" fontId="5" fillId="25" borderId="1" xfId="0" applyNumberFormat="1" applyFont="1" applyFill="1" applyBorder="1" applyAlignment="1" applyProtection="1">
      <alignment horizontal="right"/>
      <protection hidden="1"/>
    </xf>
    <xf numFmtId="0" fontId="5" fillId="2" borderId="4" xfId="0" quotePrefix="1" applyFont="1" applyFill="1" applyBorder="1" applyAlignment="1" applyProtection="1">
      <alignment horizontal="right"/>
      <protection hidden="1"/>
    </xf>
    <xf numFmtId="0" fontId="32" fillId="2" borderId="5" xfId="0" applyFont="1" applyFill="1" applyBorder="1" applyProtection="1">
      <protection hidden="1"/>
    </xf>
    <xf numFmtId="40" fontId="10" fillId="2" borderId="0" xfId="0" applyNumberFormat="1" applyFont="1" applyFill="1" applyAlignment="1" applyProtection="1">
      <alignment horizontal="right"/>
      <protection hidden="1"/>
    </xf>
    <xf numFmtId="0" fontId="5" fillId="2" borderId="19" xfId="0" applyFont="1" applyFill="1" applyBorder="1" applyProtection="1">
      <protection hidden="1"/>
    </xf>
    <xf numFmtId="0" fontId="27" fillId="2" borderId="0" xfId="0" applyFont="1" applyFill="1" applyProtection="1">
      <protection hidden="1"/>
    </xf>
    <xf numFmtId="0" fontId="5" fillId="2" borderId="20" xfId="0" applyFont="1" applyFill="1" applyBorder="1" applyProtection="1">
      <protection hidden="1"/>
    </xf>
    <xf numFmtId="0" fontId="4" fillId="2" borderId="1" xfId="0" applyFont="1" applyFill="1" applyBorder="1" applyProtection="1">
      <protection hidden="1"/>
    </xf>
    <xf numFmtId="40" fontId="5" fillId="2" borderId="1" xfId="0" applyNumberFormat="1" applyFont="1" applyFill="1" applyBorder="1" applyProtection="1">
      <protection hidden="1"/>
    </xf>
    <xf numFmtId="40" fontId="5" fillId="2" borderId="29" xfId="0" applyNumberFormat="1" applyFont="1" applyFill="1" applyBorder="1" applyProtection="1">
      <protection hidden="1"/>
    </xf>
    <xf numFmtId="0" fontId="4" fillId="2" borderId="25" xfId="0" applyFont="1" applyFill="1" applyBorder="1" applyProtection="1">
      <protection hidden="1"/>
    </xf>
    <xf numFmtId="40" fontId="5" fillId="2" borderId="25" xfId="0" applyNumberFormat="1" applyFont="1" applyFill="1" applyBorder="1" applyProtection="1">
      <protection hidden="1"/>
    </xf>
    <xf numFmtId="40" fontId="5" fillId="2" borderId="68" xfId="0" applyNumberFormat="1" applyFont="1" applyFill="1" applyBorder="1" applyProtection="1">
      <protection hidden="1"/>
    </xf>
    <xf numFmtId="164" fontId="3" fillId="2" borderId="5" xfId="0" applyNumberFormat="1" applyFont="1" applyFill="1" applyBorder="1" applyAlignment="1" applyProtection="1">
      <alignment horizontal="right"/>
      <protection hidden="1"/>
    </xf>
    <xf numFmtId="38" fontId="8" fillId="2" borderId="0" xfId="0" applyNumberFormat="1" applyFont="1" applyFill="1" applyProtection="1">
      <protection hidden="1"/>
    </xf>
    <xf numFmtId="164" fontId="3" fillId="2" borderId="0" xfId="0" applyNumberFormat="1" applyFont="1" applyFill="1" applyAlignment="1" applyProtection="1">
      <alignment horizontal="left" vertical="center"/>
      <protection hidden="1"/>
    </xf>
    <xf numFmtId="38" fontId="8" fillId="2" borderId="0" xfId="0" applyNumberFormat="1" applyFont="1" applyFill="1" applyAlignment="1" applyProtection="1">
      <alignment horizontal="left" vertical="center"/>
      <protection hidden="1"/>
    </xf>
    <xf numFmtId="170" fontId="5" fillId="2" borderId="0" xfId="0" applyNumberFormat="1" applyFont="1" applyFill="1" applyAlignment="1" applyProtection="1">
      <alignment horizontal="left"/>
      <protection hidden="1"/>
    </xf>
    <xf numFmtId="164" fontId="3" fillId="2" borderId="21" xfId="0" applyNumberFormat="1" applyFont="1" applyFill="1" applyBorder="1" applyProtection="1">
      <protection hidden="1"/>
    </xf>
    <xf numFmtId="38" fontId="5" fillId="2" borderId="0" xfId="0" applyNumberFormat="1" applyFont="1" applyFill="1" applyAlignment="1" applyProtection="1">
      <alignment horizontal="center"/>
      <protection hidden="1"/>
    </xf>
    <xf numFmtId="164" fontId="5" fillId="2" borderId="1" xfId="0" applyNumberFormat="1" applyFont="1" applyFill="1" applyBorder="1" applyAlignment="1" applyProtection="1">
      <alignment horizontal="left"/>
      <protection hidden="1"/>
    </xf>
    <xf numFmtId="164" fontId="5" fillId="2" borderId="1" xfId="0" applyNumberFormat="1" applyFont="1" applyFill="1" applyBorder="1" applyAlignment="1" applyProtection="1">
      <alignment horizontal="right"/>
      <protection hidden="1"/>
    </xf>
    <xf numFmtId="164" fontId="5" fillId="2" borderId="1" xfId="0" applyNumberFormat="1" applyFont="1" applyFill="1" applyBorder="1" applyProtection="1">
      <protection hidden="1"/>
    </xf>
    <xf numFmtId="164" fontId="3" fillId="5" borderId="0" xfId="0" applyNumberFormat="1" applyFont="1" applyFill="1" applyProtection="1">
      <protection hidden="1"/>
    </xf>
    <xf numFmtId="164" fontId="5" fillId="5" borderId="0" xfId="0" applyNumberFormat="1" applyFont="1" applyFill="1" applyProtection="1">
      <protection hidden="1"/>
    </xf>
    <xf numFmtId="164" fontId="3" fillId="2" borderId="0" xfId="0" applyNumberFormat="1" applyFont="1" applyFill="1" applyAlignment="1" applyProtection="1">
      <alignment horizontal="right" vertical="center"/>
      <protection hidden="1"/>
    </xf>
    <xf numFmtId="40" fontId="5" fillId="2" borderId="5" xfId="0" applyNumberFormat="1" applyFont="1" applyFill="1" applyBorder="1" applyAlignment="1" applyProtection="1">
      <alignment horizontal="left"/>
      <protection hidden="1"/>
    </xf>
    <xf numFmtId="164" fontId="3" fillId="2" borderId="20" xfId="0" applyNumberFormat="1" applyFont="1" applyFill="1" applyBorder="1" applyProtection="1">
      <protection hidden="1"/>
    </xf>
    <xf numFmtId="164" fontId="3" fillId="5" borderId="0" xfId="0" applyNumberFormat="1" applyFont="1" applyFill="1" applyAlignment="1" applyProtection="1">
      <alignment vertical="top"/>
      <protection hidden="1"/>
    </xf>
    <xf numFmtId="164" fontId="10" fillId="5" borderId="0" xfId="0" applyNumberFormat="1" applyFont="1" applyFill="1" applyProtection="1">
      <protection hidden="1"/>
    </xf>
    <xf numFmtId="164" fontId="10" fillId="5" borderId="0" xfId="0" applyNumberFormat="1" applyFont="1" applyFill="1" applyAlignment="1" applyProtection="1">
      <alignment horizontal="center"/>
      <protection hidden="1"/>
    </xf>
    <xf numFmtId="40" fontId="13" fillId="2" borderId="4" xfId="0" applyNumberFormat="1" applyFont="1" applyFill="1" applyBorder="1" applyAlignment="1" applyProtection="1">
      <alignment horizontal="right"/>
      <protection hidden="1"/>
    </xf>
    <xf numFmtId="40" fontId="4" fillId="2" borderId="0" xfId="0" applyNumberFormat="1" applyFont="1" applyFill="1" applyAlignment="1" applyProtection="1">
      <alignment horizontal="right"/>
      <protection hidden="1"/>
    </xf>
    <xf numFmtId="40" fontId="4" fillId="5"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left"/>
      <protection hidden="1"/>
    </xf>
    <xf numFmtId="40" fontId="5" fillId="2" borderId="0" xfId="0" applyNumberFormat="1" applyFont="1" applyFill="1" applyAlignment="1" applyProtection="1">
      <alignment horizontal="right"/>
      <protection hidden="1"/>
    </xf>
    <xf numFmtId="38" fontId="5" fillId="2" borderId="20" xfId="0" applyNumberFormat="1" applyFont="1" applyFill="1" applyBorder="1" applyAlignment="1" applyProtection="1">
      <alignment horizontal="right"/>
      <protection hidden="1"/>
    </xf>
    <xf numFmtId="38" fontId="5" fillId="5" borderId="0" xfId="0" applyNumberFormat="1" applyFont="1" applyFill="1" applyAlignment="1" applyProtection="1">
      <alignment horizontal="right"/>
      <protection hidden="1"/>
    </xf>
    <xf numFmtId="38" fontId="5" fillId="2" borderId="0" xfId="0" applyNumberFormat="1" applyFont="1" applyFill="1" applyAlignment="1" applyProtection="1">
      <alignment horizontal="right"/>
      <protection hidden="1"/>
    </xf>
    <xf numFmtId="38" fontId="5" fillId="2" borderId="8" xfId="0" applyNumberFormat="1" applyFont="1" applyFill="1" applyBorder="1" applyAlignment="1" applyProtection="1">
      <alignment horizontal="right"/>
      <protection hidden="1"/>
    </xf>
    <xf numFmtId="0" fontId="10" fillId="2" borderId="0" xfId="0" applyFont="1" applyFill="1" applyAlignment="1" applyProtection="1">
      <alignment horizontal="right"/>
      <protection hidden="1"/>
    </xf>
    <xf numFmtId="0" fontId="3" fillId="2" borderId="5" xfId="0" applyFont="1" applyFill="1" applyBorder="1" applyProtection="1">
      <protection hidden="1"/>
    </xf>
    <xf numFmtId="0" fontId="3" fillId="2" borderId="67" xfId="0" applyFont="1" applyFill="1" applyBorder="1" applyProtection="1">
      <protection hidden="1"/>
    </xf>
    <xf numFmtId="3" fontId="5" fillId="15" borderId="57" xfId="0" applyNumberFormat="1" applyFont="1" applyFill="1" applyBorder="1" applyAlignment="1" applyProtection="1">
      <alignment horizontal="right"/>
      <protection locked="0"/>
    </xf>
    <xf numFmtId="3" fontId="5" fillId="15" borderId="213" xfId="0" applyNumberFormat="1" applyFont="1" applyFill="1" applyBorder="1" applyAlignment="1" applyProtection="1">
      <alignment horizontal="right"/>
      <protection hidden="1"/>
    </xf>
    <xf numFmtId="1" fontId="9" fillId="3" borderId="100" xfId="0" applyNumberFormat="1" applyFont="1" applyFill="1" applyBorder="1" applyAlignment="1" applyProtection="1">
      <alignment horizontal="center" vertical="center"/>
      <protection hidden="1"/>
    </xf>
    <xf numFmtId="3" fontId="8" fillId="14" borderId="6" xfId="0" applyNumberFormat="1" applyFont="1" applyFill="1" applyBorder="1" applyProtection="1">
      <protection hidden="1"/>
    </xf>
    <xf numFmtId="0" fontId="21" fillId="15" borderId="3" xfId="0" applyFont="1" applyFill="1" applyBorder="1" applyAlignment="1">
      <alignment horizontal="right" wrapText="1"/>
    </xf>
    <xf numFmtId="3" fontId="8" fillId="14" borderId="15" xfId="0" applyNumberFormat="1" applyFont="1" applyFill="1" applyBorder="1" applyProtection="1">
      <protection hidden="1"/>
    </xf>
    <xf numFmtId="0" fontId="8" fillId="3" borderId="7" xfId="0" applyFont="1" applyFill="1" applyBorder="1" applyAlignment="1" applyProtection="1">
      <alignment horizontal="left"/>
      <protection hidden="1"/>
    </xf>
    <xf numFmtId="0" fontId="8" fillId="3" borderId="36" xfId="0" applyFont="1" applyFill="1" applyBorder="1" applyAlignment="1" applyProtection="1">
      <alignment horizontal="left"/>
      <protection hidden="1"/>
    </xf>
    <xf numFmtId="0" fontId="8" fillId="26" borderId="1" xfId="0" applyFont="1" applyFill="1" applyBorder="1" applyAlignment="1" applyProtection="1">
      <alignment horizontal="left"/>
      <protection hidden="1"/>
    </xf>
    <xf numFmtId="0" fontId="50" fillId="3" borderId="25" xfId="0" applyFont="1" applyFill="1" applyBorder="1" applyAlignment="1" applyProtection="1">
      <alignment horizontal="center"/>
      <protection hidden="1"/>
    </xf>
    <xf numFmtId="4" fontId="3" fillId="3" borderId="4" xfId="0" applyNumberFormat="1" applyFont="1" applyFill="1" applyBorder="1" applyAlignment="1" applyProtection="1">
      <alignment horizontal="right"/>
      <protection hidden="1"/>
    </xf>
    <xf numFmtId="4" fontId="3" fillId="3" borderId="4" xfId="0" applyNumberFormat="1" applyFont="1" applyFill="1" applyBorder="1" applyAlignment="1" applyProtection="1">
      <alignment horizontal="center" vertical="center"/>
      <protection locked="0"/>
    </xf>
    <xf numFmtId="4" fontId="3" fillId="3" borderId="0" xfId="0" applyNumberFormat="1" applyFont="1" applyFill="1" applyAlignment="1" applyProtection="1">
      <alignment horizontal="center" vertical="center"/>
      <protection locked="0"/>
    </xf>
    <xf numFmtId="49" fontId="3" fillId="16" borderId="9" xfId="0" applyNumberFormat="1" applyFont="1" applyFill="1" applyBorder="1" applyAlignment="1" applyProtection="1">
      <alignment horizontal="center" vertical="center"/>
      <protection locked="0"/>
    </xf>
    <xf numFmtId="0" fontId="7" fillId="3" borderId="1" xfId="0" quotePrefix="1" applyFont="1" applyFill="1" applyBorder="1" applyAlignment="1" applyProtection="1">
      <alignment horizontal="left"/>
      <protection hidden="1"/>
    </xf>
    <xf numFmtId="39" fontId="11" fillId="3" borderId="0" xfId="0" applyNumberFormat="1" applyFont="1" applyFill="1" applyAlignment="1" applyProtection="1">
      <alignment horizontal="left"/>
      <protection locked="0"/>
    </xf>
    <xf numFmtId="0" fontId="11" fillId="3" borderId="0" xfId="0" applyFont="1" applyFill="1" applyAlignment="1" applyProtection="1">
      <alignment horizontal="center" vertical="center"/>
      <protection locked="0"/>
    </xf>
    <xf numFmtId="4" fontId="11" fillId="3" borderId="0" xfId="0" applyNumberFormat="1" applyFont="1" applyFill="1" applyAlignment="1" applyProtection="1">
      <alignment horizontal="center" vertical="center"/>
      <protection locked="0"/>
    </xf>
    <xf numFmtId="4" fontId="11" fillId="3" borderId="0" xfId="0" applyNumberFormat="1" applyFont="1" applyFill="1" applyProtection="1">
      <protection locked="0"/>
    </xf>
    <xf numFmtId="4" fontId="7" fillId="3" borderId="0" xfId="0" applyNumberFormat="1" applyFont="1" applyFill="1" applyAlignment="1" applyProtection="1">
      <alignment horizontal="center"/>
      <protection hidden="1"/>
    </xf>
    <xf numFmtId="0" fontId="8" fillId="3" borderId="0" xfId="0" applyFont="1" applyFill="1" applyAlignment="1" applyProtection="1">
      <alignment horizontal="right" vertical="center"/>
      <protection hidden="1"/>
    </xf>
    <xf numFmtId="0" fontId="7" fillId="3" borderId="15" xfId="0" applyFont="1" applyFill="1" applyBorder="1" applyAlignment="1" applyProtection="1">
      <alignment horizontal="center"/>
      <protection hidden="1"/>
    </xf>
    <xf numFmtId="3" fontId="7" fillId="3" borderId="8" xfId="0" applyNumberFormat="1" applyFont="1" applyFill="1" applyBorder="1" applyAlignment="1" applyProtection="1">
      <alignment horizontal="center"/>
      <protection hidden="1"/>
    </xf>
    <xf numFmtId="0" fontId="5" fillId="3" borderId="0" xfId="0" applyFont="1" applyFill="1" applyAlignment="1" applyProtection="1">
      <alignment horizontal="center"/>
      <protection hidden="1"/>
    </xf>
    <xf numFmtId="0" fontId="8" fillId="7" borderId="6" xfId="0"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0" fontId="7" fillId="3" borderId="4" xfId="0" applyFont="1" applyFill="1" applyBorder="1" applyAlignment="1" applyProtection="1">
      <alignment horizontal="center"/>
      <protection hidden="1"/>
    </xf>
    <xf numFmtId="0" fontId="7" fillId="3" borderId="4" xfId="0" applyFont="1" applyFill="1" applyBorder="1" applyAlignment="1" applyProtection="1">
      <alignment horizontal="right"/>
      <protection hidden="1"/>
    </xf>
    <xf numFmtId="0" fontId="8" fillId="3" borderId="28" xfId="0" applyFont="1" applyFill="1" applyBorder="1" applyAlignment="1" applyProtection="1">
      <alignment horizontal="center"/>
      <protection hidden="1"/>
    </xf>
    <xf numFmtId="0" fontId="8" fillId="14" borderId="30" xfId="0" applyFont="1" applyFill="1" applyBorder="1" applyAlignment="1" applyProtection="1">
      <alignment horizontal="center"/>
      <protection hidden="1"/>
    </xf>
    <xf numFmtId="0" fontId="8" fillId="14" borderId="3" xfId="0" applyFont="1" applyFill="1" applyBorder="1" applyAlignment="1" applyProtection="1">
      <alignment horizontal="center"/>
      <protection hidden="1"/>
    </xf>
    <xf numFmtId="4" fontId="7" fillId="3" borderId="4" xfId="0" applyNumberFormat="1" applyFont="1" applyFill="1" applyBorder="1" applyProtection="1">
      <protection hidden="1"/>
    </xf>
    <xf numFmtId="0" fontId="7" fillId="3" borderId="7" xfId="0" applyFont="1" applyFill="1" applyBorder="1" applyAlignment="1" applyProtection="1">
      <alignment horizontal="center" vertical="top"/>
      <protection hidden="1"/>
    </xf>
    <xf numFmtId="39" fontId="7" fillId="3" borderId="7" xfId="0" applyNumberFormat="1" applyFont="1" applyFill="1" applyBorder="1" applyAlignment="1" applyProtection="1">
      <alignment vertical="top"/>
      <protection hidden="1"/>
    </xf>
    <xf numFmtId="0" fontId="8" fillId="3" borderId="7" xfId="0" applyFont="1" applyFill="1" applyBorder="1" applyAlignment="1" applyProtection="1">
      <alignment horizontal="center" vertical="top"/>
      <protection hidden="1"/>
    </xf>
    <xf numFmtId="39" fontId="7" fillId="3" borderId="1" xfId="0" applyNumberFormat="1" applyFont="1" applyFill="1" applyBorder="1" applyProtection="1">
      <protection hidden="1"/>
    </xf>
    <xf numFmtId="4" fontId="7" fillId="3" borderId="0" xfId="0" applyNumberFormat="1" applyFont="1" applyFill="1" applyAlignment="1" applyProtection="1">
      <alignment horizontal="right" vertical="center"/>
      <protection hidden="1"/>
    </xf>
    <xf numFmtId="0" fontId="8" fillId="3" borderId="4" xfId="0" applyFont="1" applyFill="1" applyBorder="1" applyAlignment="1" applyProtection="1">
      <alignment horizontal="right"/>
      <protection hidden="1"/>
    </xf>
    <xf numFmtId="0" fontId="3" fillId="5" borderId="0" xfId="0" applyFont="1" applyFill="1" applyAlignment="1" applyProtection="1">
      <alignment vertical="center"/>
      <protection hidden="1"/>
    </xf>
    <xf numFmtId="0" fontId="5" fillId="0" borderId="0" xfId="0" applyFont="1" applyAlignment="1" applyProtection="1">
      <alignment vertical="center"/>
      <protection hidden="1"/>
    </xf>
    <xf numFmtId="0" fontId="8" fillId="28" borderId="1" xfId="0" quotePrefix="1" applyFont="1" applyFill="1" applyBorder="1" applyProtection="1">
      <protection hidden="1"/>
    </xf>
    <xf numFmtId="4" fontId="18" fillId="2" borderId="0" xfId="0" applyNumberFormat="1" applyFont="1" applyFill="1" applyAlignment="1" applyProtection="1">
      <alignment horizontal="center"/>
      <protection hidden="1"/>
    </xf>
    <xf numFmtId="4" fontId="18" fillId="21" borderId="0" xfId="0" applyNumberFormat="1" applyFont="1" applyFill="1" applyAlignment="1" applyProtection="1">
      <alignment horizontal="center"/>
      <protection hidden="1"/>
    </xf>
    <xf numFmtId="4" fontId="9" fillId="3" borderId="1" xfId="0" applyNumberFormat="1" applyFont="1" applyFill="1" applyBorder="1" applyProtection="1">
      <protection hidden="1"/>
    </xf>
    <xf numFmtId="4" fontId="3" fillId="3" borderId="1" xfId="0" applyNumberFormat="1" applyFont="1" applyFill="1" applyBorder="1" applyAlignment="1" applyProtection="1">
      <alignment horizontal="right"/>
      <protection hidden="1"/>
    </xf>
    <xf numFmtId="0" fontId="3" fillId="0" borderId="8" xfId="0" applyFont="1" applyBorder="1" applyProtection="1">
      <protection hidden="1"/>
    </xf>
    <xf numFmtId="4" fontId="3" fillId="3" borderId="0" xfId="0" applyNumberFormat="1" applyFont="1" applyFill="1" applyProtection="1">
      <protection hidden="1"/>
    </xf>
    <xf numFmtId="0" fontId="50" fillId="3" borderId="0" xfId="0" applyFont="1" applyFill="1" applyAlignment="1" applyProtection="1">
      <alignment horizontal="center"/>
      <protection hidden="1"/>
    </xf>
    <xf numFmtId="4" fontId="3" fillId="3" borderId="0" xfId="0" applyNumberFormat="1" applyFont="1" applyFill="1" applyAlignment="1" applyProtection="1">
      <alignment vertical="center"/>
      <protection hidden="1"/>
    </xf>
    <xf numFmtId="39" fontId="5" fillId="24" borderId="0" xfId="0" applyNumberFormat="1" applyFont="1" applyFill="1" applyAlignment="1" applyProtection="1">
      <alignment vertical="center"/>
      <protection locked="0"/>
    </xf>
    <xf numFmtId="0" fontId="3" fillId="3" borderId="12" xfId="0" applyFont="1" applyFill="1" applyBorder="1" applyAlignment="1" applyProtection="1">
      <alignment horizontal="center" vertical="center"/>
      <protection hidden="1"/>
    </xf>
    <xf numFmtId="0" fontId="3" fillId="3" borderId="3" xfId="0" applyFont="1" applyFill="1" applyBorder="1" applyAlignment="1" applyProtection="1">
      <alignment horizontal="center" vertical="center"/>
      <protection locked="0"/>
    </xf>
    <xf numFmtId="4" fontId="3" fillId="21" borderId="0" xfId="0" applyNumberFormat="1" applyFont="1" applyFill="1" applyProtection="1">
      <protection hidden="1"/>
    </xf>
    <xf numFmtId="0" fontId="3" fillId="2" borderId="1" xfId="0" applyFont="1" applyFill="1" applyBorder="1" applyProtection="1">
      <protection locked="0"/>
    </xf>
    <xf numFmtId="4" fontId="5" fillId="21" borderId="0" xfId="0" applyNumberFormat="1" applyFont="1" applyFill="1" applyProtection="1">
      <protection hidden="1"/>
    </xf>
    <xf numFmtId="4" fontId="5" fillId="2" borderId="0" xfId="0" applyNumberFormat="1" applyFont="1" applyFill="1" applyAlignment="1" applyProtection="1">
      <alignment vertical="center"/>
      <protection hidden="1"/>
    </xf>
    <xf numFmtId="4" fontId="5" fillId="21" borderId="0" xfId="0" applyNumberFormat="1" applyFont="1" applyFill="1" applyAlignment="1" applyProtection="1">
      <alignment vertical="center"/>
      <protection hidden="1"/>
    </xf>
    <xf numFmtId="37" fontId="3" fillId="2" borderId="1" xfId="0" applyNumberFormat="1" applyFont="1" applyFill="1" applyBorder="1" applyProtection="1">
      <protection locked="0"/>
    </xf>
    <xf numFmtId="4" fontId="5" fillId="3" borderId="30"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Alignment="1" applyProtection="1">
      <alignment horizontal="right" vertical="center"/>
      <protection hidden="1"/>
    </xf>
    <xf numFmtId="4" fontId="3" fillId="3" borderId="3" xfId="0" applyNumberFormat="1" applyFont="1" applyFill="1" applyBorder="1" applyProtection="1">
      <protection hidden="1"/>
    </xf>
    <xf numFmtId="0" fontId="5" fillId="3" borderId="4" xfId="0" applyFont="1" applyFill="1" applyBorder="1" applyAlignment="1" applyProtection="1">
      <alignment horizontal="center"/>
      <protection hidden="1"/>
    </xf>
    <xf numFmtId="4" fontId="5" fillId="3" borderId="4" xfId="0" applyNumberFormat="1" applyFont="1" applyFill="1" applyBorder="1" applyProtection="1">
      <protection hidden="1"/>
    </xf>
    <xf numFmtId="4" fontId="5" fillId="3" borderId="69" xfId="0" applyNumberFormat="1" applyFont="1" applyFill="1" applyBorder="1" applyProtection="1">
      <protection hidden="1"/>
    </xf>
    <xf numFmtId="4" fontId="5" fillId="3" borderId="4" xfId="0" applyNumberFormat="1" applyFont="1" applyFill="1" applyBorder="1" applyAlignment="1" applyProtection="1">
      <alignment horizontal="right"/>
      <protection hidden="1"/>
    </xf>
    <xf numFmtId="0" fontId="39" fillId="3" borderId="0" xfId="0" applyFont="1" applyFill="1" applyAlignment="1" applyProtection="1">
      <alignment horizontal="right"/>
      <protection hidden="1"/>
    </xf>
    <xf numFmtId="0" fontId="3" fillId="29" borderId="23" xfId="0" applyFont="1" applyFill="1" applyBorder="1" applyAlignment="1" applyProtection="1">
      <alignment horizontal="right"/>
      <protection hidden="1"/>
    </xf>
    <xf numFmtId="0" fontId="3" fillId="29" borderId="7" xfId="0" applyFont="1" applyFill="1" applyBorder="1" applyAlignment="1" applyProtection="1">
      <alignment horizontal="right"/>
      <protection hidden="1"/>
    </xf>
    <xf numFmtId="0" fontId="5" fillId="29" borderId="7" xfId="0" applyFont="1" applyFill="1" applyBorder="1" applyAlignment="1" applyProtection="1">
      <alignment horizontal="left"/>
      <protection hidden="1"/>
    </xf>
    <xf numFmtId="0" fontId="3" fillId="29" borderId="5" xfId="0" applyFont="1" applyFill="1" applyBorder="1" applyAlignment="1" applyProtection="1">
      <alignment horizontal="right"/>
      <protection hidden="1"/>
    </xf>
    <xf numFmtId="0" fontId="3" fillId="29" borderId="26" xfId="0" applyFont="1" applyFill="1" applyBorder="1" applyAlignment="1" applyProtection="1">
      <alignment horizontal="right" vertical="center"/>
      <protection hidden="1"/>
    </xf>
    <xf numFmtId="0" fontId="3" fillId="29" borderId="1" xfId="0" applyFont="1" applyFill="1" applyBorder="1" applyAlignment="1" applyProtection="1">
      <alignment horizontal="right" vertical="center"/>
      <protection hidden="1"/>
    </xf>
    <xf numFmtId="1" fontId="3" fillId="29" borderId="0" xfId="0" applyNumberFormat="1" applyFont="1" applyFill="1" applyAlignment="1" applyProtection="1">
      <alignment horizontal="right"/>
      <protection hidden="1"/>
    </xf>
    <xf numFmtId="0" fontId="10" fillId="3" borderId="1" xfId="0" applyFont="1" applyFill="1" applyBorder="1" applyAlignment="1" applyProtection="1">
      <alignment horizontal="left"/>
      <protection hidden="1"/>
    </xf>
    <xf numFmtId="0" fontId="39" fillId="3" borderId="1" xfId="0" applyFont="1" applyFill="1" applyBorder="1" applyAlignment="1" applyProtection="1">
      <alignment horizontal="right"/>
      <protection hidden="1"/>
    </xf>
    <xf numFmtId="0" fontId="3" fillId="3" borderId="3" xfId="0" applyFont="1" applyFill="1" applyBorder="1" applyAlignment="1" applyProtection="1">
      <alignment horizontal="left"/>
      <protection hidden="1"/>
    </xf>
    <xf numFmtId="0" fontId="3" fillId="0" borderId="0" xfId="0" applyFont="1" applyAlignment="1">
      <alignment horizontal="left"/>
    </xf>
    <xf numFmtId="0" fontId="3" fillId="5" borderId="7" xfId="0" applyFont="1" applyFill="1" applyBorder="1" applyAlignment="1" applyProtection="1">
      <alignment horizontal="center" vertical="center"/>
      <protection hidden="1"/>
    </xf>
    <xf numFmtId="164" fontId="3" fillId="3" borderId="3" xfId="0" applyNumberFormat="1" applyFont="1" applyFill="1" applyBorder="1" applyAlignment="1" applyProtection="1">
      <alignment horizontal="right"/>
      <protection hidden="1"/>
    </xf>
    <xf numFmtId="164" fontId="3" fillId="3" borderId="0" xfId="0" applyNumberFormat="1" applyFont="1" applyFill="1" applyAlignment="1" applyProtection="1">
      <alignment horizontal="right"/>
      <protection hidden="1"/>
    </xf>
    <xf numFmtId="164" fontId="3" fillId="3" borderId="3" xfId="0" quotePrefix="1" applyNumberFormat="1" applyFont="1" applyFill="1" applyBorder="1" applyAlignment="1" applyProtection="1">
      <alignment horizontal="right" vertical="top"/>
      <protection hidden="1"/>
    </xf>
    <xf numFmtId="39" fontId="5" fillId="3" borderId="8" xfId="0" applyNumberFormat="1" applyFont="1" applyFill="1" applyBorder="1" applyAlignment="1" applyProtection="1">
      <alignment horizontal="right"/>
      <protection hidden="1"/>
    </xf>
    <xf numFmtId="4" fontId="11" fillId="3" borderId="0" xfId="0" applyNumberFormat="1" applyFont="1" applyFill="1" applyAlignment="1" applyProtection="1">
      <alignment horizontal="left" vertical="center"/>
      <protection hidden="1"/>
    </xf>
    <xf numFmtId="37" fontId="5" fillId="0" borderId="0" xfId="0" applyNumberFormat="1" applyFont="1" applyProtection="1">
      <protection hidden="1"/>
    </xf>
    <xf numFmtId="3" fontId="5" fillId="15" borderId="172" xfId="0" applyNumberFormat="1" applyFont="1" applyFill="1" applyBorder="1" applyAlignment="1" applyProtection="1">
      <alignment horizontal="right"/>
      <protection hidden="1"/>
    </xf>
    <xf numFmtId="3" fontId="5" fillId="15" borderId="173" xfId="0" applyNumberFormat="1" applyFont="1" applyFill="1" applyBorder="1" applyAlignment="1" applyProtection="1">
      <alignment horizontal="right"/>
      <protection hidden="1"/>
    </xf>
    <xf numFmtId="3" fontId="5" fillId="15" borderId="174" xfId="0" applyNumberFormat="1" applyFont="1" applyFill="1" applyBorder="1" applyAlignment="1" applyProtection="1">
      <alignment horizontal="right"/>
      <protection hidden="1"/>
    </xf>
    <xf numFmtId="3" fontId="5" fillId="15" borderId="163" xfId="0" applyNumberFormat="1" applyFont="1" applyFill="1" applyBorder="1" applyAlignment="1" applyProtection="1">
      <alignment horizontal="right"/>
      <protection hidden="1"/>
    </xf>
    <xf numFmtId="0" fontId="5" fillId="15" borderId="171" xfId="0" applyFont="1" applyFill="1" applyBorder="1" applyAlignment="1" applyProtection="1">
      <alignment horizontal="right"/>
      <protection hidden="1"/>
    </xf>
    <xf numFmtId="3" fontId="5" fillId="15" borderId="175" xfId="0" applyNumberFormat="1" applyFont="1" applyFill="1" applyBorder="1" applyAlignment="1" applyProtection="1">
      <alignment horizontal="right"/>
      <protection hidden="1"/>
    </xf>
    <xf numFmtId="3" fontId="5" fillId="15" borderId="176" xfId="0" applyNumberFormat="1" applyFont="1" applyFill="1" applyBorder="1" applyAlignment="1" applyProtection="1">
      <alignment horizontal="right"/>
      <protection hidden="1"/>
    </xf>
    <xf numFmtId="164" fontId="3" fillId="3" borderId="0" xfId="0" quotePrefix="1" applyNumberFormat="1" applyFont="1" applyFill="1" applyAlignment="1" applyProtection="1">
      <alignment horizontal="right"/>
      <protection hidden="1"/>
    </xf>
    <xf numFmtId="0" fontId="3" fillId="3" borderId="35" xfId="0"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7" fillId="3" borderId="222" xfId="0" applyFont="1" applyFill="1" applyBorder="1" applyProtection="1">
      <protection hidden="1"/>
    </xf>
    <xf numFmtId="0" fontId="8" fillId="3" borderId="1" xfId="0" applyFont="1" applyFill="1" applyBorder="1" applyAlignment="1" applyProtection="1">
      <alignment horizontal="right"/>
      <protection hidden="1"/>
    </xf>
    <xf numFmtId="0" fontId="3" fillId="20" borderId="25" xfId="0" applyFont="1" applyFill="1" applyBorder="1" applyAlignment="1" applyProtection="1">
      <alignment horizontal="center" vertical="center"/>
      <protection locked="0"/>
    </xf>
    <xf numFmtId="3" fontId="7" fillId="3" borderId="3" xfId="0" applyNumberFormat="1"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39" fontId="7" fillId="3" borderId="7" xfId="0" applyNumberFormat="1" applyFont="1" applyFill="1" applyBorder="1" applyProtection="1">
      <protection hidden="1"/>
    </xf>
    <xf numFmtId="39" fontId="7" fillId="3" borderId="7" xfId="0" applyNumberFormat="1" applyFont="1" applyFill="1" applyBorder="1" applyAlignment="1" applyProtection="1">
      <alignment horizontal="center"/>
      <protection hidden="1"/>
    </xf>
    <xf numFmtId="39" fontId="7" fillId="3" borderId="13" xfId="0" applyNumberFormat="1" applyFont="1" applyFill="1" applyBorder="1" applyProtection="1">
      <protection hidden="1"/>
    </xf>
    <xf numFmtId="39" fontId="7" fillId="3" borderId="24" xfId="0" applyNumberFormat="1" applyFont="1" applyFill="1" applyBorder="1" applyProtection="1">
      <protection hidden="1"/>
    </xf>
    <xf numFmtId="0" fontId="8" fillId="3" borderId="4" xfId="0" applyFont="1" applyFill="1" applyBorder="1" applyAlignment="1" applyProtection="1">
      <alignment horizontal="center"/>
      <protection hidden="1"/>
    </xf>
    <xf numFmtId="39" fontId="7" fillId="3" borderId="8" xfId="0" applyNumberFormat="1" applyFont="1" applyFill="1" applyBorder="1" applyProtection="1">
      <protection hidden="1"/>
    </xf>
    <xf numFmtId="39" fontId="7" fillId="3" borderId="8" xfId="0" applyNumberFormat="1" applyFont="1" applyFill="1" applyBorder="1" applyAlignment="1" applyProtection="1">
      <alignment horizontal="center"/>
      <protection hidden="1"/>
    </xf>
    <xf numFmtId="39" fontId="7" fillId="3" borderId="0" xfId="0" applyNumberFormat="1" applyFont="1" applyFill="1" applyAlignment="1" applyProtection="1">
      <alignment horizontal="left" vertical="top"/>
      <protection hidden="1"/>
    </xf>
    <xf numFmtId="0" fontId="8" fillId="3" borderId="25" xfId="0" applyFont="1" applyFill="1" applyBorder="1" applyAlignment="1" applyProtection="1">
      <alignment horizontal="left"/>
      <protection hidden="1"/>
    </xf>
    <xf numFmtId="39" fontId="7" fillId="3" borderId="1" xfId="0" applyNumberFormat="1" applyFont="1" applyFill="1" applyBorder="1" applyAlignment="1" applyProtection="1">
      <alignment horizontal="center"/>
      <protection hidden="1"/>
    </xf>
    <xf numFmtId="39" fontId="7" fillId="3" borderId="1" xfId="0" applyNumberFormat="1" applyFont="1" applyFill="1" applyBorder="1" applyAlignment="1" applyProtection="1">
      <alignment horizontal="left"/>
      <protection hidden="1"/>
    </xf>
    <xf numFmtId="39" fontId="7" fillId="3" borderId="8" xfId="0" applyNumberFormat="1" applyFont="1" applyFill="1" applyBorder="1" applyAlignment="1" applyProtection="1">
      <alignment horizontal="left"/>
      <protection hidden="1"/>
    </xf>
    <xf numFmtId="39" fontId="7" fillId="22" borderId="15" xfId="0" applyNumberFormat="1" applyFont="1" applyFill="1" applyBorder="1" applyProtection="1">
      <protection hidden="1"/>
    </xf>
    <xf numFmtId="39" fontId="7" fillId="22" borderId="6" xfId="0" applyNumberFormat="1" applyFont="1" applyFill="1" applyBorder="1" applyProtection="1">
      <protection hidden="1"/>
    </xf>
    <xf numFmtId="5" fontId="7" fillId="3" borderId="0" xfId="0" applyNumberFormat="1" applyFont="1" applyFill="1" applyProtection="1">
      <protection hidden="1"/>
    </xf>
    <xf numFmtId="0" fontId="3" fillId="2" borderId="9" xfId="0" applyFont="1" applyFill="1" applyBorder="1" applyAlignment="1" applyProtection="1">
      <alignment horizontal="center" vertical="center"/>
      <protection hidden="1"/>
    </xf>
    <xf numFmtId="0" fontId="3" fillId="2" borderId="3" xfId="0" applyFont="1" applyFill="1" applyBorder="1" applyAlignment="1" applyProtection="1">
      <alignment horizontal="center"/>
      <protection hidden="1"/>
    </xf>
    <xf numFmtId="0" fontId="3" fillId="13" borderId="25" xfId="0" applyFont="1" applyFill="1" applyBorder="1" applyProtection="1">
      <protection hidden="1"/>
    </xf>
    <xf numFmtId="0" fontId="3" fillId="2" borderId="11" xfId="0" applyFont="1" applyFill="1" applyBorder="1" applyAlignment="1" applyProtection="1">
      <alignment horizontal="right"/>
      <protection hidden="1"/>
    </xf>
    <xf numFmtId="0" fontId="3" fillId="2" borderId="24" xfId="0" applyFont="1" applyFill="1" applyBorder="1" applyAlignment="1" applyProtection="1">
      <alignment horizontal="right"/>
      <protection hidden="1"/>
    </xf>
    <xf numFmtId="0" fontId="28" fillId="2" borderId="0" xfId="0" applyFont="1" applyFill="1" applyAlignment="1" applyProtection="1">
      <alignment horizontal="left"/>
      <protection hidden="1"/>
    </xf>
    <xf numFmtId="4" fontId="21" fillId="2" borderId="0" xfId="0" applyNumberFormat="1" applyFont="1" applyFill="1" applyAlignment="1" applyProtection="1">
      <alignment horizontal="right"/>
      <protection hidden="1"/>
    </xf>
    <xf numFmtId="0" fontId="3" fillId="2" borderId="120" xfId="0" applyFont="1" applyFill="1" applyBorder="1" applyAlignment="1" applyProtection="1">
      <alignment horizontal="center"/>
      <protection hidden="1"/>
    </xf>
    <xf numFmtId="0" fontId="3" fillId="2" borderId="4" xfId="0" applyFont="1" applyFill="1" applyBorder="1" applyAlignment="1" applyProtection="1">
      <alignment horizontal="left"/>
      <protection hidden="1"/>
    </xf>
    <xf numFmtId="0" fontId="3" fillId="2" borderId="10" xfId="0" applyFont="1" applyFill="1" applyBorder="1" applyAlignment="1" applyProtection="1">
      <alignment horizontal="right" vertical="center"/>
      <protection hidden="1"/>
    </xf>
    <xf numFmtId="3" fontId="3" fillId="2" borderId="24" xfId="0" applyNumberFormat="1" applyFont="1" applyFill="1" applyBorder="1" applyAlignment="1" applyProtection="1">
      <alignment horizontal="right" vertical="center"/>
      <protection locked="0"/>
    </xf>
    <xf numFmtId="3" fontId="3" fillId="2" borderId="0" xfId="0" applyNumberFormat="1" applyFont="1" applyFill="1" applyAlignment="1" applyProtection="1">
      <alignment horizontal="right" vertical="center"/>
      <protection locked="0"/>
    </xf>
    <xf numFmtId="3" fontId="3" fillId="2" borderId="3" xfId="0" applyNumberFormat="1" applyFont="1" applyFill="1" applyBorder="1" applyAlignment="1" applyProtection="1">
      <alignment horizontal="right" vertical="center"/>
      <protection locked="0"/>
    </xf>
    <xf numFmtId="0" fontId="3" fillId="2" borderId="6" xfId="0" applyFont="1" applyFill="1" applyBorder="1" applyAlignment="1" applyProtection="1">
      <alignment horizontal="right" vertical="center"/>
      <protection hidden="1"/>
    </xf>
    <xf numFmtId="3" fontId="3" fillId="35" borderId="8" xfId="0" applyNumberFormat="1" applyFont="1" applyFill="1" applyBorder="1" applyAlignment="1" applyProtection="1">
      <alignment horizontal="right" vertical="center"/>
      <protection locked="0"/>
    </xf>
    <xf numFmtId="3" fontId="3" fillId="35" borderId="0" xfId="0" applyNumberFormat="1" applyFont="1" applyFill="1" applyAlignment="1" applyProtection="1">
      <alignment horizontal="right" vertical="center"/>
      <protection locked="0"/>
    </xf>
    <xf numFmtId="3" fontId="3" fillId="35" borderId="1" xfId="0" applyNumberFormat="1" applyFont="1" applyFill="1" applyBorder="1" applyAlignment="1" applyProtection="1">
      <alignment horizontal="right" vertical="center"/>
      <protection locked="0"/>
    </xf>
    <xf numFmtId="0" fontId="9" fillId="3" borderId="16" xfId="0" applyFont="1" applyFill="1" applyBorder="1" applyAlignment="1" applyProtection="1">
      <alignment horizontal="right"/>
      <protection hidden="1"/>
    </xf>
    <xf numFmtId="0" fontId="3" fillId="3" borderId="25" xfId="0" applyFont="1" applyFill="1" applyBorder="1" applyProtection="1">
      <protection hidden="1"/>
    </xf>
    <xf numFmtId="0" fontId="3" fillId="7" borderId="6" xfId="0" applyFont="1" applyFill="1" applyBorder="1" applyAlignment="1" applyProtection="1">
      <alignment horizontal="right"/>
      <protection hidden="1"/>
    </xf>
    <xf numFmtId="0" fontId="3" fillId="3" borderId="24" xfId="0" applyFont="1" applyFill="1" applyBorder="1" applyAlignment="1" applyProtection="1">
      <alignment horizontal="center"/>
      <protection hidden="1"/>
    </xf>
    <xf numFmtId="0" fontId="20" fillId="3" borderId="0" xfId="0" applyFont="1" applyFill="1" applyAlignment="1" applyProtection="1">
      <alignment horizontal="center" vertical="center"/>
      <protection hidden="1"/>
    </xf>
    <xf numFmtId="0" fontId="9" fillId="3" borderId="8" xfId="0" applyFont="1" applyFill="1" applyBorder="1" applyAlignment="1" applyProtection="1">
      <alignment horizontal="right"/>
      <protection hidden="1"/>
    </xf>
    <xf numFmtId="0" fontId="3" fillId="15" borderId="24" xfId="0" applyFont="1" applyFill="1" applyBorder="1" applyAlignment="1">
      <alignment horizontal="left"/>
    </xf>
    <xf numFmtId="1" fontId="11" fillId="7" borderId="0" xfId="0" applyNumberFormat="1" applyFont="1" applyFill="1" applyAlignment="1" applyProtection="1">
      <alignment horizontal="center"/>
      <protection hidden="1"/>
    </xf>
    <xf numFmtId="0" fontId="5" fillId="24" borderId="27" xfId="0" applyFont="1" applyFill="1" applyBorder="1" applyProtection="1">
      <protection hidden="1"/>
    </xf>
    <xf numFmtId="0" fontId="10" fillId="29" borderId="27" xfId="0" applyFont="1" applyFill="1" applyBorder="1" applyProtection="1">
      <protection hidden="1"/>
    </xf>
    <xf numFmtId="0" fontId="5" fillId="24" borderId="26" xfId="0" applyFont="1" applyFill="1" applyBorder="1" applyProtection="1">
      <protection hidden="1"/>
    </xf>
    <xf numFmtId="0" fontId="5" fillId="24" borderId="1" xfId="0" applyFont="1" applyFill="1" applyBorder="1" applyProtection="1">
      <protection hidden="1"/>
    </xf>
    <xf numFmtId="0" fontId="5" fillId="24" borderId="29" xfId="0" applyFont="1" applyFill="1" applyBorder="1" applyProtection="1">
      <protection hidden="1"/>
    </xf>
    <xf numFmtId="0" fontId="5" fillId="24" borderId="5" xfId="0" applyFont="1" applyFill="1" applyBorder="1" applyProtection="1">
      <protection hidden="1"/>
    </xf>
    <xf numFmtId="1" fontId="3" fillId="7" borderId="0" xfId="0" applyNumberFormat="1" applyFont="1" applyFill="1" applyAlignment="1" applyProtection="1">
      <alignment horizontal="center"/>
      <protection hidden="1"/>
    </xf>
    <xf numFmtId="39" fontId="5" fillId="7" borderId="0" xfId="0" applyNumberFormat="1" applyFont="1" applyFill="1" applyAlignment="1" applyProtection="1">
      <alignment horizontal="right"/>
      <protection hidden="1"/>
    </xf>
    <xf numFmtId="1" fontId="11" fillId="7" borderId="0" xfId="0" applyNumberFormat="1" applyFont="1" applyFill="1" applyAlignment="1" applyProtection="1">
      <alignment horizontal="center" vertical="center"/>
      <protection hidden="1"/>
    </xf>
    <xf numFmtId="0" fontId="5" fillId="5" borderId="0" xfId="0" applyFont="1" applyFill="1" applyAlignment="1" applyProtection="1">
      <alignment vertical="center"/>
      <protection hidden="1"/>
    </xf>
    <xf numFmtId="1" fontId="3" fillId="7" borderId="15" xfId="0" applyNumberFormat="1" applyFont="1" applyFill="1" applyBorder="1" applyAlignment="1" applyProtection="1">
      <alignment horizontal="right"/>
      <protection hidden="1"/>
    </xf>
    <xf numFmtId="1" fontId="3" fillId="7" borderId="6" xfId="0" applyNumberFormat="1" applyFont="1" applyFill="1" applyBorder="1" applyAlignment="1" applyProtection="1">
      <alignment horizontal="right"/>
      <protection hidden="1"/>
    </xf>
    <xf numFmtId="3" fontId="42" fillId="3" borderId="24" xfId="0" applyNumberFormat="1" applyFont="1" applyFill="1" applyBorder="1" applyAlignment="1" applyProtection="1">
      <alignment horizontal="right"/>
      <protection hidden="1"/>
    </xf>
    <xf numFmtId="1" fontId="3" fillId="7" borderId="24" xfId="0" applyNumberFormat="1" applyFont="1" applyFill="1" applyBorder="1" applyAlignment="1" applyProtection="1">
      <alignment horizontal="right"/>
      <protection hidden="1"/>
    </xf>
    <xf numFmtId="4" fontId="11" fillId="3" borderId="24" xfId="0" applyNumberFormat="1" applyFont="1" applyFill="1" applyBorder="1" applyAlignment="1" applyProtection="1">
      <alignment horizontal="center"/>
      <protection hidden="1"/>
    </xf>
    <xf numFmtId="4" fontId="11" fillId="3" borderId="0" xfId="0" applyNumberFormat="1" applyFont="1" applyFill="1" applyAlignment="1" applyProtection="1">
      <alignment horizontal="center"/>
      <protection hidden="1"/>
    </xf>
    <xf numFmtId="4" fontId="3" fillId="3" borderId="4" xfId="0" applyNumberFormat="1" applyFont="1" applyFill="1" applyBorder="1" applyProtection="1">
      <protection hidden="1"/>
    </xf>
    <xf numFmtId="4" fontId="3" fillId="3" borderId="7" xfId="0" applyNumberFormat="1" applyFont="1" applyFill="1" applyBorder="1" applyProtection="1">
      <protection hidden="1"/>
    </xf>
    <xf numFmtId="1" fontId="3" fillId="3" borderId="6" xfId="0" applyNumberFormat="1" applyFont="1" applyFill="1" applyBorder="1" applyAlignment="1" applyProtection="1">
      <alignment horizontal="right"/>
      <protection hidden="1"/>
    </xf>
    <xf numFmtId="0" fontId="5" fillId="5" borderId="0" xfId="0" applyFont="1" applyFill="1" applyAlignment="1" applyProtection="1">
      <alignment horizontal="left"/>
      <protection hidden="1"/>
    </xf>
    <xf numFmtId="39" fontId="5" fillId="3" borderId="3" xfId="0" applyNumberFormat="1" applyFont="1" applyFill="1" applyBorder="1" applyAlignment="1" applyProtection="1">
      <alignment horizontal="right"/>
      <protection hidden="1"/>
    </xf>
    <xf numFmtId="0" fontId="80" fillId="5" borderId="7" xfId="0" applyFont="1" applyFill="1" applyBorder="1" applyAlignment="1" applyProtection="1">
      <alignment horizontal="center"/>
      <protection hidden="1"/>
    </xf>
    <xf numFmtId="0" fontId="10" fillId="0" borderId="0" xfId="0" applyFont="1" applyAlignment="1" applyProtection="1">
      <alignment horizontal="center"/>
      <protection hidden="1"/>
    </xf>
    <xf numFmtId="39" fontId="5" fillId="3" borderId="30" xfId="0" applyNumberFormat="1" applyFont="1" applyFill="1" applyBorder="1" applyAlignment="1" applyProtection="1">
      <alignment horizontal="right"/>
      <protection hidden="1"/>
    </xf>
    <xf numFmtId="39" fontId="5" fillId="7" borderId="0" xfId="0" applyNumberFormat="1" applyFont="1" applyFill="1" applyAlignment="1" applyProtection="1">
      <alignment horizontal="right" vertical="center"/>
      <protection hidden="1"/>
    </xf>
    <xf numFmtId="39" fontId="5" fillId="3" borderId="0" xfId="0" applyNumberFormat="1" applyFont="1" applyFill="1" applyAlignment="1" applyProtection="1">
      <alignment horizontal="center" vertical="center"/>
      <protection hidden="1"/>
    </xf>
    <xf numFmtId="174" fontId="21" fillId="0" borderId="0" xfId="0" applyNumberFormat="1" applyFont="1" applyAlignment="1" applyProtection="1">
      <alignment horizontal="center"/>
      <protection hidden="1"/>
    </xf>
    <xf numFmtId="0" fontId="21" fillId="0" borderId="0" xfId="0" applyFont="1" applyAlignment="1" applyProtection="1">
      <alignment horizontal="center"/>
      <protection hidden="1"/>
    </xf>
    <xf numFmtId="0" fontId="80" fillId="15" borderId="0" xfId="0" applyFont="1" applyFill="1" applyAlignment="1" applyProtection="1">
      <alignment horizontal="center"/>
      <protection hidden="1"/>
    </xf>
    <xf numFmtId="1" fontId="11" fillId="3" borderId="0" xfId="0" applyNumberFormat="1" applyFont="1" applyFill="1" applyAlignment="1" applyProtection="1">
      <alignment horizontal="center" vertical="center"/>
      <protection hidden="1"/>
    </xf>
    <xf numFmtId="39" fontId="5" fillId="14" borderId="3" xfId="0" applyNumberFormat="1" applyFont="1" applyFill="1" applyBorder="1" applyAlignment="1" applyProtection="1">
      <alignment horizontal="right"/>
      <protection hidden="1"/>
    </xf>
    <xf numFmtId="3" fontId="5" fillId="16" borderId="57" xfId="0" applyNumberFormat="1" applyFont="1" applyFill="1" applyBorder="1" applyAlignment="1" applyProtection="1">
      <alignment horizontal="right"/>
      <protection locked="0"/>
    </xf>
    <xf numFmtId="0" fontId="0" fillId="15" borderId="8" xfId="0" applyFill="1" applyBorder="1" applyAlignment="1" applyProtection="1">
      <alignment horizontal="center"/>
      <protection hidden="1"/>
    </xf>
    <xf numFmtId="0" fontId="10" fillId="15" borderId="7" xfId="0" quotePrefix="1" applyFont="1" applyFill="1" applyBorder="1" applyProtection="1">
      <protection hidden="1"/>
    </xf>
    <xf numFmtId="0" fontId="10" fillId="15" borderId="56" xfId="0" quotePrefix="1" applyFont="1" applyFill="1" applyBorder="1" applyProtection="1">
      <protection hidden="1"/>
    </xf>
    <xf numFmtId="0" fontId="10" fillId="15" borderId="36" xfId="0" quotePrefix="1" applyFont="1" applyFill="1" applyBorder="1" applyProtection="1">
      <protection hidden="1"/>
    </xf>
    <xf numFmtId="0" fontId="10" fillId="15" borderId="13" xfId="0" applyFont="1" applyFill="1" applyBorder="1" applyProtection="1">
      <protection hidden="1"/>
    </xf>
    <xf numFmtId="0" fontId="10" fillId="15" borderId="13" xfId="0" quotePrefix="1" applyFont="1" applyFill="1" applyBorder="1" applyProtection="1">
      <protection hidden="1"/>
    </xf>
    <xf numFmtId="0" fontId="73" fillId="15" borderId="34" xfId="0" applyFont="1" applyFill="1" applyBorder="1" applyAlignment="1" applyProtection="1">
      <alignment vertical="center"/>
      <protection hidden="1"/>
    </xf>
    <xf numFmtId="0" fontId="19" fillId="15" borderId="16" xfId="0" applyFont="1" applyFill="1" applyBorder="1" applyAlignment="1" applyProtection="1">
      <alignment vertical="center"/>
      <protection hidden="1"/>
    </xf>
    <xf numFmtId="0" fontId="10" fillId="15" borderId="8" xfId="0" quotePrefix="1" applyFont="1" applyFill="1" applyBorder="1" applyAlignment="1" applyProtection="1">
      <alignment horizontal="center"/>
      <protection hidden="1"/>
    </xf>
    <xf numFmtId="0" fontId="0" fillId="23" borderId="30" xfId="0" applyFill="1" applyBorder="1" applyProtection="1">
      <protection hidden="1"/>
    </xf>
    <xf numFmtId="0" fontId="0" fillId="23" borderId="8" xfId="0" applyFill="1" applyBorder="1" applyProtection="1">
      <protection hidden="1"/>
    </xf>
    <xf numFmtId="0" fontId="0" fillId="23" borderId="14" xfId="0" applyFill="1" applyBorder="1" applyProtection="1">
      <protection hidden="1"/>
    </xf>
    <xf numFmtId="0" fontId="0" fillId="23" borderId="3" xfId="0" applyFill="1" applyBorder="1" applyProtection="1">
      <protection hidden="1"/>
    </xf>
    <xf numFmtId="0" fontId="0" fillId="23" borderId="24" xfId="0" applyFill="1" applyBorder="1" applyProtection="1">
      <protection hidden="1"/>
    </xf>
    <xf numFmtId="0" fontId="0" fillId="23" borderId="9" xfId="0" applyFill="1" applyBorder="1" applyProtection="1">
      <protection hidden="1"/>
    </xf>
    <xf numFmtId="0" fontId="0" fillId="23" borderId="1" xfId="0" applyFill="1" applyBorder="1" applyProtection="1">
      <protection hidden="1"/>
    </xf>
    <xf numFmtId="0" fontId="0" fillId="23" borderId="11" xfId="0" applyFill="1" applyBorder="1" applyProtection="1">
      <protection hidden="1"/>
    </xf>
    <xf numFmtId="37" fontId="19" fillId="15" borderId="8" xfId="0" applyNumberFormat="1" applyFont="1" applyFill="1" applyBorder="1" applyAlignment="1" applyProtection="1">
      <alignment wrapText="1"/>
      <protection locked="0"/>
    </xf>
    <xf numFmtId="37" fontId="19" fillId="15" borderId="14" xfId="0" applyNumberFormat="1" applyFont="1" applyFill="1" applyBorder="1" applyAlignment="1" applyProtection="1">
      <alignment wrapText="1"/>
      <protection locked="0"/>
    </xf>
    <xf numFmtId="37" fontId="19" fillId="15" borderId="1" xfId="0" applyNumberFormat="1" applyFont="1" applyFill="1" applyBorder="1" applyAlignment="1" applyProtection="1">
      <alignment wrapText="1"/>
      <protection locked="0"/>
    </xf>
    <xf numFmtId="37" fontId="19" fillId="15" borderId="11" xfId="0" applyNumberFormat="1" applyFont="1" applyFill="1" applyBorder="1" applyAlignment="1" applyProtection="1">
      <alignment wrapText="1"/>
      <protection locked="0"/>
    </xf>
    <xf numFmtId="0" fontId="0" fillId="19" borderId="6" xfId="0" applyFill="1" applyBorder="1" applyAlignment="1" applyProtection="1">
      <alignment vertical="center"/>
      <protection hidden="1"/>
    </xf>
    <xf numFmtId="39" fontId="4" fillId="24" borderId="0" xfId="0" applyNumberFormat="1" applyFont="1" applyFill="1" applyAlignment="1" applyProtection="1">
      <alignment vertical="center"/>
      <protection locked="0"/>
    </xf>
    <xf numFmtId="0" fontId="13" fillId="15" borderId="4" xfId="0" applyFont="1" applyFill="1" applyBorder="1" applyProtection="1">
      <protection hidden="1"/>
    </xf>
    <xf numFmtId="39" fontId="10" fillId="15" borderId="4" xfId="0" quotePrefix="1" applyNumberFormat="1" applyFont="1" applyFill="1" applyBorder="1" applyProtection="1">
      <protection hidden="1"/>
    </xf>
    <xf numFmtId="0" fontId="43" fillId="15" borderId="13" xfId="0" applyFont="1" applyFill="1" applyBorder="1" applyAlignment="1" applyProtection="1">
      <alignment horizontal="left"/>
      <protection hidden="1"/>
    </xf>
    <xf numFmtId="0" fontId="9" fillId="2" borderId="7" xfId="0" applyFont="1" applyFill="1" applyBorder="1" applyAlignment="1" applyProtection="1">
      <alignment horizontal="right"/>
      <protection hidden="1"/>
    </xf>
    <xf numFmtId="0" fontId="10" fillId="15" borderId="10" xfId="0" quotePrefix="1" applyFont="1" applyFill="1" applyBorder="1" applyAlignment="1" applyProtection="1">
      <alignment horizontal="center"/>
      <protection hidden="1"/>
    </xf>
    <xf numFmtId="0" fontId="10" fillId="15" borderId="28" xfId="0" quotePrefix="1" applyFont="1" applyFill="1" applyBorder="1" applyAlignment="1" applyProtection="1">
      <alignment horizontal="center"/>
      <protection hidden="1"/>
    </xf>
    <xf numFmtId="3" fontId="147" fillId="15" borderId="0" xfId="0" applyNumberFormat="1" applyFont="1" applyFill="1" applyProtection="1">
      <protection hidden="1"/>
    </xf>
    <xf numFmtId="0" fontId="5" fillId="15" borderId="0" xfId="0" applyFont="1" applyFill="1" applyAlignment="1" applyProtection="1">
      <alignment horizontal="center" textRotation="90"/>
      <protection hidden="1"/>
    </xf>
    <xf numFmtId="0" fontId="267" fillId="15" borderId="0" xfId="0" applyFont="1" applyFill="1" applyAlignment="1" applyProtection="1">
      <alignment horizontal="center"/>
      <protection hidden="1"/>
    </xf>
    <xf numFmtId="0" fontId="267" fillId="15" borderId="0" xfId="0" applyFont="1" applyFill="1" applyAlignment="1" applyProtection="1">
      <alignment horizontal="center" vertical="top"/>
      <protection hidden="1"/>
    </xf>
    <xf numFmtId="37" fontId="10" fillId="15" borderId="2" xfId="0" applyNumberFormat="1" applyFont="1" applyFill="1" applyBorder="1" applyAlignment="1" applyProtection="1">
      <alignment horizontal="right" indent="1"/>
      <protection locked="0"/>
    </xf>
    <xf numFmtId="37" fontId="10" fillId="16" borderId="1" xfId="0" applyNumberFormat="1" applyFont="1" applyFill="1" applyBorder="1" applyProtection="1">
      <protection locked="0"/>
    </xf>
    <xf numFmtId="3" fontId="144" fillId="15" borderId="0" xfId="0" applyNumberFormat="1" applyFont="1" applyFill="1" applyAlignment="1" applyProtection="1">
      <alignment horizontal="center"/>
      <protection hidden="1"/>
    </xf>
    <xf numFmtId="182" fontId="0" fillId="24" borderId="0" xfId="0" applyNumberFormat="1" applyFill="1" applyAlignment="1" applyProtection="1">
      <alignment horizontal="left"/>
      <protection locked="0"/>
    </xf>
    <xf numFmtId="182" fontId="0" fillId="24" borderId="0" xfId="0" applyNumberFormat="1" applyFill="1" applyAlignment="1" applyProtection="1">
      <alignment horizontal="left" vertical="center"/>
      <protection locked="0"/>
    </xf>
    <xf numFmtId="0" fontId="144" fillId="15" borderId="7" xfId="0" applyFont="1" applyFill="1" applyBorder="1" applyProtection="1">
      <protection hidden="1"/>
    </xf>
    <xf numFmtId="0" fontId="144" fillId="15" borderId="36" xfId="0" applyFont="1" applyFill="1" applyBorder="1" applyProtection="1">
      <protection hidden="1"/>
    </xf>
    <xf numFmtId="0" fontId="245" fillId="15" borderId="24" xfId="0" applyFont="1" applyFill="1" applyBorder="1" applyAlignment="1" applyProtection="1">
      <alignment vertical="top" wrapText="1"/>
      <protection hidden="1"/>
    </xf>
    <xf numFmtId="0" fontId="151" fillId="15" borderId="1" xfId="0" applyFont="1" applyFill="1" applyBorder="1" applyAlignment="1">
      <alignment vertical="center" wrapText="1"/>
    </xf>
    <xf numFmtId="0" fontId="245" fillId="15" borderId="11" xfId="0" applyFont="1" applyFill="1" applyBorder="1" applyAlignment="1" applyProtection="1">
      <alignment vertical="top" wrapText="1"/>
      <protection hidden="1"/>
    </xf>
    <xf numFmtId="0" fontId="14" fillId="15" borderId="0" xfId="0" quotePrefix="1" applyFont="1" applyFill="1" applyAlignment="1" applyProtection="1">
      <alignment horizontal="center" vertical="center"/>
      <protection hidden="1"/>
    </xf>
    <xf numFmtId="0" fontId="126" fillId="2" borderId="0" xfId="0" applyFont="1" applyFill="1" applyAlignment="1" applyProtection="1">
      <alignment vertical="center"/>
      <protection hidden="1"/>
    </xf>
    <xf numFmtId="0" fontId="10" fillId="15" borderId="7" xfId="0" quotePrefix="1" applyFont="1" applyFill="1" applyBorder="1"/>
    <xf numFmtId="0" fontId="151" fillId="15" borderId="3" xfId="0" applyFont="1" applyFill="1" applyBorder="1" applyAlignment="1">
      <alignment vertical="center" wrapText="1"/>
    </xf>
    <xf numFmtId="0" fontId="151" fillId="15" borderId="8" xfId="0" applyFont="1" applyFill="1" applyBorder="1" applyAlignment="1">
      <alignment vertical="center" wrapText="1"/>
    </xf>
    <xf numFmtId="0" fontId="308" fillId="15" borderId="30" xfId="0" applyFont="1" applyFill="1" applyBorder="1" applyAlignment="1">
      <alignment vertical="center" wrapText="1"/>
    </xf>
    <xf numFmtId="0" fontId="308" fillId="15" borderId="8" xfId="0" applyFont="1" applyFill="1" applyBorder="1" applyAlignment="1">
      <alignment vertical="center" wrapText="1"/>
    </xf>
    <xf numFmtId="0" fontId="308" fillId="15" borderId="0" xfId="0" applyFont="1" applyFill="1" applyAlignment="1">
      <alignment vertical="center" wrapText="1"/>
    </xf>
    <xf numFmtId="0" fontId="308" fillId="15" borderId="3" xfId="0" applyFont="1" applyFill="1" applyBorder="1" applyAlignment="1">
      <alignment vertical="center" wrapText="1"/>
    </xf>
    <xf numFmtId="0" fontId="308" fillId="15" borderId="9" xfId="0" applyFont="1" applyFill="1" applyBorder="1" applyAlignment="1">
      <alignment vertical="center" wrapText="1"/>
    </xf>
    <xf numFmtId="0" fontId="308" fillId="15" borderId="1" xfId="0" applyFont="1" applyFill="1" applyBorder="1" applyAlignment="1">
      <alignment vertical="center" wrapText="1"/>
    </xf>
    <xf numFmtId="37" fontId="10" fillId="15" borderId="1" xfId="0" applyNumberFormat="1" applyFont="1" applyFill="1" applyBorder="1" applyProtection="1">
      <protection hidden="1"/>
    </xf>
    <xf numFmtId="0" fontId="310" fillId="15" borderId="0" xfId="0" applyFont="1" applyFill="1" applyAlignment="1">
      <alignment vertical="center" wrapText="1"/>
    </xf>
    <xf numFmtId="0" fontId="308" fillId="15" borderId="0" xfId="0" applyFont="1" applyFill="1" applyAlignment="1" applyProtection="1">
      <alignment vertical="center" wrapText="1"/>
      <protection locked="0"/>
    </xf>
    <xf numFmtId="0" fontId="151" fillId="15" borderId="0" xfId="0" applyFont="1" applyFill="1" applyAlignment="1" applyProtection="1">
      <alignment vertical="center" wrapText="1"/>
      <protection locked="0"/>
    </xf>
    <xf numFmtId="0" fontId="167" fillId="15" borderId="0" xfId="0" applyFont="1" applyFill="1" applyAlignment="1" applyProtection="1">
      <alignment horizontal="center"/>
      <protection hidden="1"/>
    </xf>
    <xf numFmtId="0" fontId="167" fillId="15" borderId="0" xfId="0" applyFont="1" applyFill="1" applyAlignment="1" applyProtection="1">
      <alignment horizontal="center" vertical="top"/>
      <protection hidden="1"/>
    </xf>
    <xf numFmtId="0" fontId="144" fillId="15" borderId="0" xfId="0" applyFont="1" applyFill="1" applyAlignment="1" applyProtection="1">
      <alignment vertical="top" wrapText="1"/>
      <protection hidden="1"/>
    </xf>
    <xf numFmtId="0" fontId="147" fillId="15" borderId="0" xfId="0" applyFont="1" applyFill="1" applyAlignment="1" applyProtection="1">
      <alignment horizontal="center" textRotation="90"/>
      <protection hidden="1"/>
    </xf>
    <xf numFmtId="0" fontId="147" fillId="15" borderId="0" xfId="0" applyFont="1" applyFill="1" applyAlignment="1" applyProtection="1">
      <alignment horizontal="center"/>
      <protection hidden="1"/>
    </xf>
    <xf numFmtId="0" fontId="307" fillId="15" borderId="0" xfId="0" applyFont="1" applyFill="1" applyAlignment="1">
      <alignment vertical="center" wrapText="1"/>
    </xf>
    <xf numFmtId="37" fontId="151" fillId="15" borderId="0" xfId="0" applyNumberFormat="1" applyFont="1" applyFill="1" applyAlignment="1">
      <alignment vertical="center" wrapText="1"/>
    </xf>
    <xf numFmtId="0" fontId="33" fillId="15" borderId="0" xfId="0" applyFont="1" applyFill="1" applyProtection="1">
      <protection hidden="1"/>
    </xf>
    <xf numFmtId="0" fontId="267" fillId="15" borderId="14" xfId="0" applyFont="1" applyFill="1" applyBorder="1" applyAlignment="1" applyProtection="1">
      <alignment horizontal="center" vertical="top"/>
      <protection hidden="1"/>
    </xf>
    <xf numFmtId="0" fontId="308" fillId="15" borderId="0" xfId="0" applyFont="1" applyFill="1" applyAlignment="1">
      <alignment wrapText="1"/>
    </xf>
    <xf numFmtId="0" fontId="151" fillId="15" borderId="0" xfId="0" applyFont="1" applyFill="1" applyAlignment="1">
      <alignment wrapText="1"/>
    </xf>
    <xf numFmtId="0" fontId="310" fillId="15" borderId="0" xfId="0" applyFont="1" applyFill="1" applyAlignment="1">
      <alignment horizontal="left" wrapText="1" indent="1"/>
    </xf>
    <xf numFmtId="0" fontId="3" fillId="15" borderId="0" xfId="0" applyFont="1" applyFill="1" applyAlignment="1" applyProtection="1">
      <alignment vertical="top"/>
      <protection hidden="1"/>
    </xf>
    <xf numFmtId="0" fontId="310" fillId="15" borderId="0" xfId="0" applyFont="1" applyFill="1" applyAlignment="1">
      <alignment horizontal="left" vertical="top" wrapText="1" indent="1"/>
    </xf>
    <xf numFmtId="0" fontId="13" fillId="15" borderId="0" xfId="0" applyFont="1" applyFill="1" applyAlignment="1" applyProtection="1">
      <alignment vertical="top" wrapText="1"/>
      <protection hidden="1"/>
    </xf>
    <xf numFmtId="0" fontId="13" fillId="15" borderId="1" xfId="0" applyFont="1" applyFill="1" applyBorder="1" applyAlignment="1" applyProtection="1">
      <alignment vertical="top" wrapText="1"/>
      <protection hidden="1"/>
    </xf>
    <xf numFmtId="0" fontId="46" fillId="15" borderId="0" xfId="0" applyFont="1" applyFill="1" applyAlignment="1" applyProtection="1">
      <alignment horizontal="left" vertical="top" indent="1"/>
      <protection hidden="1"/>
    </xf>
    <xf numFmtId="0" fontId="310" fillId="15" borderId="0" xfId="0" applyFont="1" applyFill="1" applyAlignment="1">
      <alignment horizontal="left" vertical="center" wrapText="1" indent="1"/>
    </xf>
    <xf numFmtId="3" fontId="110" fillId="15" borderId="0" xfId="0" applyNumberFormat="1" applyFont="1" applyFill="1" applyAlignment="1" applyProtection="1">
      <alignment horizontal="right" vertical="center" indent="1"/>
      <protection hidden="1"/>
    </xf>
    <xf numFmtId="3" fontId="126" fillId="15" borderId="0" xfId="0" applyNumberFormat="1" applyFont="1" applyFill="1" applyAlignment="1" applyProtection="1">
      <alignment horizontal="center" vertical="center"/>
      <protection hidden="1"/>
    </xf>
    <xf numFmtId="0" fontId="267" fillId="15" borderId="24" xfId="0" applyFont="1" applyFill="1" applyBorder="1" applyAlignment="1" applyProtection="1">
      <alignment horizontal="center"/>
      <protection hidden="1"/>
    </xf>
    <xf numFmtId="0" fontId="5" fillId="15" borderId="24" xfId="0" applyFont="1" applyFill="1" applyBorder="1" applyAlignment="1" applyProtection="1">
      <alignment horizontal="center" textRotation="90"/>
      <protection hidden="1"/>
    </xf>
    <xf numFmtId="0" fontId="267" fillId="15" borderId="24" xfId="0" applyFont="1" applyFill="1" applyBorder="1" applyAlignment="1" applyProtection="1">
      <alignment horizontal="center" vertical="top"/>
      <protection hidden="1"/>
    </xf>
    <xf numFmtId="0" fontId="5" fillId="15" borderId="24" xfId="0" applyFont="1" applyFill="1" applyBorder="1" applyAlignment="1" applyProtection="1">
      <alignment horizontal="center"/>
      <protection hidden="1"/>
    </xf>
    <xf numFmtId="0" fontId="3" fillId="15" borderId="4" xfId="0" applyFont="1" applyFill="1" applyBorder="1" applyAlignment="1" applyProtection="1">
      <alignment horizontal="left"/>
      <protection hidden="1"/>
    </xf>
    <xf numFmtId="0" fontId="135" fillId="15" borderId="0" xfId="0" applyFont="1" applyFill="1" applyAlignment="1">
      <alignment vertical="center" wrapText="1"/>
    </xf>
    <xf numFmtId="0" fontId="135" fillId="15" borderId="0" xfId="0" applyFont="1" applyFill="1" applyAlignment="1">
      <alignment horizontal="right" vertical="center" wrapText="1" indent="1"/>
    </xf>
    <xf numFmtId="0" fontId="159" fillId="15" borderId="0" xfId="0" applyFont="1" applyFill="1" applyAlignment="1" applyProtection="1">
      <alignment horizontal="center"/>
      <protection hidden="1"/>
    </xf>
    <xf numFmtId="0" fontId="110" fillId="15" borderId="0" xfId="0" applyFont="1" applyFill="1" applyAlignment="1">
      <alignment horizontal="left" vertical="center" wrapText="1"/>
    </xf>
    <xf numFmtId="0" fontId="3" fillId="15" borderId="0" xfId="0" applyFont="1" applyFill="1" applyAlignment="1" applyProtection="1">
      <alignment horizontal="left" vertical="center" indent="2"/>
      <protection hidden="1"/>
    </xf>
    <xf numFmtId="37" fontId="14" fillId="27" borderId="1" xfId="0" applyNumberFormat="1" applyFont="1" applyFill="1" applyBorder="1"/>
    <xf numFmtId="0" fontId="10" fillId="15" borderId="0" xfId="0" quotePrefix="1" applyFont="1" applyFill="1" applyAlignment="1" applyProtection="1">
      <alignment horizontal="right" indent="1"/>
      <protection hidden="1"/>
    </xf>
    <xf numFmtId="0" fontId="10" fillId="15" borderId="0" xfId="0" applyFont="1" applyFill="1" applyAlignment="1" applyProtection="1">
      <alignment vertical="center"/>
      <protection hidden="1"/>
    </xf>
    <xf numFmtId="0" fontId="13" fillId="15" borderId="0" xfId="0" applyFont="1" applyFill="1" applyAlignment="1" applyProtection="1">
      <alignment horizontal="left" indent="1"/>
      <protection hidden="1"/>
    </xf>
    <xf numFmtId="37" fontId="13" fillId="15" borderId="0" xfId="0" applyNumberFormat="1" applyFont="1" applyFill="1" applyAlignment="1" applyProtection="1">
      <alignment horizontal="right"/>
      <protection hidden="1"/>
    </xf>
    <xf numFmtId="0" fontId="19" fillId="15" borderId="0" xfId="0" applyFont="1" applyFill="1" applyAlignment="1" applyProtection="1">
      <alignment vertical="center"/>
      <protection hidden="1"/>
    </xf>
    <xf numFmtId="14" fontId="3" fillId="16" borderId="1" xfId="0" applyNumberFormat="1" applyFont="1" applyFill="1" applyBorder="1" applyAlignment="1" applyProtection="1">
      <alignment horizontal="center"/>
      <protection locked="0"/>
    </xf>
    <xf numFmtId="203" fontId="0" fillId="0" borderId="0" xfId="0" applyNumberFormat="1" applyAlignment="1" applyProtection="1">
      <alignment vertical="center"/>
      <protection hidden="1"/>
    </xf>
    <xf numFmtId="182" fontId="110" fillId="15" borderId="0" xfId="0" applyNumberFormat="1" applyFont="1" applyFill="1" applyAlignment="1" applyProtection="1">
      <alignment horizontal="center"/>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208" fillId="15" borderId="0" xfId="0" applyNumberFormat="1" applyFont="1" applyFill="1" applyAlignment="1" applyProtection="1">
      <alignment horizontal="left"/>
      <protection hidden="1"/>
    </xf>
    <xf numFmtId="0" fontId="234" fillId="15" borderId="0" xfId="0" applyFont="1" applyFill="1" applyAlignment="1" applyProtection="1">
      <alignment horizontal="left"/>
      <protection hidden="1"/>
    </xf>
    <xf numFmtId="0" fontId="234" fillId="15" borderId="24" xfId="0" applyFont="1" applyFill="1" applyBorder="1" applyAlignment="1" applyProtection="1">
      <alignment horizontal="left"/>
      <protection hidden="1"/>
    </xf>
    <xf numFmtId="4" fontId="106" fillId="15" borderId="0" xfId="0" applyNumberFormat="1" applyFont="1" applyFill="1" applyAlignment="1" applyProtection="1">
      <alignment horizontal="right"/>
      <protection hidden="1"/>
    </xf>
    <xf numFmtId="4" fontId="7" fillId="21" borderId="0" xfId="0" applyNumberFormat="1" applyFont="1" applyFill="1" applyAlignment="1" applyProtection="1">
      <alignment horizontal="center"/>
      <protection hidden="1"/>
    </xf>
    <xf numFmtId="0" fontId="7" fillId="21" borderId="0" xfId="0" applyFont="1" applyFill="1" applyAlignment="1" applyProtection="1">
      <alignment horizontal="center"/>
      <protection hidden="1"/>
    </xf>
    <xf numFmtId="0" fontId="7" fillId="21" borderId="24" xfId="0" applyFont="1" applyFill="1" applyBorder="1" applyAlignment="1" applyProtection="1">
      <alignment horizontal="center"/>
      <protection hidden="1"/>
    </xf>
    <xf numFmtId="4" fontId="207" fillId="2" borderId="0" xfId="0" applyNumberFormat="1" applyFont="1" applyFill="1" applyAlignment="1" applyProtection="1">
      <alignment horizontal="center"/>
      <protection hidden="1"/>
    </xf>
    <xf numFmtId="4" fontId="207" fillId="2" borderId="0" xfId="0" applyNumberFormat="1" applyFont="1" applyFill="1" applyAlignment="1" applyProtection="1">
      <alignment horizontal="left"/>
      <protection hidden="1"/>
    </xf>
    <xf numFmtId="4" fontId="207" fillId="2" borderId="24" xfId="0" applyNumberFormat="1" applyFont="1" applyFill="1" applyBorder="1" applyAlignment="1" applyProtection="1">
      <alignment horizontal="left"/>
      <protection hidden="1"/>
    </xf>
    <xf numFmtId="3" fontId="138" fillId="15" borderId="0" xfId="0" applyNumberFormat="1" applyFont="1" applyFill="1" applyAlignment="1" applyProtection="1">
      <alignment horizontal="center"/>
      <protection hidden="1"/>
    </xf>
    <xf numFmtId="0" fontId="120" fillId="2" borderId="0" xfId="0" applyFont="1" applyFill="1" applyAlignment="1" applyProtection="1">
      <alignment horizontal="left" vertical="center"/>
      <protection hidden="1"/>
    </xf>
    <xf numFmtId="0" fontId="19" fillId="2" borderId="0" xfId="0" applyFont="1" applyFill="1" applyAlignment="1" applyProtection="1">
      <alignment horizontal="left"/>
      <protection hidden="1"/>
    </xf>
    <xf numFmtId="0" fontId="9" fillId="40" borderId="1" xfId="0" applyFont="1" applyFill="1" applyBorder="1" applyAlignment="1" applyProtection="1">
      <alignment horizontal="center" wrapText="1"/>
      <protection hidden="1"/>
    </xf>
    <xf numFmtId="0" fontId="117" fillId="15" borderId="0" xfId="0" applyFont="1" applyFill="1" applyProtection="1">
      <protection hidden="1"/>
    </xf>
    <xf numFmtId="0" fontId="117" fillId="2" borderId="0" xfId="0" applyFont="1" applyFill="1" applyProtection="1">
      <protection hidden="1"/>
    </xf>
    <xf numFmtId="0" fontId="109" fillId="15" borderId="87" xfId="0" applyFont="1" applyFill="1" applyBorder="1" applyProtection="1">
      <protection hidden="1"/>
    </xf>
    <xf numFmtId="0" fontId="312" fillId="2" borderId="5" xfId="0" applyFont="1" applyFill="1" applyBorder="1" applyAlignment="1" applyProtection="1">
      <alignment horizontal="left" vertical="top"/>
      <protection hidden="1"/>
    </xf>
    <xf numFmtId="0" fontId="312" fillId="15" borderId="0" xfId="0" applyFont="1" applyFill="1"/>
    <xf numFmtId="0" fontId="200" fillId="15" borderId="0" xfId="0" applyFont="1" applyFill="1" applyAlignment="1" applyProtection="1">
      <alignment vertical="top"/>
      <protection hidden="1"/>
    </xf>
    <xf numFmtId="0" fontId="312" fillId="15" borderId="0" xfId="0" applyFont="1" applyFill="1" applyAlignment="1" applyProtection="1">
      <alignment horizontal="right" wrapText="1"/>
      <protection hidden="1"/>
    </xf>
    <xf numFmtId="0" fontId="312" fillId="15" borderId="20" xfId="0" applyFont="1" applyFill="1" applyBorder="1" applyAlignment="1" applyProtection="1">
      <alignment horizontal="center" wrapText="1"/>
      <protection hidden="1"/>
    </xf>
    <xf numFmtId="0" fontId="312" fillId="2" borderId="5" xfId="0" applyFont="1" applyFill="1" applyBorder="1" applyAlignment="1" applyProtection="1">
      <alignment horizontal="left"/>
      <protection hidden="1"/>
    </xf>
    <xf numFmtId="0" fontId="147" fillId="15" borderId="20" xfId="0" applyFont="1" applyFill="1" applyBorder="1" applyProtection="1">
      <protection hidden="1"/>
    </xf>
    <xf numFmtId="0" fontId="312" fillId="2" borderId="0" xfId="0" applyFont="1" applyFill="1" applyAlignment="1" applyProtection="1">
      <alignment horizontal="center"/>
      <protection hidden="1"/>
    </xf>
    <xf numFmtId="0" fontId="312" fillId="2" borderId="0" xfId="0" applyFont="1" applyFill="1" applyAlignment="1" applyProtection="1">
      <alignment horizontal="left"/>
      <protection hidden="1"/>
    </xf>
    <xf numFmtId="0" fontId="159" fillId="15" borderId="0" xfId="0" applyFont="1" applyFill="1" applyAlignment="1" applyProtection="1">
      <alignment horizontal="right"/>
      <protection hidden="1"/>
    </xf>
    <xf numFmtId="0" fontId="15" fillId="0" borderId="0" xfId="0" applyFont="1" applyAlignment="1">
      <alignment horizontal="left"/>
    </xf>
    <xf numFmtId="0" fontId="312" fillId="15" borderId="0" xfId="0" applyFont="1" applyFill="1" applyAlignment="1">
      <alignment horizontal="left"/>
    </xf>
    <xf numFmtId="0" fontId="200" fillId="15" borderId="0" xfId="0" applyFont="1" applyFill="1" applyProtection="1">
      <protection hidden="1"/>
    </xf>
    <xf numFmtId="0" fontId="312" fillId="2" borderId="0" xfId="0" applyFont="1" applyFill="1" applyAlignment="1" applyProtection="1">
      <alignment horizontal="left" vertical="top"/>
      <protection hidden="1"/>
    </xf>
    <xf numFmtId="0" fontId="312" fillId="15" borderId="0" xfId="0" applyFont="1" applyFill="1" applyAlignment="1" applyProtection="1">
      <alignment horizontal="center" wrapText="1"/>
      <protection hidden="1"/>
    </xf>
    <xf numFmtId="0" fontId="207" fillId="15" borderId="0" xfId="0" applyFont="1" applyFill="1" applyAlignment="1" applyProtection="1">
      <alignment horizontal="left"/>
      <protection hidden="1"/>
    </xf>
    <xf numFmtId="0" fontId="207" fillId="15" borderId="24" xfId="0" applyFont="1" applyFill="1" applyBorder="1" applyAlignment="1" applyProtection="1">
      <alignment horizontal="left"/>
      <protection hidden="1"/>
    </xf>
    <xf numFmtId="0" fontId="0" fillId="2" borderId="34" xfId="0" applyFill="1" applyBorder="1" applyProtection="1">
      <protection hidden="1"/>
    </xf>
    <xf numFmtId="0" fontId="7" fillId="2" borderId="34" xfId="0" applyFont="1" applyFill="1" applyBorder="1" applyProtection="1">
      <protection hidden="1"/>
    </xf>
    <xf numFmtId="0" fontId="9" fillId="2" borderId="34" xfId="0" applyFont="1" applyFill="1" applyBorder="1" applyProtection="1">
      <protection hidden="1"/>
    </xf>
    <xf numFmtId="0" fontId="11" fillId="2" borderId="34" xfId="0" applyFont="1" applyFill="1" applyBorder="1" applyAlignment="1">
      <alignment horizontal="center" wrapText="1"/>
    </xf>
    <xf numFmtId="0" fontId="7" fillId="2" borderId="34" xfId="0" applyFont="1" applyFill="1" applyBorder="1" applyAlignment="1" applyProtection="1">
      <alignment vertical="center"/>
      <protection hidden="1"/>
    </xf>
    <xf numFmtId="0" fontId="7" fillId="40" borderId="3" xfId="0" applyFont="1" applyFill="1" applyBorder="1" applyAlignment="1" applyProtection="1">
      <alignment horizontal="left"/>
      <protection hidden="1"/>
    </xf>
    <xf numFmtId="0" fontId="9" fillId="40" borderId="9" xfId="0" applyFont="1" applyFill="1" applyBorder="1" applyAlignment="1">
      <alignment vertical="center" wrapText="1"/>
    </xf>
    <xf numFmtId="0" fontId="0" fillId="40" borderId="1" xfId="0" applyFill="1" applyBorder="1" applyAlignment="1">
      <alignment vertical="center" wrapText="1"/>
    </xf>
    <xf numFmtId="0" fontId="0" fillId="40" borderId="9" xfId="0" applyFill="1" applyBorder="1" applyAlignment="1">
      <alignment vertical="center" wrapText="1"/>
    </xf>
    <xf numFmtId="0" fontId="0" fillId="40" borderId="11" xfId="0" applyFill="1" applyBorder="1" applyAlignment="1">
      <alignment vertical="center" wrapText="1"/>
    </xf>
    <xf numFmtId="0" fontId="0" fillId="40" borderId="39" xfId="0" applyFill="1" applyBorder="1" applyAlignment="1">
      <alignment vertical="center" wrapText="1"/>
    </xf>
    <xf numFmtId="0" fontId="0" fillId="40" borderId="54" xfId="0" applyFill="1" applyBorder="1" applyAlignment="1">
      <alignment vertical="center" wrapText="1"/>
    </xf>
    <xf numFmtId="0" fontId="0" fillId="40" borderId="35" xfId="0" applyFill="1" applyBorder="1" applyAlignment="1">
      <alignment vertical="center" wrapText="1"/>
    </xf>
    <xf numFmtId="0" fontId="0" fillId="40" borderId="17" xfId="0" applyFill="1" applyBorder="1" applyAlignment="1">
      <alignment vertical="center" wrapText="1"/>
    </xf>
    <xf numFmtId="0" fontId="0" fillId="40" borderId="0" xfId="0" applyFill="1" applyAlignment="1">
      <alignment vertical="center" wrapText="1"/>
    </xf>
    <xf numFmtId="0" fontId="0" fillId="40" borderId="13" xfId="0" applyFill="1" applyBorder="1" applyAlignment="1">
      <alignment vertical="center" wrapText="1"/>
    </xf>
    <xf numFmtId="0" fontId="7" fillId="40" borderId="0" xfId="0" applyFont="1" applyFill="1" applyAlignment="1">
      <alignment horizontal="left" vertical="center"/>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9" fillId="3" borderId="5" xfId="0" applyFont="1" applyFill="1" applyBorder="1" applyAlignment="1" applyProtection="1">
      <alignment horizontal="left"/>
      <protection hidden="1"/>
    </xf>
    <xf numFmtId="0" fontId="209" fillId="15" borderId="8" xfId="0" applyFont="1" applyFill="1" applyBorder="1" applyProtection="1">
      <protection hidden="1"/>
    </xf>
    <xf numFmtId="0" fontId="209" fillId="15" borderId="0" xfId="0" applyFont="1" applyFill="1" applyProtection="1">
      <protection hidden="1"/>
    </xf>
    <xf numFmtId="0" fontId="209" fillId="3" borderId="0" xfId="0" applyFont="1" applyFill="1" applyProtection="1">
      <protection hidden="1"/>
    </xf>
    <xf numFmtId="3" fontId="8" fillId="28" borderId="1" xfId="0" applyNumberFormat="1" applyFont="1" applyFill="1" applyBorder="1"/>
    <xf numFmtId="3" fontId="8" fillId="28" borderId="9" xfId="0" applyNumberFormat="1" applyFont="1" applyFill="1" applyBorder="1"/>
    <xf numFmtId="3" fontId="8" fillId="28" borderId="10" xfId="0" applyNumberFormat="1" applyFont="1" applyFill="1" applyBorder="1"/>
    <xf numFmtId="3" fontId="8" fillId="26" borderId="9" xfId="0" applyNumberFormat="1" applyFont="1" applyFill="1" applyBorder="1"/>
    <xf numFmtId="37" fontId="8" fillId="26" borderId="9" xfId="0" applyNumberFormat="1" applyFont="1" applyFill="1" applyBorder="1" applyAlignment="1">
      <alignment horizontal="right"/>
    </xf>
    <xf numFmtId="3" fontId="11" fillId="27" borderId="1" xfId="0" applyNumberFormat="1" applyFont="1" applyFill="1" applyBorder="1"/>
    <xf numFmtId="37" fontId="7" fillId="26" borderId="1" xfId="0" applyNumberFormat="1" applyFont="1" applyFill="1" applyBorder="1"/>
    <xf numFmtId="0" fontId="5" fillId="3" borderId="1" xfId="0" applyFont="1" applyFill="1" applyBorder="1" applyAlignment="1" applyProtection="1">
      <alignment vertical="top"/>
      <protection hidden="1"/>
    </xf>
    <xf numFmtId="37" fontId="8" fillId="15" borderId="30" xfId="0" applyNumberFormat="1" applyFont="1" applyFill="1" applyBorder="1" applyAlignment="1" applyProtection="1">
      <alignment horizontal="right"/>
      <protection locked="0"/>
    </xf>
    <xf numFmtId="37" fontId="8" fillId="15" borderId="8" xfId="0" applyNumberFormat="1" applyFont="1" applyFill="1" applyBorder="1" applyAlignment="1" applyProtection="1">
      <alignment horizontal="right"/>
      <protection locked="0"/>
    </xf>
    <xf numFmtId="0" fontId="3" fillId="14" borderId="30" xfId="0" applyFont="1" applyFill="1" applyBorder="1" applyAlignment="1" applyProtection="1">
      <alignment horizontal="center"/>
      <protection hidden="1"/>
    </xf>
    <xf numFmtId="0" fontId="3" fillId="14" borderId="3" xfId="0" applyFont="1" applyFill="1" applyBorder="1" applyAlignment="1" applyProtection="1">
      <alignment horizontal="center"/>
      <protection hidden="1"/>
    </xf>
    <xf numFmtId="0" fontId="9" fillId="3" borderId="0" xfId="0" applyFont="1" applyFill="1" applyAlignment="1" applyProtection="1">
      <alignment horizontal="left" vertical="top"/>
      <protection hidden="1"/>
    </xf>
    <xf numFmtId="0" fontId="9" fillId="3" borderId="5" xfId="0" applyFont="1" applyFill="1" applyBorder="1" applyAlignment="1" applyProtection="1">
      <alignment horizontal="left" vertical="center"/>
      <protection hidden="1"/>
    </xf>
    <xf numFmtId="0" fontId="46" fillId="3" borderId="27" xfId="0" applyFont="1" applyFill="1" applyBorder="1" applyAlignment="1" applyProtection="1">
      <alignment vertical="center"/>
      <protection hidden="1"/>
    </xf>
    <xf numFmtId="3" fontId="8" fillId="14" borderId="30" xfId="0" applyNumberFormat="1" applyFont="1" applyFill="1" applyBorder="1" applyProtection="1">
      <protection locked="0"/>
    </xf>
    <xf numFmtId="3" fontId="8" fillId="14" borderId="8" xfId="0" applyNumberFormat="1" applyFont="1" applyFill="1" applyBorder="1" applyProtection="1">
      <protection locked="0"/>
    </xf>
    <xf numFmtId="3" fontId="8" fillId="14" borderId="3" xfId="0" applyNumberFormat="1" applyFont="1" applyFill="1" applyBorder="1" applyProtection="1">
      <protection locked="0"/>
    </xf>
    <xf numFmtId="3" fontId="8" fillId="14" borderId="0" xfId="0" applyNumberFormat="1" applyFont="1" applyFill="1" applyProtection="1">
      <protection locked="0"/>
    </xf>
    <xf numFmtId="0" fontId="3" fillId="3" borderId="69" xfId="0" applyFont="1" applyFill="1" applyBorder="1" applyAlignment="1" applyProtection="1">
      <alignment horizontal="center"/>
      <protection hidden="1"/>
    </xf>
    <xf numFmtId="39" fontId="5" fillId="3" borderId="0" xfId="0" applyNumberFormat="1" applyFont="1" applyFill="1" applyAlignment="1" applyProtection="1">
      <alignment horizontal="left"/>
      <protection hidden="1"/>
    </xf>
    <xf numFmtId="39" fontId="5" fillId="3" borderId="4" xfId="0" applyNumberFormat="1" applyFont="1" applyFill="1" applyBorder="1" applyProtection="1">
      <protection hidden="1"/>
    </xf>
    <xf numFmtId="37" fontId="278" fillId="15" borderId="0" xfId="0" applyNumberFormat="1" applyFont="1" applyFill="1"/>
    <xf numFmtId="0" fontId="109" fillId="2" borderId="7" xfId="0" applyFont="1" applyFill="1" applyBorder="1" applyProtection="1">
      <protection hidden="1"/>
    </xf>
    <xf numFmtId="0" fontId="120" fillId="2" borderId="0" xfId="0" applyFont="1" applyFill="1" applyProtection="1">
      <protection hidden="1"/>
    </xf>
    <xf numFmtId="164" fontId="46" fillId="2" borderId="7" xfId="0" applyNumberFormat="1" applyFont="1" applyFill="1" applyBorder="1" applyAlignment="1" applyProtection="1">
      <alignment horizontal="left" vertical="center"/>
      <protection hidden="1"/>
    </xf>
    <xf numFmtId="164" fontId="46" fillId="2" borderId="0" xfId="0" applyNumberFormat="1" applyFont="1" applyFill="1" applyAlignment="1" applyProtection="1">
      <alignment horizontal="left" vertical="center"/>
      <protection hidden="1"/>
    </xf>
    <xf numFmtId="164" fontId="46" fillId="2" borderId="1" xfId="0" applyNumberFormat="1" applyFont="1" applyFill="1" applyBorder="1" applyAlignment="1" applyProtection="1">
      <alignment horizontal="left" vertical="top"/>
      <protection locked="0" hidden="1"/>
    </xf>
    <xf numFmtId="164" fontId="14" fillId="2" borderId="5" xfId="0" applyNumberFormat="1" applyFont="1" applyFill="1" applyBorder="1" applyAlignment="1" applyProtection="1">
      <alignment horizontal="center"/>
      <protection hidden="1"/>
    </xf>
    <xf numFmtId="40" fontId="46" fillId="2" borderId="0" xfId="0" applyNumberFormat="1" applyFont="1" applyFill="1" applyProtection="1">
      <protection hidden="1"/>
    </xf>
    <xf numFmtId="0" fontId="314" fillId="2" borderId="0" xfId="0" applyFont="1" applyFill="1" applyAlignment="1" applyProtection="1">
      <alignment horizontal="right"/>
      <protection hidden="1"/>
    </xf>
    <xf numFmtId="0" fontId="46" fillId="2" borderId="0" xfId="0" applyFont="1" applyFill="1" applyAlignment="1" applyProtection="1">
      <alignment horizontal="left" indent="2"/>
      <protection hidden="1"/>
    </xf>
    <xf numFmtId="0" fontId="14" fillId="2" borderId="0" xfId="0" applyFont="1" applyFill="1" applyAlignment="1" applyProtection="1">
      <alignment horizontal="center"/>
      <protection hidden="1"/>
    </xf>
    <xf numFmtId="0" fontId="46" fillId="2" borderId="4" xfId="0" applyFont="1" applyFill="1" applyBorder="1" applyProtection="1">
      <protection hidden="1"/>
    </xf>
    <xf numFmtId="0" fontId="46" fillId="2" borderId="0" xfId="0" applyFont="1" applyFill="1" applyAlignment="1" applyProtection="1">
      <alignment horizontal="left"/>
      <protection hidden="1"/>
    </xf>
    <xf numFmtId="1" fontId="46" fillId="2" borderId="0" xfId="0" applyNumberFormat="1" applyFont="1" applyFill="1" applyProtection="1">
      <protection hidden="1"/>
    </xf>
    <xf numFmtId="40" fontId="46" fillId="2" borderId="0" xfId="0" applyNumberFormat="1" applyFont="1" applyFill="1" applyAlignment="1" applyProtection="1">
      <alignment horizontal="left"/>
      <protection hidden="1"/>
    </xf>
    <xf numFmtId="164" fontId="14" fillId="2" borderId="5" xfId="0" applyNumberFormat="1" applyFont="1" applyFill="1" applyBorder="1" applyAlignment="1" applyProtection="1">
      <alignment vertical="top"/>
      <protection hidden="1"/>
    </xf>
    <xf numFmtId="164" fontId="14" fillId="2" borderId="21" xfId="0" applyNumberFormat="1" applyFont="1" applyFill="1" applyBorder="1" applyAlignment="1" applyProtection="1">
      <alignment vertical="top"/>
      <protection hidden="1"/>
    </xf>
    <xf numFmtId="0" fontId="46" fillId="2" borderId="0" xfId="0" applyFont="1" applyFill="1" applyAlignment="1" applyProtection="1">
      <alignment vertical="top"/>
      <protection hidden="1"/>
    </xf>
    <xf numFmtId="37" fontId="110" fillId="4" borderId="0" xfId="0" applyNumberFormat="1" applyFont="1" applyFill="1" applyAlignment="1" applyProtection="1">
      <alignment vertical="center"/>
      <protection locked="0"/>
    </xf>
    <xf numFmtId="37" fontId="110" fillId="4" borderId="0" xfId="0" applyNumberFormat="1" applyFont="1" applyFill="1" applyProtection="1">
      <protection locked="0"/>
    </xf>
    <xf numFmtId="0" fontId="14" fillId="2" borderId="0" xfId="0" quotePrefix="1" applyFont="1" applyFill="1" applyAlignment="1" applyProtection="1">
      <alignment horizontal="left"/>
      <protection hidden="1"/>
    </xf>
    <xf numFmtId="37" fontId="144" fillId="0" borderId="0" xfId="0" applyNumberFormat="1" applyFont="1" applyProtection="1">
      <protection hidden="1"/>
    </xf>
    <xf numFmtId="0" fontId="315" fillId="15" borderId="0" xfId="0" applyFont="1" applyFill="1" applyProtection="1">
      <protection hidden="1"/>
    </xf>
    <xf numFmtId="37" fontId="116" fillId="15" borderId="0" xfId="0" applyNumberFormat="1" applyFont="1" applyFill="1" applyAlignment="1" applyProtection="1">
      <alignment vertical="center"/>
      <protection hidden="1"/>
    </xf>
    <xf numFmtId="0" fontId="9" fillId="15" borderId="0" xfId="0" applyFont="1" applyFill="1" applyAlignment="1" applyProtection="1">
      <alignment vertical="center" wrapText="1"/>
      <protection hidden="1"/>
    </xf>
    <xf numFmtId="37" fontId="8" fillId="15" borderId="0" xfId="0" applyNumberFormat="1" applyFont="1" applyFill="1" applyAlignment="1" applyProtection="1">
      <alignment horizontal="right" vertical="center"/>
      <protection hidden="1"/>
    </xf>
    <xf numFmtId="37" fontId="8" fillId="15" borderId="0" xfId="0" applyNumberFormat="1" applyFont="1" applyFill="1" applyAlignment="1" applyProtection="1">
      <alignment vertical="center"/>
      <protection hidden="1"/>
    </xf>
    <xf numFmtId="0" fontId="7" fillId="15" borderId="0" xfId="0" quotePrefix="1" applyFont="1" applyFill="1" applyAlignment="1" applyProtection="1">
      <alignment vertical="top"/>
      <protection hidden="1"/>
    </xf>
    <xf numFmtId="37" fontId="8" fillId="23" borderId="0" xfId="0" applyNumberFormat="1" applyFont="1" applyFill="1" applyAlignment="1" applyProtection="1">
      <alignment horizontal="right"/>
      <protection hidden="1"/>
    </xf>
    <xf numFmtId="0" fontId="7" fillId="15" borderId="13" xfId="0" applyFont="1" applyFill="1" applyBorder="1" applyAlignment="1">
      <alignment horizontal="left" vertical="top"/>
    </xf>
    <xf numFmtId="4" fontId="0" fillId="3" borderId="15" xfId="0" applyNumberFormat="1" applyFill="1" applyBorder="1" applyAlignment="1" applyProtection="1">
      <alignment horizontal="center"/>
      <protection hidden="1"/>
    </xf>
    <xf numFmtId="0" fontId="3" fillId="14" borderId="0" xfId="0" applyFont="1" applyFill="1" applyAlignment="1" applyProtection="1">
      <alignment horizontal="right" vertical="top"/>
      <protection hidden="1"/>
    </xf>
    <xf numFmtId="0" fontId="5" fillId="14" borderId="8" xfId="0" applyFont="1" applyFill="1" applyBorder="1" applyProtection="1">
      <protection hidden="1"/>
    </xf>
    <xf numFmtId="0" fontId="5" fillId="15" borderId="8" xfId="0" applyFont="1" applyFill="1" applyBorder="1" applyAlignment="1">
      <alignment wrapText="1"/>
    </xf>
    <xf numFmtId="0" fontId="5" fillId="15" borderId="14" xfId="0" applyFont="1" applyFill="1" applyBorder="1" applyAlignment="1">
      <alignment wrapText="1"/>
    </xf>
    <xf numFmtId="0" fontId="3" fillId="15" borderId="24" xfId="0" applyFont="1" applyFill="1" applyBorder="1" applyAlignment="1">
      <alignment horizontal="right"/>
    </xf>
    <xf numFmtId="0" fontId="3" fillId="14" borderId="0" xfId="0" applyFont="1" applyFill="1" applyAlignment="1" applyProtection="1">
      <alignment vertical="top"/>
      <protection hidden="1"/>
    </xf>
    <xf numFmtId="0" fontId="3" fillId="14" borderId="4" xfId="0" applyFont="1" applyFill="1" applyBorder="1" applyAlignment="1" applyProtection="1">
      <alignment horizontal="right" vertical="top"/>
      <protection hidden="1"/>
    </xf>
    <xf numFmtId="0" fontId="3" fillId="15" borderId="70" xfId="0" applyFont="1" applyFill="1" applyBorder="1" applyAlignment="1">
      <alignment horizontal="right"/>
    </xf>
    <xf numFmtId="7" fontId="46" fillId="3" borderId="0" xfId="0" applyNumberFormat="1" applyFont="1" applyFill="1" applyAlignment="1" applyProtection="1">
      <alignment horizontal="left"/>
      <protection hidden="1"/>
    </xf>
    <xf numFmtId="174" fontId="5" fillId="0" borderId="12" xfId="0" applyNumberFormat="1" applyFont="1" applyBorder="1" applyAlignment="1" applyProtection="1">
      <alignment horizontal="center" wrapText="1"/>
      <protection locked="0"/>
    </xf>
    <xf numFmtId="3" fontId="5" fillId="0" borderId="12" xfId="0" applyNumberFormat="1" applyFont="1" applyBorder="1" applyAlignment="1" applyProtection="1">
      <alignment wrapText="1"/>
      <protection locked="0"/>
    </xf>
    <xf numFmtId="4" fontId="5" fillId="0" borderId="12" xfId="0" applyNumberFormat="1" applyFont="1" applyBorder="1" applyAlignment="1" applyProtection="1">
      <alignment wrapText="1"/>
      <protection locked="0"/>
    </xf>
    <xf numFmtId="3" fontId="280" fillId="3" borderId="0" xfId="0" applyNumberFormat="1" applyFont="1" applyFill="1" applyAlignment="1" applyProtection="1">
      <alignment horizontal="center"/>
      <protection hidden="1"/>
    </xf>
    <xf numFmtId="182" fontId="5" fillId="0" borderId="202" xfId="0" quotePrefix="1" applyNumberFormat="1" applyFont="1" applyBorder="1" applyAlignment="1">
      <alignment horizontal="center" vertical="center" wrapText="1"/>
    </xf>
    <xf numFmtId="49" fontId="3" fillId="15" borderId="33" xfId="0" applyNumberFormat="1" applyFont="1" applyFill="1" applyBorder="1" applyAlignment="1" applyProtection="1">
      <alignment horizontal="center"/>
      <protection hidden="1"/>
    </xf>
    <xf numFmtId="49" fontId="3" fillId="14" borderId="35" xfId="0" applyNumberFormat="1" applyFont="1" applyFill="1" applyBorder="1" applyAlignment="1" applyProtection="1">
      <alignment horizontal="center"/>
      <protection hidden="1"/>
    </xf>
    <xf numFmtId="49" fontId="14" fillId="20" borderId="17" xfId="0" applyNumberFormat="1" applyFont="1" applyFill="1" applyBorder="1" applyAlignment="1" applyProtection="1">
      <alignment horizontal="center" vertical="center"/>
      <protection locked="0"/>
    </xf>
    <xf numFmtId="0" fontId="3" fillId="3" borderId="3" xfId="0" applyFont="1" applyFill="1" applyBorder="1" applyProtection="1">
      <protection hidden="1"/>
    </xf>
    <xf numFmtId="0" fontId="46" fillId="3" borderId="8" xfId="0" applyFont="1" applyFill="1" applyBorder="1" applyAlignment="1" applyProtection="1">
      <alignment horizontal="left" wrapText="1" indent="1"/>
      <protection hidden="1"/>
    </xf>
    <xf numFmtId="39" fontId="5" fillId="3" borderId="0" xfId="0" applyNumberFormat="1" applyFont="1" applyFill="1" applyAlignment="1" applyProtection="1">
      <alignment horizontal="right" indent="1"/>
      <protection hidden="1"/>
    </xf>
    <xf numFmtId="39" fontId="46" fillId="14" borderId="0" xfId="0" applyNumberFormat="1" applyFont="1" applyFill="1" applyProtection="1">
      <protection hidden="1"/>
    </xf>
    <xf numFmtId="0" fontId="4" fillId="3" borderId="13" xfId="0" applyFont="1" applyFill="1" applyBorder="1" applyAlignment="1" applyProtection="1">
      <alignment horizontal="left" vertical="top" indent="1"/>
      <protection hidden="1"/>
    </xf>
    <xf numFmtId="0" fontId="11" fillId="15" borderId="0" xfId="0" applyFont="1" applyFill="1"/>
    <xf numFmtId="0" fontId="11" fillId="15" borderId="20" xfId="0" applyFont="1" applyFill="1" applyBorder="1"/>
    <xf numFmtId="37" fontId="5" fillId="0" borderId="0" xfId="0" applyNumberFormat="1" applyFont="1"/>
    <xf numFmtId="0" fontId="3" fillId="2" borderId="30" xfId="0" applyFont="1" applyFill="1" applyBorder="1" applyAlignment="1" applyProtection="1">
      <alignment horizontal="center"/>
      <protection hidden="1"/>
    </xf>
    <xf numFmtId="37" fontId="7" fillId="15" borderId="38" xfId="0" applyNumberFormat="1" applyFont="1" applyFill="1" applyBorder="1" applyAlignment="1" applyProtection="1">
      <alignment vertical="center"/>
      <protection locked="0"/>
    </xf>
    <xf numFmtId="0" fontId="3" fillId="2" borderId="15" xfId="0" applyFont="1" applyFill="1" applyBorder="1" applyAlignment="1" applyProtection="1">
      <alignment horizontal="center"/>
      <protection hidden="1"/>
    </xf>
    <xf numFmtId="0" fontId="3" fillId="2" borderId="24" xfId="0" applyFont="1" applyFill="1" applyBorder="1" applyAlignment="1" applyProtection="1">
      <alignment horizontal="right" vertical="center"/>
      <protection hidden="1"/>
    </xf>
    <xf numFmtId="37" fontId="200" fillId="15" borderId="0" xfId="0" applyNumberFormat="1" applyFont="1" applyFill="1" applyAlignment="1" applyProtection="1">
      <alignment vertical="center"/>
      <protection locked="0"/>
    </xf>
    <xf numFmtId="0" fontId="3" fillId="2" borderId="0" xfId="0" quotePrefix="1" applyFont="1" applyFill="1" applyAlignment="1" applyProtection="1">
      <alignment horizontal="right" vertical="center"/>
      <protection hidden="1"/>
    </xf>
    <xf numFmtId="0" fontId="110" fillId="2" borderId="8" xfId="0" applyFont="1" applyFill="1" applyBorder="1" applyProtection="1">
      <protection hidden="1"/>
    </xf>
    <xf numFmtId="1" fontId="11" fillId="0" borderId="54" xfId="0" applyNumberFormat="1" applyFont="1" applyBorder="1" applyAlignment="1" applyProtection="1">
      <alignment horizontal="center" vertical="center"/>
      <protection locked="0"/>
    </xf>
    <xf numFmtId="0" fontId="64" fillId="5" borderId="0" xfId="0" applyFont="1" applyFill="1" applyAlignment="1" applyProtection="1">
      <alignment vertical="center" wrapText="1"/>
      <protection hidden="1"/>
    </xf>
    <xf numFmtId="0" fontId="281" fillId="2" borderId="0" xfId="0" applyFont="1" applyFill="1" applyAlignment="1">
      <alignment horizontal="center"/>
    </xf>
    <xf numFmtId="1" fontId="313" fillId="3" borderId="0" xfId="0" applyNumberFormat="1" applyFont="1" applyFill="1" applyAlignment="1" applyProtection="1">
      <alignment horizontal="center"/>
      <protection hidden="1"/>
    </xf>
    <xf numFmtId="1" fontId="316" fillId="3" borderId="0" xfId="0" applyNumberFormat="1" applyFont="1" applyFill="1" applyAlignment="1" applyProtection="1">
      <alignment horizontal="center"/>
      <protection hidden="1"/>
    </xf>
    <xf numFmtId="176" fontId="317" fillId="3" borderId="0" xfId="0" applyNumberFormat="1" applyFont="1" applyFill="1" applyAlignment="1" applyProtection="1">
      <alignment horizontal="center"/>
      <protection hidden="1"/>
    </xf>
    <xf numFmtId="1" fontId="318" fillId="3" borderId="0" xfId="0" applyNumberFormat="1" applyFont="1" applyFill="1" applyAlignment="1" applyProtection="1">
      <alignment horizontal="center"/>
      <protection hidden="1"/>
    </xf>
    <xf numFmtId="39" fontId="317" fillId="3" borderId="0" xfId="0" applyNumberFormat="1" applyFont="1" applyFill="1" applyAlignment="1" applyProtection="1">
      <alignment horizontal="center"/>
      <protection hidden="1"/>
    </xf>
    <xf numFmtId="39" fontId="281" fillId="3" borderId="0" xfId="0" applyNumberFormat="1" applyFont="1" applyFill="1" applyAlignment="1" applyProtection="1">
      <alignment horizontal="center"/>
      <protection hidden="1"/>
    </xf>
    <xf numFmtId="0" fontId="75" fillId="5" borderId="0" xfId="0" applyFont="1" applyFill="1" applyAlignment="1" applyProtection="1">
      <alignment vertical="center" wrapText="1"/>
      <protection hidden="1"/>
    </xf>
    <xf numFmtId="0" fontId="74" fillId="14" borderId="8" xfId="0" applyFont="1" applyFill="1" applyBorder="1" applyAlignment="1" applyProtection="1">
      <alignment horizontal="center" vertical="center"/>
      <protection hidden="1"/>
    </xf>
    <xf numFmtId="0" fontId="144" fillId="15" borderId="2" xfId="0" applyFont="1" applyFill="1" applyBorder="1" applyProtection="1">
      <protection hidden="1"/>
    </xf>
    <xf numFmtId="0" fontId="318" fillId="15" borderId="0" xfId="0" applyFont="1" applyFill="1" applyAlignment="1" applyProtection="1">
      <alignment horizontal="center"/>
      <protection hidden="1"/>
    </xf>
    <xf numFmtId="37" fontId="10" fillId="15" borderId="0" xfId="0" applyNumberFormat="1" applyFont="1" applyFill="1"/>
    <xf numFmtId="0" fontId="14" fillId="16" borderId="2" xfId="0" applyFont="1" applyFill="1" applyBorder="1" applyAlignment="1" applyProtection="1">
      <alignment horizontal="center" vertical="center"/>
      <protection locked="0"/>
    </xf>
    <xf numFmtId="0" fontId="110" fillId="15" borderId="7" xfId="0" applyFont="1" applyFill="1" applyBorder="1" applyProtection="1">
      <protection hidden="1"/>
    </xf>
    <xf numFmtId="0" fontId="212" fillId="15" borderId="0" xfId="0" applyFont="1" applyFill="1"/>
    <xf numFmtId="0" fontId="9" fillId="15" borderId="0" xfId="0" applyFont="1" applyFill="1" applyAlignment="1">
      <alignment horizontal="left"/>
    </xf>
    <xf numFmtId="0" fontId="7" fillId="40" borderId="16" xfId="0" applyFont="1" applyFill="1" applyBorder="1" applyAlignment="1" applyProtection="1">
      <alignment horizontal="left" vertical="center" indent="1"/>
      <protection hidden="1"/>
    </xf>
    <xf numFmtId="0" fontId="3" fillId="40" borderId="16" xfId="0" applyFont="1" applyFill="1" applyBorder="1" applyAlignment="1" applyProtection="1">
      <alignment horizontal="right"/>
      <protection hidden="1"/>
    </xf>
    <xf numFmtId="0" fontId="3" fillId="40" borderId="16" xfId="0" applyFont="1" applyFill="1" applyBorder="1" applyProtection="1">
      <protection hidden="1"/>
    </xf>
    <xf numFmtId="0" fontId="7" fillId="40" borderId="16" xfId="0" applyFont="1" applyFill="1" applyBorder="1" applyProtection="1">
      <protection hidden="1"/>
    </xf>
    <xf numFmtId="0" fontId="9" fillId="40" borderId="16" xfId="0" applyFont="1" applyFill="1" applyBorder="1" applyProtection="1">
      <protection hidden="1"/>
    </xf>
    <xf numFmtId="0" fontId="11" fillId="40" borderId="16" xfId="0" applyFont="1" applyFill="1" applyBorder="1" applyProtection="1">
      <protection hidden="1"/>
    </xf>
    <xf numFmtId="0" fontId="7" fillId="40" borderId="16" xfId="0" applyFont="1" applyFill="1" applyBorder="1" applyAlignment="1" applyProtection="1">
      <alignment horizontal="center" vertical="center"/>
      <protection hidden="1"/>
    </xf>
    <xf numFmtId="0" fontId="0" fillId="40" borderId="16" xfId="0" applyFill="1" applyBorder="1" applyAlignment="1">
      <alignment horizontal="center"/>
    </xf>
    <xf numFmtId="0" fontId="0" fillId="40" borderId="16" xfId="0" applyFill="1" applyBorder="1" applyAlignment="1">
      <alignment horizontal="right" indent="1"/>
    </xf>
    <xf numFmtId="3" fontId="0" fillId="15" borderId="12" xfId="0" applyNumberFormat="1" applyFill="1" applyBorder="1" applyAlignment="1" applyProtection="1">
      <alignment horizontal="right" vertical="top" wrapText="1"/>
      <protection locked="0"/>
    </xf>
    <xf numFmtId="0" fontId="3" fillId="3" borderId="83" xfId="0" applyFont="1" applyFill="1" applyBorder="1" applyAlignment="1" applyProtection="1">
      <alignment horizontal="center"/>
      <protection hidden="1"/>
    </xf>
    <xf numFmtId="37" fontId="7" fillId="28" borderId="83" xfId="0" applyNumberFormat="1" applyFont="1" applyFill="1" applyBorder="1" applyAlignment="1" applyProtection="1">
      <alignment horizontal="right"/>
      <protection hidden="1"/>
    </xf>
    <xf numFmtId="37" fontId="7" fillId="28" borderId="28" xfId="0" applyNumberFormat="1" applyFont="1" applyFill="1" applyBorder="1" applyAlignment="1" applyProtection="1">
      <alignment horizontal="right"/>
      <protection hidden="1"/>
    </xf>
    <xf numFmtId="1" fontId="5" fillId="3" borderId="7" xfId="0" applyNumberFormat="1" applyFont="1" applyFill="1" applyBorder="1" applyAlignment="1" applyProtection="1">
      <alignment horizontal="center" vertical="center"/>
      <protection hidden="1"/>
    </xf>
    <xf numFmtId="37" fontId="7" fillId="26" borderId="69" xfId="0" applyNumberFormat="1" applyFont="1" applyFill="1" applyBorder="1" applyAlignment="1" applyProtection="1">
      <alignment horizontal="right"/>
      <protection hidden="1"/>
    </xf>
    <xf numFmtId="0" fontId="152" fillId="15" borderId="0" xfId="0" applyFont="1" applyFill="1" applyAlignment="1" applyProtection="1">
      <alignment vertical="center"/>
      <protection hidden="1"/>
    </xf>
    <xf numFmtId="180" fontId="0" fillId="15" borderId="0" xfId="0" applyNumberFormat="1" applyFill="1" applyAlignment="1" applyProtection="1">
      <alignment vertical="center"/>
      <protection hidden="1"/>
    </xf>
    <xf numFmtId="0" fontId="14" fillId="15" borderId="10" xfId="0" applyFont="1" applyFill="1" applyBorder="1" applyAlignment="1" applyProtection="1">
      <alignment horizontal="center" vertical="center"/>
      <protection hidden="1"/>
    </xf>
    <xf numFmtId="182" fontId="3" fillId="15" borderId="0" xfId="0" applyNumberFormat="1" applyFont="1" applyFill="1" applyProtection="1">
      <protection locked="0"/>
    </xf>
    <xf numFmtId="182" fontId="5" fillId="15" borderId="0" xfId="0" applyNumberFormat="1" applyFont="1" applyFill="1" applyProtection="1">
      <protection locked="0"/>
    </xf>
    <xf numFmtId="0" fontId="8" fillId="15" borderId="16" xfId="0" applyFont="1" applyFill="1" applyBorder="1" applyAlignment="1" applyProtection="1">
      <alignment horizontal="left"/>
      <protection hidden="1"/>
    </xf>
    <xf numFmtId="0" fontId="7" fillId="15" borderId="4" xfId="0" applyFont="1" applyFill="1" applyBorder="1" applyAlignment="1" applyProtection="1">
      <alignment horizontal="left"/>
      <protection hidden="1"/>
    </xf>
    <xf numFmtId="0" fontId="200" fillId="15" borderId="0" xfId="0" applyFont="1" applyFill="1" applyAlignment="1" applyProtection="1">
      <alignment vertical="top" wrapText="1"/>
      <protection hidden="1"/>
    </xf>
    <xf numFmtId="0" fontId="112" fillId="15" borderId="0" xfId="0" applyFont="1" applyFill="1" applyAlignment="1" applyProtection="1">
      <alignment vertical="center" wrapText="1"/>
      <protection hidden="1"/>
    </xf>
    <xf numFmtId="0" fontId="46" fillId="3" borderId="8" xfId="0" applyFont="1" applyFill="1" applyBorder="1" applyAlignment="1" applyProtection="1">
      <alignment vertical="center"/>
      <protection hidden="1"/>
    </xf>
    <xf numFmtId="0" fontId="46" fillId="3" borderId="1" xfId="0" applyFont="1" applyFill="1" applyBorder="1" applyAlignment="1" applyProtection="1">
      <alignment horizontal="left" vertical="center"/>
      <protection hidden="1"/>
    </xf>
    <xf numFmtId="0" fontId="3" fillId="3" borderId="24" xfId="0" applyFont="1" applyFill="1" applyBorder="1" applyAlignment="1" applyProtection="1">
      <alignment horizontal="right" vertical="top"/>
      <protection hidden="1"/>
    </xf>
    <xf numFmtId="4" fontId="3" fillId="3" borderId="0" xfId="0" applyNumberFormat="1" applyFont="1" applyFill="1" applyAlignment="1" applyProtection="1">
      <alignment horizontal="right" vertical="top"/>
      <protection hidden="1"/>
    </xf>
    <xf numFmtId="0" fontId="14" fillId="3" borderId="69" xfId="0" applyFont="1" applyFill="1" applyBorder="1" applyAlignment="1" applyProtection="1">
      <alignment horizontal="center" vertical="top"/>
      <protection hidden="1"/>
    </xf>
    <xf numFmtId="3" fontId="5" fillId="3" borderId="3" xfId="0" applyNumberFormat="1" applyFont="1" applyFill="1" applyBorder="1" applyProtection="1">
      <protection locked="0"/>
    </xf>
    <xf numFmtId="3" fontId="5" fillId="3" borderId="0" xfId="0" applyNumberFormat="1" applyFont="1" applyFill="1" applyProtection="1">
      <protection locked="0"/>
    </xf>
    <xf numFmtId="2" fontId="5" fillId="27" borderId="1" xfId="0" applyNumberFormat="1" applyFont="1" applyFill="1" applyBorder="1" applyAlignment="1" applyProtection="1">
      <alignment horizontal="right" indent="1"/>
      <protection hidden="1"/>
    </xf>
    <xf numFmtId="3" fontId="7" fillId="15" borderId="0" xfId="0" applyNumberFormat="1" applyFont="1" applyFill="1"/>
    <xf numFmtId="0" fontId="3" fillId="15" borderId="0" xfId="0" applyFont="1" applyFill="1" applyAlignment="1">
      <alignment wrapText="1"/>
    </xf>
    <xf numFmtId="2" fontId="5" fillId="15" borderId="8" xfId="0" applyNumberFormat="1" applyFont="1" applyFill="1" applyBorder="1"/>
    <xf numFmtId="2" fontId="5" fillId="15" borderId="0" xfId="0" applyNumberFormat="1" applyFont="1" applyFill="1"/>
    <xf numFmtId="202" fontId="7" fillId="15" borderId="0" xfId="0" applyNumberFormat="1" applyFont="1" applyFill="1"/>
    <xf numFmtId="0" fontId="112" fillId="15" borderId="0" xfId="0" applyFont="1" applyFill="1" applyAlignment="1">
      <alignment horizontal="center" vertical="center"/>
    </xf>
    <xf numFmtId="0" fontId="5" fillId="15" borderId="3" xfId="0" quotePrefix="1" applyFont="1" applyFill="1" applyBorder="1" applyAlignment="1">
      <alignment horizontal="right"/>
    </xf>
    <xf numFmtId="0" fontId="5" fillId="15" borderId="3" xfId="0" applyFont="1" applyFill="1" applyBorder="1" applyAlignment="1">
      <alignment horizontal="right"/>
    </xf>
    <xf numFmtId="202" fontId="7" fillId="15" borderId="3" xfId="0" applyNumberFormat="1" applyFont="1" applyFill="1" applyBorder="1"/>
    <xf numFmtId="3" fontId="7" fillId="15" borderId="3" xfId="0" applyNumberFormat="1" applyFont="1" applyFill="1" applyBorder="1"/>
    <xf numFmtId="0" fontId="5" fillId="16" borderId="12" xfId="0" applyFont="1" applyFill="1" applyBorder="1" applyAlignment="1" applyProtection="1">
      <alignment horizontal="left"/>
      <protection locked="0"/>
    </xf>
    <xf numFmtId="0" fontId="46" fillId="15" borderId="4" xfId="0" applyFont="1" applyFill="1" applyBorder="1" applyAlignment="1" applyProtection="1">
      <alignment vertical="top"/>
      <protection hidden="1"/>
    </xf>
    <xf numFmtId="0" fontId="10" fillId="15" borderId="25" xfId="0" applyFont="1" applyFill="1" applyBorder="1" applyAlignment="1" applyProtection="1">
      <alignment horizontal="centerContinuous" vertical="center"/>
      <protection hidden="1"/>
    </xf>
    <xf numFmtId="0" fontId="5" fillId="15" borderId="24" xfId="0" applyFont="1" applyFill="1" applyBorder="1" applyAlignment="1" applyProtection="1">
      <alignment vertical="center"/>
      <protection hidden="1"/>
    </xf>
    <xf numFmtId="0" fontId="10" fillId="15" borderId="6" xfId="0" quotePrefix="1" applyFont="1" applyFill="1" applyBorder="1" applyAlignment="1" applyProtection="1">
      <alignment horizontal="left" vertical="center"/>
      <protection hidden="1"/>
    </xf>
    <xf numFmtId="0" fontId="10" fillId="15" borderId="0" xfId="0" quotePrefix="1" applyFont="1" applyFill="1" applyAlignment="1" applyProtection="1">
      <alignment horizontal="left" vertical="center"/>
      <protection hidden="1"/>
    </xf>
    <xf numFmtId="0" fontId="46" fillId="15" borderId="0" xfId="0" applyFont="1" applyFill="1" applyAlignment="1">
      <alignment vertical="center"/>
    </xf>
    <xf numFmtId="0" fontId="46" fillId="15" borderId="24" xfId="0" applyFont="1" applyFill="1" applyBorder="1" applyAlignment="1" applyProtection="1">
      <alignment horizontal="right" vertical="center"/>
      <protection hidden="1"/>
    </xf>
    <xf numFmtId="0" fontId="36" fillId="2" borderId="0" xfId="0" applyFont="1" applyFill="1" applyAlignment="1" applyProtection="1">
      <alignment horizontal="left" vertical="center" wrapText="1"/>
      <protection hidden="1"/>
    </xf>
    <xf numFmtId="0" fontId="206" fillId="0" borderId="0" xfId="0" applyFont="1" applyAlignment="1" applyProtection="1">
      <alignment horizontal="center"/>
      <protection hidden="1"/>
    </xf>
    <xf numFmtId="4" fontId="9" fillId="3" borderId="13" xfId="0" applyNumberFormat="1" applyFont="1" applyFill="1" applyBorder="1" applyAlignment="1" applyProtection="1">
      <alignment vertical="center"/>
      <protection hidden="1"/>
    </xf>
    <xf numFmtId="0" fontId="15" fillId="3" borderId="0" xfId="0" applyFont="1" applyFill="1" applyProtection="1">
      <protection hidden="1"/>
    </xf>
    <xf numFmtId="1" fontId="9" fillId="3" borderId="0" xfId="0" applyNumberFormat="1" applyFont="1" applyFill="1" applyAlignment="1" applyProtection="1">
      <alignment horizontal="left"/>
      <protection hidden="1"/>
    </xf>
    <xf numFmtId="0" fontId="19" fillId="24" borderId="0" xfId="4" applyFont="1" applyFill="1" applyAlignment="1">
      <alignment horizontal="right"/>
    </xf>
    <xf numFmtId="0" fontId="256" fillId="24" borderId="0" xfId="4" applyFont="1" applyFill="1"/>
    <xf numFmtId="0" fontId="67" fillId="24" borderId="0" xfId="4" applyFont="1" applyFill="1" applyAlignment="1">
      <alignment vertical="center"/>
    </xf>
    <xf numFmtId="0" fontId="301" fillId="24" borderId="0" xfId="4" applyFont="1" applyFill="1" applyAlignment="1">
      <alignment horizontal="right" vertical="center"/>
    </xf>
    <xf numFmtId="0" fontId="322" fillId="24" borderId="0" xfId="4" applyFont="1" applyFill="1" applyAlignment="1">
      <alignment horizontal="right" vertical="center"/>
    </xf>
    <xf numFmtId="0" fontId="14" fillId="15" borderId="7" xfId="0" applyFont="1" applyFill="1" applyBorder="1"/>
    <xf numFmtId="0" fontId="14" fillId="15" borderId="23" xfId="0" applyFont="1" applyFill="1" applyBorder="1" applyAlignment="1">
      <alignment horizontal="left" indent="1"/>
    </xf>
    <xf numFmtId="0" fontId="34" fillId="15" borderId="5" xfId="0" applyFont="1" applyFill="1" applyBorder="1" applyAlignment="1" applyProtection="1">
      <alignment horizontal="left" indent="1"/>
      <protection hidden="1"/>
    </xf>
    <xf numFmtId="0" fontId="9" fillId="15" borderId="5" xfId="0" applyFont="1" applyFill="1" applyBorder="1"/>
    <xf numFmtId="6" fontId="5" fillId="15" borderId="5" xfId="0" applyNumberFormat="1" applyFont="1" applyFill="1" applyBorder="1"/>
    <xf numFmtId="0" fontId="14" fillId="15" borderId="5" xfId="0" applyFont="1" applyFill="1" applyBorder="1" applyAlignment="1">
      <alignment horizontal="left" vertical="top" indent="1"/>
    </xf>
    <xf numFmtId="6" fontId="5" fillId="15" borderId="0" xfId="0" applyNumberFormat="1" applyFont="1" applyFill="1"/>
    <xf numFmtId="0" fontId="14" fillId="15" borderId="0" xfId="0" applyFont="1" applyFill="1" applyAlignment="1">
      <alignment horizontal="left" indent="1"/>
    </xf>
    <xf numFmtId="0" fontId="14" fillId="15" borderId="0" xfId="0" applyFont="1" applyFill="1" applyAlignment="1">
      <alignment horizontal="left" vertical="top" indent="1"/>
    </xf>
    <xf numFmtId="0" fontId="34" fillId="15" borderId="0" xfId="0" applyFont="1" applyFill="1" applyAlignment="1" applyProtection="1">
      <alignment horizontal="left" indent="1"/>
      <protection hidden="1"/>
    </xf>
    <xf numFmtId="0" fontId="7" fillId="15" borderId="0" xfId="0" applyFont="1" applyFill="1" applyAlignment="1">
      <alignment horizontal="left" indent="1"/>
    </xf>
    <xf numFmtId="0" fontId="7" fillId="15" borderId="0" xfId="0" applyFont="1" applyFill="1" applyAlignment="1">
      <alignment horizontal="left"/>
    </xf>
    <xf numFmtId="0" fontId="28" fillId="15" borderId="0" xfId="0" applyFont="1" applyFill="1"/>
    <xf numFmtId="0" fontId="14" fillId="15" borderId="7" xfId="0" applyFont="1" applyFill="1" applyBorder="1" applyAlignment="1">
      <alignment horizontal="left"/>
    </xf>
    <xf numFmtId="0" fontId="213" fillId="15" borderId="0" xfId="0" applyFont="1" applyFill="1" applyAlignment="1">
      <alignment horizontal="left" vertical="top"/>
    </xf>
    <xf numFmtId="0" fontId="7" fillId="15" borderId="0" xfId="0" applyFont="1" applyFill="1" applyAlignment="1">
      <alignment vertical="top"/>
    </xf>
    <xf numFmtId="0" fontId="5" fillId="23" borderId="0" xfId="4" applyFill="1" applyProtection="1">
      <protection hidden="1"/>
    </xf>
    <xf numFmtId="0" fontId="5" fillId="0" borderId="0" xfId="4" applyProtection="1">
      <protection hidden="1"/>
    </xf>
    <xf numFmtId="39" fontId="14" fillId="24" borderId="0" xfId="4" applyNumberFormat="1" applyFont="1" applyFill="1" applyProtection="1">
      <protection locked="0"/>
    </xf>
    <xf numFmtId="39" fontId="5" fillId="24" borderId="0" xfId="4" applyNumberFormat="1" applyFill="1" applyProtection="1">
      <protection locked="0"/>
    </xf>
    <xf numFmtId="0" fontId="43" fillId="15" borderId="0" xfId="4" applyFont="1" applyFill="1" applyProtection="1">
      <protection hidden="1"/>
    </xf>
    <xf numFmtId="0" fontId="9" fillId="15" borderId="0" xfId="4" applyFont="1" applyFill="1" applyProtection="1">
      <protection hidden="1"/>
    </xf>
    <xf numFmtId="0" fontId="5" fillId="15" borderId="21" xfId="4" applyFill="1" applyBorder="1" applyProtection="1">
      <protection hidden="1"/>
    </xf>
    <xf numFmtId="0" fontId="5" fillId="15" borderId="23" xfId="4" applyFill="1" applyBorder="1" applyProtection="1">
      <protection hidden="1"/>
    </xf>
    <xf numFmtId="0" fontId="46" fillId="15" borderId="25" xfId="4" applyFont="1" applyFill="1" applyBorder="1" applyProtection="1">
      <protection hidden="1"/>
    </xf>
    <xf numFmtId="0" fontId="5" fillId="15" borderId="25" xfId="4" applyFill="1" applyBorder="1" applyProtection="1">
      <protection hidden="1"/>
    </xf>
    <xf numFmtId="0" fontId="189" fillId="15" borderId="0" xfId="4" applyFont="1" applyFill="1" applyProtection="1">
      <protection hidden="1"/>
    </xf>
    <xf numFmtId="0" fontId="13" fillId="15" borderId="0" xfId="4" applyFont="1" applyFill="1" applyProtection="1">
      <protection hidden="1"/>
    </xf>
    <xf numFmtId="0" fontId="13" fillId="23" borderId="0" xfId="4" applyFont="1" applyFill="1" applyProtection="1">
      <protection hidden="1"/>
    </xf>
    <xf numFmtId="0" fontId="13" fillId="15" borderId="25" xfId="4" applyFont="1" applyFill="1" applyBorder="1" applyProtection="1">
      <protection hidden="1"/>
    </xf>
    <xf numFmtId="0" fontId="13" fillId="0" borderId="0" xfId="4" applyFont="1" applyProtection="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30" xfId="4" applyFill="1" applyBorder="1" applyAlignment="1" applyProtection="1">
      <alignment horizontal="center" vertical="center" wrapText="1"/>
      <protection hidden="1"/>
    </xf>
    <xf numFmtId="0" fontId="5" fillId="15" borderId="3" xfId="4" applyFill="1" applyBorder="1" applyProtection="1">
      <protection hidden="1"/>
    </xf>
    <xf numFmtId="0" fontId="3" fillId="16" borderId="15" xfId="4" applyFont="1" applyFill="1" applyBorder="1" applyAlignment="1" applyProtection="1">
      <alignment horizontal="center" vertical="center"/>
      <protection locked="0"/>
    </xf>
    <xf numFmtId="0" fontId="5" fillId="15" borderId="24" xfId="4" applyFill="1" applyBorder="1" applyProtection="1">
      <protection hidden="1"/>
    </xf>
    <xf numFmtId="0" fontId="3" fillId="15" borderId="0" xfId="4" applyFont="1" applyFill="1" applyProtection="1">
      <protection hidden="1"/>
    </xf>
    <xf numFmtId="0" fontId="8" fillId="16" borderId="57" xfId="4" applyFont="1" applyFill="1" applyBorder="1" applyAlignment="1" applyProtection="1">
      <alignment horizontal="center"/>
      <protection locked="0"/>
    </xf>
    <xf numFmtId="0" fontId="5" fillId="23" borderId="0" xfId="4" applyFill="1" applyAlignment="1" applyProtection="1">
      <alignment vertical="center"/>
      <protection hidden="1"/>
    </xf>
    <xf numFmtId="0" fontId="14" fillId="15" borderId="25" xfId="4" applyFont="1" applyFill="1" applyBorder="1" applyAlignment="1" applyProtection="1">
      <alignment vertical="center"/>
      <protection hidden="1"/>
    </xf>
    <xf numFmtId="0" fontId="5" fillId="15" borderId="25" xfId="4" applyFill="1" applyBorder="1" applyAlignment="1" applyProtection="1">
      <alignment vertical="center"/>
      <protection hidden="1"/>
    </xf>
    <xf numFmtId="0" fontId="5" fillId="0" borderId="0" xfId="4" applyAlignment="1" applyProtection="1">
      <alignment vertical="center"/>
      <protection hidden="1"/>
    </xf>
    <xf numFmtId="39" fontId="5" fillId="24" borderId="0" xfId="4" applyNumberFormat="1" applyFill="1" applyAlignment="1" applyProtection="1">
      <alignment vertical="center"/>
      <protection locked="0"/>
    </xf>
    <xf numFmtId="0" fontId="5" fillId="19" borderId="8" xfId="4" applyFill="1" applyBorder="1" applyAlignment="1" applyProtection="1">
      <alignment horizontal="center" vertical="center" wrapText="1"/>
      <protection hidden="1"/>
    </xf>
    <xf numFmtId="0" fontId="5" fillId="19" borderId="14" xfId="4" applyFill="1" applyBorder="1" applyAlignment="1" applyProtection="1">
      <alignment horizontal="center" vertical="center" wrapText="1"/>
      <protection hidden="1"/>
    </xf>
    <xf numFmtId="0" fontId="5" fillId="19" borderId="1" xfId="4" applyFill="1" applyBorder="1" applyProtection="1">
      <protection hidden="1"/>
    </xf>
    <xf numFmtId="0" fontId="5" fillId="19" borderId="11" xfId="4" applyFill="1" applyBorder="1" applyProtection="1">
      <protection hidden="1"/>
    </xf>
    <xf numFmtId="1" fontId="10" fillId="15" borderId="25" xfId="4" applyNumberFormat="1" applyFont="1" applyFill="1" applyBorder="1" applyAlignment="1" applyProtection="1">
      <alignment horizontal="center" vertical="center" wrapText="1"/>
      <protection hidden="1"/>
    </xf>
    <xf numFmtId="0" fontId="14" fillId="15" borderId="0" xfId="4" applyFont="1" applyFill="1" applyProtection="1">
      <protection hidden="1"/>
    </xf>
    <xf numFmtId="0" fontId="46" fillId="15" borderId="0" xfId="4" applyFont="1" applyFill="1" applyProtection="1">
      <protection hidden="1"/>
    </xf>
    <xf numFmtId="0" fontId="10" fillId="15" borderId="25" xfId="4" applyFont="1" applyFill="1" applyBorder="1" applyAlignment="1" applyProtection="1">
      <alignment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0" fontId="14" fillId="15" borderId="0" xfId="4" applyFont="1" applyFill="1" applyAlignment="1" applyProtection="1">
      <alignment horizontal="center"/>
      <protection hidden="1"/>
    </xf>
    <xf numFmtId="0" fontId="8" fillId="16" borderId="12" xfId="4" applyFont="1" applyFill="1" applyBorder="1" applyAlignment="1" applyProtection="1">
      <alignment horizontal="center"/>
      <protection locked="0"/>
    </xf>
    <xf numFmtId="0" fontId="7" fillId="15" borderId="0" xfId="4" applyFont="1" applyFill="1" applyAlignment="1" applyProtection="1">
      <alignment horizontal="left"/>
      <protection hidden="1"/>
    </xf>
    <xf numFmtId="0" fontId="7" fillId="15" borderId="0" xfId="4" applyFont="1" applyFill="1" applyProtection="1">
      <protection hidden="1"/>
    </xf>
    <xf numFmtId="0" fontId="122" fillId="15" borderId="0" xfId="4" applyFont="1" applyFill="1" applyProtection="1">
      <protection hidden="1"/>
    </xf>
    <xf numFmtId="0" fontId="46" fillId="15" borderId="0" xfId="4" applyFont="1" applyFill="1" applyAlignment="1" applyProtection="1">
      <alignment vertical="center"/>
      <protection hidden="1"/>
    </xf>
    <xf numFmtId="0" fontId="5" fillId="15" borderId="0" xfId="4" applyFill="1" applyAlignment="1" applyProtection="1">
      <alignment vertical="center"/>
      <protection hidden="1"/>
    </xf>
    <xf numFmtId="0" fontId="122" fillId="15" borderId="0" xfId="4" applyFont="1" applyFill="1" applyAlignment="1" applyProtection="1">
      <alignment vertical="center"/>
      <protection hidden="1"/>
    </xf>
    <xf numFmtId="0" fontId="3" fillId="15" borderId="0" xfId="4" applyFont="1" applyFill="1" applyAlignment="1" applyProtection="1">
      <alignment vertical="center"/>
      <protection hidden="1"/>
    </xf>
    <xf numFmtId="0" fontId="7" fillId="23" borderId="0" xfId="4" applyFont="1" applyFill="1" applyProtection="1">
      <protection hidden="1"/>
    </xf>
    <xf numFmtId="0" fontId="7" fillId="19" borderId="8" xfId="4" applyFont="1" applyFill="1" applyBorder="1" applyProtection="1">
      <protection hidden="1"/>
    </xf>
    <xf numFmtId="39" fontId="7" fillId="24" borderId="0" xfId="4" applyNumberFormat="1" applyFont="1" applyFill="1" applyProtection="1">
      <protection locked="0"/>
    </xf>
    <xf numFmtId="0" fontId="7" fillId="0" borderId="0" xfId="4" applyFont="1" applyProtection="1">
      <protection hidden="1"/>
    </xf>
    <xf numFmtId="0" fontId="7" fillId="19" borderId="0" xfId="4" applyFont="1" applyFill="1" applyProtection="1">
      <protection hidden="1"/>
    </xf>
    <xf numFmtId="0" fontId="3" fillId="15" borderId="0" xfId="4" applyFont="1" applyFill="1" applyAlignment="1" applyProtection="1">
      <alignment horizontal="left" vertical="center"/>
      <protection hidden="1"/>
    </xf>
    <xf numFmtId="0" fontId="5" fillId="15" borderId="0" xfId="4" applyFill="1" applyAlignment="1" applyProtection="1">
      <alignment horizontal="right" vertical="center"/>
      <protection hidden="1"/>
    </xf>
    <xf numFmtId="0" fontId="5" fillId="15" borderId="4" xfId="4" applyFill="1" applyBorder="1" applyAlignment="1" applyProtection="1">
      <alignment horizontal="right"/>
      <protection hidden="1"/>
    </xf>
    <xf numFmtId="0" fontId="3" fillId="15" borderId="23" xfId="4" applyFont="1" applyFill="1" applyBorder="1" applyAlignment="1" applyProtection="1">
      <alignment horizontal="left" indent="1"/>
      <protection hidden="1"/>
    </xf>
    <xf numFmtId="0" fontId="13" fillId="15" borderId="8" xfId="4" applyFont="1" applyFill="1" applyBorder="1" applyProtection="1">
      <protection hidden="1"/>
    </xf>
    <xf numFmtId="0" fontId="10" fillId="15" borderId="8" xfId="4" applyFont="1" applyFill="1" applyBorder="1" applyProtection="1">
      <protection hidden="1"/>
    </xf>
    <xf numFmtId="0" fontId="5" fillId="15" borderId="1" xfId="4" applyFill="1" applyBorder="1" applyProtection="1">
      <protection hidden="1"/>
    </xf>
    <xf numFmtId="0" fontId="13" fillId="15" borderId="1" xfId="4" applyFont="1" applyFill="1" applyBorder="1" applyProtection="1">
      <protection hidden="1"/>
    </xf>
    <xf numFmtId="0" fontId="5" fillId="15" borderId="0" xfId="4" applyFill="1" applyAlignment="1" applyProtection="1">
      <alignment horizontal="right" indent="1"/>
      <protection hidden="1"/>
    </xf>
    <xf numFmtId="49" fontId="14" fillId="15" borderId="0" xfId="4" applyNumberFormat="1" applyFont="1" applyFill="1" applyAlignment="1" applyProtection="1">
      <alignment horizontal="right" vertical="center"/>
      <protection hidden="1"/>
    </xf>
    <xf numFmtId="0" fontId="5" fillId="15" borderId="14" xfId="4" applyFill="1" applyBorder="1" applyProtection="1">
      <protection hidden="1"/>
    </xf>
    <xf numFmtId="0" fontId="10" fillId="15" borderId="0" xfId="4" applyFont="1" applyFill="1" applyAlignment="1" applyProtection="1">
      <alignment horizontal="right"/>
      <protection hidden="1"/>
    </xf>
    <xf numFmtId="0" fontId="5" fillId="19" borderId="30" xfId="4" applyFill="1" applyBorder="1" applyProtection="1">
      <protection hidden="1"/>
    </xf>
    <xf numFmtId="0" fontId="5" fillId="19" borderId="14" xfId="4" applyFill="1" applyBorder="1" applyProtection="1">
      <protection hidden="1"/>
    </xf>
    <xf numFmtId="0" fontId="5" fillId="19" borderId="8" xfId="4" applyFill="1" applyBorder="1" applyProtection="1">
      <protection hidden="1"/>
    </xf>
    <xf numFmtId="0" fontId="5" fillId="19" borderId="3" xfId="4" applyFill="1" applyBorder="1" applyProtection="1">
      <protection hidden="1"/>
    </xf>
    <xf numFmtId="0" fontId="5" fillId="19" borderId="24" xfId="4" applyFill="1" applyBorder="1" applyProtection="1">
      <protection hidden="1"/>
    </xf>
    <xf numFmtId="0" fontId="5" fillId="19" borderId="0" xfId="4" applyFill="1" applyProtection="1">
      <protection hidden="1"/>
    </xf>
    <xf numFmtId="0" fontId="10" fillId="15" borderId="24" xfId="4" applyFont="1" applyFill="1" applyBorder="1" applyAlignment="1" applyProtection="1">
      <alignment horizontal="right"/>
      <protection hidden="1"/>
    </xf>
    <xf numFmtId="0" fontId="46" fillId="15" borderId="4" xfId="4" applyFont="1" applyFill="1" applyBorder="1" applyProtection="1">
      <protection hidden="1"/>
    </xf>
    <xf numFmtId="0" fontId="10" fillId="15" borderId="4" xfId="4" applyFont="1" applyFill="1" applyBorder="1" applyAlignment="1" applyProtection="1">
      <alignment horizontal="right"/>
      <protection hidden="1"/>
    </xf>
    <xf numFmtId="0" fontId="13" fillId="15" borderId="1" xfId="4" applyFont="1" applyFill="1" applyBorder="1" applyAlignment="1" applyProtection="1">
      <alignment vertical="center"/>
      <protection hidden="1"/>
    </xf>
    <xf numFmtId="0" fontId="122" fillId="15" borderId="1" xfId="4" applyFont="1" applyFill="1" applyBorder="1" applyProtection="1">
      <protection hidden="1"/>
    </xf>
    <xf numFmtId="0" fontId="3" fillId="15" borderId="0" xfId="4" applyFont="1" applyFill="1" applyAlignment="1" applyProtection="1">
      <alignment wrapText="1"/>
      <protection hidden="1"/>
    </xf>
    <xf numFmtId="0" fontId="3" fillId="15" borderId="0" xfId="4" applyFont="1" applyFill="1" applyAlignment="1" applyProtection="1">
      <alignment horizontal="left"/>
      <protection hidden="1"/>
    </xf>
    <xf numFmtId="0" fontId="3" fillId="15" borderId="0" xfId="4" applyFont="1" applyFill="1" applyAlignment="1" applyProtection="1">
      <alignment horizontal="right"/>
      <protection hidden="1"/>
    </xf>
    <xf numFmtId="0" fontId="10" fillId="15" borderId="25" xfId="4" applyFont="1" applyFill="1" applyBorder="1" applyProtection="1">
      <protection hidden="1"/>
    </xf>
    <xf numFmtId="0" fontId="5" fillId="23" borderId="0" xfId="4" applyFill="1" applyAlignment="1" applyProtection="1">
      <alignment horizontal="left"/>
      <protection hidden="1"/>
    </xf>
    <xf numFmtId="0" fontId="5" fillId="0" borderId="0" xfId="4" applyAlignment="1" applyProtection="1">
      <alignment horizontal="left"/>
      <protection hidden="1"/>
    </xf>
    <xf numFmtId="39" fontId="5" fillId="24" borderId="0" xfId="4" applyNumberFormat="1" applyFill="1" applyAlignment="1" applyProtection="1">
      <alignment horizontal="left"/>
      <protection locked="0"/>
    </xf>
    <xf numFmtId="0" fontId="5" fillId="15" borderId="9" xfId="4" applyFill="1" applyBorder="1" applyProtection="1">
      <protection hidden="1"/>
    </xf>
    <xf numFmtId="0" fontId="3" fillId="15" borderId="1" xfId="4" applyFont="1" applyFill="1" applyBorder="1" applyAlignment="1" applyProtection="1">
      <alignment horizontal="right"/>
      <protection hidden="1"/>
    </xf>
    <xf numFmtId="0" fontId="5" fillId="15" borderId="39" xfId="4" applyFill="1" applyBorder="1" applyProtection="1">
      <protection hidden="1"/>
    </xf>
    <xf numFmtId="0" fontId="5" fillId="15" borderId="54" xfId="4" applyFill="1" applyBorder="1" applyProtection="1">
      <protection hidden="1"/>
    </xf>
    <xf numFmtId="0" fontId="122" fillId="15" borderId="39" xfId="4" applyFont="1" applyFill="1" applyBorder="1" applyProtection="1">
      <protection hidden="1"/>
    </xf>
    <xf numFmtId="0" fontId="3" fillId="15" borderId="25" xfId="4" applyFont="1" applyFill="1" applyBorder="1" applyAlignment="1" applyProtection="1">
      <alignment horizontal="right"/>
      <protection hidden="1"/>
    </xf>
    <xf numFmtId="0" fontId="5" fillId="15" borderId="8" xfId="4" applyFill="1" applyBorder="1" applyProtection="1">
      <protection hidden="1"/>
    </xf>
    <xf numFmtId="0" fontId="3" fillId="15" borderId="30" xfId="4" applyFont="1" applyFill="1" applyBorder="1" applyAlignment="1" applyProtection="1">
      <alignment horizontal="left" indent="1"/>
      <protection hidden="1"/>
    </xf>
    <xf numFmtId="0" fontId="5" fillId="15" borderId="0" xfId="4" applyFill="1" applyAlignment="1" applyProtection="1">
      <alignment vertical="top"/>
      <protection hidden="1"/>
    </xf>
    <xf numFmtId="0" fontId="122" fillId="15" borderId="0" xfId="4" applyFont="1" applyFill="1" applyAlignment="1" applyProtection="1">
      <alignment horizontal="center"/>
      <protection hidden="1"/>
    </xf>
    <xf numFmtId="0" fontId="3" fillId="16" borderId="12" xfId="4" applyFont="1" applyFill="1" applyBorder="1" applyAlignment="1" applyProtection="1">
      <alignment horizontal="center" vertical="center"/>
      <protection locked="0"/>
    </xf>
    <xf numFmtId="0" fontId="3" fillId="15" borderId="0" xfId="4" applyFont="1" applyFill="1" applyAlignment="1" applyProtection="1">
      <alignment horizontal="left" indent="1"/>
      <protection hidden="1"/>
    </xf>
    <xf numFmtId="0" fontId="110" fillId="15" borderId="0" xfId="4" applyFont="1" applyFill="1" applyAlignment="1" applyProtection="1">
      <alignment horizontal="center" vertical="center"/>
      <protection hidden="1"/>
    </xf>
    <xf numFmtId="0" fontId="110" fillId="15" borderId="0" xfId="4" applyFont="1" applyFill="1" applyAlignment="1" applyProtection="1">
      <alignment horizontal="center"/>
      <protection hidden="1"/>
    </xf>
    <xf numFmtId="0" fontId="9" fillId="15" borderId="1" xfId="4" applyFont="1" applyFill="1" applyBorder="1" applyProtection="1">
      <protection hidden="1"/>
    </xf>
    <xf numFmtId="0" fontId="3" fillId="15" borderId="30" xfId="4" applyFont="1" applyFill="1" applyBorder="1" applyProtection="1">
      <protection hidden="1"/>
    </xf>
    <xf numFmtId="0" fontId="5" fillId="15" borderId="30" xfId="4" applyFill="1" applyBorder="1" applyProtection="1">
      <protection hidden="1"/>
    </xf>
    <xf numFmtId="39" fontId="5" fillId="0" borderId="0" xfId="4" applyNumberFormat="1" applyProtection="1">
      <protection locked="0"/>
    </xf>
    <xf numFmtId="14" fontId="5" fillId="0" borderId="0" xfId="0" applyNumberFormat="1" applyFont="1"/>
    <xf numFmtId="188" fontId="112" fillId="2" borderId="0" xfId="0" applyNumberFormat="1" applyFont="1" applyFill="1" applyAlignment="1" applyProtection="1">
      <alignment horizontal="center" vertical="center" wrapText="1"/>
      <protection hidden="1"/>
    </xf>
    <xf numFmtId="168" fontId="323" fillId="43" borderId="1" xfId="0" applyNumberFormat="1" applyFont="1" applyFill="1" applyBorder="1" applyAlignment="1" applyProtection="1">
      <alignment horizontal="right"/>
      <protection hidden="1"/>
    </xf>
    <xf numFmtId="3" fontId="144" fillId="2" borderId="0" xfId="0" applyNumberFormat="1" applyFont="1" applyFill="1" applyAlignment="1" applyProtection="1">
      <alignment horizontal="right" vertical="center"/>
      <protection locked="0"/>
    </xf>
    <xf numFmtId="3" fontId="144" fillId="2" borderId="3" xfId="0" applyNumberFormat="1" applyFont="1" applyFill="1" applyBorder="1" applyAlignment="1" applyProtection="1">
      <alignment horizontal="right" vertical="center"/>
      <protection locked="0"/>
    </xf>
    <xf numFmtId="0" fontId="147" fillId="2" borderId="3" xfId="0" applyFont="1" applyFill="1" applyBorder="1" applyProtection="1">
      <protection hidden="1"/>
    </xf>
    <xf numFmtId="3" fontId="144" fillId="2" borderId="24" xfId="0" applyNumberFormat="1" applyFont="1" applyFill="1" applyBorder="1" applyAlignment="1" applyProtection="1">
      <alignment horizontal="right" vertical="center"/>
      <protection locked="0"/>
    </xf>
    <xf numFmtId="0" fontId="5" fillId="15" borderId="20" xfId="0" applyFont="1" applyFill="1" applyBorder="1" applyAlignment="1">
      <alignment vertical="center" wrapText="1"/>
    </xf>
    <xf numFmtId="0" fontId="5" fillId="15" borderId="5" xfId="0" applyFont="1" applyFill="1" applyBorder="1" applyAlignment="1">
      <alignment vertical="center"/>
    </xf>
    <xf numFmtId="0" fontId="9" fillId="15" borderId="21" xfId="0" applyFont="1" applyFill="1" applyBorder="1" applyAlignment="1">
      <alignment vertical="top" wrapText="1"/>
    </xf>
    <xf numFmtId="0" fontId="9" fillId="15" borderId="4" xfId="0" applyFont="1" applyFill="1" applyBorder="1" applyAlignment="1">
      <alignment vertical="top" wrapText="1"/>
    </xf>
    <xf numFmtId="0" fontId="9" fillId="15" borderId="22" xfId="0" applyFont="1" applyFill="1" applyBorder="1" applyAlignment="1">
      <alignment vertical="top" wrapText="1"/>
    </xf>
    <xf numFmtId="14" fontId="0" fillId="15" borderId="0" xfId="0" applyNumberFormat="1" applyFill="1"/>
    <xf numFmtId="0" fontId="126" fillId="15" borderId="0" xfId="0" applyFont="1" applyFill="1" applyAlignment="1">
      <alignment horizontal="center"/>
    </xf>
    <xf numFmtId="0" fontId="126" fillId="15" borderId="0" xfId="0" applyFont="1" applyFill="1" applyAlignment="1">
      <alignment horizontal="center" vertical="center"/>
    </xf>
    <xf numFmtId="0" fontId="117" fillId="2" borderId="3" xfId="0" applyFont="1" applyFill="1" applyBorder="1" applyAlignment="1" applyProtection="1">
      <alignment horizontal="center" vertical="center" wrapText="1"/>
      <protection hidden="1"/>
    </xf>
    <xf numFmtId="0" fontId="122" fillId="2" borderId="3" xfId="0" applyFont="1" applyFill="1" applyBorder="1" applyAlignment="1" applyProtection="1">
      <alignment horizontal="center" vertical="center" wrapText="1"/>
      <protection hidden="1"/>
    </xf>
    <xf numFmtId="0" fontId="122" fillId="2" borderId="24" xfId="0" applyFont="1" applyFill="1" applyBorder="1" applyAlignment="1" applyProtection="1">
      <alignment horizontal="center" vertical="center" wrapText="1"/>
      <protection hidden="1"/>
    </xf>
    <xf numFmtId="0" fontId="122" fillId="2" borderId="0" xfId="0" applyFont="1" applyFill="1" applyAlignment="1" applyProtection="1">
      <alignment horizontal="center" vertical="center" wrapText="1"/>
      <protection hidden="1"/>
    </xf>
    <xf numFmtId="0" fontId="0" fillId="8" borderId="0" xfId="0" applyFill="1" applyProtection="1">
      <protection locked="0"/>
    </xf>
    <xf numFmtId="188" fontId="324" fillId="43" borderId="1" xfId="0" applyNumberFormat="1" applyFont="1" applyFill="1" applyBorder="1" applyAlignment="1" applyProtection="1">
      <alignment horizontal="center" wrapText="1"/>
      <protection hidden="1"/>
    </xf>
    <xf numFmtId="168" fontId="324" fillId="43" borderId="1" xfId="0" applyNumberFormat="1" applyFont="1" applyFill="1" applyBorder="1" applyAlignment="1" applyProtection="1">
      <alignment horizontal="right" wrapText="1"/>
      <protection hidden="1"/>
    </xf>
    <xf numFmtId="168" fontId="324" fillId="43" borderId="1" xfId="0" applyNumberFormat="1" applyFont="1" applyFill="1" applyBorder="1" applyAlignment="1" applyProtection="1">
      <alignment horizontal="right"/>
      <protection hidden="1"/>
    </xf>
    <xf numFmtId="0" fontId="112" fillId="2" borderId="0" xfId="0" applyFont="1" applyFill="1" applyAlignment="1" applyProtection="1">
      <alignment vertical="center"/>
      <protection hidden="1"/>
    </xf>
    <xf numFmtId="37" fontId="200" fillId="2" borderId="24" xfId="0" applyNumberFormat="1" applyFont="1" applyFill="1" applyBorder="1" applyAlignment="1" applyProtection="1">
      <alignment horizontal="center" vertical="center" wrapText="1"/>
      <protection hidden="1"/>
    </xf>
    <xf numFmtId="0" fontId="200" fillId="2" borderId="3" xfId="0" applyFont="1" applyFill="1" applyBorder="1" applyAlignment="1" applyProtection="1">
      <alignment horizontal="center" vertical="center" wrapText="1"/>
      <protection hidden="1"/>
    </xf>
    <xf numFmtId="37" fontId="200" fillId="2" borderId="0" xfId="0" applyNumberFormat="1" applyFont="1" applyFill="1" applyAlignment="1" applyProtection="1">
      <alignment horizontal="center" vertical="center" wrapText="1"/>
      <protection hidden="1"/>
    </xf>
    <xf numFmtId="0" fontId="3" fillId="44" borderId="0" xfId="0" applyFont="1" applyFill="1" applyProtection="1">
      <protection hidden="1"/>
    </xf>
    <xf numFmtId="188" fontId="7" fillId="0" borderId="2" xfId="0" applyNumberFormat="1" applyFont="1" applyBorder="1" applyAlignment="1" applyProtection="1">
      <alignment horizontal="center"/>
      <protection locked="0"/>
    </xf>
    <xf numFmtId="0" fontId="144" fillId="2" borderId="3" xfId="0" applyFont="1" applyFill="1" applyBorder="1" applyAlignment="1" applyProtection="1">
      <alignment horizontal="center" vertical="center" wrapText="1"/>
      <protection hidden="1"/>
    </xf>
    <xf numFmtId="185" fontId="110" fillId="0" borderId="0" xfId="0" applyNumberFormat="1" applyFont="1" applyAlignment="1">
      <alignment horizontal="center"/>
    </xf>
    <xf numFmtId="0" fontId="3" fillId="15" borderId="9" xfId="0" applyFont="1" applyFill="1" applyBorder="1" applyAlignment="1" applyProtection="1">
      <alignment horizontal="left" wrapText="1"/>
      <protection hidden="1"/>
    </xf>
    <xf numFmtId="3" fontId="5" fillId="2" borderId="0" xfId="0" applyNumberFormat="1" applyFont="1" applyFill="1" applyAlignment="1" applyProtection="1">
      <alignment horizontal="center" vertical="top"/>
      <protection hidden="1"/>
    </xf>
    <xf numFmtId="37" fontId="7" fillId="2" borderId="2" xfId="0" applyNumberFormat="1" applyFont="1" applyFill="1" applyBorder="1" applyAlignment="1" applyProtection="1">
      <alignment horizontal="right"/>
      <protection locked="0"/>
    </xf>
    <xf numFmtId="3" fontId="116" fillId="0" borderId="0" xfId="0" applyNumberFormat="1" applyFont="1"/>
    <xf numFmtId="0" fontId="112" fillId="0" borderId="0" xfId="0" applyFont="1" applyAlignment="1">
      <alignment horizontal="right"/>
    </xf>
    <xf numFmtId="3" fontId="123" fillId="0" borderId="0" xfId="0" applyNumberFormat="1" applyFont="1" applyAlignment="1">
      <alignment horizontal="right"/>
    </xf>
    <xf numFmtId="3" fontId="8" fillId="16" borderId="2" xfId="0" applyNumberFormat="1" applyFont="1" applyFill="1" applyBorder="1" applyAlignment="1" applyProtection="1">
      <alignment horizontal="right" indent="1"/>
      <protection locked="0"/>
    </xf>
    <xf numFmtId="0" fontId="3" fillId="0" borderId="0" xfId="0" applyFont="1" applyAlignment="1" applyProtection="1">
      <alignment horizontal="center"/>
      <protection locked="0"/>
    </xf>
    <xf numFmtId="0" fontId="144" fillId="0" borderId="0" xfId="0" applyFont="1" applyAlignment="1">
      <alignment horizontal="center"/>
    </xf>
    <xf numFmtId="0" fontId="126" fillId="0" borderId="0" xfId="0" applyFont="1"/>
    <xf numFmtId="0" fontId="325" fillId="0" borderId="0" xfId="0" applyFont="1" applyAlignment="1">
      <alignment horizontal="center"/>
    </xf>
    <xf numFmtId="3" fontId="123" fillId="0" borderId="0" xfId="0" applyNumberFormat="1" applyFont="1" applyAlignment="1">
      <alignment horizontal="center" vertical="center"/>
    </xf>
    <xf numFmtId="4" fontId="168" fillId="0" borderId="0" xfId="0" applyNumberFormat="1" applyFont="1" applyAlignment="1">
      <alignment horizontal="right"/>
    </xf>
    <xf numFmtId="0" fontId="144" fillId="0" borderId="0" xfId="0" applyFont="1" applyAlignment="1">
      <alignment horizontal="left"/>
    </xf>
    <xf numFmtId="4" fontId="200" fillId="3" borderId="30" xfId="0" applyNumberFormat="1" applyFont="1" applyFill="1" applyBorder="1" applyAlignment="1" applyProtection="1">
      <alignment vertical="center" wrapText="1"/>
      <protection hidden="1"/>
    </xf>
    <xf numFmtId="4" fontId="200" fillId="3" borderId="3" xfId="0" applyNumberFormat="1" applyFont="1" applyFill="1" applyBorder="1" applyAlignment="1" applyProtection="1">
      <alignment vertical="center" wrapText="1"/>
      <protection hidden="1"/>
    </xf>
    <xf numFmtId="0" fontId="14" fillId="15" borderId="54" xfId="0" applyFont="1" applyFill="1" applyBorder="1" applyAlignment="1" applyProtection="1">
      <alignment horizontal="center" vertical="center"/>
      <protection locked="0"/>
    </xf>
    <xf numFmtId="0" fontId="168" fillId="15" borderId="12" xfId="0" applyFont="1" applyFill="1" applyBorder="1" applyAlignment="1" applyProtection="1">
      <alignment vertical="center"/>
      <protection hidden="1"/>
    </xf>
    <xf numFmtId="37" fontId="9" fillId="15" borderId="2" xfId="0" applyNumberFormat="1" applyFont="1" applyFill="1" applyBorder="1" applyAlignment="1" applyProtection="1">
      <alignment vertical="center"/>
      <protection locked="0"/>
    </xf>
    <xf numFmtId="49" fontId="3" fillId="16" borderId="9" xfId="0" applyNumberFormat="1" applyFont="1" applyFill="1" applyBorder="1" applyAlignment="1" applyProtection="1">
      <alignment horizontal="left" vertical="center" indent="1"/>
      <protection locked="0"/>
    </xf>
    <xf numFmtId="39" fontId="3" fillId="27" borderId="66" xfId="0" applyNumberFormat="1" applyFont="1" applyFill="1" applyBorder="1" applyProtection="1">
      <protection hidden="1"/>
    </xf>
    <xf numFmtId="39" fontId="3" fillId="27" borderId="58" xfId="0" applyNumberFormat="1" applyFont="1" applyFill="1" applyBorder="1" applyProtection="1">
      <protection hidden="1"/>
    </xf>
    <xf numFmtId="0" fontId="3" fillId="27" borderId="12" xfId="0" applyFont="1" applyFill="1" applyBorder="1" applyAlignment="1">
      <alignment horizontal="center" vertical="center"/>
    </xf>
    <xf numFmtId="0" fontId="285" fillId="23" borderId="0" xfId="0" applyFont="1" applyFill="1" applyAlignment="1" applyProtection="1">
      <alignment horizontal="center" vertical="center"/>
      <protection hidden="1"/>
    </xf>
    <xf numFmtId="0" fontId="159" fillId="23" borderId="0" xfId="0" applyFont="1" applyFill="1" applyAlignment="1" applyProtection="1">
      <alignment horizontal="center"/>
      <protection hidden="1"/>
    </xf>
    <xf numFmtId="0" fontId="0" fillId="0" borderId="2" xfId="0" applyBorder="1" applyProtection="1">
      <protection hidden="1"/>
    </xf>
    <xf numFmtId="0" fontId="3" fillId="0" borderId="0" xfId="0" quotePrefix="1" applyFont="1" applyAlignment="1">
      <alignment horizontal="right"/>
    </xf>
    <xf numFmtId="0" fontId="144" fillId="5" borderId="0" xfId="0" applyFont="1" applyFill="1" applyProtection="1">
      <protection hidden="1"/>
    </xf>
    <xf numFmtId="0" fontId="8" fillId="3" borderId="0" xfId="0" quotePrefix="1" applyFont="1" applyFill="1" applyAlignment="1" applyProtection="1">
      <alignment horizontal="center"/>
      <protection hidden="1"/>
    </xf>
    <xf numFmtId="0" fontId="3" fillId="0" borderId="2" xfId="0" applyFont="1" applyBorder="1" applyAlignment="1" applyProtection="1">
      <alignment horizontal="center" vertical="center"/>
      <protection locked="0"/>
    </xf>
    <xf numFmtId="0" fontId="327" fillId="15" borderId="0" xfId="0" applyFont="1" applyFill="1" applyProtection="1">
      <protection hidden="1"/>
    </xf>
    <xf numFmtId="0" fontId="328" fillId="15" borderId="0" xfId="0" applyFont="1" applyFill="1" applyProtection="1">
      <protection hidden="1"/>
    </xf>
    <xf numFmtId="0" fontId="278" fillId="15" borderId="0" xfId="0" applyFont="1" applyFill="1" applyAlignment="1" applyProtection="1">
      <alignment horizontal="right"/>
      <protection hidden="1"/>
    </xf>
    <xf numFmtId="0" fontId="122" fillId="15" borderId="29" xfId="0" applyFont="1" applyFill="1" applyBorder="1" applyAlignment="1" applyProtection="1">
      <alignment horizontal="right" vertical="top"/>
      <protection hidden="1"/>
    </xf>
    <xf numFmtId="0" fontId="110" fillId="2" borderId="0" xfId="0" applyFont="1" applyFill="1" applyAlignment="1" applyProtection="1">
      <alignment vertical="center"/>
      <protection hidden="1"/>
    </xf>
    <xf numFmtId="0" fontId="122" fillId="15" borderId="1" xfId="0" applyFont="1" applyFill="1" applyBorder="1" applyAlignment="1">
      <alignment horizontal="right" vertical="top"/>
    </xf>
    <xf numFmtId="0" fontId="327" fillId="15" borderId="4" xfId="0" applyFont="1" applyFill="1" applyBorder="1" applyProtection="1">
      <protection hidden="1"/>
    </xf>
    <xf numFmtId="0" fontId="109" fillId="23" borderId="0" xfId="0" applyFont="1" applyFill="1" applyProtection="1">
      <protection hidden="1"/>
    </xf>
    <xf numFmtId="42" fontId="14" fillId="19" borderId="0" xfId="0" applyNumberFormat="1" applyFont="1" applyFill="1" applyProtection="1">
      <protection hidden="1"/>
    </xf>
    <xf numFmtId="0" fontId="145" fillId="15" borderId="5" xfId="0" applyFont="1" applyFill="1" applyBorder="1" applyAlignment="1">
      <alignment horizontal="center" vertical="center" wrapText="1"/>
    </xf>
    <xf numFmtId="0" fontId="0" fillId="15" borderId="0" xfId="0" applyFill="1" applyAlignment="1">
      <alignment horizontal="center"/>
    </xf>
    <xf numFmtId="0" fontId="0" fillId="15" borderId="20" xfId="0" applyFill="1" applyBorder="1" applyAlignment="1">
      <alignment horizontal="center"/>
    </xf>
    <xf numFmtId="0" fontId="0" fillId="15" borderId="5" xfId="0" applyFill="1" applyBorder="1" applyAlignment="1">
      <alignment horizontal="center"/>
    </xf>
    <xf numFmtId="0" fontId="129" fillId="15" borderId="23" xfId="0" quotePrefix="1" applyFont="1" applyFill="1" applyBorder="1" applyAlignment="1" applyProtection="1">
      <alignment horizontal="center" vertical="center" wrapText="1"/>
      <protection hidden="1"/>
    </xf>
    <xf numFmtId="0" fontId="129" fillId="0" borderId="7" xfId="0" applyFont="1" applyBorder="1" applyAlignment="1">
      <alignment horizontal="center" vertical="center" wrapText="1"/>
    </xf>
    <xf numFmtId="0" fontId="129" fillId="0" borderId="19" xfId="0" applyFont="1" applyBorder="1" applyAlignment="1">
      <alignment horizontal="center" vertical="center" wrapText="1"/>
    </xf>
    <xf numFmtId="0" fontId="129" fillId="0" borderId="5" xfId="0" applyFont="1" applyBorder="1" applyAlignment="1">
      <alignment horizontal="center" vertical="center" wrapText="1"/>
    </xf>
    <xf numFmtId="0" fontId="129" fillId="0" borderId="0" xfId="0" applyFont="1" applyAlignment="1">
      <alignment horizontal="center" vertical="center" wrapText="1"/>
    </xf>
    <xf numFmtId="0" fontId="129" fillId="0" borderId="20" xfId="0" applyFont="1" applyBorder="1" applyAlignment="1">
      <alignment horizontal="center" vertical="center" wrapText="1"/>
    </xf>
    <xf numFmtId="0" fontId="129" fillId="0" borderId="21" xfId="0" applyFont="1" applyBorder="1" applyAlignment="1">
      <alignment horizontal="center" vertical="center" wrapText="1"/>
    </xf>
    <xf numFmtId="0" fontId="129" fillId="0" borderId="4" xfId="0" applyFont="1" applyBorder="1" applyAlignment="1">
      <alignment horizontal="center" vertical="center" wrapText="1"/>
    </xf>
    <xf numFmtId="0" fontId="129" fillId="0" borderId="22" xfId="0" applyFont="1" applyBorder="1" applyAlignment="1">
      <alignment horizontal="center" vertical="center" wrapText="1"/>
    </xf>
    <xf numFmtId="0" fontId="129" fillId="15" borderId="23" xfId="0" applyFont="1" applyFill="1" applyBorder="1" applyAlignment="1" applyProtection="1">
      <alignment horizontal="center" vertical="center" wrapText="1"/>
      <protection hidden="1"/>
    </xf>
    <xf numFmtId="0" fontId="129" fillId="15" borderId="7" xfId="0" applyFont="1" applyFill="1" applyBorder="1" applyAlignment="1" applyProtection="1">
      <alignment horizontal="center" vertical="center" wrapText="1"/>
      <protection hidden="1"/>
    </xf>
    <xf numFmtId="0" fontId="129" fillId="15" borderId="19" xfId="0" applyFont="1" applyFill="1" applyBorder="1" applyAlignment="1" applyProtection="1">
      <alignment horizontal="center" vertical="center" wrapText="1"/>
      <protection hidden="1"/>
    </xf>
    <xf numFmtId="0" fontId="129" fillId="15" borderId="5" xfId="0" applyFont="1" applyFill="1" applyBorder="1" applyAlignment="1" applyProtection="1">
      <alignment horizontal="center" vertical="center" wrapText="1"/>
      <protection hidden="1"/>
    </xf>
    <xf numFmtId="0" fontId="129" fillId="15" borderId="0" xfId="0" applyFont="1" applyFill="1" applyAlignment="1" applyProtection="1">
      <alignment horizontal="center" vertical="center" wrapText="1"/>
      <protection hidden="1"/>
    </xf>
    <xf numFmtId="0" fontId="129" fillId="15" borderId="20" xfId="0" applyFont="1" applyFill="1" applyBorder="1" applyAlignment="1" applyProtection="1">
      <alignment horizontal="center" vertical="center" wrapText="1"/>
      <protection hidden="1"/>
    </xf>
    <xf numFmtId="0" fontId="3" fillId="15" borderId="71" xfId="0" applyFont="1" applyFill="1" applyBorder="1" applyAlignment="1">
      <alignment horizontal="center" wrapText="1"/>
    </xf>
    <xf numFmtId="0" fontId="3" fillId="15" borderId="100" xfId="0" applyFont="1" applyFill="1" applyBorder="1" applyAlignment="1">
      <alignment horizontal="center" wrapText="1"/>
    </xf>
    <xf numFmtId="0" fontId="126" fillId="15" borderId="75" xfId="0" applyFont="1" applyFill="1" applyBorder="1" applyAlignment="1">
      <alignment horizontal="center" textRotation="90"/>
    </xf>
    <xf numFmtId="0" fontId="66" fillId="15" borderId="23" xfId="2" applyFill="1" applyBorder="1" applyAlignment="1" applyProtection="1">
      <alignment horizontal="center" vertical="center"/>
      <protection hidden="1"/>
    </xf>
    <xf numFmtId="0" fontId="66" fillId="15" borderId="19" xfId="2" applyFill="1" applyBorder="1" applyAlignment="1" applyProtection="1">
      <alignment horizontal="center" vertical="center"/>
      <protection hidden="1"/>
    </xf>
    <xf numFmtId="0" fontId="66" fillId="15" borderId="5" xfId="2" applyFill="1" applyBorder="1" applyAlignment="1" applyProtection="1">
      <alignment horizontal="center" vertical="center"/>
      <protection hidden="1"/>
    </xf>
    <xf numFmtId="0" fontId="66" fillId="15" borderId="20" xfId="2" applyFill="1" applyBorder="1" applyAlignment="1" applyProtection="1">
      <alignment horizontal="center" vertical="center"/>
      <protection hidden="1"/>
    </xf>
    <xf numFmtId="0" fontId="66" fillId="15" borderId="21" xfId="2" applyFill="1" applyBorder="1" applyAlignment="1" applyProtection="1">
      <alignment horizontal="center" vertical="center"/>
      <protection hidden="1"/>
    </xf>
    <xf numFmtId="0" fontId="66" fillId="15" borderId="22" xfId="2" applyFill="1" applyBorder="1" applyAlignment="1" applyProtection="1">
      <alignment horizontal="center" vertical="center"/>
      <protection hidden="1"/>
    </xf>
    <xf numFmtId="0" fontId="298" fillId="24" borderId="39" xfId="4" applyFont="1" applyFill="1" applyBorder="1" applyAlignment="1">
      <alignment horizontal="left" vertical="center" indent="1"/>
    </xf>
    <xf numFmtId="0" fontId="298" fillId="24" borderId="25" xfId="4" applyFont="1" applyFill="1" applyBorder="1" applyAlignment="1">
      <alignment horizontal="left" vertical="center" indent="1"/>
    </xf>
    <xf numFmtId="0" fontId="298" fillId="24" borderId="54" xfId="4" applyFont="1" applyFill="1" applyBorder="1" applyAlignment="1">
      <alignment horizontal="left" vertical="center" indent="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5" borderId="4" xfId="0" applyFill="1" applyBorder="1" applyAlignment="1" applyProtection="1">
      <alignment vertical="top" wrapText="1"/>
      <protection hidden="1"/>
    </xf>
    <xf numFmtId="0" fontId="0" fillId="15" borderId="4"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5" borderId="0" xfId="0" applyFont="1" applyFill="1" applyAlignment="1">
      <alignment horizontal="left" vertical="top" wrapText="1"/>
    </xf>
    <xf numFmtId="0" fontId="0" fillId="15" borderId="0" xfId="0" applyFill="1" applyAlignment="1">
      <alignment horizontal="left" vertical="top" wrapText="1"/>
    </xf>
    <xf numFmtId="0" fontId="5" fillId="15" borderId="0" xfId="0" applyFont="1" applyFill="1" applyAlignment="1" applyProtection="1">
      <alignment horizontal="left" vertical="top" wrapText="1"/>
      <protection hidden="1"/>
    </xf>
    <xf numFmtId="0" fontId="5" fillId="15" borderId="1" xfId="0" applyFont="1" applyFill="1" applyBorder="1" applyAlignment="1">
      <alignment horizontal="left" vertical="top" wrapText="1"/>
    </xf>
    <xf numFmtId="0" fontId="10" fillId="15" borderId="0" xfId="0" applyFont="1" applyFill="1" applyAlignment="1">
      <alignment horizontal="left" wrapText="1"/>
    </xf>
    <xf numFmtId="0" fontId="120" fillId="2" borderId="0" xfId="0" applyFont="1" applyFill="1" applyAlignment="1" applyProtection="1">
      <alignment horizontal="left" vertical="center"/>
      <protection hidden="1"/>
    </xf>
    <xf numFmtId="0" fontId="5" fillId="15" borderId="23" xfId="0" applyFont="1" applyFill="1" applyBorder="1" applyAlignment="1" applyProtection="1">
      <alignment horizontal="left" vertical="top" wrapText="1"/>
      <protection hidden="1"/>
    </xf>
    <xf numFmtId="0" fontId="5" fillId="15" borderId="7" xfId="0" applyFont="1" applyFill="1" applyBorder="1" applyAlignment="1" applyProtection="1">
      <alignment horizontal="left" vertical="top" wrapText="1"/>
      <protection hidden="1"/>
    </xf>
    <xf numFmtId="0" fontId="5" fillId="15" borderId="19" xfId="0" applyFont="1" applyFill="1" applyBorder="1" applyAlignment="1" applyProtection="1">
      <alignment horizontal="left" vertical="top" wrapText="1"/>
      <protection hidden="1"/>
    </xf>
    <xf numFmtId="0" fontId="5" fillId="15" borderId="5" xfId="0" applyFont="1" applyFill="1" applyBorder="1" applyAlignment="1" applyProtection="1">
      <alignment horizontal="left" vertical="top" wrapText="1"/>
      <protection hidden="1"/>
    </xf>
    <xf numFmtId="0" fontId="5" fillId="15" borderId="20" xfId="0" applyFont="1" applyFill="1" applyBorder="1" applyAlignment="1" applyProtection="1">
      <alignment horizontal="left" vertical="top" wrapText="1"/>
      <protection hidden="1"/>
    </xf>
    <xf numFmtId="0" fontId="5" fillId="15" borderId="21" xfId="0" applyFont="1" applyFill="1" applyBorder="1" applyAlignment="1" applyProtection="1">
      <alignment horizontal="left" vertical="top" wrapText="1"/>
      <protection hidden="1"/>
    </xf>
    <xf numFmtId="0" fontId="5" fillId="15" borderId="4" xfId="0" applyFont="1" applyFill="1" applyBorder="1" applyAlignment="1" applyProtection="1">
      <alignment horizontal="left" vertical="top" wrapText="1"/>
      <protection hidden="1"/>
    </xf>
    <xf numFmtId="0" fontId="5" fillId="15" borderId="22" xfId="0" applyFont="1" applyFill="1" applyBorder="1" applyAlignment="1" applyProtection="1">
      <alignment horizontal="left" vertical="top" wrapText="1"/>
      <protection hidden="1"/>
    </xf>
    <xf numFmtId="0" fontId="3" fillId="15" borderId="0" xfId="0" applyFont="1" applyFill="1" applyAlignment="1" applyProtection="1">
      <alignment horizontal="left" wrapText="1"/>
      <protection hidden="1"/>
    </xf>
    <xf numFmtId="0" fontId="3" fillId="15" borderId="1" xfId="0" applyFont="1" applyFill="1" applyBorder="1" applyAlignment="1" applyProtection="1">
      <alignment horizontal="left" wrapText="1"/>
      <protection hidden="1"/>
    </xf>
    <xf numFmtId="0" fontId="7" fillId="40" borderId="0" xfId="0" applyFont="1" applyFill="1" applyAlignment="1" applyProtection="1">
      <alignment horizontal="left"/>
      <protection hidden="1"/>
    </xf>
    <xf numFmtId="0" fontId="9" fillId="40" borderId="8" xfId="0" applyFont="1" applyFill="1" applyBorder="1" applyAlignment="1">
      <alignment horizontal="left" vertical="center" wrapText="1"/>
    </xf>
    <xf numFmtId="0" fontId="9" fillId="40" borderId="0" xfId="0" applyFont="1" applyFill="1" applyAlignment="1">
      <alignment horizontal="left" vertical="center" wrapText="1"/>
    </xf>
    <xf numFmtId="0" fontId="9" fillId="15" borderId="7" xfId="0" applyFont="1" applyFill="1" applyBorder="1" applyAlignment="1" applyProtection="1">
      <alignment horizontal="left" vertical="top"/>
      <protection hidden="1"/>
    </xf>
    <xf numFmtId="0" fontId="9" fillId="15" borderId="0" xfId="0" applyFont="1" applyFill="1" applyAlignment="1" applyProtection="1">
      <alignment horizontal="left" vertical="top"/>
      <protection hidden="1"/>
    </xf>
    <xf numFmtId="4" fontId="159" fillId="15" borderId="30" xfId="0" applyNumberFormat="1" applyFont="1" applyFill="1" applyBorder="1" applyAlignment="1" applyProtection="1">
      <alignment horizontal="center" vertical="center" wrapText="1"/>
      <protection hidden="1"/>
    </xf>
    <xf numFmtId="4" fontId="159" fillId="15" borderId="8" xfId="0" applyNumberFormat="1" applyFont="1" applyFill="1" applyBorder="1" applyAlignment="1" applyProtection="1">
      <alignment horizontal="center" vertical="center" wrapText="1"/>
      <protection hidden="1"/>
    </xf>
    <xf numFmtId="4" fontId="159" fillId="15" borderId="14" xfId="0" applyNumberFormat="1" applyFont="1" applyFill="1" applyBorder="1" applyAlignment="1" applyProtection="1">
      <alignment horizontal="center" vertical="center" wrapText="1"/>
      <protection hidden="1"/>
    </xf>
    <xf numFmtId="4" fontId="159" fillId="15" borderId="3" xfId="0" applyNumberFormat="1" applyFont="1" applyFill="1" applyBorder="1" applyAlignment="1" applyProtection="1">
      <alignment horizontal="center" vertical="center" wrapText="1"/>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159" fillId="15" borderId="9" xfId="0" applyNumberFormat="1" applyFont="1" applyFill="1" applyBorder="1" applyAlignment="1" applyProtection="1">
      <alignment horizontal="center" vertical="center" wrapText="1"/>
      <protection hidden="1"/>
    </xf>
    <xf numFmtId="4" fontId="159" fillId="15" borderId="1" xfId="0" applyNumberFormat="1" applyFont="1" applyFill="1" applyBorder="1" applyAlignment="1" applyProtection="1">
      <alignment horizontal="center" vertical="center" wrapText="1"/>
      <protection hidden="1"/>
    </xf>
    <xf numFmtId="4" fontId="159" fillId="15" borderId="11" xfId="0" applyNumberFormat="1" applyFont="1" applyFill="1" applyBorder="1" applyAlignment="1" applyProtection="1">
      <alignment horizontal="center" vertical="center" wrapText="1"/>
      <protection hidden="1"/>
    </xf>
    <xf numFmtId="0" fontId="313" fillId="2" borderId="0" xfId="0" applyFont="1" applyFill="1" applyAlignment="1" applyProtection="1">
      <alignment horizontal="center" vertical="center" wrapText="1"/>
      <protection hidden="1"/>
    </xf>
    <xf numFmtId="0" fontId="3" fillId="27" borderId="15" xfId="0" applyFont="1" applyFill="1" applyBorder="1" applyAlignment="1" applyProtection="1">
      <alignment horizontal="center" vertical="center"/>
      <protection hidden="1"/>
    </xf>
    <xf numFmtId="0" fontId="3" fillId="27" borderId="183" xfId="0" applyFont="1" applyFill="1" applyBorder="1" applyAlignment="1" applyProtection="1">
      <alignment horizontal="center" vertical="center"/>
      <protection hidden="1"/>
    </xf>
    <xf numFmtId="0" fontId="9" fillId="40" borderId="15" xfId="0" applyFont="1" applyFill="1" applyBorder="1" applyAlignment="1">
      <alignment horizontal="center" vertical="center" wrapText="1"/>
    </xf>
    <xf numFmtId="0" fontId="9" fillId="40" borderId="183" xfId="0" applyFont="1" applyFill="1" applyBorder="1" applyAlignment="1">
      <alignment horizontal="center" vertical="center" wrapText="1"/>
    </xf>
    <xf numFmtId="37" fontId="3" fillId="25" borderId="30" xfId="0" applyNumberFormat="1" applyFont="1" applyFill="1" applyBorder="1" applyProtection="1">
      <protection hidden="1"/>
    </xf>
    <xf numFmtId="0" fontId="5" fillId="25" borderId="8" xfId="0" applyFont="1" applyFill="1" applyBorder="1"/>
    <xf numFmtId="37" fontId="3" fillId="16" borderId="39" xfId="0" applyNumberFormat="1" applyFont="1" applyFill="1" applyBorder="1" applyProtection="1">
      <protection locked="0"/>
    </xf>
    <xf numFmtId="0" fontId="0" fillId="16" borderId="25" xfId="0" applyFill="1" applyBorder="1" applyProtection="1">
      <protection locked="0"/>
    </xf>
    <xf numFmtId="0" fontId="8" fillId="40" borderId="30" xfId="0" quotePrefix="1" applyFont="1" applyFill="1" applyBorder="1" applyAlignment="1">
      <alignment horizontal="center" vertical="center"/>
    </xf>
    <xf numFmtId="0" fontId="8" fillId="40" borderId="8" xfId="0" quotePrefix="1" applyFont="1" applyFill="1" applyBorder="1" applyAlignment="1">
      <alignment horizontal="center" vertical="center"/>
    </xf>
    <xf numFmtId="0" fontId="8" fillId="40" borderId="3" xfId="0" quotePrefix="1" applyFont="1" applyFill="1" applyBorder="1" applyAlignment="1">
      <alignment horizontal="center" vertical="center"/>
    </xf>
    <xf numFmtId="0" fontId="8" fillId="40" borderId="0" xfId="0" quotePrefix="1" applyFont="1" applyFill="1" applyAlignment="1">
      <alignment horizontal="center" vertical="center"/>
    </xf>
    <xf numFmtId="0" fontId="9" fillId="40" borderId="30" xfId="0" applyFont="1" applyFill="1" applyBorder="1" applyAlignment="1">
      <alignment horizontal="center" vertical="center" wrapText="1"/>
    </xf>
    <xf numFmtId="0" fontId="9" fillId="40" borderId="35" xfId="0" applyFont="1" applyFill="1" applyBorder="1" applyAlignment="1">
      <alignment horizontal="center" vertical="center" wrapText="1"/>
    </xf>
    <xf numFmtId="0" fontId="10" fillId="16" borderId="3" xfId="0" applyFont="1" applyFill="1" applyBorder="1" applyAlignment="1" applyProtection="1">
      <alignment horizontal="center"/>
      <protection locked="0"/>
    </xf>
    <xf numFmtId="0" fontId="10" fillId="16" borderId="0" xfId="0" applyFont="1" applyFill="1" applyAlignment="1" applyProtection="1">
      <alignment horizontal="center"/>
      <protection locked="0"/>
    </xf>
    <xf numFmtId="0" fontId="10" fillId="16" borderId="24" xfId="0" applyFont="1" applyFill="1" applyBorder="1" applyAlignment="1" applyProtection="1">
      <alignment horizontal="center"/>
      <protection locked="0"/>
    </xf>
    <xf numFmtId="0" fontId="10" fillId="16" borderId="9" xfId="0" applyFont="1" applyFill="1" applyBorder="1" applyAlignment="1" applyProtection="1">
      <alignment horizontal="center"/>
      <protection locked="0"/>
    </xf>
    <xf numFmtId="0" fontId="10" fillId="16" borderId="1" xfId="0" applyFont="1" applyFill="1" applyBorder="1" applyAlignment="1" applyProtection="1">
      <alignment horizontal="center"/>
      <protection locked="0"/>
    </xf>
    <xf numFmtId="0" fontId="10" fillId="16" borderId="11" xfId="0" applyFont="1" applyFill="1" applyBorder="1" applyAlignment="1" applyProtection="1">
      <alignment horizontal="center"/>
      <protection locked="0"/>
    </xf>
    <xf numFmtId="37" fontId="3" fillId="25" borderId="39" xfId="0" applyNumberFormat="1" applyFont="1" applyFill="1" applyBorder="1" applyProtection="1">
      <protection hidden="1"/>
    </xf>
    <xf numFmtId="0" fontId="5" fillId="25" borderId="25" xfId="0" applyFont="1" applyFill="1" applyBorder="1"/>
    <xf numFmtId="0" fontId="3" fillId="15" borderId="3" xfId="0" applyFont="1" applyFill="1" applyBorder="1" applyAlignment="1">
      <alignment horizontal="left" vertical="top" wrapText="1"/>
    </xf>
    <xf numFmtId="0" fontId="3" fillId="15" borderId="0" xfId="0" applyFont="1" applyFill="1" applyAlignment="1">
      <alignment horizontal="left" vertical="top" wrapText="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7" fillId="2" borderId="0" xfId="0" applyFont="1" applyFill="1" applyAlignment="1" applyProtection="1">
      <alignment horizontal="left" vertical="center" wrapText="1"/>
      <protection hidden="1"/>
    </xf>
    <xf numFmtId="0" fontId="7" fillId="2" borderId="1" xfId="0" applyFont="1" applyFill="1" applyBorder="1" applyAlignment="1" applyProtection="1">
      <alignment horizontal="left" vertical="center" wrapText="1"/>
      <protection hidden="1"/>
    </xf>
    <xf numFmtId="0" fontId="3" fillId="40" borderId="39" xfId="0" applyFont="1" applyFill="1" applyBorder="1" applyAlignment="1" applyProtection="1">
      <alignment horizontal="center"/>
      <protection hidden="1"/>
    </xf>
    <xf numFmtId="0" fontId="0" fillId="40" borderId="54" xfId="0" applyFill="1" applyBorder="1"/>
    <xf numFmtId="3" fontId="3" fillId="27" borderId="9" xfId="0" applyNumberFormat="1" applyFont="1" applyFill="1" applyBorder="1" applyProtection="1">
      <protection hidden="1"/>
    </xf>
    <xf numFmtId="0" fontId="0" fillId="0" borderId="1" xfId="0" applyBorder="1"/>
    <xf numFmtId="37" fontId="3" fillId="27" borderId="39" xfId="0" applyNumberFormat="1" applyFont="1" applyFill="1" applyBorder="1" applyAlignment="1" applyProtection="1">
      <alignment horizontal="right"/>
      <protection hidden="1"/>
    </xf>
    <xf numFmtId="37" fontId="5" fillId="27" borderId="25" xfId="0" applyNumberFormat="1" applyFont="1" applyFill="1" applyBorder="1" applyAlignment="1" applyProtection="1">
      <alignment horizontal="right"/>
      <protection hidden="1"/>
    </xf>
    <xf numFmtId="37" fontId="5" fillId="27" borderId="54" xfId="0" applyNumberFormat="1" applyFont="1" applyFill="1" applyBorder="1" applyAlignment="1" applyProtection="1">
      <alignment horizontal="right"/>
      <protection hidden="1"/>
    </xf>
    <xf numFmtId="37" fontId="3" fillId="25" borderId="25" xfId="0" applyNumberFormat="1" applyFont="1" applyFill="1" applyBorder="1" applyProtection="1">
      <protection hidden="1"/>
    </xf>
    <xf numFmtId="0" fontId="164" fillId="15" borderId="7" xfId="0" applyFont="1" applyFill="1" applyBorder="1" applyAlignment="1" applyProtection="1">
      <alignment horizontal="left" vertical="top"/>
      <protection hidden="1"/>
    </xf>
    <xf numFmtId="0" fontId="164" fillId="15" borderId="0" xfId="0" applyFont="1" applyFill="1" applyAlignment="1" applyProtection="1">
      <alignment horizontal="left" vertical="top"/>
      <protection hidden="1"/>
    </xf>
    <xf numFmtId="0" fontId="208" fillId="15" borderId="3" xfId="0" applyFont="1" applyFill="1" applyBorder="1" applyAlignment="1" applyProtection="1">
      <alignment horizontal="center" wrapText="1"/>
      <protection hidden="1"/>
    </xf>
    <xf numFmtId="37" fontId="3" fillId="15" borderId="9" xfId="0" applyNumberFormat="1" applyFont="1" applyFill="1" applyBorder="1" applyProtection="1">
      <protection hidden="1"/>
    </xf>
    <xf numFmtId="37" fontId="3" fillId="15" borderId="1" xfId="0" applyNumberFormat="1" applyFont="1" applyFill="1" applyBorder="1" applyProtection="1">
      <protection hidden="1"/>
    </xf>
    <xf numFmtId="49" fontId="8" fillId="16" borderId="209" xfId="0" quotePrefix="1" applyNumberFormat="1" applyFont="1" applyFill="1" applyBorder="1" applyAlignment="1" applyProtection="1">
      <alignment horizontal="center" vertical="center"/>
      <protection locked="0"/>
    </xf>
    <xf numFmtId="49" fontId="8" fillId="16" borderId="87" xfId="0" quotePrefix="1" applyNumberFormat="1" applyFont="1" applyFill="1" applyBorder="1" applyAlignment="1" applyProtection="1">
      <alignment horizontal="center" vertical="center"/>
      <protection locked="0"/>
    </xf>
    <xf numFmtId="37" fontId="3" fillId="25" borderId="9" xfId="0" applyNumberFormat="1" applyFont="1" applyFill="1" applyBorder="1" applyProtection="1">
      <protection hidden="1"/>
    </xf>
    <xf numFmtId="0" fontId="5" fillId="25" borderId="1" xfId="0" applyFont="1" applyFill="1" applyBorder="1"/>
    <xf numFmtId="37" fontId="3" fillId="27" borderId="9" xfId="0" applyNumberFormat="1" applyFont="1" applyFill="1" applyBorder="1" applyProtection="1">
      <protection hidden="1"/>
    </xf>
    <xf numFmtId="37" fontId="3" fillId="27" borderId="1" xfId="0" applyNumberFormat="1" applyFont="1" applyFill="1" applyBorder="1" applyProtection="1">
      <protection hidden="1"/>
    </xf>
    <xf numFmtId="37" fontId="3" fillId="27" borderId="11" xfId="0" applyNumberFormat="1" applyFont="1" applyFill="1" applyBorder="1" applyProtection="1">
      <protection hidden="1"/>
    </xf>
    <xf numFmtId="37" fontId="3" fillId="27" borderId="39" xfId="0" applyNumberFormat="1" applyFont="1" applyFill="1" applyBorder="1" applyProtection="1">
      <protection hidden="1"/>
    </xf>
    <xf numFmtId="0" fontId="0" fillId="27" borderId="25" xfId="0" applyFill="1" applyBorder="1" applyProtection="1">
      <protection hidden="1"/>
    </xf>
    <xf numFmtId="37" fontId="3" fillId="25" borderId="1" xfId="0" applyNumberFormat="1" applyFont="1" applyFill="1" applyBorder="1" applyProtection="1">
      <protection hidden="1"/>
    </xf>
    <xf numFmtId="4" fontId="8" fillId="5" borderId="7" xfId="0" applyNumberFormat="1" applyFont="1" applyFill="1" applyBorder="1" applyAlignment="1" applyProtection="1">
      <alignment horizontal="center" vertical="center" textRotation="90"/>
      <protection hidden="1"/>
    </xf>
    <xf numFmtId="4" fontId="8" fillId="5" borderId="0" xfId="0" applyNumberFormat="1" applyFont="1" applyFill="1" applyAlignment="1" applyProtection="1">
      <alignment horizontal="center" vertical="center" textRotation="90"/>
      <protection hidden="1"/>
    </xf>
    <xf numFmtId="4" fontId="29" fillId="5" borderId="0" xfId="0" applyNumberFormat="1" applyFont="1" applyFill="1" applyAlignment="1" applyProtection="1">
      <alignment horizontal="center" vertical="center" textRotation="90"/>
      <protection hidden="1"/>
    </xf>
    <xf numFmtId="37" fontId="3" fillId="16" borderId="30" xfId="0" applyNumberFormat="1" applyFont="1" applyFill="1" applyBorder="1" applyProtection="1">
      <protection locked="0"/>
    </xf>
    <xf numFmtId="0" fontId="0" fillId="16" borderId="8" xfId="0" applyFill="1" applyBorder="1" applyProtection="1">
      <protection locked="0"/>
    </xf>
    <xf numFmtId="0" fontId="5" fillId="15" borderId="0" xfId="0" applyFont="1" applyFill="1" applyAlignment="1" applyProtection="1">
      <alignment horizontal="left" vertical="center" wrapText="1"/>
      <protection locked="0"/>
    </xf>
    <xf numFmtId="166" fontId="3" fillId="27" borderId="39" xfId="0" applyNumberFormat="1" applyFont="1" applyFill="1" applyBorder="1" applyAlignment="1" applyProtection="1">
      <alignment horizontal="center" vertical="center"/>
      <protection hidden="1"/>
    </xf>
    <xf numFmtId="166" fontId="3" fillId="27" borderId="25" xfId="0" applyNumberFormat="1" applyFont="1" applyFill="1" applyBorder="1" applyAlignment="1" applyProtection="1">
      <alignment horizontal="center" vertical="center"/>
      <protection hidden="1"/>
    </xf>
    <xf numFmtId="166" fontId="3" fillId="27" borderId="54" xfId="0" applyNumberFormat="1" applyFont="1" applyFill="1" applyBorder="1" applyAlignment="1" applyProtection="1">
      <alignment horizontal="center" vertical="center"/>
      <protection hidden="1"/>
    </xf>
    <xf numFmtId="0" fontId="7" fillId="40" borderId="1" xfId="0" applyFont="1" applyFill="1" applyBorder="1" applyAlignment="1">
      <alignment horizontal="left" wrapText="1"/>
    </xf>
    <xf numFmtId="0" fontId="7" fillId="40" borderId="11" xfId="0" applyFont="1" applyFill="1" applyBorder="1" applyAlignment="1">
      <alignment horizontal="left" wrapText="1"/>
    </xf>
    <xf numFmtId="0" fontId="3" fillId="27" borderId="8" xfId="0" applyFont="1" applyFill="1" applyBorder="1" applyAlignment="1" applyProtection="1">
      <alignment horizontal="left" vertical="center"/>
      <protection hidden="1"/>
    </xf>
    <xf numFmtId="0" fontId="3" fillId="27" borderId="14" xfId="0" applyFont="1" applyFill="1" applyBorder="1" applyAlignment="1" applyProtection="1">
      <alignment horizontal="left" vertical="center"/>
      <protection hidden="1"/>
    </xf>
    <xf numFmtId="0" fontId="3" fillId="27" borderId="13" xfId="0" applyFont="1" applyFill="1" applyBorder="1" applyAlignment="1" applyProtection="1">
      <alignment horizontal="left" vertical="center"/>
      <protection hidden="1"/>
    </xf>
    <xf numFmtId="0" fontId="3" fillId="27" borderId="17" xfId="0" applyFont="1" applyFill="1" applyBorder="1" applyAlignment="1" applyProtection="1">
      <alignment horizontal="left" vertical="center"/>
      <protection hidden="1"/>
    </xf>
    <xf numFmtId="166" fontId="3" fillId="27" borderId="30" xfId="0" applyNumberFormat="1" applyFont="1" applyFill="1" applyBorder="1" applyAlignment="1" applyProtection="1">
      <alignment horizontal="center" vertical="center"/>
      <protection hidden="1"/>
    </xf>
    <xf numFmtId="166" fontId="3" fillId="27" borderId="8" xfId="0" applyNumberFormat="1" applyFont="1" applyFill="1" applyBorder="1" applyAlignment="1" applyProtection="1">
      <alignment horizontal="center" vertical="center"/>
      <protection hidden="1"/>
    </xf>
    <xf numFmtId="166" fontId="3" fillId="27" borderId="14" xfId="0" applyNumberFormat="1" applyFont="1" applyFill="1" applyBorder="1" applyAlignment="1" applyProtection="1">
      <alignment horizontal="center" vertical="center"/>
      <protection hidden="1"/>
    </xf>
    <xf numFmtId="166" fontId="3" fillId="27" borderId="35" xfId="0" applyNumberFormat="1" applyFont="1" applyFill="1" applyBorder="1" applyAlignment="1" applyProtection="1">
      <alignment horizontal="center" vertical="center"/>
      <protection hidden="1"/>
    </xf>
    <xf numFmtId="166" fontId="3" fillId="27" borderId="13" xfId="0" applyNumberFormat="1" applyFont="1" applyFill="1" applyBorder="1" applyAlignment="1" applyProtection="1">
      <alignment horizontal="center" vertical="center"/>
      <protection hidden="1"/>
    </xf>
    <xf numFmtId="166" fontId="3" fillId="27" borderId="17" xfId="0" applyNumberFormat="1" applyFont="1" applyFill="1" applyBorder="1" applyAlignment="1" applyProtection="1">
      <alignment horizontal="center" vertical="center"/>
      <protection hidden="1"/>
    </xf>
    <xf numFmtId="0" fontId="3" fillId="40" borderId="3" xfId="0" applyFont="1" applyFill="1" applyBorder="1" applyAlignment="1" applyProtection="1">
      <alignment horizontal="center"/>
      <protection hidden="1"/>
    </xf>
    <xf numFmtId="0" fontId="0" fillId="40" borderId="24" xfId="0" applyFill="1" applyBorder="1"/>
    <xf numFmtId="37" fontId="3" fillId="27" borderId="9"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1" xfId="0" applyNumberFormat="1" applyFont="1" applyFill="1" applyBorder="1" applyAlignment="1" applyProtection="1">
      <alignment horizontal="right"/>
      <protection hidden="1"/>
    </xf>
    <xf numFmtId="0" fontId="9" fillId="40" borderId="14" xfId="0" applyFont="1" applyFill="1" applyBorder="1" applyAlignment="1">
      <alignment horizontal="center" vertical="center" wrapText="1"/>
    </xf>
    <xf numFmtId="0" fontId="9" fillId="40" borderId="17" xfId="0" applyFont="1" applyFill="1" applyBorder="1" applyAlignment="1">
      <alignment horizontal="center" vertical="center" wrapText="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37" fontId="3" fillId="25" borderId="3" xfId="0" applyNumberFormat="1" applyFont="1" applyFill="1" applyBorder="1" applyProtection="1">
      <protection hidden="1"/>
    </xf>
    <xf numFmtId="37" fontId="3" fillId="25" borderId="0" xfId="0" applyNumberFormat="1" applyFont="1" applyFill="1" applyProtection="1">
      <protection hidden="1"/>
    </xf>
    <xf numFmtId="37" fontId="3" fillId="16" borderId="9" xfId="0" applyNumberFormat="1" applyFont="1" applyFill="1" applyBorder="1" applyAlignment="1" applyProtection="1">
      <alignment horizontal="right"/>
      <protection locked="0"/>
    </xf>
    <xf numFmtId="37" fontId="3" fillId="16" borderId="1" xfId="0" applyNumberFormat="1" applyFont="1" applyFill="1" applyBorder="1" applyAlignment="1" applyProtection="1">
      <alignment horizontal="right"/>
      <protection locked="0"/>
    </xf>
    <xf numFmtId="0" fontId="7" fillId="2" borderId="0" xfId="0" applyFont="1" applyFill="1" applyAlignment="1" applyProtection="1">
      <alignment horizontal="left"/>
      <protection hidden="1"/>
    </xf>
    <xf numFmtId="0" fontId="7" fillId="2" borderId="0" xfId="0" applyFont="1" applyFill="1" applyAlignment="1" applyProtection="1">
      <alignment horizontal="left" vertical="top"/>
      <protection hidden="1"/>
    </xf>
    <xf numFmtId="37" fontId="184" fillId="15" borderId="3" xfId="0" applyNumberFormat="1" applyFont="1" applyFill="1" applyBorder="1" applyAlignment="1" applyProtection="1">
      <alignment horizontal="center" vertical="center"/>
      <protection hidden="1"/>
    </xf>
    <xf numFmtId="37" fontId="184" fillId="15" borderId="0" xfId="0" applyNumberFormat="1" applyFont="1" applyFill="1" applyAlignment="1" applyProtection="1">
      <alignment horizontal="center" vertical="center"/>
      <protection hidden="1"/>
    </xf>
    <xf numFmtId="0" fontId="43" fillId="2" borderId="16" xfId="0" applyFont="1" applyFill="1" applyBorder="1" applyAlignment="1" applyProtection="1">
      <alignment horizontal="left" vertical="center"/>
      <protection hidden="1"/>
    </xf>
    <xf numFmtId="0" fontId="43" fillId="2" borderId="0" xfId="0" applyFont="1" applyFill="1" applyAlignment="1" applyProtection="1">
      <alignment horizontal="left" vertical="center"/>
      <protection hidden="1"/>
    </xf>
    <xf numFmtId="0" fontId="8" fillId="15" borderId="30" xfId="0" applyFont="1" applyFill="1" applyBorder="1" applyAlignment="1" applyProtection="1">
      <alignment horizontal="left" vertical="center" wrapText="1" indent="1"/>
      <protection hidden="1"/>
    </xf>
    <xf numFmtId="0" fontId="8" fillId="15" borderId="8" xfId="0" applyFont="1" applyFill="1" applyBorder="1" applyAlignment="1" applyProtection="1">
      <alignment horizontal="left" vertical="center" wrapText="1" indent="1"/>
      <protection hidden="1"/>
    </xf>
    <xf numFmtId="0" fontId="8" fillId="15" borderId="9"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30" xfId="0" applyFont="1" applyFill="1" applyBorder="1" applyAlignment="1" applyProtection="1">
      <alignment horizontal="left" vertical="center" wrapText="1" indent="1"/>
      <protection hidden="1"/>
    </xf>
    <xf numFmtId="0" fontId="9" fillId="2" borderId="8" xfId="0" applyFont="1" applyFill="1" applyBorder="1" applyAlignment="1" applyProtection="1">
      <alignment horizontal="left" vertical="center" wrapText="1" indent="1"/>
      <protection hidden="1"/>
    </xf>
    <xf numFmtId="0" fontId="9" fillId="2" borderId="3"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indent="1"/>
      <protection hidden="1"/>
    </xf>
    <xf numFmtId="0" fontId="9" fillId="2" borderId="9" xfId="0" applyFont="1" applyFill="1" applyBorder="1" applyAlignment="1" applyProtection="1">
      <alignment horizontal="left" vertical="center" wrapText="1" indent="1"/>
      <protection hidden="1"/>
    </xf>
    <xf numFmtId="0" fontId="9" fillId="2" borderId="1" xfId="0" applyFont="1" applyFill="1" applyBorder="1" applyAlignment="1" applyProtection="1">
      <alignment horizontal="left" vertical="center" wrapText="1" indent="1"/>
      <protection hidden="1"/>
    </xf>
    <xf numFmtId="0" fontId="8" fillId="2" borderId="0" xfId="0" applyFont="1" applyFill="1" applyAlignment="1" applyProtection="1">
      <alignment horizontal="left" vertical="top" wrapText="1"/>
      <protection hidden="1"/>
    </xf>
    <xf numFmtId="0" fontId="14" fillId="15" borderId="0" xfId="0" applyFont="1" applyFill="1" applyAlignment="1" applyProtection="1">
      <alignment horizontal="left" vertical="center" wrapText="1"/>
      <protection hidden="1"/>
    </xf>
    <xf numFmtId="0" fontId="3" fillId="16" borderId="0" xfId="0" applyFont="1" applyFill="1" applyAlignment="1" applyProtection="1">
      <alignment horizontal="center"/>
      <protection locked="0"/>
    </xf>
    <xf numFmtId="0" fontId="3" fillId="16" borderId="24" xfId="0" applyFont="1" applyFill="1" applyBorder="1" applyAlignment="1" applyProtection="1">
      <alignment horizontal="center"/>
      <protection locked="0"/>
    </xf>
    <xf numFmtId="0" fontId="3" fillId="16" borderId="1" xfId="0" applyFont="1" applyFill="1" applyBorder="1" applyAlignment="1" applyProtection="1">
      <alignment horizontal="center"/>
      <protection locked="0"/>
    </xf>
    <xf numFmtId="0" fontId="3" fillId="16" borderId="11" xfId="0" applyFont="1" applyFill="1" applyBorder="1" applyAlignment="1" applyProtection="1">
      <alignment horizontal="center"/>
      <protection locked="0"/>
    </xf>
    <xf numFmtId="14" fontId="3" fillId="16" borderId="3" xfId="0" applyNumberFormat="1" applyFont="1" applyFill="1" applyBorder="1" applyAlignment="1" applyProtection="1">
      <alignment horizontal="center"/>
      <protection locked="0"/>
    </xf>
    <xf numFmtId="14" fontId="3" fillId="16" borderId="0" xfId="0" applyNumberFormat="1" applyFont="1" applyFill="1" applyAlignment="1" applyProtection="1">
      <alignment horizontal="center"/>
      <protection locked="0"/>
    </xf>
    <xf numFmtId="14" fontId="3" fillId="16" borderId="24" xfId="0" applyNumberFormat="1" applyFont="1" applyFill="1" applyBorder="1" applyAlignment="1" applyProtection="1">
      <alignment horizontal="center"/>
      <protection locked="0"/>
    </xf>
    <xf numFmtId="14" fontId="3" fillId="16" borderId="9" xfId="0" applyNumberFormat="1" applyFont="1" applyFill="1" applyBorder="1" applyAlignment="1" applyProtection="1">
      <alignment horizontal="center"/>
      <protection locked="0"/>
    </xf>
    <xf numFmtId="14" fontId="3" fillId="16" borderId="1" xfId="0" applyNumberFormat="1" applyFont="1" applyFill="1" applyBorder="1" applyAlignment="1" applyProtection="1">
      <alignment horizontal="center"/>
      <protection locked="0"/>
    </xf>
    <xf numFmtId="14" fontId="3" fillId="16" borderId="11" xfId="0" applyNumberFormat="1" applyFont="1" applyFill="1" applyBorder="1" applyAlignment="1" applyProtection="1">
      <alignment horizontal="center"/>
      <protection locked="0"/>
    </xf>
    <xf numFmtId="49" fontId="8" fillId="16" borderId="3" xfId="0" applyNumberFormat="1" applyFont="1" applyFill="1" applyBorder="1" applyAlignment="1" applyProtection="1">
      <alignment horizontal="center" wrapText="1"/>
      <protection locked="0"/>
    </xf>
    <xf numFmtId="49" fontId="8" fillId="16" borderId="0" xfId="0" applyNumberFormat="1" applyFont="1" applyFill="1" applyAlignment="1" applyProtection="1">
      <alignment horizontal="center" wrapText="1"/>
      <protection locked="0"/>
    </xf>
    <xf numFmtId="49" fontId="8" fillId="16" borderId="24" xfId="0" applyNumberFormat="1" applyFont="1" applyFill="1" applyBorder="1" applyAlignment="1" applyProtection="1">
      <alignment horizontal="center" wrapText="1"/>
      <protection locked="0"/>
    </xf>
    <xf numFmtId="49" fontId="8" fillId="16" borderId="9" xfId="0" applyNumberFormat="1" applyFont="1" applyFill="1" applyBorder="1" applyAlignment="1" applyProtection="1">
      <alignment horizontal="center" wrapText="1"/>
      <protection locked="0"/>
    </xf>
    <xf numFmtId="49" fontId="8" fillId="16" borderId="1" xfId="0" applyNumberFormat="1" applyFont="1" applyFill="1" applyBorder="1" applyAlignment="1" applyProtection="1">
      <alignment horizontal="center" wrapText="1"/>
      <protection locked="0"/>
    </xf>
    <xf numFmtId="49" fontId="8" fillId="16" borderId="11" xfId="0" applyNumberFormat="1" applyFont="1" applyFill="1" applyBorder="1" applyAlignment="1" applyProtection="1">
      <alignment horizontal="center" wrapText="1"/>
      <protection locked="0"/>
    </xf>
    <xf numFmtId="4" fontId="7" fillId="15" borderId="3" xfId="0" applyNumberFormat="1" applyFont="1" applyFill="1" applyBorder="1" applyAlignment="1" applyProtection="1">
      <alignment horizontal="left" vertical="top" wrapText="1"/>
      <protection hidden="1"/>
    </xf>
    <xf numFmtId="4" fontId="7" fillId="15" borderId="0" xfId="0" applyNumberFormat="1" applyFont="1" applyFill="1" applyAlignment="1" applyProtection="1">
      <alignment horizontal="left" vertical="top" wrapText="1"/>
      <protection hidden="1"/>
    </xf>
    <xf numFmtId="165" fontId="9" fillId="15" borderId="9" xfId="0" applyNumberFormat="1" applyFont="1" applyFill="1" applyBorder="1" applyAlignment="1" applyProtection="1">
      <alignment horizontal="center" vertical="top"/>
      <protection hidden="1"/>
    </xf>
    <xf numFmtId="0" fontId="9" fillId="15" borderId="29" xfId="0" applyFont="1" applyFill="1" applyBorder="1" applyAlignment="1" applyProtection="1">
      <alignment horizontal="center" vertical="top"/>
      <protection hidden="1"/>
    </xf>
    <xf numFmtId="0" fontId="19" fillId="15" borderId="7" xfId="0" applyFont="1" applyFill="1" applyBorder="1" applyAlignment="1" applyProtection="1">
      <alignment horizontal="left" vertical="center" wrapText="1"/>
      <protection hidden="1"/>
    </xf>
    <xf numFmtId="0" fontId="19" fillId="15" borderId="0" xfId="0" applyFont="1" applyFill="1" applyAlignment="1" applyProtection="1">
      <alignment horizontal="left" vertical="center" wrapText="1"/>
      <protection hidden="1"/>
    </xf>
    <xf numFmtId="165" fontId="8" fillId="16" borderId="25" xfId="0" applyNumberFormat="1" applyFont="1" applyFill="1" applyBorder="1" applyAlignment="1" applyProtection="1">
      <alignment horizontal="center"/>
      <protection locked="0"/>
    </xf>
    <xf numFmtId="0" fontId="0" fillId="0" borderId="25" xfId="0" applyBorder="1" applyAlignment="1">
      <alignment horizontal="center"/>
    </xf>
    <xf numFmtId="0" fontId="9" fillId="2" borderId="3" xfId="0" applyFont="1" applyFill="1" applyBorder="1" applyAlignment="1" applyProtection="1">
      <alignment horizontal="left" indent="1"/>
      <protection hidden="1"/>
    </xf>
    <xf numFmtId="0" fontId="9" fillId="2" borderId="0" xfId="0" applyFont="1" applyFill="1" applyAlignment="1" applyProtection="1">
      <alignment horizontal="left" indent="1"/>
      <protection hidden="1"/>
    </xf>
    <xf numFmtId="0" fontId="9" fillId="2" borderId="24" xfId="0" applyFont="1" applyFill="1" applyBorder="1" applyAlignment="1" applyProtection="1">
      <alignment horizontal="left" indent="1"/>
      <protection hidden="1"/>
    </xf>
    <xf numFmtId="0" fontId="9" fillId="15" borderId="0" xfId="0" applyFont="1" applyFill="1" applyAlignment="1" applyProtection="1">
      <alignment horizontal="left" vertical="top" wrapText="1"/>
      <protection hidden="1"/>
    </xf>
    <xf numFmtId="4" fontId="122" fillId="15" borderId="0" xfId="0" applyNumberFormat="1" applyFont="1" applyFill="1" applyAlignment="1" applyProtection="1">
      <alignment horizontal="left"/>
      <protection hidden="1"/>
    </xf>
    <xf numFmtId="4" fontId="122" fillId="15" borderId="24" xfId="0" applyNumberFormat="1" applyFont="1" applyFill="1" applyBorder="1" applyAlignment="1" applyProtection="1">
      <alignment horizontal="left"/>
      <protection hidden="1"/>
    </xf>
    <xf numFmtId="37" fontId="3" fillId="25" borderId="39" xfId="0" applyNumberFormat="1" applyFont="1" applyFill="1" applyBorder="1" applyAlignment="1" applyProtection="1">
      <alignment horizontal="right"/>
      <protection hidden="1"/>
    </xf>
    <xf numFmtId="37" fontId="3" fillId="25" borderId="25" xfId="0" applyNumberFormat="1" applyFont="1" applyFill="1" applyBorder="1" applyAlignment="1" applyProtection="1">
      <alignment horizontal="right"/>
      <protection hidden="1"/>
    </xf>
    <xf numFmtId="37" fontId="3" fillId="25" borderId="56" xfId="0" applyNumberFormat="1" applyFont="1" applyFill="1" applyBorder="1" applyAlignment="1" applyProtection="1">
      <alignment horizontal="right"/>
      <protection hidden="1"/>
    </xf>
    <xf numFmtId="37" fontId="3" fillId="25" borderId="7" xfId="0" applyNumberFormat="1" applyFont="1" applyFill="1" applyBorder="1" applyAlignment="1" applyProtection="1">
      <alignment horizontal="right"/>
      <protection hidden="1"/>
    </xf>
    <xf numFmtId="37" fontId="3" fillId="25" borderId="9" xfId="0" applyNumberFormat="1" applyFont="1" applyFill="1" applyBorder="1" applyAlignment="1" applyProtection="1">
      <alignment horizontal="right"/>
      <protection hidden="1"/>
    </xf>
    <xf numFmtId="37" fontId="3" fillId="25" borderId="1" xfId="0" applyNumberFormat="1" applyFont="1" applyFill="1" applyBorder="1" applyAlignment="1" applyProtection="1">
      <alignment horizontal="right"/>
      <protection hidden="1"/>
    </xf>
    <xf numFmtId="4" fontId="164" fillId="15" borderId="30" xfId="0" applyNumberFormat="1" applyFont="1" applyFill="1" applyBorder="1" applyAlignment="1" applyProtection="1">
      <alignment horizontal="center" vertical="center" wrapText="1"/>
      <protection hidden="1"/>
    </xf>
    <xf numFmtId="4" fontId="164" fillId="15" borderId="8" xfId="0" applyNumberFormat="1" applyFont="1" applyFill="1" applyBorder="1" applyAlignment="1" applyProtection="1">
      <alignment horizontal="center" vertical="center" wrapText="1"/>
      <protection hidden="1"/>
    </xf>
    <xf numFmtId="4" fontId="164" fillId="15" borderId="14" xfId="0" applyNumberFormat="1" applyFont="1" applyFill="1" applyBorder="1" applyAlignment="1" applyProtection="1">
      <alignment horizontal="center" vertical="center" wrapText="1"/>
      <protection hidden="1"/>
    </xf>
    <xf numFmtId="4" fontId="164" fillId="15" borderId="3" xfId="0" applyNumberFormat="1" applyFont="1" applyFill="1" applyBorder="1" applyAlignment="1" applyProtection="1">
      <alignment horizontal="center" vertical="center" wrapText="1"/>
      <protection hidden="1"/>
    </xf>
    <xf numFmtId="4" fontId="164" fillId="15" borderId="0" xfId="0" applyNumberFormat="1" applyFont="1" applyFill="1" applyAlignment="1" applyProtection="1">
      <alignment horizontal="center" vertical="center" wrapText="1"/>
      <protection hidden="1"/>
    </xf>
    <xf numFmtId="4" fontId="164" fillId="15" borderId="24" xfId="0" applyNumberFormat="1" applyFont="1" applyFill="1" applyBorder="1" applyAlignment="1" applyProtection="1">
      <alignment horizontal="center" vertical="center" wrapText="1"/>
      <protection hidden="1"/>
    </xf>
    <xf numFmtId="4" fontId="164" fillId="15" borderId="9" xfId="0" applyNumberFormat="1" applyFont="1" applyFill="1" applyBorder="1" applyAlignment="1" applyProtection="1">
      <alignment horizontal="center" vertical="center" wrapText="1"/>
      <protection hidden="1"/>
    </xf>
    <xf numFmtId="4" fontId="164" fillId="15" borderId="1" xfId="0" applyNumberFormat="1" applyFont="1" applyFill="1" applyBorder="1" applyAlignment="1" applyProtection="1">
      <alignment horizontal="center" vertical="center" wrapText="1"/>
      <protection hidden="1"/>
    </xf>
    <xf numFmtId="4" fontId="164" fillId="15" borderId="11" xfId="0" applyNumberFormat="1" applyFont="1" applyFill="1" applyBorder="1" applyAlignment="1" applyProtection="1">
      <alignment horizontal="center" vertical="center" wrapText="1"/>
      <protection hidden="1"/>
    </xf>
    <xf numFmtId="4" fontId="75" fillId="2" borderId="8" xfId="0" applyNumberFormat="1" applyFont="1" applyFill="1" applyBorder="1" applyAlignment="1" applyProtection="1">
      <alignment horizontal="left" vertical="center"/>
      <protection hidden="1"/>
    </xf>
    <xf numFmtId="4" fontId="75" fillId="2" borderId="14" xfId="0" applyNumberFormat="1" applyFont="1" applyFill="1" applyBorder="1" applyAlignment="1" applyProtection="1">
      <alignment horizontal="left" vertical="center"/>
      <protection hidden="1"/>
    </xf>
    <xf numFmtId="37" fontId="3" fillId="16" borderId="39" xfId="0" applyNumberFormat="1" applyFont="1" applyFill="1" applyBorder="1" applyAlignment="1" applyProtection="1">
      <alignment horizontal="right"/>
      <protection locked="0" hidden="1"/>
    </xf>
    <xf numFmtId="37" fontId="3" fillId="16" borderId="25" xfId="0" applyNumberFormat="1" applyFont="1" applyFill="1" applyBorder="1" applyAlignment="1" applyProtection="1">
      <alignment horizontal="right"/>
      <protection locked="0" hidden="1"/>
    </xf>
    <xf numFmtId="0" fontId="184" fillId="15" borderId="0" xfId="0" applyFont="1" applyFill="1" applyAlignment="1" applyProtection="1">
      <alignment horizontal="center" vertical="center"/>
      <protection hidden="1"/>
    </xf>
    <xf numFmtId="37" fontId="3" fillId="21" borderId="39" xfId="0" applyNumberFormat="1" applyFont="1" applyFill="1" applyBorder="1" applyAlignment="1" applyProtection="1">
      <alignment horizontal="right"/>
      <protection hidden="1"/>
    </xf>
    <xf numFmtId="37" fontId="5" fillId="21" borderId="25" xfId="0" applyNumberFormat="1" applyFont="1" applyFill="1" applyBorder="1" applyAlignment="1" applyProtection="1">
      <alignment horizontal="right"/>
      <protection hidden="1"/>
    </xf>
    <xf numFmtId="37" fontId="5" fillId="21" borderId="54" xfId="0" applyNumberFormat="1" applyFont="1" applyFill="1" applyBorder="1" applyAlignment="1" applyProtection="1">
      <alignment horizontal="right"/>
      <protection hidden="1"/>
    </xf>
    <xf numFmtId="0" fontId="66" fillId="6" borderId="5"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Alignment="1" applyProtection="1">
      <alignment horizontal="left" indent="1"/>
      <protection hidden="1"/>
    </xf>
    <xf numFmtId="0" fontId="5" fillId="0" borderId="0" xfId="0" applyFont="1" applyAlignment="1">
      <alignment horizontal="left" indent="1"/>
    </xf>
    <xf numFmtId="0" fontId="3" fillId="40" borderId="30" xfId="0" applyFont="1" applyFill="1" applyBorder="1" applyAlignment="1" applyProtection="1">
      <alignment horizontal="center" vertical="center" wrapText="1"/>
      <protection hidden="1"/>
    </xf>
    <xf numFmtId="0" fontId="3" fillId="40" borderId="8" xfId="0" applyFont="1" applyFill="1" applyBorder="1" applyAlignment="1">
      <alignment horizontal="center" vertical="center" wrapText="1"/>
    </xf>
    <xf numFmtId="0" fontId="10" fillId="16" borderId="1" xfId="0" applyFont="1" applyFill="1" applyBorder="1" applyAlignment="1" applyProtection="1">
      <alignment horizontal="left" indent="1"/>
      <protection locked="0"/>
    </xf>
    <xf numFmtId="0" fontId="10" fillId="16" borderId="11" xfId="0" applyFont="1" applyFill="1" applyBorder="1" applyAlignment="1" applyProtection="1">
      <alignment horizontal="left" indent="1"/>
      <protection locked="0"/>
    </xf>
    <xf numFmtId="0" fontId="5" fillId="15" borderId="0" xfId="0" applyFont="1" applyFill="1" applyAlignment="1">
      <alignment horizontal="left" vertical="center" textRotation="90"/>
    </xf>
    <xf numFmtId="0" fontId="5" fillId="15" borderId="13" xfId="0" applyFont="1" applyFill="1" applyBorder="1" applyAlignment="1">
      <alignment horizontal="left" vertical="center"/>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67" fillId="40" borderId="5" xfId="0" applyFont="1" applyFill="1" applyBorder="1" applyAlignment="1" applyProtection="1">
      <alignment horizontal="center"/>
      <protection hidden="1"/>
    </xf>
    <xf numFmtId="0" fontId="167" fillId="40" borderId="0" xfId="0" applyFont="1" applyFill="1" applyAlignment="1">
      <alignment horizontal="center"/>
    </xf>
    <xf numFmtId="0" fontId="9" fillId="40" borderId="9" xfId="0" applyFont="1" applyFill="1" applyBorder="1" applyAlignment="1">
      <alignment horizontal="center" vertical="center" wrapText="1"/>
    </xf>
    <xf numFmtId="0" fontId="9" fillId="40" borderId="1" xfId="0" applyFont="1" applyFill="1" applyBorder="1" applyAlignment="1">
      <alignment horizontal="center" vertical="center" wrapText="1"/>
    </xf>
    <xf numFmtId="0" fontId="9" fillId="40" borderId="11" xfId="0" applyFont="1" applyFill="1" applyBorder="1" applyAlignment="1">
      <alignment horizontal="center" vertical="center" wrapText="1"/>
    </xf>
    <xf numFmtId="0" fontId="0" fillId="40" borderId="1" xfId="0" applyFill="1" applyBorder="1" applyAlignment="1">
      <alignment horizontal="center" vertical="center" wrapText="1"/>
    </xf>
    <xf numFmtId="0" fontId="15" fillId="40" borderId="206" xfId="0" applyFont="1" applyFill="1" applyBorder="1" applyAlignment="1" applyProtection="1">
      <alignment horizontal="center"/>
      <protection hidden="1"/>
    </xf>
    <xf numFmtId="0" fontId="15" fillId="40" borderId="13" xfId="0" applyFont="1" applyFill="1" applyBorder="1" applyAlignment="1">
      <alignment horizontal="center"/>
    </xf>
    <xf numFmtId="0" fontId="9" fillId="40" borderId="35" xfId="0" applyFont="1" applyFill="1" applyBorder="1" applyAlignment="1" applyProtection="1">
      <alignment horizontal="center" wrapText="1"/>
      <protection hidden="1"/>
    </xf>
    <xf numFmtId="0" fontId="9" fillId="40" borderId="13" xfId="0" applyFont="1" applyFill="1" applyBorder="1" applyAlignment="1" applyProtection="1">
      <alignment horizontal="center" wrapText="1"/>
      <protection hidden="1"/>
    </xf>
    <xf numFmtId="0" fontId="9" fillId="40" borderId="158" xfId="0" applyFont="1" applyFill="1" applyBorder="1" applyAlignment="1" applyProtection="1">
      <alignment horizontal="center" wrapText="1"/>
      <protection hidden="1"/>
    </xf>
    <xf numFmtId="0" fontId="263" fillId="40" borderId="3" xfId="0" applyFont="1" applyFill="1" applyBorder="1" applyAlignment="1">
      <alignment horizontal="center" vertical="center"/>
    </xf>
    <xf numFmtId="0" fontId="263" fillId="40" borderId="0" xfId="0" applyFont="1" applyFill="1" applyAlignment="1">
      <alignment horizontal="center" vertical="center"/>
    </xf>
    <xf numFmtId="0" fontId="263" fillId="40" borderId="24" xfId="0" applyFont="1" applyFill="1" applyBorder="1" applyAlignment="1">
      <alignment horizontal="center" vertical="center"/>
    </xf>
    <xf numFmtId="0" fontId="263" fillId="40" borderId="35" xfId="0" applyFont="1" applyFill="1" applyBorder="1" applyAlignment="1">
      <alignment horizontal="center" vertical="center"/>
    </xf>
    <xf numFmtId="0" fontId="263" fillId="40" borderId="13" xfId="0" applyFont="1" applyFill="1" applyBorder="1" applyAlignment="1">
      <alignment horizontal="center" vertical="center"/>
    </xf>
    <xf numFmtId="0" fontId="263" fillId="40" borderId="17" xfId="0" applyFont="1" applyFill="1" applyBorder="1" applyAlignment="1">
      <alignment horizontal="center" vertical="center"/>
    </xf>
    <xf numFmtId="0" fontId="10" fillId="16" borderId="9"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1" xfId="0" applyBorder="1" applyAlignment="1" applyProtection="1">
      <alignment horizontal="left" wrapText="1" indent="1"/>
      <protection locked="0"/>
    </xf>
    <xf numFmtId="166" fontId="10" fillId="16" borderId="9" xfId="0" applyNumberFormat="1" applyFont="1" applyFill="1" applyBorder="1" applyAlignment="1" applyProtection="1">
      <alignment horizontal="center"/>
      <protection locked="0"/>
    </xf>
    <xf numFmtId="166" fontId="13" fillId="16" borderId="1" xfId="0" applyNumberFormat="1" applyFont="1" applyFill="1" applyBorder="1" applyAlignment="1" applyProtection="1">
      <alignment horizontal="center"/>
      <protection locked="0"/>
    </xf>
    <xf numFmtId="49" fontId="10" fillId="16" borderId="9"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center"/>
      <protection locked="0"/>
    </xf>
    <xf numFmtId="0" fontId="43" fillId="40" borderId="3" xfId="0" applyFont="1" applyFill="1" applyBorder="1" applyAlignment="1" applyProtection="1">
      <alignment horizontal="center" vertical="center" wrapText="1"/>
      <protection hidden="1"/>
    </xf>
    <xf numFmtId="0" fontId="43" fillId="40" borderId="0" xfId="0" applyFont="1" applyFill="1" applyAlignment="1" applyProtection="1">
      <alignment horizontal="center" vertical="center" wrapText="1"/>
      <protection hidden="1"/>
    </xf>
    <xf numFmtId="0" fontId="43" fillId="40" borderId="20" xfId="0"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9" fillId="40" borderId="13" xfId="0" applyFont="1" applyFill="1" applyBorder="1" applyAlignment="1" applyProtection="1">
      <alignment horizontal="left" vertical="center" indent="1"/>
      <protection hidden="1"/>
    </xf>
    <xf numFmtId="0" fontId="0" fillId="0" borderId="13" xfId="0" applyBorder="1" applyAlignment="1">
      <alignment horizontal="left" indent="1"/>
    </xf>
    <xf numFmtId="0" fontId="0" fillId="0" borderId="17" xfId="0" applyBorder="1" applyAlignment="1">
      <alignment horizontal="left" indent="1"/>
    </xf>
    <xf numFmtId="0" fontId="10" fillId="15" borderId="8" xfId="0" applyFont="1" applyFill="1" applyBorder="1" applyAlignment="1" applyProtection="1">
      <alignment horizontal="left" vertical="top" wrapText="1"/>
      <protection hidden="1"/>
    </xf>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4" fontId="13" fillId="2" borderId="199" xfId="0" applyNumberFormat="1" applyFont="1" applyFill="1" applyBorder="1" applyAlignment="1" applyProtection="1">
      <alignment horizontal="left" vertical="center" indent="1"/>
      <protection hidden="1"/>
    </xf>
    <xf numFmtId="4" fontId="13" fillId="2" borderId="34" xfId="0" applyNumberFormat="1" applyFont="1" applyFill="1" applyBorder="1" applyAlignment="1" applyProtection="1">
      <alignment horizontal="left" vertical="center" indent="1"/>
      <protection hidden="1"/>
    </xf>
    <xf numFmtId="0" fontId="13" fillId="0" borderId="34" xfId="0" applyFont="1" applyBorder="1" applyAlignment="1">
      <alignment horizontal="left" vertical="center" indent="1"/>
    </xf>
    <xf numFmtId="204" fontId="10" fillId="16" borderId="34" xfId="0" applyNumberFormat="1" applyFont="1" applyFill="1" applyBorder="1" applyAlignment="1" applyProtection="1">
      <alignment horizontal="center" vertical="center"/>
      <protection locked="0"/>
    </xf>
    <xf numFmtId="0" fontId="66" fillId="0" borderId="23" xfId="2" applyBorder="1" applyAlignment="1" applyProtection="1">
      <alignment horizontal="center" vertical="center"/>
    </xf>
    <xf numFmtId="0" fontId="66" fillId="0" borderId="7" xfId="2" applyBorder="1" applyAlignment="1" applyProtection="1">
      <alignment horizontal="center" vertical="center"/>
    </xf>
    <xf numFmtId="0" fontId="66" fillId="0" borderId="19" xfId="2" applyBorder="1" applyAlignment="1" applyProtection="1">
      <alignment horizontal="center" vertical="center"/>
    </xf>
    <xf numFmtId="0" fontId="66" fillId="0" borderId="5" xfId="2" applyBorder="1" applyAlignment="1" applyProtection="1">
      <alignment horizontal="center" vertical="center"/>
    </xf>
    <xf numFmtId="0" fontId="66" fillId="0" borderId="0" xfId="2" applyAlignment="1" applyProtection="1">
      <alignment horizontal="center" vertical="center"/>
    </xf>
    <xf numFmtId="0" fontId="66" fillId="0" borderId="20" xfId="2" applyBorder="1" applyAlignment="1" applyProtection="1">
      <alignment horizontal="center" vertical="center"/>
    </xf>
    <xf numFmtId="0" fontId="66" fillId="0" borderId="21" xfId="2" applyBorder="1" applyAlignment="1" applyProtection="1">
      <alignment horizontal="center" vertical="center"/>
    </xf>
    <xf numFmtId="0" fontId="66" fillId="0" borderId="4" xfId="2" applyBorder="1" applyAlignment="1" applyProtection="1">
      <alignment horizontal="center" vertical="center"/>
    </xf>
    <xf numFmtId="0" fontId="66" fillId="0" borderId="22" xfId="2" applyBorder="1" applyAlignment="1" applyProtection="1">
      <alignment horizontal="center" vertical="center"/>
    </xf>
    <xf numFmtId="37" fontId="106" fillId="15" borderId="9" xfId="0" applyNumberFormat="1" applyFont="1" applyFill="1" applyBorder="1" applyAlignment="1" applyProtection="1">
      <alignment vertical="top"/>
      <protection hidden="1"/>
    </xf>
    <xf numFmtId="0" fontId="117" fillId="0" borderId="1" xfId="0" applyFont="1" applyBorder="1" applyAlignment="1">
      <alignment vertical="top"/>
    </xf>
    <xf numFmtId="37" fontId="106" fillId="15" borderId="3" xfId="0" applyNumberFormat="1" applyFont="1" applyFill="1" applyBorder="1" applyAlignment="1" applyProtection="1">
      <alignment vertical="center"/>
      <protection hidden="1"/>
    </xf>
    <xf numFmtId="0" fontId="117" fillId="0" borderId="0" xfId="0" applyFont="1" applyAlignment="1">
      <alignment vertical="center"/>
    </xf>
    <xf numFmtId="0" fontId="9" fillId="2" borderId="39" xfId="0" applyFont="1" applyFill="1" applyBorder="1" applyAlignment="1" applyProtection="1">
      <alignment horizontal="left"/>
      <protection hidden="1"/>
    </xf>
    <xf numFmtId="0" fontId="0" fillId="0" borderId="25" xfId="0" applyBorder="1" applyAlignment="1">
      <alignment horizontal="left"/>
    </xf>
    <xf numFmtId="0" fontId="3" fillId="27" borderId="39" xfId="0" applyFont="1" applyFill="1" applyBorder="1" applyAlignment="1" applyProtection="1">
      <alignment horizontal="center" vertical="center"/>
      <protection hidden="1"/>
    </xf>
    <xf numFmtId="0" fontId="3" fillId="27" borderId="25" xfId="0" applyFont="1" applyFill="1" applyBorder="1" applyAlignment="1" applyProtection="1">
      <alignment horizontal="center" vertical="center"/>
      <protection hidden="1"/>
    </xf>
    <xf numFmtId="0" fontId="3" fillId="27" borderId="54" xfId="0" applyFont="1" applyFill="1" applyBorder="1" applyAlignment="1" applyProtection="1">
      <alignment horizontal="center" vertical="center"/>
      <protection hidden="1"/>
    </xf>
    <xf numFmtId="0" fontId="5" fillId="40" borderId="30" xfId="0" applyFont="1" applyFill="1" applyBorder="1" applyAlignment="1">
      <alignment horizontal="center" vertical="center" wrapText="1"/>
    </xf>
    <xf numFmtId="0" fontId="5" fillId="40" borderId="8" xfId="0" applyFont="1" applyFill="1" applyBorder="1" applyAlignment="1">
      <alignment horizontal="center" vertical="center"/>
    </xf>
    <xf numFmtId="0" fontId="5" fillId="40" borderId="14" xfId="0" applyFont="1" applyFill="1" applyBorder="1" applyAlignment="1">
      <alignment horizontal="center" vertical="center"/>
    </xf>
    <xf numFmtId="0" fontId="5" fillId="40" borderId="3" xfId="0" applyFont="1" applyFill="1" applyBorder="1" applyAlignment="1">
      <alignment horizontal="center" vertical="center"/>
    </xf>
    <xf numFmtId="0" fontId="5" fillId="40" borderId="0" xfId="0" applyFont="1" applyFill="1" applyAlignment="1">
      <alignment horizontal="center" vertical="center"/>
    </xf>
    <xf numFmtId="0" fontId="5" fillId="40" borderId="24" xfId="0" applyFont="1" applyFill="1" applyBorder="1" applyAlignment="1">
      <alignment horizontal="center" vertical="center"/>
    </xf>
    <xf numFmtId="0" fontId="5" fillId="40" borderId="9" xfId="0" applyFont="1" applyFill="1" applyBorder="1" applyAlignment="1">
      <alignment horizontal="center" vertical="center"/>
    </xf>
    <xf numFmtId="0" fontId="5" fillId="40" borderId="1" xfId="0" applyFont="1" applyFill="1" applyBorder="1" applyAlignment="1">
      <alignment horizontal="center" vertical="center"/>
    </xf>
    <xf numFmtId="0" fontId="5" fillId="40" borderId="11" xfId="0" applyFont="1" applyFill="1" applyBorder="1" applyAlignment="1">
      <alignment horizontal="center" vertical="center"/>
    </xf>
    <xf numFmtId="0" fontId="7" fillId="40" borderId="30" xfId="0" applyFont="1" applyFill="1" applyBorder="1" applyAlignment="1">
      <alignment horizontal="center" vertical="center" wrapText="1"/>
    </xf>
    <xf numFmtId="0" fontId="7" fillId="40" borderId="8" xfId="0" applyFont="1" applyFill="1" applyBorder="1" applyAlignment="1">
      <alignment horizontal="center" vertical="center"/>
    </xf>
    <xf numFmtId="0" fontId="7" fillId="40" borderId="14" xfId="0" applyFont="1" applyFill="1" applyBorder="1" applyAlignment="1">
      <alignment horizontal="center" vertical="center"/>
    </xf>
    <xf numFmtId="0" fontId="7" fillId="40" borderId="3" xfId="0" applyFont="1" applyFill="1" applyBorder="1" applyAlignment="1">
      <alignment horizontal="center" vertical="center"/>
    </xf>
    <xf numFmtId="0" fontId="7" fillId="40" borderId="0" xfId="0" applyFont="1" applyFill="1" applyAlignment="1">
      <alignment horizontal="center" vertical="center"/>
    </xf>
    <xf numFmtId="0" fontId="7" fillId="40" borderId="24" xfId="0" applyFont="1" applyFill="1" applyBorder="1" applyAlignment="1">
      <alignment horizontal="center" vertical="center"/>
    </xf>
    <xf numFmtId="0" fontId="7" fillId="40" borderId="9" xfId="0" applyFont="1" applyFill="1" applyBorder="1" applyAlignment="1">
      <alignment horizontal="center" vertical="center"/>
    </xf>
    <xf numFmtId="0" fontId="7" fillId="40" borderId="1" xfId="0" applyFont="1" applyFill="1" applyBorder="1" applyAlignment="1">
      <alignment horizontal="center" vertical="center"/>
    </xf>
    <xf numFmtId="0" fontId="7" fillId="40" borderId="11" xfId="0" applyFont="1" applyFill="1" applyBorder="1" applyAlignment="1">
      <alignment horizontal="center" vertical="center"/>
    </xf>
    <xf numFmtId="0" fontId="3" fillId="27" borderId="25" xfId="0" applyFont="1" applyFill="1" applyBorder="1" applyAlignment="1" applyProtection="1">
      <alignment horizontal="left" vertical="center"/>
      <protection hidden="1"/>
    </xf>
    <xf numFmtId="0" fontId="3" fillId="27" borderId="54" xfId="0" applyFont="1" applyFill="1" applyBorder="1" applyAlignment="1" applyProtection="1">
      <alignment horizontal="left" vertical="center"/>
      <protection hidden="1"/>
    </xf>
    <xf numFmtId="0" fontId="7" fillId="2" borderId="8" xfId="0" applyFont="1" applyFill="1" applyBorder="1" applyAlignment="1" applyProtection="1">
      <alignment horizontal="left" vertical="center"/>
      <protection hidden="1"/>
    </xf>
    <xf numFmtId="0" fontId="7" fillId="0" borderId="8" xfId="0" applyFont="1" applyBorder="1" applyAlignment="1" applyProtection="1">
      <alignment horizontal="left" vertical="center"/>
      <protection hidden="1"/>
    </xf>
    <xf numFmtId="0" fontId="7" fillId="0" borderId="8" xfId="0" applyFont="1" applyBorder="1" applyAlignment="1" applyProtection="1">
      <alignment horizontal="left"/>
      <protection hidden="1"/>
    </xf>
    <xf numFmtId="0" fontId="66" fillId="11" borderId="61" xfId="2" applyFill="1" applyBorder="1" applyAlignment="1" applyProtection="1">
      <alignment horizontal="center"/>
    </xf>
    <xf numFmtId="0" fontId="0" fillId="0" borderId="62" xfId="0" applyBorder="1" applyAlignment="1">
      <alignment horizontal="center"/>
    </xf>
    <xf numFmtId="0" fontId="0" fillId="0" borderId="63" xfId="0" applyBorder="1" applyAlignment="1">
      <alignment horizontal="center"/>
    </xf>
    <xf numFmtId="49" fontId="8" fillId="16" borderId="39" xfId="0" applyNumberFormat="1" applyFont="1" applyFill="1" applyBorder="1" applyAlignment="1" applyProtection="1">
      <alignment horizontal="center"/>
      <protection locked="0"/>
    </xf>
    <xf numFmtId="0" fontId="0" fillId="16" borderId="25" xfId="0" applyFill="1" applyBorder="1" applyAlignment="1" applyProtection="1">
      <alignment horizontal="center"/>
      <protection locked="0"/>
    </xf>
    <xf numFmtId="0" fontId="0" fillId="16" borderId="54" xfId="0" applyFill="1" applyBorder="1" applyAlignment="1" applyProtection="1">
      <alignment horizontal="center"/>
      <protection locked="0"/>
    </xf>
    <xf numFmtId="0" fontId="9" fillId="2" borderId="3" xfId="0" applyFont="1" applyFill="1" applyBorder="1" applyAlignment="1" applyProtection="1">
      <alignment horizontal="left"/>
      <protection hidden="1"/>
    </xf>
    <xf numFmtId="0" fontId="9" fillId="0" borderId="0" xfId="0" applyFont="1" applyProtection="1">
      <protection hidden="1"/>
    </xf>
    <xf numFmtId="0" fontId="9" fillId="15" borderId="3" xfId="0" applyFont="1" applyFill="1" applyBorder="1" applyProtection="1">
      <protection hidden="1"/>
    </xf>
    <xf numFmtId="0" fontId="0" fillId="15" borderId="0" xfId="0" applyFill="1" applyProtection="1">
      <protection hidden="1"/>
    </xf>
    <xf numFmtId="0" fontId="0" fillId="15" borderId="24" xfId="0" applyFill="1" applyBorder="1" applyProtection="1">
      <protection hidden="1"/>
    </xf>
    <xf numFmtId="0" fontId="8" fillId="16" borderId="1" xfId="0" applyFont="1" applyFill="1" applyBorder="1" applyAlignment="1" applyProtection="1">
      <alignment horizontal="left" indent="1"/>
      <protection locked="0"/>
    </xf>
    <xf numFmtId="0" fontId="7" fillId="16" borderId="1" xfId="0" applyFont="1" applyFill="1" applyBorder="1" applyAlignment="1" applyProtection="1">
      <alignment horizontal="left" indent="1"/>
      <protection locked="0"/>
    </xf>
    <xf numFmtId="0" fontId="7" fillId="16" borderId="11" xfId="0" applyFont="1" applyFill="1" applyBorder="1" applyAlignment="1" applyProtection="1">
      <alignment horizontal="left" indent="1"/>
      <protection locked="0"/>
    </xf>
    <xf numFmtId="165" fontId="8" fillId="16" borderId="8" xfId="0" applyNumberFormat="1" applyFont="1" applyFill="1" applyBorder="1" applyAlignment="1" applyProtection="1">
      <alignment horizontal="center" vertical="center"/>
      <protection locked="0"/>
    </xf>
    <xf numFmtId="165" fontId="8" fillId="0" borderId="8" xfId="0" applyNumberFormat="1" applyFont="1" applyBorder="1" applyAlignment="1" applyProtection="1">
      <alignment horizontal="center" vertical="center"/>
      <protection locked="0"/>
    </xf>
    <xf numFmtId="0" fontId="9" fillId="15" borderId="8" xfId="0" applyFont="1" applyFill="1" applyBorder="1" applyAlignment="1">
      <alignment horizontal="right" vertical="center"/>
    </xf>
    <xf numFmtId="165" fontId="3" fillId="16" borderId="4" xfId="0" applyNumberFormat="1" applyFont="1" applyFill="1" applyBorder="1" applyAlignment="1" applyProtection="1">
      <alignment horizontal="center"/>
      <protection locked="0"/>
    </xf>
    <xf numFmtId="0" fontId="5" fillId="40" borderId="4" xfId="0" applyFont="1" applyFill="1" applyBorder="1" applyAlignment="1" applyProtection="1">
      <alignment horizontal="left"/>
      <protection hidden="1"/>
    </xf>
    <xf numFmtId="0" fontId="19" fillId="40" borderId="16" xfId="0" applyFont="1" applyFill="1" applyBorder="1" applyAlignment="1">
      <alignment horizontal="right"/>
    </xf>
    <xf numFmtId="0" fontId="0" fillId="40" borderId="16" xfId="0" applyFill="1" applyBorder="1"/>
    <xf numFmtId="49" fontId="8" fillId="16" borderId="8" xfId="0" applyNumberFormat="1" applyFont="1" applyFill="1" applyBorder="1" applyAlignment="1" applyProtection="1">
      <alignment horizontal="left" indent="1"/>
      <protection locked="0"/>
    </xf>
    <xf numFmtId="49" fontId="8" fillId="16" borderId="14" xfId="0" applyNumberFormat="1" applyFont="1" applyFill="1" applyBorder="1" applyAlignment="1" applyProtection="1">
      <alignment horizontal="left" indent="1"/>
      <protection locked="0"/>
    </xf>
    <xf numFmtId="37" fontId="3" fillId="27" borderId="4" xfId="0" applyNumberFormat="1" applyFont="1" applyFill="1" applyBorder="1" applyProtection="1">
      <protection hidden="1"/>
    </xf>
    <xf numFmtId="37" fontId="3" fillId="15" borderId="39" xfId="0" applyNumberFormat="1" applyFont="1" applyFill="1" applyBorder="1" applyAlignment="1" applyProtection="1">
      <alignment horizontal="right"/>
      <protection hidden="1"/>
    </xf>
    <xf numFmtId="37" fontId="3" fillId="15" borderId="25" xfId="0" applyNumberFormat="1" applyFont="1" applyFill="1" applyBorder="1" applyAlignment="1" applyProtection="1">
      <alignment horizontal="right"/>
      <protection hidden="1"/>
    </xf>
    <xf numFmtId="0" fontId="10" fillId="15" borderId="0" xfId="4" applyFont="1" applyFill="1" applyAlignment="1" applyProtection="1">
      <alignment horizontal="center"/>
      <protection hidden="1"/>
    </xf>
    <xf numFmtId="6" fontId="133" fillId="2" borderId="3" xfId="0" applyNumberFormat="1" applyFont="1" applyFill="1" applyBorder="1" applyAlignment="1" applyProtection="1">
      <alignment horizontal="center"/>
      <protection hidden="1"/>
    </xf>
    <xf numFmtId="6" fontId="133" fillId="2" borderId="0" xfId="0" applyNumberFormat="1" applyFont="1" applyFill="1" applyAlignment="1" applyProtection="1">
      <alignment horizontal="center"/>
      <protection hidden="1"/>
    </xf>
    <xf numFmtId="0" fontId="5" fillId="0" borderId="1" xfId="0" applyFont="1" applyBorder="1"/>
    <xf numFmtId="185" fontId="8" fillId="16" borderId="9" xfId="0" applyNumberFormat="1" applyFont="1" applyFill="1" applyBorder="1" applyAlignment="1" applyProtection="1">
      <alignment horizontal="left" indent="1"/>
      <protection locked="0"/>
    </xf>
    <xf numFmtId="185" fontId="8" fillId="16" borderId="1" xfId="0" applyNumberFormat="1" applyFont="1" applyFill="1" applyBorder="1" applyAlignment="1" applyProtection="1">
      <alignment horizontal="left" indent="1"/>
      <protection locked="0"/>
    </xf>
    <xf numFmtId="185" fontId="8" fillId="16" borderId="11" xfId="0" applyNumberFormat="1" applyFont="1" applyFill="1" applyBorder="1" applyAlignment="1" applyProtection="1">
      <alignment horizontal="left" indent="1"/>
      <protection locked="0"/>
    </xf>
    <xf numFmtId="0" fontId="8" fillId="16" borderId="9" xfId="0" applyFont="1" applyFill="1" applyBorder="1" applyAlignment="1" applyProtection="1">
      <alignment horizontal="left" indent="1"/>
      <protection locked="0"/>
    </xf>
    <xf numFmtId="0" fontId="8" fillId="16" borderId="11" xfId="0" applyFont="1" applyFill="1" applyBorder="1" applyAlignment="1" applyProtection="1">
      <alignment horizontal="left" indent="1"/>
      <protection locked="0"/>
    </xf>
    <xf numFmtId="0" fontId="7" fillId="2" borderId="25" xfId="0" applyFont="1" applyFill="1" applyBorder="1" applyAlignment="1" applyProtection="1">
      <alignment horizontal="left" vertical="center"/>
      <protection hidden="1"/>
    </xf>
    <xf numFmtId="0" fontId="7" fillId="0" borderId="25" xfId="0" applyFont="1" applyBorder="1" applyAlignment="1" applyProtection="1">
      <alignment horizontal="left" vertical="center"/>
      <protection hidden="1"/>
    </xf>
    <xf numFmtId="0" fontId="7" fillId="0" borderId="25" xfId="0" applyFont="1" applyBorder="1" applyAlignment="1" applyProtection="1">
      <alignment horizontal="left"/>
      <protection hidden="1"/>
    </xf>
    <xf numFmtId="0" fontId="3" fillId="16" borderId="4" xfId="0" applyFont="1" applyFill="1" applyBorder="1" applyAlignment="1" applyProtection="1">
      <alignment wrapText="1"/>
      <protection locked="0"/>
    </xf>
    <xf numFmtId="0" fontId="10" fillId="15" borderId="7" xfId="0" applyFont="1" applyFill="1" applyBorder="1" applyAlignment="1" applyProtection="1">
      <alignment horizontal="left" vertical="top" wrapText="1"/>
      <protection hidden="1"/>
    </xf>
    <xf numFmtId="0" fontId="3" fillId="15" borderId="7" xfId="0" applyFont="1" applyFill="1" applyBorder="1" applyAlignment="1" applyProtection="1">
      <alignment horizontal="left" vertical="top" wrapText="1"/>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9" fillId="40" borderId="4" xfId="0" applyFont="1" applyFill="1" applyBorder="1" applyAlignment="1" applyProtection="1">
      <alignment horizontal="left" wrapText="1"/>
      <protection hidden="1"/>
    </xf>
    <xf numFmtId="0" fontId="9" fillId="40" borderId="4" xfId="0" applyFont="1" applyFill="1" applyBorder="1" applyAlignment="1" applyProtection="1">
      <alignment horizontal="left" wrapText="1" indent="1"/>
      <protection hidden="1"/>
    </xf>
    <xf numFmtId="0" fontId="9" fillId="40" borderId="22" xfId="0" applyFont="1" applyFill="1" applyBorder="1" applyAlignment="1" applyProtection="1">
      <alignment horizontal="left" wrapText="1" indent="1"/>
      <protection hidden="1"/>
    </xf>
    <xf numFmtId="49" fontId="8" fillId="16" borderId="25" xfId="0" applyNumberFormat="1" applyFont="1" applyFill="1" applyBorder="1" applyAlignment="1" applyProtection="1">
      <alignment horizontal="left"/>
      <protection locked="0"/>
    </xf>
    <xf numFmtId="49" fontId="8" fillId="16" borderId="31" xfId="0" applyNumberFormat="1" applyFont="1" applyFill="1" applyBorder="1" applyAlignment="1" applyProtection="1">
      <alignment horizontal="center"/>
      <protection locked="0"/>
    </xf>
    <xf numFmtId="49" fontId="7" fillId="16" borderId="31" xfId="0" applyNumberFormat="1" applyFont="1" applyFill="1" applyBorder="1" applyAlignment="1" applyProtection="1">
      <alignment horizontal="center"/>
      <protection locked="0"/>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0" fillId="0" borderId="4" xfId="0" applyBorder="1" applyProtection="1">
      <protection locked="0"/>
    </xf>
    <xf numFmtId="0" fontId="9" fillId="15" borderId="52" xfId="0" applyFont="1" applyFill="1" applyBorder="1" applyAlignment="1" applyProtection="1">
      <alignment horizontal="center" vertical="center"/>
      <protection hidden="1"/>
    </xf>
    <xf numFmtId="0" fontId="0" fillId="0" borderId="31" xfId="0" applyBorder="1" applyAlignment="1">
      <alignment horizontal="center"/>
    </xf>
    <xf numFmtId="0" fontId="9" fillId="2" borderId="0" xfId="0" applyFont="1" applyFill="1" applyAlignment="1" applyProtection="1">
      <alignment horizontal="left"/>
      <protection hidden="1"/>
    </xf>
    <xf numFmtId="0" fontId="9" fillId="0" borderId="24" xfId="0" applyFont="1" applyBorder="1" applyProtection="1">
      <protection hidden="1"/>
    </xf>
    <xf numFmtId="0" fontId="9" fillId="15" borderId="3" xfId="0" applyFont="1" applyFill="1" applyBorder="1" applyAlignment="1" applyProtection="1">
      <alignment horizontal="left" indent="1"/>
      <protection hidden="1"/>
    </xf>
    <xf numFmtId="0" fontId="0" fillId="0" borderId="0" xfId="0" applyAlignment="1">
      <alignment horizontal="left" indent="1"/>
    </xf>
    <xf numFmtId="0" fontId="0" fillId="16" borderId="1" xfId="0" applyFill="1" applyBorder="1" applyAlignment="1">
      <alignment horizontal="center"/>
    </xf>
    <xf numFmtId="0" fontId="0" fillId="16" borderId="11" xfId="0" applyFill="1" applyBorder="1" applyAlignment="1">
      <alignment horizontal="center"/>
    </xf>
    <xf numFmtId="37" fontId="106" fillId="15" borderId="30" xfId="0" applyNumberFormat="1" applyFont="1" applyFill="1" applyBorder="1" applyProtection="1">
      <protection hidden="1"/>
    </xf>
    <xf numFmtId="0" fontId="117" fillId="0" borderId="8" xfId="0" applyFont="1" applyBorder="1"/>
    <xf numFmtId="6" fontId="9" fillId="2" borderId="69" xfId="0" applyNumberFormat="1" applyFont="1" applyFill="1" applyBorder="1" applyAlignment="1" applyProtection="1">
      <alignment horizontal="right"/>
      <protection hidden="1"/>
    </xf>
    <xf numFmtId="6" fontId="9" fillId="2" borderId="4" xfId="0" applyNumberFormat="1" applyFont="1" applyFill="1" applyBorder="1" applyAlignment="1" applyProtection="1">
      <alignment horizontal="right"/>
      <protection hidden="1"/>
    </xf>
    <xf numFmtId="6" fontId="9" fillId="2" borderId="70" xfId="0" applyNumberFormat="1" applyFont="1" applyFill="1" applyBorder="1" applyAlignment="1" applyProtection="1">
      <alignment horizontal="right"/>
      <protection hidden="1"/>
    </xf>
    <xf numFmtId="4" fontId="208" fillId="15" borderId="0" xfId="0" applyNumberFormat="1" applyFont="1" applyFill="1" applyAlignment="1" applyProtection="1">
      <alignment horizontal="left"/>
      <protection hidden="1"/>
    </xf>
    <xf numFmtId="4" fontId="208" fillId="15" borderId="24" xfId="0" applyNumberFormat="1" applyFont="1" applyFill="1" applyBorder="1" applyAlignment="1" applyProtection="1">
      <alignment horizontal="left"/>
      <protection hidden="1"/>
    </xf>
    <xf numFmtId="0" fontId="10" fillId="16" borderId="1" xfId="0" applyFont="1" applyFill="1" applyBorder="1" applyAlignment="1" applyProtection="1">
      <alignment horizontal="left" vertical="center" indent="1"/>
      <protection locked="0"/>
    </xf>
    <xf numFmtId="0" fontId="13" fillId="16"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1" xfId="0" applyBorder="1" applyAlignment="1" applyProtection="1">
      <alignment horizontal="left" indent="1"/>
      <protection locked="0"/>
    </xf>
    <xf numFmtId="0" fontId="10" fillId="16" borderId="0" xfId="0" applyFont="1" applyFill="1" applyAlignment="1" applyProtection="1">
      <alignment horizontal="left" indent="1"/>
      <protection locked="0"/>
    </xf>
    <xf numFmtId="0" fontId="5" fillId="40" borderId="3" xfId="0" applyFont="1" applyFill="1" applyBorder="1" applyAlignment="1" applyProtection="1">
      <alignment horizontal="left" vertical="top" wrapText="1" indent="1"/>
      <protection hidden="1"/>
    </xf>
    <xf numFmtId="0" fontId="5" fillId="40" borderId="0" xfId="0" applyFont="1" applyFill="1" applyAlignment="1" applyProtection="1">
      <alignment horizontal="left" vertical="top" wrapText="1" indent="1"/>
      <protection hidden="1"/>
    </xf>
    <xf numFmtId="0" fontId="3" fillId="16" borderId="1" xfId="0" applyFont="1" applyFill="1" applyBorder="1" applyAlignment="1" applyProtection="1">
      <alignment horizontal="left" vertical="center" indent="1"/>
      <protection locked="0"/>
    </xf>
    <xf numFmtId="0" fontId="3" fillId="40" borderId="0" xfId="0" applyFont="1" applyFill="1" applyAlignment="1" applyProtection="1">
      <alignment horizontal="center" vertical="center"/>
      <protection hidden="1"/>
    </xf>
    <xf numFmtId="0" fontId="0" fillId="40" borderId="24" xfId="0" applyFill="1" applyBorder="1" applyAlignment="1">
      <alignment horizontal="center" vertical="center"/>
    </xf>
    <xf numFmtId="0" fontId="7" fillId="40" borderId="8" xfId="0" applyFont="1" applyFill="1" applyBorder="1" applyAlignment="1" applyProtection="1">
      <alignment horizontal="left" vertical="center" wrapText="1"/>
      <protection hidden="1"/>
    </xf>
    <xf numFmtId="0" fontId="7" fillId="40" borderId="0" xfId="0" applyFont="1" applyFill="1" applyAlignment="1" applyProtection="1">
      <alignment horizontal="left" vertical="center" wrapText="1"/>
      <protection hidden="1"/>
    </xf>
    <xf numFmtId="0" fontId="7" fillId="40" borderId="1" xfId="0" applyFont="1" applyFill="1" applyBorder="1" applyAlignment="1" applyProtection="1">
      <alignment horizontal="left" vertical="center" wrapText="1"/>
      <protection hidden="1"/>
    </xf>
    <xf numFmtId="0" fontId="7" fillId="2" borderId="30" xfId="0" applyFont="1" applyFill="1" applyBorder="1" applyAlignment="1" applyProtection="1">
      <alignment horizontal="left" indent="1"/>
      <protection hidden="1"/>
    </xf>
    <xf numFmtId="0" fontId="7" fillId="0" borderId="8" xfId="0" applyFont="1" applyBorder="1" applyAlignment="1">
      <alignment horizontal="left" indent="1"/>
    </xf>
    <xf numFmtId="0" fontId="7" fillId="0" borderId="14" xfId="0" applyFont="1" applyBorder="1" applyAlignment="1">
      <alignment horizontal="left" indent="1"/>
    </xf>
    <xf numFmtId="197" fontId="10" fillId="16" borderId="9" xfId="0" applyNumberFormat="1" applyFont="1" applyFill="1" applyBorder="1" applyAlignment="1" applyProtection="1">
      <alignment horizontal="center"/>
      <protection locked="0"/>
    </xf>
    <xf numFmtId="197" fontId="10" fillId="16" borderId="1" xfId="0" applyNumberFormat="1" applyFont="1" applyFill="1" applyBorder="1" applyAlignment="1" applyProtection="1">
      <alignment horizontal="center"/>
      <protection locked="0"/>
    </xf>
    <xf numFmtId="197" fontId="10" fillId="16" borderId="11"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1" xfId="0" applyNumberFormat="1" applyBorder="1" applyAlignment="1" applyProtection="1">
      <alignment horizontal="left" indent="1"/>
      <protection locked="0"/>
    </xf>
    <xf numFmtId="0" fontId="7" fillId="40" borderId="3" xfId="0" applyFont="1" applyFill="1" applyBorder="1" applyAlignment="1" applyProtection="1">
      <alignment horizontal="left" wrapText="1"/>
      <protection hidden="1"/>
    </xf>
    <xf numFmtId="0" fontId="7" fillId="40" borderId="0" xfId="0" applyFont="1" applyFill="1" applyAlignment="1" applyProtection="1">
      <alignment horizontal="left" wrapText="1"/>
      <protection hidden="1"/>
    </xf>
    <xf numFmtId="0" fontId="7" fillId="40" borderId="24" xfId="0" applyFont="1" applyFill="1" applyBorder="1" applyAlignment="1" applyProtection="1">
      <alignment horizontal="left" wrapText="1"/>
      <protection hidden="1"/>
    </xf>
    <xf numFmtId="0" fontId="10" fillId="16" borderId="0" xfId="0" applyFont="1" applyFill="1" applyAlignment="1" applyProtection="1">
      <alignment horizontal="left"/>
      <protection locked="0"/>
    </xf>
    <xf numFmtId="0" fontId="10" fillId="16" borderId="1" xfId="0" applyFont="1" applyFill="1" applyBorder="1" applyAlignment="1" applyProtection="1">
      <alignment horizontal="left"/>
      <protection locked="0"/>
    </xf>
    <xf numFmtId="0" fontId="14" fillId="15" borderId="0" xfId="0" applyFont="1" applyFill="1" applyAlignment="1">
      <alignment horizontal="left" vertical="center"/>
    </xf>
    <xf numFmtId="0" fontId="14" fillId="15" borderId="0" xfId="0" applyFont="1" applyFill="1" applyAlignment="1" applyProtection="1">
      <alignment horizontal="left" vertical="center"/>
      <protection hidden="1"/>
    </xf>
    <xf numFmtId="4" fontId="3" fillId="2" borderId="30" xfId="0" applyNumberFormat="1" applyFont="1" applyFill="1" applyBorder="1" applyAlignment="1" applyProtection="1">
      <alignment horizontal="left" indent="1"/>
      <protection hidden="1"/>
    </xf>
    <xf numFmtId="4" fontId="3" fillId="2" borderId="8" xfId="0" applyNumberFormat="1" applyFont="1" applyFill="1" applyBorder="1" applyAlignment="1" applyProtection="1">
      <alignment horizontal="left" indent="1"/>
      <protection hidden="1"/>
    </xf>
    <xf numFmtId="0" fontId="5" fillId="0" borderId="8" xfId="0" applyFont="1" applyBorder="1" applyAlignment="1">
      <alignment horizontal="left" indent="1"/>
    </xf>
    <xf numFmtId="0" fontId="8" fillId="23" borderId="0" xfId="0" applyFont="1" applyFill="1" applyAlignment="1">
      <alignment horizontal="center" vertical="center" wrapText="1"/>
    </xf>
    <xf numFmtId="0" fontId="8" fillId="23" borderId="1" xfId="0" applyFont="1" applyFill="1" applyBorder="1" applyAlignment="1">
      <alignment horizontal="center" vertical="center" wrapText="1"/>
    </xf>
    <xf numFmtId="0" fontId="3" fillId="0" borderId="0" xfId="0" applyFont="1" applyAlignment="1">
      <alignment horizontal="center" wrapText="1"/>
    </xf>
    <xf numFmtId="0" fontId="3" fillId="0" borderId="0" xfId="0" applyFont="1" applyAlignment="1">
      <alignment horizontal="center"/>
    </xf>
    <xf numFmtId="0" fontId="3" fillId="23" borderId="0" xfId="0" applyFont="1" applyFill="1" applyAlignment="1">
      <alignment horizontal="left" vertical="center" wrapText="1"/>
    </xf>
    <xf numFmtId="0" fontId="3" fillId="16" borderId="25" xfId="0" applyFont="1" applyFill="1" applyBorder="1" applyAlignment="1" applyProtection="1">
      <alignment horizontal="left" vertical="center"/>
      <protection locked="0"/>
    </xf>
    <xf numFmtId="0" fontId="3" fillId="16" borderId="39" xfId="0" applyFont="1" applyFill="1" applyBorder="1" applyAlignment="1" applyProtection="1">
      <alignment horizontal="left" vertical="center"/>
      <protection locked="0"/>
    </xf>
    <xf numFmtId="0" fontId="3" fillId="16" borderId="54" xfId="0" applyFont="1" applyFill="1" applyBorder="1" applyAlignment="1" applyProtection="1">
      <alignment horizontal="left" vertical="center"/>
      <protection locked="0"/>
    </xf>
    <xf numFmtId="166" fontId="3" fillId="16" borderId="39" xfId="0" applyNumberFormat="1" applyFont="1" applyFill="1" applyBorder="1" applyAlignment="1" applyProtection="1">
      <alignment horizontal="center" vertical="center"/>
      <protection locked="0"/>
    </xf>
    <xf numFmtId="166" fontId="3" fillId="0" borderId="25" xfId="0" applyNumberFormat="1" applyFont="1" applyBorder="1" applyAlignment="1" applyProtection="1">
      <alignment horizontal="center" vertical="center"/>
      <protection locked="0"/>
    </xf>
    <xf numFmtId="166" fontId="3" fillId="0" borderId="54" xfId="0" applyNumberFormat="1" applyFont="1" applyBorder="1" applyAlignment="1" applyProtection="1">
      <alignment horizontal="center" vertical="center"/>
      <protection locked="0"/>
    </xf>
    <xf numFmtId="0" fontId="3" fillId="16" borderId="39" xfId="0" applyFont="1" applyFill="1" applyBorder="1" applyAlignment="1" applyProtection="1">
      <alignment horizontal="center" vertical="center"/>
      <protection locked="0"/>
    </xf>
    <xf numFmtId="0" fontId="3" fillId="0" borderId="25" xfId="0" applyFont="1" applyBorder="1" applyAlignment="1" applyProtection="1">
      <alignment horizontal="center" vertical="center"/>
      <protection locked="0"/>
    </xf>
    <xf numFmtId="0" fontId="3" fillId="0" borderId="54" xfId="0" applyFont="1" applyBorder="1" applyAlignment="1" applyProtection="1">
      <alignment horizontal="center" vertical="center"/>
      <protection locked="0"/>
    </xf>
    <xf numFmtId="182" fontId="3" fillId="16" borderId="39" xfId="0" applyNumberFormat="1" applyFont="1" applyFill="1" applyBorder="1" applyAlignment="1" applyProtection="1">
      <alignment horizontal="center" vertical="center"/>
      <protection locked="0"/>
    </xf>
    <xf numFmtId="182" fontId="3" fillId="0" borderId="25" xfId="0" applyNumberFormat="1" applyFont="1" applyBorder="1" applyAlignment="1" applyProtection="1">
      <alignment horizontal="center" vertical="center"/>
      <protection locked="0"/>
    </xf>
    <xf numFmtId="182" fontId="3" fillId="0" borderId="54" xfId="0" applyNumberFormat="1" applyFont="1" applyBorder="1" applyAlignment="1" applyProtection="1">
      <alignment horizontal="center" vertical="center"/>
      <protection locked="0"/>
    </xf>
    <xf numFmtId="0" fontId="5" fillId="15" borderId="13" xfId="0" applyFont="1" applyFill="1" applyBorder="1" applyAlignment="1" applyProtection="1">
      <alignment horizontal="left" vertical="center" wrapText="1"/>
      <protection locked="0"/>
    </xf>
    <xf numFmtId="0" fontId="3" fillId="16" borderId="99" xfId="0" applyFont="1" applyFill="1" applyBorder="1" applyAlignment="1" applyProtection="1">
      <alignment horizontal="left" vertical="center"/>
      <protection locked="0"/>
    </xf>
    <xf numFmtId="0" fontId="3" fillId="16" borderId="201" xfId="0" applyFont="1" applyFill="1" applyBorder="1" applyAlignment="1" applyProtection="1">
      <alignment horizontal="left" vertical="center"/>
      <protection locked="0"/>
    </xf>
    <xf numFmtId="0" fontId="3" fillId="16" borderId="208" xfId="0" applyFont="1" applyFill="1" applyBorder="1" applyAlignment="1" applyProtection="1">
      <alignment horizontal="left" vertical="center"/>
      <protection locked="0"/>
    </xf>
    <xf numFmtId="166" fontId="3" fillId="16" borderId="201" xfId="0" applyNumberFormat="1" applyFont="1" applyFill="1" applyBorder="1" applyAlignment="1" applyProtection="1">
      <alignment horizontal="center" vertical="center"/>
      <protection locked="0"/>
    </xf>
    <xf numFmtId="166" fontId="3" fillId="0" borderId="99" xfId="0" applyNumberFormat="1" applyFont="1" applyBorder="1" applyAlignment="1" applyProtection="1">
      <alignment horizontal="center" vertical="center"/>
      <protection locked="0"/>
    </xf>
    <xf numFmtId="166" fontId="3" fillId="0" borderId="208" xfId="0" applyNumberFormat="1" applyFont="1" applyBorder="1" applyAlignment="1" applyProtection="1">
      <alignment horizontal="center" vertical="center"/>
      <protection locked="0"/>
    </xf>
    <xf numFmtId="0" fontId="3" fillId="16" borderId="201" xfId="0" applyFont="1" applyFill="1" applyBorder="1" applyAlignment="1" applyProtection="1">
      <alignment horizontal="center" vertical="center"/>
      <protection locked="0"/>
    </xf>
    <xf numFmtId="0" fontId="3" fillId="0" borderId="99" xfId="0" applyFont="1" applyBorder="1" applyAlignment="1" applyProtection="1">
      <alignment horizontal="center" vertical="center"/>
      <protection locked="0"/>
    </xf>
    <xf numFmtId="0" fontId="3" fillId="0" borderId="208" xfId="0" applyFont="1" applyBorder="1" applyAlignment="1" applyProtection="1">
      <alignment horizontal="center" vertical="center"/>
      <protection locked="0"/>
    </xf>
    <xf numFmtId="182" fontId="3" fillId="16" borderId="201" xfId="0" applyNumberFormat="1" applyFont="1" applyFill="1" applyBorder="1" applyAlignment="1" applyProtection="1">
      <alignment horizontal="center" vertical="center"/>
      <protection locked="0"/>
    </xf>
    <xf numFmtId="182" fontId="3" fillId="0" borderId="99" xfId="0" applyNumberFormat="1" applyFont="1" applyBorder="1" applyAlignment="1" applyProtection="1">
      <alignment horizontal="center" vertical="center"/>
      <protection locked="0"/>
    </xf>
    <xf numFmtId="182" fontId="3" fillId="0" borderId="208" xfId="0" applyNumberFormat="1" applyFont="1" applyBorder="1" applyAlignment="1" applyProtection="1">
      <alignment horizontal="center" vertical="center"/>
      <protection locked="0"/>
    </xf>
    <xf numFmtId="0" fontId="3" fillId="40" borderId="30" xfId="0" applyFont="1" applyFill="1" applyBorder="1" applyAlignment="1">
      <alignment horizontal="center" vertical="center" wrapText="1"/>
    </xf>
    <xf numFmtId="0" fontId="7" fillId="40" borderId="9" xfId="0" applyFont="1" applyFill="1" applyBorder="1" applyAlignment="1">
      <alignment horizontal="left" wrapText="1"/>
    </xf>
    <xf numFmtId="0" fontId="10" fillId="15" borderId="8" xfId="0" applyFont="1" applyFill="1" applyBorder="1" applyAlignment="1">
      <alignment horizontal="left" vertical="center" wrapText="1"/>
    </xf>
    <xf numFmtId="0" fontId="3" fillId="0" borderId="4" xfId="0" applyFont="1" applyBorder="1" applyAlignment="1">
      <alignment horizontal="center" wrapText="1"/>
    </xf>
    <xf numFmtId="0" fontId="106" fillId="40" borderId="30" xfId="0" applyFont="1" applyFill="1" applyBorder="1" applyAlignment="1" applyProtection="1">
      <alignment horizontal="center" vertical="center"/>
      <protection hidden="1"/>
    </xf>
    <xf numFmtId="0" fontId="106" fillId="40" borderId="8" xfId="0" applyFont="1" applyFill="1" applyBorder="1" applyAlignment="1" applyProtection="1">
      <alignment horizontal="center" vertical="center"/>
      <protection hidden="1"/>
    </xf>
    <xf numFmtId="0" fontId="106" fillId="40" borderId="14" xfId="0" applyFont="1" applyFill="1" applyBorder="1" applyAlignment="1" applyProtection="1">
      <alignment horizontal="center" vertical="center"/>
      <protection hidden="1"/>
    </xf>
    <xf numFmtId="0" fontId="3" fillId="40" borderId="3" xfId="0" applyFont="1" applyFill="1" applyBorder="1" applyAlignment="1">
      <alignment horizontal="center" vertical="center" wrapText="1"/>
    </xf>
    <xf numFmtId="0" fontId="3" fillId="40" borderId="9" xfId="0" applyFont="1" applyFill="1" applyBorder="1" applyAlignment="1">
      <alignment horizontal="center" vertical="center" wrapText="1"/>
    </xf>
    <xf numFmtId="0" fontId="3" fillId="0" borderId="0" xfId="0" applyFont="1" applyAlignment="1">
      <alignment horizontal="center" textRotation="90"/>
    </xf>
    <xf numFmtId="0" fontId="144" fillId="23" borderId="0" xfId="0" applyFont="1" applyFill="1" applyAlignment="1">
      <alignment horizontal="center" vertical="center" wrapText="1"/>
    </xf>
    <xf numFmtId="0" fontId="144" fillId="23" borderId="1" xfId="0" applyFont="1" applyFill="1" applyBorder="1" applyAlignment="1">
      <alignment horizontal="center" vertical="center" wrapText="1"/>
    </xf>
    <xf numFmtId="1" fontId="3" fillId="35" borderId="0" xfId="0" applyNumberFormat="1" applyFont="1" applyFill="1" applyAlignment="1" applyProtection="1">
      <alignment horizontal="left" vertical="center"/>
      <protection hidden="1"/>
    </xf>
    <xf numFmtId="1" fontId="0" fillId="10" borderId="0" xfId="0" applyNumberFormat="1" applyFill="1" applyAlignment="1" applyProtection="1">
      <alignment horizontal="center" vertical="center" wrapText="1"/>
      <protection hidden="1"/>
    </xf>
    <xf numFmtId="37" fontId="10" fillId="25" borderId="39" xfId="0" applyNumberFormat="1" applyFont="1" applyFill="1" applyBorder="1"/>
    <xf numFmtId="37" fontId="10" fillId="25" borderId="25" xfId="0" applyNumberFormat="1" applyFont="1" applyFill="1" applyBorder="1"/>
    <xf numFmtId="182" fontId="3" fillId="16" borderId="87" xfId="0" applyNumberFormat="1" applyFont="1" applyFill="1" applyBorder="1" applyAlignment="1" applyProtection="1">
      <alignment horizontal="center"/>
      <protection locked="0"/>
    </xf>
    <xf numFmtId="182" fontId="5" fillId="0" borderId="87" xfId="0" applyNumberFormat="1" applyFont="1" applyBorder="1" applyProtection="1">
      <protection locked="0"/>
    </xf>
    <xf numFmtId="0" fontId="112" fillId="15" borderId="0" xfId="0" applyFont="1" applyFill="1" applyAlignment="1" applyProtection="1">
      <alignment horizontal="center" vertical="top" wrapText="1"/>
      <protection hidden="1"/>
    </xf>
    <xf numFmtId="0" fontId="3" fillId="15" borderId="15" xfId="0" applyFont="1" applyFill="1" applyBorder="1" applyAlignment="1" applyProtection="1">
      <alignment horizontal="left" wrapText="1"/>
      <protection hidden="1"/>
    </xf>
    <xf numFmtId="0" fontId="0" fillId="0" borderId="6" xfId="0" applyBorder="1" applyAlignment="1">
      <alignment horizontal="left" wrapText="1"/>
    </xf>
    <xf numFmtId="0" fontId="0" fillId="0" borderId="10" xfId="0" applyBorder="1" applyAlignment="1">
      <alignment horizontal="left" wrapText="1"/>
    </xf>
    <xf numFmtId="37" fontId="10" fillId="25" borderId="35" xfId="0" applyNumberFormat="1" applyFont="1" applyFill="1" applyBorder="1"/>
    <xf numFmtId="37" fontId="13" fillId="25" borderId="13" xfId="0" applyNumberFormat="1" applyFont="1" applyFill="1" applyBorder="1"/>
    <xf numFmtId="37" fontId="10" fillId="19" borderId="39" xfId="0" applyNumberFormat="1" applyFont="1" applyFill="1" applyBorder="1" applyProtection="1">
      <protection hidden="1"/>
    </xf>
    <xf numFmtId="37" fontId="10" fillId="19" borderId="25" xfId="0" applyNumberFormat="1" applyFont="1" applyFill="1" applyBorder="1" applyProtection="1">
      <protection hidden="1"/>
    </xf>
    <xf numFmtId="37" fontId="13" fillId="19" borderId="25" xfId="0" applyNumberFormat="1" applyFont="1" applyFill="1" applyBorder="1" applyProtection="1">
      <protection hidden="1"/>
    </xf>
    <xf numFmtId="37" fontId="10" fillId="16" borderId="9" xfId="0" applyNumberFormat="1" applyFont="1" applyFill="1" applyBorder="1" applyProtection="1">
      <protection locked="0"/>
    </xf>
    <xf numFmtId="37" fontId="10" fillId="16" borderId="1" xfId="0" applyNumberFormat="1" applyFont="1" applyFill="1" applyBorder="1" applyProtection="1">
      <protection locked="0"/>
    </xf>
    <xf numFmtId="37" fontId="13" fillId="16" borderId="1" xfId="0" applyNumberFormat="1" applyFont="1" applyFill="1" applyBorder="1" applyProtection="1">
      <protection locked="0"/>
    </xf>
    <xf numFmtId="37" fontId="13" fillId="25" borderId="25" xfId="0" applyNumberFormat="1" applyFont="1" applyFill="1" applyBorder="1"/>
    <xf numFmtId="37" fontId="124" fillId="15" borderId="30" xfId="0" applyNumberFormat="1" applyFont="1" applyFill="1" applyBorder="1" applyProtection="1">
      <protection hidden="1"/>
    </xf>
    <xf numFmtId="37" fontId="124" fillId="0" borderId="8" xfId="0" applyNumberFormat="1" applyFont="1" applyBorder="1" applyProtection="1">
      <protection hidden="1"/>
    </xf>
    <xf numFmtId="37" fontId="10" fillId="25" borderId="9" xfId="0" applyNumberFormat="1" applyFont="1" applyFill="1" applyBorder="1"/>
    <xf numFmtId="37" fontId="13" fillId="25" borderId="1" xfId="0" applyNumberFormat="1" applyFont="1" applyFill="1" applyBorder="1"/>
    <xf numFmtId="37" fontId="10" fillId="16" borderId="39" xfId="0" applyNumberFormat="1" applyFont="1" applyFill="1" applyBorder="1" applyProtection="1">
      <protection locked="0"/>
    </xf>
    <xf numFmtId="37" fontId="10" fillId="16" borderId="25" xfId="0" applyNumberFormat="1" applyFont="1" applyFill="1" applyBorder="1" applyProtection="1">
      <protection locked="0"/>
    </xf>
    <xf numFmtId="37" fontId="13" fillId="16" borderId="25" xfId="0" applyNumberFormat="1" applyFont="1" applyFill="1" applyBorder="1" applyProtection="1">
      <protection locked="0"/>
    </xf>
    <xf numFmtId="0" fontId="0" fillId="15" borderId="1" xfId="0" applyFill="1" applyBorder="1" applyAlignment="1" applyProtection="1">
      <alignment horizontal="center"/>
      <protection hidden="1"/>
    </xf>
    <xf numFmtId="37" fontId="124" fillId="15" borderId="3" xfId="0" applyNumberFormat="1" applyFont="1" applyFill="1" applyBorder="1" applyProtection="1">
      <protection hidden="1"/>
    </xf>
    <xf numFmtId="0" fontId="124" fillId="15" borderId="0" xfId="0" applyFont="1" applyFill="1"/>
    <xf numFmtId="0" fontId="169" fillId="15" borderId="0" xfId="0" applyFont="1" applyFill="1" applyAlignment="1" applyProtection="1">
      <alignment horizontal="center"/>
      <protection hidden="1"/>
    </xf>
    <xf numFmtId="37" fontId="10" fillId="16" borderId="1" xfId="0" applyNumberFormat="1" applyFont="1" applyFill="1" applyBorder="1" applyAlignment="1" applyProtection="1">
      <alignment horizontal="right"/>
      <protection locked="0"/>
    </xf>
    <xf numFmtId="0" fontId="5" fillId="15" borderId="26" xfId="0" applyFont="1" applyFill="1" applyBorder="1" applyAlignment="1" applyProtection="1">
      <alignment horizontal="center" vertical="center"/>
      <protection hidden="1"/>
    </xf>
    <xf numFmtId="0" fontId="0" fillId="0" borderId="1" xfId="0" applyBorder="1" applyAlignment="1">
      <alignment horizontal="center" vertical="center"/>
    </xf>
    <xf numFmtId="166" fontId="19" fillId="27"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9" xfId="0" applyBorder="1" applyAlignment="1">
      <alignment horizontal="center" vertical="center"/>
    </xf>
    <xf numFmtId="0" fontId="263" fillId="15" borderId="80" xfId="0" applyFont="1" applyFill="1" applyBorder="1" applyAlignment="1" applyProtection="1">
      <alignment horizontal="center" vertical="center"/>
      <protection hidden="1"/>
    </xf>
    <xf numFmtId="0" fontId="264" fillId="0" borderId="8" xfId="0" applyFont="1" applyBorder="1" applyAlignment="1">
      <alignment horizontal="center" vertical="center"/>
    </xf>
    <xf numFmtId="0" fontId="264" fillId="0" borderId="5" xfId="0" applyFont="1" applyBorder="1" applyAlignment="1">
      <alignment horizontal="center" vertical="center"/>
    </xf>
    <xf numFmtId="0" fontId="264"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4" xfId="0" applyFont="1" applyBorder="1" applyAlignment="1" applyProtection="1">
      <alignment horizontal="left" vertical="center" wrapText="1"/>
      <protection hidden="1"/>
    </xf>
    <xf numFmtId="37" fontId="10" fillId="27" borderId="39" xfId="0" applyNumberFormat="1" applyFont="1" applyFill="1" applyBorder="1"/>
    <xf numFmtId="37" fontId="10" fillId="27" borderId="25" xfId="0" applyNumberFormat="1" applyFont="1" applyFill="1" applyBorder="1"/>
    <xf numFmtId="37" fontId="13" fillId="27" borderId="25" xfId="0" applyNumberFormat="1" applyFont="1" applyFill="1" applyBorder="1"/>
    <xf numFmtId="0" fontId="14" fillId="15" borderId="0" xfId="0" applyFont="1" applyFill="1" applyAlignment="1" applyProtection="1">
      <alignment vertical="center" wrapText="1"/>
      <protection hidden="1"/>
    </xf>
    <xf numFmtId="0" fontId="46" fillId="0" borderId="0" xfId="0" applyFont="1"/>
    <xf numFmtId="0" fontId="46" fillId="0" borderId="20" xfId="0" applyFont="1" applyBorder="1"/>
    <xf numFmtId="0" fontId="206" fillId="15" borderId="0" xfId="0" applyFont="1" applyFill="1" applyAlignment="1" applyProtection="1">
      <alignment horizontal="left" vertical="center" wrapText="1"/>
      <protection hidden="1"/>
    </xf>
    <xf numFmtId="0" fontId="206" fillId="0" borderId="0" xfId="0" applyFont="1" applyAlignment="1">
      <alignment horizontal="left" vertical="center" wrapText="1"/>
    </xf>
    <xf numFmtId="0" fontId="206" fillId="0" borderId="20" xfId="0" applyFont="1" applyBorder="1" applyAlignment="1">
      <alignment horizontal="left" vertical="center" wrapText="1"/>
    </xf>
    <xf numFmtId="0" fontId="43" fillId="27" borderId="0" xfId="0" applyFont="1" applyFill="1" applyProtection="1">
      <protection hidden="1"/>
    </xf>
    <xf numFmtId="0" fontId="0" fillId="0" borderId="0" xfId="0"/>
    <xf numFmtId="0" fontId="0" fillId="0" borderId="24" xfId="0" applyBorder="1"/>
    <xf numFmtId="0" fontId="0" fillId="0" borderId="11" xfId="0" applyBorder="1"/>
    <xf numFmtId="0" fontId="124" fillId="31" borderId="8" xfId="0" applyFont="1" applyFill="1" applyBorder="1" applyAlignment="1" applyProtection="1">
      <alignment horizontal="center" vertical="center"/>
      <protection hidden="1"/>
    </xf>
    <xf numFmtId="0" fontId="124" fillId="31" borderId="8" xfId="0" applyFont="1" applyFill="1" applyBorder="1" applyAlignment="1">
      <alignment horizontal="center" vertical="center"/>
    </xf>
    <xf numFmtId="0" fontId="13" fillId="0" borderId="8" xfId="0" applyFont="1" applyBorder="1" applyAlignment="1">
      <alignment horizontal="center" vertical="center"/>
    </xf>
    <xf numFmtId="0" fontId="8" fillId="15" borderId="5" xfId="0" applyFont="1" applyFill="1" applyBorder="1" applyAlignment="1" applyProtection="1">
      <alignment horizontal="center"/>
      <protection hidden="1"/>
    </xf>
    <xf numFmtId="0" fontId="8" fillId="15" borderId="0" xfId="0" applyFont="1" applyFill="1" applyAlignment="1" applyProtection="1">
      <alignment horizontal="center"/>
      <protection hidden="1"/>
    </xf>
    <xf numFmtId="0" fontId="8" fillId="15" borderId="20" xfId="0" applyFont="1" applyFill="1" applyBorder="1" applyAlignment="1" applyProtection="1">
      <alignment horizontal="center"/>
      <protection hidden="1"/>
    </xf>
    <xf numFmtId="0" fontId="8" fillId="15" borderId="5" xfId="0" applyFont="1" applyFill="1" applyBorder="1" applyAlignment="1" applyProtection="1">
      <alignment horizontal="center" vertical="center"/>
      <protection hidden="1"/>
    </xf>
    <xf numFmtId="0" fontId="8" fillId="15" borderId="0" xfId="0" applyFont="1" applyFill="1" applyAlignment="1" applyProtection="1">
      <alignment horizontal="center" vertical="center"/>
      <protection hidden="1"/>
    </xf>
    <xf numFmtId="0" fontId="8" fillId="15" borderId="20" xfId="0" applyFont="1" applyFill="1" applyBorder="1" applyAlignment="1" applyProtection="1">
      <alignment horizontal="center" vertical="center"/>
      <protection hidden="1"/>
    </xf>
    <xf numFmtId="0" fontId="9" fillId="15" borderId="0" xfId="0" applyFont="1" applyFill="1" applyAlignment="1" applyProtection="1">
      <alignment horizontal="left" vertical="center" wrapText="1"/>
      <protection hidden="1"/>
    </xf>
    <xf numFmtId="0" fontId="9" fillId="15" borderId="20" xfId="0" applyFont="1" applyFill="1" applyBorder="1" applyAlignment="1" applyProtection="1">
      <alignment horizontal="left" vertical="center" wrapText="1"/>
      <protection hidden="1"/>
    </xf>
    <xf numFmtId="0" fontId="9" fillId="15" borderId="4" xfId="0" applyFont="1" applyFill="1" applyBorder="1" applyAlignment="1" applyProtection="1">
      <alignment horizontal="left" vertical="center" wrapText="1"/>
      <protection hidden="1"/>
    </xf>
    <xf numFmtId="0" fontId="9" fillId="15" borderId="22" xfId="0" applyFont="1" applyFill="1" applyBorder="1" applyAlignment="1" applyProtection="1">
      <alignment horizontal="left" vertical="center" wrapText="1"/>
      <protection hidden="1"/>
    </xf>
    <xf numFmtId="0" fontId="66" fillId="0" borderId="23" xfId="2" applyBorder="1" applyAlignment="1" applyProtection="1">
      <alignment horizontal="center" vertical="center"/>
      <protection hidden="1"/>
    </xf>
    <xf numFmtId="0" fontId="66" fillId="0" borderId="7" xfId="2" applyBorder="1" applyAlignment="1" applyProtection="1">
      <alignment horizontal="center" vertical="center"/>
      <protection hidden="1"/>
    </xf>
    <xf numFmtId="0" fontId="66" fillId="0" borderId="19" xfId="2" applyBorder="1" applyAlignment="1" applyProtection="1">
      <alignment horizontal="center" vertical="center"/>
      <protection hidden="1"/>
    </xf>
    <xf numFmtId="0" fontId="66" fillId="0" borderId="5" xfId="2" applyBorder="1" applyAlignment="1" applyProtection="1">
      <alignment horizontal="center" vertical="center"/>
      <protection hidden="1"/>
    </xf>
    <xf numFmtId="0" fontId="66" fillId="0" borderId="0" xfId="2" applyAlignment="1" applyProtection="1">
      <alignment horizontal="center" vertical="center"/>
      <protection hidden="1"/>
    </xf>
    <xf numFmtId="0" fontId="66" fillId="0" borderId="20" xfId="2" applyBorder="1" applyAlignment="1" applyProtection="1">
      <alignment horizontal="center" vertical="center"/>
      <protection hidden="1"/>
    </xf>
    <xf numFmtId="0" fontId="66" fillId="0" borderId="21" xfId="2" applyBorder="1" applyAlignment="1" applyProtection="1">
      <alignment horizontal="center" vertical="center"/>
      <protection hidden="1"/>
    </xf>
    <xf numFmtId="0" fontId="66" fillId="0" borderId="4" xfId="2" applyBorder="1" applyAlignment="1" applyProtection="1">
      <alignment horizontal="center" vertical="center"/>
      <protection hidden="1"/>
    </xf>
    <xf numFmtId="0" fontId="66" fillId="0" borderId="22" xfId="2" applyBorder="1" applyAlignment="1" applyProtection="1">
      <alignment horizontal="center" vertical="center"/>
      <protection hidden="1"/>
    </xf>
    <xf numFmtId="37" fontId="124" fillId="15" borderId="8" xfId="0" applyNumberFormat="1" applyFont="1" applyFill="1" applyBorder="1" applyProtection="1">
      <protection hidden="1"/>
    </xf>
    <xf numFmtId="37" fontId="198" fillId="15" borderId="8" xfId="0" applyNumberFormat="1" applyFont="1" applyFill="1" applyBorder="1" applyProtection="1">
      <protection hidden="1"/>
    </xf>
    <xf numFmtId="166" fontId="3" fillId="16" borderId="154" xfId="0" applyNumberFormat="1" applyFont="1" applyFill="1" applyBorder="1" applyAlignment="1" applyProtection="1">
      <alignment horizontal="center"/>
      <protection locked="0"/>
    </xf>
    <xf numFmtId="0" fontId="5" fillId="0" borderId="154" xfId="0" applyFont="1" applyBorder="1" applyAlignment="1" applyProtection="1">
      <alignment horizontal="center"/>
      <protection locked="0"/>
    </xf>
    <xf numFmtId="0" fontId="10" fillId="15" borderId="6" xfId="0"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37" fontId="10" fillId="25" borderId="3" xfId="0" applyNumberFormat="1" applyFont="1" applyFill="1" applyBorder="1" applyAlignment="1">
      <alignment horizontal="right"/>
    </xf>
    <xf numFmtId="37" fontId="10" fillId="25" borderId="0" xfId="0" applyNumberFormat="1" applyFont="1" applyFill="1" applyAlignment="1">
      <alignment horizontal="right"/>
    </xf>
    <xf numFmtId="37" fontId="10" fillId="25" borderId="69" xfId="0" applyNumberFormat="1" applyFont="1" applyFill="1" applyBorder="1" applyAlignment="1">
      <alignment horizontal="right"/>
    </xf>
    <xf numFmtId="37" fontId="10" fillId="25" borderId="4" xfId="0" applyNumberFormat="1" applyFont="1" applyFill="1" applyBorder="1" applyAlignment="1">
      <alignment horizontal="right"/>
    </xf>
    <xf numFmtId="3" fontId="10" fillId="16" borderId="1" xfId="0" applyNumberFormat="1" applyFont="1" applyFill="1" applyBorder="1" applyProtection="1">
      <protection locked="0"/>
    </xf>
    <xf numFmtId="3" fontId="10" fillId="16" borderId="11" xfId="0" applyNumberFormat="1" applyFont="1" applyFill="1" applyBorder="1" applyProtection="1">
      <protection locked="0"/>
    </xf>
    <xf numFmtId="37" fontId="10" fillId="27" borderId="9" xfId="0" applyNumberFormat="1" applyFont="1" applyFill="1" applyBorder="1" applyAlignment="1">
      <alignment horizontal="right"/>
    </xf>
    <xf numFmtId="0" fontId="0" fillId="27" borderId="1" xfId="0" applyFill="1" applyBorder="1" applyAlignment="1">
      <alignment horizontal="right"/>
    </xf>
    <xf numFmtId="37" fontId="126" fillId="15" borderId="3" xfId="0" applyNumberFormat="1" applyFont="1" applyFill="1" applyBorder="1" applyProtection="1">
      <protection hidden="1"/>
    </xf>
    <xf numFmtId="37" fontId="110" fillId="0" borderId="0" xfId="0" applyNumberFormat="1" applyFont="1"/>
    <xf numFmtId="3" fontId="10" fillId="15" borderId="3" xfId="0" applyNumberFormat="1" applyFont="1" applyFill="1" applyBorder="1" applyProtection="1">
      <protection locked="0"/>
    </xf>
    <xf numFmtId="3" fontId="10" fillId="15" borderId="0" xfId="0" applyNumberFormat="1" applyFont="1" applyFill="1" applyProtection="1">
      <protection locked="0"/>
    </xf>
    <xf numFmtId="3" fontId="10" fillId="15" borderId="24" xfId="0" applyNumberFormat="1" applyFont="1" applyFill="1" applyBorder="1" applyProtection="1">
      <protection locked="0"/>
    </xf>
    <xf numFmtId="37" fontId="10" fillId="16" borderId="11" xfId="0" applyNumberFormat="1" applyFont="1" applyFill="1" applyBorder="1" applyProtection="1">
      <protection locked="0"/>
    </xf>
    <xf numFmtId="0" fontId="124" fillId="31" borderId="0" xfId="0" applyFont="1" applyFill="1" applyAlignment="1" applyProtection="1">
      <alignment horizontal="center" vertical="center"/>
      <protection hidden="1"/>
    </xf>
    <xf numFmtId="0" fontId="124" fillId="31" borderId="0" xfId="0" applyFont="1" applyFill="1" applyAlignment="1">
      <alignment horizontal="center" vertical="center"/>
    </xf>
    <xf numFmtId="0" fontId="13" fillId="0" borderId="0" xfId="0" applyFont="1" applyAlignment="1">
      <alignment horizontal="center" vertical="center"/>
    </xf>
    <xf numFmtId="0" fontId="0" fillId="15" borderId="30" xfId="0" applyFill="1" applyBorder="1" applyAlignment="1" applyProtection="1">
      <alignment wrapText="1"/>
      <protection hidden="1"/>
    </xf>
    <xf numFmtId="0" fontId="0" fillId="0" borderId="8" xfId="0" applyBorder="1" applyAlignment="1" applyProtection="1">
      <alignment wrapText="1"/>
      <protection hidden="1"/>
    </xf>
    <xf numFmtId="0" fontId="46" fillId="16" borderId="87" xfId="0" applyFont="1" applyFill="1" applyBorder="1" applyProtection="1">
      <protection locked="0"/>
    </xf>
    <xf numFmtId="0" fontId="0" fillId="16" borderId="87" xfId="0" applyFill="1" applyBorder="1" applyProtection="1">
      <protection locked="0"/>
    </xf>
    <xf numFmtId="0" fontId="5" fillId="16" borderId="87" xfId="0" applyFont="1" applyFill="1" applyBorder="1" applyProtection="1">
      <protection locked="0"/>
    </xf>
    <xf numFmtId="0" fontId="0" fillId="0" borderId="87" xfId="0" applyBorder="1" applyProtection="1">
      <protection locked="0"/>
    </xf>
    <xf numFmtId="3" fontId="10" fillId="27" borderId="1" xfId="0" applyNumberFormat="1" applyFont="1" applyFill="1" applyBorder="1"/>
    <xf numFmtId="3" fontId="10" fillId="27" borderId="11" xfId="0" applyNumberFormat="1" applyFont="1" applyFill="1" applyBorder="1"/>
    <xf numFmtId="0" fontId="14" fillId="27" borderId="87" xfId="0" applyFont="1" applyFill="1" applyBorder="1" applyAlignment="1" applyProtection="1">
      <alignment horizontal="center"/>
      <protection hidden="1"/>
    </xf>
    <xf numFmtId="0" fontId="3" fillId="27" borderId="87" xfId="0" applyFont="1" applyFill="1" applyBorder="1" applyAlignment="1" applyProtection="1">
      <alignment horizontal="center"/>
      <protection hidden="1"/>
    </xf>
    <xf numFmtId="37" fontId="10" fillId="27" borderId="1" xfId="0" applyNumberFormat="1" applyFont="1" applyFill="1" applyBorder="1"/>
    <xf numFmtId="37" fontId="10" fillId="27" borderId="11" xfId="0" applyNumberFormat="1" applyFont="1" applyFill="1" applyBorder="1"/>
    <xf numFmtId="37" fontId="0" fillId="27" borderId="1" xfId="0" applyNumberFormat="1" applyFill="1" applyBorder="1" applyAlignment="1">
      <alignment horizontal="right"/>
    </xf>
    <xf numFmtId="0" fontId="3" fillId="15" borderId="204" xfId="0" applyFont="1" applyFill="1" applyBorder="1" applyAlignment="1" applyProtection="1">
      <alignment horizontal="center" wrapText="1"/>
      <protection hidden="1"/>
    </xf>
    <xf numFmtId="0" fontId="3" fillId="15" borderId="203" xfId="0" applyFont="1" applyFill="1" applyBorder="1" applyAlignment="1" applyProtection="1">
      <alignment horizontal="center" wrapText="1"/>
      <protection hidden="1"/>
    </xf>
    <xf numFmtId="0" fontId="3" fillId="15" borderId="205" xfId="0" applyFont="1" applyFill="1" applyBorder="1" applyAlignment="1" applyProtection="1">
      <alignment horizontal="center" wrapText="1"/>
      <protection hidden="1"/>
    </xf>
    <xf numFmtId="0" fontId="3" fillId="15" borderId="79" xfId="0" applyFont="1" applyFill="1" applyBorder="1" applyAlignment="1" applyProtection="1">
      <alignment horizontal="center" wrapText="1"/>
      <protection hidden="1"/>
    </xf>
    <xf numFmtId="1" fontId="3" fillId="15" borderId="4" xfId="0" applyNumberFormat="1" applyFont="1" applyFill="1" applyBorder="1" applyAlignment="1" applyProtection="1">
      <alignment horizontal="center"/>
      <protection hidden="1"/>
    </xf>
    <xf numFmtId="37" fontId="10" fillId="27" borderId="1" xfId="0" applyNumberFormat="1" applyFont="1" applyFill="1" applyBorder="1" applyAlignment="1">
      <alignment horizontal="right"/>
    </xf>
    <xf numFmtId="3" fontId="10" fillId="15" borderId="30" xfId="0" applyNumberFormat="1" applyFont="1" applyFill="1" applyBorder="1" applyProtection="1">
      <protection locked="0"/>
    </xf>
    <xf numFmtId="3" fontId="10" fillId="15" borderId="8" xfId="0" applyNumberFormat="1" applyFont="1" applyFill="1" applyBorder="1" applyProtection="1">
      <protection locked="0"/>
    </xf>
    <xf numFmtId="3" fontId="10" fillId="15" borderId="14" xfId="0" applyNumberFormat="1" applyFont="1" applyFill="1" applyBorder="1" applyProtection="1">
      <protection locked="0"/>
    </xf>
    <xf numFmtId="0" fontId="3" fillId="2" borderId="0" xfId="0" applyFont="1" applyFill="1" applyAlignment="1" applyProtection="1">
      <alignment horizontal="center" wrapText="1"/>
      <protection hidden="1"/>
    </xf>
    <xf numFmtId="0" fontId="3" fillId="2" borderId="1" xfId="0" applyFont="1" applyFill="1" applyBorder="1" applyAlignment="1" applyProtection="1">
      <alignment horizontal="center" wrapText="1"/>
      <protection hidden="1"/>
    </xf>
    <xf numFmtId="0" fontId="28" fillId="2" borderId="5" xfId="0" applyFont="1" applyFill="1" applyBorder="1" applyAlignment="1" applyProtection="1">
      <alignment horizontal="center" vertical="center"/>
      <protection hidden="1"/>
    </xf>
    <xf numFmtId="0" fontId="9" fillId="0" borderId="0" xfId="0" applyFont="1" applyAlignment="1">
      <alignment vertical="center"/>
    </xf>
    <xf numFmtId="164" fontId="3" fillId="2" borderId="0" xfId="0" applyNumberFormat="1" applyFont="1" applyFill="1" applyProtection="1">
      <protection hidden="1"/>
    </xf>
    <xf numFmtId="0" fontId="5" fillId="5" borderId="0" xfId="0" applyFont="1" applyFill="1" applyAlignment="1" applyProtection="1">
      <alignment horizontal="center"/>
      <protection hidden="1"/>
    </xf>
    <xf numFmtId="37" fontId="0" fillId="16" borderId="1" xfId="0" applyNumberFormat="1" applyFill="1" applyBorder="1" applyProtection="1">
      <protection locked="0"/>
    </xf>
    <xf numFmtId="37" fontId="0" fillId="27" borderId="1" xfId="0" applyNumberFormat="1" applyFill="1" applyBorder="1" applyProtection="1">
      <protection hidden="1"/>
    </xf>
    <xf numFmtId="37" fontId="0" fillId="27" borderId="1" xfId="0" applyNumberFormat="1" applyFill="1" applyBorder="1"/>
    <xf numFmtId="3" fontId="50" fillId="2" borderId="0" xfId="0" applyNumberFormat="1" applyFont="1" applyFill="1" applyProtection="1">
      <protection hidden="1"/>
    </xf>
    <xf numFmtId="3" fontId="21" fillId="0" borderId="0" xfId="0" applyNumberFormat="1" applyFont="1"/>
    <xf numFmtId="0" fontId="21" fillId="2" borderId="0" xfId="0" applyFont="1" applyFill="1" applyProtection="1">
      <protection hidden="1"/>
    </xf>
    <xf numFmtId="37" fontId="0" fillId="27" borderId="1" xfId="0" applyNumberFormat="1" applyFill="1" applyBorder="1" applyAlignment="1" applyProtection="1">
      <alignment horizontal="right"/>
      <protection hidden="1"/>
    </xf>
    <xf numFmtId="37" fontId="0" fillId="27" borderId="39" xfId="0" applyNumberFormat="1" applyFill="1" applyBorder="1" applyProtection="1">
      <protection hidden="1"/>
    </xf>
    <xf numFmtId="37" fontId="0" fillId="27" borderId="25" xfId="0" applyNumberFormat="1" applyFill="1" applyBorder="1" applyProtection="1">
      <protection hidden="1"/>
    </xf>
    <xf numFmtId="37" fontId="0" fillId="27" borderId="54" xfId="0" applyNumberFormat="1" applyFill="1" applyBorder="1" applyProtection="1">
      <protection hidden="1"/>
    </xf>
    <xf numFmtId="37" fontId="0" fillId="0" borderId="1" xfId="0" applyNumberFormat="1" applyBorder="1" applyProtection="1">
      <protection locked="0"/>
    </xf>
    <xf numFmtId="40" fontId="110" fillId="2" borderId="0" xfId="0" applyNumberFormat="1" applyFont="1" applyFill="1" applyProtection="1">
      <protection hidden="1"/>
    </xf>
    <xf numFmtId="0" fontId="110" fillId="0" borderId="0" xfId="0" applyFont="1"/>
    <xf numFmtId="38" fontId="110" fillId="2" borderId="8" xfId="0" applyNumberFormat="1" applyFont="1" applyFill="1" applyBorder="1" applyProtection="1">
      <protection hidden="1"/>
    </xf>
    <xf numFmtId="40" fontId="110" fillId="2" borderId="8" xfId="0" applyNumberFormat="1" applyFont="1" applyFill="1" applyBorder="1" applyAlignment="1" applyProtection="1">
      <alignment horizontal="right"/>
      <protection hidden="1"/>
    </xf>
    <xf numFmtId="0" fontId="110" fillId="0" borderId="8" xfId="0" applyFont="1" applyBorder="1" applyAlignment="1">
      <alignment horizontal="right"/>
    </xf>
    <xf numFmtId="0" fontId="68" fillId="2" borderId="8" xfId="0" applyFont="1" applyFill="1" applyBorder="1" applyProtection="1">
      <protection hidden="1"/>
    </xf>
    <xf numFmtId="0" fontId="0" fillId="0" borderId="8" xfId="0" applyBorder="1"/>
    <xf numFmtId="0" fontId="110" fillId="0" borderId="20" xfId="0" applyFont="1" applyBorder="1"/>
    <xf numFmtId="40" fontId="0" fillId="2" borderId="0" xfId="0" applyNumberForma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0" fontId="14" fillId="16" borderId="87" xfId="0" applyFont="1" applyFill="1" applyBorder="1" applyAlignment="1" applyProtection="1">
      <alignment horizontal="left"/>
      <protection locked="0"/>
    </xf>
    <xf numFmtId="37" fontId="124" fillId="15" borderId="3" xfId="0" applyNumberFormat="1" applyFont="1" applyFill="1" applyBorder="1" applyAlignment="1" applyProtection="1">
      <alignment horizontal="right" indent="1"/>
      <protection hidden="1"/>
    </xf>
    <xf numFmtId="37" fontId="124" fillId="15" borderId="0" xfId="0" applyNumberFormat="1" applyFont="1" applyFill="1" applyAlignment="1" applyProtection="1">
      <alignment horizontal="right" indent="1"/>
      <protection hidden="1"/>
    </xf>
    <xf numFmtId="0" fontId="124" fillId="31" borderId="34" xfId="0" applyFont="1" applyFill="1" applyBorder="1" applyAlignment="1" applyProtection="1">
      <alignment horizontal="center" vertical="center"/>
      <protection hidden="1"/>
    </xf>
    <xf numFmtId="0" fontId="124" fillId="31" borderId="34" xfId="0" applyFont="1" applyFill="1" applyBorder="1" applyAlignment="1">
      <alignment horizontal="center" vertical="center"/>
    </xf>
    <xf numFmtId="0" fontId="13" fillId="0" borderId="34" xfId="0" applyFont="1" applyBorder="1" applyAlignment="1">
      <alignment horizontal="center" vertical="center"/>
    </xf>
    <xf numFmtId="37" fontId="10" fillId="27" borderId="39" xfId="0" applyNumberFormat="1" applyFont="1" applyFill="1" applyBorder="1" applyAlignment="1" applyProtection="1">
      <alignment horizontal="right"/>
      <protection hidden="1"/>
    </xf>
    <xf numFmtId="0" fontId="13" fillId="27" borderId="25" xfId="0" applyFont="1" applyFill="1" applyBorder="1" applyAlignment="1" applyProtection="1">
      <alignment horizontal="right"/>
      <protection hidden="1"/>
    </xf>
    <xf numFmtId="37" fontId="8" fillId="15" borderId="3" xfId="0" applyNumberFormat="1" applyFont="1" applyFill="1" applyBorder="1" applyProtection="1">
      <protection hidden="1"/>
    </xf>
    <xf numFmtId="0" fontId="3" fillId="15" borderId="0" xfId="0" applyFont="1" applyFill="1" applyProtection="1">
      <protection hidden="1"/>
    </xf>
    <xf numFmtId="37" fontId="10" fillId="16" borderId="9" xfId="0" applyNumberFormat="1" applyFont="1" applyFill="1" applyBorder="1" applyAlignment="1" applyProtection="1">
      <alignment horizontal="right"/>
      <protection locked="0"/>
    </xf>
    <xf numFmtId="37" fontId="10" fillId="15" borderId="3" xfId="0" applyNumberFormat="1" applyFont="1" applyFill="1" applyBorder="1" applyProtection="1">
      <protection locked="0"/>
    </xf>
    <xf numFmtId="0" fontId="13" fillId="15" borderId="0" xfId="0" applyFont="1" applyFill="1" applyProtection="1">
      <protection locked="0"/>
    </xf>
    <xf numFmtId="0" fontId="13" fillId="15" borderId="24" xfId="0" applyFont="1" applyFill="1" applyBorder="1" applyProtection="1">
      <protection locked="0"/>
    </xf>
    <xf numFmtId="0" fontId="71" fillId="15" borderId="80" xfId="0" applyFont="1" applyFill="1" applyBorder="1" applyAlignment="1" applyProtection="1">
      <alignment horizontal="center" vertical="center"/>
      <protection hidden="1"/>
    </xf>
    <xf numFmtId="0" fontId="0" fillId="0" borderId="8" xfId="0" applyBorder="1" applyAlignment="1">
      <alignment horizontal="center" vertical="center"/>
    </xf>
    <xf numFmtId="0" fontId="0" fillId="0" borderId="5" xfId="0" applyBorder="1" applyAlignment="1">
      <alignment horizontal="center" vertical="center"/>
    </xf>
    <xf numFmtId="0" fontId="9" fillId="0" borderId="4" xfId="0" applyFont="1" applyBorder="1" applyAlignment="1">
      <alignment horizontal="left" vertical="top" wrapText="1"/>
    </xf>
    <xf numFmtId="0" fontId="9" fillId="0" borderId="22" xfId="0" applyFont="1" applyBorder="1" applyAlignment="1">
      <alignment horizontal="left" vertical="top" wrapText="1"/>
    </xf>
    <xf numFmtId="0" fontId="5" fillId="15" borderId="0" xfId="0" applyFont="1" applyFill="1" applyAlignment="1" applyProtection="1">
      <alignment horizontal="left" wrapText="1"/>
      <protection hidden="1"/>
    </xf>
    <xf numFmtId="0" fontId="0" fillId="15" borderId="0" xfId="0" applyFill="1" applyAlignment="1">
      <alignment horizontal="left" wrapText="1"/>
    </xf>
    <xf numFmtId="0" fontId="5" fillId="15" borderId="4" xfId="0" applyFont="1" applyFill="1" applyBorder="1" applyAlignment="1" applyProtection="1">
      <alignment horizontal="left" wrapText="1"/>
      <protection hidden="1"/>
    </xf>
    <xf numFmtId="0" fontId="0" fillId="15" borderId="4" xfId="0" applyFill="1" applyBorder="1" applyAlignment="1">
      <alignment horizontal="left" wrapText="1"/>
    </xf>
    <xf numFmtId="0" fontId="9" fillId="15" borderId="0" xfId="0" applyFont="1" applyFill="1" applyAlignment="1" applyProtection="1">
      <alignment horizontal="left" wrapText="1"/>
      <protection hidden="1"/>
    </xf>
    <xf numFmtId="0" fontId="9" fillId="15" borderId="20" xfId="0" applyFont="1" applyFill="1" applyBorder="1" applyAlignment="1" applyProtection="1">
      <alignment horizontal="left" wrapText="1"/>
      <protection hidden="1"/>
    </xf>
    <xf numFmtId="37" fontId="10" fillId="25" borderId="39" xfId="0" applyNumberFormat="1" applyFont="1" applyFill="1" applyBorder="1" applyProtection="1">
      <protection hidden="1"/>
    </xf>
    <xf numFmtId="0" fontId="10" fillId="25" borderId="25" xfId="0" applyFont="1" applyFill="1" applyBorder="1" applyProtection="1">
      <protection hidden="1"/>
    </xf>
    <xf numFmtId="0" fontId="224" fillId="31" borderId="7" xfId="0" applyFont="1" applyFill="1" applyBorder="1" applyAlignment="1" applyProtection="1">
      <alignment horizontal="center" vertical="center"/>
      <protection hidden="1"/>
    </xf>
    <xf numFmtId="0" fontId="224" fillId="31" borderId="7" xfId="0" applyFont="1" applyFill="1" applyBorder="1" applyAlignment="1">
      <alignment horizontal="center" vertical="center"/>
    </xf>
    <xf numFmtId="0" fontId="73" fillId="0" borderId="7" xfId="0" applyFont="1" applyBorder="1" applyAlignment="1">
      <alignment horizontal="center" vertical="center"/>
    </xf>
    <xf numFmtId="0" fontId="13" fillId="16" borderId="1" xfId="0" applyFont="1" applyFill="1" applyBorder="1" applyProtection="1">
      <protection locked="0"/>
    </xf>
    <xf numFmtId="0" fontId="13" fillId="16" borderId="11" xfId="0" applyFont="1" applyFill="1" applyBorder="1" applyProtection="1">
      <protection locked="0"/>
    </xf>
    <xf numFmtId="0" fontId="13" fillId="16" borderId="1" xfId="0" applyFont="1" applyFill="1" applyBorder="1" applyAlignment="1" applyProtection="1">
      <alignment horizontal="right"/>
      <protection locked="0"/>
    </xf>
    <xf numFmtId="37" fontId="10" fillId="16" borderId="39" xfId="0" applyNumberFormat="1" applyFont="1" applyFill="1" applyBorder="1" applyAlignment="1" applyProtection="1">
      <alignment horizontal="right"/>
      <protection locked="0"/>
    </xf>
    <xf numFmtId="0" fontId="13" fillId="16" borderId="25" xfId="0" applyFont="1" applyFill="1" applyBorder="1" applyAlignment="1" applyProtection="1">
      <alignment horizontal="right"/>
      <protection locked="0"/>
    </xf>
    <xf numFmtId="37" fontId="10" fillId="27" borderId="9" xfId="0" applyNumberFormat="1" applyFont="1" applyFill="1" applyBorder="1" applyProtection="1">
      <protection hidden="1"/>
    </xf>
    <xf numFmtId="0" fontId="13" fillId="27" borderId="1" xfId="0" applyFont="1" applyFill="1" applyBorder="1" applyProtection="1">
      <protection hidden="1"/>
    </xf>
    <xf numFmtId="37" fontId="10" fillId="25" borderId="69" xfId="0" applyNumberFormat="1" applyFont="1" applyFill="1" applyBorder="1" applyProtection="1">
      <protection hidden="1"/>
    </xf>
    <xf numFmtId="0" fontId="13" fillId="25" borderId="4" xfId="0" applyFont="1" applyFill="1" applyBorder="1"/>
    <xf numFmtId="0" fontId="224" fillId="31" borderId="8" xfId="0" applyFont="1" applyFill="1" applyBorder="1" applyAlignment="1" applyProtection="1">
      <alignment horizontal="center" vertical="center"/>
      <protection hidden="1"/>
    </xf>
    <xf numFmtId="0" fontId="224" fillId="31" borderId="8" xfId="0" applyFont="1" applyFill="1" applyBorder="1" applyAlignment="1">
      <alignment horizontal="center" vertical="center"/>
    </xf>
    <xf numFmtId="0" fontId="73" fillId="0" borderId="8" xfId="0" applyFont="1" applyBorder="1" applyAlignment="1">
      <alignment horizontal="center" vertical="center"/>
    </xf>
    <xf numFmtId="37" fontId="10" fillId="15" borderId="30" xfId="0" applyNumberFormat="1" applyFont="1" applyFill="1" applyBorder="1" applyProtection="1">
      <protection hidden="1"/>
    </xf>
    <xf numFmtId="0" fontId="13" fillId="15" borderId="8" xfId="0" applyFont="1" applyFill="1" applyBorder="1" applyProtection="1">
      <protection hidden="1"/>
    </xf>
    <xf numFmtId="37" fontId="10" fillId="15" borderId="30" xfId="0" applyNumberFormat="1" applyFont="1" applyFill="1" applyBorder="1" applyProtection="1">
      <protection locked="0"/>
    </xf>
    <xf numFmtId="0" fontId="13" fillId="15" borderId="8" xfId="0" applyFont="1" applyFill="1" applyBorder="1" applyProtection="1">
      <protection locked="0"/>
    </xf>
    <xf numFmtId="37" fontId="10" fillId="27" borderId="9" xfId="0" applyNumberFormat="1" applyFont="1" applyFill="1" applyBorder="1"/>
    <xf numFmtId="0" fontId="13" fillId="27" borderId="1" xfId="0" applyFont="1" applyFill="1" applyBorder="1"/>
    <xf numFmtId="0" fontId="13" fillId="27" borderId="11" xfId="0" applyFont="1" applyFill="1" applyBorder="1"/>
    <xf numFmtId="37" fontId="10" fillId="27" borderId="69" xfId="0" applyNumberFormat="1" applyFont="1" applyFill="1" applyBorder="1" applyAlignment="1" applyProtection="1">
      <alignment horizontal="right"/>
      <protection hidden="1"/>
    </xf>
    <xf numFmtId="37" fontId="10" fillId="27" borderId="4" xfId="0" applyNumberFormat="1" applyFont="1" applyFill="1" applyBorder="1" applyAlignment="1" applyProtection="1">
      <alignment horizontal="right"/>
      <protection hidden="1"/>
    </xf>
    <xf numFmtId="0" fontId="14" fillId="16" borderId="1" xfId="0" applyFont="1" applyFill="1" applyBorder="1" applyAlignment="1" applyProtection="1">
      <alignment horizontal="left"/>
      <protection locked="0"/>
    </xf>
    <xf numFmtId="0" fontId="14" fillId="19" borderId="39" xfId="0" applyFont="1" applyFill="1" applyBorder="1" applyAlignment="1" applyProtection="1">
      <alignment horizontal="center"/>
      <protection hidden="1"/>
    </xf>
    <xf numFmtId="0" fontId="14" fillId="19" borderId="25" xfId="0" applyFont="1" applyFill="1" applyBorder="1" applyAlignment="1" applyProtection="1">
      <alignment horizontal="center"/>
      <protection hidden="1"/>
    </xf>
    <xf numFmtId="0" fontId="14" fillId="19" borderId="54" xfId="0" applyFont="1" applyFill="1" applyBorder="1" applyAlignment="1" applyProtection="1">
      <alignment horizontal="center"/>
      <protection hidden="1"/>
    </xf>
    <xf numFmtId="37" fontId="13" fillId="27" borderId="1" xfId="0" applyNumberFormat="1" applyFont="1" applyFill="1" applyBorder="1" applyProtection="1">
      <protection hidden="1"/>
    </xf>
    <xf numFmtId="37" fontId="10" fillId="16" borderId="69" xfId="0" applyNumberFormat="1" applyFont="1" applyFill="1" applyBorder="1" applyProtection="1">
      <protection locked="0"/>
    </xf>
    <xf numFmtId="0" fontId="13" fillId="16" borderId="4" xfId="0" applyFont="1" applyFill="1" applyBorder="1" applyProtection="1">
      <protection locked="0"/>
    </xf>
    <xf numFmtId="0" fontId="13" fillId="16" borderId="70" xfId="0" applyFont="1" applyFill="1" applyBorder="1" applyProtection="1">
      <protection locked="0"/>
    </xf>
    <xf numFmtId="0" fontId="3" fillId="15" borderId="10" xfId="0" applyFont="1" applyFill="1" applyBorder="1" applyAlignment="1" applyProtection="1">
      <alignment horizontal="left" wrapText="1"/>
      <protection hidden="1"/>
    </xf>
    <xf numFmtId="0" fontId="224" fillId="31" borderId="25" xfId="0" applyFont="1" applyFill="1" applyBorder="1" applyAlignment="1" applyProtection="1">
      <alignment horizontal="center" vertical="center"/>
      <protection hidden="1"/>
    </xf>
    <xf numFmtId="0" fontId="224" fillId="31" borderId="25" xfId="0" applyFont="1" applyFill="1" applyBorder="1" applyAlignment="1">
      <alignment horizontal="center" vertical="center"/>
    </xf>
    <xf numFmtId="0" fontId="73" fillId="0" borderId="25" xfId="0" applyFont="1" applyBorder="1" applyAlignment="1">
      <alignment horizontal="center" vertical="center"/>
    </xf>
    <xf numFmtId="37" fontId="124" fillId="15" borderId="30" xfId="0" applyNumberFormat="1" applyFont="1" applyFill="1" applyBorder="1" applyAlignment="1" applyProtection="1">
      <alignment horizontal="right"/>
      <protection hidden="1"/>
    </xf>
    <xf numFmtId="37" fontId="124" fillId="15" borderId="8" xfId="0" applyNumberFormat="1" applyFont="1" applyFill="1" applyBorder="1" applyAlignment="1" applyProtection="1">
      <alignment horizontal="right"/>
      <protection hidden="1"/>
    </xf>
    <xf numFmtId="0" fontId="10" fillId="15" borderId="0" xfId="0" applyFont="1" applyFill="1" applyAlignment="1" applyProtection="1">
      <alignment vertical="center" wrapText="1"/>
      <protection hidden="1"/>
    </xf>
    <xf numFmtId="0" fontId="13" fillId="0" borderId="0" xfId="0" applyFont="1" applyAlignment="1">
      <alignment vertical="center"/>
    </xf>
    <xf numFmtId="0" fontId="13" fillId="0" borderId="20" xfId="0" applyFont="1" applyBorder="1" applyAlignment="1">
      <alignment vertical="center"/>
    </xf>
    <xf numFmtId="0" fontId="7" fillId="15" borderId="26"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4" xfId="0" applyBorder="1" applyAlignment="1">
      <alignment horizontal="left" vertical="center" wrapText="1"/>
    </xf>
    <xf numFmtId="0" fontId="9" fillId="0" borderId="4" xfId="0" applyFont="1" applyBorder="1" applyAlignment="1">
      <alignment horizontal="left" vertical="center" wrapText="1"/>
    </xf>
    <xf numFmtId="0" fontId="9" fillId="0" borderId="22" xfId="0" applyFont="1" applyBorder="1" applyAlignment="1">
      <alignment horizontal="left" vertical="center" wrapText="1"/>
    </xf>
    <xf numFmtId="0" fontId="84" fillId="15" borderId="5" xfId="0" applyFont="1" applyFill="1" applyBorder="1" applyAlignment="1">
      <alignment horizontal="center"/>
    </xf>
    <xf numFmtId="0" fontId="84" fillId="15" borderId="0" xfId="0" applyFont="1" applyFill="1" applyAlignment="1">
      <alignment horizontal="center"/>
    </xf>
    <xf numFmtId="0" fontId="84" fillId="15" borderId="20" xfId="0" applyFont="1" applyFill="1" applyBorder="1" applyAlignment="1">
      <alignment horizontal="center"/>
    </xf>
    <xf numFmtId="0" fontId="207" fillId="0" borderId="0" xfId="0" applyFont="1" applyAlignment="1" applyProtection="1">
      <alignment horizontal="center" vertical="center" wrapText="1"/>
      <protection hidden="1"/>
    </xf>
    <xf numFmtId="0" fontId="13" fillId="16" borderId="1" xfId="0" applyFont="1" applyFill="1" applyBorder="1" applyAlignment="1" applyProtection="1">
      <alignment horizontal="left"/>
      <protection locked="0"/>
    </xf>
    <xf numFmtId="0" fontId="0" fillId="16" borderId="1" xfId="0" applyFill="1" applyBorder="1" applyAlignment="1" applyProtection="1">
      <alignment horizontal="left"/>
      <protection locked="0"/>
    </xf>
    <xf numFmtId="37" fontId="10" fillId="16" borderId="11" xfId="0" applyNumberFormat="1" applyFont="1" applyFill="1" applyBorder="1" applyAlignment="1" applyProtection="1">
      <alignment horizontal="right"/>
      <protection locked="0"/>
    </xf>
    <xf numFmtId="37" fontId="10" fillId="19" borderId="9" xfId="0" applyNumberFormat="1" applyFont="1" applyFill="1" applyBorder="1" applyAlignment="1">
      <alignment horizontal="right"/>
    </xf>
    <xf numFmtId="37" fontId="10" fillId="19" borderId="1" xfId="0" applyNumberFormat="1" applyFont="1" applyFill="1" applyBorder="1" applyAlignment="1">
      <alignment horizontal="right"/>
    </xf>
    <xf numFmtId="37" fontId="10" fillId="19" borderId="11" xfId="0" applyNumberFormat="1" applyFont="1" applyFill="1" applyBorder="1" applyAlignment="1">
      <alignment horizontal="right"/>
    </xf>
    <xf numFmtId="37" fontId="124" fillId="15" borderId="3" xfId="0" applyNumberFormat="1" applyFont="1" applyFill="1" applyBorder="1" applyAlignment="1" applyProtection="1">
      <alignment horizontal="right"/>
      <protection locked="0"/>
    </xf>
    <xf numFmtId="37" fontId="124" fillId="15" borderId="0" xfId="0" applyNumberFormat="1" applyFont="1" applyFill="1" applyAlignment="1" applyProtection="1">
      <alignment horizontal="right"/>
      <protection locked="0"/>
    </xf>
    <xf numFmtId="0" fontId="66" fillId="0" borderId="0" xfId="2" applyBorder="1" applyAlignment="1" applyProtection="1">
      <alignment horizontal="center" vertical="center"/>
      <protection hidden="1"/>
    </xf>
    <xf numFmtId="37" fontId="10" fillId="15" borderId="8" xfId="0" applyNumberFormat="1" applyFont="1" applyFill="1" applyBorder="1" applyProtection="1">
      <protection locked="0"/>
    </xf>
    <xf numFmtId="37" fontId="13" fillId="25" borderId="4" xfId="0" applyNumberFormat="1" applyFont="1" applyFill="1" applyBorder="1" applyProtection="1">
      <protection hidden="1"/>
    </xf>
    <xf numFmtId="37" fontId="10" fillId="27" borderId="39" xfId="0" applyNumberFormat="1" applyFont="1" applyFill="1" applyBorder="1" applyAlignment="1">
      <alignment horizontal="right"/>
    </xf>
    <xf numFmtId="37" fontId="10" fillId="27" borderId="25" xfId="0" applyNumberFormat="1" applyFont="1" applyFill="1" applyBorder="1" applyAlignment="1">
      <alignment horizontal="right"/>
    </xf>
    <xf numFmtId="37" fontId="10" fillId="27" borderId="54" xfId="0" applyNumberFormat="1" applyFont="1" applyFill="1" applyBorder="1" applyAlignment="1">
      <alignment horizontal="right"/>
    </xf>
    <xf numFmtId="0" fontId="0" fillId="15" borderId="3" xfId="0" applyFill="1" applyBorder="1" applyAlignment="1" applyProtection="1">
      <alignment horizontal="center"/>
      <protection hidden="1"/>
    </xf>
    <xf numFmtId="0" fontId="0" fillId="15" borderId="0" xfId="0" applyFill="1" applyAlignment="1" applyProtection="1">
      <alignment horizontal="center"/>
      <protection hidden="1"/>
    </xf>
    <xf numFmtId="0" fontId="0" fillId="15" borderId="24" xfId="0" applyFill="1" applyBorder="1" applyAlignment="1" applyProtection="1">
      <alignment horizontal="center"/>
      <protection hidden="1"/>
    </xf>
    <xf numFmtId="0" fontId="5" fillId="15" borderId="30" xfId="0" applyFont="1" applyFill="1" applyBorder="1" applyAlignment="1" applyProtection="1">
      <alignment horizontal="center"/>
      <protection hidden="1"/>
    </xf>
    <xf numFmtId="0" fontId="5" fillId="15" borderId="8" xfId="0" applyFont="1" applyFill="1" applyBorder="1" applyAlignment="1" applyProtection="1">
      <alignment horizontal="center"/>
      <protection hidden="1"/>
    </xf>
    <xf numFmtId="0" fontId="5" fillId="15" borderId="14" xfId="0" applyFont="1" applyFill="1" applyBorder="1" applyAlignment="1" applyProtection="1">
      <alignment horizontal="center"/>
      <protection hidden="1"/>
    </xf>
    <xf numFmtId="37" fontId="10" fillId="25" borderId="69" xfId="0" applyNumberFormat="1" applyFont="1" applyFill="1" applyBorder="1"/>
    <xf numFmtId="37" fontId="13" fillId="25" borderId="4" xfId="0" applyNumberFormat="1" applyFont="1" applyFill="1" applyBorder="1"/>
    <xf numFmtId="0" fontId="10" fillId="16" borderId="1" xfId="0" applyFont="1" applyFill="1" applyBorder="1" applyAlignment="1" applyProtection="1">
      <alignment horizontal="left" vertical="center"/>
      <protection locked="0"/>
    </xf>
    <xf numFmtId="37" fontId="10" fillId="27" borderId="69" xfId="0" applyNumberFormat="1" applyFont="1" applyFill="1" applyBorder="1" applyAlignment="1">
      <alignment horizontal="right"/>
    </xf>
    <xf numFmtId="37" fontId="10" fillId="27" borderId="4" xfId="0" applyNumberFormat="1" applyFont="1" applyFill="1" applyBorder="1" applyAlignment="1">
      <alignment horizontal="right"/>
    </xf>
    <xf numFmtId="0" fontId="66" fillId="0" borderId="37" xfId="2" applyBorder="1" applyAlignment="1" applyProtection="1">
      <alignment horizontal="center" vertical="center"/>
      <protection hidden="1"/>
    </xf>
    <xf numFmtId="0" fontId="66" fillId="0" borderId="102" xfId="2" applyBorder="1" applyAlignment="1" applyProtection="1">
      <alignment horizontal="center" vertical="center"/>
      <protection hidden="1"/>
    </xf>
    <xf numFmtId="0" fontId="66" fillId="0" borderId="38" xfId="2" applyBorder="1" applyAlignment="1" applyProtection="1">
      <alignment horizontal="center" vertical="center"/>
      <protection hidden="1"/>
    </xf>
    <xf numFmtId="182" fontId="8" fillId="2" borderId="59" xfId="0" applyNumberFormat="1" applyFont="1" applyFill="1" applyBorder="1" applyAlignment="1" applyProtection="1">
      <alignment horizontal="center"/>
      <protection locked="0"/>
    </xf>
    <xf numFmtId="182" fontId="8" fillId="2" borderId="60" xfId="0" applyNumberFormat="1" applyFont="1" applyFill="1" applyBorder="1" applyAlignment="1" applyProtection="1">
      <alignment horizontal="center"/>
      <protection locked="0"/>
    </xf>
    <xf numFmtId="1" fontId="3" fillId="2" borderId="59" xfId="0" applyNumberFormat="1" applyFont="1" applyFill="1" applyBorder="1" applyAlignment="1" applyProtection="1">
      <alignment horizontal="center"/>
      <protection locked="0"/>
    </xf>
    <xf numFmtId="1" fontId="3" fillId="0" borderId="60" xfId="0" applyNumberFormat="1" applyFont="1" applyBorder="1" applyAlignment="1" applyProtection="1">
      <alignment horizontal="center"/>
      <protection locked="0"/>
    </xf>
    <xf numFmtId="0" fontId="109" fillId="2" borderId="0" xfId="0" applyFont="1" applyFill="1" applyProtection="1">
      <protection hidden="1"/>
    </xf>
    <xf numFmtId="0" fontId="109" fillId="0" borderId="0" xfId="0" applyFont="1"/>
    <xf numFmtId="169" fontId="5" fillId="2" borderId="0" xfId="0" applyNumberFormat="1" applyFont="1" applyFill="1" applyAlignment="1" applyProtection="1">
      <alignment horizontal="left"/>
      <protection hidden="1"/>
    </xf>
    <xf numFmtId="0" fontId="5" fillId="0" borderId="0" xfId="0" applyFont="1" applyAlignment="1" applyProtection="1">
      <alignment horizontal="left"/>
      <protection hidden="1"/>
    </xf>
    <xf numFmtId="0" fontId="122" fillId="2" borderId="7" xfId="0" applyFont="1" applyFill="1" applyBorder="1" applyProtection="1">
      <protection hidden="1"/>
    </xf>
    <xf numFmtId="0" fontId="122" fillId="0" borderId="7" xfId="0" applyFont="1" applyBorder="1"/>
    <xf numFmtId="0" fontId="9" fillId="2" borderId="5"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0" xfId="0" applyBorder="1" applyAlignment="1" applyProtection="1">
      <alignment horizontal="center"/>
      <protection hidden="1"/>
    </xf>
    <xf numFmtId="0" fontId="122" fillId="2" borderId="0" xfId="0" applyFont="1" applyFill="1" applyAlignment="1" applyProtection="1">
      <alignment vertical="top" wrapText="1"/>
      <protection hidden="1"/>
    </xf>
    <xf numFmtId="0" fontId="122" fillId="0" borderId="0" xfId="0" applyFont="1" applyAlignment="1">
      <alignment vertical="top" wrapText="1"/>
    </xf>
    <xf numFmtId="0" fontId="0" fillId="0" borderId="0" xfId="0" applyAlignment="1">
      <alignment wrapText="1"/>
    </xf>
    <xf numFmtId="0" fontId="0" fillId="0" borderId="20" xfId="0" applyBorder="1" applyAlignment="1">
      <alignment horizontal="center"/>
    </xf>
    <xf numFmtId="37" fontId="5" fillId="27" borderId="1" xfId="0" applyNumberFormat="1" applyFont="1" applyFill="1" applyBorder="1" applyProtection="1">
      <protection hidden="1"/>
    </xf>
    <xf numFmtId="0" fontId="3" fillId="2" borderId="8" xfId="0" applyFont="1" applyFill="1" applyBorder="1" applyAlignment="1" applyProtection="1">
      <alignment horizontal="left"/>
      <protection hidden="1"/>
    </xf>
    <xf numFmtId="0" fontId="5" fillId="15" borderId="5" xfId="0" applyFont="1" applyFill="1" applyBorder="1" applyAlignment="1" applyProtection="1">
      <alignment horizontal="left" vertical="center" wrapText="1" indent="1"/>
      <protection hidden="1"/>
    </xf>
    <xf numFmtId="0" fontId="0" fillId="15" borderId="0" xfId="0" applyFill="1" applyAlignment="1" applyProtection="1">
      <alignment horizontal="left" vertical="center" wrapText="1" indent="1"/>
      <protection hidden="1"/>
    </xf>
    <xf numFmtId="0" fontId="0" fillId="15" borderId="20" xfId="0" applyFill="1" applyBorder="1" applyAlignment="1" applyProtection="1">
      <alignment horizontal="left" vertical="center" wrapText="1" indent="1"/>
      <protection hidden="1"/>
    </xf>
    <xf numFmtId="0" fontId="207" fillId="2" borderId="0" xfId="0" applyFont="1" applyFill="1" applyAlignment="1" applyProtection="1">
      <alignment horizontal="center" vertical="center" wrapText="1"/>
      <protection hidden="1"/>
    </xf>
    <xf numFmtId="0" fontId="0" fillId="15" borderId="5" xfId="0" applyFill="1" applyBorder="1" applyAlignment="1" applyProtection="1">
      <alignment horizontal="center"/>
      <protection hidden="1"/>
    </xf>
    <xf numFmtId="0" fontId="0" fillId="15" borderId="23" xfId="0" applyFill="1" applyBorder="1" applyAlignment="1" applyProtection="1">
      <alignment horizontal="center"/>
      <protection hidden="1"/>
    </xf>
    <xf numFmtId="0" fontId="0" fillId="15" borderId="7" xfId="0" applyFill="1" applyBorder="1" applyAlignment="1">
      <alignment horizontal="center"/>
    </xf>
    <xf numFmtId="0" fontId="326" fillId="15" borderId="5" xfId="0" applyFont="1" applyFill="1" applyBorder="1" applyAlignment="1" applyProtection="1">
      <alignment horizontal="center"/>
      <protection hidden="1"/>
    </xf>
    <xf numFmtId="0" fontId="326" fillId="0" borderId="0" xfId="0" applyFont="1" applyAlignment="1">
      <alignment horizontal="center"/>
    </xf>
    <xf numFmtId="0" fontId="7" fillId="15" borderId="5" xfId="0" applyFont="1" applyFill="1" applyBorder="1" applyAlignment="1" applyProtection="1">
      <alignment horizontal="center"/>
      <protection hidden="1"/>
    </xf>
    <xf numFmtId="0" fontId="7" fillId="0" borderId="0" xfId="0" applyFont="1" applyAlignment="1">
      <alignment horizontal="center"/>
    </xf>
    <xf numFmtId="0" fontId="7" fillId="15" borderId="0" xfId="0" applyFont="1" applyFill="1" applyAlignment="1" applyProtection="1">
      <alignment horizontal="center"/>
      <protection hidden="1"/>
    </xf>
    <xf numFmtId="0" fontId="0" fillId="15" borderId="21" xfId="0" applyFill="1" applyBorder="1" applyAlignment="1" applyProtection="1">
      <alignment horizontal="center"/>
      <protection hidden="1"/>
    </xf>
    <xf numFmtId="0" fontId="0" fillId="15" borderId="4" xfId="0" applyFill="1" applyBorder="1" applyAlignment="1" applyProtection="1">
      <alignment horizontal="center"/>
      <protection hidden="1"/>
    </xf>
    <xf numFmtId="0" fontId="4" fillId="15" borderId="8" xfId="0" applyFont="1" applyFill="1" applyBorder="1" applyAlignment="1">
      <alignment horizontal="left" vertical="center" wrapText="1" indent="1"/>
    </xf>
    <xf numFmtId="0" fontId="4" fillId="15" borderId="88" xfId="0" applyFont="1" applyFill="1" applyBorder="1" applyAlignment="1">
      <alignment horizontal="left" vertical="center" wrapText="1" indent="1"/>
    </xf>
    <xf numFmtId="0" fontId="36" fillId="2" borderId="0" xfId="0" applyFont="1" applyFill="1" applyAlignment="1" applyProtection="1">
      <alignment horizontal="left" vertical="center" wrapText="1"/>
      <protection hidden="1"/>
    </xf>
    <xf numFmtId="0" fontId="79" fillId="2" borderId="0" xfId="0" applyFont="1" applyFill="1" applyAlignment="1" applyProtection="1">
      <alignment horizontal="right"/>
      <protection hidden="1"/>
    </xf>
    <xf numFmtId="0" fontId="79" fillId="0" borderId="0" xfId="0" applyFont="1" applyAlignment="1" applyProtection="1">
      <alignment horizontal="right"/>
      <protection hidden="1"/>
    </xf>
    <xf numFmtId="37" fontId="0" fillId="15" borderId="8" xfId="0" applyNumberFormat="1" applyFill="1" applyBorder="1" applyAlignment="1" applyProtection="1">
      <alignment horizontal="right"/>
      <protection locked="0"/>
    </xf>
    <xf numFmtId="0" fontId="36" fillId="2" borderId="23" xfId="0" applyFont="1" applyFill="1" applyBorder="1" applyAlignment="1" applyProtection="1">
      <alignment horizontal="left" vertical="top" wrapText="1"/>
      <protection hidden="1"/>
    </xf>
    <xf numFmtId="0" fontId="36" fillId="2" borderId="7" xfId="0" applyFont="1" applyFill="1" applyBorder="1" applyAlignment="1" applyProtection="1">
      <alignment horizontal="left" vertical="top" wrapText="1"/>
      <protection hidden="1"/>
    </xf>
    <xf numFmtId="0" fontId="36" fillId="2" borderId="19" xfId="0" applyFont="1" applyFill="1" applyBorder="1" applyAlignment="1" applyProtection="1">
      <alignment horizontal="left" vertical="top" wrapText="1"/>
      <protection hidden="1"/>
    </xf>
    <xf numFmtId="0" fontId="36" fillId="2" borderId="5" xfId="0" applyFont="1" applyFill="1" applyBorder="1" applyAlignment="1" applyProtection="1">
      <alignment horizontal="left" vertical="top" wrapText="1"/>
      <protection hidden="1"/>
    </xf>
    <xf numFmtId="0" fontId="36" fillId="2" borderId="0" xfId="0" applyFont="1" applyFill="1" applyAlignment="1" applyProtection="1">
      <alignment horizontal="left" vertical="top" wrapText="1"/>
      <protection hidden="1"/>
    </xf>
    <xf numFmtId="0" fontId="36" fillId="2" borderId="20" xfId="0" applyFont="1" applyFill="1" applyBorder="1" applyAlignment="1" applyProtection="1">
      <alignment horizontal="left" vertical="top" wrapText="1"/>
      <protection hidden="1"/>
    </xf>
    <xf numFmtId="0" fontId="36" fillId="2" borderId="21" xfId="0" applyFont="1" applyFill="1" applyBorder="1" applyAlignment="1" applyProtection="1">
      <alignment horizontal="left" vertical="top" wrapText="1"/>
      <protection hidden="1"/>
    </xf>
    <xf numFmtId="0" fontId="36" fillId="2" borderId="4" xfId="0" applyFont="1" applyFill="1" applyBorder="1" applyAlignment="1" applyProtection="1">
      <alignment horizontal="left" vertical="top" wrapText="1"/>
      <protection hidden="1"/>
    </xf>
    <xf numFmtId="0" fontId="36" fillId="2" borderId="22" xfId="0" applyFont="1" applyFill="1" applyBorder="1" applyAlignment="1" applyProtection="1">
      <alignment horizontal="left" vertical="top" wrapText="1"/>
      <protection hidden="1"/>
    </xf>
    <xf numFmtId="3" fontId="0" fillId="16" borderId="1" xfId="0" applyNumberFormat="1" applyFill="1" applyBorder="1" applyAlignment="1" applyProtection="1">
      <alignment horizontal="right"/>
      <protection locked="0"/>
    </xf>
    <xf numFmtId="0" fontId="0" fillId="16" borderId="1" xfId="0" applyFill="1" applyBorder="1" applyAlignment="1" applyProtection="1">
      <alignment horizontal="right"/>
      <protection locked="0"/>
    </xf>
    <xf numFmtId="37" fontId="0" fillId="16" borderId="25" xfId="0" applyNumberFormat="1" applyFill="1" applyBorder="1" applyAlignment="1" applyProtection="1">
      <alignment horizontal="right"/>
      <protection locked="0"/>
    </xf>
    <xf numFmtId="37" fontId="0" fillId="16" borderId="1" xfId="0" applyNumberFormat="1" applyFill="1" applyBorder="1" applyAlignment="1" applyProtection="1">
      <alignment horizontal="right"/>
      <protection locked="0"/>
    </xf>
    <xf numFmtId="39" fontId="5" fillId="24" borderId="23" xfId="0" applyNumberFormat="1" applyFont="1" applyFill="1" applyBorder="1" applyAlignment="1" applyProtection="1">
      <alignment horizontal="center"/>
      <protection locked="0"/>
    </xf>
    <xf numFmtId="39" fontId="5" fillId="24" borderId="19" xfId="0" applyNumberFormat="1" applyFont="1" applyFill="1" applyBorder="1" applyAlignment="1" applyProtection="1">
      <alignment horizontal="center"/>
      <protection locked="0"/>
    </xf>
    <xf numFmtId="0" fontId="5" fillId="15" borderId="23" xfId="0" applyFont="1" applyFill="1" applyBorder="1" applyAlignment="1" applyProtection="1">
      <alignment horizontal="center"/>
      <protection hidden="1"/>
    </xf>
    <xf numFmtId="0" fontId="5" fillId="15" borderId="19" xfId="0" applyFont="1" applyFill="1" applyBorder="1" applyAlignment="1" applyProtection="1">
      <alignment horizontal="center"/>
      <protection hidden="1"/>
    </xf>
    <xf numFmtId="37" fontId="0" fillId="15" borderId="8" xfId="0" applyNumberFormat="1" applyFill="1" applyBorder="1" applyAlignment="1" applyProtection="1">
      <alignment horizontal="right"/>
      <protection hidden="1"/>
    </xf>
    <xf numFmtId="1" fontId="30" fillId="2" borderId="39" xfId="0" applyNumberFormat="1" applyFont="1" applyFill="1" applyBorder="1" applyProtection="1">
      <protection locked="0"/>
    </xf>
    <xf numFmtId="0" fontId="0" fillId="0" borderId="25" xfId="0" applyBorder="1" applyProtection="1">
      <protection locked="0"/>
    </xf>
    <xf numFmtId="0" fontId="0" fillId="0" borderId="54" xfId="0" applyBorder="1" applyProtection="1">
      <protection locked="0"/>
    </xf>
    <xf numFmtId="0" fontId="66" fillId="19" borderId="23" xfId="2" applyFill="1" applyBorder="1" applyAlignment="1" applyProtection="1">
      <alignment horizontal="center" vertical="center"/>
    </xf>
    <xf numFmtId="0" fontId="66" fillId="19" borderId="19" xfId="2" applyFill="1" applyBorder="1" applyAlignment="1" applyProtection="1">
      <alignment horizontal="center" vertical="center"/>
    </xf>
    <xf numFmtId="0" fontId="66" fillId="19" borderId="5" xfId="2" applyFill="1" applyBorder="1" applyAlignment="1" applyProtection="1">
      <alignment horizontal="center" vertical="center"/>
    </xf>
    <xf numFmtId="0" fontId="66" fillId="19" borderId="20" xfId="2" applyFill="1" applyBorder="1" applyAlignment="1" applyProtection="1">
      <alignment horizontal="center" vertical="center"/>
    </xf>
    <xf numFmtId="0" fontId="66" fillId="19" borderId="21" xfId="2" applyFill="1" applyBorder="1" applyAlignment="1" applyProtection="1">
      <alignment horizontal="center" vertical="center"/>
    </xf>
    <xf numFmtId="0" fontId="66" fillId="19" borderId="22" xfId="2" applyFill="1" applyBorder="1" applyAlignment="1" applyProtection="1">
      <alignment horizontal="center" vertical="center"/>
    </xf>
    <xf numFmtId="0" fontId="9" fillId="15" borderId="21" xfId="0" applyFont="1" applyFill="1" applyBorder="1" applyAlignment="1" applyProtection="1">
      <alignment horizontal="left" vertical="top" wrapText="1" indent="1"/>
      <protection hidden="1"/>
    </xf>
    <xf numFmtId="0" fontId="0" fillId="15" borderId="4" xfId="0" applyFill="1" applyBorder="1" applyAlignment="1" applyProtection="1">
      <alignment horizontal="left" wrapText="1" indent="1"/>
      <protection hidden="1"/>
    </xf>
    <xf numFmtId="0" fontId="66" fillId="0" borderId="62" xfId="2" applyBorder="1" applyAlignment="1" applyProtection="1">
      <alignment horizontal="center"/>
    </xf>
    <xf numFmtId="0" fontId="66" fillId="0" borderId="63" xfId="2" applyBorder="1" applyAlignment="1" applyProtection="1">
      <alignment horizontal="center"/>
    </xf>
    <xf numFmtId="0" fontId="11" fillId="26" borderId="87" xfId="0" applyFont="1" applyFill="1" applyBorder="1" applyAlignment="1" applyProtection="1">
      <alignment horizontal="center"/>
      <protection hidden="1"/>
    </xf>
    <xf numFmtId="0" fontId="11" fillId="26" borderId="91" xfId="0" applyFont="1" applyFill="1" applyBorder="1" applyAlignment="1" applyProtection="1">
      <alignment horizontal="center"/>
      <protection hidden="1"/>
    </xf>
    <xf numFmtId="0" fontId="11" fillId="20" borderId="136" xfId="0" applyFont="1" applyFill="1" applyBorder="1" applyAlignment="1" applyProtection="1">
      <alignment horizontal="center"/>
      <protection locked="0"/>
    </xf>
    <xf numFmtId="0" fontId="11" fillId="20" borderId="122" xfId="0" applyFont="1" applyFill="1" applyBorder="1" applyAlignment="1" applyProtection="1">
      <alignment horizontal="center"/>
      <protection locked="0"/>
    </xf>
    <xf numFmtId="0" fontId="22" fillId="15" borderId="7" xfId="0" applyFont="1" applyFill="1" applyBorder="1" applyAlignment="1" applyProtection="1">
      <alignment horizontal="left"/>
      <protection hidden="1"/>
    </xf>
    <xf numFmtId="0" fontId="22" fillId="15" borderId="0" xfId="0" applyFont="1" applyFill="1" applyAlignment="1" applyProtection="1">
      <alignment horizontal="left"/>
      <protection hidden="1"/>
    </xf>
    <xf numFmtId="3" fontId="11" fillId="2" borderId="7" xfId="0" applyNumberFormat="1" applyFont="1" applyFill="1" applyBorder="1" applyAlignment="1" applyProtection="1">
      <alignment horizontal="center" vertical="top" wrapText="1"/>
      <protection hidden="1"/>
    </xf>
    <xf numFmtId="3" fontId="11" fillId="2" borderId="0" xfId="0" applyNumberFormat="1" applyFont="1" applyFill="1" applyAlignment="1" applyProtection="1">
      <alignment horizontal="center" vertical="top" wrapText="1"/>
      <protection hidden="1"/>
    </xf>
    <xf numFmtId="0" fontId="11" fillId="26" borderId="94" xfId="0" applyFont="1" applyFill="1" applyBorder="1" applyAlignment="1" applyProtection="1">
      <alignment horizontal="center"/>
      <protection hidden="1"/>
    </xf>
    <xf numFmtId="0" fontId="11" fillId="26" borderId="95" xfId="0" applyFont="1" applyFill="1" applyBorder="1" applyAlignment="1" applyProtection="1">
      <alignment horizontal="center"/>
      <protection hidden="1"/>
    </xf>
    <xf numFmtId="0" fontId="43" fillId="3" borderId="100" xfId="0" applyFont="1" applyFill="1" applyBorder="1" applyAlignment="1" applyProtection="1">
      <alignment horizontal="center" vertical="center"/>
      <protection hidden="1"/>
    </xf>
    <xf numFmtId="0" fontId="43" fillId="3" borderId="0" xfId="0" applyFont="1" applyFill="1" applyAlignment="1" applyProtection="1">
      <alignment horizontal="center" vertical="center"/>
      <protection hidden="1"/>
    </xf>
    <xf numFmtId="0" fontId="43" fillId="3" borderId="75" xfId="0" applyFont="1" applyFill="1" applyBorder="1" applyAlignment="1" applyProtection="1">
      <alignment horizontal="center" vertical="center"/>
      <protection hidden="1"/>
    </xf>
    <xf numFmtId="0" fontId="9"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9" fillId="2" borderId="101" xfId="0" applyFont="1" applyFill="1" applyBorder="1" applyAlignment="1" applyProtection="1">
      <alignment horizontal="center"/>
      <protection hidden="1"/>
    </xf>
    <xf numFmtId="0" fontId="0" fillId="0" borderId="1" xfId="0" applyBorder="1" applyAlignment="1">
      <alignment horizontal="center"/>
    </xf>
    <xf numFmtId="166" fontId="10" fillId="28" borderId="9" xfId="0" applyNumberFormat="1" applyFont="1" applyFill="1" applyBorder="1" applyAlignment="1" applyProtection="1">
      <alignment horizontal="center"/>
      <protection hidden="1"/>
    </xf>
    <xf numFmtId="0" fontId="13" fillId="25"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3" fillId="0" borderId="0" xfId="0" applyFont="1"/>
    <xf numFmtId="1" fontId="20" fillId="3" borderId="223" xfId="0" applyNumberFormat="1" applyFont="1" applyFill="1" applyBorder="1" applyAlignment="1" applyProtection="1">
      <alignment horizontal="center" vertical="center" wrapText="1"/>
      <protection hidden="1"/>
    </xf>
    <xf numFmtId="0" fontId="319" fillId="0" borderId="8" xfId="0" applyFont="1" applyBorder="1" applyAlignment="1">
      <alignment horizontal="center" vertical="center" wrapText="1"/>
    </xf>
    <xf numFmtId="0" fontId="3" fillId="3" borderId="0" xfId="0" applyFont="1" applyFill="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7" fillId="3" borderId="72" xfId="0" applyFont="1" applyFill="1" applyBorder="1" applyAlignment="1" applyProtection="1">
      <alignment horizontal="center" vertical="center" wrapText="1"/>
      <protection hidden="1"/>
    </xf>
    <xf numFmtId="0" fontId="7" fillId="3" borderId="13" xfId="0" applyFont="1" applyFill="1" applyBorder="1" applyAlignment="1" applyProtection="1">
      <alignment horizontal="center" vertical="center" wrapText="1"/>
      <protection hidden="1"/>
    </xf>
    <xf numFmtId="0" fontId="10" fillId="28" borderId="1" xfId="0" quotePrefix="1" applyFont="1" applyFill="1" applyBorder="1" applyAlignment="1" applyProtection="1">
      <alignment horizontal="left"/>
      <protection hidden="1"/>
    </xf>
    <xf numFmtId="0" fontId="10" fillId="28" borderId="11" xfId="0" quotePrefix="1" applyFont="1" applyFill="1" applyBorder="1" applyAlignment="1" applyProtection="1">
      <alignment horizontal="left"/>
      <protection hidden="1"/>
    </xf>
    <xf numFmtId="37" fontId="8" fillId="28" borderId="9" xfId="0" applyNumberFormat="1" applyFont="1" applyFill="1" applyBorder="1" applyAlignment="1">
      <alignment horizontal="right"/>
    </xf>
    <xf numFmtId="37" fontId="8" fillId="28" borderId="11" xfId="0" applyNumberFormat="1" applyFont="1" applyFill="1" applyBorder="1" applyAlignment="1">
      <alignment horizontal="right"/>
    </xf>
    <xf numFmtId="0" fontId="11" fillId="20" borderId="154" xfId="0" applyFont="1" applyFill="1" applyBorder="1" applyAlignment="1" applyProtection="1">
      <alignment horizontal="left"/>
      <protection locked="0"/>
    </xf>
    <xf numFmtId="0" fontId="9" fillId="3" borderId="0" xfId="0" applyFont="1" applyFill="1" applyAlignment="1" applyProtection="1">
      <alignment horizontal="left" vertical="center" wrapText="1"/>
      <protection hidden="1"/>
    </xf>
    <xf numFmtId="0" fontId="0" fillId="20" borderId="87" xfId="0" applyFill="1" applyBorder="1" applyAlignment="1" applyProtection="1">
      <alignment horizontal="left"/>
      <protection locked="0"/>
    </xf>
    <xf numFmtId="0" fontId="0" fillId="20" borderId="113" xfId="0" applyFill="1" applyBorder="1" applyAlignment="1" applyProtection="1">
      <alignment horizontal="left"/>
      <protection locked="0"/>
    </xf>
    <xf numFmtId="0" fontId="8" fillId="3" borderId="5" xfId="0" applyFont="1" applyFill="1" applyBorder="1" applyAlignment="1" applyProtection="1">
      <alignment horizontal="center" vertical="center"/>
      <protection hidden="1"/>
    </xf>
    <xf numFmtId="0" fontId="8" fillId="3" borderId="20" xfId="0" applyFont="1" applyFill="1" applyBorder="1" applyAlignment="1" applyProtection="1">
      <alignment horizontal="center" vertical="center"/>
      <protection hidden="1"/>
    </xf>
    <xf numFmtId="0" fontId="3" fillId="15" borderId="3" xfId="0" applyFont="1" applyFill="1" applyBorder="1" applyAlignment="1" applyProtection="1">
      <alignment horizontal="center" vertical="center"/>
      <protection hidden="1"/>
    </xf>
    <xf numFmtId="0" fontId="3" fillId="15" borderId="0" xfId="0" applyFont="1" applyFill="1" applyAlignment="1" applyProtection="1">
      <alignment horizontal="center" vertical="center"/>
      <protection hidden="1"/>
    </xf>
    <xf numFmtId="0" fontId="3" fillId="15" borderId="24" xfId="0" applyFont="1" applyFill="1" applyBorder="1" applyAlignment="1" applyProtection="1">
      <alignment horizontal="center" vertical="center"/>
      <protection hidden="1"/>
    </xf>
    <xf numFmtId="0" fontId="14" fillId="3" borderId="0" xfId="0" applyFont="1" applyFill="1" applyAlignment="1" applyProtection="1">
      <alignment horizontal="left" vertical="top" wrapText="1"/>
      <protection hidden="1"/>
    </xf>
    <xf numFmtId="0" fontId="9" fillId="3" borderId="4" xfId="0" applyFont="1" applyFill="1" applyBorder="1" applyAlignment="1" applyProtection="1">
      <alignment horizontal="left" vertical="top" wrapText="1"/>
      <protection hidden="1"/>
    </xf>
    <xf numFmtId="0" fontId="175" fillId="20" borderId="154" xfId="0" applyFont="1" applyFill="1" applyBorder="1" applyAlignment="1" applyProtection="1">
      <alignment horizontal="left"/>
      <protection locked="0" hidden="1"/>
    </xf>
    <xf numFmtId="0" fontId="175" fillId="16" borderId="154" xfId="0" applyFont="1" applyFill="1" applyBorder="1" applyAlignment="1" applyProtection="1">
      <alignment horizontal="left"/>
      <protection locked="0" hidden="1"/>
    </xf>
    <xf numFmtId="0" fontId="175" fillId="16" borderId="84" xfId="0" applyFont="1" applyFill="1" applyBorder="1" applyAlignment="1" applyProtection="1">
      <alignment horizontal="left"/>
      <protection locked="0" hidden="1"/>
    </xf>
    <xf numFmtId="39" fontId="5" fillId="20" borderId="39" xfId="0" applyNumberFormat="1" applyFont="1" applyFill="1" applyBorder="1" applyAlignment="1" applyProtection="1">
      <alignment horizontal="right"/>
      <protection locked="0" hidden="1"/>
    </xf>
    <xf numFmtId="39" fontId="5" fillId="20" borderId="25" xfId="0" applyNumberFormat="1" applyFont="1" applyFill="1" applyBorder="1" applyAlignment="1" applyProtection="1">
      <alignment horizontal="right"/>
      <protection locked="0" hidden="1"/>
    </xf>
    <xf numFmtId="39" fontId="5" fillId="16" borderId="25" xfId="0" applyNumberFormat="1" applyFont="1" applyFill="1" applyBorder="1" applyAlignment="1" applyProtection="1">
      <alignment horizontal="right"/>
      <protection locked="0" hidden="1"/>
    </xf>
    <xf numFmtId="0" fontId="9" fillId="20" borderId="92" xfId="0" applyFont="1" applyFill="1" applyBorder="1" applyAlignment="1" applyProtection="1">
      <alignment horizontal="left"/>
      <protection locked="0"/>
    </xf>
    <xf numFmtId="0" fontId="5" fillId="16" borderId="92" xfId="0" applyFont="1" applyFill="1" applyBorder="1" applyAlignment="1" applyProtection="1">
      <alignment horizontal="left"/>
      <protection locked="0"/>
    </xf>
    <xf numFmtId="39" fontId="5" fillId="20" borderId="39" xfId="0" applyNumberFormat="1" applyFont="1" applyFill="1" applyBorder="1" applyAlignment="1" applyProtection="1">
      <alignment horizontal="right"/>
      <protection locked="0"/>
    </xf>
    <xf numFmtId="39" fontId="5" fillId="20" borderId="25" xfId="0" applyNumberFormat="1" applyFont="1" applyFill="1" applyBorder="1" applyAlignment="1" applyProtection="1">
      <alignment horizontal="right"/>
      <protection locked="0"/>
    </xf>
    <xf numFmtId="39" fontId="5" fillId="16" borderId="25" xfId="0" applyNumberFormat="1" applyFont="1" applyFill="1" applyBorder="1" applyAlignment="1" applyProtection="1">
      <alignment horizontal="right"/>
      <protection locked="0"/>
    </xf>
    <xf numFmtId="37" fontId="3" fillId="26" borderId="39" xfId="0" applyNumberFormat="1" applyFont="1" applyFill="1" applyBorder="1"/>
    <xf numFmtId="37" fontId="3" fillId="26" borderId="25" xfId="0" applyNumberFormat="1" applyFont="1" applyFill="1" applyBorder="1"/>
    <xf numFmtId="4" fontId="3" fillId="3" borderId="39" xfId="0" applyNumberFormat="1" applyFont="1" applyFill="1" applyBorder="1" applyAlignment="1" applyProtection="1">
      <alignment horizontal="center"/>
      <protection hidden="1"/>
    </xf>
    <xf numFmtId="4" fontId="3" fillId="3" borderId="25" xfId="0" applyNumberFormat="1" applyFont="1" applyFill="1" applyBorder="1" applyAlignment="1" applyProtection="1">
      <alignment horizontal="center"/>
      <protection hidden="1"/>
    </xf>
    <xf numFmtId="37" fontId="3" fillId="26" borderId="9" xfId="0" applyNumberFormat="1" applyFont="1" applyFill="1" applyBorder="1"/>
    <xf numFmtId="37" fontId="3" fillId="26" borderId="1" xfId="0" applyNumberFormat="1" applyFont="1" applyFill="1" applyBorder="1"/>
    <xf numFmtId="3" fontId="3" fillId="20" borderId="9" xfId="0" applyNumberFormat="1" applyFont="1" applyFill="1" applyBorder="1" applyAlignment="1" applyProtection="1">
      <alignment horizontal="right"/>
      <protection locked="0"/>
    </xf>
    <xf numFmtId="3" fontId="3" fillId="20" borderId="1" xfId="0" applyNumberFormat="1" applyFont="1" applyFill="1" applyBorder="1" applyAlignment="1" applyProtection="1">
      <alignment horizontal="right"/>
      <protection locked="0"/>
    </xf>
    <xf numFmtId="0" fontId="15"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 vertical="center"/>
      <protection hidden="1"/>
    </xf>
    <xf numFmtId="0" fontId="15" fillId="2" borderId="26" xfId="0" applyFont="1" applyFill="1" applyBorder="1" applyAlignment="1" applyProtection="1">
      <alignment horizontal="center" vertical="center"/>
      <protection hidden="1"/>
    </xf>
    <xf numFmtId="0" fontId="15" fillId="2" borderId="1" xfId="0" applyFont="1" applyFill="1" applyBorder="1" applyAlignment="1" applyProtection="1">
      <alignment horizontal="center" vertical="center"/>
      <protection hidden="1"/>
    </xf>
    <xf numFmtId="0" fontId="20" fillId="2" borderId="80" xfId="0" applyFont="1" applyFill="1" applyBorder="1" applyAlignment="1" applyProtection="1">
      <alignment horizontal="center" vertical="center"/>
      <protection hidden="1"/>
    </xf>
    <xf numFmtId="0" fontId="5" fillId="0" borderId="8"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4" fontId="3" fillId="3" borderId="9"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0" fontId="66" fillId="11" borderId="62" xfId="2" applyFill="1" applyBorder="1" applyAlignment="1" applyProtection="1">
      <alignment horizontal="center"/>
    </xf>
    <xf numFmtId="0" fontId="66" fillId="11" borderId="63" xfId="2" applyFill="1" applyBorder="1" applyAlignment="1" applyProtection="1">
      <alignment horizontal="center"/>
    </xf>
    <xf numFmtId="0" fontId="3" fillId="3" borderId="0" xfId="0" applyFont="1" applyFill="1" applyAlignment="1" applyProtection="1">
      <alignment horizontal="left" vertical="center" wrapText="1"/>
      <protection hidden="1"/>
    </xf>
    <xf numFmtId="0" fontId="5" fillId="0" borderId="0" xfId="0" applyFont="1" applyAlignment="1">
      <alignment vertical="center"/>
    </xf>
    <xf numFmtId="0" fontId="9" fillId="20" borderId="87" xfId="0" applyFont="1" applyFill="1" applyBorder="1" applyAlignment="1" applyProtection="1">
      <alignment horizontal="left" indent="1"/>
      <protection locked="0"/>
    </xf>
    <xf numFmtId="0" fontId="0" fillId="20" borderId="87" xfId="0" applyFill="1" applyBorder="1" applyAlignment="1" applyProtection="1">
      <alignment horizontal="left" indent="1"/>
      <protection locked="0"/>
    </xf>
    <xf numFmtId="0" fontId="0" fillId="20" borderId="91" xfId="0" applyFill="1" applyBorder="1" applyAlignment="1" applyProtection="1">
      <alignment horizontal="left" indent="1"/>
      <protection locked="0"/>
    </xf>
    <xf numFmtId="0" fontId="9" fillId="20" borderId="87" xfId="0" applyFont="1" applyFill="1" applyBorder="1" applyAlignment="1" applyProtection="1">
      <alignment horizontal="center" vertical="top"/>
      <protection locked="0"/>
    </xf>
    <xf numFmtId="0" fontId="9" fillId="20" borderId="91" xfId="0" applyFont="1" applyFill="1" applyBorder="1" applyAlignment="1" applyProtection="1">
      <alignment horizontal="center" vertical="top"/>
      <protection locked="0"/>
    </xf>
    <xf numFmtId="0" fontId="19" fillId="2" borderId="5"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0" xfId="0" applyFont="1" applyFill="1" applyBorder="1" applyAlignment="1" applyProtection="1">
      <alignment horizontal="center" vertical="center"/>
      <protection hidden="1"/>
    </xf>
    <xf numFmtId="0" fontId="8" fillId="3" borderId="5"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0" xfId="0" applyFont="1" applyFill="1" applyBorder="1" applyAlignment="1" applyProtection="1">
      <alignment horizontal="center"/>
      <protection hidden="1"/>
    </xf>
    <xf numFmtId="0" fontId="15" fillId="3" borderId="56" xfId="0" applyFont="1" applyFill="1" applyBorder="1" applyAlignment="1" applyProtection="1">
      <alignment horizontal="left"/>
      <protection hidden="1"/>
    </xf>
    <xf numFmtId="0" fontId="15" fillId="0" borderId="7" xfId="0" applyFont="1" applyBorder="1" applyAlignment="1">
      <alignment horizontal="left"/>
    </xf>
    <xf numFmtId="166" fontId="10" fillId="26" borderId="9" xfId="0" applyNumberFormat="1" applyFont="1" applyFill="1" applyBorder="1" applyAlignment="1" applyProtection="1">
      <alignment horizontal="center"/>
      <protection hidden="1"/>
    </xf>
    <xf numFmtId="0" fontId="13" fillId="27" borderId="1" xfId="0" applyFont="1" applyFill="1" applyBorder="1" applyAlignment="1" applyProtection="1">
      <alignment horizontal="center"/>
      <protection hidden="1"/>
    </xf>
    <xf numFmtId="4" fontId="3" fillId="3" borderId="30" xfId="0" applyNumberFormat="1" applyFont="1" applyFill="1" applyBorder="1" applyAlignment="1" applyProtection="1">
      <alignment horizontal="center"/>
      <protection hidden="1"/>
    </xf>
    <xf numFmtId="4" fontId="3" fillId="3" borderId="8" xfId="0" applyNumberFormat="1" applyFont="1" applyFill="1" applyBorder="1" applyAlignment="1" applyProtection="1">
      <alignment horizontal="center"/>
      <protection hidden="1"/>
    </xf>
    <xf numFmtId="0" fontId="7" fillId="3" borderId="0" xfId="0" applyFont="1" applyFill="1" applyAlignment="1" applyProtection="1">
      <alignment horizontal="left" vertical="top" wrapText="1"/>
      <protection hidden="1"/>
    </xf>
    <xf numFmtId="39" fontId="5" fillId="20" borderId="8" xfId="0" applyNumberFormat="1" applyFont="1" applyFill="1" applyBorder="1" applyAlignment="1" applyProtection="1">
      <alignment horizontal="left" wrapText="1"/>
      <protection locked="0"/>
    </xf>
    <xf numFmtId="39" fontId="5" fillId="20" borderId="14" xfId="0" applyNumberFormat="1" applyFont="1" applyFill="1" applyBorder="1" applyAlignment="1" applyProtection="1">
      <alignment horizontal="left" wrapText="1"/>
      <protection locked="0"/>
    </xf>
    <xf numFmtId="39" fontId="5" fillId="20" borderId="92" xfId="0" applyNumberFormat="1" applyFont="1" applyFill="1" applyBorder="1" applyAlignment="1" applyProtection="1">
      <alignment horizontal="left" wrapText="1"/>
      <protection locked="0"/>
    </xf>
    <xf numFmtId="39" fontId="5" fillId="20" borderId="93" xfId="0" applyNumberFormat="1" applyFont="1" applyFill="1" applyBorder="1" applyAlignment="1" applyProtection="1">
      <alignment horizontal="left" wrapText="1"/>
      <protection locked="0"/>
    </xf>
    <xf numFmtId="0" fontId="66" fillId="11" borderId="61" xfId="2" applyFill="1" applyBorder="1" applyAlignment="1" applyProtection="1">
      <alignment horizontal="center" vertical="center" wrapText="1"/>
    </xf>
    <xf numFmtId="0" fontId="66" fillId="11" borderId="62" xfId="2" applyFill="1" applyBorder="1" applyAlignment="1" applyProtection="1">
      <alignment horizontal="center" vertical="center" wrapText="1"/>
    </xf>
    <xf numFmtId="0" fontId="66" fillId="11" borderId="63" xfId="2" applyFill="1" applyBorder="1" applyAlignment="1" applyProtection="1">
      <alignment horizontal="center" vertical="center" wrapText="1"/>
    </xf>
    <xf numFmtId="0" fontId="66" fillId="11" borderId="61" xfId="2" applyFill="1" applyBorder="1" applyAlignment="1" applyProtection="1">
      <alignment horizontal="center" vertical="center"/>
    </xf>
    <xf numFmtId="0" fontId="66" fillId="11" borderId="62" xfId="2" applyFill="1" applyBorder="1" applyAlignment="1" applyProtection="1">
      <alignment horizontal="center" vertical="center"/>
    </xf>
    <xf numFmtId="0" fontId="66" fillId="11" borderId="63" xfId="2" applyFill="1" applyBorder="1" applyAlignment="1" applyProtection="1">
      <alignment horizontal="center" vertical="center"/>
    </xf>
    <xf numFmtId="0" fontId="7" fillId="3" borderId="26" xfId="0" applyFont="1" applyFill="1" applyBorder="1" applyAlignment="1" applyProtection="1">
      <alignment horizontal="center" vertical="center"/>
      <protection hidden="1"/>
    </xf>
    <xf numFmtId="0" fontId="57" fillId="3" borderId="80" xfId="0" applyFont="1" applyFill="1" applyBorder="1" applyAlignment="1" applyProtection="1">
      <alignment horizontal="center" vertical="center"/>
      <protection hidden="1"/>
    </xf>
    <xf numFmtId="0" fontId="91" fillId="0" borderId="8" xfId="0" applyFont="1" applyBorder="1" applyAlignment="1">
      <alignment horizontal="center" vertical="center"/>
    </xf>
    <xf numFmtId="0" fontId="57" fillId="3" borderId="8" xfId="0" applyFont="1" applyFill="1" applyBorder="1" applyAlignment="1" applyProtection="1">
      <alignment horizontal="center" vertical="center"/>
      <protection hidden="1"/>
    </xf>
    <xf numFmtId="0" fontId="15" fillId="3" borderId="0" xfId="0" applyFont="1" applyFill="1" applyAlignment="1" applyProtection="1">
      <alignment wrapText="1"/>
      <protection hidden="1"/>
    </xf>
    <xf numFmtId="0" fontId="15" fillId="0" borderId="24" xfId="0" applyFont="1" applyBorder="1" applyAlignment="1">
      <alignment wrapText="1"/>
    </xf>
    <xf numFmtId="0" fontId="15" fillId="0" borderId="1" xfId="0" applyFont="1" applyBorder="1" applyAlignment="1">
      <alignment wrapText="1"/>
    </xf>
    <xf numFmtId="0" fontId="15" fillId="0" borderId="11" xfId="0" applyFont="1" applyBorder="1" applyAlignment="1">
      <alignment wrapText="1"/>
    </xf>
    <xf numFmtId="0" fontId="3" fillId="3" borderId="9" xfId="0" applyFont="1" applyFill="1" applyBorder="1" applyAlignment="1" applyProtection="1">
      <alignment horizontal="center"/>
      <protection hidden="1"/>
    </xf>
    <xf numFmtId="0" fontId="3" fillId="3" borderId="1"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37" fontId="3" fillId="20" borderId="9" xfId="0" applyNumberFormat="1" applyFont="1" applyFill="1" applyBorder="1" applyAlignment="1" applyProtection="1">
      <alignment horizontal="right"/>
      <protection locked="0"/>
    </xf>
    <xf numFmtId="37" fontId="3" fillId="20" borderId="1" xfId="0" applyNumberFormat="1" applyFont="1" applyFill="1" applyBorder="1" applyAlignment="1" applyProtection="1">
      <alignment horizontal="right"/>
      <protection locked="0"/>
    </xf>
    <xf numFmtId="37" fontId="8" fillId="16" borderId="39" xfId="0" applyNumberFormat="1" applyFont="1" applyFill="1" applyBorder="1" applyAlignment="1" applyProtection="1">
      <alignment horizontal="right"/>
      <protection locked="0"/>
    </xf>
    <xf numFmtId="37" fontId="8" fillId="16" borderId="25" xfId="0" applyNumberFormat="1" applyFont="1" applyFill="1" applyBorder="1" applyAlignment="1" applyProtection="1">
      <alignment horizontal="right"/>
      <protection locked="0"/>
    </xf>
    <xf numFmtId="37" fontId="8" fillId="16" borderId="9" xfId="0" applyNumberFormat="1" applyFont="1" applyFill="1" applyBorder="1" applyAlignment="1" applyProtection="1">
      <alignment horizontal="right"/>
      <protection locked="0"/>
    </xf>
    <xf numFmtId="37" fontId="8" fillId="16" borderId="1" xfId="0" applyNumberFormat="1" applyFont="1" applyFill="1" applyBorder="1" applyAlignment="1" applyProtection="1">
      <alignment horizontal="right"/>
      <protection locked="0"/>
    </xf>
    <xf numFmtId="3" fontId="8" fillId="28" borderId="69" xfId="0" applyNumberFormat="1" applyFont="1" applyFill="1" applyBorder="1" applyAlignment="1" applyProtection="1">
      <alignment horizontal="right"/>
      <protection hidden="1"/>
    </xf>
    <xf numFmtId="0" fontId="0" fillId="28" borderId="4" xfId="0" applyFill="1" applyBorder="1" applyAlignment="1" applyProtection="1">
      <alignment horizontal="right"/>
      <protection hidden="1"/>
    </xf>
    <xf numFmtId="37" fontId="8" fillId="28" borderId="9"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0" fontId="8" fillId="3" borderId="3" xfId="0" applyFont="1" applyFill="1" applyBorder="1" applyAlignment="1" applyProtection="1">
      <alignment horizontal="center"/>
      <protection hidden="1"/>
    </xf>
    <xf numFmtId="0" fontId="7" fillId="0" borderId="0" xfId="0" applyFont="1"/>
    <xf numFmtId="0" fontId="7" fillId="0" borderId="20" xfId="0" applyFont="1" applyBorder="1"/>
    <xf numFmtId="37" fontId="8" fillId="20" borderId="9" xfId="0" applyNumberFormat="1" applyFont="1" applyFill="1" applyBorder="1" applyAlignment="1" applyProtection="1">
      <alignment horizontal="right"/>
      <protection locked="0"/>
    </xf>
    <xf numFmtId="0" fontId="9" fillId="3" borderId="5" xfId="0" applyFont="1" applyFill="1" applyBorder="1" applyAlignment="1" applyProtection="1">
      <alignment horizontal="center" wrapText="1"/>
      <protection hidden="1"/>
    </xf>
    <xf numFmtId="0" fontId="9" fillId="3" borderId="0" xfId="0" applyFont="1" applyFill="1" applyAlignment="1" applyProtection="1">
      <alignment horizontal="center" wrapText="1"/>
      <protection hidden="1"/>
    </xf>
    <xf numFmtId="0" fontId="9" fillId="3" borderId="26" xfId="0" applyFont="1" applyFill="1" applyBorder="1" applyAlignment="1" applyProtection="1">
      <alignment horizontal="center" wrapText="1"/>
      <protection hidden="1"/>
    </xf>
    <xf numFmtId="0" fontId="9" fillId="3" borderId="1" xfId="0" applyFont="1" applyFill="1" applyBorder="1" applyAlignment="1" applyProtection="1">
      <alignment horizontal="center" wrapText="1"/>
      <protection hidden="1"/>
    </xf>
    <xf numFmtId="0" fontId="19" fillId="3" borderId="0" xfId="0" quotePrefix="1" applyFont="1" applyFill="1" applyAlignment="1" applyProtection="1">
      <alignment horizontal="left" wrapText="1"/>
      <protection hidden="1"/>
    </xf>
    <xf numFmtId="0" fontId="19" fillId="3" borderId="1" xfId="0" applyFont="1" applyFill="1" applyBorder="1" applyAlignment="1" applyProtection="1">
      <alignment horizontal="left" wrapText="1"/>
      <protection hidden="1"/>
    </xf>
    <xf numFmtId="166" fontId="3" fillId="26" borderId="35" xfId="0" applyNumberFormat="1" applyFont="1" applyFill="1" applyBorder="1" applyAlignment="1" applyProtection="1">
      <alignment horizontal="center" vertical="center"/>
      <protection hidden="1"/>
    </xf>
    <xf numFmtId="166" fontId="3" fillId="26" borderId="13" xfId="0" applyNumberFormat="1" applyFont="1" applyFill="1" applyBorder="1" applyAlignment="1" applyProtection="1">
      <alignment horizontal="center" vertical="center"/>
      <protection hidden="1"/>
    </xf>
    <xf numFmtId="4" fontId="8" fillId="20" borderId="87" xfId="0" applyNumberFormat="1" applyFont="1" applyFill="1" applyBorder="1" applyProtection="1">
      <protection locked="0"/>
    </xf>
    <xf numFmtId="0" fontId="5" fillId="0" borderId="29" xfId="0" applyFont="1" applyBorder="1"/>
    <xf numFmtId="0" fontId="3" fillId="20" borderId="1" xfId="0" applyFont="1" applyFill="1" applyBorder="1" applyAlignment="1" applyProtection="1">
      <alignment horizontal="left"/>
      <protection locked="0"/>
    </xf>
    <xf numFmtId="0" fontId="3" fillId="20" borderId="11" xfId="0" applyFont="1" applyFill="1" applyBorder="1" applyAlignment="1" applyProtection="1">
      <alignment horizontal="left"/>
      <protection locked="0"/>
    </xf>
    <xf numFmtId="0" fontId="8" fillId="20" borderId="1" xfId="0" applyFont="1" applyFill="1" applyBorder="1" applyAlignment="1" applyProtection="1">
      <alignment horizontal="left"/>
      <protection locked="0"/>
    </xf>
    <xf numFmtId="0" fontId="8" fillId="20" borderId="96" xfId="0" applyFont="1" applyFill="1" applyBorder="1" applyAlignment="1" applyProtection="1">
      <alignment horizontal="left"/>
      <protection locked="0"/>
    </xf>
    <xf numFmtId="0" fontId="8" fillId="20" borderId="11" xfId="0" applyFont="1" applyFill="1" applyBorder="1" applyAlignment="1" applyProtection="1">
      <alignment horizontal="left"/>
      <protection locked="0"/>
    </xf>
    <xf numFmtId="0" fontId="11" fillId="20" borderId="94" xfId="0" applyFont="1" applyFill="1" applyBorder="1" applyAlignment="1" applyProtection="1">
      <alignment horizontal="left"/>
      <protection locked="0"/>
    </xf>
    <xf numFmtId="176" fontId="3" fillId="20" borderId="87" xfId="0" applyNumberFormat="1" applyFont="1" applyFill="1" applyBorder="1" applyAlignment="1" applyProtection="1">
      <alignment horizontal="center"/>
      <protection locked="0"/>
    </xf>
    <xf numFmtId="39" fontId="5" fillId="20" borderId="89" xfId="0" applyNumberFormat="1" applyFont="1" applyFill="1" applyBorder="1" applyAlignment="1" applyProtection="1">
      <alignment horizontal="left" wrapText="1"/>
      <protection locked="0"/>
    </xf>
    <xf numFmtId="39" fontId="5" fillId="20" borderId="90" xfId="0" applyNumberFormat="1" applyFont="1" applyFill="1" applyBorder="1" applyAlignment="1" applyProtection="1">
      <alignment horizontal="left" wrapText="1"/>
      <protection locked="0"/>
    </xf>
    <xf numFmtId="39" fontId="11" fillId="20" borderId="89" xfId="0" applyNumberFormat="1" applyFont="1" applyFill="1" applyBorder="1" applyAlignment="1" applyProtection="1">
      <alignment horizontal="left"/>
      <protection locked="0"/>
    </xf>
    <xf numFmtId="37" fontId="8" fillId="28" borderId="69" xfId="0" applyNumberFormat="1" applyFont="1" applyFill="1" applyBorder="1" applyAlignment="1" applyProtection="1">
      <alignment horizontal="right"/>
      <protection hidden="1"/>
    </xf>
    <xf numFmtId="37" fontId="7" fillId="28" borderId="4" xfId="0" applyNumberFormat="1" applyFont="1" applyFill="1" applyBorder="1" applyAlignment="1">
      <alignment horizontal="right"/>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8" fillId="20" borderId="9" xfId="0" applyNumberFormat="1" applyFont="1" applyFill="1" applyBorder="1" applyAlignment="1" applyProtection="1">
      <alignment horizontal="right"/>
      <protection locked="0"/>
    </xf>
    <xf numFmtId="3" fontId="8" fillId="20" borderId="1" xfId="0" applyNumberFormat="1" applyFont="1" applyFill="1" applyBorder="1" applyAlignment="1" applyProtection="1">
      <alignment horizontal="right"/>
      <protection locked="0"/>
    </xf>
    <xf numFmtId="3" fontId="8" fillId="16" borderId="69" xfId="0" applyNumberFormat="1" applyFont="1" applyFill="1" applyBorder="1" applyAlignment="1" applyProtection="1">
      <alignment horizontal="right"/>
      <protection hidden="1"/>
    </xf>
    <xf numFmtId="3" fontId="8" fillId="16" borderId="4" xfId="0" applyNumberFormat="1" applyFont="1" applyFill="1" applyBorder="1" applyAlignment="1" applyProtection="1">
      <alignment horizontal="right"/>
      <protection hidden="1"/>
    </xf>
    <xf numFmtId="37" fontId="3" fillId="20" borderId="154" xfId="0" applyNumberFormat="1" applyFont="1" applyFill="1" applyBorder="1" applyAlignment="1" applyProtection="1">
      <alignment horizontal="center"/>
      <protection locked="0"/>
    </xf>
    <xf numFmtId="0" fontId="0" fillId="0" borderId="154" xfId="0" applyBorder="1" applyAlignment="1">
      <alignment horizontal="center"/>
    </xf>
    <xf numFmtId="3" fontId="3" fillId="20" borderId="1" xfId="0" applyNumberFormat="1" applyFont="1" applyFill="1" applyBorder="1" applyAlignment="1" applyProtection="1">
      <alignment horizontal="center"/>
      <protection locked="0"/>
    </xf>
    <xf numFmtId="3" fontId="206" fillId="15" borderId="30" xfId="0" applyNumberFormat="1" applyFont="1" applyFill="1" applyBorder="1" applyAlignment="1" applyProtection="1">
      <alignment horizontal="center"/>
      <protection hidden="1"/>
    </xf>
    <xf numFmtId="3" fontId="206" fillId="15" borderId="8" xfId="0" applyNumberFormat="1" applyFont="1" applyFill="1" applyBorder="1" applyAlignment="1" applyProtection="1">
      <alignment horizontal="center"/>
      <protection hidden="1"/>
    </xf>
    <xf numFmtId="3" fontId="206" fillId="15" borderId="3" xfId="0" applyNumberFormat="1" applyFont="1" applyFill="1" applyBorder="1" applyAlignment="1" applyProtection="1">
      <alignment horizontal="center"/>
      <protection hidden="1"/>
    </xf>
    <xf numFmtId="3" fontId="206" fillId="15" borderId="0" xfId="0" applyNumberFormat="1" applyFont="1" applyFill="1" applyAlignment="1" applyProtection="1">
      <alignment horizontal="center"/>
      <protection hidden="1"/>
    </xf>
    <xf numFmtId="37" fontId="116" fillId="3" borderId="0" xfId="0" applyNumberFormat="1" applyFont="1" applyFill="1" applyAlignment="1" applyProtection="1">
      <alignment horizontal="center"/>
      <protection hidden="1"/>
    </xf>
    <xf numFmtId="37" fontId="116" fillId="3" borderId="24" xfId="0" applyNumberFormat="1" applyFont="1" applyFill="1" applyBorder="1" applyAlignment="1" applyProtection="1">
      <alignment horizontal="center"/>
      <protection hidden="1"/>
    </xf>
    <xf numFmtId="1" fontId="207" fillId="35" borderId="0" xfId="0" applyNumberFormat="1" applyFont="1" applyFill="1" applyAlignment="1" applyProtection="1">
      <alignment horizontal="center" vertical="center" wrapText="1"/>
      <protection hidden="1"/>
    </xf>
    <xf numFmtId="37" fontId="8" fillId="27" borderId="9"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3" fontId="8" fillId="28" borderId="9" xfId="0" applyNumberFormat="1" applyFont="1" applyFill="1" applyBorder="1" applyAlignment="1" applyProtection="1">
      <alignment horizontal="right"/>
      <protection hidden="1"/>
    </xf>
    <xf numFmtId="3" fontId="8" fillId="28" borderId="1" xfId="0" applyNumberFormat="1" applyFont="1" applyFill="1" applyBorder="1" applyAlignment="1" applyProtection="1">
      <alignment horizontal="right"/>
      <protection hidden="1"/>
    </xf>
    <xf numFmtId="3" fontId="8" fillId="20" borderId="69" xfId="0" applyNumberFormat="1" applyFont="1" applyFill="1" applyBorder="1" applyAlignment="1" applyProtection="1">
      <alignment horizontal="right"/>
      <protection locked="0"/>
    </xf>
    <xf numFmtId="3" fontId="8" fillId="20" borderId="4" xfId="0" applyNumberFormat="1" applyFont="1" applyFill="1" applyBorder="1" applyAlignment="1" applyProtection="1">
      <alignment horizontal="right"/>
      <protection locked="0"/>
    </xf>
    <xf numFmtId="37" fontId="8" fillId="28" borderId="1" xfId="0" applyNumberFormat="1" applyFont="1" applyFill="1" applyBorder="1" applyAlignment="1">
      <alignment horizontal="right"/>
    </xf>
    <xf numFmtId="39" fontId="7" fillId="3" borderId="0" xfId="0" applyNumberFormat="1" applyFont="1" applyFill="1" applyAlignment="1" applyProtection="1">
      <alignment horizontal="center"/>
      <protection hidden="1"/>
    </xf>
    <xf numFmtId="37" fontId="3" fillId="20" borderId="87" xfId="0" applyNumberFormat="1" applyFont="1" applyFill="1" applyBorder="1" applyAlignment="1" applyProtection="1">
      <alignment horizontal="center"/>
      <protection locked="0"/>
    </xf>
    <xf numFmtId="3" fontId="3" fillId="20" borderId="87" xfId="0" applyNumberFormat="1" applyFont="1" applyFill="1" applyBorder="1" applyAlignment="1" applyProtection="1">
      <alignment horizontal="center"/>
      <protection locked="0"/>
    </xf>
    <xf numFmtId="0" fontId="8" fillId="3" borderId="3" xfId="0" applyFont="1" applyFill="1" applyBorder="1" applyAlignment="1" applyProtection="1">
      <alignment horizontal="center" vertical="center"/>
      <protection hidden="1"/>
    </xf>
    <xf numFmtId="1" fontId="8" fillId="20" borderId="1" xfId="0" applyNumberFormat="1" applyFont="1" applyFill="1" applyBorder="1" applyAlignment="1" applyProtection="1">
      <alignment horizontal="center"/>
      <protection locked="0"/>
    </xf>
    <xf numFmtId="1" fontId="3" fillId="20" borderId="1" xfId="0" applyNumberFormat="1" applyFont="1" applyFill="1" applyBorder="1" applyAlignment="1" applyProtection="1">
      <alignment horizontal="center"/>
      <protection locked="0"/>
    </xf>
    <xf numFmtId="0" fontId="11" fillId="0" borderId="1" xfId="0" quotePrefix="1" applyFont="1" applyBorder="1" applyAlignment="1" applyProtection="1">
      <alignment horizontal="center"/>
      <protection hidden="1"/>
    </xf>
    <xf numFmtId="4" fontId="15" fillId="3" borderId="26" xfId="0" applyNumberFormat="1" applyFont="1" applyFill="1" applyBorder="1" applyAlignment="1" applyProtection="1">
      <alignment horizontal="center" vertical="center"/>
      <protection hidden="1"/>
    </xf>
    <xf numFmtId="4" fontId="15" fillId="3" borderId="1" xfId="0" applyNumberFormat="1" applyFont="1" applyFill="1" applyBorder="1" applyAlignment="1" applyProtection="1">
      <alignment horizontal="center" vertical="center"/>
      <protection hidden="1"/>
    </xf>
    <xf numFmtId="37" fontId="123" fillId="3" borderId="30" xfId="0" applyNumberFormat="1" applyFont="1" applyFill="1" applyBorder="1" applyAlignment="1" applyProtection="1">
      <alignment horizontal="right"/>
      <protection hidden="1"/>
    </xf>
    <xf numFmtId="37" fontId="123" fillId="0" borderId="14" xfId="0" applyNumberFormat="1" applyFont="1" applyBorder="1" applyAlignment="1" applyProtection="1">
      <alignment horizontal="right"/>
      <protection hidden="1"/>
    </xf>
    <xf numFmtId="37" fontId="123" fillId="0" borderId="8" xfId="0" applyNumberFormat="1" applyFont="1" applyBorder="1" applyAlignment="1" applyProtection="1">
      <alignment horizontal="right"/>
      <protection hidden="1"/>
    </xf>
    <xf numFmtId="0" fontId="110" fillId="0" borderId="14" xfId="0" applyFont="1" applyBorder="1" applyAlignment="1">
      <alignment horizontal="right"/>
    </xf>
    <xf numFmtId="4" fontId="15" fillId="0" borderId="15" xfId="0" applyNumberFormat="1" applyFont="1" applyBorder="1" applyAlignment="1">
      <alignment horizontal="center" vertical="center" wrapText="1"/>
    </xf>
    <xf numFmtId="4" fontId="15" fillId="0" borderId="6" xfId="0" applyNumberFormat="1" applyFont="1" applyBorder="1" applyAlignment="1">
      <alignment horizontal="center" vertical="center" wrapText="1"/>
    </xf>
    <xf numFmtId="4" fontId="15" fillId="0" borderId="10" xfId="0" applyNumberFormat="1" applyFont="1" applyBorder="1" applyAlignment="1">
      <alignment horizontal="center" vertical="center" wrapText="1"/>
    </xf>
    <xf numFmtId="0" fontId="15" fillId="3" borderId="15" xfId="0" applyFont="1" applyFill="1" applyBorder="1" applyAlignment="1" applyProtection="1">
      <alignment horizontal="center" vertical="center" wrapText="1"/>
      <protection hidden="1"/>
    </xf>
    <xf numFmtId="0" fontId="15" fillId="3" borderId="6"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4" fontId="15" fillId="3" borderId="15" xfId="0" applyNumberFormat="1" applyFont="1" applyFill="1" applyBorder="1" applyAlignment="1" applyProtection="1">
      <alignment horizontal="center" vertical="center" wrapText="1"/>
      <protection hidden="1"/>
    </xf>
    <xf numFmtId="4" fontId="15" fillId="3" borderId="6" xfId="0" applyNumberFormat="1" applyFont="1" applyFill="1" applyBorder="1" applyAlignment="1" applyProtection="1">
      <alignment horizontal="center" vertical="center" wrapText="1"/>
      <protection hidden="1"/>
    </xf>
    <xf numFmtId="4" fontId="15" fillId="3" borderId="10" xfId="0" applyNumberFormat="1" applyFont="1" applyFill="1" applyBorder="1" applyAlignment="1" applyProtection="1">
      <alignment horizontal="center" vertical="center" wrapText="1"/>
      <protection hidden="1"/>
    </xf>
    <xf numFmtId="37" fontId="8" fillId="28" borderId="11" xfId="0" applyNumberFormat="1" applyFont="1" applyFill="1" applyBorder="1" applyAlignment="1" applyProtection="1">
      <alignment horizontal="right"/>
      <protection hidden="1"/>
    </xf>
    <xf numFmtId="37" fontId="123" fillId="3" borderId="3" xfId="0" applyNumberFormat="1" applyFont="1" applyFill="1" applyBorder="1" applyAlignment="1" applyProtection="1">
      <alignment horizontal="right"/>
      <protection hidden="1"/>
    </xf>
    <xf numFmtId="37" fontId="123" fillId="0" borderId="0" xfId="0" applyNumberFormat="1" applyFont="1" applyAlignment="1" applyProtection="1">
      <alignment horizontal="right"/>
      <protection hidden="1"/>
    </xf>
    <xf numFmtId="0" fontId="15" fillId="3" borderId="30" xfId="0" applyFont="1" applyFill="1" applyBorder="1" applyAlignment="1" applyProtection="1">
      <alignment horizontal="center" vertical="center" wrapText="1"/>
      <protection hidden="1"/>
    </xf>
    <xf numFmtId="0" fontId="5" fillId="0" borderId="14" xfId="0" applyFont="1" applyBorder="1" applyAlignment="1">
      <alignment horizontal="center" vertical="center"/>
    </xf>
    <xf numFmtId="0" fontId="5" fillId="0" borderId="3" xfId="0" applyFont="1" applyBorder="1" applyAlignment="1">
      <alignment horizontal="center" vertical="center"/>
    </xf>
    <xf numFmtId="0" fontId="5" fillId="0" borderId="24"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19" fillId="3" borderId="0" xfId="0" applyFont="1" applyFill="1" applyAlignment="1" applyProtection="1">
      <alignment horizontal="center" vertical="center"/>
      <protection hidden="1"/>
    </xf>
    <xf numFmtId="0" fontId="7" fillId="0" borderId="0" xfId="0" applyFont="1" applyAlignment="1">
      <alignment horizontal="center" vertical="center"/>
    </xf>
    <xf numFmtId="0" fontId="7" fillId="0" borderId="20" xfId="0" applyFont="1" applyBorder="1" applyAlignment="1">
      <alignment horizontal="center" vertical="center"/>
    </xf>
    <xf numFmtId="4" fontId="7" fillId="3" borderId="8" xfId="0" applyNumberFormat="1" applyFont="1" applyFill="1"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4"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1" xfId="0" applyBorder="1" applyAlignment="1">
      <alignment horizontal="left" vertical="center" wrapText="1"/>
    </xf>
    <xf numFmtId="0" fontId="184" fillId="0" borderId="0" xfId="0" applyFont="1" applyAlignment="1" applyProtection="1">
      <alignment horizontal="left" wrapText="1"/>
      <protection hidden="1"/>
    </xf>
    <xf numFmtId="37" fontId="8" fillId="20" borderId="1" xfId="0" applyNumberFormat="1" applyFont="1" applyFill="1" applyBorder="1" applyAlignment="1" applyProtection="1">
      <alignment horizontal="right"/>
      <protection locked="0"/>
    </xf>
    <xf numFmtId="37" fontId="8" fillId="3" borderId="30" xfId="0" applyNumberFormat="1" applyFont="1" applyFill="1" applyBorder="1" applyAlignment="1" applyProtection="1">
      <alignment horizontal="right"/>
      <protection locked="0"/>
    </xf>
    <xf numFmtId="0" fontId="0" fillId="0" borderId="8" xfId="0" applyBorder="1" applyAlignment="1" applyProtection="1">
      <alignment horizontal="right"/>
      <protection locked="0"/>
    </xf>
    <xf numFmtId="0" fontId="0" fillId="0" borderId="1" xfId="0" applyBorder="1" applyAlignment="1">
      <alignment horizontal="right"/>
    </xf>
    <xf numFmtId="37" fontId="8" fillId="28" borderId="4" xfId="0" applyNumberFormat="1" applyFont="1" applyFill="1" applyBorder="1" applyAlignment="1" applyProtection="1">
      <alignment horizontal="right"/>
      <protection hidden="1"/>
    </xf>
    <xf numFmtId="0" fontId="0" fillId="0" borderId="4" xfId="0" applyBorder="1" applyAlignment="1">
      <alignment horizontal="right"/>
    </xf>
    <xf numFmtId="37" fontId="0" fillId="0" borderId="1" xfId="0" applyNumberFormat="1" applyBorder="1" applyAlignment="1" applyProtection="1">
      <alignment horizontal="right"/>
      <protection locked="0"/>
    </xf>
    <xf numFmtId="4" fontId="7" fillId="3" borderId="8" xfId="0" applyNumberFormat="1" applyFont="1" applyFill="1" applyBorder="1" applyAlignment="1" applyProtection="1">
      <alignment horizontal="left" wrapText="1"/>
      <protection hidden="1"/>
    </xf>
    <xf numFmtId="0" fontId="0" fillId="0" borderId="8" xfId="0" applyBorder="1" applyAlignment="1" applyProtection="1">
      <alignment horizontal="left" wrapText="1"/>
      <protection hidden="1"/>
    </xf>
    <xf numFmtId="0" fontId="0" fillId="0" borderId="14" xfId="0" applyBorder="1" applyAlignment="1" applyProtection="1">
      <alignment horizontal="left" wrapText="1"/>
      <protection hidden="1"/>
    </xf>
    <xf numFmtId="0" fontId="0" fillId="0" borderId="1" xfId="0" applyBorder="1" applyAlignment="1">
      <alignment horizontal="left" wrapText="1"/>
    </xf>
    <xf numFmtId="0" fontId="0" fillId="0" borderId="11" xfId="0" applyBorder="1" applyAlignment="1">
      <alignment horizontal="left" wrapText="1"/>
    </xf>
    <xf numFmtId="37" fontId="3" fillId="3" borderId="30" xfId="0" applyNumberFormat="1" applyFont="1" applyFill="1" applyBorder="1" applyAlignment="1" applyProtection="1">
      <alignment horizontal="right"/>
      <protection hidden="1"/>
    </xf>
    <xf numFmtId="0" fontId="0" fillId="0" borderId="8" xfId="0" applyBorder="1" applyAlignment="1">
      <alignment horizontal="right"/>
    </xf>
    <xf numFmtId="0" fontId="0" fillId="0" borderId="1" xfId="0" applyBorder="1" applyAlignment="1" applyProtection="1">
      <alignment horizontal="right"/>
      <protection locked="0"/>
    </xf>
    <xf numFmtId="37" fontId="8" fillId="3" borderId="3" xfId="0" applyNumberFormat="1" applyFont="1" applyFill="1" applyBorder="1" applyAlignment="1" applyProtection="1">
      <alignment horizontal="right"/>
      <protection hidden="1"/>
    </xf>
    <xf numFmtId="0" fontId="0" fillId="0" borderId="0" xfId="0" applyAlignment="1" applyProtection="1">
      <alignment horizontal="right"/>
      <protection hidden="1"/>
    </xf>
    <xf numFmtId="0" fontId="48" fillId="9" borderId="25" xfId="0" applyFont="1" applyFill="1" applyBorder="1" applyAlignment="1" applyProtection="1">
      <alignment horizontal="left" vertical="center"/>
      <protection hidden="1"/>
    </xf>
    <xf numFmtId="0" fontId="50" fillId="9" borderId="27" xfId="0" applyFont="1" applyFill="1" applyBorder="1" applyAlignment="1" applyProtection="1">
      <alignment horizontal="left" vertical="center"/>
      <protection hidden="1"/>
    </xf>
    <xf numFmtId="4" fontId="15" fillId="3" borderId="30" xfId="0" applyNumberFormat="1" applyFont="1" applyFill="1" applyBorder="1" applyAlignment="1" applyProtection="1">
      <alignment horizontal="center" vertical="center" wrapText="1"/>
      <protection hidden="1"/>
    </xf>
    <xf numFmtId="4" fontId="15" fillId="3" borderId="8" xfId="0" applyNumberFormat="1" applyFont="1" applyFill="1" applyBorder="1" applyAlignment="1" applyProtection="1">
      <alignment horizontal="center" vertical="center" wrapText="1"/>
      <protection hidden="1"/>
    </xf>
    <xf numFmtId="4" fontId="15" fillId="3" borderId="3" xfId="0" applyNumberFormat="1" applyFont="1" applyFill="1" applyBorder="1" applyAlignment="1" applyProtection="1">
      <alignment horizontal="center" vertical="center" wrapText="1"/>
      <protection hidden="1"/>
    </xf>
    <xf numFmtId="4" fontId="15" fillId="3" borderId="0" xfId="0" applyNumberFormat="1" applyFont="1" applyFill="1" applyAlignment="1" applyProtection="1">
      <alignment horizontal="center" vertical="center" wrapText="1"/>
      <protection hidden="1"/>
    </xf>
    <xf numFmtId="4" fontId="15" fillId="3" borderId="9" xfId="0" applyNumberFormat="1" applyFont="1" applyFill="1" applyBorder="1" applyAlignment="1" applyProtection="1">
      <alignment horizontal="center" vertical="center" wrapText="1"/>
      <protection hidden="1"/>
    </xf>
    <xf numFmtId="4" fontId="15" fillId="3" borderId="1" xfId="0" applyNumberFormat="1" applyFont="1" applyFill="1" applyBorder="1" applyAlignment="1" applyProtection="1">
      <alignment horizontal="center" vertical="center" wrapText="1"/>
      <protection hidden="1"/>
    </xf>
    <xf numFmtId="37" fontId="8" fillId="20" borderId="11" xfId="0" applyNumberFormat="1" applyFont="1" applyFill="1" applyBorder="1" applyAlignment="1" applyProtection="1">
      <alignment horizontal="right"/>
      <protection locked="0"/>
    </xf>
    <xf numFmtId="37" fontId="8" fillId="22" borderId="9" xfId="0" applyNumberFormat="1" applyFont="1" applyFill="1" applyBorder="1" applyAlignment="1" applyProtection="1">
      <alignment horizontal="right"/>
      <protection hidden="1"/>
    </xf>
    <xf numFmtId="37" fontId="8" fillId="22" borderId="1" xfId="0" applyNumberFormat="1" applyFont="1" applyFill="1" applyBorder="1" applyAlignment="1" applyProtection="1">
      <alignment horizontal="right"/>
      <protection hidden="1"/>
    </xf>
    <xf numFmtId="37" fontId="8" fillId="22" borderId="11" xfId="0" applyNumberFormat="1" applyFont="1" applyFill="1" applyBorder="1" applyAlignment="1" applyProtection="1">
      <alignment horizontal="right"/>
      <protection hidden="1"/>
    </xf>
    <xf numFmtId="0" fontId="7" fillId="3" borderId="8" xfId="0" applyFont="1" applyFill="1" applyBorder="1" applyAlignment="1" applyProtection="1">
      <alignment horizontal="left" vertical="top" wrapText="1"/>
      <protection hidden="1"/>
    </xf>
    <xf numFmtId="0" fontId="7" fillId="0" borderId="8" xfId="0" applyFont="1" applyBorder="1"/>
    <xf numFmtId="0" fontId="7" fillId="0" borderId="14" xfId="0" applyFont="1" applyBorder="1"/>
    <xf numFmtId="0" fontId="7" fillId="0" borderId="0" xfId="0" applyFont="1" applyAlignment="1">
      <alignment horizontal="left" vertical="top"/>
    </xf>
    <xf numFmtId="0" fontId="7" fillId="0" borderId="24" xfId="0" applyFont="1" applyBorder="1"/>
    <xf numFmtId="0" fontId="7" fillId="0" borderId="1" xfId="0" applyFont="1" applyBorder="1" applyAlignment="1">
      <alignment horizontal="left" vertical="top"/>
    </xf>
    <xf numFmtId="0" fontId="7" fillId="0" borderId="1" xfId="0" applyFont="1" applyBorder="1"/>
    <xf numFmtId="0" fontId="7" fillId="0" borderId="11" xfId="0" applyFont="1" applyBorder="1"/>
    <xf numFmtId="0" fontId="9" fillId="3" borderId="30" xfId="0" applyFont="1" applyFill="1" applyBorder="1" applyAlignment="1" applyProtection="1">
      <alignment horizontal="center" vertical="center" wrapText="1"/>
      <protection hidden="1"/>
    </xf>
    <xf numFmtId="0" fontId="9" fillId="0" borderId="14" xfId="0" applyFont="1" applyBorder="1" applyAlignment="1">
      <alignment horizontal="center" vertical="center"/>
    </xf>
    <xf numFmtId="0" fontId="9" fillId="0" borderId="3" xfId="0" applyFont="1" applyBorder="1" applyAlignment="1">
      <alignment horizontal="center" vertical="center"/>
    </xf>
    <xf numFmtId="0" fontId="9" fillId="0" borderId="24" xfId="0" applyFont="1" applyBorder="1" applyAlignment="1">
      <alignment horizontal="center" vertical="center"/>
    </xf>
    <xf numFmtId="0" fontId="9" fillId="0" borderId="9" xfId="0" applyFont="1" applyBorder="1" applyAlignment="1">
      <alignment horizontal="center" vertical="center"/>
    </xf>
    <xf numFmtId="0" fontId="9" fillId="0" borderId="11" xfId="0" applyFont="1" applyBorder="1" applyAlignment="1">
      <alignment horizontal="center" vertical="center"/>
    </xf>
    <xf numFmtId="4" fontId="9" fillId="3" borderId="15" xfId="0" applyNumberFormat="1" applyFont="1" applyFill="1" applyBorder="1" applyAlignment="1" applyProtection="1">
      <alignment horizontal="center" vertical="center" wrapText="1"/>
      <protection hidden="1"/>
    </xf>
    <xf numFmtId="4" fontId="9" fillId="3" borderId="6" xfId="0" applyNumberFormat="1" applyFont="1" applyFill="1" applyBorder="1" applyAlignment="1" applyProtection="1">
      <alignment horizontal="center" vertical="center"/>
      <protection hidden="1"/>
    </xf>
    <xf numFmtId="4" fontId="9" fillId="3" borderId="10" xfId="0" applyNumberFormat="1" applyFont="1" applyFill="1" applyBorder="1" applyAlignment="1" applyProtection="1">
      <alignment horizontal="center" vertical="center"/>
      <protection hidden="1"/>
    </xf>
    <xf numFmtId="4" fontId="15" fillId="3" borderId="14" xfId="0" applyNumberFormat="1" applyFont="1" applyFill="1" applyBorder="1" applyAlignment="1" applyProtection="1">
      <alignment horizontal="center" vertical="center" wrapText="1"/>
      <protection hidden="1"/>
    </xf>
    <xf numFmtId="4" fontId="15" fillId="3" borderId="24" xfId="0" applyNumberFormat="1" applyFont="1" applyFill="1" applyBorder="1" applyAlignment="1" applyProtection="1">
      <alignment horizontal="center" vertical="center" wrapText="1"/>
      <protection hidden="1"/>
    </xf>
    <xf numFmtId="4" fontId="15" fillId="3" borderId="11" xfId="0" applyNumberFormat="1" applyFont="1" applyFill="1" applyBorder="1" applyAlignment="1" applyProtection="1">
      <alignment horizontal="center" vertical="center" wrapText="1"/>
      <protection hidden="1"/>
    </xf>
    <xf numFmtId="0" fontId="7" fillId="0" borderId="20" xfId="0" applyFont="1" applyBorder="1" applyAlignment="1">
      <alignment horizontal="center"/>
    </xf>
    <xf numFmtId="0" fontId="7" fillId="15" borderId="8" xfId="0" applyFont="1" applyFill="1" applyBorder="1" applyAlignment="1">
      <alignment wrapText="1"/>
    </xf>
    <xf numFmtId="0" fontId="0" fillId="0" borderId="8" xfId="0" applyBorder="1" applyAlignment="1">
      <alignment wrapText="1"/>
    </xf>
    <xf numFmtId="0" fontId="0" fillId="0" borderId="14" xfId="0" applyBorder="1" applyAlignment="1">
      <alignment wrapText="1"/>
    </xf>
    <xf numFmtId="0" fontId="0" fillId="0" borderId="1" xfId="0" applyBorder="1" applyAlignment="1">
      <alignment wrapText="1"/>
    </xf>
    <xf numFmtId="0" fontId="0" fillId="0" borderId="11" xfId="0" applyBorder="1" applyAlignment="1">
      <alignment wrapText="1"/>
    </xf>
    <xf numFmtId="4" fontId="11" fillId="3" borderId="185" xfId="0" applyNumberFormat="1" applyFont="1" applyFill="1" applyBorder="1" applyAlignment="1" applyProtection="1">
      <alignment horizontal="center"/>
      <protection hidden="1"/>
    </xf>
    <xf numFmtId="4" fontId="11" fillId="3" borderId="16" xfId="0" applyNumberFormat="1" applyFont="1" applyFill="1" applyBorder="1" applyAlignment="1" applyProtection="1">
      <alignment horizontal="center"/>
      <protection hidden="1"/>
    </xf>
    <xf numFmtId="166" fontId="10" fillId="28" borderId="1" xfId="0" applyNumberFormat="1" applyFont="1" applyFill="1" applyBorder="1" applyAlignment="1" applyProtection="1">
      <alignment horizontal="center"/>
      <protection hidden="1"/>
    </xf>
    <xf numFmtId="1" fontId="71" fillId="3" borderId="5" xfId="0" applyNumberFormat="1" applyFont="1" applyFill="1" applyBorder="1" applyAlignment="1" applyProtection="1">
      <alignment horizontal="center" vertical="center"/>
      <protection hidden="1"/>
    </xf>
    <xf numFmtId="1" fontId="71" fillId="3" borderId="0" xfId="0" applyNumberFormat="1" applyFont="1" applyFill="1" applyAlignment="1" applyProtection="1">
      <alignment horizontal="center" vertical="center"/>
      <protection hidden="1"/>
    </xf>
    <xf numFmtId="4" fontId="15" fillId="3" borderId="6" xfId="0" applyNumberFormat="1" applyFont="1" applyFill="1" applyBorder="1" applyAlignment="1" applyProtection="1">
      <alignment horizontal="center" vertical="center"/>
      <protection hidden="1"/>
    </xf>
    <xf numFmtId="4" fontId="15" fillId="3" borderId="10" xfId="0" applyNumberFormat="1" applyFont="1" applyFill="1" applyBorder="1" applyAlignment="1" applyProtection="1">
      <alignment horizontal="center" vertical="center"/>
      <protection hidden="1"/>
    </xf>
    <xf numFmtId="0" fontId="0" fillId="0" borderId="14"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4" xfId="0" applyBorder="1" applyAlignment="1">
      <alignment horizontal="center" vertical="center" wrapText="1"/>
    </xf>
    <xf numFmtId="0" fontId="5" fillId="0" borderId="9"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1" xfId="0" applyBorder="1" applyAlignment="1">
      <alignment horizontal="center" vertical="center" wrapText="1"/>
    </xf>
    <xf numFmtId="0" fontId="10" fillId="15" borderId="0" xfId="0" applyFont="1" applyFill="1" applyAlignment="1">
      <alignment horizontal="center"/>
    </xf>
    <xf numFmtId="0" fontId="29" fillId="9" borderId="0" xfId="0" applyFont="1" applyFill="1" applyAlignment="1" applyProtection="1">
      <alignment horizontal="center" vertical="center"/>
      <protection hidden="1"/>
    </xf>
    <xf numFmtId="0" fontId="0" fillId="0" borderId="0" xfId="0" applyAlignment="1">
      <alignment vertical="center"/>
    </xf>
    <xf numFmtId="37" fontId="123" fillId="3" borderId="30" xfId="0" applyNumberFormat="1" applyFont="1" applyFill="1" applyBorder="1" applyProtection="1">
      <protection hidden="1"/>
    </xf>
    <xf numFmtId="0" fontId="126" fillId="0" borderId="8" xfId="0" applyFont="1" applyBorder="1" applyProtection="1">
      <protection hidden="1"/>
    </xf>
    <xf numFmtId="0" fontId="0" fillId="0" borderId="8" xfId="0" applyBorder="1" applyAlignment="1" applyProtection="1">
      <alignment horizontal="right"/>
      <protection hidden="1"/>
    </xf>
    <xf numFmtId="37" fontId="0" fillId="25" borderId="1" xfId="0" applyNumberFormat="1" applyFill="1" applyBorder="1" applyAlignment="1" applyProtection="1">
      <alignment horizontal="right"/>
      <protection hidden="1"/>
    </xf>
    <xf numFmtId="37" fontId="0" fillId="0" borderId="1" xfId="0" applyNumberFormat="1" applyBorder="1" applyAlignment="1">
      <alignment horizontal="right"/>
    </xf>
    <xf numFmtId="0" fontId="234" fillId="29" borderId="8" xfId="0" applyFont="1" applyFill="1" applyBorder="1" applyAlignment="1" applyProtection="1">
      <alignment horizontal="center" vertical="top" wrapText="1"/>
      <protection hidden="1"/>
    </xf>
    <xf numFmtId="0" fontId="234" fillId="29" borderId="0" xfId="0" applyFont="1" applyFill="1" applyAlignment="1" applyProtection="1">
      <alignment horizontal="center" vertical="top" wrapText="1"/>
      <protection hidden="1"/>
    </xf>
    <xf numFmtId="0" fontId="206" fillId="5" borderId="0" xfId="0" applyFont="1" applyFill="1" applyAlignment="1" applyProtection="1">
      <alignment horizontal="center" vertical="center" wrapText="1"/>
      <protection hidden="1"/>
    </xf>
    <xf numFmtId="0" fontId="144" fillId="0" borderId="0" xfId="0" applyFont="1" applyAlignment="1">
      <alignment vertical="center" wrapText="1"/>
    </xf>
    <xf numFmtId="0" fontId="74" fillId="3" borderId="3" xfId="0" applyFont="1" applyFill="1" applyBorder="1" applyAlignment="1" applyProtection="1">
      <alignment horizontal="center" vertical="center"/>
      <protection hidden="1"/>
    </xf>
    <xf numFmtId="0" fontId="85"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206" fillId="5" borderId="0" xfId="0" applyFont="1" applyFill="1" applyAlignment="1" applyProtection="1">
      <alignment horizontal="center" vertical="top"/>
      <protection hidden="1"/>
    </xf>
    <xf numFmtId="0" fontId="168" fillId="0" borderId="0" xfId="0" applyFont="1" applyAlignment="1" applyProtection="1">
      <alignment horizontal="left" vertical="center" wrapText="1"/>
      <protection hidden="1"/>
    </xf>
    <xf numFmtId="0" fontId="168" fillId="0" borderId="0" xfId="0" applyFont="1" applyAlignment="1" applyProtection="1">
      <alignment horizontal="left" vertical="top" wrapText="1"/>
      <protection hidden="1"/>
    </xf>
    <xf numFmtId="0" fontId="14" fillId="15" borderId="0" xfId="0" applyFont="1" applyFill="1" applyAlignment="1" applyProtection="1">
      <alignment horizontal="center"/>
      <protection hidden="1"/>
    </xf>
    <xf numFmtId="49" fontId="5" fillId="15" borderId="154" xfId="0" applyNumberFormat="1" applyFont="1" applyFill="1" applyBorder="1" applyAlignment="1" applyProtection="1">
      <alignment horizontal="center" vertical="top" wrapText="1"/>
      <protection locked="0"/>
    </xf>
    <xf numFmtId="0" fontId="14" fillId="15" borderId="69" xfId="0" applyFont="1" applyFill="1" applyBorder="1" applyAlignment="1" applyProtection="1">
      <alignment horizontal="center" vertical="center"/>
      <protection hidden="1"/>
    </xf>
    <xf numFmtId="0" fontId="14" fillId="15" borderId="70" xfId="0" applyFont="1" applyFill="1" applyBorder="1" applyAlignment="1">
      <alignment horizontal="center" vertical="center"/>
    </xf>
    <xf numFmtId="37" fontId="3" fillId="16" borderId="28" xfId="0" applyNumberFormat="1" applyFont="1" applyFill="1" applyBorder="1" applyAlignment="1" applyProtection="1">
      <alignment horizontal="right" indent="1"/>
      <protection locked="0"/>
    </xf>
    <xf numFmtId="0" fontId="0" fillId="0" borderId="28" xfId="0" applyBorder="1" applyAlignment="1" applyProtection="1">
      <alignment horizontal="right" indent="1"/>
      <protection locked="0"/>
    </xf>
    <xf numFmtId="0" fontId="14" fillId="15" borderId="1" xfId="0" applyFont="1" applyFill="1" applyBorder="1" applyAlignment="1" applyProtection="1">
      <alignment horizontal="center"/>
      <protection hidden="1"/>
    </xf>
    <xf numFmtId="37" fontId="3" fillId="27" borderId="39" xfId="0" applyNumberFormat="1" applyFont="1" applyFill="1" applyBorder="1" applyAlignment="1" applyProtection="1">
      <alignment horizontal="right" indent="1"/>
      <protection hidden="1"/>
    </xf>
    <xf numFmtId="0" fontId="3" fillId="0" borderId="25" xfId="0" applyFont="1" applyBorder="1" applyAlignment="1" applyProtection="1">
      <alignment horizontal="right" indent="1"/>
      <protection hidden="1"/>
    </xf>
    <xf numFmtId="0" fontId="3" fillId="0" borderId="54" xfId="0" applyFont="1" applyBorder="1" applyAlignment="1" applyProtection="1">
      <alignment horizontal="right" indent="1"/>
      <protection hidden="1"/>
    </xf>
    <xf numFmtId="37" fontId="3" fillId="27" borderId="39" xfId="0" applyNumberFormat="1" applyFont="1" applyFill="1" applyBorder="1" applyAlignment="1" applyProtection="1">
      <alignment horizontal="right" wrapText="1" indent="1"/>
      <protection hidden="1"/>
    </xf>
    <xf numFmtId="37" fontId="3" fillId="27" borderId="25" xfId="0" applyNumberFormat="1" applyFont="1" applyFill="1" applyBorder="1" applyAlignment="1" applyProtection="1">
      <alignment horizontal="right" wrapText="1" indent="1"/>
      <protection hidden="1"/>
    </xf>
    <xf numFmtId="37" fontId="3" fillId="27" borderId="68" xfId="0" applyNumberFormat="1" applyFont="1" applyFill="1" applyBorder="1" applyAlignment="1" applyProtection="1">
      <alignment horizontal="right" wrapText="1" indent="1"/>
      <protection hidden="1"/>
    </xf>
    <xf numFmtId="0" fontId="14" fillId="15" borderId="30" xfId="0" applyFont="1" applyFill="1" applyBorder="1" applyAlignment="1" applyProtection="1">
      <alignment horizontal="center" vertical="center"/>
      <protection hidden="1"/>
    </xf>
    <xf numFmtId="0" fontId="14" fillId="15" borderId="14" xfId="0" applyFont="1" applyFill="1" applyBorder="1" applyAlignment="1" applyProtection="1">
      <alignment horizontal="center" vertical="center"/>
      <protection hidden="1"/>
    </xf>
    <xf numFmtId="0" fontId="14" fillId="15" borderId="178" xfId="0" applyFont="1" applyFill="1" applyBorder="1" applyAlignment="1" applyProtection="1">
      <alignment horizontal="center" vertical="center"/>
      <protection hidden="1"/>
    </xf>
    <xf numFmtId="0" fontId="14" fillId="15" borderId="179" xfId="0" applyFont="1" applyFill="1" applyBorder="1" applyAlignment="1" applyProtection="1">
      <alignment horizontal="center" vertical="center"/>
      <protection hidden="1"/>
    </xf>
    <xf numFmtId="0" fontId="7" fillId="15" borderId="8" xfId="0" applyFont="1" applyFill="1" applyBorder="1" applyAlignment="1">
      <alignment horizontal="center" vertical="center" wrapText="1"/>
    </xf>
    <xf numFmtId="0" fontId="0" fillId="15" borderId="8" xfId="0" applyFill="1" applyBorder="1" applyAlignment="1">
      <alignment horizontal="center" vertical="center" wrapText="1"/>
    </xf>
    <xf numFmtId="0" fontId="0" fillId="15" borderId="14" xfId="0" applyFill="1" applyBorder="1" applyAlignment="1">
      <alignment horizontal="center" vertical="center" wrapText="1"/>
    </xf>
    <xf numFmtId="0" fontId="0" fillId="15" borderId="0" xfId="0" applyFill="1" applyAlignment="1">
      <alignment horizontal="center" vertical="center" wrapText="1"/>
    </xf>
    <xf numFmtId="0" fontId="0" fillId="15" borderId="24"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11" xfId="0" applyFill="1" applyBorder="1" applyAlignment="1">
      <alignment horizontal="center" vertical="center" wrapText="1"/>
    </xf>
    <xf numFmtId="37" fontId="3" fillId="27" borderId="25" xfId="0" applyNumberFormat="1" applyFont="1" applyFill="1" applyBorder="1" applyProtection="1">
      <protection hidden="1"/>
    </xf>
    <xf numFmtId="0" fontId="0" fillId="0" borderId="25" xfId="0" applyBorder="1"/>
    <xf numFmtId="37" fontId="3" fillId="27" borderId="25" xfId="0" applyNumberFormat="1" applyFont="1" applyFill="1" applyBorder="1" applyAlignment="1" applyProtection="1">
      <alignment horizontal="right" indent="1"/>
      <protection hidden="1"/>
    </xf>
    <xf numFmtId="0" fontId="72" fillId="15" borderId="1" xfId="0" applyFont="1" applyFill="1" applyBorder="1" applyAlignment="1" applyProtection="1">
      <alignment horizontal="left"/>
      <protection hidden="1"/>
    </xf>
    <xf numFmtId="37" fontId="3" fillId="27" borderId="67" xfId="0" applyNumberFormat="1" applyFont="1" applyFill="1" applyBorder="1" applyAlignment="1" applyProtection="1">
      <alignment horizontal="right" wrapText="1" indent="1"/>
      <protection hidden="1"/>
    </xf>
    <xf numFmtId="37" fontId="3" fillId="27" borderId="54" xfId="0" applyNumberFormat="1" applyFont="1" applyFill="1" applyBorder="1" applyAlignment="1" applyProtection="1">
      <alignment horizontal="right" wrapText="1" indent="1"/>
      <protection hidden="1"/>
    </xf>
    <xf numFmtId="37" fontId="3" fillId="16" borderId="39" xfId="0" applyNumberFormat="1" applyFont="1" applyFill="1" applyBorder="1" applyAlignment="1" applyProtection="1">
      <alignment horizontal="center" wrapText="1"/>
      <protection locked="0"/>
    </xf>
    <xf numFmtId="37" fontId="3" fillId="16" borderId="25" xfId="0" applyNumberFormat="1" applyFont="1" applyFill="1" applyBorder="1" applyAlignment="1" applyProtection="1">
      <alignment horizontal="center" wrapText="1"/>
      <protection locked="0"/>
    </xf>
    <xf numFmtId="0" fontId="3" fillId="16" borderId="39" xfId="0" applyFont="1" applyFill="1" applyBorder="1" applyAlignment="1" applyProtection="1">
      <alignment horizontal="center"/>
      <protection locked="0"/>
    </xf>
    <xf numFmtId="0" fontId="3" fillId="16" borderId="25" xfId="0" applyFont="1" applyFill="1" applyBorder="1" applyAlignment="1" applyProtection="1">
      <alignment horizontal="center"/>
      <protection locked="0"/>
    </xf>
    <xf numFmtId="0" fontId="3" fillId="16" borderId="54" xfId="0" applyFont="1" applyFill="1" applyBorder="1" applyAlignment="1" applyProtection="1">
      <alignment horizontal="center"/>
      <protection locked="0"/>
    </xf>
    <xf numFmtId="39" fontId="5" fillId="16" borderId="12" xfId="0" applyNumberFormat="1" applyFont="1" applyFill="1" applyBorder="1" applyAlignment="1" applyProtection="1">
      <alignment horizontal="right" wrapText="1" indent="1"/>
      <protection locked="0"/>
    </xf>
    <xf numFmtId="0" fontId="14" fillId="15" borderId="8" xfId="0" applyFont="1" applyFill="1" applyBorder="1" applyAlignment="1" applyProtection="1">
      <alignment horizontal="center"/>
      <protection hidden="1"/>
    </xf>
    <xf numFmtId="0" fontId="46" fillId="0" borderId="39" xfId="0" applyFont="1" applyBorder="1" applyAlignment="1" applyProtection="1">
      <alignment horizontal="center" vertical="center"/>
      <protection hidden="1"/>
    </xf>
    <xf numFmtId="0" fontId="0" fillId="0" borderId="54" xfId="0" applyBorder="1" applyAlignment="1">
      <alignment horizontal="center" vertical="center"/>
    </xf>
    <xf numFmtId="0" fontId="14" fillId="15" borderId="0" xfId="0" applyFont="1" applyFill="1" applyAlignment="1">
      <alignment horizontal="center"/>
    </xf>
    <xf numFmtId="37" fontId="3" fillId="27" borderId="8" xfId="0" applyNumberFormat="1" applyFont="1" applyFill="1" applyBorder="1" applyAlignment="1">
      <alignment horizontal="right"/>
    </xf>
    <xf numFmtId="37" fontId="14" fillId="27" borderId="1"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37" fontId="14" fillId="27" borderId="25" xfId="0" applyNumberFormat="1" applyFont="1" applyFill="1" applyBorder="1" applyAlignment="1" applyProtection="1">
      <alignment horizontal="right" vertical="center"/>
      <protection hidden="1"/>
    </xf>
    <xf numFmtId="0" fontId="0" fillId="0" borderId="25" xfId="0" applyBorder="1" applyAlignment="1">
      <alignment horizontal="right" vertical="center"/>
    </xf>
    <xf numFmtId="0" fontId="7" fillId="15" borderId="30" xfId="0" applyFont="1" applyFill="1" applyBorder="1" applyAlignment="1" applyProtection="1">
      <alignment horizontal="center" vertical="center" wrapText="1"/>
      <protection hidden="1"/>
    </xf>
    <xf numFmtId="0" fontId="7" fillId="0" borderId="8"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9" xfId="0" applyFont="1" applyBorder="1" applyAlignment="1">
      <alignment horizontal="center" vertical="center" wrapText="1"/>
    </xf>
    <xf numFmtId="0" fontId="7" fillId="0" borderId="1" xfId="0" applyFont="1" applyBorder="1" applyAlignment="1">
      <alignment horizontal="center" vertical="center" wrapText="1"/>
    </xf>
    <xf numFmtId="0" fontId="14" fillId="15" borderId="67" xfId="0" applyFont="1" applyFill="1" applyBorder="1" applyAlignment="1" applyProtection="1">
      <alignment horizontal="center"/>
      <protection hidden="1"/>
    </xf>
    <xf numFmtId="0" fontId="14" fillId="0" borderId="25" xfId="0" applyFont="1" applyBorder="1" applyAlignment="1">
      <alignment horizontal="center"/>
    </xf>
    <xf numFmtId="166" fontId="10" fillId="16" borderId="1" xfId="0" applyNumberFormat="1" applyFont="1" applyFill="1" applyBorder="1" applyAlignment="1" applyProtection="1">
      <alignment horizontal="center"/>
      <protection locked="0"/>
    </xf>
    <xf numFmtId="0" fontId="10" fillId="16" borderId="1" xfId="0" applyFont="1" applyFill="1" applyBorder="1" applyProtection="1">
      <protection locked="0"/>
    </xf>
    <xf numFmtId="0" fontId="10" fillId="16" borderId="11" xfId="0" applyFont="1" applyFill="1" applyBorder="1" applyProtection="1">
      <protection locked="0"/>
    </xf>
    <xf numFmtId="0" fontId="224" fillId="31" borderId="25" xfId="0" applyFont="1" applyFill="1" applyBorder="1" applyAlignment="1" applyProtection="1">
      <alignment horizontal="center"/>
      <protection hidden="1"/>
    </xf>
    <xf numFmtId="0" fontId="225" fillId="31" borderId="25" xfId="0" applyFont="1" applyFill="1" applyBorder="1" applyAlignment="1" applyProtection="1">
      <alignment horizontal="center"/>
      <protection hidden="1"/>
    </xf>
    <xf numFmtId="37" fontId="3" fillId="27" borderId="39" xfId="0" applyNumberFormat="1" applyFont="1" applyFill="1" applyBorder="1" applyAlignment="1" applyProtection="1">
      <alignment horizontal="right" indent="2"/>
      <protection hidden="1"/>
    </xf>
    <xf numFmtId="37" fontId="3" fillId="27" borderId="25" xfId="0" applyNumberFormat="1" applyFont="1" applyFill="1" applyBorder="1" applyAlignment="1">
      <alignment horizontal="right" indent="2"/>
    </xf>
    <xf numFmtId="39" fontId="5" fillId="16" borderId="39" xfId="0" applyNumberFormat="1" applyFont="1" applyFill="1" applyBorder="1" applyAlignment="1" applyProtection="1">
      <alignment horizontal="right" wrapText="1" indent="1"/>
      <protection locked="0"/>
    </xf>
    <xf numFmtId="39" fontId="5" fillId="16" borderId="25" xfId="0" applyNumberFormat="1" applyFont="1" applyFill="1" applyBorder="1" applyAlignment="1" applyProtection="1">
      <alignment horizontal="right" wrapText="1" indent="1"/>
      <protection locked="0"/>
    </xf>
    <xf numFmtId="0" fontId="10" fillId="15" borderId="0" xfId="0" applyFont="1" applyFill="1" applyAlignment="1" applyProtection="1">
      <alignment horizontal="center"/>
      <protection hidden="1"/>
    </xf>
    <xf numFmtId="0" fontId="3" fillId="16" borderId="39" xfId="0" applyFont="1" applyFill="1" applyBorder="1" applyProtection="1">
      <protection locked="0"/>
    </xf>
    <xf numFmtId="0" fontId="3" fillId="16" borderId="25" xfId="0" applyFont="1" applyFill="1" applyBorder="1" applyProtection="1">
      <protection locked="0"/>
    </xf>
    <xf numFmtId="0" fontId="3" fillId="16" borderId="54" xfId="0" applyFont="1" applyFill="1" applyBorder="1" applyProtection="1">
      <protection locked="0"/>
    </xf>
    <xf numFmtId="0" fontId="3" fillId="16" borderId="25" xfId="0" applyFont="1" applyFill="1" applyBorder="1" applyAlignment="1" applyProtection="1">
      <alignment horizontal="center" vertical="center"/>
      <protection locked="0"/>
    </xf>
    <xf numFmtId="0" fontId="3" fillId="16" borderId="54" xfId="0" applyFont="1" applyFill="1" applyBorder="1" applyAlignment="1" applyProtection="1">
      <alignment horizontal="center" vertical="center"/>
      <protection locked="0"/>
    </xf>
    <xf numFmtId="0" fontId="9" fillId="15" borderId="30" xfId="0" applyFont="1" applyFill="1" applyBorder="1" applyAlignment="1" applyProtection="1">
      <alignment horizontal="center" vertical="center" wrapText="1"/>
      <protection hidden="1"/>
    </xf>
    <xf numFmtId="0" fontId="9" fillId="0" borderId="8"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3" xfId="0" applyFont="1" applyBorder="1" applyAlignment="1">
      <alignment horizontal="center" vertical="center" wrapText="1"/>
    </xf>
    <xf numFmtId="0" fontId="9" fillId="0" borderId="0" xfId="0" applyFont="1" applyAlignment="1">
      <alignment horizontal="center" vertical="center" wrapText="1"/>
    </xf>
    <xf numFmtId="0" fontId="9" fillId="0" borderId="2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1" xfId="0" applyFont="1" applyBorder="1" applyAlignment="1">
      <alignment horizontal="center" vertical="center" wrapText="1"/>
    </xf>
    <xf numFmtId="0" fontId="73" fillId="0" borderId="0" xfId="0" applyFont="1" applyAlignment="1">
      <alignment horizontal="left" vertical="center" wrapText="1"/>
    </xf>
    <xf numFmtId="0" fontId="73" fillId="0" borderId="20" xfId="0" applyFont="1" applyBorder="1" applyAlignment="1">
      <alignment horizontal="left" vertical="center" wrapText="1"/>
    </xf>
    <xf numFmtId="39" fontId="5" fillId="16" borderId="39" xfId="0" applyNumberFormat="1" applyFont="1" applyFill="1" applyBorder="1" applyProtection="1">
      <protection locked="0"/>
    </xf>
    <xf numFmtId="39" fontId="5" fillId="16" borderId="25" xfId="0" applyNumberFormat="1" applyFont="1" applyFill="1" applyBorder="1" applyProtection="1">
      <protection locked="0"/>
    </xf>
    <xf numFmtId="39" fontId="5" fillId="16" borderId="54" xfId="0" applyNumberFormat="1" applyFont="1" applyFill="1" applyBorder="1" applyProtection="1">
      <protection locked="0"/>
    </xf>
    <xf numFmtId="0" fontId="5" fillId="15" borderId="30" xfId="0" applyFont="1" applyFill="1" applyBorder="1" applyAlignment="1" applyProtection="1">
      <alignment horizontal="center" vertical="center" wrapText="1"/>
      <protection hidden="1"/>
    </xf>
    <xf numFmtId="0" fontId="0" fillId="0" borderId="8"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1" xfId="0" applyBorder="1" applyAlignment="1">
      <alignment horizontal="center" vertical="center" wrapText="1"/>
    </xf>
    <xf numFmtId="37" fontId="9" fillId="15" borderId="30" xfId="0" applyNumberFormat="1" applyFont="1" applyFill="1" applyBorder="1" applyAlignment="1" applyProtection="1">
      <alignment horizontal="center" vertical="center"/>
      <protection hidden="1"/>
    </xf>
    <xf numFmtId="0" fontId="9" fillId="0" borderId="8" xfId="0" applyFont="1" applyBorder="1" applyAlignment="1">
      <alignment horizontal="center" vertical="center"/>
    </xf>
    <xf numFmtId="0" fontId="10" fillId="15" borderId="52" xfId="0" applyFont="1" applyFill="1" applyBorder="1" applyAlignment="1" applyProtection="1">
      <alignment horizontal="center"/>
      <protection hidden="1"/>
    </xf>
    <xf numFmtId="0" fontId="0" fillId="0" borderId="73" xfId="0" applyBorder="1" applyAlignment="1">
      <alignment horizontal="center"/>
    </xf>
    <xf numFmtId="0" fontId="10" fillId="15" borderId="9" xfId="0" applyFont="1" applyFill="1" applyBorder="1" applyAlignment="1" applyProtection="1">
      <alignment horizontal="center"/>
      <protection hidden="1"/>
    </xf>
    <xf numFmtId="0" fontId="0" fillId="0" borderId="11" xfId="0" applyBorder="1" applyAlignment="1">
      <alignment horizontal="center"/>
    </xf>
    <xf numFmtId="39" fontId="5" fillId="16" borderId="54" xfId="0" applyNumberFormat="1" applyFont="1" applyFill="1" applyBorder="1" applyAlignment="1" applyProtection="1">
      <alignment horizontal="right" wrapText="1" indent="1"/>
      <protection locked="0"/>
    </xf>
    <xf numFmtId="0" fontId="14" fillId="16" borderId="25" xfId="0" applyFont="1" applyFill="1" applyBorder="1" applyAlignment="1" applyProtection="1">
      <alignment horizontal="left"/>
      <protection locked="0"/>
    </xf>
    <xf numFmtId="0" fontId="3" fillId="16" borderId="25" xfId="0" applyFont="1" applyFill="1" applyBorder="1" applyAlignment="1" applyProtection="1">
      <alignment horizontal="left"/>
      <protection locked="0"/>
    </xf>
    <xf numFmtId="0" fontId="3" fillId="16" borderId="54" xfId="0" applyFont="1" applyFill="1" applyBorder="1" applyAlignment="1" applyProtection="1">
      <alignment horizontal="left"/>
      <protection locked="0"/>
    </xf>
    <xf numFmtId="0" fontId="10" fillId="15" borderId="39" xfId="0" applyFont="1" applyFill="1" applyBorder="1" applyAlignment="1" applyProtection="1">
      <alignment horizontal="center"/>
      <protection hidden="1"/>
    </xf>
    <xf numFmtId="0" fontId="0" fillId="0" borderId="54" xfId="0" applyBorder="1" applyAlignment="1">
      <alignment horizontal="center"/>
    </xf>
    <xf numFmtId="0" fontId="7" fillId="15" borderId="15" xfId="0" applyFont="1" applyFill="1" applyBorder="1" applyAlignment="1" applyProtection="1">
      <alignment horizontal="center" vertical="center" wrapText="1"/>
      <protection hidden="1"/>
    </xf>
    <xf numFmtId="0" fontId="7" fillId="0" borderId="1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0" xfId="0" applyFont="1" applyBorder="1" applyAlignment="1">
      <alignment horizontal="center" vertical="center" wrapText="1"/>
    </xf>
    <xf numFmtId="39" fontId="5" fillId="16" borderId="68" xfId="0" applyNumberFormat="1" applyFont="1" applyFill="1" applyBorder="1" applyAlignment="1" applyProtection="1">
      <alignment horizontal="right" wrapText="1" indent="1"/>
      <protection locked="0"/>
    </xf>
    <xf numFmtId="0" fontId="14" fillId="15" borderId="0" xfId="0" applyFont="1" applyFill="1" applyAlignment="1" applyProtection="1">
      <alignment horizontal="right" indent="1"/>
      <protection hidden="1"/>
    </xf>
    <xf numFmtId="37" fontId="3" fillId="16" borderId="39" xfId="0" applyNumberFormat="1" applyFont="1" applyFill="1" applyBorder="1" applyAlignment="1" applyProtection="1">
      <alignment horizontal="left" wrapText="1" indent="1"/>
      <protection locked="0"/>
    </xf>
    <xf numFmtId="37" fontId="3" fillId="16" borderId="25" xfId="0" applyNumberFormat="1" applyFont="1" applyFill="1" applyBorder="1" applyAlignment="1" applyProtection="1">
      <alignment horizontal="left" wrapText="1" indent="1"/>
      <protection locked="0"/>
    </xf>
    <xf numFmtId="0" fontId="0" fillId="0" borderId="25" xfId="0" applyBorder="1" applyAlignment="1" applyProtection="1">
      <alignment horizontal="left" wrapText="1" indent="1"/>
      <protection locked="0"/>
    </xf>
    <xf numFmtId="0" fontId="0" fillId="0" borderId="54" xfId="0" applyBorder="1" applyAlignment="1" applyProtection="1">
      <alignment horizontal="left" wrapText="1" indent="1"/>
      <protection locked="0"/>
    </xf>
    <xf numFmtId="0" fontId="224" fillId="31" borderId="1" xfId="0" applyFont="1" applyFill="1" applyBorder="1" applyAlignment="1" applyProtection="1">
      <alignment horizontal="center"/>
      <protection hidden="1"/>
    </xf>
    <xf numFmtId="0" fontId="225" fillId="31" borderId="1" xfId="0" applyFont="1" applyFill="1" applyBorder="1" applyAlignment="1" applyProtection="1">
      <alignment horizontal="center"/>
      <protection hidden="1"/>
    </xf>
    <xf numFmtId="0" fontId="7" fillId="0" borderId="8" xfId="0" applyFont="1" applyBorder="1" applyAlignment="1">
      <alignment horizontal="center" vertical="center"/>
    </xf>
    <xf numFmtId="0" fontId="7" fillId="0" borderId="3" xfId="0" applyFont="1" applyBorder="1" applyAlignment="1">
      <alignment horizontal="center" vertical="center"/>
    </xf>
    <xf numFmtId="0" fontId="7" fillId="0" borderId="9" xfId="0" applyFont="1" applyBorder="1" applyAlignment="1">
      <alignment horizontal="center" vertical="center"/>
    </xf>
    <xf numFmtId="39" fontId="5" fillId="16" borderId="39" xfId="0" applyNumberFormat="1" applyFont="1" applyFill="1" applyBorder="1" applyAlignment="1" applyProtection="1">
      <alignment horizontal="right" indent="1"/>
      <protection locked="0"/>
    </xf>
    <xf numFmtId="39" fontId="5" fillId="16" borderId="25" xfId="0" applyNumberFormat="1" applyFont="1" applyFill="1" applyBorder="1" applyAlignment="1" applyProtection="1">
      <alignment horizontal="right" indent="1"/>
      <protection locked="0"/>
    </xf>
    <xf numFmtId="39" fontId="5" fillId="16" borderId="68" xfId="0" applyNumberFormat="1" applyFont="1" applyFill="1" applyBorder="1" applyAlignment="1" applyProtection="1">
      <alignment horizontal="right" indent="1"/>
      <protection locked="0"/>
    </xf>
    <xf numFmtId="39" fontId="5" fillId="16" borderId="46" xfId="0" applyNumberFormat="1" applyFont="1" applyFill="1" applyBorder="1" applyAlignment="1" applyProtection="1">
      <alignment horizontal="right" indent="1"/>
      <protection locked="0"/>
    </xf>
    <xf numFmtId="39" fontId="5" fillId="16" borderId="12" xfId="0" applyNumberFormat="1" applyFont="1" applyFill="1" applyBorder="1" applyAlignment="1" applyProtection="1">
      <alignment horizontal="right" indent="1"/>
      <protection locked="0"/>
    </xf>
    <xf numFmtId="0" fontId="14" fillId="15" borderId="25" xfId="0" applyFont="1" applyFill="1" applyBorder="1" applyAlignment="1" applyProtection="1">
      <alignment horizontal="center"/>
      <protection hidden="1"/>
    </xf>
    <xf numFmtId="0" fontId="0" fillId="0" borderId="68" xfId="0" applyBorder="1" applyAlignment="1">
      <alignment horizontal="center"/>
    </xf>
    <xf numFmtId="0" fontId="5" fillId="15" borderId="8" xfId="0" applyFont="1" applyFill="1" applyBorder="1" applyAlignment="1" applyProtection="1">
      <alignment horizontal="center" vertical="center" wrapText="1"/>
      <protection hidden="1"/>
    </xf>
    <xf numFmtId="0" fontId="0" fillId="0" borderId="14" xfId="0" applyBorder="1" applyAlignment="1">
      <alignment horizontal="center" vertical="center"/>
    </xf>
    <xf numFmtId="0" fontId="0" fillId="0" borderId="24" xfId="0" applyBorder="1" applyAlignment="1">
      <alignment horizontal="center" vertical="center"/>
    </xf>
    <xf numFmtId="0" fontId="0" fillId="0" borderId="11" xfId="0" applyBorder="1" applyAlignment="1">
      <alignment horizontal="center" vertical="center"/>
    </xf>
    <xf numFmtId="0" fontId="5" fillId="15" borderId="80" xfId="0" applyFont="1" applyFill="1" applyBorder="1" applyAlignment="1" applyProtection="1">
      <alignment horizontal="center" vertical="center" wrapText="1"/>
      <protection hidden="1"/>
    </xf>
    <xf numFmtId="0" fontId="0" fillId="0" borderId="26" xfId="0" applyBorder="1" applyAlignment="1">
      <alignment horizontal="center" vertical="center"/>
    </xf>
    <xf numFmtId="37" fontId="3" fillId="19" borderId="12" xfId="0" applyNumberFormat="1" applyFont="1" applyFill="1" applyBorder="1" applyAlignment="1" applyProtection="1">
      <alignment horizontal="right" indent="1"/>
      <protection hidden="1"/>
    </xf>
    <xf numFmtId="37" fontId="3" fillId="19" borderId="39" xfId="0" applyNumberFormat="1" applyFont="1" applyFill="1" applyBorder="1" applyAlignment="1" applyProtection="1">
      <alignment horizontal="right" indent="1"/>
      <protection hidden="1"/>
    </xf>
    <xf numFmtId="37" fontId="3" fillId="27" borderId="25" xfId="0" applyNumberFormat="1" applyFont="1" applyFill="1" applyBorder="1" applyAlignment="1">
      <alignment horizontal="right" indent="1"/>
    </xf>
    <xf numFmtId="37" fontId="3" fillId="27" borderId="54" xfId="0" applyNumberFormat="1" applyFont="1" applyFill="1" applyBorder="1" applyAlignment="1">
      <alignment horizontal="right" indent="1"/>
    </xf>
    <xf numFmtId="37" fontId="3" fillId="27" borderId="12" xfId="0" applyNumberFormat="1" applyFont="1" applyFill="1" applyBorder="1" applyAlignment="1" applyProtection="1">
      <alignment horizontal="right" wrapText="1" indent="1"/>
      <protection hidden="1"/>
    </xf>
    <xf numFmtId="0" fontId="14" fillId="0" borderId="8" xfId="0" applyFont="1" applyBorder="1" applyAlignment="1">
      <alignment horizontal="center"/>
    </xf>
    <xf numFmtId="37" fontId="3" fillId="19" borderId="67" xfId="0" applyNumberFormat="1" applyFont="1" applyFill="1" applyBorder="1" applyAlignment="1" applyProtection="1">
      <alignment horizontal="right" wrapText="1" indent="1"/>
      <protection locked="0"/>
    </xf>
    <xf numFmtId="37" fontId="3" fillId="19" borderId="25" xfId="0" applyNumberFormat="1" applyFont="1" applyFill="1" applyBorder="1" applyAlignment="1" applyProtection="1">
      <alignment horizontal="right" wrapText="1" indent="1"/>
      <protection locked="0"/>
    </xf>
    <xf numFmtId="37" fontId="3" fillId="19" borderId="39" xfId="0" applyNumberFormat="1" applyFont="1" applyFill="1" applyBorder="1" applyAlignment="1" applyProtection="1">
      <alignment horizontal="right" wrapText="1" indent="1"/>
      <protection hidden="1"/>
    </xf>
    <xf numFmtId="37" fontId="3" fillId="19" borderId="25" xfId="0" applyNumberFormat="1" applyFont="1" applyFill="1" applyBorder="1" applyAlignment="1" applyProtection="1">
      <alignment horizontal="right" wrapText="1" indent="1"/>
      <protection hidden="1"/>
    </xf>
    <xf numFmtId="37" fontId="3" fillId="19" borderId="68" xfId="0" applyNumberFormat="1" applyFont="1" applyFill="1" applyBorder="1" applyAlignment="1" applyProtection="1">
      <alignment horizontal="right" wrapText="1" indent="1"/>
      <protection hidden="1"/>
    </xf>
    <xf numFmtId="0" fontId="7" fillId="15" borderId="8" xfId="0" applyFont="1" applyFill="1" applyBorder="1" applyAlignment="1" applyProtection="1">
      <alignment horizontal="center" vertical="center" wrapText="1"/>
      <protection hidden="1"/>
    </xf>
    <xf numFmtId="0" fontId="7" fillId="0" borderId="14"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11" xfId="0" applyFont="1" applyBorder="1" applyAlignment="1">
      <alignment horizontal="center" vertical="center" wrapText="1"/>
    </xf>
    <xf numFmtId="0" fontId="7" fillId="15" borderId="80" xfId="0" applyFont="1" applyFill="1" applyBorder="1" applyAlignment="1" applyProtection="1">
      <alignment horizontal="center" vertical="center" wrapText="1"/>
      <protection hidden="1"/>
    </xf>
    <xf numFmtId="0" fontId="7" fillId="0" borderId="5" xfId="0" applyFont="1" applyBorder="1" applyAlignment="1">
      <alignment horizontal="center" vertical="center" wrapText="1"/>
    </xf>
    <xf numFmtId="0" fontId="7" fillId="0" borderId="26" xfId="0" applyFont="1" applyBorder="1" applyAlignment="1">
      <alignment horizontal="center" vertical="center" wrapText="1"/>
    </xf>
    <xf numFmtId="0" fontId="13" fillId="15" borderId="0" xfId="0" applyFont="1" applyFill="1" applyAlignment="1" applyProtection="1">
      <alignment horizontal="center" vertical="center" wrapText="1"/>
      <protection hidden="1"/>
    </xf>
    <xf numFmtId="0" fontId="10" fillId="15" borderId="39" xfId="0" applyFont="1" applyFill="1" applyBorder="1" applyAlignment="1" applyProtection="1">
      <alignment horizontal="center" vertical="center"/>
      <protection hidden="1"/>
    </xf>
    <xf numFmtId="0" fontId="10" fillId="0" borderId="54" xfId="0" applyFont="1" applyBorder="1" applyAlignment="1">
      <alignment horizontal="center" vertical="center"/>
    </xf>
    <xf numFmtId="37" fontId="14" fillId="27" borderId="39" xfId="0" applyNumberFormat="1" applyFont="1" applyFill="1" applyBorder="1" applyAlignment="1" applyProtection="1">
      <alignment horizontal="right" vertical="center" indent="2"/>
      <protection hidden="1"/>
    </xf>
    <xf numFmtId="37" fontId="14" fillId="27" borderId="25" xfId="0" applyNumberFormat="1" applyFont="1" applyFill="1" applyBorder="1" applyAlignment="1" applyProtection="1">
      <alignment horizontal="right" vertical="center" indent="2"/>
      <protection hidden="1"/>
    </xf>
    <xf numFmtId="0" fontId="10" fillId="15" borderId="9" xfId="0" applyFont="1" applyFill="1" applyBorder="1" applyAlignment="1" applyProtection="1">
      <alignment horizontal="center" vertical="center"/>
      <protection hidden="1"/>
    </xf>
    <xf numFmtId="0" fontId="10" fillId="0" borderId="11" xfId="0" applyFont="1" applyBorder="1" applyAlignment="1">
      <alignment horizontal="center" vertical="center"/>
    </xf>
    <xf numFmtId="0" fontId="10" fillId="15" borderId="69" xfId="0" applyFont="1" applyFill="1" applyBorder="1" applyAlignment="1" applyProtection="1">
      <alignment horizontal="center" vertical="center"/>
      <protection hidden="1"/>
    </xf>
    <xf numFmtId="0" fontId="10" fillId="0" borderId="70" xfId="0" applyFont="1" applyBorder="1" applyAlignment="1">
      <alignment horizontal="center" vertical="center"/>
    </xf>
    <xf numFmtId="37" fontId="14" fillId="27" borderId="69" xfId="0" applyNumberFormat="1" applyFont="1" applyFill="1" applyBorder="1" applyAlignment="1" applyProtection="1">
      <alignment horizontal="right" vertical="center" indent="2"/>
      <protection hidden="1"/>
    </xf>
    <xf numFmtId="37" fontId="14" fillId="27" borderId="4" xfId="0" applyNumberFormat="1" applyFont="1" applyFill="1" applyBorder="1" applyAlignment="1" applyProtection="1">
      <alignment horizontal="right" vertical="center" indent="2"/>
      <protection hidden="1"/>
    </xf>
    <xf numFmtId="37" fontId="169" fillId="15" borderId="8" xfId="0" applyNumberFormat="1" applyFont="1" applyFill="1" applyBorder="1" applyAlignment="1" applyProtection="1">
      <alignment horizontal="right" vertical="center"/>
      <protection hidden="1"/>
    </xf>
    <xf numFmtId="0" fontId="8" fillId="15" borderId="30" xfId="0" applyFont="1" applyFill="1" applyBorder="1" applyProtection="1">
      <protection hidden="1"/>
    </xf>
    <xf numFmtId="0" fontId="8" fillId="15" borderId="8" xfId="0" applyFont="1" applyFill="1" applyBorder="1"/>
    <xf numFmtId="0" fontId="13" fillId="15"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4" fillId="27" borderId="9"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0" fontId="10" fillId="15" borderId="3" xfId="0" applyFont="1" applyFill="1" applyBorder="1" applyAlignment="1" applyProtection="1">
      <alignment horizontal="center" vertical="center"/>
      <protection hidden="1"/>
    </xf>
    <xf numFmtId="0" fontId="10" fillId="0" borderId="24" xfId="0" applyFont="1" applyBorder="1" applyAlignment="1">
      <alignment horizontal="center" vertical="center"/>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0" fontId="10" fillId="15" borderId="30" xfId="0" applyFont="1" applyFill="1" applyBorder="1" applyAlignment="1" applyProtection="1">
      <alignment horizontal="center" vertical="center"/>
      <protection hidden="1"/>
    </xf>
    <xf numFmtId="0" fontId="10" fillId="0" borderId="14" xfId="0" applyFont="1" applyBorder="1" applyAlignment="1">
      <alignment horizontal="center" vertical="center"/>
    </xf>
    <xf numFmtId="3" fontId="14" fillId="15" borderId="30" xfId="0" applyNumberFormat="1" applyFont="1" applyFill="1" applyBorder="1" applyAlignment="1" applyProtection="1">
      <alignment horizontal="right" vertical="center"/>
      <protection hidden="1"/>
    </xf>
    <xf numFmtId="3" fontId="14" fillId="15" borderId="8"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39" fontId="46" fillId="16" borderId="1" xfId="0" applyNumberFormat="1" applyFont="1" applyFill="1" applyBorder="1" applyAlignment="1" applyProtection="1">
      <alignment horizontal="right" vertical="center"/>
      <protection locked="0"/>
    </xf>
    <xf numFmtId="39" fontId="46" fillId="16" borderId="11" xfId="0" applyNumberFormat="1" applyFont="1" applyFill="1" applyBorder="1" applyAlignment="1" applyProtection="1">
      <alignment horizontal="right" vertical="center"/>
      <protection locked="0"/>
    </xf>
    <xf numFmtId="39" fontId="46" fillId="16" borderId="9" xfId="0" applyNumberFormat="1" applyFont="1" applyFill="1" applyBorder="1" applyAlignment="1" applyProtection="1">
      <alignment horizontal="right" vertical="center"/>
      <protection locked="0"/>
    </xf>
    <xf numFmtId="37" fontId="14" fillId="27" borderId="39" xfId="0" applyNumberFormat="1" applyFont="1" applyFill="1" applyBorder="1" applyAlignment="1" applyProtection="1">
      <alignment horizontal="right" vertical="center"/>
      <protection hidden="1"/>
    </xf>
    <xf numFmtId="0" fontId="3" fillId="16" borderId="87" xfId="0" applyFont="1" applyFill="1" applyBorder="1" applyAlignment="1" applyProtection="1">
      <alignment horizontal="left" vertical="center"/>
      <protection locked="0"/>
    </xf>
    <xf numFmtId="0" fontId="14" fillId="16" borderId="39" xfId="0" applyFont="1" applyFill="1" applyBorder="1" applyAlignment="1" applyProtection="1">
      <alignment horizontal="center"/>
      <protection locked="0"/>
    </xf>
    <xf numFmtId="0" fontId="46" fillId="0" borderId="25" xfId="0" applyFont="1" applyBorder="1" applyAlignment="1" applyProtection="1">
      <alignment horizontal="center"/>
      <protection locked="0"/>
    </xf>
    <xf numFmtId="0" fontId="46" fillId="0" borderId="54" xfId="0" applyFont="1" applyBorder="1" applyAlignment="1" applyProtection="1">
      <alignment horizontal="center"/>
      <protection locked="0"/>
    </xf>
    <xf numFmtId="0" fontId="3" fillId="15" borderId="39" xfId="0" applyFont="1" applyFill="1" applyBorder="1" applyAlignment="1">
      <alignment horizontal="center"/>
    </xf>
    <xf numFmtId="0" fontId="3" fillId="15" borderId="25" xfId="0" applyFont="1" applyFill="1" applyBorder="1" applyAlignment="1">
      <alignment horizontal="center"/>
    </xf>
    <xf numFmtId="0" fontId="3" fillId="15" borderId="54" xfId="0" applyFont="1" applyFill="1" applyBorder="1" applyAlignment="1">
      <alignment horizontal="center"/>
    </xf>
    <xf numFmtId="39" fontId="46" fillId="16" borderId="39" xfId="0" applyNumberFormat="1" applyFont="1" applyFill="1" applyBorder="1" applyAlignment="1" applyProtection="1">
      <alignment horizontal="right" vertical="center"/>
      <protection locked="0"/>
    </xf>
    <xf numFmtId="39" fontId="46" fillId="16" borderId="25" xfId="0" applyNumberFormat="1" applyFont="1" applyFill="1" applyBorder="1" applyAlignment="1" applyProtection="1">
      <alignment horizontal="right" vertical="center"/>
      <protection locked="0"/>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3" fillId="0" borderId="8" xfId="0" applyFont="1" applyBorder="1" applyAlignment="1">
      <alignment horizontal="center"/>
    </xf>
    <xf numFmtId="0" fontId="3" fillId="16" borderId="39" xfId="0" applyFont="1" applyFill="1" applyBorder="1" applyAlignment="1" applyProtection="1">
      <alignment horizontal="left"/>
      <protection locked="0"/>
    </xf>
    <xf numFmtId="0" fontId="5" fillId="15" borderId="8" xfId="0" applyFont="1" applyFill="1" applyBorder="1" applyAlignment="1">
      <alignment horizontal="center" vertical="center" wrapText="1"/>
    </xf>
    <xf numFmtId="0" fontId="5" fillId="15" borderId="14" xfId="0" applyFont="1" applyFill="1" applyBorder="1" applyAlignment="1">
      <alignment horizontal="center" vertical="center" wrapText="1"/>
    </xf>
    <xf numFmtId="0" fontId="5" fillId="15" borderId="1" xfId="0" applyFont="1" applyFill="1" applyBorder="1" applyAlignment="1">
      <alignment horizontal="center" vertical="center" wrapText="1"/>
    </xf>
    <xf numFmtId="0" fontId="5" fillId="15" borderId="11" xfId="0" applyFont="1" applyFill="1" applyBorder="1" applyAlignment="1">
      <alignment horizontal="center" vertical="center" wrapText="1"/>
    </xf>
    <xf numFmtId="0" fontId="3" fillId="15" borderId="30" xfId="0" applyFont="1" applyFill="1" applyBorder="1" applyAlignment="1" applyProtection="1">
      <alignment horizontal="center" vertical="center" wrapText="1"/>
      <protection hidden="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1" xfId="0" applyFont="1" applyBorder="1" applyAlignment="1">
      <alignment horizontal="center" vertical="center" wrapText="1"/>
    </xf>
    <xf numFmtId="0" fontId="13" fillId="15" borderId="1" xfId="0" applyFont="1" applyFill="1" applyBorder="1" applyAlignment="1" applyProtection="1">
      <alignment horizontal="center" vertical="center" wrapText="1"/>
      <protection hidden="1"/>
    </xf>
    <xf numFmtId="39" fontId="46" fillId="16" borderId="54" xfId="0" applyNumberFormat="1" applyFont="1" applyFill="1" applyBorder="1" applyAlignment="1" applyProtection="1">
      <alignment horizontal="right" vertical="center"/>
      <protection locked="0"/>
    </xf>
    <xf numFmtId="0" fontId="46" fillId="15" borderId="8" xfId="0" applyFont="1" applyFill="1" applyBorder="1" applyAlignment="1" applyProtection="1">
      <alignment horizontal="left" vertical="top" wrapText="1"/>
      <protection hidden="1"/>
    </xf>
    <xf numFmtId="0" fontId="46" fillId="15" borderId="0" xfId="0" applyFont="1" applyFill="1" applyAlignment="1" applyProtection="1">
      <alignment horizontal="left" vertical="top" wrapText="1"/>
      <protection hidden="1"/>
    </xf>
    <xf numFmtId="0" fontId="46" fillId="15" borderId="1" xfId="0" applyFont="1" applyFill="1" applyBorder="1" applyAlignment="1" applyProtection="1">
      <alignment horizontal="left" vertical="top" wrapText="1"/>
      <protection hidden="1"/>
    </xf>
    <xf numFmtId="0" fontId="10" fillId="0" borderId="25" xfId="0" applyFont="1" applyBorder="1" applyAlignment="1">
      <alignment horizontal="center" vertical="center"/>
    </xf>
    <xf numFmtId="0" fontId="10" fillId="15" borderId="39" xfId="0" applyFont="1" applyFill="1" applyBorder="1" applyAlignment="1" applyProtection="1">
      <alignment horizontal="center" vertical="center" wrapText="1"/>
      <protection hidden="1"/>
    </xf>
    <xf numFmtId="0" fontId="10" fillId="0" borderId="25" xfId="0" applyFont="1" applyBorder="1" applyAlignment="1">
      <alignment horizontal="center" vertical="center" wrapText="1"/>
    </xf>
    <xf numFmtId="0" fontId="10" fillId="0" borderId="54" xfId="0" applyFont="1" applyBorder="1" applyAlignment="1">
      <alignment horizontal="center" vertical="center" wrapText="1"/>
    </xf>
    <xf numFmtId="0" fontId="10" fillId="15" borderId="47" xfId="0" applyFont="1" applyFill="1" applyBorder="1" applyAlignment="1" applyProtection="1">
      <alignment horizontal="center" vertical="center"/>
      <protection hidden="1"/>
    </xf>
    <xf numFmtId="0" fontId="10" fillId="15" borderId="27" xfId="0" applyFont="1" applyFill="1" applyBorder="1" applyAlignment="1" applyProtection="1">
      <alignment horizontal="center" vertical="center"/>
      <protection hidden="1"/>
    </xf>
    <xf numFmtId="0" fontId="5" fillId="15" borderId="26"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0" fillId="0" borderId="20" xfId="0" applyBorder="1" applyAlignment="1">
      <alignment horizontal="left" vertical="center" wrapText="1"/>
    </xf>
    <xf numFmtId="0" fontId="0" fillId="0" borderId="22" xfId="0" applyBorder="1" applyAlignment="1">
      <alignment horizontal="left" vertical="center" wrapText="1"/>
    </xf>
    <xf numFmtId="0" fontId="10" fillId="15" borderId="0" xfId="0" applyFont="1" applyFill="1" applyAlignment="1" applyProtection="1">
      <alignment vertical="top" wrapText="1"/>
      <protection hidden="1"/>
    </xf>
    <xf numFmtId="0" fontId="13" fillId="0" borderId="0" xfId="0" applyFont="1" applyAlignment="1">
      <alignment wrapText="1"/>
    </xf>
    <xf numFmtId="0" fontId="13" fillId="0" borderId="20" xfId="0" applyFont="1" applyBorder="1" applyAlignment="1">
      <alignment wrapText="1"/>
    </xf>
    <xf numFmtId="0" fontId="5" fillId="0" borderId="0" xfId="0" applyFont="1" applyAlignment="1">
      <alignment horizontal="left" wrapText="1"/>
    </xf>
    <xf numFmtId="0" fontId="0" fillId="0" borderId="4" xfId="0" applyBorder="1" applyAlignment="1">
      <alignment horizontal="left" wrapText="1"/>
    </xf>
    <xf numFmtId="0" fontId="90" fillId="15" borderId="80" xfId="0" applyFont="1" applyFill="1" applyBorder="1" applyAlignment="1" applyProtection="1">
      <alignment horizontal="center" vertical="center" wrapText="1"/>
      <protection hidden="1"/>
    </xf>
    <xf numFmtId="0" fontId="90" fillId="15" borderId="8" xfId="0" applyFont="1" applyFill="1" applyBorder="1" applyAlignment="1" applyProtection="1">
      <alignment horizontal="center" vertical="center" wrapText="1"/>
      <protection hidden="1"/>
    </xf>
    <xf numFmtId="0" fontId="90" fillId="15" borderId="5" xfId="0" applyFont="1" applyFill="1" applyBorder="1" applyAlignment="1" applyProtection="1">
      <alignment horizontal="center" vertical="center" wrapText="1"/>
      <protection hidden="1"/>
    </xf>
    <xf numFmtId="0" fontId="90" fillId="15" borderId="0" xfId="0" applyFont="1" applyFill="1" applyAlignment="1" applyProtection="1">
      <alignment horizontal="center" vertical="center" wrapText="1"/>
      <protection hidden="1"/>
    </xf>
    <xf numFmtId="0" fontId="10" fillId="15" borderId="1" xfId="0" applyFont="1" applyFill="1" applyBorder="1" applyAlignment="1" applyProtection="1">
      <alignment horizontal="center"/>
      <protection hidden="1"/>
    </xf>
    <xf numFmtId="0" fontId="5" fillId="0" borderId="1" xfId="0" applyFont="1" applyBorder="1" applyAlignment="1">
      <alignment horizontal="center"/>
    </xf>
    <xf numFmtId="0" fontId="14" fillId="15" borderId="25" xfId="0" applyFont="1" applyFill="1" applyBorder="1" applyAlignment="1" applyProtection="1">
      <alignment horizontal="center" vertical="center"/>
      <protection hidden="1"/>
    </xf>
    <xf numFmtId="0" fontId="14" fillId="0" borderId="25" xfId="0" applyFont="1" applyBorder="1" applyAlignment="1">
      <alignment horizontal="center" vertical="center"/>
    </xf>
    <xf numFmtId="0" fontId="19" fillId="15" borderId="4" xfId="0" applyFont="1" applyFill="1" applyBorder="1" applyAlignment="1" applyProtection="1">
      <alignment horizontal="left"/>
      <protection hidden="1"/>
    </xf>
    <xf numFmtId="0" fontId="19" fillId="15" borderId="4" xfId="0" applyFont="1" applyFill="1" applyBorder="1" applyAlignment="1">
      <alignment horizontal="left"/>
    </xf>
    <xf numFmtId="166" fontId="43" fillId="27"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9"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8" fillId="15" borderId="56" xfId="0" applyFont="1" applyFill="1" applyBorder="1" applyAlignment="1" applyProtection="1">
      <alignment wrapText="1"/>
      <protection hidden="1"/>
    </xf>
    <xf numFmtId="0" fontId="8" fillId="0" borderId="7" xfId="0" applyFont="1" applyBorder="1" applyAlignment="1">
      <alignment wrapText="1"/>
    </xf>
    <xf numFmtId="0" fontId="5" fillId="0" borderId="8" xfId="0" applyFont="1" applyBorder="1" applyAlignment="1">
      <alignment horizontal="center"/>
    </xf>
    <xf numFmtId="0" fontId="10" fillId="0" borderId="8" xfId="0" applyFont="1" applyBorder="1" applyAlignment="1">
      <alignment horizontal="center" vertical="center"/>
    </xf>
    <xf numFmtId="37" fontId="3" fillId="27" borderId="178" xfId="0" applyNumberFormat="1" applyFont="1" applyFill="1" applyBorder="1" applyAlignment="1" applyProtection="1">
      <alignment horizontal="right" indent="2"/>
      <protection hidden="1"/>
    </xf>
    <xf numFmtId="37" fontId="3" fillId="27" borderId="74" xfId="0" applyNumberFormat="1" applyFont="1" applyFill="1" applyBorder="1" applyAlignment="1">
      <alignment horizontal="right" indent="2"/>
    </xf>
    <xf numFmtId="0" fontId="0" fillId="0" borderId="54" xfId="0" applyBorder="1" applyAlignment="1" applyProtection="1">
      <alignment horizontal="center"/>
      <protection hidden="1"/>
    </xf>
    <xf numFmtId="0" fontId="14" fillId="15" borderId="9" xfId="0" applyFont="1" applyFill="1" applyBorder="1" applyAlignment="1" applyProtection="1">
      <alignment horizontal="center" vertical="center"/>
      <protection hidden="1"/>
    </xf>
    <xf numFmtId="0" fontId="14" fillId="15" borderId="11" xfId="0" applyFont="1" applyFill="1" applyBorder="1" applyAlignment="1">
      <alignment horizontal="center" vertical="center"/>
    </xf>
    <xf numFmtId="37" fontId="3" fillId="16" borderId="10" xfId="0" applyNumberFormat="1" applyFont="1" applyFill="1" applyBorder="1" applyAlignment="1" applyProtection="1">
      <alignment horizontal="right" indent="1"/>
      <protection locked="0"/>
    </xf>
    <xf numFmtId="0" fontId="0" fillId="0" borderId="10" xfId="0" applyBorder="1" applyAlignment="1" applyProtection="1">
      <alignment horizontal="right" indent="1"/>
      <protection locked="0"/>
    </xf>
    <xf numFmtId="39" fontId="5" fillId="16" borderId="52" xfId="0" applyNumberFormat="1" applyFont="1" applyFill="1" applyBorder="1" applyProtection="1">
      <protection locked="0"/>
    </xf>
    <xf numFmtId="39" fontId="5" fillId="16" borderId="31" xfId="0" applyNumberFormat="1" applyFont="1" applyFill="1" applyBorder="1" applyProtection="1">
      <protection locked="0"/>
    </xf>
    <xf numFmtId="37" fontId="3" fillId="27" borderId="25" xfId="0" applyNumberFormat="1" applyFont="1" applyFill="1" applyBorder="1" applyAlignment="1" applyProtection="1">
      <alignment horizontal="right" indent="2"/>
      <protection hidden="1"/>
    </xf>
    <xf numFmtId="0" fontId="9" fillId="15" borderId="15" xfId="0" applyFont="1" applyFill="1" applyBorder="1" applyAlignment="1" applyProtection="1">
      <alignment horizontal="center" vertical="center" wrapText="1"/>
      <protection hidden="1"/>
    </xf>
    <xf numFmtId="0" fontId="9" fillId="0" borderId="1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0" xfId="0" applyFont="1" applyBorder="1" applyAlignment="1">
      <alignment horizontal="center" vertical="center" wrapText="1"/>
    </xf>
    <xf numFmtId="0" fontId="14" fillId="15" borderId="4" xfId="0" applyFont="1" applyFill="1" applyBorder="1" applyAlignment="1" applyProtection="1">
      <alignment horizontal="center"/>
      <protection hidden="1"/>
    </xf>
    <xf numFmtId="0" fontId="10" fillId="15" borderId="4" xfId="0" applyFont="1" applyFill="1" applyBorder="1" applyAlignment="1" applyProtection="1">
      <alignment horizontal="left" vertical="top"/>
      <protection hidden="1"/>
    </xf>
    <xf numFmtId="0" fontId="10" fillId="15" borderId="4" xfId="0" applyFont="1" applyFill="1" applyBorder="1" applyAlignment="1">
      <alignment horizontal="left" vertical="top"/>
    </xf>
    <xf numFmtId="0" fontId="19" fillId="15" borderId="0" xfId="0" applyFont="1" applyFill="1" applyAlignment="1" applyProtection="1">
      <alignment vertical="center" wrapText="1"/>
      <protection hidden="1"/>
    </xf>
    <xf numFmtId="0" fontId="73" fillId="0" borderId="0" xfId="0" applyFont="1" applyAlignment="1">
      <alignment vertical="center" wrapText="1"/>
    </xf>
    <xf numFmtId="0" fontId="73" fillId="0" borderId="20" xfId="0" applyFont="1" applyBorder="1" applyAlignment="1">
      <alignment vertical="center" wrapText="1"/>
    </xf>
    <xf numFmtId="49" fontId="5" fillId="41" borderId="154" xfId="0" applyNumberFormat="1" applyFont="1" applyFill="1" applyBorder="1" applyAlignment="1" applyProtection="1">
      <alignment horizontal="center" vertical="top" wrapText="1"/>
      <protection locked="0"/>
    </xf>
    <xf numFmtId="49" fontId="0" fillId="41" borderId="154" xfId="0" applyNumberFormat="1" applyFill="1" applyBorder="1" applyAlignment="1" applyProtection="1">
      <alignment horizontal="center" vertical="top" wrapText="1"/>
      <protection locked="0"/>
    </xf>
    <xf numFmtId="0" fontId="10" fillId="15" borderId="51" xfId="0" applyFont="1" applyFill="1" applyBorder="1" applyAlignment="1" applyProtection="1">
      <alignment horizontal="center"/>
      <protection hidden="1"/>
    </xf>
    <xf numFmtId="0" fontId="0" fillId="0" borderId="51" xfId="0" applyBorder="1" applyAlignment="1">
      <alignment horizontal="center"/>
    </xf>
    <xf numFmtId="39" fontId="5" fillId="16" borderId="51" xfId="0" applyNumberFormat="1" applyFont="1" applyFill="1" applyBorder="1" applyProtection="1">
      <protection locked="0"/>
    </xf>
    <xf numFmtId="0" fontId="10" fillId="15" borderId="10" xfId="0" applyFont="1" applyFill="1" applyBorder="1" applyAlignment="1" applyProtection="1">
      <alignment horizontal="center"/>
      <protection hidden="1"/>
    </xf>
    <xf numFmtId="0" fontId="0" fillId="0" borderId="10" xfId="0" applyBorder="1" applyAlignment="1">
      <alignment horizontal="center"/>
    </xf>
    <xf numFmtId="37" fontId="3" fillId="27" borderId="10" xfId="0" applyNumberFormat="1" applyFont="1" applyFill="1" applyBorder="1" applyProtection="1">
      <protection hidden="1"/>
    </xf>
    <xf numFmtId="49" fontId="0" fillId="15" borderId="154" xfId="0" applyNumberFormat="1" applyFill="1" applyBorder="1" applyAlignment="1" applyProtection="1">
      <alignment horizontal="center" vertical="center" wrapText="1"/>
      <protection locked="0"/>
    </xf>
    <xf numFmtId="0" fontId="3" fillId="0" borderId="14" xfId="0" applyFont="1" applyBorder="1" applyAlignment="1">
      <alignment horizontal="center"/>
    </xf>
    <xf numFmtId="0" fontId="5" fillId="15" borderId="9" xfId="0" applyFont="1" applyFill="1" applyBorder="1" applyAlignment="1">
      <alignment horizontal="center" vertical="center" wrapText="1"/>
    </xf>
    <xf numFmtId="49" fontId="5" fillId="15" borderId="154" xfId="0" applyNumberFormat="1" applyFont="1" applyFill="1" applyBorder="1" applyAlignment="1" applyProtection="1">
      <alignment horizontal="center" vertical="center" wrapText="1"/>
      <protection locked="0"/>
    </xf>
    <xf numFmtId="0" fontId="14" fillId="15" borderId="39" xfId="0" applyFont="1" applyFill="1" applyBorder="1" applyAlignment="1" applyProtection="1">
      <alignment horizontal="center" vertical="center"/>
      <protection hidden="1"/>
    </xf>
    <xf numFmtId="0" fontId="14" fillId="15" borderId="54" xfId="0" applyFont="1" applyFill="1" applyBorder="1" applyAlignment="1">
      <alignment horizontal="center" vertical="center"/>
    </xf>
    <xf numFmtId="37" fontId="3" fillId="16" borderId="12" xfId="0" applyNumberFormat="1" applyFont="1" applyFill="1" applyBorder="1" applyAlignment="1" applyProtection="1">
      <alignment horizontal="right" indent="1"/>
      <protection locked="0"/>
    </xf>
    <xf numFmtId="0" fontId="0" fillId="0" borderId="12" xfId="0" applyBorder="1" applyAlignment="1" applyProtection="1">
      <alignment horizontal="right" indent="1"/>
      <protection locked="0"/>
    </xf>
    <xf numFmtId="0" fontId="14" fillId="15" borderId="52" xfId="0" applyFont="1" applyFill="1" applyBorder="1" applyAlignment="1" applyProtection="1">
      <alignment horizontal="center" vertical="center"/>
      <protection hidden="1"/>
    </xf>
    <xf numFmtId="0" fontId="14" fillId="15" borderId="73" xfId="0" applyFont="1" applyFill="1" applyBorder="1" applyAlignment="1">
      <alignment horizontal="center" vertical="center"/>
    </xf>
    <xf numFmtId="37" fontId="3" fillId="16" borderId="51" xfId="0" applyNumberFormat="1" applyFont="1" applyFill="1" applyBorder="1" applyAlignment="1" applyProtection="1">
      <alignment horizontal="right" indent="1"/>
      <protection locked="0"/>
    </xf>
    <xf numFmtId="0" fontId="0" fillId="0" borderId="51" xfId="0" applyBorder="1" applyAlignment="1" applyProtection="1">
      <alignment horizontal="right" indent="1"/>
      <protection locked="0"/>
    </xf>
    <xf numFmtId="0" fontId="0" fillId="15" borderId="11" xfId="0" applyFill="1" applyBorder="1" applyAlignment="1">
      <alignment horizontal="center"/>
    </xf>
    <xf numFmtId="0" fontId="5" fillId="3" borderId="0" xfId="0" applyFont="1" applyFill="1" applyProtection="1">
      <protection hidden="1"/>
    </xf>
    <xf numFmtId="0" fontId="5" fillId="0" borderId="0" xfId="0" applyFont="1"/>
    <xf numFmtId="0" fontId="5" fillId="14" borderId="0" xfId="0" applyFont="1" applyFill="1" applyAlignment="1" applyProtection="1">
      <alignment horizontal="right"/>
      <protection hidden="1"/>
    </xf>
    <xf numFmtId="0" fontId="5" fillId="14" borderId="0" xfId="0" applyFont="1" applyFill="1" applyAlignment="1" applyProtection="1">
      <alignment horizontal="right" vertical="center"/>
      <protection hidden="1"/>
    </xf>
    <xf numFmtId="37" fontId="8" fillId="20" borderId="39" xfId="0" applyNumberFormat="1" applyFont="1" applyFill="1" applyBorder="1" applyAlignment="1" applyProtection="1">
      <alignment horizontal="right"/>
      <protection locked="0"/>
    </xf>
    <xf numFmtId="37" fontId="3" fillId="0" borderId="25" xfId="0" applyNumberFormat="1" applyFont="1" applyBorder="1" applyAlignment="1" applyProtection="1">
      <alignment horizontal="right"/>
      <protection locked="0"/>
    </xf>
    <xf numFmtId="37" fontId="3" fillId="0" borderId="54" xfId="0" applyNumberFormat="1" applyFont="1" applyBorder="1" applyAlignment="1" applyProtection="1">
      <alignment horizontal="right"/>
      <protection locked="0"/>
    </xf>
    <xf numFmtId="37" fontId="8" fillId="26" borderId="9" xfId="0" applyNumberFormat="1" applyFont="1" applyFill="1" applyBorder="1" applyAlignment="1" applyProtection="1">
      <alignment horizontal="right"/>
      <protection hidden="1"/>
    </xf>
    <xf numFmtId="37" fontId="8" fillId="26" borderId="1" xfId="0" applyNumberFormat="1" applyFont="1" applyFill="1" applyBorder="1" applyAlignment="1" applyProtection="1">
      <alignment horizontal="right"/>
      <protection hidden="1"/>
    </xf>
    <xf numFmtId="37" fontId="8" fillId="26" borderId="11" xfId="0" applyNumberFormat="1" applyFont="1" applyFill="1" applyBorder="1" applyAlignment="1" applyProtection="1">
      <alignment horizontal="right"/>
      <protection hidden="1"/>
    </xf>
    <xf numFmtId="0" fontId="5" fillId="14" borderId="0" xfId="0" applyFont="1" applyFill="1" applyProtection="1">
      <protection hidden="1"/>
    </xf>
    <xf numFmtId="0" fontId="5" fillId="15" borderId="0" xfId="0" applyFont="1" applyFill="1"/>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3" fillId="3" borderId="30" xfId="0" applyFont="1" applyFill="1" applyBorder="1" applyAlignment="1" applyProtection="1">
      <alignment horizontal="right" indent="1"/>
      <protection hidden="1"/>
    </xf>
    <xf numFmtId="0" fontId="5" fillId="0" borderId="8" xfId="0" applyFont="1" applyBorder="1" applyAlignment="1">
      <alignment horizontal="right" indent="1"/>
    </xf>
    <xf numFmtId="49" fontId="3" fillId="20" borderId="6" xfId="0" applyNumberFormat="1" applyFont="1" applyFill="1" applyBorder="1" applyAlignment="1" applyProtection="1">
      <alignment horizontal="center" vertical="center"/>
      <protection locked="0"/>
    </xf>
    <xf numFmtId="0" fontId="0" fillId="0" borderId="183" xfId="0" applyBorder="1" applyAlignment="1" applyProtection="1">
      <alignment horizontal="center" vertical="center"/>
      <protection locked="0"/>
    </xf>
    <xf numFmtId="39" fontId="3" fillId="3" borderId="9" xfId="0" applyNumberFormat="1" applyFont="1" applyFill="1" applyBorder="1" applyAlignment="1" applyProtection="1">
      <alignment horizontal="center"/>
      <protection hidden="1"/>
    </xf>
    <xf numFmtId="39" fontId="3" fillId="3" borderId="11" xfId="0" applyNumberFormat="1" applyFont="1" applyFill="1" applyBorder="1" applyAlignment="1" applyProtection="1">
      <alignment horizontal="center"/>
      <protection hidden="1"/>
    </xf>
    <xf numFmtId="0" fontId="48" fillId="9" borderId="34" xfId="0" applyFont="1" applyFill="1" applyBorder="1" applyAlignment="1" applyProtection="1">
      <alignment horizontal="center"/>
      <protection hidden="1"/>
    </xf>
    <xf numFmtId="0" fontId="46" fillId="0" borderId="34" xfId="0" applyFont="1" applyBorder="1" applyAlignment="1">
      <alignment horizontal="center"/>
    </xf>
    <xf numFmtId="0" fontId="48" fillId="9" borderId="27" xfId="0" applyFont="1" applyFill="1" applyBorder="1" applyAlignment="1" applyProtection="1">
      <alignment horizontal="center"/>
      <protection hidden="1"/>
    </xf>
    <xf numFmtId="0" fontId="46" fillId="0" borderId="27" xfId="0" applyFont="1" applyBorder="1" applyAlignment="1">
      <alignment horizontal="center"/>
    </xf>
    <xf numFmtId="0" fontId="48" fillId="9" borderId="25" xfId="0" applyFont="1" applyFill="1" applyBorder="1" applyAlignment="1" applyProtection="1">
      <alignment horizontal="center"/>
      <protection hidden="1"/>
    </xf>
    <xf numFmtId="0" fontId="46" fillId="0" borderId="25" xfId="0" applyFont="1" applyBorder="1" applyAlignment="1">
      <alignment horizontal="center"/>
    </xf>
    <xf numFmtId="0" fontId="8" fillId="3" borderId="30" xfId="0" applyFont="1" applyFill="1" applyBorder="1" applyAlignment="1" applyProtection="1">
      <alignment horizontal="center"/>
      <protection hidden="1"/>
    </xf>
    <xf numFmtId="0" fontId="0" fillId="0" borderId="8" xfId="0" applyBorder="1" applyAlignment="1">
      <alignment horizontal="center"/>
    </xf>
    <xf numFmtId="37" fontId="7" fillId="28" borderId="1" xfId="0" applyNumberFormat="1" applyFont="1" applyFill="1" applyBorder="1" applyAlignment="1">
      <alignment horizontal="right"/>
    </xf>
    <xf numFmtId="37" fontId="0" fillId="0" borderId="11" xfId="0" applyNumberFormat="1" applyBorder="1" applyAlignment="1" applyProtection="1">
      <alignment horizontal="right"/>
      <protection locked="0"/>
    </xf>
    <xf numFmtId="0" fontId="0" fillId="0" borderId="14" xfId="0" applyBorder="1" applyAlignment="1">
      <alignment horizontal="center"/>
    </xf>
    <xf numFmtId="0" fontId="11" fillId="20" borderId="211" xfId="0" applyFont="1" applyFill="1" applyBorder="1" applyAlignment="1" applyProtection="1">
      <alignment horizontal="left"/>
      <protection locked="0"/>
    </xf>
    <xf numFmtId="0" fontId="11" fillId="0" borderId="211" xfId="0" applyFont="1" applyBorder="1" applyAlignment="1" applyProtection="1">
      <alignment horizontal="left"/>
      <protection locked="0"/>
    </xf>
    <xf numFmtId="0" fontId="11" fillId="0" borderId="212" xfId="0" applyFont="1" applyBorder="1" applyAlignment="1" applyProtection="1">
      <alignment horizontal="left"/>
      <protection locked="0"/>
    </xf>
    <xf numFmtId="0" fontId="3" fillId="3" borderId="69" xfId="0" applyFont="1" applyFill="1" applyBorder="1" applyAlignment="1" applyProtection="1">
      <alignment horizontal="right" indent="1"/>
      <protection hidden="1"/>
    </xf>
    <xf numFmtId="0" fontId="5" fillId="0" borderId="4" xfId="0" applyFont="1" applyBorder="1" applyAlignment="1">
      <alignment horizontal="right" indent="1"/>
    </xf>
    <xf numFmtId="0" fontId="8" fillId="14" borderId="30" xfId="0" applyFont="1" applyFill="1" applyBorder="1" applyAlignment="1" applyProtection="1">
      <alignment horizontal="center"/>
      <protection hidden="1"/>
    </xf>
    <xf numFmtId="1" fontId="3" fillId="15" borderId="0" xfId="0" applyNumberFormat="1" applyFont="1" applyFill="1" applyAlignment="1" applyProtection="1">
      <alignment horizontal="center" wrapText="1"/>
      <protection hidden="1"/>
    </xf>
    <xf numFmtId="0" fontId="7" fillId="14" borderId="100" xfId="0" applyFont="1" applyFill="1" applyBorder="1" applyAlignment="1" applyProtection="1">
      <alignment horizontal="center" vertical="center"/>
      <protection hidden="1"/>
    </xf>
    <xf numFmtId="0" fontId="7" fillId="14" borderId="0" xfId="0" applyFont="1" applyFill="1" applyAlignment="1" applyProtection="1">
      <alignment horizontal="center" vertical="center"/>
      <protection hidden="1"/>
    </xf>
    <xf numFmtId="0" fontId="7" fillId="14" borderId="72" xfId="0" applyFont="1" applyFill="1" applyBorder="1" applyAlignment="1" applyProtection="1">
      <alignment horizontal="center" vertical="center"/>
      <protection hidden="1"/>
    </xf>
    <xf numFmtId="0" fontId="7" fillId="14" borderId="13" xfId="0" applyFont="1" applyFill="1" applyBorder="1" applyAlignment="1" applyProtection="1">
      <alignment horizontal="center" vertical="center"/>
      <protection hidden="1"/>
    </xf>
    <xf numFmtId="0" fontId="104" fillId="3" borderId="223" xfId="0" applyFont="1" applyFill="1" applyBorder="1" applyAlignment="1" applyProtection="1">
      <alignment horizontal="center" vertical="center"/>
      <protection hidden="1"/>
    </xf>
    <xf numFmtId="0" fontId="134" fillId="0" borderId="8" xfId="0" applyFont="1" applyBorder="1"/>
    <xf numFmtId="0" fontId="9" fillId="3" borderId="100"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100" xfId="0" applyBorder="1" applyAlignment="1">
      <alignment horizontal="left" wrapText="1" indent="1"/>
    </xf>
    <xf numFmtId="0" fontId="0" fillId="0" borderId="72" xfId="0" applyBorder="1" applyAlignment="1">
      <alignment horizontal="left" wrapText="1" indent="1"/>
    </xf>
    <xf numFmtId="0" fontId="0" fillId="0" borderId="13" xfId="0" applyBorder="1" applyAlignment="1">
      <alignment horizontal="left" wrapText="1" indent="1"/>
    </xf>
    <xf numFmtId="0" fontId="3" fillId="20"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1" xfId="0" applyBorder="1" applyAlignment="1" applyProtection="1">
      <alignment horizontal="center"/>
      <protection locked="0"/>
    </xf>
    <xf numFmtId="166" fontId="3" fillId="26" borderId="9" xfId="0" applyNumberFormat="1" applyFont="1" applyFill="1" applyBorder="1" applyAlignment="1" applyProtection="1">
      <alignment horizontal="center" vertical="center"/>
      <protection hidden="1"/>
    </xf>
    <xf numFmtId="166" fontId="5" fillId="27" borderId="1" xfId="0" applyNumberFormat="1" applyFont="1" applyFill="1" applyBorder="1" applyAlignment="1" applyProtection="1">
      <alignment horizontal="center" vertical="center"/>
      <protection hidden="1"/>
    </xf>
    <xf numFmtId="0" fontId="0" fillId="27" borderId="1" xfId="0" applyFill="1" applyBorder="1" applyAlignment="1" applyProtection="1">
      <alignment horizontal="center" vertical="center"/>
      <protection hidden="1"/>
    </xf>
    <xf numFmtId="0" fontId="14" fillId="3" borderId="0" xfId="0" applyFont="1" applyFill="1" applyAlignment="1" applyProtection="1">
      <alignment horizontal="left" vertical="center" wrapText="1"/>
      <protection hidden="1"/>
    </xf>
    <xf numFmtId="0" fontId="46" fillId="0" borderId="75" xfId="0" applyFont="1" applyBorder="1" applyAlignment="1">
      <alignment horizontal="left" vertical="center"/>
    </xf>
    <xf numFmtId="0" fontId="46" fillId="0" borderId="0" xfId="0" applyFont="1" applyAlignment="1">
      <alignment horizontal="left" vertical="center"/>
    </xf>
    <xf numFmtId="0" fontId="0" fillId="0" borderId="10" xfId="0" applyBorder="1" applyAlignment="1" applyProtection="1">
      <alignment vertical="center"/>
      <protection locked="0"/>
    </xf>
    <xf numFmtId="0" fontId="3" fillId="16" borderId="220" xfId="0" applyFont="1" applyFill="1" applyBorder="1" applyAlignment="1" applyProtection="1">
      <alignment horizontal="center" vertical="center"/>
      <protection locked="0"/>
    </xf>
    <xf numFmtId="0" fontId="3" fillId="16" borderId="221" xfId="0" applyFont="1" applyFill="1" applyBorder="1" applyAlignment="1" applyProtection="1">
      <alignment horizontal="center" vertical="center"/>
      <protection locked="0"/>
    </xf>
    <xf numFmtId="0" fontId="3" fillId="20" borderId="0" xfId="0" applyFont="1" applyFill="1" applyAlignment="1" applyProtection="1">
      <alignment horizontal="left"/>
      <protection locked="0"/>
    </xf>
    <xf numFmtId="0" fontId="3" fillId="20" borderId="75" xfId="0" applyFont="1" applyFill="1" applyBorder="1" applyAlignment="1" applyProtection="1">
      <alignment horizontal="left"/>
      <protection locked="0"/>
    </xf>
    <xf numFmtId="0" fontId="3" fillId="20" borderId="96" xfId="0" applyFont="1" applyFill="1" applyBorder="1" applyAlignment="1" applyProtection="1">
      <alignment horizontal="left"/>
      <protection locked="0"/>
    </xf>
    <xf numFmtId="0" fontId="15" fillId="3" borderId="0" xfId="0" applyFont="1" applyFill="1" applyAlignment="1" applyProtection="1">
      <alignment horizontal="left" wrapText="1"/>
      <protection hidden="1"/>
    </xf>
    <xf numFmtId="0" fontId="15" fillId="3" borderId="75" xfId="0" applyFont="1" applyFill="1" applyBorder="1" applyAlignment="1" applyProtection="1">
      <alignment horizontal="left" wrapText="1"/>
      <protection hidden="1"/>
    </xf>
    <xf numFmtId="0" fontId="15" fillId="3" borderId="13" xfId="0" applyFont="1" applyFill="1" applyBorder="1" applyAlignment="1" applyProtection="1">
      <alignment horizontal="left" wrapText="1"/>
      <protection hidden="1"/>
    </xf>
    <xf numFmtId="0" fontId="15" fillId="3" borderId="33" xfId="0" applyFont="1" applyFill="1" applyBorder="1" applyAlignment="1" applyProtection="1">
      <alignment horizontal="left" wrapText="1"/>
      <protection hidden="1"/>
    </xf>
    <xf numFmtId="3" fontId="7" fillId="3" borderId="0" xfId="0" applyNumberFormat="1" applyFont="1" applyFill="1" applyAlignment="1" applyProtection="1">
      <alignment horizontal="center"/>
      <protection hidden="1"/>
    </xf>
    <xf numFmtId="0" fontId="3" fillId="3" borderId="15" xfId="0" applyFont="1" applyFill="1" applyBorder="1" applyAlignment="1" applyProtection="1">
      <alignment horizontal="center"/>
      <protection hidden="1"/>
    </xf>
    <xf numFmtId="0" fontId="5" fillId="0" borderId="6" xfId="0" applyFont="1" applyBorder="1" applyAlignment="1">
      <alignment horizontal="center"/>
    </xf>
    <xf numFmtId="49" fontId="3" fillId="22" borderId="182" xfId="0" applyNumberFormat="1" applyFont="1" applyFill="1" applyBorder="1" applyAlignment="1" applyProtection="1">
      <alignment horizontal="center" vertical="center"/>
      <protection hidden="1"/>
    </xf>
    <xf numFmtId="0" fontId="0" fillId="19" borderId="184" xfId="0" applyFill="1" applyBorder="1" applyAlignment="1" applyProtection="1">
      <alignment horizontal="center" vertical="center"/>
      <protection hidden="1"/>
    </xf>
    <xf numFmtId="49" fontId="3" fillId="20" borderId="103" xfId="0" applyNumberFormat="1" applyFont="1" applyFill="1" applyBorder="1" applyAlignment="1" applyProtection="1">
      <alignment horizontal="center" vertical="center"/>
      <protection locked="0"/>
    </xf>
    <xf numFmtId="0" fontId="0" fillId="0" borderId="18" xfId="0" applyBorder="1" applyAlignment="1" applyProtection="1">
      <alignment horizontal="center" vertical="center"/>
      <protection locked="0"/>
    </xf>
    <xf numFmtId="49" fontId="3" fillId="20" borderId="104" xfId="0" applyNumberFormat="1" applyFont="1" applyFill="1" applyBorder="1" applyAlignment="1" applyProtection="1">
      <alignment horizontal="center" vertical="center"/>
      <protection locked="0"/>
    </xf>
    <xf numFmtId="0" fontId="0" fillId="0" borderId="105" xfId="0" applyBorder="1" applyAlignment="1" applyProtection="1">
      <alignment horizontal="center" vertical="center"/>
      <protection locked="0"/>
    </xf>
    <xf numFmtId="37" fontId="8" fillId="20" borderId="9" xfId="0" applyNumberFormat="1" applyFont="1" applyFill="1" applyBorder="1" applyAlignment="1" applyProtection="1">
      <alignment horizontal="center"/>
      <protection locked="0"/>
    </xf>
    <xf numFmtId="37" fontId="8" fillId="20" borderId="1" xfId="0" applyNumberFormat="1" applyFont="1" applyFill="1" applyBorder="1" applyAlignment="1" applyProtection="1">
      <alignment horizontal="center"/>
      <protection locked="0"/>
    </xf>
    <xf numFmtId="37" fontId="8" fillId="20" borderId="11" xfId="0" applyNumberFormat="1" applyFont="1" applyFill="1" applyBorder="1" applyAlignment="1" applyProtection="1">
      <alignment horizontal="center"/>
      <protection locked="0"/>
    </xf>
    <xf numFmtId="39" fontId="7" fillId="14" borderId="0" xfId="0" applyNumberFormat="1" applyFont="1" applyFill="1" applyAlignment="1" applyProtection="1">
      <alignment horizontal="left"/>
      <protection hidden="1"/>
    </xf>
    <xf numFmtId="0" fontId="0" fillId="0" borderId="0" xfId="0" applyAlignment="1">
      <alignment horizontal="left"/>
    </xf>
    <xf numFmtId="0" fontId="0" fillId="0" borderId="24" xfId="0" applyBorder="1" applyAlignment="1">
      <alignment horizontal="left"/>
    </xf>
    <xf numFmtId="0" fontId="7" fillId="3" borderId="0" xfId="0" applyFont="1" applyFill="1" applyProtection="1">
      <protection hidden="1"/>
    </xf>
    <xf numFmtId="0" fontId="135" fillId="3" borderId="30" xfId="0" applyFont="1" applyFill="1" applyBorder="1" applyProtection="1">
      <protection hidden="1"/>
    </xf>
    <xf numFmtId="0" fontId="110" fillId="0" borderId="8" xfId="0" applyFont="1" applyBorder="1"/>
    <xf numFmtId="37" fontId="8" fillId="20" borderId="52" xfId="0" applyNumberFormat="1" applyFont="1" applyFill="1" applyBorder="1" applyAlignment="1" applyProtection="1">
      <alignment horizontal="right"/>
      <protection locked="0"/>
    </xf>
    <xf numFmtId="37" fontId="8" fillId="20" borderId="31" xfId="0" applyNumberFormat="1" applyFont="1" applyFill="1" applyBorder="1" applyAlignment="1" applyProtection="1">
      <alignment horizontal="right"/>
      <protection locked="0"/>
    </xf>
    <xf numFmtId="37" fontId="0" fillId="0" borderId="31" xfId="0" applyNumberFormat="1" applyBorder="1" applyAlignment="1" applyProtection="1">
      <alignment horizontal="right"/>
      <protection locked="0"/>
    </xf>
    <xf numFmtId="37" fontId="8" fillId="26" borderId="47" xfId="0" applyNumberFormat="1" applyFont="1" applyFill="1" applyBorder="1" applyAlignment="1" applyProtection="1">
      <alignment horizontal="right"/>
      <protection hidden="1"/>
    </xf>
    <xf numFmtId="37" fontId="8" fillId="26" borderId="27" xfId="0" applyNumberFormat="1" applyFont="1" applyFill="1" applyBorder="1" applyAlignment="1" applyProtection="1">
      <alignment horizontal="right"/>
      <protection hidden="1"/>
    </xf>
    <xf numFmtId="37" fontId="0" fillId="27" borderId="27" xfId="0" applyNumberFormat="1" applyFill="1" applyBorder="1" applyAlignment="1" applyProtection="1">
      <alignment horizontal="right"/>
      <protection hidden="1"/>
    </xf>
    <xf numFmtId="0" fontId="5" fillId="3" borderId="0" xfId="0" applyFont="1" applyFill="1" applyAlignment="1" applyProtection="1">
      <alignment horizontal="right"/>
      <protection hidden="1"/>
    </xf>
    <xf numFmtId="37" fontId="8" fillId="20" borderId="30" xfId="0" applyNumberFormat="1" applyFont="1" applyFill="1" applyBorder="1" applyAlignment="1" applyProtection="1">
      <alignment horizontal="right"/>
      <protection locked="0"/>
    </xf>
    <xf numFmtId="37" fontId="8" fillId="20" borderId="8" xfId="0" applyNumberFormat="1" applyFont="1" applyFill="1" applyBorder="1" applyAlignment="1" applyProtection="1">
      <alignment horizontal="right"/>
      <protection locked="0"/>
    </xf>
    <xf numFmtId="0" fontId="0" fillId="0" borderId="8" xfId="0" applyBorder="1" applyAlignment="1" applyProtection="1">
      <alignment horizontal="center"/>
      <protection hidden="1"/>
    </xf>
    <xf numFmtId="37" fontId="8" fillId="26" borderId="3" xfId="0" applyNumberFormat="1" applyFont="1" applyFill="1" applyBorder="1" applyAlignment="1" applyProtection="1">
      <alignment horizontal="right"/>
      <protection hidden="1"/>
    </xf>
    <xf numFmtId="37" fontId="8" fillId="26" borderId="0" xfId="0" applyNumberFormat="1" applyFont="1" applyFill="1" applyAlignment="1" applyProtection="1">
      <alignment horizontal="right"/>
      <protection hidden="1"/>
    </xf>
    <xf numFmtId="37" fontId="0" fillId="27" borderId="0" xfId="0" applyNumberFormat="1" applyFill="1" applyAlignment="1" applyProtection="1">
      <alignment horizontal="right"/>
      <protection hidden="1"/>
    </xf>
    <xf numFmtId="0" fontId="0" fillId="0" borderId="11" xfId="0" applyBorder="1" applyAlignment="1" applyProtection="1">
      <alignment horizontal="right"/>
      <protection locked="0"/>
    </xf>
    <xf numFmtId="0" fontId="11" fillId="20" borderId="87" xfId="0" applyFont="1" applyFill="1" applyBorder="1" applyAlignment="1" applyProtection="1">
      <alignment horizontal="left"/>
      <protection locked="0"/>
    </xf>
    <xf numFmtId="0" fontId="11" fillId="0" borderId="87" xfId="0" applyFont="1" applyBorder="1" applyAlignment="1" applyProtection="1">
      <alignment horizontal="left"/>
      <protection locked="0"/>
    </xf>
    <xf numFmtId="0" fontId="11" fillId="0" borderId="91" xfId="0" applyFont="1" applyBorder="1" applyAlignment="1" applyProtection="1">
      <alignment horizontal="left"/>
      <protection locked="0"/>
    </xf>
    <xf numFmtId="0" fontId="14" fillId="3" borderId="20" xfId="0" applyFont="1" applyFill="1" applyBorder="1" applyAlignment="1" applyProtection="1">
      <alignment horizontal="left" vertical="center" wrapText="1"/>
      <protection hidden="1"/>
    </xf>
    <xf numFmtId="0" fontId="14" fillId="3" borderId="102" xfId="0" applyFont="1" applyFill="1" applyBorder="1" applyAlignment="1" applyProtection="1">
      <alignment horizontal="left" vertical="center" wrapText="1"/>
      <protection hidden="1"/>
    </xf>
    <xf numFmtId="0" fontId="46" fillId="0" borderId="102" xfId="0" applyFont="1" applyBorder="1" applyAlignment="1">
      <alignment horizontal="left" vertical="center"/>
    </xf>
    <xf numFmtId="0" fontId="46" fillId="0" borderId="20" xfId="0" applyFont="1" applyBorder="1" applyAlignment="1">
      <alignment horizontal="left" vertical="center"/>
    </xf>
    <xf numFmtId="0" fontId="104" fillId="3" borderId="80" xfId="0" applyFont="1" applyFill="1" applyBorder="1" applyAlignment="1" applyProtection="1">
      <alignment horizontal="center" vertical="center"/>
      <protection hidden="1"/>
    </xf>
    <xf numFmtId="0" fontId="9" fillId="3" borderId="5" xfId="0" applyFont="1" applyFill="1" applyBorder="1" applyAlignment="1" applyProtection="1">
      <alignment horizontal="left" vertical="center" wrapText="1" indent="1"/>
      <protection hidden="1"/>
    </xf>
    <xf numFmtId="0" fontId="0" fillId="0" borderId="5" xfId="0" applyBorder="1" applyAlignment="1">
      <alignment horizontal="left" wrapText="1" indent="1"/>
    </xf>
    <xf numFmtId="0" fontId="0" fillId="0" borderId="26" xfId="0" applyBorder="1" applyAlignment="1">
      <alignment horizontal="left" wrapText="1" indent="1"/>
    </xf>
    <xf numFmtId="0" fontId="0" fillId="0" borderId="1" xfId="0" applyBorder="1" applyAlignment="1">
      <alignment horizontal="left" wrapText="1" indent="1"/>
    </xf>
    <xf numFmtId="0" fontId="15" fillId="3" borderId="20" xfId="0" applyFont="1" applyFill="1" applyBorder="1" applyAlignment="1" applyProtection="1">
      <alignment wrapText="1"/>
      <protection hidden="1"/>
    </xf>
    <xf numFmtId="0" fontId="15" fillId="3" borderId="102" xfId="0" applyFont="1" applyFill="1" applyBorder="1" applyAlignment="1" applyProtection="1">
      <alignment wrapText="1"/>
      <protection hidden="1"/>
    </xf>
    <xf numFmtId="0" fontId="0" fillId="0" borderId="102" xfId="0" applyBorder="1" applyAlignment="1">
      <alignment wrapText="1"/>
    </xf>
    <xf numFmtId="0" fontId="0" fillId="0" borderId="29" xfId="0" applyBorder="1" applyAlignment="1">
      <alignment wrapText="1"/>
    </xf>
    <xf numFmtId="0" fontId="0" fillId="0" borderId="181" xfId="0" applyBorder="1" applyAlignment="1">
      <alignment wrapText="1"/>
    </xf>
    <xf numFmtId="0" fontId="3" fillId="26" borderId="1" xfId="0" applyFont="1" applyFill="1" applyBorder="1" applyAlignment="1" applyProtection="1">
      <alignment horizontal="left"/>
      <protection hidden="1"/>
    </xf>
    <xf numFmtId="0" fontId="0" fillId="27" borderId="1" xfId="0" applyFill="1" applyBorder="1" applyAlignment="1" applyProtection="1">
      <alignment horizontal="left"/>
      <protection hidden="1"/>
    </xf>
    <xf numFmtId="0" fontId="0" fillId="27" borderId="11" xfId="0" applyFill="1" applyBorder="1" applyAlignment="1" applyProtection="1">
      <alignment horizontal="left"/>
      <protection hidden="1"/>
    </xf>
    <xf numFmtId="0" fontId="15" fillId="3" borderId="20" xfId="0" applyFont="1" applyFill="1" applyBorder="1" applyAlignment="1" applyProtection="1">
      <alignment horizontal="left" wrapText="1"/>
      <protection hidden="1"/>
    </xf>
    <xf numFmtId="0" fontId="11" fillId="15" borderId="5" xfId="0" applyFont="1" applyFill="1" applyBorder="1" applyAlignment="1">
      <alignment horizontal="center" vertical="center"/>
    </xf>
    <xf numFmtId="0" fontId="11" fillId="15" borderId="0" xfId="0" applyFont="1" applyFill="1" applyAlignment="1">
      <alignment horizontal="center" vertical="center"/>
    </xf>
    <xf numFmtId="0" fontId="11" fillId="15" borderId="20" xfId="0" applyFont="1" applyFill="1" applyBorder="1" applyAlignment="1">
      <alignment horizontal="center" vertical="center"/>
    </xf>
    <xf numFmtId="0" fontId="10" fillId="3" borderId="5" xfId="0" applyFont="1" applyFill="1" applyBorder="1" applyAlignment="1" applyProtection="1">
      <alignment horizontal="center" vertical="top"/>
      <protection hidden="1"/>
    </xf>
    <xf numFmtId="0" fontId="10" fillId="3" borderId="0" xfId="0" applyFont="1" applyFill="1" applyAlignment="1" applyProtection="1">
      <alignment horizontal="center" vertical="top"/>
      <protection hidden="1"/>
    </xf>
    <xf numFmtId="0" fontId="10" fillId="3" borderId="20" xfId="0" applyFont="1" applyFill="1" applyBorder="1" applyAlignment="1" applyProtection="1">
      <alignment horizontal="center" vertical="top"/>
      <protection hidden="1"/>
    </xf>
    <xf numFmtId="0" fontId="11" fillId="15" borderId="5" xfId="0" applyFont="1" applyFill="1" applyBorder="1" applyAlignment="1">
      <alignment horizontal="center"/>
    </xf>
    <xf numFmtId="0" fontId="11" fillId="15" borderId="0" xfId="0" applyFont="1" applyFill="1" applyAlignment="1">
      <alignment horizontal="center"/>
    </xf>
    <xf numFmtId="0" fontId="11" fillId="15" borderId="20" xfId="0" applyFont="1" applyFill="1" applyBorder="1" applyAlignment="1">
      <alignment horizontal="center"/>
    </xf>
    <xf numFmtId="0" fontId="50" fillId="9" borderId="34" xfId="0" applyFont="1" applyFill="1" applyBorder="1" applyAlignment="1" applyProtection="1">
      <alignment horizontal="center" vertical="center"/>
      <protection hidden="1"/>
    </xf>
    <xf numFmtId="0" fontId="5" fillId="0" borderId="34" xfId="0" applyFont="1" applyBorder="1" applyAlignment="1">
      <alignment horizontal="center" vertical="center"/>
    </xf>
    <xf numFmtId="0" fontId="116" fillId="3" borderId="8" xfId="0" applyFont="1" applyFill="1" applyBorder="1" applyAlignment="1" applyProtection="1">
      <alignment horizontal="center"/>
      <protection hidden="1"/>
    </xf>
    <xf numFmtId="37" fontId="7" fillId="26" borderId="1" xfId="0" applyNumberFormat="1" applyFont="1" applyFill="1" applyBorder="1" applyAlignment="1" applyProtection="1">
      <alignment horizontal="right"/>
      <protection hidden="1"/>
    </xf>
    <xf numFmtId="0" fontId="50" fillId="9" borderId="34" xfId="0" applyFont="1" applyFill="1" applyBorder="1" applyAlignment="1" applyProtection="1">
      <alignment horizontal="center"/>
      <protection hidden="1"/>
    </xf>
    <xf numFmtId="0" fontId="5" fillId="0" borderId="34" xfId="0" applyFont="1" applyBorder="1" applyAlignment="1">
      <alignment horizontal="center"/>
    </xf>
    <xf numFmtId="5" fontId="7" fillId="3" borderId="0" xfId="0" applyNumberFormat="1" applyFont="1" applyFill="1" applyAlignment="1" applyProtection="1">
      <alignment horizontal="left"/>
      <protection hidden="1"/>
    </xf>
    <xf numFmtId="37" fontId="7" fillId="20" borderId="1" xfId="0" applyNumberFormat="1" applyFont="1" applyFill="1" applyBorder="1" applyAlignment="1" applyProtection="1">
      <alignment horizontal="right"/>
      <protection locked="0"/>
    </xf>
    <xf numFmtId="0" fontId="112" fillId="3" borderId="0" xfId="0" applyFont="1" applyFill="1" applyAlignment="1" applyProtection="1">
      <alignment horizontal="center"/>
      <protection hidden="1"/>
    </xf>
    <xf numFmtId="0" fontId="112" fillId="3" borderId="8" xfId="0" applyFont="1" applyFill="1" applyBorder="1" applyAlignment="1" applyProtection="1">
      <alignment horizontal="center"/>
      <protection hidden="1"/>
    </xf>
    <xf numFmtId="0" fontId="11" fillId="5" borderId="154" xfId="0" applyFont="1" applyFill="1" applyBorder="1" applyAlignment="1" applyProtection="1">
      <alignment horizontal="center"/>
      <protection hidden="1"/>
    </xf>
    <xf numFmtId="0" fontId="9" fillId="27" borderId="89"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9" fillId="21" borderId="0" xfId="0" applyFont="1" applyFill="1" applyAlignment="1" applyProtection="1">
      <alignment horizontal="center"/>
      <protection hidden="1"/>
    </xf>
    <xf numFmtId="0" fontId="9" fillId="21" borderId="0" xfId="0" applyFont="1" applyFill="1" applyAlignment="1" applyProtection="1">
      <alignment horizontal="center" vertical="center"/>
      <protection locked="0"/>
    </xf>
    <xf numFmtId="37" fontId="9" fillId="21" borderId="0" xfId="0" applyNumberFormat="1" applyFont="1" applyFill="1" applyAlignment="1" applyProtection="1">
      <alignment horizontal="right" vertical="center"/>
      <protection locked="0"/>
    </xf>
    <xf numFmtId="37" fontId="9" fillId="37" borderId="0" xfId="0" applyNumberFormat="1" applyFont="1" applyFill="1" applyAlignment="1" applyProtection="1">
      <alignment horizontal="right" vertical="center"/>
      <protection locked="0"/>
    </xf>
    <xf numFmtId="0" fontId="220" fillId="5" borderId="0" xfId="0"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left" vertical="top"/>
      <protection hidden="1"/>
    </xf>
    <xf numFmtId="0" fontId="66" fillId="11" borderId="59" xfId="2" applyFill="1" applyBorder="1" applyAlignment="1" applyProtection="1">
      <alignment horizontal="center" vertical="center" wrapText="1"/>
    </xf>
    <xf numFmtId="0" fontId="66" fillId="11" borderId="74" xfId="2" applyFill="1" applyBorder="1" applyAlignment="1" applyProtection="1">
      <alignment horizontal="center" vertical="center" wrapText="1"/>
    </xf>
    <xf numFmtId="0" fontId="66" fillId="11" borderId="60" xfId="2" applyFill="1" applyBorder="1" applyAlignment="1" applyProtection="1">
      <alignment horizontal="center" vertical="center" wrapText="1"/>
    </xf>
    <xf numFmtId="0" fontId="66" fillId="11" borderId="59" xfId="2" applyFill="1" applyBorder="1" applyAlignment="1" applyProtection="1">
      <alignment horizontal="center" vertical="center"/>
    </xf>
    <xf numFmtId="0" fontId="66" fillId="11" borderId="74" xfId="2" applyFill="1" applyBorder="1" applyAlignment="1" applyProtection="1">
      <alignment horizontal="center" vertical="center"/>
    </xf>
    <xf numFmtId="0" fontId="66" fillId="11" borderId="60" xfId="2" applyFill="1" applyBorder="1" applyAlignment="1" applyProtection="1">
      <alignment horizontal="center" vertical="center"/>
    </xf>
    <xf numFmtId="37" fontId="123" fillId="14" borderId="30" xfId="0" applyNumberFormat="1" applyFont="1" applyFill="1" applyBorder="1" applyAlignment="1" applyProtection="1">
      <alignment horizontal="right"/>
      <protection hidden="1"/>
    </xf>
    <xf numFmtId="37" fontId="116" fillId="14" borderId="8" xfId="0" applyNumberFormat="1" applyFont="1" applyFill="1" applyBorder="1" applyAlignment="1" applyProtection="1">
      <alignment horizontal="right"/>
      <protection hidden="1"/>
    </xf>
    <xf numFmtId="0" fontId="110" fillId="15" borderId="8" xfId="0" applyFont="1" applyFill="1" applyBorder="1" applyAlignment="1" applyProtection="1">
      <alignment horizontal="right"/>
      <protection hidden="1"/>
    </xf>
    <xf numFmtId="0" fontId="110" fillId="15" borderId="14" xfId="0" applyFont="1" applyFill="1" applyBorder="1" applyAlignment="1" applyProtection="1">
      <alignment horizontal="right"/>
      <protection hidden="1"/>
    </xf>
    <xf numFmtId="37" fontId="112" fillId="3" borderId="30" xfId="0" applyNumberFormat="1" applyFont="1" applyFill="1" applyBorder="1" applyProtection="1">
      <protection hidden="1"/>
    </xf>
    <xf numFmtId="37" fontId="112" fillId="0" borderId="8" xfId="0" applyNumberFormat="1" applyFont="1" applyBorder="1"/>
    <xf numFmtId="37" fontId="8" fillId="26" borderId="69" xfId="0" applyNumberFormat="1" applyFont="1" applyFill="1" applyBorder="1" applyAlignment="1" applyProtection="1">
      <alignment horizontal="right"/>
      <protection hidden="1"/>
    </xf>
    <xf numFmtId="37" fontId="8" fillId="26" borderId="4" xfId="0" applyNumberFormat="1" applyFont="1" applyFill="1" applyBorder="1" applyAlignment="1" applyProtection="1">
      <alignment horizontal="right"/>
      <protection hidden="1"/>
    </xf>
    <xf numFmtId="37" fontId="0" fillId="27" borderId="4" xfId="0" applyNumberFormat="1" applyFill="1" applyBorder="1" applyAlignment="1" applyProtection="1">
      <alignment horizontal="right"/>
      <protection hidden="1"/>
    </xf>
    <xf numFmtId="0" fontId="110" fillId="15" borderId="0" xfId="0" applyFont="1" applyFill="1" applyAlignment="1">
      <alignment horizontal="center"/>
    </xf>
    <xf numFmtId="0" fontId="110" fillId="15" borderId="5" xfId="0" applyFont="1" applyFill="1" applyBorder="1" applyAlignment="1">
      <alignment horizontal="center"/>
    </xf>
    <xf numFmtId="0" fontId="7" fillId="2" borderId="30" xfId="0" applyFont="1" applyFill="1" applyBorder="1" applyAlignment="1" applyProtection="1">
      <alignment vertical="center"/>
      <protection hidden="1"/>
    </xf>
    <xf numFmtId="0" fontId="7" fillId="2" borderId="8" xfId="0" applyFont="1" applyFill="1" applyBorder="1" applyAlignment="1" applyProtection="1">
      <alignment vertical="center"/>
      <protection hidden="1"/>
    </xf>
    <xf numFmtId="0" fontId="9" fillId="11" borderId="8" xfId="0" applyFont="1" applyFill="1" applyBorder="1" applyAlignment="1" applyProtection="1">
      <alignment horizontal="center" wrapText="1"/>
      <protection hidden="1"/>
    </xf>
    <xf numFmtId="0" fontId="0" fillId="0" borderId="1" xfId="0" applyBorder="1" applyAlignment="1">
      <alignment horizontal="center" wrapText="1"/>
    </xf>
    <xf numFmtId="37" fontId="261" fillId="15" borderId="30" xfId="0" applyNumberFormat="1" applyFont="1" applyFill="1" applyBorder="1" applyAlignment="1" applyProtection="1">
      <alignment horizontal="right"/>
      <protection hidden="1"/>
    </xf>
    <xf numFmtId="37" fontId="261" fillId="15" borderId="8" xfId="0" applyNumberFormat="1" applyFont="1" applyFill="1" applyBorder="1" applyAlignment="1" applyProtection="1">
      <alignment horizontal="right"/>
      <protection hidden="1"/>
    </xf>
    <xf numFmtId="37" fontId="261" fillId="15" borderId="9" xfId="0" applyNumberFormat="1" applyFont="1" applyFill="1" applyBorder="1" applyAlignment="1" applyProtection="1">
      <alignment horizontal="right"/>
      <protection hidden="1"/>
    </xf>
    <xf numFmtId="37" fontId="261" fillId="15" borderId="1" xfId="0" applyNumberFormat="1" applyFont="1" applyFill="1" applyBorder="1" applyAlignment="1" applyProtection="1">
      <alignment horizontal="right"/>
      <protection hidden="1"/>
    </xf>
    <xf numFmtId="0" fontId="21" fillId="2" borderId="30" xfId="0" applyFont="1" applyFill="1" applyBorder="1" applyProtection="1">
      <protection hidden="1"/>
    </xf>
    <xf numFmtId="0" fontId="21" fillId="2" borderId="8" xfId="0" applyFont="1" applyFill="1" applyBorder="1" applyProtection="1">
      <protection hidden="1"/>
    </xf>
    <xf numFmtId="37" fontId="0" fillId="27" borderId="9" xfId="0" applyNumberFormat="1" applyFill="1" applyBorder="1" applyAlignment="1" applyProtection="1">
      <alignment horizontal="right" vertical="center"/>
      <protection hidden="1"/>
    </xf>
    <xf numFmtId="37" fontId="0" fillId="27" borderId="1" xfId="0" applyNumberFormat="1" applyFill="1" applyBorder="1" applyAlignment="1" applyProtection="1">
      <alignment horizontal="right" vertical="center"/>
      <protection hidden="1"/>
    </xf>
    <xf numFmtId="37" fontId="0" fillId="27" borderId="9" xfId="0" applyNumberFormat="1" applyFill="1" applyBorder="1" applyAlignment="1" applyProtection="1">
      <alignment vertical="center"/>
      <protection hidden="1"/>
    </xf>
    <xf numFmtId="37" fontId="0" fillId="27" borderId="1" xfId="0" applyNumberFormat="1" applyFill="1" applyBorder="1" applyAlignment="1" applyProtection="1">
      <alignment vertical="center"/>
      <protection hidden="1"/>
    </xf>
    <xf numFmtId="37" fontId="110" fillId="2" borderId="3" xfId="0" applyNumberFormat="1" applyFont="1" applyFill="1" applyBorder="1" applyAlignment="1" applyProtection="1">
      <alignment horizontal="right"/>
      <protection hidden="1"/>
    </xf>
    <xf numFmtId="37" fontId="110" fillId="2" borderId="0" xfId="0" applyNumberFormat="1" applyFont="1" applyFill="1" applyAlignment="1" applyProtection="1">
      <alignment horizontal="right"/>
      <protection hidden="1"/>
    </xf>
    <xf numFmtId="3" fontId="109" fillId="2" borderId="30" xfId="0" applyNumberFormat="1" applyFont="1" applyFill="1" applyBorder="1" applyAlignment="1" applyProtection="1">
      <alignment horizontal="center"/>
      <protection hidden="1"/>
    </xf>
    <xf numFmtId="3" fontId="109" fillId="2" borderId="8" xfId="0" applyNumberFormat="1" applyFont="1" applyFill="1" applyBorder="1" applyAlignment="1" applyProtection="1">
      <alignment horizontal="center"/>
      <protection hidden="1"/>
    </xf>
    <xf numFmtId="3" fontId="109" fillId="2" borderId="3" xfId="0" applyNumberFormat="1" applyFont="1" applyFill="1" applyBorder="1" applyAlignment="1" applyProtection="1">
      <alignment horizontal="center"/>
      <protection hidden="1"/>
    </xf>
    <xf numFmtId="3" fontId="109" fillId="2" borderId="0" xfId="0" applyNumberFormat="1" applyFont="1" applyFill="1" applyAlignment="1" applyProtection="1">
      <alignment horizontal="center"/>
      <protection hidden="1"/>
    </xf>
    <xf numFmtId="37" fontId="0" fillId="27" borderId="69" xfId="0" applyNumberFormat="1" applyFill="1" applyBorder="1" applyAlignment="1" applyProtection="1">
      <alignment vertical="center"/>
      <protection hidden="1"/>
    </xf>
    <xf numFmtId="37" fontId="0" fillId="27" borderId="4" xfId="0" applyNumberFormat="1" applyFill="1" applyBorder="1" applyAlignment="1" applyProtection="1">
      <alignment vertical="center"/>
      <protection hidden="1"/>
    </xf>
    <xf numFmtId="0" fontId="208" fillId="8" borderId="7" xfId="0" applyFont="1" applyFill="1" applyBorder="1" applyAlignment="1" applyProtection="1">
      <alignment horizontal="center" vertical="center" wrapText="1"/>
      <protection hidden="1"/>
    </xf>
    <xf numFmtId="0" fontId="208" fillId="8" borderId="4" xfId="0" applyFont="1" applyFill="1" applyBorder="1" applyAlignment="1" applyProtection="1">
      <alignment horizontal="center" vertical="center" wrapText="1"/>
      <protection hidden="1"/>
    </xf>
    <xf numFmtId="0" fontId="19" fillId="2" borderId="0" xfId="0" applyFont="1" applyFill="1" applyAlignment="1" applyProtection="1">
      <alignment horizontal="left"/>
      <protection hidden="1"/>
    </xf>
    <xf numFmtId="0" fontId="73" fillId="0" borderId="0" xfId="0" applyFont="1" applyAlignment="1">
      <alignment horizontal="left"/>
    </xf>
    <xf numFmtId="0" fontId="73" fillId="0" borderId="20" xfId="0" applyFont="1" applyBorder="1" applyAlignment="1">
      <alignment horizontal="left"/>
    </xf>
    <xf numFmtId="0" fontId="260" fillId="2" borderId="0" xfId="0" applyFont="1" applyFill="1" applyAlignment="1" applyProtection="1">
      <alignment horizontal="left" vertical="top"/>
      <protection hidden="1"/>
    </xf>
    <xf numFmtId="0" fontId="260" fillId="2" borderId="20" xfId="0" applyFont="1" applyFill="1" applyBorder="1" applyAlignment="1" applyProtection="1">
      <alignment horizontal="left" vertical="top"/>
      <protection hidden="1"/>
    </xf>
    <xf numFmtId="0" fontId="9" fillId="2" borderId="1" xfId="0" applyFont="1" applyFill="1" applyBorder="1" applyAlignment="1" applyProtection="1">
      <alignment horizontal="center"/>
      <protection hidden="1"/>
    </xf>
    <xf numFmtId="0" fontId="9" fillId="0" borderId="1" xfId="0" applyFont="1" applyBorder="1"/>
    <xf numFmtId="166" fontId="14" fillId="27" borderId="56" xfId="0" applyNumberFormat="1" applyFont="1" applyFill="1" applyBorder="1" applyAlignment="1" applyProtection="1">
      <alignment horizontal="center" vertical="center"/>
      <protection hidden="1"/>
    </xf>
    <xf numFmtId="166" fontId="14" fillId="27" borderId="7" xfId="0" applyNumberFormat="1" applyFont="1" applyFill="1" applyBorder="1" applyAlignment="1" applyProtection="1">
      <alignment horizontal="center" vertical="center"/>
      <protection hidden="1"/>
    </xf>
    <xf numFmtId="166" fontId="14" fillId="27" borderId="9" xfId="0" applyNumberFormat="1" applyFont="1" applyFill="1" applyBorder="1" applyAlignment="1" applyProtection="1">
      <alignment horizontal="center" vertical="center"/>
      <protection hidden="1"/>
    </xf>
    <xf numFmtId="166" fontId="14" fillId="27" borderId="1" xfId="0" applyNumberFormat="1" applyFont="1" applyFill="1" applyBorder="1" applyAlignment="1" applyProtection="1">
      <alignment horizontal="center" vertical="center"/>
      <protection hidden="1"/>
    </xf>
    <xf numFmtId="0" fontId="0" fillId="2" borderId="3" xfId="0" applyFill="1" applyBorder="1" applyProtection="1">
      <protection hidden="1"/>
    </xf>
    <xf numFmtId="0" fontId="71" fillId="2" borderId="8" xfId="0" applyFont="1" applyFill="1" applyBorder="1" applyAlignment="1" applyProtection="1">
      <alignment horizontal="center" vertical="center"/>
      <protection hidden="1"/>
    </xf>
    <xf numFmtId="0" fontId="8" fillId="2" borderId="5" xfId="0" applyFont="1" applyFill="1" applyBorder="1" applyAlignment="1" applyProtection="1">
      <alignment horizontal="center"/>
      <protection hidden="1"/>
    </xf>
    <xf numFmtId="0" fontId="8" fillId="0" borderId="0" xfId="0" applyFont="1" applyAlignment="1">
      <alignment horizontal="center"/>
    </xf>
    <xf numFmtId="0" fontId="8" fillId="0" borderId="20" xfId="0" applyFont="1" applyBorder="1" applyAlignment="1">
      <alignment horizontal="center"/>
    </xf>
    <xf numFmtId="0" fontId="43" fillId="2" borderId="5" xfId="0" applyFont="1" applyFill="1" applyBorder="1" applyAlignment="1" applyProtection="1">
      <alignment horizontal="center" vertical="top"/>
      <protection hidden="1"/>
    </xf>
    <xf numFmtId="0" fontId="121" fillId="0" borderId="0" xfId="0" applyFont="1" applyAlignment="1">
      <alignment horizontal="center" vertical="top"/>
    </xf>
    <xf numFmtId="0" fontId="121" fillId="0" borderId="20" xfId="0" applyFont="1" applyBorder="1" applyAlignment="1">
      <alignment horizontal="center" vertical="top"/>
    </xf>
    <xf numFmtId="0" fontId="5" fillId="2" borderId="0" xfId="0" applyFont="1" applyFill="1" applyAlignment="1" applyProtection="1">
      <alignment horizontal="left" wrapText="1"/>
      <protection hidden="1"/>
    </xf>
    <xf numFmtId="0" fontId="5" fillId="2" borderId="4" xfId="0" applyFont="1" applyFill="1" applyBorder="1" applyAlignment="1" applyProtection="1">
      <alignment horizontal="left" wrapText="1"/>
      <protection hidden="1"/>
    </xf>
    <xf numFmtId="0" fontId="9" fillId="2" borderId="0" xfId="0" applyFont="1" applyFill="1" applyAlignment="1" applyProtection="1">
      <alignment horizontal="center"/>
      <protection hidden="1"/>
    </xf>
    <xf numFmtId="0" fontId="9" fillId="2" borderId="20" xfId="0" applyFont="1" applyFill="1" applyBorder="1" applyAlignment="1" applyProtection="1">
      <alignment horizontal="center"/>
      <protection hidden="1"/>
    </xf>
    <xf numFmtId="0" fontId="9" fillId="2" borderId="4" xfId="0" applyFont="1" applyFill="1" applyBorder="1" applyAlignment="1" applyProtection="1">
      <alignment horizontal="center" vertical="top"/>
      <protection hidden="1"/>
    </xf>
    <xf numFmtId="0" fontId="9" fillId="2" borderId="22" xfId="0" applyFont="1" applyFill="1" applyBorder="1" applyAlignment="1" applyProtection="1">
      <alignment horizontal="center" vertical="top"/>
      <protection hidden="1"/>
    </xf>
    <xf numFmtId="0" fontId="9" fillId="2" borderId="56"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center" vertical="center" wrapText="1"/>
      <protection hidden="1"/>
    </xf>
    <xf numFmtId="0" fontId="9" fillId="2" borderId="36" xfId="0" applyFont="1" applyFill="1" applyBorder="1" applyAlignment="1" applyProtection="1">
      <alignment horizontal="center" vertical="center" wrapText="1"/>
      <protection hidden="1"/>
    </xf>
    <xf numFmtId="0" fontId="9" fillId="2" borderId="9" xfId="0" applyFont="1" applyFill="1" applyBorder="1" applyAlignment="1" applyProtection="1">
      <alignment horizontal="center" vertical="center" wrapText="1"/>
      <protection hidden="1"/>
    </xf>
    <xf numFmtId="0" fontId="9" fillId="2" borderId="1" xfId="0" applyFont="1" applyFill="1" applyBorder="1" applyAlignment="1" applyProtection="1">
      <alignment horizontal="center" vertical="center" wrapText="1"/>
      <protection hidden="1"/>
    </xf>
    <xf numFmtId="0" fontId="9" fillId="2" borderId="11"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left"/>
      <protection hidden="1"/>
    </xf>
    <xf numFmtId="0" fontId="10" fillId="27" borderId="1" xfId="0" applyFont="1" applyFill="1" applyBorder="1" applyAlignment="1" applyProtection="1">
      <alignment horizontal="left"/>
      <protection hidden="1"/>
    </xf>
    <xf numFmtId="0" fontId="224" fillId="31" borderId="1" xfId="0" applyFont="1" applyFill="1" applyBorder="1" applyAlignment="1" applyProtection="1">
      <alignment horizontal="center" vertical="center"/>
      <protection hidden="1"/>
    </xf>
    <xf numFmtId="0" fontId="14" fillId="15" borderId="0" xfId="0" applyFont="1" applyFill="1" applyAlignment="1" applyProtection="1">
      <alignment horizontal="center" vertical="center"/>
      <protection hidden="1"/>
    </xf>
    <xf numFmtId="0" fontId="66" fillId="11" borderId="61" xfId="2" applyFill="1" applyBorder="1" applyAlignment="1" applyProtection="1">
      <alignment horizontal="center" wrapText="1"/>
    </xf>
    <xf numFmtId="0" fontId="66" fillId="11" borderId="62" xfId="2" applyFill="1" applyBorder="1" applyAlignment="1" applyProtection="1">
      <alignment horizontal="center" wrapText="1"/>
    </xf>
    <xf numFmtId="0" fontId="0" fillId="0" borderId="62" xfId="0" applyBorder="1" applyAlignment="1">
      <alignment horizontal="center" wrapText="1"/>
    </xf>
    <xf numFmtId="0" fontId="0" fillId="0" borderId="63" xfId="0" applyBorder="1" applyAlignment="1">
      <alignment horizontal="center" wrapText="1"/>
    </xf>
    <xf numFmtId="37" fontId="5" fillId="27" borderId="9" xfId="0" applyNumberFormat="1" applyFont="1" applyFill="1" applyBorder="1" applyAlignment="1" applyProtection="1">
      <alignment vertical="center"/>
      <protection hidden="1"/>
    </xf>
    <xf numFmtId="37" fontId="5" fillId="27" borderId="1" xfId="0" applyNumberFormat="1" applyFont="1" applyFill="1" applyBorder="1" applyAlignment="1" applyProtection="1">
      <alignment vertical="center"/>
      <protection hidden="1"/>
    </xf>
    <xf numFmtId="0" fontId="110" fillId="2" borderId="30" xfId="0" applyFont="1" applyFill="1" applyBorder="1" applyProtection="1">
      <protection hidden="1"/>
    </xf>
    <xf numFmtId="37" fontId="0" fillId="16" borderId="9" xfId="0" applyNumberFormat="1" applyFill="1" applyBorder="1" applyAlignment="1" applyProtection="1">
      <alignment horizontal="right" vertical="center"/>
      <protection locked="0"/>
    </xf>
    <xf numFmtId="37" fontId="0" fillId="16" borderId="1" xfId="0" applyNumberFormat="1" applyFill="1" applyBorder="1" applyAlignment="1" applyProtection="1">
      <alignment horizontal="right" vertical="center"/>
      <protection locked="0"/>
    </xf>
    <xf numFmtId="37" fontId="0" fillId="16" borderId="11" xfId="0" applyNumberFormat="1" applyFill="1" applyBorder="1" applyAlignment="1" applyProtection="1">
      <alignment horizontal="right" vertical="center"/>
      <protection locked="0"/>
    </xf>
    <xf numFmtId="0" fontId="110" fillId="2" borderId="0" xfId="0" applyFont="1" applyFill="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37" fontId="0" fillId="16" borderId="52" xfId="0" applyNumberFormat="1" applyFill="1" applyBorder="1" applyAlignment="1" applyProtection="1">
      <alignment horizontal="right" vertical="center"/>
      <protection locked="0"/>
    </xf>
    <xf numFmtId="37" fontId="0" fillId="16" borderId="31" xfId="0" applyNumberFormat="1" applyFill="1" applyBorder="1" applyAlignment="1" applyProtection="1">
      <alignment horizontal="right" vertical="center"/>
      <protection locked="0"/>
    </xf>
    <xf numFmtId="37" fontId="0" fillId="16" borderId="73" xfId="0" applyNumberFormat="1" applyFill="1" applyBorder="1" applyAlignment="1" applyProtection="1">
      <alignment horizontal="right" vertical="center"/>
      <protection locked="0"/>
    </xf>
    <xf numFmtId="3" fontId="0" fillId="27" borderId="9" xfId="0" applyNumberFormat="1" applyFill="1" applyBorder="1" applyAlignment="1" applyProtection="1">
      <alignment vertical="center"/>
      <protection hidden="1"/>
    </xf>
    <xf numFmtId="0" fontId="0" fillId="27" borderId="1" xfId="0" applyFill="1" applyBorder="1" applyAlignment="1" applyProtection="1">
      <alignment vertical="center"/>
      <protection hidden="1"/>
    </xf>
    <xf numFmtId="0" fontId="9" fillId="2" borderId="4" xfId="0" applyFont="1" applyFill="1" applyBorder="1" applyAlignment="1" applyProtection="1">
      <alignment horizontal="left" vertical="top" wrapText="1"/>
      <protection hidden="1"/>
    </xf>
    <xf numFmtId="0" fontId="110" fillId="2" borderId="24" xfId="0" applyFont="1" applyFill="1" applyBorder="1" applyAlignment="1" applyProtection="1">
      <alignment horizontal="center"/>
      <protection hidden="1"/>
    </xf>
    <xf numFmtId="0" fontId="3" fillId="15" borderId="0" xfId="0" applyFont="1" applyFill="1" applyAlignment="1">
      <alignment horizontal="center"/>
    </xf>
    <xf numFmtId="0" fontId="3" fillId="15" borderId="4" xfId="0" applyFont="1" applyFill="1" applyBorder="1" applyAlignment="1">
      <alignment horizontal="center"/>
    </xf>
    <xf numFmtId="0" fontId="159" fillId="17" borderId="0" xfId="0" applyFont="1" applyFill="1" applyAlignment="1">
      <alignment horizontal="center" vertical="center" wrapText="1"/>
    </xf>
    <xf numFmtId="0" fontId="106" fillId="15" borderId="0" xfId="0" applyFont="1" applyFill="1" applyAlignment="1">
      <alignment horizontal="center" vertical="center" wrapText="1"/>
    </xf>
    <xf numFmtId="0" fontId="5" fillId="15" borderId="0" xfId="0" applyFont="1" applyFill="1" applyAlignment="1">
      <alignment horizontal="center" vertical="center" wrapText="1"/>
    </xf>
    <xf numFmtId="0" fontId="208" fillId="8" borderId="0" xfId="0" applyFont="1" applyFill="1" applyAlignment="1" applyProtection="1">
      <alignment horizontal="center" vertical="center" wrapText="1"/>
      <protection hidden="1"/>
    </xf>
    <xf numFmtId="0" fontId="200" fillId="2" borderId="0" xfId="0" applyFont="1" applyFill="1" applyAlignment="1" applyProtection="1">
      <alignment horizontal="center"/>
      <protection hidden="1"/>
    </xf>
    <xf numFmtId="0" fontId="200" fillId="2" borderId="24" xfId="0" applyFont="1" applyFill="1" applyBorder="1" applyAlignment="1" applyProtection="1">
      <alignment horizontal="center"/>
      <protection hidden="1"/>
    </xf>
    <xf numFmtId="0" fontId="200" fillId="2" borderId="3" xfId="0" applyFont="1" applyFill="1" applyBorder="1" applyAlignment="1" applyProtection="1">
      <alignment horizontal="center" vertical="center"/>
      <protection hidden="1"/>
    </xf>
    <xf numFmtId="0" fontId="200" fillId="2" borderId="0" xfId="0" applyFont="1" applyFill="1" applyAlignment="1" applyProtection="1">
      <alignment horizontal="center" vertical="center"/>
      <protection hidden="1"/>
    </xf>
    <xf numFmtId="0" fontId="200" fillId="2" borderId="24" xfId="0" applyFont="1" applyFill="1" applyBorder="1" applyAlignment="1" applyProtection="1">
      <alignment horizontal="center" vertical="center"/>
      <protection hidden="1"/>
    </xf>
    <xf numFmtId="0" fontId="200" fillId="2" borderId="3" xfId="0" applyFont="1" applyFill="1" applyBorder="1" applyAlignment="1" applyProtection="1">
      <alignment horizontal="center" vertical="top"/>
      <protection hidden="1"/>
    </xf>
    <xf numFmtId="0" fontId="200" fillId="2" borderId="0" xfId="0" applyFont="1" applyFill="1" applyAlignment="1" applyProtection="1">
      <alignment horizontal="center" vertical="top"/>
      <protection hidden="1"/>
    </xf>
    <xf numFmtId="0" fontId="200" fillId="2" borderId="24" xfId="0" applyFont="1" applyFill="1" applyBorder="1" applyAlignment="1" applyProtection="1">
      <alignment horizontal="center" vertical="top"/>
      <protection hidden="1"/>
    </xf>
    <xf numFmtId="0" fontId="147" fillId="2" borderId="3" xfId="0" applyFont="1" applyFill="1" applyBorder="1" applyAlignment="1" applyProtection="1">
      <alignment horizontal="center"/>
      <protection hidden="1"/>
    </xf>
    <xf numFmtId="0" fontId="147" fillId="2" borderId="0" xfId="0" applyFont="1" applyFill="1" applyAlignment="1" applyProtection="1">
      <alignment horizontal="center"/>
      <protection hidden="1"/>
    </xf>
    <xf numFmtId="0" fontId="147" fillId="2" borderId="24" xfId="0" applyFont="1" applyFill="1" applyBorder="1" applyAlignment="1" applyProtection="1">
      <alignment horizontal="center"/>
      <protection hidden="1"/>
    </xf>
    <xf numFmtId="37" fontId="0" fillId="27" borderId="11" xfId="0" applyNumberFormat="1" applyFill="1" applyBorder="1" applyAlignment="1" applyProtection="1">
      <alignment horizontal="right" vertical="center"/>
      <protection hidden="1"/>
    </xf>
    <xf numFmtId="173" fontId="116" fillId="15" borderId="0" xfId="0" applyNumberFormat="1" applyFont="1" applyFill="1" applyAlignment="1" applyProtection="1">
      <alignment horizontal="right" vertical="center"/>
      <protection locked="0"/>
    </xf>
    <xf numFmtId="0" fontId="0" fillId="2" borderId="0" xfId="0" applyFill="1" applyAlignment="1" applyProtection="1">
      <alignment horizontal="center"/>
      <protection hidden="1"/>
    </xf>
    <xf numFmtId="0" fontId="0" fillId="2" borderId="24" xfId="0" applyFill="1" applyBorder="1" applyAlignment="1" applyProtection="1">
      <alignment horizontal="center"/>
      <protection hidden="1"/>
    </xf>
    <xf numFmtId="0" fontId="0" fillId="5" borderId="30" xfId="0" applyFill="1" applyBorder="1" applyProtection="1">
      <protection hidden="1"/>
    </xf>
    <xf numFmtId="0" fontId="0" fillId="5" borderId="69" xfId="0" applyFill="1" applyBorder="1" applyProtection="1">
      <protection hidden="1"/>
    </xf>
    <xf numFmtId="0" fontId="0" fillId="0" borderId="4" xfId="0" applyBorder="1"/>
    <xf numFmtId="3" fontId="262" fillId="2" borderId="9" xfId="0" applyNumberFormat="1" applyFont="1" applyFill="1" applyBorder="1" applyAlignment="1" applyProtection="1">
      <alignment horizontal="right" vertical="center" indent="1"/>
      <protection hidden="1"/>
    </xf>
    <xf numFmtId="0" fontId="262" fillId="0" borderId="1" xfId="0" applyFont="1" applyBorder="1" applyAlignment="1" applyProtection="1">
      <alignment horizontal="right" vertical="center" indent="1"/>
      <protection hidden="1"/>
    </xf>
    <xf numFmtId="37" fontId="0" fillId="16" borderId="9" xfId="0" applyNumberFormat="1" applyFill="1" applyBorder="1" applyAlignment="1" applyProtection="1">
      <alignment vertical="center"/>
      <protection locked="0"/>
    </xf>
    <xf numFmtId="37" fontId="0" fillId="16" borderId="1" xfId="0" applyNumberFormat="1" applyFill="1" applyBorder="1" applyAlignment="1" applyProtection="1">
      <alignment vertical="center"/>
      <protection locked="0"/>
    </xf>
    <xf numFmtId="37" fontId="110" fillId="2" borderId="30" xfId="0" applyNumberFormat="1" applyFont="1" applyFill="1" applyBorder="1" applyAlignment="1" applyProtection="1">
      <alignment horizontal="right"/>
      <protection hidden="1"/>
    </xf>
    <xf numFmtId="37" fontId="110" fillId="2" borderId="8" xfId="0" applyNumberFormat="1" applyFont="1" applyFill="1" applyBorder="1" applyAlignment="1" applyProtection="1">
      <alignment horizontal="right"/>
      <protection hidden="1"/>
    </xf>
    <xf numFmtId="0" fontId="3" fillId="5" borderId="0" xfId="0" applyFont="1" applyFill="1" applyAlignment="1">
      <alignment horizontal="center" vertical="center"/>
    </xf>
    <xf numFmtId="37" fontId="0" fillId="27" borderId="69" xfId="0" applyNumberFormat="1" applyFill="1" applyBorder="1" applyAlignment="1" applyProtection="1">
      <alignment horizontal="right" vertical="center"/>
      <protection hidden="1"/>
    </xf>
    <xf numFmtId="37" fontId="0" fillId="27" borderId="4" xfId="0" applyNumberFormat="1" applyFill="1" applyBorder="1" applyAlignment="1" applyProtection="1">
      <alignment horizontal="right" vertical="center"/>
      <protection hidden="1"/>
    </xf>
    <xf numFmtId="37" fontId="0" fillId="27" borderId="70" xfId="0" applyNumberFormat="1" applyFill="1" applyBorder="1" applyAlignment="1" applyProtection="1">
      <alignment horizontal="right" vertical="center"/>
      <protection hidden="1"/>
    </xf>
    <xf numFmtId="0" fontId="9" fillId="2" borderId="0" xfId="0" applyFont="1" applyFill="1" applyAlignment="1">
      <alignment horizontal="left" vertical="top" wrapText="1"/>
    </xf>
    <xf numFmtId="0" fontId="9" fillId="2" borderId="24"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70" xfId="0" applyFont="1" applyFill="1" applyBorder="1" applyAlignment="1">
      <alignment horizontal="left" vertical="top" wrapText="1"/>
    </xf>
    <xf numFmtId="0" fontId="9" fillId="2" borderId="0" xfId="0" applyFont="1" applyFill="1" applyAlignment="1" applyProtection="1">
      <alignment horizontal="left" wrapText="1"/>
      <protection hidden="1"/>
    </xf>
    <xf numFmtId="0" fontId="0" fillId="2" borderId="0" xfId="0" applyFill="1" applyAlignment="1" applyProtection="1">
      <alignment horizontal="center" vertical="center"/>
      <protection hidden="1"/>
    </xf>
    <xf numFmtId="0" fontId="71" fillId="15" borderId="80" xfId="0" applyFont="1" applyFill="1" applyBorder="1" applyAlignment="1" applyProtection="1">
      <alignment horizontal="center" vertical="center" wrapText="1"/>
      <protection hidden="1"/>
    </xf>
    <xf numFmtId="0" fontId="71" fillId="0" borderId="8" xfId="0" applyFont="1" applyBorder="1" applyAlignment="1">
      <alignment horizontal="center" vertical="center" wrapText="1"/>
    </xf>
    <xf numFmtId="0" fontId="71" fillId="0" borderId="5" xfId="0" applyFont="1" applyBorder="1" applyAlignment="1">
      <alignment horizontal="center" vertical="center" wrapText="1"/>
    </xf>
    <xf numFmtId="0" fontId="71" fillId="0" borderId="0" xfId="0" applyFont="1" applyAlignment="1">
      <alignment horizontal="center" vertical="center" wrapText="1"/>
    </xf>
    <xf numFmtId="41" fontId="7" fillId="16" borderId="25" xfId="0" applyNumberFormat="1" applyFont="1" applyFill="1" applyBorder="1" applyAlignment="1" applyProtection="1">
      <alignment horizontal="center" vertical="center" wrapText="1"/>
      <protection locked="0"/>
    </xf>
    <xf numFmtId="41" fontId="7" fillId="0" borderId="25" xfId="0" applyNumberFormat="1" applyFont="1" applyBorder="1" applyAlignment="1" applyProtection="1">
      <alignment horizontal="center" vertical="center" wrapText="1"/>
      <protection locked="0"/>
    </xf>
    <xf numFmtId="0" fontId="3" fillId="15" borderId="8" xfId="0" applyFont="1" applyFill="1" applyBorder="1" applyAlignment="1" applyProtection="1">
      <alignment horizontal="left" vertical="center" wrapText="1" indent="1"/>
      <protection hidden="1"/>
    </xf>
    <xf numFmtId="14" fontId="3" fillId="15" borderId="23" xfId="0" applyNumberFormat="1" applyFont="1" applyFill="1" applyBorder="1" applyAlignment="1" applyProtection="1">
      <alignment horizontal="left" vertical="center" indent="1"/>
      <protection hidden="1"/>
    </xf>
    <xf numFmtId="14" fontId="3" fillId="15" borderId="7" xfId="0" applyNumberFormat="1" applyFont="1" applyFill="1" applyBorder="1" applyAlignment="1" applyProtection="1">
      <alignment horizontal="left" vertical="center" indent="1"/>
      <protection hidden="1"/>
    </xf>
    <xf numFmtId="14" fontId="3" fillId="15" borderId="26" xfId="0" applyNumberFormat="1" applyFont="1" applyFill="1" applyBorder="1" applyAlignment="1" applyProtection="1">
      <alignment horizontal="left" vertical="center" indent="1"/>
      <protection hidden="1"/>
    </xf>
    <xf numFmtId="14" fontId="3" fillId="15" borderId="1" xfId="0" applyNumberFormat="1" applyFont="1" applyFill="1" applyBorder="1" applyAlignment="1" applyProtection="1">
      <alignment horizontal="left" vertical="center" indent="1"/>
      <protection hidden="1"/>
    </xf>
    <xf numFmtId="37" fontId="4" fillId="15" borderId="7" xfId="0" applyNumberFormat="1" applyFont="1" applyFill="1" applyBorder="1" applyAlignment="1" applyProtection="1">
      <alignment horizontal="right" vertical="center"/>
      <protection hidden="1"/>
    </xf>
    <xf numFmtId="37" fontId="4" fillId="15" borderId="1" xfId="0" applyNumberFormat="1" applyFont="1" applyFill="1" applyBorder="1" applyAlignment="1" applyProtection="1">
      <alignment horizontal="right" vertical="center"/>
      <protection hidden="1"/>
    </xf>
    <xf numFmtId="0" fontId="109" fillId="15" borderId="0" xfId="0" applyFont="1" applyFill="1" applyAlignment="1" applyProtection="1">
      <alignment horizontal="left"/>
      <protection hidden="1"/>
    </xf>
    <xf numFmtId="0" fontId="122" fillId="15" borderId="0" xfId="0" applyFont="1" applyFill="1" applyAlignment="1" applyProtection="1">
      <alignment horizontal="left"/>
      <protection hidden="1"/>
    </xf>
    <xf numFmtId="0" fontId="122" fillId="15" borderId="0" xfId="0" applyFont="1" applyFill="1" applyAlignment="1" applyProtection="1">
      <alignment horizontal="left" vertical="center"/>
      <protection hidden="1"/>
    </xf>
    <xf numFmtId="0" fontId="122" fillId="15" borderId="0" xfId="0" applyFont="1" applyFill="1" applyAlignment="1" applyProtection="1">
      <alignment horizontal="left" vertical="top"/>
      <protection hidden="1"/>
    </xf>
    <xf numFmtId="37" fontId="0" fillId="27" borderId="69" xfId="0" applyNumberFormat="1" applyFill="1" applyBorder="1" applyProtection="1">
      <protection hidden="1"/>
    </xf>
    <xf numFmtId="37" fontId="0" fillId="27" borderId="4" xfId="0" applyNumberFormat="1" applyFill="1" applyBorder="1"/>
    <xf numFmtId="41" fontId="0" fillId="16"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37" fontId="0" fillId="27" borderId="9" xfId="0" applyNumberFormat="1" applyFill="1" applyBorder="1" applyProtection="1">
      <protection hidden="1"/>
    </xf>
    <xf numFmtId="3" fontId="110" fillId="15" borderId="0" xfId="0" applyNumberFormat="1" applyFont="1" applyFill="1" applyAlignment="1" applyProtection="1">
      <alignment wrapText="1"/>
      <protection hidden="1"/>
    </xf>
    <xf numFmtId="37" fontId="0" fillId="16" borderId="9" xfId="0" applyNumberFormat="1" applyFill="1" applyBorder="1" applyAlignment="1" applyProtection="1">
      <alignment wrapText="1"/>
      <protection locked="0"/>
    </xf>
    <xf numFmtId="37" fontId="0" fillId="16" borderId="1" xfId="0" applyNumberFormat="1" applyFill="1" applyBorder="1" applyAlignment="1" applyProtection="1">
      <alignment wrapText="1"/>
      <protection locked="0"/>
    </xf>
    <xf numFmtId="37" fontId="0" fillId="16" borderId="11" xfId="0" applyNumberFormat="1" applyFill="1" applyBorder="1" applyAlignment="1" applyProtection="1">
      <alignment wrapText="1"/>
      <protection locked="0"/>
    </xf>
    <xf numFmtId="0" fontId="11" fillId="16" borderId="39" xfId="0" applyFont="1" applyFill="1" applyBorder="1" applyAlignment="1" applyProtection="1">
      <alignment horizontal="center" vertical="top" wrapText="1"/>
      <protection locked="0"/>
    </xf>
    <xf numFmtId="0" fontId="11" fillId="16" borderId="25" xfId="0" applyFont="1" applyFill="1" applyBorder="1" applyAlignment="1" applyProtection="1">
      <alignment horizontal="center" vertical="top" wrapText="1"/>
      <protection locked="0"/>
    </xf>
    <xf numFmtId="0" fontId="11" fillId="16" borderId="54" xfId="0" applyFont="1" applyFill="1" applyBorder="1" applyAlignment="1" applyProtection="1">
      <alignment horizontal="center" vertical="top" wrapText="1"/>
      <protection locked="0"/>
    </xf>
    <xf numFmtId="0" fontId="3" fillId="15" borderId="0" xfId="0" applyFont="1" applyFill="1" applyAlignment="1" applyProtection="1">
      <alignment horizontal="right" vertical="center" wrapText="1" indent="1"/>
      <protection hidden="1"/>
    </xf>
    <xf numFmtId="0" fontId="0" fillId="19" borderId="3" xfId="0" applyFill="1" applyBorder="1" applyAlignment="1" applyProtection="1">
      <alignment wrapText="1"/>
      <protection hidden="1"/>
    </xf>
    <xf numFmtId="37" fontId="5" fillId="27"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37" fontId="5" fillId="27" borderId="0" xfId="0" applyNumberFormat="1" applyFont="1" applyFill="1" applyAlignment="1" applyProtection="1">
      <alignment wrapText="1"/>
      <protection hidden="1"/>
    </xf>
    <xf numFmtId="37" fontId="5" fillId="0" borderId="0" xfId="0" applyNumberFormat="1" applyFont="1" applyAlignment="1">
      <alignment wrapText="1"/>
    </xf>
    <xf numFmtId="0" fontId="3" fillId="15" borderId="9" xfId="0" applyFont="1" applyFill="1" applyBorder="1" applyAlignment="1" applyProtection="1">
      <alignment horizontal="center" vertical="center" wrapText="1"/>
      <protection hidden="1"/>
    </xf>
    <xf numFmtId="41" fontId="7" fillId="16" borderId="39" xfId="0" applyNumberFormat="1" applyFont="1" applyFill="1" applyBorder="1" applyAlignment="1" applyProtection="1">
      <alignment horizontal="center" vertical="center" wrapText="1"/>
      <protection locked="0"/>
    </xf>
    <xf numFmtId="41" fontId="7" fillId="16" borderId="54" xfId="0" applyNumberFormat="1" applyFont="1" applyFill="1" applyBorder="1" applyAlignment="1" applyProtection="1">
      <alignment horizontal="center" vertical="center" wrapText="1"/>
      <protection locked="0"/>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0" fillId="0" borderId="0" xfId="0" applyAlignment="1" applyProtection="1">
      <alignment wrapText="1"/>
      <protection hidden="1"/>
    </xf>
    <xf numFmtId="0" fontId="115" fillId="15" borderId="3" xfId="0" applyFont="1" applyFill="1" applyBorder="1" applyAlignment="1" applyProtection="1">
      <alignment horizontal="center" vertical="center"/>
      <protection hidden="1"/>
    </xf>
    <xf numFmtId="0" fontId="115" fillId="0" borderId="0" xfId="0" applyFont="1" applyAlignment="1">
      <alignment horizontal="center" vertical="center"/>
    </xf>
    <xf numFmtId="37" fontId="3" fillId="27" borderId="25" xfId="0" applyNumberFormat="1" applyFont="1" applyFill="1" applyBorder="1" applyAlignment="1" applyProtection="1">
      <alignment wrapText="1"/>
      <protection hidden="1"/>
    </xf>
    <xf numFmtId="37" fontId="0" fillId="0" borderId="25" xfId="0" applyNumberFormat="1" applyBorder="1" applyAlignment="1">
      <alignment wrapText="1"/>
    </xf>
    <xf numFmtId="0" fontId="115" fillId="15" borderId="3" xfId="0" applyFont="1" applyFill="1" applyBorder="1" applyAlignment="1" applyProtection="1">
      <alignment horizontal="center"/>
      <protection hidden="1"/>
    </xf>
    <xf numFmtId="0" fontId="115" fillId="0" borderId="0" xfId="0" applyFont="1" applyAlignment="1">
      <alignment horizontal="center"/>
    </xf>
    <xf numFmtId="191" fontId="0" fillId="27" borderId="9" xfId="0" applyNumberFormat="1" applyFill="1" applyBorder="1" applyProtection="1">
      <protection hidden="1"/>
    </xf>
    <xf numFmtId="191" fontId="0" fillId="27" borderId="1" xfId="0" applyNumberFormat="1" applyFill="1" applyBorder="1"/>
    <xf numFmtId="0" fontId="109" fillId="15" borderId="3" xfId="0" applyFont="1" applyFill="1" applyBorder="1" applyAlignment="1" applyProtection="1">
      <alignment horizontal="center"/>
      <protection hidden="1"/>
    </xf>
    <xf numFmtId="0" fontId="109" fillId="15" borderId="0" xfId="0" applyFont="1" applyFill="1" applyAlignment="1" applyProtection="1">
      <alignment horizontal="center"/>
      <protection hidden="1"/>
    </xf>
    <xf numFmtId="0" fontId="3" fillId="15" borderId="39" xfId="0" applyFont="1" applyFill="1" applyBorder="1" applyAlignment="1" applyProtection="1">
      <alignment horizontal="center" vertical="center" wrapText="1"/>
      <protection hidden="1"/>
    </xf>
    <xf numFmtId="0" fontId="0" fillId="0" borderId="54" xfId="0" applyBorder="1" applyAlignment="1">
      <alignment wrapText="1"/>
    </xf>
    <xf numFmtId="0" fontId="43" fillId="16" borderId="0" xfId="0" applyFont="1" applyFill="1" applyAlignment="1" applyProtection="1">
      <alignment wrapText="1"/>
      <protection locked="0"/>
    </xf>
    <xf numFmtId="0" fontId="9" fillId="15" borderId="56" xfId="0" applyFont="1" applyFill="1" applyBorder="1" applyAlignment="1" applyProtection="1">
      <alignment wrapText="1"/>
      <protection hidden="1"/>
    </xf>
    <xf numFmtId="0" fontId="0" fillId="0" borderId="7" xfId="0" applyBorder="1" applyAlignment="1">
      <alignment wrapText="1"/>
    </xf>
    <xf numFmtId="166" fontId="19" fillId="27" borderId="3" xfId="0" applyNumberFormat="1" applyFont="1" applyFill="1" applyBorder="1" applyAlignment="1" applyProtection="1">
      <alignment horizontal="center" wrapText="1"/>
      <protection hidden="1"/>
    </xf>
    <xf numFmtId="0" fontId="73" fillId="0" borderId="0" xfId="0" applyFont="1" applyAlignment="1">
      <alignment wrapText="1"/>
    </xf>
    <xf numFmtId="0" fontId="73" fillId="0" borderId="9" xfId="0" applyFont="1" applyBorder="1" applyAlignment="1">
      <alignment wrapText="1"/>
    </xf>
    <xf numFmtId="0" fontId="73" fillId="0" borderId="1" xfId="0" applyFont="1" applyBorder="1" applyAlignment="1">
      <alignment wrapText="1"/>
    </xf>
    <xf numFmtId="3" fontId="5" fillId="27" borderId="1" xfId="0" applyNumberFormat="1" applyFont="1" applyFill="1" applyBorder="1" applyAlignment="1" applyProtection="1">
      <alignment wrapText="1"/>
      <protection hidden="1"/>
    </xf>
    <xf numFmtId="0" fontId="5" fillId="0" borderId="1" xfId="0" applyFont="1" applyBorder="1" applyAlignment="1">
      <alignment wrapText="1"/>
    </xf>
    <xf numFmtId="0" fontId="0" fillId="19" borderId="30" xfId="0" applyFill="1" applyBorder="1" applyAlignment="1" applyProtection="1">
      <alignment vertical="top" wrapText="1"/>
      <protection hidden="1"/>
    </xf>
    <xf numFmtId="0" fontId="0" fillId="0" borderId="8" xfId="0" applyBorder="1" applyAlignment="1">
      <alignment vertical="top" wrapText="1"/>
    </xf>
    <xf numFmtId="0" fontId="14" fillId="15" borderId="0" xfId="0" applyFont="1" applyFill="1" applyAlignment="1" applyProtection="1">
      <alignment horizontal="right" vertical="center" wrapText="1" indent="1"/>
      <protection hidden="1"/>
    </xf>
    <xf numFmtId="0" fontId="3" fillId="15" borderId="39" xfId="0" applyFont="1" applyFill="1" applyBorder="1" applyAlignment="1" applyProtection="1">
      <alignment horizontal="center" wrapText="1"/>
      <protection hidden="1"/>
    </xf>
    <xf numFmtId="0" fontId="3" fillId="0" borderId="25" xfId="0" applyFont="1" applyBorder="1" applyAlignment="1">
      <alignment horizontal="center" wrapText="1"/>
    </xf>
    <xf numFmtId="0" fontId="3" fillId="0" borderId="54" xfId="0" applyFont="1" applyBorder="1" applyAlignment="1">
      <alignment horizontal="center" wrapText="1"/>
    </xf>
    <xf numFmtId="3" fontId="5" fillId="16" borderId="9" xfId="0" applyNumberFormat="1" applyFont="1" applyFill="1" applyBorder="1" applyAlignment="1" applyProtection="1">
      <alignment horizontal="right" wrapText="1"/>
      <protection locked="0"/>
    </xf>
    <xf numFmtId="3" fontId="5" fillId="16" borderId="1" xfId="0" applyNumberFormat="1" applyFont="1" applyFill="1" applyBorder="1" applyAlignment="1" applyProtection="1">
      <alignment horizontal="right" wrapText="1"/>
      <protection locked="0"/>
    </xf>
    <xf numFmtId="3" fontId="5" fillId="16" borderId="11" xfId="0" applyNumberFormat="1" applyFont="1" applyFill="1" applyBorder="1" applyAlignment="1" applyProtection="1">
      <alignment horizontal="right" wrapText="1"/>
      <protection locked="0"/>
    </xf>
    <xf numFmtId="0" fontId="8" fillId="16" borderId="154" xfId="0" applyFont="1" applyFill="1" applyBorder="1" applyAlignment="1" applyProtection="1">
      <alignment wrapText="1"/>
      <protection locked="0"/>
    </xf>
    <xf numFmtId="0" fontId="8" fillId="0" borderId="154" xfId="0" applyFont="1" applyBorder="1" applyAlignment="1" applyProtection="1">
      <alignment wrapText="1"/>
      <protection locked="0"/>
    </xf>
    <xf numFmtId="3" fontId="5" fillId="27" borderId="39" xfId="0" applyNumberFormat="1" applyFont="1" applyFill="1" applyBorder="1" applyAlignment="1" applyProtection="1">
      <alignment horizontal="right" wrapText="1"/>
      <protection hidden="1"/>
    </xf>
    <xf numFmtId="3" fontId="5" fillId="27" borderId="25" xfId="0" applyNumberFormat="1" applyFont="1" applyFill="1" applyBorder="1" applyAlignment="1" applyProtection="1">
      <alignment horizontal="right" wrapText="1"/>
      <protection hidden="1"/>
    </xf>
    <xf numFmtId="3" fontId="5" fillId="27" borderId="54" xfId="0" applyNumberFormat="1" applyFont="1" applyFill="1" applyBorder="1" applyAlignment="1" applyProtection="1">
      <alignment horizontal="right" wrapText="1"/>
      <protection hidden="1"/>
    </xf>
    <xf numFmtId="3" fontId="5" fillId="16" borderId="39" xfId="0" applyNumberFormat="1" applyFont="1" applyFill="1" applyBorder="1" applyAlignment="1" applyProtection="1">
      <alignment horizontal="right" wrapText="1"/>
      <protection locked="0"/>
    </xf>
    <xf numFmtId="3" fontId="5" fillId="16" borderId="25" xfId="0" applyNumberFormat="1" applyFont="1" applyFill="1" applyBorder="1" applyAlignment="1" applyProtection="1">
      <alignment horizontal="right" wrapText="1"/>
      <protection locked="0"/>
    </xf>
    <xf numFmtId="3" fontId="5" fillId="16" borderId="54" xfId="0" applyNumberFormat="1" applyFont="1" applyFill="1" applyBorder="1" applyAlignment="1" applyProtection="1">
      <alignment horizontal="right" wrapText="1"/>
      <protection locked="0"/>
    </xf>
    <xf numFmtId="0" fontId="8" fillId="16" borderId="92" xfId="0" applyFont="1" applyFill="1" applyBorder="1" applyAlignment="1" applyProtection="1">
      <alignment horizontal="left" wrapText="1"/>
      <protection locked="0"/>
    </xf>
    <xf numFmtId="0" fontId="8" fillId="0" borderId="92" xfId="0" applyFont="1" applyBorder="1" applyAlignment="1" applyProtection="1">
      <alignment horizontal="left" wrapText="1"/>
      <protection locked="0"/>
    </xf>
    <xf numFmtId="0" fontId="0" fillId="19" borderId="30" xfId="0" applyFill="1" applyBorder="1" applyAlignment="1" applyProtection="1">
      <alignment wrapText="1"/>
      <protection hidden="1"/>
    </xf>
    <xf numFmtId="0" fontId="46"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center" wrapText="1"/>
      <protection hidden="1"/>
    </xf>
    <xf numFmtId="0" fontId="3" fillId="15" borderId="9" xfId="0" applyFont="1" applyFill="1" applyBorder="1" applyAlignment="1" applyProtection="1">
      <alignment horizontal="center"/>
      <protection hidden="1"/>
    </xf>
    <xf numFmtId="0" fontId="3" fillId="0" borderId="11" xfId="0" applyFont="1" applyBorder="1" applyAlignment="1" applyProtection="1">
      <alignment horizontal="center"/>
      <protection hidden="1"/>
    </xf>
    <xf numFmtId="0" fontId="224" fillId="31" borderId="27" xfId="0" applyFont="1" applyFill="1" applyBorder="1" applyAlignment="1" applyProtection="1">
      <alignment horizontal="center"/>
      <protection hidden="1"/>
    </xf>
    <xf numFmtId="0" fontId="225" fillId="31" borderId="27" xfId="0" applyFont="1" applyFill="1" applyBorder="1" applyAlignment="1" applyProtection="1">
      <alignment horizontal="center"/>
      <protection hidden="1"/>
    </xf>
    <xf numFmtId="0" fontId="10" fillId="15" borderId="27" xfId="0" applyFont="1" applyFill="1" applyBorder="1" applyAlignment="1" applyProtection="1">
      <alignment horizontal="left" wrapText="1" indent="1"/>
      <protection hidden="1"/>
    </xf>
    <xf numFmtId="0" fontId="10" fillId="0" borderId="27" xfId="0" applyFont="1" applyBorder="1" applyAlignment="1">
      <alignment horizontal="left" wrapText="1" indent="1"/>
    </xf>
    <xf numFmtId="37" fontId="0" fillId="27" borderId="9" xfId="0" applyNumberFormat="1" applyFill="1" applyBorder="1" applyAlignment="1" applyProtection="1">
      <alignment wrapText="1"/>
      <protection hidden="1"/>
    </xf>
    <xf numFmtId="37" fontId="0" fillId="27" borderId="1" xfId="0" applyNumberFormat="1" applyFill="1" applyBorder="1" applyAlignment="1" applyProtection="1">
      <alignment wrapText="1"/>
      <protection hidden="1"/>
    </xf>
    <xf numFmtId="37" fontId="0" fillId="27" borderId="11" xfId="0" applyNumberFormat="1" applyFill="1" applyBorder="1" applyAlignment="1" applyProtection="1">
      <alignment wrapText="1"/>
      <protection hidden="1"/>
    </xf>
    <xf numFmtId="37" fontId="0" fillId="16" borderId="3" xfId="0" applyNumberFormat="1" applyFill="1" applyBorder="1" applyAlignment="1" applyProtection="1">
      <alignment wrapText="1"/>
      <protection locked="0"/>
    </xf>
    <xf numFmtId="37" fontId="0" fillId="16" borderId="0" xfId="0" applyNumberFormat="1" applyFill="1" applyAlignment="1" applyProtection="1">
      <alignment wrapText="1"/>
      <protection locked="0"/>
    </xf>
    <xf numFmtId="37" fontId="0" fillId="16" borderId="24" xfId="0" applyNumberFormat="1" applyFill="1" applyBorder="1" applyAlignment="1" applyProtection="1">
      <alignment wrapText="1"/>
      <protection locked="0"/>
    </xf>
    <xf numFmtId="41" fontId="8" fillId="27" borderId="25" xfId="0" applyNumberFormat="1" applyFont="1" applyFill="1" applyBorder="1" applyAlignment="1" applyProtection="1">
      <alignment horizontal="center" vertical="center" wrapText="1"/>
      <protection hidden="1"/>
    </xf>
    <xf numFmtId="0" fontId="9" fillId="15" borderId="8" xfId="0" applyFont="1" applyFill="1" applyBorder="1" applyAlignment="1">
      <alignment horizontal="center" vertical="center" wrapText="1"/>
    </xf>
    <xf numFmtId="0" fontId="9" fillId="15" borderId="3" xfId="0" applyFont="1" applyFill="1" applyBorder="1" applyAlignment="1">
      <alignment horizontal="center" vertical="center" wrapText="1"/>
    </xf>
    <xf numFmtId="0" fontId="9" fillId="15" borderId="0" xfId="0" applyFont="1" applyFill="1" applyAlignment="1">
      <alignment horizontal="center" vertical="center" wrapText="1"/>
    </xf>
    <xf numFmtId="0" fontId="9" fillId="15" borderId="9" xfId="0" applyFont="1" applyFill="1" applyBorder="1" applyAlignment="1">
      <alignment horizontal="center" vertical="center" wrapText="1"/>
    </xf>
    <xf numFmtId="0" fontId="9" fillId="15" borderId="1" xfId="0" applyFont="1" applyFill="1" applyBorder="1" applyAlignment="1">
      <alignment horizontal="center" vertical="center" wrapText="1"/>
    </xf>
    <xf numFmtId="0" fontId="9" fillId="0" borderId="8" xfId="0" applyFont="1" applyBorder="1" applyAlignment="1">
      <alignment wrapText="1"/>
    </xf>
    <xf numFmtId="0" fontId="9" fillId="0" borderId="14" xfId="0" applyFont="1" applyBorder="1" applyAlignment="1">
      <alignment wrapText="1"/>
    </xf>
    <xf numFmtId="0" fontId="9" fillId="0" borderId="3" xfId="0" applyFont="1" applyBorder="1" applyAlignment="1">
      <alignment wrapText="1"/>
    </xf>
    <xf numFmtId="0" fontId="9" fillId="0" borderId="0" xfId="0" applyFont="1" applyAlignment="1">
      <alignment wrapText="1"/>
    </xf>
    <xf numFmtId="0" fontId="9" fillId="0" borderId="24" xfId="0" applyFont="1" applyBorder="1" applyAlignment="1">
      <alignment wrapText="1"/>
    </xf>
    <xf numFmtId="0" fontId="9" fillId="0" borderId="9" xfId="0" applyFont="1" applyBorder="1" applyAlignment="1">
      <alignment wrapText="1"/>
    </xf>
    <xf numFmtId="0" fontId="9" fillId="0" borderId="1" xfId="0" applyFont="1" applyBorder="1" applyAlignment="1">
      <alignment wrapText="1"/>
    </xf>
    <xf numFmtId="0" fontId="9" fillId="0" borderId="11" xfId="0" applyFont="1" applyBorder="1" applyAlignment="1">
      <alignment wrapText="1"/>
    </xf>
    <xf numFmtId="0" fontId="3" fillId="15" borderId="0" xfId="0" applyFont="1" applyFill="1" applyAlignment="1" applyProtection="1">
      <alignment horizontal="left" vertical="center" wrapText="1" indent="1"/>
      <protection hidden="1"/>
    </xf>
    <xf numFmtId="0" fontId="11" fillId="15" borderId="30" xfId="0" applyFont="1" applyFill="1" applyBorder="1" applyAlignment="1" applyProtection="1">
      <alignment horizontal="center" vertical="center" wrapText="1"/>
      <protection hidden="1"/>
    </xf>
    <xf numFmtId="0" fontId="9" fillId="15" borderId="3" xfId="0" applyFont="1" applyFill="1" applyBorder="1" applyAlignment="1" applyProtection="1">
      <alignment horizontal="center" vertical="top" wrapText="1"/>
      <protection hidden="1"/>
    </xf>
    <xf numFmtId="0" fontId="9" fillId="0" borderId="0" xfId="0" applyFont="1" applyAlignment="1">
      <alignment vertical="top" wrapText="1"/>
    </xf>
    <xf numFmtId="0" fontId="9" fillId="0" borderId="24" xfId="0" applyFont="1" applyBorder="1" applyAlignment="1">
      <alignment vertical="top" wrapText="1"/>
    </xf>
    <xf numFmtId="0" fontId="9" fillId="15" borderId="9" xfId="0" applyFont="1" applyFill="1" applyBorder="1" applyAlignment="1" applyProtection="1">
      <alignment horizontal="center" vertical="center" wrapText="1"/>
      <protection hidden="1"/>
    </xf>
    <xf numFmtId="0" fontId="3" fillId="15" borderId="30" xfId="0" applyFont="1" applyFill="1" applyBorder="1" applyAlignment="1" applyProtection="1">
      <alignment horizontal="center"/>
      <protection hidden="1"/>
    </xf>
    <xf numFmtId="0" fontId="3" fillId="0" borderId="14" xfId="0" applyFont="1" applyBorder="1" applyAlignment="1" applyProtection="1">
      <alignment horizontal="center"/>
      <protection hidden="1"/>
    </xf>
    <xf numFmtId="37" fontId="5" fillId="16" borderId="9" xfId="0" applyNumberFormat="1" applyFont="1" applyFill="1" applyBorder="1" applyAlignment="1" applyProtection="1">
      <alignment wrapText="1"/>
      <protection locked="0"/>
    </xf>
    <xf numFmtId="14" fontId="5" fillId="16" borderId="39" xfId="0" applyNumberFormat="1" applyFont="1" applyFill="1" applyBorder="1" applyAlignment="1" applyProtection="1">
      <alignment horizontal="center" vertical="center" wrapText="1"/>
      <protection locked="0"/>
    </xf>
    <xf numFmtId="14" fontId="5" fillId="16" borderId="25" xfId="0" applyNumberFormat="1" applyFont="1" applyFill="1" applyBorder="1" applyAlignment="1" applyProtection="1">
      <alignment horizontal="center" vertical="center" wrapText="1"/>
      <protection locked="0"/>
    </xf>
    <xf numFmtId="14" fontId="5" fillId="0" borderId="25" xfId="0" applyNumberFormat="1" applyFont="1" applyBorder="1" applyAlignment="1" applyProtection="1">
      <alignment horizontal="center" vertical="center" wrapText="1"/>
      <protection locked="0"/>
    </xf>
    <xf numFmtId="41" fontId="7" fillId="0" borderId="54" xfId="0" applyNumberFormat="1" applyFont="1" applyBorder="1" applyAlignment="1" applyProtection="1">
      <alignment horizontal="center" vertical="center" wrapText="1"/>
      <protection locked="0"/>
    </xf>
    <xf numFmtId="0" fontId="14" fillId="15" borderId="25" xfId="0" applyFont="1" applyFill="1" applyBorder="1" applyAlignment="1" applyProtection="1">
      <alignment horizontal="left" vertical="center" wrapText="1" indent="1"/>
      <protection hidden="1"/>
    </xf>
    <xf numFmtId="0" fontId="14" fillId="15" borderId="8" xfId="0" applyFont="1" applyFill="1" applyBorder="1" applyAlignment="1" applyProtection="1">
      <alignment horizontal="left" vertical="center" wrapText="1"/>
      <protection hidden="1"/>
    </xf>
    <xf numFmtId="0" fontId="14" fillId="15" borderId="8" xfId="0" applyFont="1" applyFill="1" applyBorder="1" applyAlignment="1">
      <alignment horizontal="left" vertical="center" wrapText="1"/>
    </xf>
    <xf numFmtId="0" fontId="10" fillId="15" borderId="14" xfId="0" applyFont="1" applyFill="1" applyBorder="1" applyAlignment="1" applyProtection="1">
      <alignment horizontal="center" vertical="center" textRotation="90"/>
      <protection hidden="1"/>
    </xf>
    <xf numFmtId="0" fontId="5" fillId="0" borderId="24" xfId="0" applyFont="1" applyBorder="1" applyAlignment="1">
      <alignment vertical="center" textRotation="90"/>
    </xf>
    <xf numFmtId="0" fontId="5" fillId="0" borderId="11" xfId="0" applyFont="1" applyBorder="1" applyAlignment="1">
      <alignment vertical="center" textRotation="90"/>
    </xf>
    <xf numFmtId="37" fontId="5" fillId="27" borderId="39" xfId="0" applyNumberFormat="1" applyFont="1" applyFill="1" applyBorder="1" applyAlignment="1" applyProtection="1">
      <alignment horizontal="right" wrapText="1"/>
      <protection hidden="1"/>
    </xf>
    <xf numFmtId="37" fontId="5" fillId="27" borderId="25" xfId="0" applyNumberFormat="1" applyFont="1" applyFill="1" applyBorder="1" applyAlignment="1" applyProtection="1">
      <alignment horizontal="right" wrapText="1"/>
      <protection hidden="1"/>
    </xf>
    <xf numFmtId="37" fontId="5" fillId="27" borderId="54" xfId="0" applyNumberFormat="1" applyFont="1" applyFill="1" applyBorder="1" applyAlignment="1" applyProtection="1">
      <alignment horizontal="right" wrapText="1"/>
      <protection hidden="1"/>
    </xf>
    <xf numFmtId="0" fontId="8" fillId="15" borderId="30" xfId="0" applyFont="1" applyFill="1" applyBorder="1" applyAlignment="1" applyProtection="1">
      <alignment horizontal="center" vertical="center" wrapText="1"/>
      <protection hidden="1"/>
    </xf>
    <xf numFmtId="0" fontId="8" fillId="0" borderId="8"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wrapText="1"/>
    </xf>
    <xf numFmtId="0" fontId="7" fillId="15" borderId="9" xfId="0" applyFont="1" applyFill="1" applyBorder="1" applyAlignment="1">
      <alignment horizontal="center" vertical="center" wrapText="1"/>
    </xf>
    <xf numFmtId="0" fontId="7" fillId="15" borderId="1" xfId="0" applyFont="1" applyFill="1" applyBorder="1" applyAlignment="1">
      <alignment horizontal="center" vertical="center" wrapText="1"/>
    </xf>
    <xf numFmtId="191" fontId="5" fillId="27" borderId="39" xfId="0" applyNumberFormat="1" applyFont="1" applyFill="1" applyBorder="1" applyAlignment="1" applyProtection="1">
      <alignment horizontal="right" wrapText="1"/>
      <protection hidden="1"/>
    </xf>
    <xf numFmtId="191" fontId="5" fillId="27" borderId="25" xfId="0" applyNumberFormat="1" applyFont="1" applyFill="1" applyBorder="1" applyAlignment="1" applyProtection="1">
      <alignment horizontal="right" wrapText="1"/>
      <protection hidden="1"/>
    </xf>
    <xf numFmtId="191" fontId="5" fillId="27" borderId="54" xfId="0" applyNumberFormat="1" applyFont="1" applyFill="1" applyBorder="1" applyAlignment="1" applyProtection="1">
      <alignment horizontal="right" wrapText="1"/>
      <protection hidden="1"/>
    </xf>
    <xf numFmtId="192" fontId="5" fillId="27" borderId="39" xfId="0" applyNumberFormat="1" applyFont="1" applyFill="1" applyBorder="1" applyAlignment="1" applyProtection="1">
      <alignment horizontal="right" wrapText="1"/>
      <protection hidden="1"/>
    </xf>
    <xf numFmtId="192" fontId="5" fillId="27" borderId="25" xfId="0" applyNumberFormat="1" applyFont="1" applyFill="1" applyBorder="1" applyAlignment="1" applyProtection="1">
      <alignment horizontal="right" wrapText="1"/>
      <protection hidden="1"/>
    </xf>
    <xf numFmtId="192" fontId="5" fillId="27" borderId="54" xfId="0" applyNumberFormat="1" applyFont="1" applyFill="1" applyBorder="1" applyAlignment="1" applyProtection="1">
      <alignment horizontal="right" wrapText="1"/>
      <protection hidden="1"/>
    </xf>
    <xf numFmtId="0" fontId="0" fillId="0" borderId="11" xfId="0" applyBorder="1" applyAlignment="1" applyProtection="1">
      <alignment horizontal="center"/>
      <protection hidden="1"/>
    </xf>
    <xf numFmtId="0" fontId="3" fillId="15" borderId="39" xfId="0" applyFont="1" applyFill="1" applyBorder="1" applyAlignment="1" applyProtection="1">
      <alignment horizontal="center"/>
      <protection hidden="1"/>
    </xf>
    <xf numFmtId="0" fontId="110" fillId="15" borderId="30" xfId="0" applyFont="1" applyFill="1" applyBorder="1" applyProtection="1">
      <protection hidden="1"/>
    </xf>
    <xf numFmtId="0" fontId="110" fillId="0" borderId="14" xfId="0" applyFont="1" applyBorder="1"/>
    <xf numFmtId="0" fontId="3" fillId="15" borderId="56" xfId="0" applyFont="1" applyFill="1" applyBorder="1" applyAlignment="1" applyProtection="1">
      <alignment horizontal="center"/>
      <protection hidden="1"/>
    </xf>
    <xf numFmtId="0" fontId="3" fillId="0" borderId="36" xfId="0" applyFont="1" applyBorder="1" applyAlignment="1" applyProtection="1">
      <alignment horizontal="center"/>
      <protection hidden="1"/>
    </xf>
    <xf numFmtId="0" fontId="9" fillId="15" borderId="30" xfId="0" applyFont="1" applyFill="1" applyBorder="1" applyAlignment="1" applyProtection="1">
      <alignment horizontal="center" wrapText="1"/>
      <protection hidden="1"/>
    </xf>
    <xf numFmtId="0" fontId="9" fillId="0" borderId="8" xfId="0" applyFont="1" applyBorder="1"/>
    <xf numFmtId="0" fontId="9" fillId="0" borderId="14" xfId="0" applyFont="1" applyBorder="1"/>
    <xf numFmtId="0" fontId="9" fillId="0" borderId="3" xfId="0" applyFont="1" applyBorder="1"/>
    <xf numFmtId="0" fontId="9" fillId="0" borderId="0" xfId="0" applyFont="1"/>
    <xf numFmtId="0" fontId="9" fillId="0" borderId="24" xfId="0" applyFont="1" applyBorder="1"/>
    <xf numFmtId="0" fontId="5" fillId="15" borderId="0" xfId="0" applyFont="1" applyFill="1" applyAlignment="1" applyProtection="1">
      <alignment wrapText="1"/>
      <protection hidden="1"/>
    </xf>
    <xf numFmtId="0" fontId="3" fillId="15" borderId="8" xfId="0" applyFont="1" applyFill="1" applyBorder="1" applyAlignment="1" applyProtection="1">
      <alignment horizontal="center" wrapText="1"/>
      <protection hidden="1"/>
    </xf>
    <xf numFmtId="0" fontId="14" fillId="15" borderId="0" xfId="0" applyFont="1" applyFill="1" applyAlignment="1" applyProtection="1">
      <alignment horizontal="left" vertical="center" wrapText="1" indent="1"/>
      <protection hidden="1"/>
    </xf>
    <xf numFmtId="0" fontId="14" fillId="15" borderId="0" xfId="0" applyFont="1" applyFill="1" applyAlignment="1" applyProtection="1">
      <alignment horizontal="right" vertical="top" wrapText="1"/>
      <protection hidden="1"/>
    </xf>
    <xf numFmtId="0" fontId="3" fillId="0" borderId="25" xfId="0" applyFont="1" applyBorder="1" applyAlignment="1">
      <alignment horizontal="center" vertical="center" wrapText="1"/>
    </xf>
    <xf numFmtId="0" fontId="3" fillId="0" borderId="54" xfId="0" applyFont="1" applyBorder="1" applyAlignment="1">
      <alignment horizontal="center" vertical="center" wrapText="1"/>
    </xf>
    <xf numFmtId="0" fontId="14" fillId="15" borderId="25" xfId="0" applyFont="1" applyFill="1" applyBorder="1" applyAlignment="1" applyProtection="1">
      <alignment wrapText="1"/>
      <protection hidden="1"/>
    </xf>
    <xf numFmtId="0" fontId="14" fillId="0" borderId="25" xfId="0" applyFont="1" applyBorder="1" applyAlignment="1">
      <alignment wrapText="1"/>
    </xf>
    <xf numFmtId="0" fontId="3" fillId="15" borderId="5" xfId="0" applyFont="1" applyFill="1" applyBorder="1" applyAlignment="1" applyProtection="1">
      <alignment horizontal="center" wrapText="1"/>
      <protection hidden="1"/>
    </xf>
    <xf numFmtId="0" fontId="3" fillId="0" borderId="20" xfId="0" applyFont="1" applyBorder="1" applyAlignment="1">
      <alignment horizontal="center" wrapText="1"/>
    </xf>
    <xf numFmtId="0" fontId="8" fillId="15" borderId="5"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0" xfId="0" applyFont="1" applyBorder="1" applyAlignment="1">
      <alignment horizontal="center" wrapText="1"/>
    </xf>
    <xf numFmtId="0" fontId="8" fillId="15" borderId="21" xfId="0" applyFont="1" applyFill="1" applyBorder="1" applyAlignment="1" applyProtection="1">
      <alignment horizontal="center" wrapText="1"/>
      <protection hidden="1"/>
    </xf>
    <xf numFmtId="0" fontId="8" fillId="0" borderId="4" xfId="0" applyFont="1" applyBorder="1" applyAlignment="1">
      <alignment horizontal="center" wrapText="1"/>
    </xf>
    <xf numFmtId="0" fontId="8" fillId="0" borderId="22" xfId="0" applyFont="1" applyBorder="1" applyAlignment="1">
      <alignment horizontal="center" wrapText="1"/>
    </xf>
    <xf numFmtId="0" fontId="9" fillId="15" borderId="5" xfId="0" applyFont="1" applyFill="1" applyBorder="1" applyAlignment="1" applyProtection="1">
      <alignment horizontal="left" vertical="center" wrapText="1" indent="2"/>
      <protection hidden="1"/>
    </xf>
    <xf numFmtId="0" fontId="9" fillId="0" borderId="0" xfId="0" applyFont="1" applyAlignment="1">
      <alignment horizontal="left" vertical="center" wrapText="1" indent="2"/>
    </xf>
    <xf numFmtId="0" fontId="9" fillId="0" borderId="21" xfId="0" applyFont="1" applyBorder="1" applyAlignment="1">
      <alignment horizontal="left" vertical="center" wrapText="1" indent="2"/>
    </xf>
    <xf numFmtId="0" fontId="9" fillId="0" borderId="4" xfId="0" applyFont="1" applyBorder="1" applyAlignment="1">
      <alignment horizontal="left" vertical="center" wrapText="1" indent="2"/>
    </xf>
    <xf numFmtId="0" fontId="19" fillId="0" borderId="0" xfId="0" applyFont="1" applyAlignment="1" applyProtection="1">
      <alignment horizontal="left" wrapText="1"/>
      <protection hidden="1"/>
    </xf>
    <xf numFmtId="0" fontId="19" fillId="0" borderId="0" xfId="0" applyFont="1" applyAlignment="1">
      <alignment horizontal="left" wrapText="1"/>
    </xf>
    <xf numFmtId="0" fontId="19" fillId="0" borderId="4" xfId="0" applyFont="1" applyBorder="1" applyAlignment="1">
      <alignment horizontal="left" wrapText="1"/>
    </xf>
    <xf numFmtId="0" fontId="0" fillId="15" borderId="3" xfId="0" applyFill="1" applyBorder="1" applyAlignment="1" applyProtection="1">
      <alignment wrapText="1"/>
      <protection hidden="1"/>
    </xf>
    <xf numFmtId="0" fontId="0" fillId="15" borderId="0" xfId="0" applyFill="1" applyAlignment="1" applyProtection="1">
      <alignment wrapText="1"/>
      <protection hidden="1"/>
    </xf>
    <xf numFmtId="41" fontId="0" fillId="16" borderId="52" xfId="0" applyNumberFormat="1" applyFill="1" applyBorder="1" applyAlignment="1" applyProtection="1">
      <alignment wrapText="1"/>
      <protection locked="0" hidden="1"/>
    </xf>
    <xf numFmtId="41" fontId="0" fillId="16" borderId="31" xfId="0" applyNumberFormat="1" applyFill="1" applyBorder="1" applyAlignment="1" applyProtection="1">
      <alignment wrapText="1"/>
      <protection locked="0" hidden="1"/>
    </xf>
    <xf numFmtId="0" fontId="3" fillId="15" borderId="69" xfId="0" applyFont="1" applyFill="1" applyBorder="1" applyAlignment="1" applyProtection="1">
      <alignment horizontal="center"/>
      <protection hidden="1"/>
    </xf>
    <xf numFmtId="0" fontId="3" fillId="0" borderId="70" xfId="0" applyFont="1" applyBorder="1" applyAlignment="1" applyProtection="1">
      <alignment horizontal="center"/>
      <protection hidden="1"/>
    </xf>
    <xf numFmtId="0" fontId="124" fillId="31" borderId="27" xfId="0" applyFont="1" applyFill="1" applyBorder="1" applyAlignment="1" applyProtection="1">
      <alignment horizontal="center"/>
      <protection hidden="1"/>
    </xf>
    <xf numFmtId="0" fontId="110" fillId="31" borderId="27" xfId="0" applyFont="1" applyFill="1" applyBorder="1" applyAlignment="1" applyProtection="1">
      <alignment horizontal="center"/>
      <protection hidden="1"/>
    </xf>
    <xf numFmtId="37" fontId="0" fillId="16" borderId="9" xfId="0" applyNumberFormat="1" applyFill="1" applyBorder="1" applyProtection="1">
      <protection locked="0"/>
    </xf>
    <xf numFmtId="0" fontId="3" fillId="15" borderId="52" xfId="0" applyFont="1" applyFill="1" applyBorder="1" applyAlignment="1" applyProtection="1">
      <alignment horizontal="center"/>
      <protection hidden="1"/>
    </xf>
    <xf numFmtId="0" fontId="3" fillId="0" borderId="73" xfId="0" applyFont="1" applyBorder="1" applyAlignment="1" applyProtection="1">
      <alignment horizontal="center"/>
      <protection hidden="1"/>
    </xf>
    <xf numFmtId="37" fontId="0" fillId="16" borderId="52" xfId="0" applyNumberFormat="1" applyFill="1" applyBorder="1" applyAlignment="1" applyProtection="1">
      <alignment wrapText="1"/>
      <protection locked="0"/>
    </xf>
    <xf numFmtId="37" fontId="0" fillId="16" borderId="31" xfId="0" applyNumberFormat="1" applyFill="1" applyBorder="1" applyAlignment="1" applyProtection="1">
      <alignment wrapText="1"/>
      <protection locked="0"/>
    </xf>
    <xf numFmtId="37" fontId="0" fillId="16" borderId="73" xfId="0" applyNumberFormat="1" applyFill="1" applyBorder="1" applyAlignment="1" applyProtection="1">
      <alignment wrapText="1"/>
      <protection locked="0"/>
    </xf>
    <xf numFmtId="0" fontId="9" fillId="15" borderId="5" xfId="0" applyFont="1" applyFill="1" applyBorder="1" applyAlignment="1" applyProtection="1">
      <alignment horizontal="left" vertical="center" wrapText="1" indent="1"/>
      <protection hidden="1"/>
    </xf>
    <xf numFmtId="0" fontId="9" fillId="0" borderId="0" xfId="0" applyFont="1" applyAlignment="1">
      <alignment horizontal="left" vertical="center" wrapText="1" indent="1"/>
    </xf>
    <xf numFmtId="0" fontId="9" fillId="0" borderId="21" xfId="0" applyFont="1" applyBorder="1" applyAlignment="1">
      <alignment horizontal="left" vertical="center" wrapText="1" indent="1"/>
    </xf>
    <xf numFmtId="0" fontId="9" fillId="0" borderId="4" xfId="0" applyFont="1" applyBorder="1" applyAlignment="1">
      <alignment horizontal="left" vertical="center" wrapText="1" indent="1"/>
    </xf>
    <xf numFmtId="0" fontId="43" fillId="0" borderId="0" xfId="0" applyFont="1" applyAlignment="1" applyProtection="1">
      <alignment horizontal="left" wrapText="1"/>
      <protection hidden="1"/>
    </xf>
    <xf numFmtId="0" fontId="43" fillId="0" borderId="0" xfId="0" applyFont="1" applyAlignment="1">
      <alignment horizontal="left" wrapText="1"/>
    </xf>
    <xf numFmtId="0" fontId="43" fillId="0" borderId="4" xfId="0" applyFont="1" applyBorder="1" applyAlignment="1">
      <alignment horizontal="left" wrapText="1"/>
    </xf>
    <xf numFmtId="0" fontId="84" fillId="15" borderId="0" xfId="0" applyFont="1" applyFill="1" applyAlignment="1" applyProtection="1">
      <alignment horizontal="center"/>
      <protection hidden="1"/>
    </xf>
    <xf numFmtId="0" fontId="14" fillId="16" borderId="25" xfId="0" applyFont="1" applyFill="1" applyBorder="1" applyAlignment="1" applyProtection="1">
      <alignment wrapText="1"/>
      <protection locked="0"/>
    </xf>
    <xf numFmtId="0" fontId="124" fillId="31" borderId="25" xfId="0" applyFont="1" applyFill="1" applyBorder="1" applyAlignment="1" applyProtection="1">
      <alignment horizontal="center"/>
      <protection hidden="1"/>
    </xf>
    <xf numFmtId="0" fontId="198" fillId="31" borderId="25"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0" fontId="8" fillId="16" borderId="154" xfId="0" applyFont="1" applyFill="1" applyBorder="1" applyAlignment="1" applyProtection="1">
      <alignment horizontal="left" wrapText="1"/>
      <protection locked="0"/>
    </xf>
    <xf numFmtId="0" fontId="8" fillId="0" borderId="154" xfId="0" applyFont="1" applyBorder="1" applyAlignment="1" applyProtection="1">
      <alignment horizontal="left" wrapText="1"/>
      <protection locked="0"/>
    </xf>
    <xf numFmtId="3" fontId="5" fillId="16" borderId="9" xfId="0" applyNumberFormat="1" applyFont="1" applyFill="1" applyBorder="1" applyAlignment="1" applyProtection="1">
      <alignment horizontal="right"/>
      <protection locked="0"/>
    </xf>
    <xf numFmtId="3" fontId="5" fillId="16" borderId="1" xfId="0" applyNumberFormat="1" applyFont="1" applyFill="1" applyBorder="1" applyAlignment="1" applyProtection="1">
      <alignment horizontal="right"/>
      <protection locked="0"/>
    </xf>
    <xf numFmtId="3" fontId="5" fillId="16" borderId="11" xfId="0" applyNumberFormat="1" applyFont="1" applyFill="1" applyBorder="1" applyAlignment="1" applyProtection="1">
      <alignment horizontal="right"/>
      <protection locked="0"/>
    </xf>
    <xf numFmtId="191" fontId="5" fillId="27" borderId="9" xfId="0" applyNumberFormat="1" applyFont="1" applyFill="1" applyBorder="1" applyAlignment="1" applyProtection="1">
      <alignment horizontal="right" wrapText="1"/>
      <protection hidden="1"/>
    </xf>
    <xf numFmtId="191" fontId="5" fillId="27" borderId="1" xfId="0" applyNumberFormat="1" applyFont="1" applyFill="1" applyBorder="1" applyAlignment="1" applyProtection="1">
      <alignment horizontal="right" wrapText="1"/>
      <protection hidden="1"/>
    </xf>
    <xf numFmtId="191" fontId="5" fillId="27" borderId="11" xfId="0" applyNumberFormat="1" applyFont="1" applyFill="1" applyBorder="1" applyAlignment="1" applyProtection="1">
      <alignment horizontal="right" wrapText="1"/>
      <protection hidden="1"/>
    </xf>
    <xf numFmtId="192" fontId="5" fillId="27" borderId="9" xfId="0" applyNumberFormat="1" applyFont="1" applyFill="1" applyBorder="1" applyAlignment="1" applyProtection="1">
      <alignment horizontal="right" wrapText="1"/>
      <protection hidden="1"/>
    </xf>
    <xf numFmtId="192" fontId="5" fillId="27" borderId="1" xfId="0" applyNumberFormat="1" applyFont="1" applyFill="1" applyBorder="1" applyAlignment="1" applyProtection="1">
      <alignment horizontal="right" wrapText="1"/>
      <protection hidden="1"/>
    </xf>
    <xf numFmtId="192" fontId="5" fillId="27" borderId="11" xfId="0" applyNumberFormat="1" applyFont="1" applyFill="1" applyBorder="1" applyAlignment="1" applyProtection="1">
      <alignment horizontal="right" wrapText="1"/>
      <protection hidden="1"/>
    </xf>
    <xf numFmtId="3" fontId="5" fillId="27" borderId="9" xfId="0" applyNumberFormat="1" applyFont="1" applyFill="1" applyBorder="1" applyAlignment="1" applyProtection="1">
      <alignment horizontal="right" wrapText="1"/>
      <protection hidden="1"/>
    </xf>
    <xf numFmtId="3" fontId="5" fillId="27" borderId="1" xfId="0" applyNumberFormat="1" applyFont="1" applyFill="1" applyBorder="1" applyAlignment="1" applyProtection="1">
      <alignment horizontal="right" wrapText="1"/>
      <protection hidden="1"/>
    </xf>
    <xf numFmtId="3" fontId="5" fillId="27" borderId="11" xfId="0" applyNumberFormat="1" applyFont="1" applyFill="1" applyBorder="1" applyAlignment="1" applyProtection="1">
      <alignment horizontal="right" wrapText="1"/>
      <protection hidden="1"/>
    </xf>
    <xf numFmtId="3" fontId="5" fillId="27" borderId="0" xfId="0" applyNumberFormat="1" applyFont="1" applyFill="1" applyAlignment="1" applyProtection="1">
      <alignment wrapText="1"/>
      <protection hidden="1"/>
    </xf>
    <xf numFmtId="0" fontId="5" fillId="0" borderId="0" xfId="0" applyFont="1" applyAlignment="1">
      <alignment wrapText="1"/>
    </xf>
    <xf numFmtId="0" fontId="10" fillId="15" borderId="27" xfId="0" applyFont="1" applyFill="1" applyBorder="1" applyAlignment="1" applyProtection="1">
      <alignment horizontal="left" vertical="center" wrapText="1" indent="1"/>
      <protection hidden="1"/>
    </xf>
    <xf numFmtId="0" fontId="10" fillId="0" borderId="27" xfId="0" applyFont="1" applyBorder="1" applyAlignment="1">
      <alignment horizontal="left" vertical="center" wrapText="1" indent="1"/>
    </xf>
    <xf numFmtId="0" fontId="11" fillId="15" borderId="30" xfId="0" applyFont="1" applyFill="1" applyBorder="1" applyAlignment="1" applyProtection="1">
      <alignment horizontal="center" wrapText="1"/>
      <protection hidden="1"/>
    </xf>
    <xf numFmtId="14" fontId="3" fillId="16" borderId="39" xfId="0" applyNumberFormat="1" applyFont="1" applyFill="1" applyBorder="1" applyAlignment="1" applyProtection="1">
      <alignment horizontal="center" vertical="center" wrapText="1"/>
      <protection locked="0"/>
    </xf>
    <xf numFmtId="14" fontId="3" fillId="16" borderId="25" xfId="0" applyNumberFormat="1" applyFont="1" applyFill="1" applyBorder="1" applyAlignment="1" applyProtection="1">
      <alignment horizontal="center" vertical="center" wrapText="1"/>
      <protection locked="0"/>
    </xf>
    <xf numFmtId="14" fontId="0" fillId="0" borderId="25" xfId="0" applyNumberFormat="1" applyBorder="1" applyAlignment="1" applyProtection="1">
      <alignment horizontal="center" vertical="center" wrapText="1"/>
      <protection locked="0"/>
    </xf>
    <xf numFmtId="0" fontId="9" fillId="0" borderId="0" xfId="0" applyFont="1" applyAlignment="1">
      <alignment horizontal="center" vertical="top" wrapText="1"/>
    </xf>
    <xf numFmtId="0" fontId="9" fillId="0" borderId="24" xfId="0" applyFont="1" applyBorder="1" applyAlignment="1">
      <alignment horizontal="center" vertical="top" wrapText="1"/>
    </xf>
    <xf numFmtId="3" fontId="3" fillId="27" borderId="25" xfId="0" applyNumberFormat="1" applyFont="1" applyFill="1" applyBorder="1" applyAlignment="1" applyProtection="1">
      <alignment wrapText="1"/>
      <protection hidden="1"/>
    </xf>
    <xf numFmtId="0" fontId="0" fillId="0" borderId="25" xfId="0" applyBorder="1" applyAlignment="1">
      <alignment wrapText="1"/>
    </xf>
    <xf numFmtId="0" fontId="124" fillId="31" borderId="34" xfId="0" applyFont="1" applyFill="1" applyBorder="1" applyAlignment="1" applyProtection="1">
      <alignment horizontal="center"/>
      <protection hidden="1"/>
    </xf>
    <xf numFmtId="0" fontId="110" fillId="31" borderId="34" xfId="0" applyFont="1" applyFill="1" applyBorder="1" applyAlignment="1" applyProtection="1">
      <alignment horizontal="center"/>
      <protection hidden="1"/>
    </xf>
    <xf numFmtId="0" fontId="14" fillId="15" borderId="8" xfId="0" applyFont="1" applyFill="1" applyBorder="1" applyAlignment="1" applyProtection="1">
      <alignment horizontal="center" wrapText="1"/>
      <protection hidden="1"/>
    </xf>
    <xf numFmtId="0" fontId="14" fillId="15" borderId="0" xfId="0" applyFont="1" applyFill="1" applyAlignment="1" applyProtection="1">
      <alignment horizontal="center" wrapText="1"/>
      <protection hidden="1"/>
    </xf>
    <xf numFmtId="0" fontId="110" fillId="31" borderId="25" xfId="0" applyFont="1" applyFill="1" applyBorder="1" applyAlignment="1" applyProtection="1">
      <alignment horizontal="center"/>
      <protection hidden="1"/>
    </xf>
    <xf numFmtId="0" fontId="19" fillId="15" borderId="25" xfId="0" applyFont="1" applyFill="1" applyBorder="1" applyAlignment="1" applyProtection="1">
      <alignment horizontal="left" wrapText="1" indent="1"/>
      <protection hidden="1"/>
    </xf>
    <xf numFmtId="0" fontId="19" fillId="0" borderId="25" xfId="0" applyFont="1" applyBorder="1" applyAlignment="1">
      <alignment horizontal="left" wrapText="1" indent="1"/>
    </xf>
    <xf numFmtId="0" fontId="3" fillId="15" borderId="25" xfId="0" applyFont="1" applyFill="1" applyBorder="1" applyAlignment="1" applyProtection="1">
      <alignment horizontal="left" vertical="center" wrapText="1" indent="1"/>
      <protection hidden="1"/>
    </xf>
    <xf numFmtId="193" fontId="0" fillId="16"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3" fillId="15" borderId="11" xfId="0" applyFont="1" applyFill="1" applyBorder="1" applyAlignment="1" applyProtection="1">
      <alignment horizontal="center"/>
      <protection hidden="1"/>
    </xf>
    <xf numFmtId="0" fontId="110" fillId="15" borderId="3" xfId="0" applyFont="1" applyFill="1" applyBorder="1" applyAlignment="1" applyProtection="1">
      <alignment horizontal="center" wrapText="1"/>
      <protection hidden="1"/>
    </xf>
    <xf numFmtId="0" fontId="110" fillId="0" borderId="0" xfId="0" applyFont="1" applyAlignment="1">
      <alignment horizontal="center" wrapText="1"/>
    </xf>
    <xf numFmtId="0" fontId="110" fillId="15" borderId="0" xfId="0" applyFont="1" applyFill="1" applyAlignment="1" applyProtection="1">
      <alignment horizontal="center" wrapText="1"/>
      <protection hidden="1"/>
    </xf>
    <xf numFmtId="0" fontId="116" fillId="15" borderId="25" xfId="0" applyFont="1" applyFill="1" applyBorder="1" applyAlignment="1" applyProtection="1">
      <alignment wrapText="1"/>
      <protection hidden="1"/>
    </xf>
    <xf numFmtId="0" fontId="116" fillId="0" borderId="25" xfId="0" applyFont="1" applyBorder="1" applyAlignment="1">
      <alignment wrapText="1"/>
    </xf>
    <xf numFmtId="41" fontId="3" fillId="16"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41" fontId="0" fillId="16"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3" fontId="147" fillId="15" borderId="0" xfId="0" applyNumberFormat="1" applyFont="1" applyFill="1" applyAlignment="1" applyProtection="1">
      <alignment wrapText="1"/>
      <protection hidden="1"/>
    </xf>
    <xf numFmtId="0" fontId="147" fillId="15" borderId="0" xfId="0" applyFont="1" applyFill="1" applyAlignment="1" applyProtection="1">
      <alignment wrapText="1"/>
      <protection hidden="1"/>
    </xf>
    <xf numFmtId="0" fontId="110" fillId="15" borderId="0" xfId="0" applyFont="1" applyFill="1" applyAlignment="1" applyProtection="1">
      <alignment wrapText="1"/>
      <protection hidden="1"/>
    </xf>
    <xf numFmtId="0" fontId="115" fillId="15" borderId="0" xfId="0" applyFont="1" applyFill="1" applyAlignment="1" applyProtection="1">
      <alignment horizontal="center" vertical="center"/>
      <protection hidden="1"/>
    </xf>
    <xf numFmtId="0" fontId="3" fillId="15" borderId="9" xfId="0" applyFont="1" applyFill="1" applyBorder="1" applyAlignment="1" applyProtection="1">
      <alignment horizontal="center" vertical="top"/>
      <protection hidden="1"/>
    </xf>
    <xf numFmtId="0" fontId="0" fillId="0" borderId="11" xfId="0" applyBorder="1" applyAlignment="1" applyProtection="1">
      <alignment horizontal="center" vertical="top"/>
      <protection hidden="1"/>
    </xf>
    <xf numFmtId="0" fontId="115" fillId="15" borderId="0" xfId="0" applyFont="1" applyFill="1" applyAlignment="1" applyProtection="1">
      <alignment horizontal="left"/>
      <protection hidden="1"/>
    </xf>
    <xf numFmtId="0" fontId="115" fillId="0" borderId="0" xfId="0" applyFont="1" applyAlignment="1">
      <alignment horizontal="left"/>
    </xf>
    <xf numFmtId="3" fontId="110" fillId="15" borderId="0" xfId="0" applyNumberFormat="1" applyFont="1" applyFill="1" applyAlignment="1" applyProtection="1">
      <alignment horizontal="right" wrapText="1"/>
      <protection hidden="1"/>
    </xf>
    <xf numFmtId="3" fontId="110" fillId="15" borderId="0" xfId="0" applyNumberFormat="1" applyFont="1" applyFill="1" applyAlignment="1" applyProtection="1">
      <alignment horizontal="right"/>
      <protection hidden="1"/>
    </xf>
    <xf numFmtId="0" fontId="115" fillId="15" borderId="0" xfId="0" applyFont="1" applyFill="1" applyAlignment="1" applyProtection="1">
      <alignment horizontal="center"/>
      <protection hidden="1"/>
    </xf>
    <xf numFmtId="0" fontId="43" fillId="15" borderId="5" xfId="0" applyFont="1" applyFill="1" applyBorder="1" applyAlignment="1" applyProtection="1">
      <alignment horizontal="center"/>
      <protection hidden="1"/>
    </xf>
    <xf numFmtId="0" fontId="43" fillId="15" borderId="0" xfId="0" applyFont="1" applyFill="1" applyAlignment="1" applyProtection="1">
      <alignment horizontal="center"/>
      <protection hidden="1"/>
    </xf>
    <xf numFmtId="0" fontId="43" fillId="15" borderId="20" xfId="0" applyFont="1" applyFill="1" applyBorder="1" applyAlignment="1" applyProtection="1">
      <alignment horizontal="center"/>
      <protection hidden="1"/>
    </xf>
    <xf numFmtId="0" fontId="19" fillId="0" borderId="4" xfId="0" applyFont="1" applyBorder="1" applyAlignment="1" applyProtection="1">
      <alignment horizontal="left" wrapText="1"/>
      <protection hidden="1"/>
    </xf>
    <xf numFmtId="0" fontId="9" fillId="15" borderId="5" xfId="0" applyFont="1" applyFill="1" applyBorder="1" applyAlignment="1" applyProtection="1">
      <alignment horizontal="right" vertical="center" wrapText="1"/>
      <protection hidden="1"/>
    </xf>
    <xf numFmtId="0" fontId="9" fillId="15" borderId="0" xfId="0" applyFont="1" applyFill="1" applyAlignment="1" applyProtection="1">
      <alignment horizontal="right" vertical="center" wrapText="1"/>
      <protection hidden="1"/>
    </xf>
    <xf numFmtId="0" fontId="9" fillId="15" borderId="21" xfId="0" applyFont="1" applyFill="1" applyBorder="1" applyAlignment="1" applyProtection="1">
      <alignment horizontal="right" vertical="center" wrapText="1"/>
      <protection hidden="1"/>
    </xf>
    <xf numFmtId="0" fontId="9" fillId="15" borderId="4" xfId="0" applyFont="1" applyFill="1" applyBorder="1" applyAlignment="1" applyProtection="1">
      <alignment horizontal="right" vertical="center" wrapText="1"/>
      <protection hidden="1"/>
    </xf>
    <xf numFmtId="0" fontId="14" fillId="15" borderId="4" xfId="0" applyFont="1" applyFill="1" applyBorder="1" applyAlignment="1" applyProtection="1">
      <alignment horizontal="center" wrapText="1"/>
      <protection hidden="1"/>
    </xf>
    <xf numFmtId="0" fontId="110" fillId="15" borderId="0" xfId="0" applyFont="1" applyFill="1" applyAlignment="1" applyProtection="1">
      <alignment horizontal="center"/>
      <protection hidden="1"/>
    </xf>
    <xf numFmtId="0" fontId="11" fillId="27" borderId="39" xfId="0" applyFont="1" applyFill="1" applyBorder="1" applyAlignment="1" applyProtection="1">
      <alignment horizontal="center" vertical="center"/>
      <protection hidden="1"/>
    </xf>
    <xf numFmtId="0" fontId="11" fillId="27" borderId="54" xfId="0" applyFont="1" applyFill="1" applyBorder="1" applyAlignment="1" applyProtection="1">
      <alignment horizontal="center" vertical="center"/>
      <protection hidden="1"/>
    </xf>
    <xf numFmtId="0" fontId="11" fillId="16" borderId="39" xfId="0" applyFont="1" applyFill="1" applyBorder="1" applyAlignment="1" applyProtection="1">
      <alignment horizontal="center" vertical="center"/>
      <protection locked="0" hidden="1"/>
    </xf>
    <xf numFmtId="0" fontId="11" fillId="16" borderId="54" xfId="0" applyFont="1" applyFill="1" applyBorder="1" applyAlignment="1" applyProtection="1">
      <alignment horizontal="center" vertical="center"/>
      <protection locked="0" hidden="1"/>
    </xf>
    <xf numFmtId="0" fontId="3" fillId="23" borderId="0" xfId="0" applyFont="1" applyFill="1" applyAlignment="1" applyProtection="1">
      <alignment horizontal="center"/>
      <protection hidden="1"/>
    </xf>
    <xf numFmtId="0" fontId="0" fillId="19" borderId="3" xfId="0" applyFill="1" applyBorder="1" applyAlignment="1" applyProtection="1">
      <alignment vertical="top" wrapText="1"/>
      <protection hidden="1"/>
    </xf>
    <xf numFmtId="0" fontId="0" fillId="0" borderId="0" xfId="0" applyAlignment="1" applyProtection="1">
      <alignment vertical="top" wrapText="1"/>
      <protection hidden="1"/>
    </xf>
    <xf numFmtId="0" fontId="147" fillId="2" borderId="30" xfId="0" applyFont="1" applyFill="1" applyBorder="1" applyAlignment="1" applyProtection="1">
      <alignment horizontal="center"/>
      <protection hidden="1"/>
    </xf>
    <xf numFmtId="0" fontId="147" fillId="2" borderId="14" xfId="0" applyFont="1" applyFill="1" applyBorder="1" applyAlignment="1" applyProtection="1">
      <alignment horizontal="center"/>
      <protection hidden="1"/>
    </xf>
    <xf numFmtId="0" fontId="147" fillId="2" borderId="8" xfId="0" applyFont="1" applyFill="1" applyBorder="1" applyAlignment="1" applyProtection="1">
      <alignment horizontal="center"/>
      <protection hidden="1"/>
    </xf>
    <xf numFmtId="0" fontId="147" fillId="2" borderId="3" xfId="0" applyFont="1" applyFill="1" applyBorder="1" applyAlignment="1" applyProtection="1">
      <alignment horizontal="center" vertical="top"/>
      <protection hidden="1"/>
    </xf>
    <xf numFmtId="0" fontId="147" fillId="2" borderId="24" xfId="0" applyFont="1" applyFill="1" applyBorder="1" applyAlignment="1" applyProtection="1">
      <alignment horizontal="center" vertical="top"/>
      <protection hidden="1"/>
    </xf>
    <xf numFmtId="194" fontId="147" fillId="2" borderId="3" xfId="0" applyNumberFormat="1" applyFont="1" applyFill="1" applyBorder="1" applyAlignment="1" applyProtection="1">
      <alignment horizontal="right"/>
      <protection hidden="1"/>
    </xf>
    <xf numFmtId="194" fontId="147" fillId="2" borderId="24" xfId="0" applyNumberFormat="1" applyFont="1" applyFill="1" applyBorder="1" applyAlignment="1" applyProtection="1">
      <alignment horizontal="right"/>
      <protection hidden="1"/>
    </xf>
    <xf numFmtId="0" fontId="147" fillId="2" borderId="0" xfId="0" applyFont="1" applyFill="1" applyAlignment="1" applyProtection="1">
      <alignment horizontal="center" vertical="top"/>
      <protection hidden="1"/>
    </xf>
    <xf numFmtId="194" fontId="147" fillId="2" borderId="0" xfId="0" applyNumberFormat="1" applyFont="1" applyFill="1" applyAlignment="1" applyProtection="1">
      <alignment horizontal="right"/>
      <protection hidden="1"/>
    </xf>
    <xf numFmtId="37" fontId="147" fillId="2" borderId="3" xfId="0" applyNumberFormat="1" applyFont="1" applyFill="1" applyBorder="1" applyAlignment="1" applyProtection="1">
      <alignment horizontal="right"/>
      <protection hidden="1"/>
    </xf>
    <xf numFmtId="37" fontId="147" fillId="2" borderId="24" xfId="0" applyNumberFormat="1" applyFont="1" applyFill="1" applyBorder="1" applyAlignment="1" applyProtection="1">
      <alignment horizontal="right"/>
      <protection hidden="1"/>
    </xf>
    <xf numFmtId="37" fontId="147" fillId="2" borderId="0" xfId="0" applyNumberFormat="1" applyFont="1" applyFill="1" applyAlignment="1" applyProtection="1">
      <alignment horizontal="right"/>
      <protection hidden="1"/>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88" fontId="7" fillId="2" borderId="0" xfId="0" applyNumberFormat="1" applyFont="1" applyFill="1" applyAlignment="1" applyProtection="1">
      <alignment horizontal="center" vertical="center" wrapText="1"/>
      <protection hidden="1"/>
    </xf>
    <xf numFmtId="168" fontId="7" fillId="2" borderId="12" xfId="0" applyNumberFormat="1" applyFont="1" applyFill="1" applyBorder="1" applyAlignment="1" applyProtection="1">
      <alignment horizontal="center" vertical="center" wrapText="1"/>
      <protection locked="0"/>
    </xf>
    <xf numFmtId="168" fontId="7" fillId="2" borderId="39" xfId="0" applyNumberFormat="1" applyFont="1" applyFill="1" applyBorder="1" applyAlignment="1" applyProtection="1">
      <alignment horizontal="center" vertical="center" wrapText="1"/>
      <protection locked="0"/>
    </xf>
    <xf numFmtId="189" fontId="3" fillId="2" borderId="9" xfId="0" applyNumberFormat="1" applyFont="1" applyFill="1" applyBorder="1" applyAlignment="1" applyProtection="1">
      <alignment horizontal="center" vertical="center" wrapText="1"/>
      <protection hidden="1"/>
    </xf>
    <xf numFmtId="189" fontId="3" fillId="2" borderId="11" xfId="0" applyNumberFormat="1" applyFont="1" applyFill="1" applyBorder="1" applyAlignment="1" applyProtection="1">
      <alignment horizontal="center" vertical="center" wrapText="1"/>
      <protection hidden="1"/>
    </xf>
    <xf numFmtId="0" fontId="9" fillId="2" borderId="30"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205" fontId="5" fillId="2" borderId="9" xfId="0" applyNumberFormat="1" applyFont="1" applyFill="1" applyBorder="1" applyAlignment="1" applyProtection="1">
      <alignment horizontal="center" vertical="center" wrapText="1"/>
      <protection hidden="1"/>
    </xf>
    <xf numFmtId="205" fontId="0" fillId="0" borderId="1" xfId="0" applyNumberFormat="1" applyBorder="1" applyAlignment="1">
      <alignment horizontal="center" vertical="center" wrapText="1"/>
    </xf>
    <xf numFmtId="1" fontId="5" fillId="2" borderId="9" xfId="0" applyNumberFormat="1" applyFont="1" applyFill="1" applyBorder="1" applyAlignment="1" applyProtection="1">
      <alignment horizontal="center" vertical="center" wrapText="1"/>
      <protection hidden="1"/>
    </xf>
    <xf numFmtId="1" fontId="5" fillId="0" borderId="1" xfId="0" applyNumberFormat="1" applyFont="1" applyBorder="1" applyAlignment="1">
      <alignment horizontal="center" vertical="center" wrapText="1"/>
    </xf>
    <xf numFmtId="189" fontId="3" fillId="2" borderId="1" xfId="0" applyNumberFormat="1" applyFont="1" applyFill="1" applyBorder="1" applyAlignment="1" applyProtection="1">
      <alignment horizontal="center" vertical="center" wrapText="1"/>
      <protection hidden="1"/>
    </xf>
    <xf numFmtId="14" fontId="5" fillId="8" borderId="39" xfId="0" applyNumberFormat="1" applyFont="1" applyFill="1" applyBorder="1" applyAlignment="1" applyProtection="1">
      <alignment horizontal="center" vertical="center" wrapText="1"/>
      <protection hidden="1"/>
    </xf>
    <xf numFmtId="0" fontId="5" fillId="8" borderId="54" xfId="0" applyFont="1" applyFill="1" applyBorder="1" applyAlignment="1" applyProtection="1">
      <alignment horizontal="center" vertical="center" wrapText="1"/>
      <protection hidden="1"/>
    </xf>
    <xf numFmtId="1" fontId="5" fillId="0" borderId="11" xfId="0" applyNumberFormat="1" applyFont="1" applyBorder="1" applyAlignment="1">
      <alignment horizontal="center" vertical="center" wrapText="1"/>
    </xf>
    <xf numFmtId="205" fontId="0" fillId="0" borderId="11" xfId="0" applyNumberFormat="1" applyBorder="1" applyAlignment="1">
      <alignment horizontal="center" vertical="center" wrapText="1"/>
    </xf>
    <xf numFmtId="205" fontId="5" fillId="0" borderId="11" xfId="0" applyNumberFormat="1" applyFont="1" applyBorder="1" applyAlignment="1">
      <alignment horizontal="center" vertical="center" wrapText="1"/>
    </xf>
    <xf numFmtId="0" fontId="0" fillId="0" borderId="14" xfId="0" applyBorder="1" applyAlignment="1">
      <alignment horizontal="left" vertical="center" wrapText="1"/>
    </xf>
    <xf numFmtId="3" fontId="116" fillId="2" borderId="0" xfId="0" applyNumberFormat="1" applyFont="1" applyFill="1" applyAlignment="1" applyProtection="1">
      <alignment horizontal="center" vertical="center" wrapText="1"/>
      <protection hidden="1"/>
    </xf>
    <xf numFmtId="3" fontId="5" fillId="27" borderId="39" xfId="0" applyNumberFormat="1" applyFont="1" applyFill="1" applyBorder="1" applyAlignment="1" applyProtection="1">
      <alignment horizontal="center" vertical="center" wrapText="1"/>
      <protection hidden="1"/>
    </xf>
    <xf numFmtId="0" fontId="5" fillId="27" borderId="54" xfId="0" applyFont="1" applyFill="1" applyBorder="1" applyAlignment="1" applyProtection="1">
      <alignment horizontal="center" vertical="center" wrapText="1"/>
      <protection hidden="1"/>
    </xf>
    <xf numFmtId="188" fontId="116" fillId="2" borderId="0" xfId="0" applyNumberFormat="1" applyFont="1" applyFill="1" applyAlignment="1" applyProtection="1">
      <alignment horizontal="center" vertical="center" wrapText="1"/>
      <protection hidden="1"/>
    </xf>
    <xf numFmtId="0" fontId="3" fillId="2" borderId="30" xfId="0" applyFont="1" applyFill="1" applyBorder="1" applyAlignment="1" applyProtection="1">
      <alignment horizontal="center" wrapText="1"/>
      <protection hidden="1"/>
    </xf>
    <xf numFmtId="0" fontId="0" fillId="0" borderId="8" xfId="0" applyBorder="1" applyAlignment="1">
      <alignment horizontal="center" wrapText="1"/>
    </xf>
    <xf numFmtId="37" fontId="116" fillId="2" borderId="0" xfId="0" applyNumberFormat="1" applyFont="1" applyFill="1" applyAlignment="1" applyProtection="1">
      <alignment horizontal="center" vertical="center"/>
      <protection hidden="1"/>
    </xf>
    <xf numFmtId="188" fontId="116" fillId="15" borderId="0" xfId="0" applyNumberFormat="1" applyFont="1" applyFill="1" applyAlignment="1" applyProtection="1">
      <alignment horizontal="center" vertical="center" wrapText="1"/>
      <protection hidden="1"/>
    </xf>
    <xf numFmtId="188" fontId="116" fillId="0" borderId="0" xfId="0" applyNumberFormat="1" applyFont="1" applyAlignment="1">
      <alignment horizontal="center" vertical="center" wrapText="1"/>
    </xf>
    <xf numFmtId="188" fontId="116" fillId="0" borderId="24" xfId="0" applyNumberFormat="1" applyFont="1" applyBorder="1" applyAlignment="1">
      <alignment horizontal="center" vertical="center" wrapText="1"/>
    </xf>
    <xf numFmtId="0" fontId="7" fillId="15"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173" fillId="15" borderId="30" xfId="0" applyFont="1" applyFill="1" applyBorder="1" applyAlignment="1" applyProtection="1">
      <alignment horizontal="left" vertical="center" wrapText="1" indent="1"/>
      <protection hidden="1"/>
    </xf>
    <xf numFmtId="0" fontId="147" fillId="0" borderId="8" xfId="0" applyFont="1" applyBorder="1" applyAlignment="1">
      <alignment horizontal="left" vertical="center" wrapText="1" indent="1"/>
    </xf>
    <xf numFmtId="0" fontId="147" fillId="0" borderId="14" xfId="0" applyFont="1" applyBorder="1" applyAlignment="1">
      <alignment horizontal="left" vertical="center" wrapText="1" indent="1"/>
    </xf>
    <xf numFmtId="0" fontId="147" fillId="0" borderId="3" xfId="0" applyFont="1" applyBorder="1" applyAlignment="1">
      <alignment horizontal="left" vertical="center" wrapText="1" indent="1"/>
    </xf>
    <xf numFmtId="0" fontId="147" fillId="0" borderId="0" xfId="0" applyFont="1" applyAlignment="1">
      <alignment horizontal="left" vertical="center" wrapText="1" indent="1"/>
    </xf>
    <xf numFmtId="0" fontId="147" fillId="0" borderId="24" xfId="0" applyFont="1" applyBorder="1" applyAlignment="1">
      <alignment horizontal="left" vertical="center" wrapText="1" indent="1"/>
    </xf>
    <xf numFmtId="0" fontId="0" fillId="0" borderId="14" xfId="0" applyBorder="1" applyAlignment="1">
      <alignment horizontal="center" wrapText="1"/>
    </xf>
    <xf numFmtId="37" fontId="116" fillId="2" borderId="3" xfId="0" applyNumberFormat="1" applyFont="1" applyFill="1" applyBorder="1" applyAlignment="1" applyProtection="1">
      <alignment horizontal="center" vertical="center"/>
      <protection hidden="1"/>
    </xf>
    <xf numFmtId="0" fontId="3" fillId="2" borderId="39"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188" fontId="116" fillId="2" borderId="3" xfId="0" applyNumberFormat="1" applyFont="1" applyFill="1" applyBorder="1" applyAlignment="1" applyProtection="1">
      <alignment horizontal="center" vertical="center" wrapText="1"/>
      <protection hidden="1"/>
    </xf>
    <xf numFmtId="0" fontId="66" fillId="0" borderId="62" xfId="2" applyBorder="1" applyAlignment="1" applyProtection="1">
      <alignment horizontal="center" wrapText="1"/>
    </xf>
    <xf numFmtId="0" fontId="66" fillId="0" borderId="63" xfId="2" applyBorder="1" applyAlignment="1" applyProtection="1">
      <alignment horizontal="center" wrapText="1"/>
    </xf>
    <xf numFmtId="0" fontId="66" fillId="0" borderId="62" xfId="2" applyBorder="1" applyAlignment="1" applyProtection="1">
      <alignment horizontal="center" vertical="center" wrapText="1"/>
    </xf>
    <xf numFmtId="0" fontId="66" fillId="0" borderId="63" xfId="2" applyBorder="1" applyAlignment="1" applyProtection="1">
      <alignment horizontal="center" vertical="center" wrapText="1"/>
    </xf>
    <xf numFmtId="0" fontId="7" fillId="15" borderId="8" xfId="0" applyFont="1" applyFill="1" applyBorder="1" applyAlignment="1" applyProtection="1">
      <alignment horizontal="left" vertical="center" wrapText="1"/>
      <protection hidden="1"/>
    </xf>
    <xf numFmtId="0" fontId="7" fillId="0" borderId="8" xfId="0" applyFont="1" applyBorder="1" applyAlignment="1">
      <alignment horizontal="left" vertical="center" wrapText="1"/>
    </xf>
    <xf numFmtId="0" fontId="7" fillId="0" borderId="14" xfId="0" applyFont="1" applyBorder="1" applyAlignment="1">
      <alignment horizontal="left" vertical="center" wrapText="1"/>
    </xf>
    <xf numFmtId="0" fontId="7" fillId="0" borderId="1" xfId="0" applyFont="1" applyBorder="1" applyAlignment="1">
      <alignment horizontal="left" vertical="center" wrapText="1"/>
    </xf>
    <xf numFmtId="0" fontId="7" fillId="0" borderId="11" xfId="0" applyFont="1" applyBorder="1" applyAlignment="1">
      <alignment horizontal="left" vertical="center" wrapText="1"/>
    </xf>
    <xf numFmtId="3" fontId="5" fillId="27" borderId="9" xfId="0" applyNumberFormat="1" applyFont="1" applyFill="1" applyBorder="1" applyAlignment="1" applyProtection="1">
      <alignment wrapText="1"/>
      <protection hidden="1"/>
    </xf>
    <xf numFmtId="3" fontId="0" fillId="27" borderId="155" xfId="0" applyNumberFormat="1" applyFill="1" applyBorder="1" applyAlignment="1" applyProtection="1">
      <alignment horizontal="right" vertical="center"/>
      <protection hidden="1"/>
    </xf>
    <xf numFmtId="3" fontId="0" fillId="27" borderId="121" xfId="0" applyNumberFormat="1" applyFill="1" applyBorder="1" applyAlignment="1" applyProtection="1">
      <alignment horizontal="right" vertical="center"/>
      <protection hidden="1"/>
    </xf>
    <xf numFmtId="3" fontId="5" fillId="27" borderId="11" xfId="0" applyNumberFormat="1" applyFont="1" applyFill="1" applyBorder="1" applyAlignment="1" applyProtection="1">
      <alignment wrapText="1"/>
      <protection hidden="1"/>
    </xf>
    <xf numFmtId="3" fontId="5" fillId="27" borderId="3" xfId="0" applyNumberFormat="1" applyFont="1" applyFill="1" applyBorder="1" applyAlignment="1" applyProtection="1">
      <alignment wrapText="1"/>
      <protection hidden="1"/>
    </xf>
    <xf numFmtId="3" fontId="5" fillId="27" borderId="24" xfId="0" applyNumberFormat="1" applyFont="1" applyFill="1" applyBorder="1" applyAlignment="1" applyProtection="1">
      <alignment wrapText="1"/>
      <protection hidden="1"/>
    </xf>
    <xf numFmtId="3" fontId="147" fillId="2" borderId="3" xfId="0" applyNumberFormat="1" applyFont="1" applyFill="1" applyBorder="1" applyAlignment="1" applyProtection="1">
      <alignment horizontal="center" vertical="center"/>
      <protection locked="0"/>
    </xf>
    <xf numFmtId="3" fontId="147" fillId="2" borderId="0" xfId="0" applyNumberFormat="1" applyFont="1" applyFill="1" applyAlignment="1" applyProtection="1">
      <alignment horizontal="center" vertical="center"/>
      <protection locked="0"/>
    </xf>
    <xf numFmtId="205" fontId="5" fillId="2" borderId="9" xfId="0" applyNumberFormat="1" applyFont="1" applyFill="1" applyBorder="1" applyAlignment="1" applyProtection="1">
      <alignment horizontal="center" wrapText="1"/>
      <protection hidden="1"/>
    </xf>
    <xf numFmtId="205" fontId="0" fillId="0" borderId="11" xfId="0" applyNumberFormat="1" applyBorder="1" applyAlignment="1">
      <alignment horizontal="center" wrapText="1"/>
    </xf>
    <xf numFmtId="3" fontId="5" fillId="27" borderId="3" xfId="0" applyNumberFormat="1" applyFont="1" applyFill="1" applyBorder="1" applyAlignment="1" applyProtection="1">
      <alignment vertical="center" wrapText="1"/>
      <protection hidden="1"/>
    </xf>
    <xf numFmtId="3" fontId="5" fillId="27" borderId="0" xfId="0" applyNumberFormat="1" applyFont="1" applyFill="1" applyAlignment="1" applyProtection="1">
      <alignment vertical="center" wrapText="1"/>
      <protection hidden="1"/>
    </xf>
    <xf numFmtId="205" fontId="0" fillId="0" borderId="1" xfId="0" applyNumberFormat="1" applyBorder="1" applyAlignment="1">
      <alignment horizontal="center" wrapText="1"/>
    </xf>
    <xf numFmtId="185" fontId="181" fillId="2" borderId="30" xfId="0" applyNumberFormat="1" applyFont="1" applyFill="1" applyBorder="1" applyAlignment="1" applyProtection="1">
      <alignment horizontal="center"/>
      <protection hidden="1"/>
    </xf>
    <xf numFmtId="185" fontId="181" fillId="0" borderId="8" xfId="0" applyNumberFormat="1" applyFont="1" applyBorder="1" applyAlignment="1">
      <alignment horizontal="center"/>
    </xf>
    <xf numFmtId="3" fontId="5" fillId="27" borderId="24" xfId="0" applyNumberFormat="1" applyFont="1" applyFill="1" applyBorder="1" applyAlignment="1" applyProtection="1">
      <alignment vertical="center" wrapText="1"/>
      <protection hidden="1"/>
    </xf>
    <xf numFmtId="3" fontId="5" fillId="27" borderId="39" xfId="0" applyNumberFormat="1" applyFont="1" applyFill="1" applyBorder="1" applyAlignment="1" applyProtection="1">
      <alignment wrapText="1"/>
      <protection hidden="1"/>
    </xf>
    <xf numFmtId="3" fontId="5" fillId="27" borderId="54" xfId="0" applyNumberFormat="1" applyFont="1" applyFill="1" applyBorder="1" applyAlignment="1" applyProtection="1">
      <alignment wrapText="1"/>
      <protection hidden="1"/>
    </xf>
    <xf numFmtId="3" fontId="5" fillId="27" borderId="25" xfId="0" applyNumberFormat="1" applyFont="1" applyFill="1" applyBorder="1" applyAlignment="1" applyProtection="1">
      <alignment wrapText="1"/>
      <protection hidden="1"/>
    </xf>
    <xf numFmtId="0" fontId="5" fillId="2" borderId="14" xfId="0" applyFont="1" applyFill="1" applyBorder="1" applyAlignment="1" applyProtection="1">
      <alignment horizontal="center" wrapText="1"/>
      <protection hidden="1"/>
    </xf>
    <xf numFmtId="0" fontId="14" fillId="0" borderId="190" xfId="0" applyFont="1" applyBorder="1" applyAlignment="1">
      <alignment horizontal="left" vertical="center" wrapText="1"/>
    </xf>
    <xf numFmtId="0" fontId="14" fillId="0" borderId="161" xfId="0" applyFont="1" applyBorder="1" applyAlignment="1">
      <alignment horizontal="left" vertical="center" wrapText="1"/>
    </xf>
    <xf numFmtId="0" fontId="14" fillId="0" borderId="40" xfId="0" applyFont="1" applyBorder="1" applyAlignment="1">
      <alignment horizontal="left" vertical="center" wrapText="1"/>
    </xf>
    <xf numFmtId="0" fontId="7" fillId="0" borderId="188" xfId="0" applyFont="1" applyBorder="1" applyAlignment="1">
      <alignment horizontal="left" vertical="top" wrapText="1"/>
    </xf>
    <xf numFmtId="0" fontId="7" fillId="0" borderId="106" xfId="0" applyFont="1" applyBorder="1" applyAlignment="1">
      <alignment horizontal="left" vertical="top" wrapText="1"/>
    </xf>
    <xf numFmtId="0" fontId="7" fillId="0" borderId="5" xfId="0" applyFont="1" applyBorder="1" applyAlignment="1">
      <alignment horizontal="left" vertical="top" wrapText="1"/>
    </xf>
    <xf numFmtId="0" fontId="7" fillId="0" borderId="0" xfId="0" applyFont="1" applyAlignment="1">
      <alignment horizontal="left" vertical="top" wrapText="1"/>
    </xf>
    <xf numFmtId="0" fontId="7" fillId="0" borderId="189" xfId="0" applyFont="1" applyBorder="1" applyAlignment="1">
      <alignment horizontal="left" vertical="top" wrapText="1"/>
    </xf>
    <xf numFmtId="0" fontId="7" fillId="0" borderId="20" xfId="0" applyFont="1" applyBorder="1" applyAlignment="1">
      <alignment horizontal="left" vertical="top" wrapText="1"/>
    </xf>
    <xf numFmtId="0" fontId="5" fillId="0" borderId="5" xfId="0" applyFont="1" applyBorder="1" applyAlignment="1">
      <alignment horizontal="left" vertical="center" wrapText="1"/>
    </xf>
    <xf numFmtId="0" fontId="5" fillId="0" borderId="0" xfId="0" applyFont="1" applyAlignment="1">
      <alignment horizontal="left" vertical="center" wrapText="1"/>
    </xf>
    <xf numFmtId="0" fontId="5" fillId="0" borderId="20" xfId="0" applyFont="1" applyBorder="1" applyAlignment="1">
      <alignment horizontal="left" vertical="center" wrapText="1"/>
    </xf>
    <xf numFmtId="0" fontId="5" fillId="0" borderId="21" xfId="0" applyFont="1" applyBorder="1" applyAlignment="1">
      <alignment horizontal="left" vertical="center" wrapText="1"/>
    </xf>
    <xf numFmtId="0" fontId="5" fillId="0" borderId="4" xfId="0" applyFont="1" applyBorder="1" applyAlignment="1">
      <alignment horizontal="left" vertical="center" wrapText="1"/>
    </xf>
    <xf numFmtId="0" fontId="5" fillId="0" borderId="22" xfId="0" applyFont="1" applyBorder="1" applyAlignment="1">
      <alignment horizontal="left" vertical="center" wrapText="1"/>
    </xf>
    <xf numFmtId="0" fontId="3" fillId="0" borderId="80" xfId="0" applyFont="1" applyBorder="1" applyAlignment="1">
      <alignment horizontal="left" vertical="center" wrapText="1"/>
    </xf>
    <xf numFmtId="0" fontId="3" fillId="0" borderId="8" xfId="0" applyFont="1" applyBorder="1" applyAlignment="1">
      <alignment horizontal="left" vertical="center" wrapText="1"/>
    </xf>
    <xf numFmtId="0" fontId="0" fillId="0" borderId="8" xfId="0" applyBorder="1" applyAlignment="1">
      <alignment vertical="center" wrapText="1"/>
    </xf>
    <xf numFmtId="0" fontId="0" fillId="0" borderId="88" xfId="0" applyBorder="1" applyAlignment="1">
      <alignment vertical="center" wrapText="1"/>
    </xf>
    <xf numFmtId="0" fontId="3" fillId="0" borderId="186" xfId="0" applyFont="1" applyBorder="1" applyAlignment="1">
      <alignment horizontal="left" vertical="center" wrapText="1"/>
    </xf>
    <xf numFmtId="0" fontId="3" fillId="0" borderId="87" xfId="0" applyFont="1" applyBorder="1" applyAlignment="1">
      <alignment horizontal="left" vertical="center" wrapText="1"/>
    </xf>
    <xf numFmtId="0" fontId="0" fillId="0" borderId="87" xfId="0" applyBorder="1" applyAlignment="1">
      <alignment vertical="center" wrapText="1"/>
    </xf>
    <xf numFmtId="0" fontId="0" fillId="0" borderId="187" xfId="0" applyBorder="1" applyAlignment="1">
      <alignment vertical="center" wrapText="1"/>
    </xf>
    <xf numFmtId="0" fontId="5" fillId="15" borderId="5" xfId="0" applyFont="1" applyFill="1" applyBorder="1" applyAlignment="1">
      <alignment horizontal="left" vertical="top" wrapText="1"/>
    </xf>
    <xf numFmtId="0" fontId="0" fillId="0" borderId="20" xfId="0" applyBorder="1" applyAlignment="1">
      <alignment wrapText="1"/>
    </xf>
    <xf numFmtId="0" fontId="0" fillId="0" borderId="26" xfId="0" applyBorder="1" applyAlignment="1">
      <alignment horizontal="left" wrapText="1"/>
    </xf>
    <xf numFmtId="37" fontId="10" fillId="16" borderId="59" xfId="0" applyNumberFormat="1" applyFont="1" applyFill="1" applyBorder="1" applyAlignment="1" applyProtection="1">
      <alignment horizontal="right" vertical="center" wrapText="1" indent="1"/>
      <protection locked="0"/>
    </xf>
    <xf numFmtId="37" fontId="10" fillId="16" borderId="74" xfId="0" applyNumberFormat="1" applyFont="1" applyFill="1" applyBorder="1" applyAlignment="1" applyProtection="1">
      <alignment horizontal="right" vertical="center" wrapText="1" indent="1"/>
      <protection locked="0"/>
    </xf>
    <xf numFmtId="37" fontId="10" fillId="16" borderId="60" xfId="0" applyNumberFormat="1" applyFont="1" applyFill="1" applyBorder="1" applyAlignment="1" applyProtection="1">
      <alignment horizontal="right" vertical="center" wrapText="1" indent="1"/>
      <protection locked="0"/>
    </xf>
    <xf numFmtId="166" fontId="3" fillId="27" borderId="9" xfId="0" applyNumberFormat="1" applyFont="1" applyFill="1" applyBorder="1" applyAlignment="1" applyProtection="1">
      <alignment horizontal="center" vertical="center"/>
      <protection hidden="1"/>
    </xf>
    <xf numFmtId="166" fontId="3" fillId="27" borderId="1" xfId="0" applyNumberFormat="1" applyFont="1" applyFill="1" applyBorder="1" applyAlignment="1" applyProtection="1">
      <alignment horizontal="center" vertical="center"/>
      <protection hidden="1"/>
    </xf>
    <xf numFmtId="0" fontId="43" fillId="2" borderId="8" xfId="0" applyFont="1" applyFill="1" applyBorder="1" applyAlignment="1" applyProtection="1">
      <alignment horizontal="center" vertical="center"/>
      <protection hidden="1"/>
    </xf>
    <xf numFmtId="0" fontId="5" fillId="2" borderId="30" xfId="0" applyFont="1" applyFill="1" applyBorder="1" applyAlignment="1" applyProtection="1">
      <alignment horizontal="left" vertical="center"/>
      <protection hidden="1"/>
    </xf>
    <xf numFmtId="0" fontId="5" fillId="2" borderId="8" xfId="0" applyFont="1" applyFill="1" applyBorder="1" applyAlignment="1" applyProtection="1">
      <alignment horizontal="left" vertical="center"/>
      <protection hidden="1"/>
    </xf>
    <xf numFmtId="0" fontId="5" fillId="2" borderId="14"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1" xfId="0" applyFont="1" applyFill="1" applyBorder="1" applyAlignment="1" applyProtection="1">
      <alignment horizontal="left" vertical="center"/>
      <protection hidden="1"/>
    </xf>
    <xf numFmtId="37" fontId="5" fillId="27" borderId="9" xfId="0" applyNumberFormat="1" applyFont="1" applyFill="1" applyBorder="1" applyAlignment="1" applyProtection="1">
      <alignment horizontal="right" vertical="center"/>
      <protection hidden="1"/>
    </xf>
    <xf numFmtId="37" fontId="5" fillId="27" borderId="1" xfId="0" applyNumberFormat="1" applyFont="1" applyFill="1" applyBorder="1" applyAlignment="1" applyProtection="1">
      <alignment horizontal="right" vertical="center"/>
      <protection hidden="1"/>
    </xf>
    <xf numFmtId="0" fontId="5" fillId="2" borderId="30" xfId="0" applyFont="1" applyFill="1" applyBorder="1" applyAlignment="1" applyProtection="1">
      <alignment horizontal="left" vertical="center" wrapText="1"/>
      <protection hidden="1"/>
    </xf>
    <xf numFmtId="0" fontId="5" fillId="0" borderId="8" xfId="0" applyFont="1" applyBorder="1" applyAlignment="1">
      <alignment horizontal="left" vertical="center" wrapText="1"/>
    </xf>
    <xf numFmtId="0" fontId="5" fillId="0" borderId="14" xfId="0" applyFont="1" applyBorder="1" applyAlignment="1">
      <alignment horizontal="left" vertical="center" wrapText="1"/>
    </xf>
    <xf numFmtId="0" fontId="5" fillId="0" borderId="9" xfId="0" applyFont="1" applyBorder="1" applyAlignment="1">
      <alignment horizontal="left" vertical="center" wrapText="1"/>
    </xf>
    <xf numFmtId="0" fontId="5" fillId="0" borderId="1" xfId="0" applyFont="1" applyBorder="1" applyAlignment="1">
      <alignment horizontal="left" vertical="center" wrapText="1"/>
    </xf>
    <xf numFmtId="0" fontId="5" fillId="0" borderId="11" xfId="0" applyFont="1" applyBorder="1" applyAlignment="1">
      <alignment horizontal="left" vertical="center" wrapText="1"/>
    </xf>
    <xf numFmtId="0" fontId="19" fillId="15" borderId="0" xfId="0" applyFont="1" applyFill="1" applyAlignment="1">
      <alignment horizontal="center"/>
    </xf>
    <xf numFmtId="0" fontId="110" fillId="15" borderId="4" xfId="0" applyFont="1" applyFill="1" applyBorder="1" applyAlignment="1">
      <alignment wrapText="1"/>
    </xf>
    <xf numFmtId="0" fontId="110" fillId="0" borderId="4" xfId="0" applyFont="1" applyBorder="1" applyAlignment="1">
      <alignment wrapText="1"/>
    </xf>
    <xf numFmtId="0" fontId="0" fillId="0" borderId="1" xfId="0" applyBorder="1" applyAlignment="1">
      <alignment vertical="center"/>
    </xf>
    <xf numFmtId="0" fontId="0" fillId="2" borderId="30" xfId="0" applyFill="1" applyBorder="1" applyProtection="1">
      <protection hidden="1"/>
    </xf>
    <xf numFmtId="0" fontId="43" fillId="15" borderId="0" xfId="0" applyFont="1" applyFill="1" applyAlignment="1">
      <alignment horizontal="center" vertical="center"/>
    </xf>
    <xf numFmtId="0" fontId="121" fillId="0" borderId="0" xfId="0" applyFont="1" applyAlignment="1">
      <alignment vertical="center"/>
    </xf>
    <xf numFmtId="0" fontId="3" fillId="15" borderId="0" xfId="0" applyFont="1" applyFill="1" applyAlignment="1">
      <alignment horizontal="center" wrapText="1"/>
    </xf>
    <xf numFmtId="0" fontId="7" fillId="2" borderId="56" xfId="0" applyFont="1" applyFill="1" applyBorder="1" applyAlignment="1" applyProtection="1">
      <alignment horizontal="left" indent="1"/>
      <protection hidden="1"/>
    </xf>
    <xf numFmtId="0" fontId="7" fillId="2" borderId="7" xfId="0" applyFont="1" applyFill="1" applyBorder="1" applyAlignment="1" applyProtection="1">
      <alignment horizontal="left" indent="1"/>
      <protection hidden="1"/>
    </xf>
    <xf numFmtId="0" fontId="14" fillId="15" borderId="190" xfId="0" applyFont="1" applyFill="1" applyBorder="1" applyAlignment="1">
      <alignment horizontal="left" wrapText="1"/>
    </xf>
    <xf numFmtId="0" fontId="14" fillId="15" borderId="161" xfId="0" applyFont="1" applyFill="1" applyBorder="1" applyAlignment="1">
      <alignment horizontal="left" wrapText="1"/>
    </xf>
    <xf numFmtId="0" fontId="14" fillId="15" borderId="40" xfId="0" applyFont="1" applyFill="1" applyBorder="1" applyAlignment="1">
      <alignment horizontal="left" wrapText="1"/>
    </xf>
    <xf numFmtId="0" fontId="43" fillId="15" borderId="7" xfId="0" applyFont="1" applyFill="1" applyBorder="1" applyAlignment="1">
      <alignment horizontal="center" wrapText="1"/>
    </xf>
    <xf numFmtId="0" fontId="19" fillId="15" borderId="0" xfId="0" applyFont="1" applyFill="1" applyAlignment="1">
      <alignment horizontal="center" vertical="center" wrapText="1"/>
    </xf>
    <xf numFmtId="0" fontId="14" fillId="15" borderId="0" xfId="0" applyFont="1" applyFill="1" applyAlignment="1">
      <alignment horizontal="center" vertical="center" wrapText="1"/>
    </xf>
    <xf numFmtId="0" fontId="14" fillId="15" borderId="4" xfId="0" applyFont="1" applyFill="1" applyBorder="1" applyAlignment="1">
      <alignment horizontal="center" vertical="center" wrapText="1"/>
    </xf>
    <xf numFmtId="0" fontId="19" fillId="2" borderId="5" xfId="0" applyFont="1" applyFill="1" applyBorder="1" applyAlignment="1" applyProtection="1">
      <alignment horizontal="center" vertical="center" wrapText="1"/>
      <protection hidden="1"/>
    </xf>
    <xf numFmtId="0" fontId="19" fillId="2" borderId="0" xfId="0" applyFont="1" applyFill="1" applyAlignment="1" applyProtection="1">
      <alignment horizontal="center" vertical="center" wrapText="1"/>
      <protection hidden="1"/>
    </xf>
    <xf numFmtId="0" fontId="19" fillId="2" borderId="20" xfId="0" applyFont="1" applyFill="1" applyBorder="1" applyAlignment="1" applyProtection="1">
      <alignment horizontal="center" vertical="center" wrapText="1"/>
      <protection hidden="1"/>
    </xf>
    <xf numFmtId="0" fontId="11" fillId="2" borderId="5" xfId="0" applyFont="1" applyFill="1" applyBorder="1" applyAlignment="1" applyProtection="1">
      <alignment horizontal="center"/>
      <protection hidden="1"/>
    </xf>
    <xf numFmtId="0" fontId="11" fillId="2" borderId="0" xfId="0" applyFont="1" applyFill="1" applyAlignment="1" applyProtection="1">
      <alignment horizontal="center"/>
      <protection hidden="1"/>
    </xf>
    <xf numFmtId="37" fontId="10" fillId="16" borderId="23" xfId="0" applyNumberFormat="1" applyFont="1" applyFill="1" applyBorder="1" applyAlignment="1" applyProtection="1">
      <alignment horizontal="right" vertical="center" wrapText="1" indent="1"/>
      <protection locked="0"/>
    </xf>
    <xf numFmtId="37" fontId="10" fillId="16" borderId="7" xfId="0" applyNumberFormat="1" applyFont="1" applyFill="1" applyBorder="1" applyAlignment="1" applyProtection="1">
      <alignment horizontal="right" vertical="center" wrapText="1" indent="1"/>
      <protection locked="0"/>
    </xf>
    <xf numFmtId="37" fontId="10" fillId="16" borderId="19" xfId="0" applyNumberFormat="1" applyFont="1" applyFill="1" applyBorder="1" applyAlignment="1" applyProtection="1">
      <alignment horizontal="right" vertical="center" wrapText="1" indent="1"/>
      <protection locked="0"/>
    </xf>
    <xf numFmtId="37" fontId="10" fillId="16" borderId="21" xfId="0" applyNumberFormat="1" applyFont="1" applyFill="1" applyBorder="1" applyAlignment="1" applyProtection="1">
      <alignment horizontal="right" vertical="center" wrapText="1" indent="1"/>
      <protection locked="0"/>
    </xf>
    <xf numFmtId="37" fontId="10" fillId="16" borderId="4" xfId="0" applyNumberFormat="1" applyFont="1" applyFill="1" applyBorder="1" applyAlignment="1" applyProtection="1">
      <alignment horizontal="right" vertical="center" wrapText="1" indent="1"/>
      <protection locked="0"/>
    </xf>
    <xf numFmtId="37" fontId="10" fillId="16" borderId="22" xfId="0" applyNumberFormat="1" applyFont="1" applyFill="1" applyBorder="1" applyAlignment="1" applyProtection="1">
      <alignment horizontal="right" vertical="center" wrapText="1" indent="1"/>
      <protection locked="0"/>
    </xf>
    <xf numFmtId="0" fontId="14" fillId="15" borderId="0" xfId="0" applyFont="1" applyFill="1" applyAlignment="1">
      <alignment horizontal="center" wrapText="1"/>
    </xf>
    <xf numFmtId="3" fontId="112" fillId="15" borderId="5" xfId="0" applyNumberFormat="1" applyFont="1" applyFill="1" applyBorder="1" applyAlignment="1">
      <alignment horizontal="center" wrapText="1"/>
    </xf>
    <xf numFmtId="3" fontId="112" fillId="15" borderId="0" xfId="0" applyNumberFormat="1" applyFont="1" applyFill="1" applyAlignment="1">
      <alignment horizontal="center" wrapText="1"/>
    </xf>
    <xf numFmtId="3" fontId="112" fillId="15" borderId="5" xfId="0" applyNumberFormat="1" applyFont="1" applyFill="1" applyBorder="1" applyAlignment="1">
      <alignment horizontal="center" vertical="center" wrapText="1"/>
    </xf>
    <xf numFmtId="3" fontId="112" fillId="15" borderId="0" xfId="0" applyNumberFormat="1" applyFont="1" applyFill="1" applyAlignment="1">
      <alignment horizontal="center" vertical="center" wrapText="1"/>
    </xf>
    <xf numFmtId="37" fontId="14" fillId="16" borderId="23" xfId="0" applyNumberFormat="1" applyFont="1" applyFill="1" applyBorder="1" applyAlignment="1" applyProtection="1">
      <alignment horizontal="right" vertical="center" wrapText="1" indent="1"/>
      <protection locked="0"/>
    </xf>
    <xf numFmtId="37" fontId="14" fillId="16" borderId="7" xfId="0" applyNumberFormat="1" applyFont="1" applyFill="1" applyBorder="1" applyAlignment="1" applyProtection="1">
      <alignment horizontal="right" vertical="center" wrapText="1" indent="1"/>
      <protection locked="0"/>
    </xf>
    <xf numFmtId="37" fontId="14" fillId="16" borderId="19" xfId="0" applyNumberFormat="1" applyFont="1" applyFill="1" applyBorder="1" applyAlignment="1" applyProtection="1">
      <alignment horizontal="right" vertical="center" wrapText="1" indent="1"/>
      <protection locked="0"/>
    </xf>
    <xf numFmtId="37" fontId="14" fillId="16" borderId="21" xfId="0" applyNumberFormat="1" applyFont="1" applyFill="1" applyBorder="1" applyAlignment="1" applyProtection="1">
      <alignment horizontal="right" vertical="center" wrapText="1" indent="1"/>
      <protection locked="0"/>
    </xf>
    <xf numFmtId="37" fontId="14" fillId="16" borderId="4" xfId="0" applyNumberFormat="1" applyFont="1" applyFill="1" applyBorder="1" applyAlignment="1" applyProtection="1">
      <alignment horizontal="right" vertical="center" wrapText="1" indent="1"/>
      <protection locked="0"/>
    </xf>
    <xf numFmtId="37" fontId="14" fillId="16" borderId="22" xfId="0" applyNumberFormat="1" applyFont="1" applyFill="1" applyBorder="1" applyAlignment="1" applyProtection="1">
      <alignment horizontal="right" vertical="center" wrapText="1" indent="1"/>
      <protection locked="0"/>
    </xf>
    <xf numFmtId="0" fontId="122" fillId="8" borderId="20" xfId="0" applyFont="1" applyFill="1" applyBorder="1" applyAlignment="1" applyProtection="1">
      <alignment horizontal="center" wrapText="1"/>
      <protection hidden="1"/>
    </xf>
    <xf numFmtId="0" fontId="3" fillId="2" borderId="3" xfId="0" applyFont="1" applyFill="1" applyBorder="1" applyAlignment="1" applyProtection="1">
      <alignment horizontal="center" vertical="center"/>
      <protection hidden="1"/>
    </xf>
    <xf numFmtId="0" fontId="10" fillId="15" borderId="8" xfId="0" applyFont="1" applyFill="1" applyBorder="1" applyAlignment="1" applyProtection="1">
      <alignment horizontal="left" vertical="center" wrapText="1"/>
      <protection hidden="1"/>
    </xf>
    <xf numFmtId="0" fontId="13" fillId="0" borderId="8" xfId="0" applyFont="1" applyBorder="1" applyAlignment="1">
      <alignment horizontal="left" vertical="center" wrapText="1"/>
    </xf>
    <xf numFmtId="0" fontId="13" fillId="0" borderId="14" xfId="0" applyFont="1" applyBorder="1" applyAlignment="1">
      <alignment horizontal="left" vertical="center" wrapText="1"/>
    </xf>
    <xf numFmtId="0" fontId="13" fillId="0" borderId="0" xfId="0" applyFont="1" applyAlignment="1">
      <alignment horizontal="left" vertical="center" wrapText="1"/>
    </xf>
    <xf numFmtId="0" fontId="13" fillId="0" borderId="24" xfId="0" applyFont="1" applyBorder="1" applyAlignment="1">
      <alignment horizontal="left" vertical="center" wrapText="1"/>
    </xf>
    <xf numFmtId="0" fontId="13" fillId="0" borderId="1" xfId="0" applyFont="1" applyBorder="1" applyAlignment="1">
      <alignment horizontal="left" vertical="center" wrapText="1"/>
    </xf>
    <xf numFmtId="0" fontId="13" fillId="0" borderId="11" xfId="0" applyFont="1" applyBorder="1" applyAlignment="1">
      <alignment horizontal="left" vertical="center" wrapText="1"/>
    </xf>
    <xf numFmtId="185" fontId="181" fillId="0" borderId="14" xfId="0" applyNumberFormat="1" applyFont="1" applyBorder="1" applyAlignment="1">
      <alignment horizontal="center"/>
    </xf>
    <xf numFmtId="0" fontId="112" fillId="2" borderId="121" xfId="0" applyFont="1" applyFill="1" applyBorder="1" applyProtection="1">
      <protection hidden="1"/>
    </xf>
    <xf numFmtId="0" fontId="112" fillId="0" borderId="121" xfId="0" applyFont="1" applyBorder="1"/>
    <xf numFmtId="0" fontId="174" fillId="2" borderId="0" xfId="0" applyFont="1" applyFill="1" applyAlignment="1" applyProtection="1">
      <alignment horizontal="center"/>
      <protection hidden="1"/>
    </xf>
    <xf numFmtId="0" fontId="90" fillId="2" borderId="0" xfId="0" applyFont="1" applyFill="1" applyAlignment="1" applyProtection="1">
      <alignment horizontal="center" vertical="center" wrapText="1"/>
      <protection hidden="1"/>
    </xf>
    <xf numFmtId="0" fontId="90" fillId="0" borderId="20" xfId="0" applyFont="1" applyBorder="1" applyAlignment="1">
      <alignment horizontal="center" vertical="center" wrapText="1"/>
    </xf>
    <xf numFmtId="0" fontId="90"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71" fillId="2" borderId="0" xfId="0" applyFont="1" applyFill="1" applyAlignment="1" applyProtection="1">
      <alignment horizontal="right" vertical="center" wrapText="1"/>
      <protection hidden="1"/>
    </xf>
    <xf numFmtId="0" fontId="171" fillId="0" borderId="0" xfId="0" applyFont="1" applyAlignment="1">
      <alignment horizontal="right" vertical="center" wrapText="1"/>
    </xf>
    <xf numFmtId="0" fontId="11" fillId="2" borderId="21" xfId="0" applyFont="1" applyFill="1" applyBorder="1" applyAlignment="1" applyProtection="1">
      <alignment horizontal="center"/>
      <protection hidden="1"/>
    </xf>
    <xf numFmtId="0" fontId="11" fillId="2" borderId="4" xfId="0" applyFont="1" applyFill="1" applyBorder="1" applyAlignment="1" applyProtection="1">
      <alignment horizontal="center"/>
      <protection hidden="1"/>
    </xf>
    <xf numFmtId="0" fontId="11" fillId="2" borderId="22" xfId="0" applyFont="1" applyFill="1" applyBorder="1" applyAlignment="1" applyProtection="1">
      <alignment horizontal="center"/>
      <protection hidden="1"/>
    </xf>
    <xf numFmtId="0" fontId="46" fillId="2" borderId="30" xfId="0" applyFont="1" applyFill="1" applyBorder="1" applyAlignment="1" applyProtection="1">
      <alignment horizontal="left" vertical="center" wrapText="1"/>
      <protection hidden="1"/>
    </xf>
    <xf numFmtId="0" fontId="46" fillId="2" borderId="8" xfId="0" applyFont="1" applyFill="1" applyBorder="1" applyAlignment="1" applyProtection="1">
      <alignment horizontal="left" vertical="center" wrapText="1"/>
      <protection hidden="1"/>
    </xf>
    <xf numFmtId="0" fontId="46" fillId="2" borderId="14" xfId="0" applyFont="1" applyFill="1" applyBorder="1" applyAlignment="1" applyProtection="1">
      <alignment horizontal="left" vertical="center" wrapText="1"/>
      <protection hidden="1"/>
    </xf>
    <xf numFmtId="0" fontId="46" fillId="2" borderId="3" xfId="0" applyFont="1" applyFill="1" applyBorder="1" applyAlignment="1" applyProtection="1">
      <alignment horizontal="left" vertical="center" wrapText="1"/>
      <protection hidden="1"/>
    </xf>
    <xf numFmtId="0" fontId="46" fillId="2" borderId="0" xfId="0" applyFont="1" applyFill="1" applyAlignment="1" applyProtection="1">
      <alignment horizontal="left" vertical="center" wrapText="1"/>
      <protection hidden="1"/>
    </xf>
    <xf numFmtId="0" fontId="46" fillId="2" borderId="24" xfId="0" applyFont="1" applyFill="1" applyBorder="1" applyAlignment="1" applyProtection="1">
      <alignment horizontal="left" vertical="center" wrapText="1"/>
      <protection hidden="1"/>
    </xf>
    <xf numFmtId="0" fontId="46" fillId="2" borderId="9" xfId="0" applyFont="1" applyFill="1" applyBorder="1" applyAlignment="1" applyProtection="1">
      <alignment horizontal="left" vertical="center" wrapText="1"/>
      <protection hidden="1"/>
    </xf>
    <xf numFmtId="0" fontId="46" fillId="2" borderId="1" xfId="0" applyFont="1" applyFill="1" applyBorder="1" applyAlignment="1" applyProtection="1">
      <alignment horizontal="left" vertical="center" wrapText="1"/>
      <protection hidden="1"/>
    </xf>
    <xf numFmtId="0" fontId="46" fillId="2" borderId="11" xfId="0" applyFont="1" applyFill="1" applyBorder="1" applyAlignment="1" applyProtection="1">
      <alignment horizontal="left" vertical="center" wrapText="1"/>
      <protection hidden="1"/>
    </xf>
    <xf numFmtId="0" fontId="112" fillId="2" borderId="30" xfId="0" applyFont="1" applyFill="1" applyBorder="1" applyAlignment="1" applyProtection="1">
      <alignment horizontal="right"/>
      <protection hidden="1"/>
    </xf>
    <xf numFmtId="0" fontId="112" fillId="2" borderId="8" xfId="0" applyFont="1" applyFill="1" applyBorder="1" applyAlignment="1" applyProtection="1">
      <alignment horizontal="right"/>
      <protection hidden="1"/>
    </xf>
    <xf numFmtId="37" fontId="0" fillId="27" borderId="39" xfId="0" applyNumberFormat="1" applyFill="1" applyBorder="1" applyAlignment="1" applyProtection="1">
      <alignment vertical="center"/>
      <protection hidden="1"/>
    </xf>
    <xf numFmtId="37" fontId="0" fillId="27" borderId="25" xfId="0" applyNumberFormat="1" applyFill="1" applyBorder="1" applyAlignment="1" applyProtection="1">
      <alignment vertical="center"/>
      <protection hidden="1"/>
    </xf>
    <xf numFmtId="37" fontId="110" fillId="2" borderId="30" xfId="0" applyNumberFormat="1" applyFont="1" applyFill="1" applyBorder="1" applyProtection="1">
      <protection hidden="1"/>
    </xf>
    <xf numFmtId="0" fontId="8" fillId="2" borderId="8"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2" borderId="1" xfId="0" applyFont="1" applyFill="1" applyBorder="1" applyAlignment="1" applyProtection="1">
      <alignment horizontal="center"/>
      <protection hidden="1"/>
    </xf>
    <xf numFmtId="0" fontId="5" fillId="2" borderId="30" xfId="0" applyFont="1" applyFill="1" applyBorder="1" applyAlignment="1" applyProtection="1">
      <alignment horizontal="left" vertical="center" wrapText="1" indent="1"/>
      <protection hidden="1"/>
    </xf>
    <xf numFmtId="0" fontId="5" fillId="0" borderId="8" xfId="0" applyFont="1" applyBorder="1" applyAlignment="1">
      <alignment horizontal="left" vertical="center" wrapText="1" indent="1"/>
    </xf>
    <xf numFmtId="0" fontId="5" fillId="0" borderId="14"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4" xfId="0" applyFont="1" applyBorder="1" applyAlignment="1">
      <alignment horizontal="left" vertical="center" wrapText="1" indent="1"/>
    </xf>
    <xf numFmtId="0" fontId="5" fillId="0" borderId="9"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1" xfId="0" applyFont="1" applyBorder="1" applyAlignment="1">
      <alignment horizontal="left" vertical="center" wrapText="1" indent="1"/>
    </xf>
    <xf numFmtId="0" fontId="0" fillId="2" borderId="5" xfId="0" applyFill="1" applyBorder="1" applyAlignment="1" applyProtection="1">
      <alignment horizontal="center" wrapText="1"/>
      <protection hidden="1"/>
    </xf>
    <xf numFmtId="0" fontId="5" fillId="2" borderId="21" xfId="0" applyFont="1" applyFill="1" applyBorder="1" applyAlignment="1" applyProtection="1">
      <alignment horizontal="center" vertical="center" wrapText="1"/>
      <protection hidden="1"/>
    </xf>
    <xf numFmtId="0" fontId="0" fillId="0" borderId="4" xfId="0" applyBorder="1" applyAlignment="1">
      <alignment vertical="center" wrapText="1"/>
    </xf>
    <xf numFmtId="0" fontId="0" fillId="0" borderId="4" xfId="0" applyBorder="1" applyAlignment="1">
      <alignment wrapText="1"/>
    </xf>
    <xf numFmtId="0" fontId="0" fillId="0" borderId="22" xfId="0" applyBorder="1" applyAlignment="1">
      <alignment wrapText="1"/>
    </xf>
    <xf numFmtId="0" fontId="14" fillId="15" borderId="190" xfId="0" applyFont="1" applyFill="1" applyBorder="1" applyAlignment="1" applyProtection="1">
      <alignment horizontal="left" wrapText="1"/>
      <protection hidden="1"/>
    </xf>
    <xf numFmtId="0" fontId="46" fillId="15" borderId="161" xfId="0" applyFont="1" applyFill="1" applyBorder="1" applyAlignment="1">
      <alignment horizontal="left" wrapText="1"/>
    </xf>
    <xf numFmtId="0" fontId="46" fillId="15" borderId="161" xfId="0" applyFont="1" applyFill="1" applyBorder="1" applyAlignment="1">
      <alignment wrapText="1"/>
    </xf>
    <xf numFmtId="0" fontId="46" fillId="15" borderId="40" xfId="0" applyFont="1" applyFill="1" applyBorder="1" applyAlignment="1">
      <alignment wrapText="1"/>
    </xf>
    <xf numFmtId="0" fontId="122" fillId="8" borderId="20" xfId="0" applyFont="1" applyFill="1" applyBorder="1" applyAlignment="1" applyProtection="1">
      <alignment horizontal="center" vertical="center" wrapText="1"/>
      <protection hidden="1"/>
    </xf>
    <xf numFmtId="0" fontId="46" fillId="2" borderId="30" xfId="0" applyFont="1" applyFill="1" applyBorder="1" applyAlignment="1" applyProtection="1">
      <alignment horizontal="left" vertical="center" wrapText="1" indent="1"/>
      <protection hidden="1"/>
    </xf>
    <xf numFmtId="0" fontId="46" fillId="0" borderId="8" xfId="0" applyFont="1" applyBorder="1" applyAlignment="1">
      <alignment horizontal="left" vertical="center" wrapText="1" indent="1"/>
    </xf>
    <xf numFmtId="0" fontId="46" fillId="0" borderId="14" xfId="0" applyFont="1" applyBorder="1" applyAlignment="1">
      <alignment horizontal="left" vertical="center" wrapText="1" indent="1"/>
    </xf>
    <xf numFmtId="0" fontId="46" fillId="0" borderId="3" xfId="0" applyFont="1" applyBorder="1" applyAlignment="1">
      <alignment horizontal="left" vertical="center" wrapText="1" indent="1"/>
    </xf>
    <xf numFmtId="0" fontId="46" fillId="0" borderId="0" xfId="0" applyFont="1" applyAlignment="1">
      <alignment horizontal="left" vertical="center" wrapText="1" indent="1"/>
    </xf>
    <xf numFmtId="0" fontId="46" fillId="0" borderId="24" xfId="0" applyFont="1" applyBorder="1" applyAlignment="1">
      <alignment horizontal="left" vertical="center" wrapText="1" indent="1"/>
    </xf>
    <xf numFmtId="0" fontId="46" fillId="0" borderId="9" xfId="0" applyFont="1" applyBorder="1" applyAlignment="1">
      <alignment horizontal="left" vertical="center" wrapText="1" indent="1"/>
    </xf>
    <xf numFmtId="0" fontId="46" fillId="0" borderId="1" xfId="0" applyFont="1" applyBorder="1" applyAlignment="1">
      <alignment horizontal="left" vertical="center" wrapText="1" indent="1"/>
    </xf>
    <xf numFmtId="0" fontId="46" fillId="0" borderId="11" xfId="0" applyFont="1" applyBorder="1" applyAlignment="1">
      <alignment horizontal="left" vertical="center" wrapText="1" indent="1"/>
    </xf>
    <xf numFmtId="0" fontId="14" fillId="15" borderId="5" xfId="0" quotePrefix="1" applyFont="1" applyFill="1" applyBorder="1" applyAlignment="1">
      <alignment horizontal="right"/>
    </xf>
    <xf numFmtId="0" fontId="5" fillId="0" borderId="0" xfId="0" applyFont="1" applyAlignment="1">
      <alignment horizontal="center" vertical="top" wrapText="1"/>
    </xf>
    <xf numFmtId="0" fontId="3" fillId="27"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1" xfId="0" applyFont="1" applyBorder="1" applyAlignment="1">
      <alignment vertical="center"/>
    </xf>
    <xf numFmtId="0" fontId="0" fillId="15" borderId="188" xfId="0" applyFill="1" applyBorder="1" applyAlignment="1">
      <alignment horizontal="left" wrapText="1"/>
    </xf>
    <xf numFmtId="0" fontId="0" fillId="15" borderId="106" xfId="0" applyFill="1" applyBorder="1" applyAlignment="1">
      <alignment horizontal="left" wrapText="1"/>
    </xf>
    <xf numFmtId="0" fontId="0" fillId="15" borderId="189" xfId="0" applyFill="1" applyBorder="1" applyAlignment="1">
      <alignment horizontal="left" wrapText="1"/>
    </xf>
    <xf numFmtId="0" fontId="7" fillId="2" borderId="30" xfId="0" applyFont="1" applyFill="1" applyBorder="1" applyAlignment="1" applyProtection="1">
      <alignment horizontal="left" vertical="center" wrapText="1" indent="1"/>
      <protection hidden="1"/>
    </xf>
    <xf numFmtId="0" fontId="7" fillId="0" borderId="8" xfId="0" applyFont="1" applyBorder="1" applyAlignment="1">
      <alignment horizontal="left" vertical="center" wrapText="1" indent="1"/>
    </xf>
    <xf numFmtId="0" fontId="7" fillId="0" borderId="14"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4" xfId="0" applyFont="1" applyBorder="1" applyAlignment="1">
      <alignment horizontal="left" vertical="center" wrapText="1" indent="1"/>
    </xf>
    <xf numFmtId="0" fontId="7" fillId="0" borderId="9"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1" xfId="0" applyFont="1" applyBorder="1" applyAlignment="1">
      <alignment horizontal="left" vertical="center" wrapText="1" indent="1"/>
    </xf>
    <xf numFmtId="0" fontId="3"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4" xfId="0" applyBorder="1" applyAlignment="1">
      <alignment horizontal="center" wrapText="1"/>
    </xf>
    <xf numFmtId="0" fontId="0" fillId="0" borderId="3" xfId="0" applyBorder="1" applyAlignment="1">
      <alignment horizontal="center" wrapText="1"/>
    </xf>
    <xf numFmtId="0" fontId="5" fillId="2" borderId="8" xfId="0" applyFont="1" applyFill="1" applyBorder="1" applyAlignment="1" applyProtection="1">
      <alignment horizontal="left" vertical="center" wrapText="1"/>
      <protection hidden="1"/>
    </xf>
    <xf numFmtId="0" fontId="5" fillId="2" borderId="14"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4" xfId="0" applyFont="1" applyFill="1" applyBorder="1" applyAlignment="1" applyProtection="1">
      <alignment horizontal="left" vertical="center" wrapText="1"/>
      <protection hidden="1"/>
    </xf>
    <xf numFmtId="0" fontId="5" fillId="2" borderId="9"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1" xfId="0" applyFont="1" applyFill="1" applyBorder="1" applyAlignment="1" applyProtection="1">
      <alignment horizontal="left" vertical="center" wrapText="1"/>
      <protection hidden="1"/>
    </xf>
    <xf numFmtId="0" fontId="5" fillId="2" borderId="39" xfId="0" applyFont="1" applyFill="1" applyBorder="1" applyAlignment="1" applyProtection="1">
      <alignment horizontal="center" vertical="center" wrapText="1"/>
      <protection hidden="1"/>
    </xf>
    <xf numFmtId="0" fontId="5" fillId="2" borderId="25" xfId="0" applyFont="1" applyFill="1" applyBorder="1" applyAlignment="1" applyProtection="1">
      <alignment horizontal="center" vertical="center" wrapText="1"/>
      <protection hidden="1"/>
    </xf>
    <xf numFmtId="0" fontId="5" fillId="2" borderId="54" xfId="0" applyFont="1" applyFill="1" applyBorder="1" applyAlignment="1" applyProtection="1">
      <alignment horizontal="center" vertical="center" wrapText="1"/>
      <protection hidden="1"/>
    </xf>
    <xf numFmtId="0" fontId="8" fillId="2" borderId="8" xfId="0" applyFont="1" applyFill="1" applyBorder="1" applyAlignment="1" applyProtection="1">
      <alignment horizontal="right" vertical="top" wrapText="1" indent="1"/>
      <protection hidden="1"/>
    </xf>
    <xf numFmtId="0" fontId="0" fillId="0" borderId="8" xfId="0" applyBorder="1" applyAlignment="1">
      <alignment horizontal="right" vertical="top" wrapText="1" indent="1"/>
    </xf>
    <xf numFmtId="0" fontId="0" fillId="0" borderId="0" xfId="0" applyAlignment="1">
      <alignment horizontal="right" vertical="top" wrapText="1" indent="1"/>
    </xf>
    <xf numFmtId="0" fontId="10" fillId="2" borderId="39" xfId="0" applyFont="1" applyFill="1" applyBorder="1" applyAlignment="1" applyProtection="1">
      <alignment horizontal="center" vertical="center" wrapText="1"/>
      <protection hidden="1"/>
    </xf>
    <xf numFmtId="0" fontId="10" fillId="2" borderId="25" xfId="0" applyFont="1" applyFill="1" applyBorder="1" applyAlignment="1" applyProtection="1">
      <alignment horizontal="center" vertical="center" wrapText="1"/>
      <protection hidden="1"/>
    </xf>
    <xf numFmtId="0" fontId="112" fillId="2" borderId="3" xfId="0" applyFont="1" applyFill="1" applyBorder="1" applyAlignment="1" applyProtection="1">
      <alignment horizontal="center"/>
      <protection hidden="1"/>
    </xf>
    <xf numFmtId="0" fontId="112" fillId="2" borderId="24" xfId="0" applyFont="1" applyFill="1" applyBorder="1" applyAlignment="1" applyProtection="1">
      <alignment horizontal="center"/>
      <protection hidden="1"/>
    </xf>
    <xf numFmtId="0" fontId="9" fillId="2" borderId="0" xfId="0" applyFont="1" applyFill="1" applyAlignment="1" applyProtection="1">
      <alignment horizontal="center" vertical="center"/>
      <protection hidden="1"/>
    </xf>
    <xf numFmtId="0" fontId="9" fillId="0" borderId="0" xfId="0" applyFont="1" applyAlignment="1">
      <alignment horizontal="center" vertical="center"/>
    </xf>
    <xf numFmtId="0" fontId="116" fillId="15" borderId="0" xfId="0" applyFont="1" applyFill="1" applyProtection="1">
      <protection hidden="1"/>
    </xf>
    <xf numFmtId="0" fontId="116" fillId="15" borderId="0" xfId="0" applyFont="1" applyFill="1"/>
    <xf numFmtId="0" fontId="116" fillId="15" borderId="24" xfId="0" applyFont="1" applyFill="1" applyBorder="1"/>
    <xf numFmtId="0" fontId="110" fillId="15" borderId="75" xfId="0" applyFont="1" applyFill="1" applyBorder="1" applyAlignment="1" applyProtection="1">
      <alignment horizontal="center"/>
      <protection hidden="1"/>
    </xf>
    <xf numFmtId="0" fontId="5" fillId="15" borderId="23" xfId="0" applyFont="1" applyFill="1" applyBorder="1" applyAlignment="1">
      <alignment horizontal="center" vertical="center" wrapText="1"/>
    </xf>
    <xf numFmtId="0" fontId="0" fillId="15" borderId="7" xfId="0" applyFill="1" applyBorder="1" applyAlignment="1">
      <alignment horizontal="center" vertical="center" wrapText="1"/>
    </xf>
    <xf numFmtId="0" fontId="0" fillId="15" borderId="19" xfId="0" applyFill="1" applyBorder="1" applyAlignment="1">
      <alignment horizontal="center" vertical="center" wrapText="1"/>
    </xf>
    <xf numFmtId="0" fontId="0" fillId="15" borderId="5" xfId="0" applyFill="1" applyBorder="1" applyAlignment="1">
      <alignment horizontal="center" vertical="center" wrapText="1"/>
    </xf>
    <xf numFmtId="0" fontId="0" fillId="15" borderId="20" xfId="0" applyFill="1" applyBorder="1" applyAlignment="1">
      <alignment horizontal="center" vertical="center" wrapText="1"/>
    </xf>
    <xf numFmtId="0" fontId="0" fillId="15" borderId="21"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22" xfId="0" applyFill="1" applyBorder="1" applyAlignment="1">
      <alignment horizontal="center" vertical="center" wrapText="1"/>
    </xf>
    <xf numFmtId="0" fontId="116" fillId="15" borderId="0" xfId="0" applyFont="1" applyFill="1" applyAlignment="1" applyProtection="1">
      <alignment horizontal="left"/>
      <protection hidden="1"/>
    </xf>
    <xf numFmtId="0" fontId="116" fillId="15" borderId="0" xfId="0" quotePrefix="1" applyFont="1" applyFill="1" applyAlignment="1" applyProtection="1">
      <alignment horizontal="left"/>
      <protection hidden="1"/>
    </xf>
    <xf numFmtId="0" fontId="5" fillId="15" borderId="0" xfId="0" applyFont="1" applyFill="1" applyAlignment="1" applyProtection="1">
      <alignment horizontal="center" vertical="center" wrapText="1"/>
      <protection hidden="1"/>
    </xf>
    <xf numFmtId="0" fontId="10"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protection hidden="1"/>
    </xf>
    <xf numFmtId="0" fontId="5" fillId="15" borderId="0" xfId="0" applyFont="1" applyFill="1" applyAlignment="1" applyProtection="1">
      <alignment horizontal="left"/>
      <protection hidden="1"/>
    </xf>
    <xf numFmtId="0" fontId="0" fillId="15" borderId="0" xfId="0" applyFill="1" applyAlignment="1" applyProtection="1">
      <alignment horizontal="left"/>
      <protection hidden="1"/>
    </xf>
    <xf numFmtId="0" fontId="126" fillId="15" borderId="0" xfId="0" applyFont="1" applyFill="1" applyAlignment="1" applyProtection="1">
      <alignment horizontal="center"/>
      <protection hidden="1"/>
    </xf>
    <xf numFmtId="0" fontId="5" fillId="15" borderId="0" xfId="0" applyFont="1" applyFill="1" applyAlignment="1" applyProtection="1">
      <alignment horizontal="center"/>
      <protection hidden="1"/>
    </xf>
    <xf numFmtId="4" fontId="0" fillId="27" borderId="39" xfId="0" applyNumberFormat="1" applyFill="1" applyBorder="1" applyAlignment="1" applyProtection="1">
      <alignment horizontal="center"/>
      <protection hidden="1"/>
    </xf>
    <xf numFmtId="4" fontId="0" fillId="27" borderId="25" xfId="0" applyNumberFormat="1" applyFill="1" applyBorder="1" applyAlignment="1" applyProtection="1">
      <alignment horizontal="center"/>
      <protection hidden="1"/>
    </xf>
    <xf numFmtId="4" fontId="0" fillId="27" borderId="54" xfId="0" applyNumberFormat="1" applyFill="1" applyBorder="1" applyAlignment="1" applyProtection="1">
      <alignment horizontal="center"/>
      <protection hidden="1"/>
    </xf>
    <xf numFmtId="185" fontId="0" fillId="16" borderId="39" xfId="0" applyNumberFormat="1" applyFill="1" applyBorder="1" applyAlignment="1" applyProtection="1">
      <alignment horizontal="center"/>
      <protection locked="0"/>
    </xf>
    <xf numFmtId="185" fontId="0" fillId="16" borderId="25" xfId="0" applyNumberFormat="1" applyFill="1" applyBorder="1" applyAlignment="1" applyProtection="1">
      <alignment horizontal="center"/>
      <protection locked="0"/>
    </xf>
    <xf numFmtId="185" fontId="0" fillId="16" borderId="54" xfId="0" applyNumberFormat="1" applyFill="1" applyBorder="1" applyAlignment="1" applyProtection="1">
      <alignment horizontal="center"/>
      <protection locked="0"/>
    </xf>
    <xf numFmtId="0" fontId="5" fillId="15" borderId="8" xfId="0" applyFont="1" applyFill="1" applyBorder="1" applyAlignment="1" applyProtection="1">
      <alignment horizontal="center" vertical="top" wrapText="1"/>
      <protection hidden="1"/>
    </xf>
    <xf numFmtId="0" fontId="5" fillId="15" borderId="0" xfId="0" applyFont="1" applyFill="1" applyAlignment="1" applyProtection="1">
      <alignment horizontal="center" vertical="top" wrapText="1"/>
      <protection hidden="1"/>
    </xf>
    <xf numFmtId="4" fontId="0" fillId="16" borderId="39" xfId="0" applyNumberFormat="1" applyFill="1" applyBorder="1" applyAlignment="1" applyProtection="1">
      <alignment horizontal="center"/>
      <protection locked="0"/>
    </xf>
    <xf numFmtId="4" fontId="0" fillId="16" borderId="25" xfId="0" applyNumberFormat="1" applyFill="1" applyBorder="1" applyAlignment="1" applyProtection="1">
      <alignment horizontal="center"/>
      <protection locked="0"/>
    </xf>
    <xf numFmtId="4" fontId="0" fillId="16" borderId="54" xfId="0" applyNumberFormat="1" applyFill="1" applyBorder="1" applyAlignment="1" applyProtection="1">
      <alignment horizontal="center"/>
      <protection locked="0"/>
    </xf>
    <xf numFmtId="2" fontId="5" fillId="15" borderId="0" xfId="0" applyNumberFormat="1" applyFont="1" applyFill="1" applyAlignment="1">
      <alignment horizontal="left"/>
    </xf>
    <xf numFmtId="0" fontId="3" fillId="15" borderId="1" xfId="0" applyFont="1" applyFill="1" applyBorder="1" applyAlignment="1">
      <alignment horizontal="center" wrapText="1"/>
    </xf>
    <xf numFmtId="0" fontId="291" fillId="0" borderId="0" xfId="0" applyFont="1" applyAlignment="1">
      <alignment horizontal="left"/>
    </xf>
    <xf numFmtId="0" fontId="291" fillId="0" borderId="1" xfId="0" applyFont="1" applyBorder="1" applyAlignment="1">
      <alignment horizontal="left"/>
    </xf>
    <xf numFmtId="0" fontId="5" fillId="15" borderId="30" xfId="0" applyFont="1" applyFill="1" applyBorder="1" applyAlignment="1">
      <alignment horizontal="left" wrapText="1"/>
    </xf>
    <xf numFmtId="0" fontId="5" fillId="15" borderId="8" xfId="0" applyFont="1" applyFill="1" applyBorder="1" applyAlignment="1">
      <alignment horizontal="left" wrapText="1"/>
    </xf>
    <xf numFmtId="0" fontId="5" fillId="15" borderId="14" xfId="0" applyFont="1" applyFill="1" applyBorder="1" applyAlignment="1">
      <alignment horizontal="left" wrapText="1"/>
    </xf>
    <xf numFmtId="0" fontId="5" fillId="15" borderId="3" xfId="0" applyFont="1" applyFill="1" applyBorder="1" applyAlignment="1">
      <alignment horizontal="left" wrapText="1"/>
    </xf>
    <xf numFmtId="0" fontId="5" fillId="15" borderId="0" xfId="0" applyFont="1" applyFill="1" applyAlignment="1">
      <alignment horizontal="left" wrapText="1"/>
    </xf>
    <xf numFmtId="0" fontId="5" fillId="15" borderId="24" xfId="0" applyFont="1" applyFill="1" applyBorder="1" applyAlignment="1">
      <alignment horizontal="left" wrapText="1"/>
    </xf>
    <xf numFmtId="0" fontId="5" fillId="15" borderId="3" xfId="0" applyFont="1" applyFill="1" applyBorder="1" applyAlignment="1">
      <alignment horizontal="left" vertical="top"/>
    </xf>
    <xf numFmtId="0" fontId="5" fillId="15" borderId="0" xfId="0" applyFont="1" applyFill="1" applyAlignment="1">
      <alignment horizontal="left" vertical="top"/>
    </xf>
    <xf numFmtId="0" fontId="5" fillId="15" borderId="24" xfId="0" applyFont="1" applyFill="1" applyBorder="1" applyAlignment="1">
      <alignment horizontal="left" vertical="top"/>
    </xf>
    <xf numFmtId="0" fontId="5" fillId="0" borderId="3" xfId="0" quotePrefix="1" applyFont="1" applyBorder="1" applyAlignment="1">
      <alignment horizontal="right"/>
    </xf>
    <xf numFmtId="37" fontId="0" fillId="15" borderId="1" xfId="0" applyNumberFormat="1" applyFill="1" applyBorder="1" applyAlignment="1">
      <alignment horizontal="right"/>
    </xf>
    <xf numFmtId="0" fontId="5" fillId="15" borderId="0" xfId="0" quotePrefix="1" applyFont="1" applyFill="1" applyAlignment="1">
      <alignment horizontal="center"/>
    </xf>
    <xf numFmtId="0" fontId="5" fillId="0" borderId="0" xfId="0" quotePrefix="1" applyFont="1" applyAlignment="1">
      <alignment horizontal="left"/>
    </xf>
    <xf numFmtId="0" fontId="5" fillId="15" borderId="30" xfId="0" applyFont="1" applyFill="1" applyBorder="1" applyAlignment="1">
      <alignment horizontal="left" vertical="top" wrapText="1"/>
    </xf>
    <xf numFmtId="0" fontId="5" fillId="15" borderId="8" xfId="0" applyFont="1" applyFill="1" applyBorder="1" applyAlignment="1">
      <alignment horizontal="left" vertical="top" wrapText="1"/>
    </xf>
    <xf numFmtId="0" fontId="5" fillId="15" borderId="14" xfId="0" applyFont="1" applyFill="1" applyBorder="1" applyAlignment="1">
      <alignment horizontal="left" vertical="top" wrapText="1"/>
    </xf>
    <xf numFmtId="0" fontId="5" fillId="15" borderId="3" xfId="0" applyFont="1" applyFill="1" applyBorder="1" applyAlignment="1">
      <alignment horizontal="left" vertical="top" wrapText="1"/>
    </xf>
    <xf numFmtId="0" fontId="5" fillId="15" borderId="24" xfId="0" applyFont="1" applyFill="1" applyBorder="1" applyAlignment="1">
      <alignment horizontal="left" vertical="top" wrapText="1"/>
    </xf>
    <xf numFmtId="0" fontId="5" fillId="15" borderId="9" xfId="0" applyFont="1" applyFill="1" applyBorder="1" applyAlignment="1">
      <alignment horizontal="left" vertical="top" wrapText="1"/>
    </xf>
    <xf numFmtId="0" fontId="5" fillId="15" borderId="11" xfId="0" applyFont="1" applyFill="1" applyBorder="1" applyAlignment="1">
      <alignment horizontal="left" vertical="top" wrapText="1"/>
    </xf>
    <xf numFmtId="37" fontId="3" fillId="16" borderId="39" xfId="0" applyNumberFormat="1" applyFont="1" applyFill="1" applyBorder="1" applyAlignment="1" applyProtection="1">
      <alignment horizontal="right" vertical="center"/>
      <protection locked="0"/>
    </xf>
    <xf numFmtId="37" fontId="3" fillId="16" borderId="25" xfId="0" applyNumberFormat="1" applyFont="1" applyFill="1" applyBorder="1" applyAlignment="1" applyProtection="1">
      <alignment horizontal="right" vertical="center"/>
      <protection locked="0"/>
    </xf>
    <xf numFmtId="0" fontId="5" fillId="15" borderId="9" xfId="0" applyFont="1" applyFill="1" applyBorder="1" applyAlignment="1">
      <alignment horizontal="left" wrapText="1"/>
    </xf>
    <xf numFmtId="0" fontId="5" fillId="15" borderId="1" xfId="0" applyFont="1" applyFill="1" applyBorder="1" applyAlignment="1">
      <alignment horizontal="left" wrapText="1"/>
    </xf>
    <xf numFmtId="0" fontId="5" fillId="15" borderId="11" xfId="0" applyFont="1" applyFill="1" applyBorder="1" applyAlignment="1">
      <alignment horizontal="left" wrapText="1"/>
    </xf>
    <xf numFmtId="0" fontId="14" fillId="20" borderId="25" xfId="0" applyFont="1" applyFill="1" applyBorder="1" applyAlignment="1" applyProtection="1">
      <alignment horizontal="left" vertical="center" indent="1"/>
      <protection locked="0"/>
    </xf>
    <xf numFmtId="0" fontId="14" fillId="16" borderId="25" xfId="0" applyFont="1" applyFill="1" applyBorder="1" applyAlignment="1" applyProtection="1">
      <alignment horizontal="left" vertical="center" indent="1"/>
      <protection locked="0"/>
    </xf>
    <xf numFmtId="0" fontId="14" fillId="16" borderId="54" xfId="0" applyFont="1" applyFill="1" applyBorder="1" applyAlignment="1" applyProtection="1">
      <alignment horizontal="left" vertical="center" indent="1"/>
      <protection locked="0"/>
    </xf>
    <xf numFmtId="166" fontId="3" fillId="20" borderId="39" xfId="0" applyNumberFormat="1" applyFont="1" applyFill="1" applyBorder="1" applyAlignment="1" applyProtection="1">
      <alignment horizontal="center" vertical="center"/>
      <protection locked="0"/>
    </xf>
    <xf numFmtId="166" fontId="3" fillId="20" borderId="25" xfId="0" applyNumberFormat="1" applyFont="1" applyFill="1" applyBorder="1" applyAlignment="1" applyProtection="1">
      <alignment horizontal="center" vertical="center"/>
      <protection locked="0"/>
    </xf>
    <xf numFmtId="166" fontId="3" fillId="20" borderId="54" xfId="0" applyNumberFormat="1" applyFont="1" applyFill="1" applyBorder="1" applyAlignment="1" applyProtection="1">
      <alignment horizontal="center" vertical="center"/>
      <protection locked="0"/>
    </xf>
    <xf numFmtId="0" fontId="9" fillId="3" borderId="3" xfId="0" applyFont="1" applyFill="1" applyBorder="1" applyAlignment="1" applyProtection="1">
      <alignment horizontal="center" vertical="center" wrapText="1"/>
      <protection hidden="1"/>
    </xf>
    <xf numFmtId="0" fontId="9" fillId="3" borderId="0" xfId="0" applyFont="1" applyFill="1" applyAlignment="1" applyProtection="1">
      <alignment horizontal="center" vertical="center" wrapText="1"/>
      <protection hidden="1"/>
    </xf>
    <xf numFmtId="0" fontId="9" fillId="3" borderId="24" xfId="0" applyFont="1" applyFill="1" applyBorder="1" applyAlignment="1" applyProtection="1">
      <alignment horizontal="center" vertical="center" wrapText="1"/>
      <protection hidden="1"/>
    </xf>
    <xf numFmtId="0" fontId="9" fillId="3" borderId="9" xfId="0" applyFont="1" applyFill="1" applyBorder="1" applyAlignment="1" applyProtection="1">
      <alignment horizontal="center" vertical="center" wrapText="1"/>
      <protection hidden="1"/>
    </xf>
    <xf numFmtId="0" fontId="9" fillId="3" borderId="1" xfId="0" applyFont="1" applyFill="1" applyBorder="1" applyAlignment="1" applyProtection="1">
      <alignment horizontal="center" vertical="center" wrapText="1"/>
      <protection hidden="1"/>
    </xf>
    <xf numFmtId="0" fontId="9" fillId="3" borderId="11" xfId="0" applyFont="1" applyFill="1" applyBorder="1" applyAlignment="1" applyProtection="1">
      <alignment horizontal="center" vertical="center" wrapText="1"/>
      <protection hidden="1"/>
    </xf>
    <xf numFmtId="0" fontId="18" fillId="3" borderId="3" xfId="0" applyFont="1" applyFill="1" applyBorder="1" applyAlignment="1" applyProtection="1">
      <alignment horizontal="center"/>
      <protection hidden="1"/>
    </xf>
    <xf numFmtId="0" fontId="18" fillId="3" borderId="0" xfId="0" applyFont="1" applyFill="1" applyAlignment="1" applyProtection="1">
      <alignment horizontal="center"/>
      <protection hidden="1"/>
    </xf>
    <xf numFmtId="0" fontId="9" fillId="3" borderId="30" xfId="0" applyFont="1" applyFill="1" applyBorder="1" applyAlignment="1" applyProtection="1">
      <alignment horizontal="center"/>
      <protection hidden="1"/>
    </xf>
    <xf numFmtId="0" fontId="9" fillId="3" borderId="8" xfId="0" applyFont="1" applyFill="1" applyBorder="1" applyAlignment="1" applyProtection="1">
      <alignment horizontal="center"/>
      <protection hidden="1"/>
    </xf>
    <xf numFmtId="0" fontId="9" fillId="3" borderId="14" xfId="0" applyFont="1" applyFill="1" applyBorder="1" applyAlignment="1" applyProtection="1">
      <alignment horizontal="center"/>
      <protection hidden="1"/>
    </xf>
    <xf numFmtId="0" fontId="11" fillId="3" borderId="30" xfId="0" applyFont="1" applyFill="1" applyBorder="1" applyAlignment="1" applyProtection="1">
      <alignment horizontal="left"/>
      <protection hidden="1"/>
    </xf>
    <xf numFmtId="0" fontId="11" fillId="3" borderId="8" xfId="0" applyFont="1" applyFill="1" applyBorder="1" applyAlignment="1" applyProtection="1">
      <alignment horizontal="left"/>
      <protection hidden="1"/>
    </xf>
    <xf numFmtId="0" fontId="9" fillId="3" borderId="9" xfId="0" applyFont="1" applyFill="1" applyBorder="1" applyAlignment="1" applyProtection="1">
      <alignment horizontal="center" vertical="top"/>
      <protection hidden="1"/>
    </xf>
    <xf numFmtId="0" fontId="9" fillId="3" borderId="1" xfId="0" applyFont="1" applyFill="1" applyBorder="1" applyAlignment="1" applyProtection="1">
      <alignment horizontal="center" vertical="top"/>
      <protection hidden="1"/>
    </xf>
    <xf numFmtId="0" fontId="9" fillId="3" borderId="11" xfId="0" applyFont="1" applyFill="1" applyBorder="1" applyAlignment="1" applyProtection="1">
      <alignment horizontal="center" vertical="top"/>
      <protection hidden="1"/>
    </xf>
    <xf numFmtId="0" fontId="5" fillId="15" borderId="30" xfId="0" applyFont="1" applyFill="1" applyBorder="1" applyAlignment="1">
      <alignment horizontal="center" vertical="center" wrapText="1"/>
    </xf>
    <xf numFmtId="0" fontId="5" fillId="15" borderId="3" xfId="0" applyFont="1" applyFill="1" applyBorder="1" applyAlignment="1">
      <alignment horizontal="center" vertical="center" wrapText="1"/>
    </xf>
    <xf numFmtId="0" fontId="5" fillId="15" borderId="24" xfId="0" applyFont="1" applyFill="1" applyBorder="1" applyAlignment="1">
      <alignment horizontal="center" vertical="center" wrapText="1"/>
    </xf>
    <xf numFmtId="0" fontId="9" fillId="20" borderId="98" xfId="0" applyFont="1" applyFill="1" applyBorder="1" applyAlignment="1" applyProtection="1">
      <alignment horizontal="left"/>
      <protection locked="0"/>
    </xf>
    <xf numFmtId="0" fontId="9" fillId="20" borderId="89" xfId="0" applyFont="1" applyFill="1" applyBorder="1" applyAlignment="1" applyProtection="1">
      <alignment horizontal="left"/>
      <protection locked="0"/>
    </xf>
    <xf numFmtId="0" fontId="5" fillId="16" borderId="89" xfId="0" applyFont="1" applyFill="1" applyBorder="1" applyAlignment="1" applyProtection="1">
      <alignment horizontal="left"/>
      <protection locked="0"/>
    </xf>
    <xf numFmtId="0" fontId="5" fillId="16" borderId="90" xfId="0" applyFont="1" applyFill="1" applyBorder="1" applyAlignment="1" applyProtection="1">
      <alignment horizontal="left"/>
      <protection locked="0"/>
    </xf>
    <xf numFmtId="0" fontId="5" fillId="16" borderId="1" xfId="0" applyFont="1" applyFill="1" applyBorder="1" applyAlignment="1" applyProtection="1">
      <alignment horizontal="left"/>
      <protection locked="0"/>
    </xf>
    <xf numFmtId="166" fontId="14" fillId="28" borderId="9" xfId="0" applyNumberFormat="1" applyFont="1" applyFill="1" applyBorder="1" applyAlignment="1" applyProtection="1">
      <alignment horizontal="center"/>
      <protection hidden="1"/>
    </xf>
    <xf numFmtId="166" fontId="14" fillId="28" borderId="1" xfId="0" applyNumberFormat="1" applyFont="1" applyFill="1" applyBorder="1" applyAlignment="1" applyProtection="1">
      <alignment horizontal="center"/>
      <protection hidden="1"/>
    </xf>
    <xf numFmtId="37" fontId="5" fillId="20" borderId="9" xfId="0" applyNumberFormat="1" applyFont="1" applyFill="1" applyBorder="1" applyProtection="1">
      <protection locked="0"/>
    </xf>
    <xf numFmtId="0" fontId="10" fillId="27" borderId="15" xfId="0" applyFont="1" applyFill="1" applyBorder="1" applyAlignment="1" applyProtection="1">
      <alignment horizontal="center" vertical="center" wrapText="1"/>
      <protection hidden="1"/>
    </xf>
    <xf numFmtId="0" fontId="10" fillId="27" borderId="10" xfId="0" applyFont="1" applyFill="1" applyBorder="1" applyAlignment="1" applyProtection="1">
      <alignment horizontal="center" vertical="center" wrapText="1"/>
      <protection hidden="1"/>
    </xf>
    <xf numFmtId="0" fontId="15" fillId="3" borderId="3" xfId="0" applyFont="1" applyFill="1" applyBorder="1" applyAlignment="1" applyProtection="1">
      <alignment horizontal="center" vertical="center"/>
      <protection hidden="1"/>
    </xf>
    <xf numFmtId="0" fontId="15" fillId="3" borderId="0" xfId="0" applyFont="1" applyFill="1" applyAlignment="1" applyProtection="1">
      <alignment horizontal="center" vertical="center"/>
      <protection hidden="1"/>
    </xf>
    <xf numFmtId="0" fontId="15" fillId="3" borderId="9" xfId="0" applyFont="1" applyFill="1" applyBorder="1" applyAlignment="1" applyProtection="1">
      <alignment horizontal="center" vertical="top"/>
      <protection hidden="1"/>
    </xf>
    <xf numFmtId="0" fontId="15" fillId="3" borderId="1" xfId="0" applyFont="1" applyFill="1" applyBorder="1" applyAlignment="1" applyProtection="1">
      <alignment horizontal="center" vertical="top"/>
      <protection hidden="1"/>
    </xf>
    <xf numFmtId="0" fontId="9" fillId="20" borderId="8" xfId="0" applyFont="1" applyFill="1" applyBorder="1" applyAlignment="1" applyProtection="1">
      <alignment horizontal="center" vertical="center" wrapText="1"/>
      <protection locked="0"/>
    </xf>
    <xf numFmtId="0" fontId="5" fillId="16" borderId="8" xfId="0" applyFont="1" applyFill="1" applyBorder="1" applyAlignment="1" applyProtection="1">
      <alignment horizontal="center" vertical="center" wrapText="1"/>
      <protection locked="0"/>
    </xf>
    <xf numFmtId="0" fontId="5" fillId="16" borderId="14" xfId="0" applyFont="1" applyFill="1" applyBorder="1" applyAlignment="1" applyProtection="1">
      <alignment horizontal="center" vertical="center" wrapText="1"/>
      <protection locked="0"/>
    </xf>
    <xf numFmtId="0" fontId="5" fillId="16" borderId="1" xfId="0" applyFont="1" applyFill="1" applyBorder="1" applyAlignment="1" applyProtection="1">
      <alignment horizontal="center" vertical="center" wrapText="1"/>
      <protection locked="0"/>
    </xf>
    <xf numFmtId="0" fontId="5" fillId="16" borderId="11" xfId="0" applyFont="1" applyFill="1" applyBorder="1" applyAlignment="1" applyProtection="1">
      <alignment horizontal="center" vertical="center" wrapText="1"/>
      <protection locked="0"/>
    </xf>
    <xf numFmtId="0" fontId="9" fillId="20" borderId="97" xfId="0" applyFont="1" applyFill="1" applyBorder="1" applyAlignment="1" applyProtection="1">
      <alignment horizontal="left"/>
      <protection locked="0"/>
    </xf>
    <xf numFmtId="0" fontId="9" fillId="20" borderId="94" xfId="0" applyFont="1" applyFill="1" applyBorder="1" applyAlignment="1" applyProtection="1">
      <alignment horizontal="left"/>
      <protection locked="0"/>
    </xf>
    <xf numFmtId="0" fontId="5" fillId="16" borderId="94" xfId="0" applyFont="1" applyFill="1" applyBorder="1" applyAlignment="1" applyProtection="1">
      <alignment horizontal="left"/>
      <protection locked="0"/>
    </xf>
    <xf numFmtId="0" fontId="5" fillId="16" borderId="95" xfId="0" applyFont="1" applyFill="1" applyBorder="1" applyAlignment="1" applyProtection="1">
      <alignment horizontal="left"/>
      <protection locked="0"/>
    </xf>
    <xf numFmtId="49" fontId="10" fillId="16" borderId="15" xfId="0" applyNumberFormat="1" applyFont="1" applyFill="1" applyBorder="1" applyAlignment="1" applyProtection="1">
      <alignment horizontal="center" vertical="center" wrapText="1"/>
      <protection locked="0"/>
    </xf>
    <xf numFmtId="49" fontId="10" fillId="16" borderId="10" xfId="0" applyNumberFormat="1" applyFont="1" applyFill="1" applyBorder="1" applyAlignment="1" applyProtection="1">
      <alignment horizontal="center" vertical="center" wrapText="1"/>
      <protection locked="0"/>
    </xf>
    <xf numFmtId="37" fontId="5" fillId="20" borderId="9" xfId="0" applyNumberFormat="1" applyFont="1" applyFill="1" applyBorder="1" applyAlignment="1" applyProtection="1">
      <alignment horizontal="right" wrapText="1"/>
      <protection locked="0"/>
    </xf>
    <xf numFmtId="37" fontId="5" fillId="20" borderId="1" xfId="0" applyNumberFormat="1" applyFont="1" applyFill="1" applyBorder="1" applyAlignment="1" applyProtection="1">
      <alignment horizontal="right" wrapText="1"/>
      <protection locked="0"/>
    </xf>
    <xf numFmtId="49" fontId="5" fillId="15" borderId="30" xfId="0" applyNumberFormat="1" applyFont="1" applyFill="1" applyBorder="1" applyAlignment="1" applyProtection="1">
      <alignment horizontal="left" vertical="center" wrapText="1"/>
      <protection hidden="1"/>
    </xf>
    <xf numFmtId="49" fontId="5" fillId="15" borderId="14" xfId="0" applyNumberFormat="1" applyFont="1" applyFill="1" applyBorder="1" applyAlignment="1" applyProtection="1">
      <alignment horizontal="left" vertical="center" wrapText="1"/>
      <protection hidden="1"/>
    </xf>
    <xf numFmtId="49" fontId="5" fillId="15" borderId="9" xfId="0" applyNumberFormat="1" applyFont="1" applyFill="1" applyBorder="1" applyAlignment="1" applyProtection="1">
      <alignment horizontal="left" vertical="center" wrapText="1"/>
      <protection hidden="1"/>
    </xf>
    <xf numFmtId="49" fontId="5" fillId="15" borderId="11" xfId="0" applyNumberFormat="1" applyFont="1" applyFill="1" applyBorder="1" applyAlignment="1" applyProtection="1">
      <alignment horizontal="left" vertical="center" wrapText="1"/>
      <protection hidden="1"/>
    </xf>
    <xf numFmtId="49" fontId="5" fillId="15" borderId="15" xfId="0" applyNumberFormat="1" applyFont="1" applyFill="1" applyBorder="1" applyAlignment="1" applyProtection="1">
      <alignment horizontal="left" vertical="center" wrapText="1"/>
      <protection hidden="1"/>
    </xf>
    <xf numFmtId="49" fontId="5" fillId="15" borderId="10" xfId="0" applyNumberFormat="1" applyFont="1" applyFill="1" applyBorder="1" applyAlignment="1" applyProtection="1">
      <alignment horizontal="left" vertical="center" wrapText="1"/>
      <protection hidden="1"/>
    </xf>
    <xf numFmtId="0" fontId="110" fillId="0" borderId="0" xfId="0" applyFont="1" applyAlignment="1">
      <alignment horizontal="center"/>
    </xf>
    <xf numFmtId="0" fontId="110" fillId="0" borderId="24" xfId="0" applyFont="1" applyBorder="1" applyAlignment="1">
      <alignment horizontal="center"/>
    </xf>
    <xf numFmtId="166" fontId="5" fillId="16" borderId="9" xfId="0" applyNumberFormat="1" applyFont="1" applyFill="1" applyBorder="1" applyAlignment="1" applyProtection="1">
      <alignment horizontal="center" vertical="center" wrapText="1"/>
      <protection locked="0"/>
    </xf>
    <xf numFmtId="166" fontId="5" fillId="16" borderId="1" xfId="0" applyNumberFormat="1" applyFont="1" applyFill="1" applyBorder="1" applyAlignment="1" applyProtection="1">
      <alignment horizontal="center" vertical="center" wrapText="1"/>
      <protection locked="0"/>
    </xf>
    <xf numFmtId="166" fontId="5" fillId="16" borderId="11" xfId="0" applyNumberFormat="1" applyFont="1" applyFill="1" applyBorder="1" applyAlignment="1" applyProtection="1">
      <alignment horizontal="center" vertical="center" wrapText="1"/>
      <protection locked="0"/>
    </xf>
    <xf numFmtId="0" fontId="9" fillId="3" borderId="8" xfId="0" applyFont="1" applyFill="1" applyBorder="1" applyAlignment="1" applyProtection="1">
      <alignment horizontal="center" vertical="center" wrapText="1"/>
      <protection hidden="1"/>
    </xf>
    <xf numFmtId="0" fontId="9" fillId="3" borderId="14" xfId="0" applyFont="1" applyFill="1" applyBorder="1" applyAlignment="1" applyProtection="1">
      <alignment horizontal="center" vertical="center" wrapText="1"/>
      <protection hidden="1"/>
    </xf>
    <xf numFmtId="0" fontId="11" fillId="3" borderId="30" xfId="0" applyFont="1" applyFill="1" applyBorder="1" applyAlignment="1" applyProtection="1">
      <alignment horizontal="center"/>
      <protection hidden="1"/>
    </xf>
    <xf numFmtId="0" fontId="11" fillId="3" borderId="8" xfId="0" applyFont="1" applyFill="1" applyBorder="1" applyAlignment="1" applyProtection="1">
      <alignment horizontal="center"/>
      <protection hidden="1"/>
    </xf>
    <xf numFmtId="0" fontId="11" fillId="3" borderId="14" xfId="0" applyFont="1" applyFill="1" applyBorder="1" applyAlignment="1" applyProtection="1">
      <alignment horizontal="center"/>
      <protection hidden="1"/>
    </xf>
    <xf numFmtId="0" fontId="15" fillId="3" borderId="8" xfId="0" applyFont="1" applyFill="1" applyBorder="1" applyAlignment="1" applyProtection="1">
      <alignment horizontal="center" vertical="center" wrapText="1"/>
      <protection hidden="1"/>
    </xf>
    <xf numFmtId="0" fontId="15" fillId="3" borderId="14" xfId="0" applyFont="1" applyFill="1" applyBorder="1" applyAlignment="1" applyProtection="1">
      <alignment horizontal="center" vertical="center" wrapText="1"/>
      <protection hidden="1"/>
    </xf>
    <xf numFmtId="0" fontId="15" fillId="3" borderId="9" xfId="0" applyFont="1" applyFill="1" applyBorder="1" applyAlignment="1" applyProtection="1">
      <alignment horizontal="center" vertical="center" wrapText="1"/>
      <protection hidden="1"/>
    </xf>
    <xf numFmtId="0" fontId="15" fillId="3" borderId="1"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0" fontId="11" fillId="3" borderId="8"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9" fillId="3" borderId="3" xfId="0" applyFont="1" applyFill="1" applyBorder="1" applyAlignment="1" applyProtection="1">
      <alignment horizontal="center" vertical="center"/>
      <protection hidden="1"/>
    </xf>
    <xf numFmtId="0" fontId="9" fillId="3" borderId="0" xfId="0" applyFont="1" applyFill="1" applyAlignment="1" applyProtection="1">
      <alignment horizontal="center" vertical="center"/>
      <protection hidden="1"/>
    </xf>
    <xf numFmtId="0" fontId="0" fillId="0" borderId="0" xfId="0" applyAlignment="1">
      <alignment horizontal="left" vertical="top"/>
    </xf>
    <xf numFmtId="0" fontId="0" fillId="0" borderId="24" xfId="0" applyBorder="1" applyAlignment="1">
      <alignment horizontal="left" vertical="top"/>
    </xf>
    <xf numFmtId="0" fontId="0" fillId="0" borderId="3" xfId="0" applyBorder="1" applyAlignment="1">
      <alignment horizontal="left" vertical="top"/>
    </xf>
    <xf numFmtId="0" fontId="56" fillId="3" borderId="0" xfId="0" applyFont="1" applyFill="1" applyAlignment="1" applyProtection="1">
      <alignment horizontal="right"/>
      <protection hidden="1"/>
    </xf>
    <xf numFmtId="0" fontId="0" fillId="0" borderId="0" xfId="0" applyAlignment="1">
      <alignment horizontal="right"/>
    </xf>
    <xf numFmtId="0" fontId="71" fillId="14" borderId="0" xfId="0" applyFont="1" applyFill="1" applyAlignment="1" applyProtection="1">
      <alignment horizontal="left"/>
      <protection hidden="1"/>
    </xf>
    <xf numFmtId="0" fontId="125" fillId="15" borderId="0" xfId="0" applyFont="1" applyFill="1" applyAlignment="1">
      <alignment horizontal="left"/>
    </xf>
    <xf numFmtId="0" fontId="125" fillId="15" borderId="20" xfId="0" applyFont="1" applyFill="1" applyBorder="1" applyAlignment="1">
      <alignment horizontal="left"/>
    </xf>
    <xf numFmtId="0" fontId="9" fillId="3" borderId="26" xfId="0" applyFont="1" applyFill="1" applyBorder="1" applyAlignment="1" applyProtection="1">
      <alignment horizontal="center" vertical="center"/>
      <protection hidden="1"/>
    </xf>
    <xf numFmtId="0" fontId="9" fillId="3" borderId="1" xfId="0" applyFont="1" applyFill="1" applyBorder="1" applyAlignment="1" applyProtection="1">
      <alignment horizontal="center" vertical="center"/>
      <protection hidden="1"/>
    </xf>
    <xf numFmtId="0" fontId="71" fillId="3" borderId="5" xfId="0" applyFont="1" applyFill="1" applyBorder="1" applyAlignment="1" applyProtection="1">
      <alignment horizontal="center"/>
      <protection hidden="1"/>
    </xf>
    <xf numFmtId="0" fontId="71"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7" fillId="3" borderId="71" xfId="0" applyFont="1" applyFill="1" applyBorder="1" applyAlignment="1" applyProtection="1">
      <alignment horizontal="center"/>
      <protection hidden="1"/>
    </xf>
    <xf numFmtId="0" fontId="0" fillId="0" borderId="16" xfId="0" applyBorder="1"/>
    <xf numFmtId="0" fontId="0" fillId="0" borderId="32" xfId="0" applyBorder="1"/>
    <xf numFmtId="0" fontId="0" fillId="0" borderId="100" xfId="0" applyBorder="1"/>
    <xf numFmtId="0" fontId="0" fillId="0" borderId="75" xfId="0" applyBorder="1"/>
    <xf numFmtId="0" fontId="3" fillId="3" borderId="100" xfId="0" applyFont="1" applyFill="1" applyBorder="1" applyAlignment="1" applyProtection="1">
      <alignment horizontal="center"/>
      <protection hidden="1"/>
    </xf>
    <xf numFmtId="0" fontId="0" fillId="0" borderId="75" xfId="0" applyBorder="1" applyAlignment="1">
      <alignment horizontal="center"/>
    </xf>
    <xf numFmtId="0" fontId="10" fillId="3" borderId="0" xfId="0" applyFont="1" applyFill="1" applyAlignment="1" applyProtection="1">
      <alignment horizontal="left"/>
      <protection hidden="1"/>
    </xf>
    <xf numFmtId="0" fontId="10" fillId="3" borderId="13" xfId="0" applyFont="1" applyFill="1" applyBorder="1" applyAlignment="1" applyProtection="1">
      <alignment horizontal="left"/>
      <protection hidden="1"/>
    </xf>
    <xf numFmtId="0" fontId="143" fillId="11" borderId="61" xfId="5" applyFill="1" applyBorder="1" applyAlignment="1" applyProtection="1">
      <alignment horizontal="center"/>
    </xf>
    <xf numFmtId="0" fontId="143" fillId="11" borderId="62" xfId="5" applyFill="1" applyBorder="1" applyAlignment="1" applyProtection="1">
      <alignment horizontal="center"/>
    </xf>
    <xf numFmtId="0" fontId="143" fillId="11" borderId="63" xfId="5" applyFill="1" applyBorder="1" applyAlignment="1" applyProtection="1">
      <alignment horizontal="center"/>
    </xf>
    <xf numFmtId="0" fontId="3" fillId="3" borderId="1" xfId="0" applyFont="1" applyFill="1" applyBorder="1" applyAlignment="1" applyProtection="1">
      <alignment horizontal="center" vertical="center"/>
      <protection hidden="1"/>
    </xf>
    <xf numFmtId="0" fontId="5" fillId="3" borderId="8"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37" fontId="110" fillId="3" borderId="30" xfId="0" applyNumberFormat="1" applyFont="1" applyFill="1" applyBorder="1" applyAlignment="1" applyProtection="1">
      <alignment horizontal="right"/>
      <protection hidden="1"/>
    </xf>
    <xf numFmtId="37" fontId="110" fillId="3" borderId="8" xfId="0" applyNumberFormat="1" applyFont="1" applyFill="1" applyBorder="1" applyAlignment="1" applyProtection="1">
      <alignment horizontal="right"/>
      <protection hidden="1"/>
    </xf>
    <xf numFmtId="4" fontId="110" fillId="3" borderId="3" xfId="0" applyNumberFormat="1" applyFont="1" applyFill="1" applyBorder="1" applyAlignment="1" applyProtection="1">
      <alignment horizontal="center"/>
      <protection hidden="1"/>
    </xf>
    <xf numFmtId="4" fontId="110" fillId="3" borderId="0" xfId="0" applyNumberFormat="1" applyFont="1" applyFill="1" applyAlignment="1" applyProtection="1">
      <alignment horizontal="center"/>
      <protection hidden="1"/>
    </xf>
    <xf numFmtId="4" fontId="110" fillId="3" borderId="3" xfId="0" applyNumberFormat="1" applyFont="1" applyFill="1" applyBorder="1" applyAlignment="1" applyProtection="1">
      <alignment horizontal="center" vertical="center"/>
      <protection hidden="1"/>
    </xf>
    <xf numFmtId="4" fontId="110" fillId="3" borderId="0" xfId="0" applyNumberFormat="1" applyFont="1" applyFill="1" applyAlignment="1" applyProtection="1">
      <alignment horizontal="center" vertical="center"/>
      <protection hidden="1"/>
    </xf>
    <xf numFmtId="37" fontId="5" fillId="26" borderId="69" xfId="0" applyNumberFormat="1" applyFont="1" applyFill="1" applyBorder="1" applyAlignment="1" applyProtection="1">
      <alignment horizontal="right"/>
      <protection hidden="1"/>
    </xf>
    <xf numFmtId="37" fontId="5" fillId="26" borderId="4" xfId="0" applyNumberFormat="1" applyFont="1" applyFill="1" applyBorder="1" applyAlignment="1" applyProtection="1">
      <alignment horizontal="right"/>
      <protection hidden="1"/>
    </xf>
    <xf numFmtId="37" fontId="5" fillId="26" borderId="9" xfId="0" applyNumberFormat="1" applyFont="1" applyFill="1" applyBorder="1" applyAlignment="1" applyProtection="1">
      <alignment horizontal="right"/>
      <protection hidden="1"/>
    </xf>
    <xf numFmtId="37" fontId="5" fillId="26" borderId="1" xfId="0" applyNumberFormat="1" applyFont="1" applyFill="1" applyBorder="1" applyAlignment="1" applyProtection="1">
      <alignment horizontal="right"/>
      <protection hidden="1"/>
    </xf>
    <xf numFmtId="37" fontId="5" fillId="14" borderId="30" xfId="0" applyNumberFormat="1" applyFont="1" applyFill="1" applyBorder="1" applyProtection="1">
      <protection locked="0"/>
    </xf>
    <xf numFmtId="37" fontId="0" fillId="15" borderId="8" xfId="0" applyNumberFormat="1" applyFill="1" applyBorder="1" applyProtection="1">
      <protection locked="0"/>
    </xf>
    <xf numFmtId="37" fontId="5" fillId="26" borderId="9" xfId="0" applyNumberFormat="1" applyFont="1" applyFill="1" applyBorder="1" applyProtection="1">
      <protection hidden="1"/>
    </xf>
    <xf numFmtId="166" fontId="14" fillId="26" borderId="69" xfId="0" applyNumberFormat="1" applyFont="1" applyFill="1" applyBorder="1" applyAlignment="1" applyProtection="1">
      <alignment horizontal="center"/>
      <protection hidden="1"/>
    </xf>
    <xf numFmtId="166" fontId="14" fillId="26" borderId="4" xfId="0" applyNumberFormat="1" applyFont="1" applyFill="1" applyBorder="1" applyAlignment="1" applyProtection="1">
      <alignment horizontal="center"/>
      <protection hidden="1"/>
    </xf>
    <xf numFmtId="0" fontId="110" fillId="0" borderId="0" xfId="0" quotePrefix="1" applyFont="1" applyAlignment="1">
      <alignment horizontal="center"/>
    </xf>
    <xf numFmtId="0" fontId="8" fillId="3" borderId="206" xfId="0" applyFont="1" applyFill="1" applyBorder="1" applyAlignment="1" applyProtection="1">
      <alignment horizontal="center" vertical="center"/>
      <protection hidden="1"/>
    </xf>
    <xf numFmtId="0" fontId="8" fillId="3" borderId="13" xfId="0" applyFont="1" applyFill="1" applyBorder="1" applyAlignment="1" applyProtection="1">
      <alignment horizontal="center" vertical="center"/>
      <protection hidden="1"/>
    </xf>
    <xf numFmtId="0" fontId="8" fillId="3" borderId="158" xfId="0" applyFont="1" applyFill="1" applyBorder="1" applyAlignment="1" applyProtection="1">
      <alignment horizontal="center" vertical="center"/>
      <protection hidden="1"/>
    </xf>
    <xf numFmtId="0" fontId="43" fillId="3" borderId="5" xfId="0" applyFont="1" applyFill="1" applyBorder="1" applyAlignment="1" applyProtection="1">
      <alignment horizontal="center" vertical="center"/>
      <protection hidden="1"/>
    </xf>
    <xf numFmtId="0" fontId="43" fillId="3" borderId="20" xfId="0" applyFont="1" applyFill="1" applyBorder="1" applyAlignment="1" applyProtection="1">
      <alignment horizontal="center" vertical="center"/>
      <protection hidden="1"/>
    </xf>
    <xf numFmtId="0" fontId="10" fillId="2" borderId="23" xfId="0" applyFont="1" applyFill="1" applyBorder="1" applyAlignment="1">
      <alignment horizontal="left"/>
    </xf>
    <xf numFmtId="0" fontId="10" fillId="2" borderId="7" xfId="0" applyFont="1" applyFill="1" applyBorder="1" applyAlignment="1">
      <alignment horizontal="left"/>
    </xf>
    <xf numFmtId="0" fontId="10" fillId="2" borderId="19" xfId="0" applyFont="1" applyFill="1" applyBorder="1" applyAlignment="1">
      <alignment horizontal="left"/>
    </xf>
    <xf numFmtId="0" fontId="19" fillId="3" borderId="21" xfId="0" applyFont="1" applyFill="1" applyBorder="1" applyAlignment="1" applyProtection="1">
      <alignment horizontal="left" vertical="top"/>
      <protection hidden="1"/>
    </xf>
    <xf numFmtId="0" fontId="19" fillId="3" borderId="4" xfId="0" applyFont="1" applyFill="1" applyBorder="1" applyAlignment="1" applyProtection="1">
      <alignment horizontal="left" vertical="top"/>
      <protection hidden="1"/>
    </xf>
    <xf numFmtId="0" fontId="19" fillId="3" borderId="22" xfId="0" applyFont="1" applyFill="1" applyBorder="1" applyAlignment="1" applyProtection="1">
      <alignment horizontal="left" vertical="top"/>
      <protection hidden="1"/>
    </xf>
    <xf numFmtId="37" fontId="5" fillId="20" borderId="0" xfId="0" applyNumberFormat="1" applyFont="1" applyFill="1" applyAlignment="1" applyProtection="1">
      <alignment horizontal="center"/>
      <protection locked="0"/>
    </xf>
    <xf numFmtId="37" fontId="5" fillId="20" borderId="24" xfId="0" applyNumberFormat="1" applyFont="1" applyFill="1" applyBorder="1" applyAlignment="1" applyProtection="1">
      <alignment horizontal="center"/>
      <protection locked="0"/>
    </xf>
    <xf numFmtId="37" fontId="5" fillId="26" borderId="11" xfId="0" applyNumberFormat="1" applyFont="1" applyFill="1" applyBorder="1" applyAlignment="1" applyProtection="1">
      <alignment horizontal="right"/>
      <protection hidden="1"/>
    </xf>
    <xf numFmtId="37" fontId="5" fillId="26" borderId="25" xfId="0" applyNumberFormat="1" applyFont="1" applyFill="1" applyBorder="1" applyAlignment="1" applyProtection="1">
      <alignment horizontal="right"/>
      <protection hidden="1"/>
    </xf>
    <xf numFmtId="37" fontId="5" fillId="26" borderId="54" xfId="0" applyNumberFormat="1" applyFont="1" applyFill="1" applyBorder="1" applyAlignment="1" applyProtection="1">
      <alignment horizontal="right"/>
      <protection hidden="1"/>
    </xf>
    <xf numFmtId="3" fontId="0" fillId="3" borderId="0" xfId="0" applyNumberFormat="1" applyFill="1" applyAlignment="1" applyProtection="1">
      <alignment horizontal="right"/>
      <protection hidden="1"/>
    </xf>
    <xf numFmtId="3" fontId="0" fillId="3" borderId="0" xfId="0" applyNumberFormat="1" applyFill="1" applyAlignment="1" applyProtection="1">
      <alignment horizontal="left"/>
      <protection hidden="1"/>
    </xf>
    <xf numFmtId="37" fontId="5" fillId="26" borderId="39" xfId="0" applyNumberFormat="1" applyFont="1" applyFill="1" applyBorder="1" applyAlignment="1" applyProtection="1">
      <alignment horizontal="right"/>
      <protection hidden="1"/>
    </xf>
    <xf numFmtId="37" fontId="0" fillId="0" borderId="25" xfId="0" applyNumberFormat="1" applyBorder="1" applyAlignment="1">
      <alignment horizontal="right"/>
    </xf>
    <xf numFmtId="3" fontId="110" fillId="3" borderId="3" xfId="0" applyNumberFormat="1" applyFont="1" applyFill="1" applyBorder="1" applyAlignment="1" applyProtection="1">
      <alignment horizontal="right"/>
      <protection hidden="1"/>
    </xf>
    <xf numFmtId="3" fontId="110" fillId="3" borderId="0" xfId="0" applyNumberFormat="1" applyFont="1" applyFill="1" applyAlignment="1" applyProtection="1">
      <alignment horizontal="right"/>
      <protection hidden="1"/>
    </xf>
    <xf numFmtId="3" fontId="110" fillId="3" borderId="24" xfId="0" applyNumberFormat="1" applyFont="1" applyFill="1" applyBorder="1" applyAlignment="1" applyProtection="1">
      <alignment horizontal="right"/>
      <protection hidden="1"/>
    </xf>
    <xf numFmtId="0" fontId="20" fillId="3" borderId="23" xfId="0" applyFont="1" applyFill="1" applyBorder="1" applyAlignment="1" applyProtection="1">
      <alignment horizontal="center" vertical="center"/>
      <protection hidden="1"/>
    </xf>
    <xf numFmtId="0" fontId="20" fillId="3" borderId="19" xfId="0" applyFont="1" applyFill="1" applyBorder="1" applyAlignment="1" applyProtection="1">
      <alignment horizontal="center" vertical="center"/>
      <protection hidden="1"/>
    </xf>
    <xf numFmtId="0" fontId="20" fillId="3" borderId="21" xfId="0" applyFont="1" applyFill="1" applyBorder="1" applyAlignment="1" applyProtection="1">
      <alignment horizontal="center" vertical="center"/>
      <protection hidden="1"/>
    </xf>
    <xf numFmtId="0" fontId="20" fillId="3" borderId="22" xfId="0" applyFont="1" applyFill="1" applyBorder="1" applyAlignment="1" applyProtection="1">
      <alignment horizontal="center" vertical="center"/>
      <protection hidden="1"/>
    </xf>
    <xf numFmtId="37" fontId="110" fillId="3" borderId="3" xfId="0" applyNumberFormat="1" applyFont="1" applyFill="1" applyBorder="1" applyAlignment="1" applyProtection="1">
      <alignment horizontal="right"/>
      <protection hidden="1"/>
    </xf>
    <xf numFmtId="37" fontId="110" fillId="3" borderId="0" xfId="0" applyNumberFormat="1" applyFont="1" applyFill="1" applyAlignment="1" applyProtection="1">
      <alignment horizontal="right"/>
      <protection hidden="1"/>
    </xf>
    <xf numFmtId="37" fontId="0" fillId="0" borderId="4" xfId="0" applyNumberFormat="1" applyBorder="1" applyAlignment="1">
      <alignment horizontal="right"/>
    </xf>
    <xf numFmtId="3" fontId="0" fillId="3" borderId="1" xfId="0" applyNumberFormat="1" applyFill="1" applyBorder="1" applyAlignment="1" applyProtection="1">
      <alignment horizontal="left"/>
      <protection hidden="1"/>
    </xf>
    <xf numFmtId="3" fontId="5" fillId="3" borderId="0" xfId="0" applyNumberFormat="1" applyFont="1" applyFill="1" applyAlignment="1" applyProtection="1">
      <alignment horizontal="left"/>
      <protection hidden="1"/>
    </xf>
    <xf numFmtId="0" fontId="3" fillId="3" borderId="1" xfId="0" applyFont="1" applyFill="1" applyBorder="1" applyAlignment="1" applyProtection="1">
      <alignment horizontal="left"/>
      <protection hidden="1"/>
    </xf>
    <xf numFmtId="0" fontId="3" fillId="3" borderId="20" xfId="0" applyFont="1" applyFill="1" applyBorder="1" applyAlignment="1" applyProtection="1">
      <alignment horizontal="center" wrapText="1"/>
      <protection hidden="1"/>
    </xf>
    <xf numFmtId="0" fontId="3" fillId="3" borderId="29" xfId="0" applyFont="1" applyFill="1" applyBorder="1" applyAlignment="1" applyProtection="1">
      <alignment horizontal="center" wrapText="1"/>
      <protection hidden="1"/>
    </xf>
    <xf numFmtId="0" fontId="3" fillId="3" borderId="0" xfId="0" applyFont="1" applyFill="1" applyAlignment="1" applyProtection="1">
      <alignment horizontal="center" wrapText="1"/>
      <protection hidden="1"/>
    </xf>
    <xf numFmtId="0" fontId="3" fillId="3" borderId="1" xfId="0" applyFont="1" applyFill="1" applyBorder="1" applyAlignment="1" applyProtection="1">
      <alignment horizontal="center" wrapText="1"/>
      <protection hidden="1"/>
    </xf>
    <xf numFmtId="202" fontId="0" fillId="3" borderId="0" xfId="0" applyNumberFormat="1" applyFill="1" applyAlignment="1" applyProtection="1">
      <alignment horizontal="right"/>
      <protection hidden="1"/>
    </xf>
    <xf numFmtId="3" fontId="0" fillId="3" borderId="8" xfId="0" applyNumberFormat="1" applyFill="1" applyBorder="1" applyAlignment="1" applyProtection="1">
      <alignment horizontal="left"/>
      <protection hidden="1"/>
    </xf>
    <xf numFmtId="0" fontId="14" fillId="16" borderId="39" xfId="0" applyFont="1" applyFill="1" applyBorder="1" applyAlignment="1" applyProtection="1">
      <alignment horizontal="left" vertical="center"/>
      <protection locked="0"/>
    </xf>
    <xf numFmtId="0" fontId="14" fillId="16" borderId="25" xfId="0" applyFont="1" applyFill="1" applyBorder="1" applyAlignment="1" applyProtection="1">
      <alignment horizontal="left" vertical="center"/>
      <protection locked="0"/>
    </xf>
    <xf numFmtId="0" fontId="14" fillId="16" borderId="54" xfId="0" applyFont="1" applyFill="1" applyBorder="1" applyAlignment="1" applyProtection="1">
      <alignment horizontal="left" vertical="center"/>
      <protection locked="0"/>
    </xf>
    <xf numFmtId="166" fontId="14" fillId="16" borderId="39" xfId="0" applyNumberFormat="1" applyFont="1" applyFill="1" applyBorder="1" applyAlignment="1" applyProtection="1">
      <alignment horizontal="center" vertical="center"/>
      <protection locked="0"/>
    </xf>
    <xf numFmtId="166" fontId="14" fillId="16" borderId="25" xfId="0" applyNumberFormat="1" applyFont="1" applyFill="1" applyBorder="1" applyAlignment="1" applyProtection="1">
      <alignment horizontal="center" vertical="center"/>
      <protection locked="0"/>
    </xf>
    <xf numFmtId="166" fontId="14" fillId="16" borderId="54" xfId="0" applyNumberFormat="1" applyFont="1" applyFill="1" applyBorder="1" applyAlignment="1" applyProtection="1">
      <alignment horizontal="center" vertical="center"/>
      <protection locked="0"/>
    </xf>
    <xf numFmtId="0" fontId="71" fillId="3" borderId="7" xfId="0" applyFont="1" applyFill="1" applyBorder="1" applyAlignment="1" applyProtection="1">
      <alignment horizontal="left" vertical="center"/>
      <protection hidden="1"/>
    </xf>
    <xf numFmtId="0" fontId="125" fillId="0" borderId="7" xfId="0" applyFont="1" applyBorder="1"/>
    <xf numFmtId="0" fontId="125" fillId="0" borderId="4" xfId="0" applyFont="1" applyBorder="1"/>
    <xf numFmtId="0" fontId="14" fillId="20" borderId="25" xfId="0" applyFont="1" applyFill="1" applyBorder="1" applyAlignment="1" applyProtection="1">
      <alignment horizontal="left" vertical="center"/>
      <protection locked="0"/>
    </xf>
    <xf numFmtId="3" fontId="0" fillId="3" borderId="1" xfId="0" applyNumberFormat="1" applyFill="1" applyBorder="1" applyAlignment="1" applyProtection="1">
      <alignment horizontal="right"/>
      <protection hidden="1"/>
    </xf>
    <xf numFmtId="2" fontId="5" fillId="15" borderId="0" xfId="0" applyNumberFormat="1" applyFont="1" applyFill="1" applyAlignment="1">
      <alignment horizontal="center"/>
    </xf>
    <xf numFmtId="3" fontId="7" fillId="15" borderId="0" xfId="0" applyNumberFormat="1" applyFont="1" applyFill="1" applyAlignment="1">
      <alignment horizontal="right"/>
    </xf>
    <xf numFmtId="0" fontId="25" fillId="15" borderId="0" xfId="0" applyFont="1" applyFill="1" applyAlignment="1">
      <alignment horizontal="left" wrapText="1"/>
    </xf>
    <xf numFmtId="0" fontId="282" fillId="15" borderId="0" xfId="0" applyFont="1" applyFill="1" applyAlignment="1" applyProtection="1">
      <alignment horizontal="left" vertical="top" wrapText="1"/>
      <protection hidden="1"/>
    </xf>
    <xf numFmtId="0" fontId="3" fillId="27" borderId="1" xfId="0" applyFont="1" applyFill="1" applyBorder="1" applyAlignment="1" applyProtection="1">
      <alignment horizontal="center"/>
      <protection hidden="1"/>
    </xf>
    <xf numFmtId="0" fontId="14" fillId="15" borderId="9" xfId="0" applyFont="1" applyFill="1" applyBorder="1" applyAlignment="1" applyProtection="1">
      <alignment horizontal="center"/>
      <protection hidden="1"/>
    </xf>
    <xf numFmtId="0" fontId="3" fillId="20" borderId="85" xfId="0" quotePrefix="1" applyFont="1" applyFill="1" applyBorder="1" applyAlignment="1" applyProtection="1">
      <alignment horizontal="right" vertical="center"/>
      <protection locked="0"/>
    </xf>
    <xf numFmtId="0" fontId="14" fillId="15" borderId="8" xfId="0" quotePrefix="1" applyFont="1" applyFill="1" applyBorder="1" applyAlignment="1" applyProtection="1">
      <alignment horizontal="center" vertical="center"/>
      <protection hidden="1"/>
    </xf>
    <xf numFmtId="0" fontId="14" fillId="15" borderId="0" xfId="0" quotePrefix="1" applyFont="1" applyFill="1" applyAlignment="1" applyProtection="1">
      <alignment horizontal="center" vertical="center"/>
      <protection hidden="1"/>
    </xf>
    <xf numFmtId="0" fontId="124" fillId="31" borderId="25" xfId="0" applyFont="1" applyFill="1" applyBorder="1" applyAlignment="1" applyProtection="1">
      <alignment horizontal="center" vertical="center"/>
      <protection hidden="1"/>
    </xf>
    <xf numFmtId="0" fontId="73" fillId="0" borderId="25" xfId="0" applyFont="1" applyBorder="1" applyAlignment="1">
      <alignment horizontal="center"/>
    </xf>
    <xf numFmtId="182" fontId="3" fillId="20" borderId="39" xfId="0" quotePrefix="1" applyNumberFormat="1" applyFont="1" applyFill="1" applyBorder="1" applyAlignment="1" applyProtection="1">
      <alignment horizontal="center" vertical="center"/>
      <protection locked="0"/>
    </xf>
    <xf numFmtId="182" fontId="5" fillId="0" borderId="25" xfId="0" applyNumberFormat="1" applyFont="1" applyBorder="1" applyAlignment="1" applyProtection="1">
      <alignment horizontal="center" vertical="center"/>
      <protection locked="0"/>
    </xf>
    <xf numFmtId="182" fontId="5" fillId="0" borderId="54" xfId="0" applyNumberFormat="1" applyFont="1" applyBorder="1" applyAlignment="1" applyProtection="1">
      <alignment horizontal="center" vertical="center"/>
      <protection locked="0"/>
    </xf>
    <xf numFmtId="182" fontId="3" fillId="20" borderId="25" xfId="0" quotePrefix="1" applyNumberFormat="1" applyFont="1" applyFill="1" applyBorder="1" applyAlignment="1" applyProtection="1">
      <alignment horizontal="center" vertical="center"/>
      <protection locked="0"/>
    </xf>
    <xf numFmtId="0" fontId="3" fillId="26" borderId="39" xfId="0" quotePrefix="1" applyFont="1" applyFill="1" applyBorder="1" applyAlignment="1" applyProtection="1">
      <alignment horizontal="center" vertical="center"/>
      <protection hidden="1"/>
    </xf>
    <xf numFmtId="0" fontId="5" fillId="27" borderId="25" xfId="0" applyFont="1" applyFill="1" applyBorder="1" applyAlignment="1" applyProtection="1">
      <alignment horizontal="center" vertical="center"/>
      <protection hidden="1"/>
    </xf>
    <xf numFmtId="0" fontId="5" fillId="27" borderId="54" xfId="0" applyFont="1" applyFill="1" applyBorder="1" applyAlignment="1" applyProtection="1">
      <alignment horizontal="center" vertical="center"/>
      <protection hidden="1"/>
    </xf>
    <xf numFmtId="3" fontId="3" fillId="20" borderId="39" xfId="0" quotePrefix="1" applyNumberFormat="1" applyFont="1" applyFill="1" applyBorder="1" applyAlignment="1" applyProtection="1">
      <alignment horizontal="right" vertical="center" indent="1"/>
      <protection locked="0"/>
    </xf>
    <xf numFmtId="3" fontId="5" fillId="0" borderId="25" xfId="0" applyNumberFormat="1" applyFont="1" applyBorder="1" applyAlignment="1" applyProtection="1">
      <alignment horizontal="right" vertical="center" indent="1"/>
      <protection locked="0"/>
    </xf>
    <xf numFmtId="3" fontId="5" fillId="0" borderId="68" xfId="0" applyNumberFormat="1" applyFont="1" applyBorder="1" applyAlignment="1" applyProtection="1">
      <alignment horizontal="right" vertical="center" indent="1"/>
      <protection locked="0"/>
    </xf>
    <xf numFmtId="182" fontId="3" fillId="20" borderId="49" xfId="0" quotePrefix="1" applyNumberFormat="1" applyFont="1" applyFill="1" applyBorder="1" applyAlignment="1" applyProtection="1">
      <alignment horizontal="center" vertical="center"/>
      <protection locked="0"/>
    </xf>
    <xf numFmtId="182" fontId="5" fillId="0" borderId="49" xfId="0" applyNumberFormat="1" applyFont="1" applyBorder="1" applyAlignment="1" applyProtection="1">
      <alignment horizontal="center" vertical="center"/>
      <protection locked="0"/>
    </xf>
    <xf numFmtId="182" fontId="5" fillId="0" borderId="46" xfId="0" applyNumberFormat="1" applyFont="1" applyBorder="1" applyAlignment="1" applyProtection="1">
      <alignment horizontal="center" vertical="center"/>
      <protection locked="0"/>
    </xf>
    <xf numFmtId="0" fontId="0" fillId="0" borderId="25" xfId="0" applyBorder="1" applyAlignment="1" applyProtection="1">
      <alignment horizontal="right" vertical="center" indent="1"/>
      <protection locked="0"/>
    </xf>
    <xf numFmtId="0" fontId="8" fillId="15" borderId="21" xfId="0" applyFont="1" applyFill="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22" xfId="0" applyFont="1" applyBorder="1" applyAlignment="1" applyProtection="1">
      <alignment horizontal="center"/>
      <protection hidden="1"/>
    </xf>
    <xf numFmtId="0" fontId="10" fillId="20" borderId="1" xfId="0" quotePrefix="1" applyFont="1" applyFill="1" applyBorder="1" applyAlignment="1" applyProtection="1">
      <alignment vertical="center"/>
      <protection locked="0"/>
    </xf>
    <xf numFmtId="0" fontId="5" fillId="16" borderId="1" xfId="0" applyFont="1" applyFill="1" applyBorder="1" applyAlignment="1" applyProtection="1">
      <alignment vertical="center"/>
      <protection locked="0"/>
    </xf>
    <xf numFmtId="0" fontId="5" fillId="16" borderId="11" xfId="0" applyFont="1" applyFill="1" applyBorder="1" applyAlignment="1" applyProtection="1">
      <alignment vertical="center"/>
      <protection locked="0"/>
    </xf>
    <xf numFmtId="0" fontId="10" fillId="20" borderId="9" xfId="0" quotePrefix="1" applyFont="1" applyFill="1" applyBorder="1" applyAlignment="1" applyProtection="1">
      <alignment vertical="center"/>
      <protection locked="0"/>
    </xf>
    <xf numFmtId="0" fontId="0" fillId="16" borderId="1" xfId="0" applyFill="1" applyBorder="1" applyAlignment="1" applyProtection="1">
      <alignment vertical="center"/>
      <protection locked="0"/>
    </xf>
    <xf numFmtId="0" fontId="3" fillId="20" borderId="85" xfId="0" quotePrefix="1" applyFont="1" applyFill="1" applyBorder="1" applyAlignment="1" applyProtection="1">
      <alignment vertical="center"/>
      <protection locked="0"/>
    </xf>
    <xf numFmtId="0" fontId="5" fillId="16" borderId="85" xfId="0" applyFont="1" applyFill="1" applyBorder="1" applyAlignment="1" applyProtection="1">
      <alignment vertical="center"/>
      <protection locked="0"/>
    </xf>
    <xf numFmtId="0" fontId="5" fillId="16" borderId="8" xfId="0" applyFont="1" applyFill="1" applyBorder="1" applyAlignment="1" applyProtection="1">
      <alignment vertical="center"/>
      <protection locked="0"/>
    </xf>
    <xf numFmtId="0" fontId="5" fillId="0" borderId="8" xfId="0" applyFont="1" applyBorder="1"/>
    <xf numFmtId="0" fontId="3" fillId="20" borderId="113" xfId="0" quotePrefix="1" applyFont="1" applyFill="1" applyBorder="1" applyAlignment="1" applyProtection="1">
      <alignment vertical="center"/>
      <protection locked="0"/>
    </xf>
    <xf numFmtId="0" fontId="5" fillId="0" borderId="113" xfId="0" applyFont="1" applyBorder="1" applyAlignment="1">
      <alignment vertical="center"/>
    </xf>
    <xf numFmtId="0" fontId="46" fillId="0" borderId="11" xfId="0" applyFont="1" applyBorder="1" applyAlignment="1">
      <alignment horizontal="center"/>
    </xf>
    <xf numFmtId="3" fontId="3" fillId="16" borderId="1" xfId="0" applyNumberFormat="1" applyFont="1" applyFill="1" applyBorder="1" applyAlignment="1" applyProtection="1">
      <alignment horizontal="right" indent="1"/>
      <protection locked="0"/>
    </xf>
    <xf numFmtId="0" fontId="3" fillId="15" borderId="14" xfId="0" applyFont="1" applyFill="1" applyBorder="1" applyAlignment="1" applyProtection="1">
      <alignment horizontal="center"/>
      <protection hidden="1"/>
    </xf>
    <xf numFmtId="0" fontId="3" fillId="15" borderId="8" xfId="0" applyFont="1" applyFill="1" applyBorder="1" applyAlignment="1" applyProtection="1">
      <alignment horizontal="center"/>
      <protection hidden="1"/>
    </xf>
    <xf numFmtId="182" fontId="3" fillId="20" borderId="25" xfId="0" quotePrefix="1" applyNumberFormat="1" applyFont="1" applyFill="1" applyBorder="1" applyAlignment="1" applyProtection="1">
      <alignment horizontal="left" vertical="center" indent="1"/>
      <protection locked="0"/>
    </xf>
    <xf numFmtId="0" fontId="0" fillId="0" borderId="25" xfId="0" applyBorder="1" applyAlignment="1" applyProtection="1">
      <alignment horizontal="left" vertical="center" indent="1"/>
      <protection locked="0"/>
    </xf>
    <xf numFmtId="0" fontId="0" fillId="0" borderId="54" xfId="0" applyBorder="1" applyAlignment="1" applyProtection="1">
      <alignment horizontal="left" vertical="center" indent="1"/>
      <protection locked="0"/>
    </xf>
    <xf numFmtId="0" fontId="0" fillId="0" borderId="54" xfId="0" applyBorder="1" applyAlignment="1" applyProtection="1">
      <alignment horizontal="center" vertical="center"/>
      <protection locked="0"/>
    </xf>
    <xf numFmtId="182" fontId="3" fillId="20" borderId="85" xfId="0" quotePrefix="1" applyNumberFormat="1" applyFont="1" applyFill="1" applyBorder="1" applyAlignment="1" applyProtection="1">
      <alignment horizontal="center" vertical="center"/>
      <protection locked="0"/>
    </xf>
    <xf numFmtId="182" fontId="5" fillId="0" borderId="85" xfId="0" applyNumberFormat="1" applyFont="1" applyBorder="1" applyAlignment="1">
      <alignment horizontal="center" vertical="center"/>
    </xf>
    <xf numFmtId="0" fontId="0" fillId="0" borderId="85" xfId="0" applyBorder="1" applyAlignment="1">
      <alignment horizontal="center" vertical="center"/>
    </xf>
    <xf numFmtId="0" fontId="3" fillId="0" borderId="113" xfId="0" applyFont="1" applyBorder="1" applyAlignment="1">
      <alignment vertical="center"/>
    </xf>
    <xf numFmtId="0" fontId="46" fillId="15" borderId="4" xfId="0" applyFont="1" applyFill="1" applyBorder="1" applyAlignment="1" applyProtection="1">
      <alignment horizontal="right"/>
      <protection hidden="1"/>
    </xf>
    <xf numFmtId="0" fontId="46" fillId="0" borderId="4" xfId="0" applyFont="1" applyBorder="1" applyAlignment="1" applyProtection="1">
      <alignment horizontal="right"/>
      <protection hidden="1"/>
    </xf>
    <xf numFmtId="0" fontId="10" fillId="28" borderId="0" xfId="0" quotePrefix="1" applyFont="1" applyFill="1" applyAlignment="1" applyProtection="1">
      <alignment vertical="center"/>
      <protection hidden="1"/>
    </xf>
    <xf numFmtId="0" fontId="0" fillId="25" borderId="0" xfId="0" applyFill="1" applyAlignment="1" applyProtection="1">
      <alignment vertical="center"/>
      <protection hidden="1"/>
    </xf>
    <xf numFmtId="0" fontId="0" fillId="0" borderId="0" xfId="0" applyAlignment="1" applyProtection="1">
      <alignment vertical="center"/>
      <protection hidden="1"/>
    </xf>
    <xf numFmtId="0" fontId="0" fillId="0" borderId="24" xfId="0" applyBorder="1" applyAlignment="1">
      <alignment vertical="center"/>
    </xf>
    <xf numFmtId="0" fontId="0" fillId="0" borderId="1" xfId="0" applyBorder="1" applyAlignment="1" applyProtection="1">
      <alignment vertical="center"/>
      <protection hidden="1"/>
    </xf>
    <xf numFmtId="0" fontId="0" fillId="0" borderId="11" xfId="0" applyBorder="1" applyAlignment="1">
      <alignment vertical="center"/>
    </xf>
    <xf numFmtId="166" fontId="10" fillId="28" borderId="3" xfId="0" quotePrefix="1" applyNumberFormat="1" applyFont="1" applyFill="1" applyBorder="1" applyAlignment="1" applyProtection="1">
      <alignment horizontal="center" vertical="center"/>
      <protection hidden="1"/>
    </xf>
    <xf numFmtId="0" fontId="3" fillId="20" borderId="87" xfId="0" quotePrefix="1" applyFont="1" applyFill="1" applyBorder="1" applyAlignment="1" applyProtection="1">
      <alignment horizontal="left" vertical="center"/>
      <protection locked="0"/>
    </xf>
    <xf numFmtId="0" fontId="3" fillId="20" borderId="87" xfId="0" quotePrefix="1" applyFont="1" applyFill="1" applyBorder="1" applyAlignment="1" applyProtection="1">
      <alignment vertical="center"/>
      <protection locked="0"/>
    </xf>
    <xf numFmtId="0" fontId="3" fillId="0" borderId="87" xfId="0" applyFont="1" applyBorder="1" applyAlignment="1">
      <alignment vertical="center"/>
    </xf>
    <xf numFmtId="0" fontId="5" fillId="15" borderId="0" xfId="0" applyFont="1" applyFill="1" applyAlignment="1" applyProtection="1">
      <alignment vertical="center" wrapText="1"/>
      <protection hidden="1"/>
    </xf>
    <xf numFmtId="182" fontId="10" fillId="20" borderId="87" xfId="0" quotePrefix="1" applyNumberFormat="1" applyFont="1" applyFill="1" applyBorder="1" applyAlignment="1" applyProtection="1">
      <alignment horizontal="center" vertical="center"/>
      <protection locked="0"/>
    </xf>
    <xf numFmtId="182" fontId="0" fillId="0" borderId="87" xfId="0" applyNumberFormat="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3" fillId="20" borderId="1" xfId="0" quotePrefix="1" applyFont="1" applyFill="1" applyBorder="1" applyAlignment="1" applyProtection="1">
      <alignment vertical="center"/>
      <protection locked="0"/>
    </xf>
    <xf numFmtId="0" fontId="3" fillId="0" borderId="1" xfId="0" applyFont="1" applyBorder="1" applyAlignment="1">
      <alignment vertical="center"/>
    </xf>
    <xf numFmtId="0" fontId="9" fillId="15" borderId="25" xfId="0" applyFont="1" applyFill="1" applyBorder="1" applyAlignment="1" applyProtection="1">
      <alignment horizontal="center" vertical="center" wrapText="1"/>
      <protection hidden="1"/>
    </xf>
    <xf numFmtId="0" fontId="9" fillId="0" borderId="25" xfId="0" applyFont="1" applyBorder="1" applyAlignment="1">
      <alignment horizontal="center" vertical="center" wrapText="1"/>
    </xf>
    <xf numFmtId="0" fontId="9" fillId="0" borderId="54" xfId="0" applyFont="1" applyBorder="1" applyAlignment="1">
      <alignment horizontal="center" vertical="center" wrapText="1"/>
    </xf>
    <xf numFmtId="0" fontId="9" fillId="15" borderId="39" xfId="0" applyFont="1" applyFill="1" applyBorder="1" applyAlignment="1" applyProtection="1">
      <alignment horizontal="center" vertical="center" wrapText="1"/>
      <protection hidden="1"/>
    </xf>
    <xf numFmtId="0" fontId="9" fillId="0" borderId="68" xfId="0" applyFont="1" applyBorder="1" applyAlignment="1">
      <alignment horizontal="center" vertical="center" wrapText="1"/>
    </xf>
    <xf numFmtId="0" fontId="11" fillId="15" borderId="25" xfId="0" applyFont="1" applyFill="1" applyBorder="1" applyAlignment="1" applyProtection="1">
      <alignment horizontal="center" vertical="center" wrapText="1"/>
      <protection hidden="1"/>
    </xf>
    <xf numFmtId="0" fontId="11" fillId="0" borderId="25" xfId="0" applyFont="1" applyBorder="1" applyAlignment="1">
      <alignment horizontal="center" vertical="center" wrapText="1"/>
    </xf>
    <xf numFmtId="0" fontId="11" fillId="0" borderId="54" xfId="0" applyFont="1" applyBorder="1" applyAlignment="1">
      <alignment horizontal="center" vertical="center" wrapText="1"/>
    </xf>
    <xf numFmtId="0" fontId="13" fillId="15" borderId="0" xfId="0" applyFont="1" applyFill="1" applyAlignment="1" applyProtection="1">
      <alignment horizontal="left" vertical="center"/>
      <protection hidden="1"/>
    </xf>
    <xf numFmtId="0" fontId="19" fillId="15" borderId="0" xfId="0" applyFont="1" applyFill="1" applyAlignment="1" applyProtection="1">
      <alignment horizontal="center"/>
      <protection hidden="1"/>
    </xf>
    <xf numFmtId="0" fontId="90" fillId="15" borderId="0" xfId="0" quotePrefix="1" applyFont="1" applyFill="1" applyProtection="1">
      <protection hidden="1"/>
    </xf>
    <xf numFmtId="0" fontId="0" fillId="0" borderId="0" xfId="0" applyProtection="1">
      <protection hidden="1"/>
    </xf>
    <xf numFmtId="0" fontId="84" fillId="15"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5" fillId="15" borderId="26"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5" borderId="0" xfId="0" applyFill="1" applyAlignment="1" applyProtection="1">
      <alignment horizontal="right"/>
      <protection hidden="1"/>
    </xf>
    <xf numFmtId="0" fontId="148" fillId="15" borderId="80" xfId="0" applyFont="1" applyFill="1" applyBorder="1" applyAlignment="1" applyProtection="1">
      <alignment horizontal="center" vertical="center"/>
      <protection hidden="1"/>
    </xf>
    <xf numFmtId="0" fontId="149" fillId="0" borderId="8" xfId="0" applyFont="1" applyBorder="1" applyAlignment="1" applyProtection="1">
      <alignment horizontal="center" vertical="center"/>
      <protection hidden="1"/>
    </xf>
    <xf numFmtId="0" fontId="149" fillId="0" borderId="5" xfId="0" applyFont="1" applyBorder="1" applyAlignment="1" applyProtection="1">
      <alignment horizontal="center" vertical="center"/>
      <protection hidden="1"/>
    </xf>
    <xf numFmtId="0" fontId="149" fillId="0" borderId="0" xfId="0" applyFont="1" applyAlignment="1" applyProtection="1">
      <alignment horizontal="center" vertical="center"/>
      <protection hidden="1"/>
    </xf>
    <xf numFmtId="0" fontId="3" fillId="15" borderId="5" xfId="0" applyFont="1" applyFill="1" applyBorder="1" applyAlignment="1" applyProtection="1">
      <alignment horizontal="center"/>
      <protection hidden="1"/>
    </xf>
    <xf numFmtId="0" fontId="46" fillId="15" borderId="0" xfId="0" applyFont="1" applyFill="1" applyAlignment="1" applyProtection="1">
      <alignment horizontal="right"/>
      <protection hidden="1"/>
    </xf>
    <xf numFmtId="0" fontId="46" fillId="0" borderId="0" xfId="0" applyFont="1" applyAlignment="1" applyProtection="1">
      <alignment horizontal="right"/>
      <protection hidden="1"/>
    </xf>
    <xf numFmtId="0" fontId="43" fillId="15" borderId="0" xfId="0" applyFont="1" applyFill="1" applyAlignment="1" applyProtection="1">
      <alignment horizontal="left"/>
      <protection hidden="1"/>
    </xf>
    <xf numFmtId="0" fontId="43" fillId="15" borderId="4" xfId="0" applyFont="1" applyFill="1" applyBorder="1" applyAlignment="1" applyProtection="1">
      <alignment horizontal="left"/>
      <protection hidden="1"/>
    </xf>
    <xf numFmtId="1" fontId="3" fillId="20" borderId="39" xfId="0" quotePrefix="1" applyNumberFormat="1" applyFont="1" applyFill="1" applyBorder="1" applyAlignment="1" applyProtection="1">
      <alignment horizontal="center" vertical="center"/>
      <protection locked="0"/>
    </xf>
    <xf numFmtId="1" fontId="0" fillId="0" borderId="25" xfId="0" applyNumberFormat="1" applyBorder="1" applyAlignment="1" applyProtection="1">
      <alignment horizontal="center" vertical="center"/>
      <protection locked="0"/>
    </xf>
    <xf numFmtId="1" fontId="0" fillId="0" borderId="54" xfId="0" applyNumberFormat="1" applyBorder="1" applyAlignment="1" applyProtection="1">
      <alignment horizontal="center" vertical="center"/>
      <protection locked="0"/>
    </xf>
    <xf numFmtId="0" fontId="9" fillId="0" borderId="39" xfId="0" applyFont="1" applyBorder="1" applyAlignment="1">
      <alignment horizontal="center" vertical="center" wrapText="1"/>
    </xf>
    <xf numFmtId="0" fontId="0" fillId="0" borderId="25" xfId="0" applyBorder="1" applyAlignment="1">
      <alignment horizontal="center" vertical="center" wrapText="1"/>
    </xf>
    <xf numFmtId="0" fontId="0" fillId="0" borderId="54" xfId="0" applyBorder="1" applyAlignment="1">
      <alignment horizontal="center" vertical="center" wrapText="1"/>
    </xf>
    <xf numFmtId="0" fontId="19" fillId="15" borderId="25" xfId="0" applyFont="1" applyFill="1" applyBorder="1" applyAlignment="1" applyProtection="1">
      <alignment horizontal="center" vertical="center" wrapText="1"/>
      <protection hidden="1"/>
    </xf>
    <xf numFmtId="0" fontId="19" fillId="0" borderId="25" xfId="0" applyFont="1" applyBorder="1" applyAlignment="1">
      <alignment horizontal="center" vertical="center" wrapText="1"/>
    </xf>
    <xf numFmtId="0" fontId="73" fillId="0" borderId="25" xfId="0" applyFont="1" applyBorder="1" applyAlignment="1">
      <alignment horizontal="center" vertical="center" wrapText="1"/>
    </xf>
    <xf numFmtId="0" fontId="73" fillId="0" borderId="54" xfId="0" applyFont="1" applyBorder="1" applyAlignment="1">
      <alignment horizontal="center" vertical="center" wrapText="1"/>
    </xf>
    <xf numFmtId="0" fontId="14" fillId="15" borderId="30" xfId="0" applyFont="1" applyFill="1" applyBorder="1" applyAlignment="1" applyProtection="1">
      <alignment horizontal="center"/>
      <protection hidden="1"/>
    </xf>
    <xf numFmtId="0" fontId="46" fillId="0" borderId="14" xfId="0" applyFont="1" applyBorder="1" applyAlignment="1">
      <alignment horizontal="center"/>
    </xf>
    <xf numFmtId="0" fontId="5" fillId="0" borderId="87" xfId="0" applyFont="1" applyBorder="1" applyAlignment="1">
      <alignment vertical="center"/>
    </xf>
    <xf numFmtId="3" fontId="3" fillId="16" borderId="8" xfId="0" applyNumberFormat="1" applyFont="1" applyFill="1" applyBorder="1" applyAlignment="1" applyProtection="1">
      <alignment horizontal="right" indent="1"/>
      <protection locked="0"/>
    </xf>
    <xf numFmtId="0" fontId="3" fillId="19" borderId="30" xfId="0" applyFont="1" applyFill="1" applyBorder="1" applyAlignment="1" applyProtection="1">
      <alignment horizontal="center"/>
      <protection hidden="1"/>
    </xf>
    <xf numFmtId="0" fontId="0" fillId="19" borderId="14" xfId="0" applyFill="1" applyBorder="1" applyAlignment="1">
      <alignment horizontal="center"/>
    </xf>
    <xf numFmtId="0" fontId="3" fillId="19" borderId="3" xfId="0" applyFont="1" applyFill="1" applyBorder="1" applyAlignment="1" applyProtection="1">
      <alignment horizontal="center"/>
      <protection hidden="1"/>
    </xf>
    <xf numFmtId="0" fontId="3" fillId="19" borderId="24" xfId="0" applyFont="1" applyFill="1" applyBorder="1" applyAlignment="1" applyProtection="1">
      <alignment horizontal="center"/>
      <protection hidden="1"/>
    </xf>
    <xf numFmtId="0" fontId="3" fillId="15" borderId="0" xfId="0" applyFont="1" applyFill="1" applyAlignment="1" applyProtection="1">
      <alignment horizontal="center"/>
      <protection hidden="1"/>
    </xf>
    <xf numFmtId="0" fontId="0" fillId="0" borderId="87" xfId="0" applyBorder="1" applyAlignment="1">
      <alignment vertical="center"/>
    </xf>
    <xf numFmtId="3" fontId="3" fillId="16" borderId="9" xfId="0" applyNumberFormat="1" applyFont="1" applyFill="1" applyBorder="1" applyAlignment="1" applyProtection="1">
      <alignment horizontal="right" indent="1"/>
      <protection locked="0"/>
    </xf>
    <xf numFmtId="3" fontId="3" fillId="16" borderId="11" xfId="0" applyNumberFormat="1" applyFont="1" applyFill="1" applyBorder="1" applyAlignment="1" applyProtection="1">
      <alignment horizontal="right" indent="1"/>
      <protection locked="0"/>
    </xf>
    <xf numFmtId="0" fontId="14" fillId="15" borderId="14" xfId="0" applyFont="1" applyFill="1" applyBorder="1" applyAlignment="1" applyProtection="1">
      <alignment horizontal="center"/>
      <protection hidden="1"/>
    </xf>
    <xf numFmtId="3" fontId="3" fillId="27" borderId="1" xfId="0" applyNumberFormat="1" applyFont="1" applyFill="1" applyBorder="1" applyAlignment="1" applyProtection="1">
      <alignment horizontal="right" indent="1"/>
      <protection hidden="1"/>
    </xf>
    <xf numFmtId="37" fontId="3" fillId="27" borderId="1" xfId="0" applyNumberFormat="1" applyFont="1" applyFill="1" applyBorder="1" applyAlignment="1" applyProtection="1">
      <alignment horizontal="right" indent="1"/>
      <protection hidden="1"/>
    </xf>
    <xf numFmtId="0" fontId="3" fillId="15" borderId="24"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 fontId="3" fillId="27" borderId="9" xfId="0" applyNumberFormat="1" applyFont="1" applyFill="1" applyBorder="1" applyAlignment="1" applyProtection="1">
      <alignment horizontal="center"/>
      <protection hidden="1"/>
    </xf>
    <xf numFmtId="0" fontId="0" fillId="27" borderId="1" xfId="0" applyFill="1" applyBorder="1" applyAlignment="1" applyProtection="1">
      <alignment horizontal="center"/>
      <protection hidden="1"/>
    </xf>
    <xf numFmtId="175" fontId="3" fillId="27" borderId="1" xfId="0" applyNumberFormat="1" applyFont="1" applyFill="1" applyBorder="1" applyAlignment="1" applyProtection="1">
      <alignment horizontal="right" indent="1"/>
      <protection hidden="1"/>
    </xf>
    <xf numFmtId="0" fontId="0" fillId="27" borderId="1" xfId="0" applyFill="1" applyBorder="1" applyAlignment="1" applyProtection="1">
      <alignment horizontal="right" indent="1"/>
      <protection hidden="1"/>
    </xf>
    <xf numFmtId="0" fontId="3" fillId="23" borderId="30" xfId="0" applyFont="1" applyFill="1" applyBorder="1" applyAlignment="1" applyProtection="1">
      <alignment horizontal="center"/>
      <protection hidden="1"/>
    </xf>
    <xf numFmtId="0" fontId="3" fillId="23" borderId="14" xfId="0" applyFont="1" applyFill="1" applyBorder="1" applyAlignment="1" applyProtection="1">
      <alignment horizontal="center"/>
      <protection hidden="1"/>
    </xf>
    <xf numFmtId="168" fontId="22" fillId="27" borderId="1" xfId="0" applyNumberFormat="1" applyFont="1" applyFill="1" applyBorder="1" applyAlignment="1" applyProtection="1">
      <alignment horizontal="right" indent="1"/>
      <protection hidden="1"/>
    </xf>
    <xf numFmtId="0" fontId="14" fillId="15" borderId="3" xfId="0" applyFont="1" applyFill="1" applyBorder="1" applyAlignment="1" applyProtection="1">
      <alignment horizontal="center"/>
      <protection hidden="1"/>
    </xf>
    <xf numFmtId="0" fontId="46" fillId="0" borderId="24" xfId="0" applyFont="1" applyBorder="1" applyAlignment="1">
      <alignment horizontal="center"/>
    </xf>
    <xf numFmtId="3" fontId="3" fillId="27" borderId="0" xfId="0" applyNumberFormat="1" applyFont="1" applyFill="1" applyAlignment="1" applyProtection="1">
      <alignment horizontal="right" indent="1"/>
      <protection hidden="1"/>
    </xf>
    <xf numFmtId="0" fontId="120" fillId="15" borderId="27" xfId="0" applyFont="1" applyFill="1" applyBorder="1" applyAlignment="1" applyProtection="1">
      <alignment horizontal="center" vertical="center"/>
      <protection hidden="1"/>
    </xf>
    <xf numFmtId="0" fontId="122" fillId="0" borderId="27" xfId="0" applyFont="1" applyBorder="1" applyAlignment="1">
      <alignment horizontal="center" vertical="center"/>
    </xf>
    <xf numFmtId="0" fontId="110" fillId="15" borderId="8" xfId="0" applyFont="1" applyFill="1" applyBorder="1" applyProtection="1">
      <protection hidden="1"/>
    </xf>
    <xf numFmtId="37" fontId="110" fillId="15" borderId="30" xfId="0" applyNumberFormat="1" applyFont="1" applyFill="1" applyBorder="1" applyProtection="1">
      <protection hidden="1"/>
    </xf>
    <xf numFmtId="37" fontId="110" fillId="0" borderId="8" xfId="0" applyNumberFormat="1" applyFont="1" applyBorder="1"/>
    <xf numFmtId="176" fontId="126" fillId="15" borderId="3" xfId="0" applyNumberFormat="1" applyFont="1" applyFill="1" applyBorder="1" applyAlignment="1" applyProtection="1">
      <alignment horizontal="right"/>
      <protection hidden="1"/>
    </xf>
    <xf numFmtId="176" fontId="126" fillId="15" borderId="0" xfId="0" applyNumberFormat="1" applyFont="1" applyFill="1" applyAlignment="1" applyProtection="1">
      <alignment horizontal="right"/>
      <protection hidden="1"/>
    </xf>
    <xf numFmtId="0" fontId="10" fillId="15" borderId="8" xfId="0" applyFont="1" applyFill="1" applyBorder="1" applyAlignment="1" applyProtection="1">
      <alignment horizontal="left" vertical="center" wrapText="1" indent="1"/>
      <protection hidden="1"/>
    </xf>
    <xf numFmtId="0" fontId="13" fillId="0" borderId="8" xfId="0" applyFont="1" applyBorder="1" applyAlignment="1">
      <alignment horizontal="left" vertical="center" indent="1"/>
    </xf>
    <xf numFmtId="0" fontId="13" fillId="0" borderId="0" xfId="0" applyFont="1" applyAlignment="1">
      <alignment horizontal="left" vertical="center" indent="1"/>
    </xf>
    <xf numFmtId="0" fontId="13" fillId="0" borderId="1" xfId="0" applyFont="1" applyBorder="1" applyAlignment="1">
      <alignment horizontal="left" vertical="center" indent="1"/>
    </xf>
    <xf numFmtId="176" fontId="126" fillId="15" borderId="30" xfId="0" applyNumberFormat="1" applyFont="1" applyFill="1" applyBorder="1" applyAlignment="1" applyProtection="1">
      <alignment horizontal="right"/>
      <protection hidden="1"/>
    </xf>
    <xf numFmtId="176" fontId="126" fillId="15" borderId="8" xfId="0" applyNumberFormat="1" applyFont="1" applyFill="1" applyBorder="1" applyAlignment="1" applyProtection="1">
      <alignment horizontal="right"/>
      <protection hidden="1"/>
    </xf>
    <xf numFmtId="0" fontId="3" fillId="23" borderId="3" xfId="0" applyFont="1" applyFill="1" applyBorder="1" applyAlignment="1" applyProtection="1">
      <alignment horizontal="center"/>
      <protection hidden="1"/>
    </xf>
    <xf numFmtId="0" fontId="3" fillId="23" borderId="24" xfId="0" applyFont="1" applyFill="1" applyBorder="1" applyAlignment="1" applyProtection="1">
      <alignment horizontal="center"/>
      <protection hidden="1"/>
    </xf>
    <xf numFmtId="0" fontId="14" fillId="20" borderId="87" xfId="0" quotePrefix="1" applyFont="1" applyFill="1" applyBorder="1" applyAlignment="1" applyProtection="1">
      <alignment vertical="center"/>
      <protection locked="0"/>
    </xf>
    <xf numFmtId="0" fontId="3" fillId="0" borderId="0" xfId="0" applyFont="1" applyAlignment="1">
      <alignment vertical="center"/>
    </xf>
    <xf numFmtId="0" fontId="3" fillId="20" borderId="87" xfId="0" quotePrefix="1" applyFont="1" applyFill="1" applyBorder="1" applyAlignment="1" applyProtection="1">
      <alignment horizontal="center" vertical="center"/>
      <protection locked="0"/>
    </xf>
    <xf numFmtId="0" fontId="3" fillId="0" borderId="87" xfId="0" applyFont="1" applyBorder="1" applyAlignment="1">
      <alignment horizontal="center" vertical="center"/>
    </xf>
    <xf numFmtId="3" fontId="110" fillId="15" borderId="3" xfId="0" applyNumberFormat="1" applyFont="1" applyFill="1" applyBorder="1" applyProtection="1">
      <protection hidden="1"/>
    </xf>
    <xf numFmtId="3" fontId="110" fillId="0" borderId="0" xfId="0" applyNumberFormat="1" applyFont="1"/>
    <xf numFmtId="3" fontId="3" fillId="27" borderId="1" xfId="0" applyNumberFormat="1" applyFont="1" applyFill="1" applyBorder="1" applyAlignment="1">
      <alignment horizontal="right" indent="1"/>
    </xf>
    <xf numFmtId="0" fontId="251" fillId="15" borderId="0" xfId="0" quotePrefix="1" applyFont="1" applyFill="1" applyProtection="1">
      <protection hidden="1"/>
    </xf>
    <xf numFmtId="0" fontId="252" fillId="0" borderId="0" xfId="0" applyFont="1" applyProtection="1">
      <protection hidden="1"/>
    </xf>
    <xf numFmtId="0" fontId="19" fillId="15" borderId="5" xfId="0" applyFont="1" applyFill="1" applyBorder="1" applyAlignment="1" applyProtection="1">
      <alignment horizontal="center" wrapText="1"/>
      <protection hidden="1"/>
    </xf>
    <xf numFmtId="0" fontId="46" fillId="15" borderId="26" xfId="0" applyFont="1" applyFill="1" applyBorder="1" applyAlignment="1" applyProtection="1">
      <alignment horizontal="center"/>
      <protection hidden="1"/>
    </xf>
    <xf numFmtId="0" fontId="46" fillId="0" borderId="1" xfId="0" applyFont="1" applyBorder="1" applyAlignment="1" applyProtection="1">
      <alignment horizontal="center"/>
      <protection hidden="1"/>
    </xf>
    <xf numFmtId="0" fontId="43" fillId="15" borderId="4" xfId="0" applyFont="1" applyFill="1" applyBorder="1" applyAlignment="1" applyProtection="1">
      <alignment horizontal="center"/>
      <protection hidden="1"/>
    </xf>
    <xf numFmtId="0" fontId="5" fillId="0" borderId="200" xfId="0" applyFont="1" applyBorder="1" applyAlignment="1" applyProtection="1">
      <alignment horizontal="center" vertical="center" wrapText="1"/>
      <protection hidden="1"/>
    </xf>
    <xf numFmtId="0" fontId="0" fillId="0" borderId="6" xfId="0" applyBorder="1" applyAlignment="1">
      <alignment horizontal="center" vertical="center" wrapText="1"/>
    </xf>
    <xf numFmtId="0" fontId="0" fillId="0" borderId="10" xfId="0" applyBorder="1" applyAlignment="1">
      <alignment wrapText="1"/>
    </xf>
    <xf numFmtId="0" fontId="167" fillId="15" borderId="0" xfId="0" applyFont="1" applyFill="1" applyAlignment="1" applyProtection="1">
      <alignment horizontal="center" vertical="center"/>
      <protection hidden="1"/>
    </xf>
    <xf numFmtId="0" fontId="3" fillId="15" borderId="5" xfId="0" applyFont="1" applyFill="1" applyBorder="1" applyAlignment="1" applyProtection="1">
      <alignment horizontal="center" vertical="center"/>
      <protection hidden="1"/>
    </xf>
    <xf numFmtId="0" fontId="3" fillId="15" borderId="20" xfId="0" applyFont="1" applyFill="1" applyBorder="1" applyAlignment="1" applyProtection="1">
      <alignment horizontal="center" vertical="center"/>
      <protection hidden="1"/>
    </xf>
    <xf numFmtId="0" fontId="5" fillId="0" borderId="56" xfId="0" applyFont="1" applyBorder="1" applyAlignment="1" applyProtection="1">
      <alignment horizontal="center" vertical="center" wrapText="1"/>
      <protection hidden="1"/>
    </xf>
    <xf numFmtId="0" fontId="0" fillId="0" borderId="9" xfId="0" applyBorder="1" applyAlignment="1">
      <alignment wrapText="1"/>
    </xf>
    <xf numFmtId="0" fontId="3" fillId="15" borderId="21" xfId="0" applyFont="1" applyFill="1" applyBorder="1" applyAlignment="1" applyProtection="1">
      <alignment horizontal="center" vertical="top"/>
      <protection hidden="1"/>
    </xf>
    <xf numFmtId="0" fontId="3" fillId="0" borderId="4" xfId="0" applyFont="1" applyBorder="1" applyAlignment="1" applyProtection="1">
      <alignment horizontal="center" vertical="top"/>
      <protection hidden="1"/>
    </xf>
    <xf numFmtId="0" fontId="3" fillId="0" borderId="22" xfId="0" applyFont="1" applyBorder="1" applyAlignment="1" applyProtection="1">
      <alignment horizontal="center" vertical="top"/>
      <protection hidden="1"/>
    </xf>
    <xf numFmtId="0" fontId="5" fillId="15" borderId="4" xfId="0" applyFont="1" applyFill="1" applyBorder="1" applyAlignment="1" applyProtection="1">
      <alignment horizontal="center"/>
      <protection hidden="1"/>
    </xf>
    <xf numFmtId="0" fontId="0" fillId="0" borderId="4" xfId="0" applyBorder="1" applyAlignment="1" applyProtection="1">
      <alignment horizontal="center"/>
      <protection hidden="1"/>
    </xf>
    <xf numFmtId="0" fontId="14" fillId="27" borderId="1" xfId="0" applyFont="1" applyFill="1" applyBorder="1" applyAlignment="1" applyProtection="1">
      <alignment horizontal="left"/>
      <protection hidden="1"/>
    </xf>
    <xf numFmtId="0" fontId="14" fillId="27" borderId="11" xfId="0" applyFont="1" applyFill="1" applyBorder="1" applyAlignment="1" applyProtection="1">
      <alignment horizontal="left"/>
      <protection hidden="1"/>
    </xf>
    <xf numFmtId="0" fontId="14" fillId="16" borderId="9" xfId="0" applyFont="1" applyFill="1" applyBorder="1" applyAlignment="1" applyProtection="1">
      <alignment horizontal="left" vertical="center"/>
      <protection locked="0"/>
    </xf>
    <xf numFmtId="0" fontId="14" fillId="16" borderId="1" xfId="0" applyFont="1" applyFill="1" applyBorder="1" applyAlignment="1" applyProtection="1">
      <alignment horizontal="left" vertical="center"/>
      <protection locked="0"/>
    </xf>
    <xf numFmtId="0" fontId="14" fillId="16" borderId="11" xfId="0" applyFont="1" applyFill="1" applyBorder="1" applyAlignment="1" applyProtection="1">
      <alignment horizontal="left" vertical="center"/>
      <protection locked="0"/>
    </xf>
    <xf numFmtId="0" fontId="10" fillId="16" borderId="9" xfId="0" applyFont="1" applyFill="1" applyBorder="1" applyAlignment="1" applyProtection="1">
      <alignment horizontal="center" vertical="center"/>
      <protection locked="0"/>
    </xf>
    <xf numFmtId="0" fontId="10" fillId="16" borderId="1" xfId="0" applyFont="1" applyFill="1" applyBorder="1" applyAlignment="1" applyProtection="1">
      <alignment horizontal="center" vertical="center"/>
      <protection locked="0"/>
    </xf>
    <xf numFmtId="0" fontId="5" fillId="0" borderId="36" xfId="0" applyFont="1" applyBorder="1" applyAlignment="1" applyProtection="1">
      <alignment horizontal="center" vertical="center" wrapText="1"/>
      <protection hidden="1"/>
    </xf>
    <xf numFmtId="0" fontId="7" fillId="0" borderId="200" xfId="0" applyFont="1" applyBorder="1" applyAlignment="1" applyProtection="1">
      <alignment horizontal="center" vertical="center" wrapText="1"/>
      <protection hidden="1"/>
    </xf>
    <xf numFmtId="0" fontId="7" fillId="0" borderId="10" xfId="0" applyFont="1" applyBorder="1" applyAlignment="1">
      <alignment wrapText="1"/>
    </xf>
    <xf numFmtId="0" fontId="10" fillId="15" borderId="30" xfId="0" applyFont="1" applyFill="1" applyBorder="1" applyAlignment="1" applyProtection="1">
      <alignment horizontal="center"/>
      <protection hidden="1"/>
    </xf>
    <xf numFmtId="0" fontId="10" fillId="0" borderId="14" xfId="0" applyFont="1" applyBorder="1" applyAlignment="1" applyProtection="1">
      <alignment horizontal="center"/>
      <protection hidden="1"/>
    </xf>
    <xf numFmtId="37" fontId="10" fillId="27" borderId="39" xfId="0" applyNumberFormat="1" applyFont="1" applyFill="1" applyBorder="1" applyProtection="1">
      <protection hidden="1"/>
    </xf>
    <xf numFmtId="37" fontId="10" fillId="27" borderId="25" xfId="0" applyNumberFormat="1" applyFont="1" applyFill="1" applyBorder="1" applyProtection="1">
      <protection hidden="1"/>
    </xf>
    <xf numFmtId="0" fontId="10" fillId="0" borderId="11" xfId="0" applyFont="1" applyBorder="1" applyAlignment="1" applyProtection="1">
      <alignment horizontal="center"/>
      <protection hidden="1"/>
    </xf>
    <xf numFmtId="37" fontId="10" fillId="27" borderId="1" xfId="0" applyNumberFormat="1" applyFont="1" applyFill="1" applyBorder="1" applyProtection="1">
      <protection hidden="1"/>
    </xf>
    <xf numFmtId="0" fontId="5" fillId="15" borderId="25" xfId="0" quotePrefix="1" applyFont="1" applyFill="1" applyBorder="1" applyAlignment="1" applyProtection="1">
      <alignment horizontal="center"/>
      <protection hidden="1"/>
    </xf>
    <xf numFmtId="0" fontId="5" fillId="0" borderId="25" xfId="0" applyFont="1" applyBorder="1" applyAlignment="1" applyProtection="1">
      <alignment horizontal="center"/>
      <protection hidden="1"/>
    </xf>
    <xf numFmtId="0" fontId="5" fillId="0" borderId="54" xfId="0" applyFont="1" applyBorder="1" applyAlignment="1" applyProtection="1">
      <alignment horizontal="center"/>
      <protection hidden="1"/>
    </xf>
    <xf numFmtId="0" fontId="7" fillId="15" borderId="39" xfId="0" applyFont="1" applyFill="1" applyBorder="1" applyProtection="1">
      <protection hidden="1"/>
    </xf>
    <xf numFmtId="0" fontId="7" fillId="0" borderId="25" xfId="0" applyFont="1" applyBorder="1" applyProtection="1">
      <protection hidden="1"/>
    </xf>
    <xf numFmtId="0" fontId="7" fillId="0" borderId="54" xfId="0" applyFont="1" applyBorder="1" applyProtection="1">
      <protection hidden="1"/>
    </xf>
    <xf numFmtId="0" fontId="5" fillId="15" borderId="39"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3" fillId="0" borderId="8" xfId="0" applyFont="1" applyBorder="1" applyAlignment="1" applyProtection="1">
      <alignment horizontal="center" vertical="center"/>
      <protection hidden="1"/>
    </xf>
    <xf numFmtId="0" fontId="3" fillId="0" borderId="25" xfId="0" applyFont="1" applyBorder="1" applyAlignment="1" applyProtection="1">
      <alignment horizontal="center" vertical="center"/>
      <protection hidden="1"/>
    </xf>
    <xf numFmtId="37" fontId="10" fillId="27" borderId="54" xfId="0" applyNumberFormat="1" applyFont="1" applyFill="1" applyBorder="1" applyProtection="1">
      <protection hidden="1"/>
    </xf>
    <xf numFmtId="0" fontId="10" fillId="15" borderId="12" xfId="0" applyFont="1" applyFill="1" applyBorder="1" applyAlignment="1" applyProtection="1">
      <alignment horizontal="center"/>
      <protection hidden="1"/>
    </xf>
    <xf numFmtId="0" fontId="10" fillId="0" borderId="12" xfId="0" applyFont="1" applyBorder="1" applyAlignment="1" applyProtection="1">
      <alignment horizontal="center"/>
      <protection hidden="1"/>
    </xf>
    <xf numFmtId="37" fontId="10" fillId="27" borderId="12" xfId="0" applyNumberFormat="1" applyFont="1" applyFill="1" applyBorder="1" applyProtection="1">
      <protection hidden="1"/>
    </xf>
    <xf numFmtId="0" fontId="10" fillId="27" borderId="12" xfId="0" applyFont="1" applyFill="1" applyBorder="1" applyProtection="1">
      <protection hidden="1"/>
    </xf>
    <xf numFmtId="0" fontId="10" fillId="27" borderId="39" xfId="0" applyFont="1" applyFill="1" applyBorder="1" applyProtection="1">
      <protection hidden="1"/>
    </xf>
    <xf numFmtId="37" fontId="10" fillId="16" borderId="12" xfId="0" applyNumberFormat="1" applyFont="1" applyFill="1" applyBorder="1" applyProtection="1">
      <protection locked="0"/>
    </xf>
    <xf numFmtId="37" fontId="10" fillId="16" borderId="54" xfId="0" applyNumberFormat="1" applyFont="1" applyFill="1" applyBorder="1" applyProtection="1">
      <protection locked="0"/>
    </xf>
    <xf numFmtId="37" fontId="10" fillId="27" borderId="30" xfId="0" applyNumberFormat="1" applyFont="1" applyFill="1" applyBorder="1" applyAlignment="1" applyProtection="1">
      <alignment horizontal="right"/>
      <protection hidden="1"/>
    </xf>
    <xf numFmtId="37" fontId="10" fillId="27" borderId="8" xfId="0" applyNumberFormat="1" applyFont="1" applyFill="1" applyBorder="1" applyProtection="1">
      <protection hidden="1"/>
    </xf>
    <xf numFmtId="37" fontId="10" fillId="27" borderId="14" xfId="0" applyNumberFormat="1" applyFont="1" applyFill="1" applyBorder="1" applyProtection="1">
      <protection hidden="1"/>
    </xf>
    <xf numFmtId="0" fontId="5" fillId="15" borderId="25" xfId="0" applyFont="1" applyFill="1" applyBorder="1" applyAlignment="1" applyProtection="1">
      <alignment horizontal="center" vertical="center" wrapText="1"/>
      <protection hidden="1"/>
    </xf>
    <xf numFmtId="0" fontId="5" fillId="0" borderId="25" xfId="0" applyFont="1" applyBorder="1" applyAlignment="1">
      <alignment horizontal="center" vertical="center" wrapText="1"/>
    </xf>
    <xf numFmtId="0" fontId="5" fillId="0" borderId="54" xfId="0" applyFont="1" applyBorder="1" applyAlignment="1">
      <alignment horizontal="center" vertical="center" wrapText="1"/>
    </xf>
    <xf numFmtId="0" fontId="5" fillId="15" borderId="39" xfId="0" applyFont="1" applyFill="1" applyBorder="1" applyAlignment="1" applyProtection="1">
      <alignment horizontal="center" vertical="center" wrapText="1"/>
      <protection hidden="1"/>
    </xf>
    <xf numFmtId="0" fontId="7" fillId="15" borderId="39" xfId="0" applyFont="1" applyFill="1" applyBorder="1" applyAlignment="1" applyProtection="1">
      <alignment horizontal="center" vertical="center" wrapText="1"/>
      <protection hidden="1"/>
    </xf>
    <xf numFmtId="0" fontId="7" fillId="0" borderId="25" xfId="0" applyFont="1" applyBorder="1" applyAlignment="1">
      <alignment horizontal="center" vertical="center" wrapText="1"/>
    </xf>
    <xf numFmtId="0" fontId="5" fillId="0" borderId="39" xfId="0" applyFont="1" applyBorder="1" applyAlignment="1">
      <alignment horizontal="center" vertical="center" wrapText="1"/>
    </xf>
    <xf numFmtId="0" fontId="5" fillId="15" borderId="54" xfId="0" applyFont="1" applyFill="1" applyBorder="1" applyAlignment="1" applyProtection="1">
      <alignment horizontal="center" vertical="center" wrapText="1"/>
      <protection hidden="1"/>
    </xf>
    <xf numFmtId="0" fontId="13" fillId="15" borderId="25" xfId="0" applyFont="1" applyFill="1" applyBorder="1" applyAlignment="1" applyProtection="1">
      <alignment horizontal="right" vertical="center" indent="1"/>
      <protection hidden="1"/>
    </xf>
    <xf numFmtId="0" fontId="13" fillId="15" borderId="54" xfId="0" applyFont="1" applyFill="1" applyBorder="1" applyAlignment="1" applyProtection="1">
      <alignment horizontal="right" vertical="center" indent="1"/>
      <protection hidden="1"/>
    </xf>
    <xf numFmtId="17" fontId="10" fillId="19" borderId="39" xfId="0" applyNumberFormat="1" applyFont="1" applyFill="1" applyBorder="1" applyAlignment="1" applyProtection="1">
      <alignment horizontal="center" vertical="center" wrapText="1"/>
      <protection hidden="1"/>
    </xf>
    <xf numFmtId="37" fontId="10" fillId="16" borderId="39" xfId="0" applyNumberFormat="1" applyFont="1" applyFill="1" applyBorder="1" applyAlignment="1" applyProtection="1">
      <alignment horizontal="right" vertical="center"/>
      <protection locked="0"/>
    </xf>
    <xf numFmtId="37" fontId="10" fillId="16" borderId="25" xfId="0" applyNumberFormat="1" applyFont="1" applyFill="1" applyBorder="1" applyAlignment="1" applyProtection="1">
      <alignment horizontal="right" vertical="center"/>
      <protection locked="0"/>
    </xf>
    <xf numFmtId="37" fontId="10" fillId="16" borderId="54" xfId="0" applyNumberFormat="1" applyFont="1" applyFill="1" applyBorder="1" applyAlignment="1" applyProtection="1">
      <alignment horizontal="right" vertical="center"/>
      <protection locked="0"/>
    </xf>
    <xf numFmtId="0" fontId="253" fillId="16" borderId="39" xfId="0" applyFont="1" applyFill="1" applyBorder="1" applyAlignment="1" applyProtection="1">
      <alignment horizontal="center" vertical="center"/>
      <protection locked="0"/>
    </xf>
    <xf numFmtId="0" fontId="253" fillId="16" borderId="25" xfId="0" applyFont="1" applyFill="1" applyBorder="1" applyAlignment="1" applyProtection="1">
      <alignment horizontal="center" vertical="center"/>
      <protection locked="0"/>
    </xf>
    <xf numFmtId="0" fontId="253" fillId="16" borderId="54" xfId="0" applyFont="1" applyFill="1" applyBorder="1" applyAlignment="1" applyProtection="1">
      <alignment horizontal="center" vertical="center"/>
      <protection locked="0"/>
    </xf>
    <xf numFmtId="0" fontId="253" fillId="16" borderId="39" xfId="0" applyFont="1" applyFill="1" applyBorder="1" applyAlignment="1" applyProtection="1">
      <alignment horizontal="center" vertical="center" wrapText="1"/>
      <protection locked="0"/>
    </xf>
    <xf numFmtId="0" fontId="253" fillId="16" borderId="25" xfId="0" applyFont="1" applyFill="1" applyBorder="1" applyAlignment="1" applyProtection="1">
      <alignment horizontal="center" vertical="center" wrapText="1"/>
      <protection locked="0"/>
    </xf>
    <xf numFmtId="0" fontId="253" fillId="16" borderId="54" xfId="0" applyFont="1" applyFill="1" applyBorder="1" applyAlignment="1" applyProtection="1">
      <alignment horizontal="center" vertical="center" wrapText="1"/>
      <protection locked="0"/>
    </xf>
    <xf numFmtId="0" fontId="254" fillId="16" borderId="39" xfId="0" applyFont="1" applyFill="1" applyBorder="1" applyAlignment="1" applyProtection="1">
      <alignment horizontal="center" vertical="center" wrapText="1"/>
      <protection locked="0"/>
    </xf>
    <xf numFmtId="0" fontId="19" fillId="0" borderId="25" xfId="0" applyFont="1" applyBorder="1" applyAlignment="1" applyProtection="1">
      <alignment horizontal="center" vertical="center" wrapText="1"/>
      <protection locked="0"/>
    </xf>
    <xf numFmtId="0" fontId="19" fillId="0" borderId="54" xfId="0" applyFont="1" applyBorder="1" applyAlignment="1" applyProtection="1">
      <alignment horizontal="center" vertical="center" wrapText="1"/>
      <protection locked="0"/>
    </xf>
    <xf numFmtId="0" fontId="13" fillId="15" borderId="8" xfId="0" applyFont="1" applyFill="1" applyBorder="1" applyAlignment="1" applyProtection="1">
      <alignment horizontal="left" vertical="center"/>
      <protection hidden="1"/>
    </xf>
    <xf numFmtId="0" fontId="13" fillId="15" borderId="14" xfId="0" applyFont="1" applyFill="1" applyBorder="1" applyAlignment="1" applyProtection="1">
      <alignment horizontal="left" vertical="center"/>
      <protection hidden="1"/>
    </xf>
    <xf numFmtId="198" fontId="10" fillId="16" borderId="39" xfId="0" applyNumberFormat="1" applyFont="1" applyFill="1" applyBorder="1" applyAlignment="1" applyProtection="1">
      <alignment horizontal="center" vertical="center" wrapText="1"/>
      <protection locked="0"/>
    </xf>
    <xf numFmtId="198" fontId="10" fillId="16" borderId="25" xfId="0" applyNumberFormat="1" applyFont="1" applyFill="1" applyBorder="1" applyAlignment="1" applyProtection="1">
      <alignment horizontal="center" vertical="center" wrapText="1"/>
      <protection locked="0"/>
    </xf>
    <xf numFmtId="198" fontId="10" fillId="16" borderId="54" xfId="0" applyNumberFormat="1" applyFont="1" applyFill="1" applyBorder="1" applyAlignment="1" applyProtection="1">
      <alignment horizontal="center" vertical="center" wrapText="1"/>
      <protection locked="0"/>
    </xf>
    <xf numFmtId="0" fontId="255" fillId="15" borderId="39" xfId="0" applyFont="1" applyFill="1" applyBorder="1" applyAlignment="1" applyProtection="1">
      <alignment horizontal="center" vertical="center"/>
      <protection hidden="1"/>
    </xf>
    <xf numFmtId="0" fontId="255" fillId="15" borderId="25" xfId="0" applyFont="1" applyFill="1" applyBorder="1" applyAlignment="1" applyProtection="1">
      <alignment horizontal="center" vertical="center"/>
      <protection hidden="1"/>
    </xf>
    <xf numFmtId="0" fontId="255" fillId="15" borderId="54" xfId="0" applyFont="1" applyFill="1" applyBorder="1" applyAlignment="1" applyProtection="1">
      <alignment horizontal="center" vertical="center"/>
      <protection hidden="1"/>
    </xf>
    <xf numFmtId="0" fontId="255" fillId="15" borderId="39" xfId="0" applyFont="1" applyFill="1" applyBorder="1" applyAlignment="1" applyProtection="1">
      <alignment horizontal="center" vertical="center" wrapText="1"/>
      <protection hidden="1"/>
    </xf>
    <xf numFmtId="0" fontId="255" fillId="15" borderId="25" xfId="0" applyFont="1" applyFill="1" applyBorder="1" applyAlignment="1" applyProtection="1">
      <alignment horizontal="center" vertical="center" wrapText="1"/>
      <protection hidden="1"/>
    </xf>
    <xf numFmtId="0" fontId="255" fillId="15" borderId="54"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left" vertical="center"/>
      <protection hidden="1"/>
    </xf>
    <xf numFmtId="0" fontId="13" fillId="15" borderId="11" xfId="0" applyFont="1" applyFill="1" applyBorder="1" applyAlignment="1" applyProtection="1">
      <alignment horizontal="left" vertical="center"/>
      <protection hidden="1"/>
    </xf>
    <xf numFmtId="0" fontId="13" fillId="15" borderId="25" xfId="0" applyFont="1" applyFill="1" applyBorder="1" applyAlignment="1" applyProtection="1">
      <alignment horizontal="left" vertical="center" indent="1"/>
      <protection hidden="1"/>
    </xf>
    <xf numFmtId="0" fontId="13" fillId="15" borderId="54" xfId="0" applyFont="1" applyFill="1" applyBorder="1" applyAlignment="1" applyProtection="1">
      <alignment horizontal="left" vertical="center" indent="1"/>
      <protection hidden="1"/>
    </xf>
    <xf numFmtId="198" fontId="10" fillId="16" borderId="30" xfId="0" applyNumberFormat="1" applyFont="1" applyFill="1" applyBorder="1" applyAlignment="1" applyProtection="1">
      <alignment horizontal="center" vertical="center" wrapText="1"/>
      <protection locked="0"/>
    </xf>
    <xf numFmtId="198" fontId="10" fillId="16" borderId="8" xfId="0" applyNumberFormat="1" applyFont="1" applyFill="1" applyBorder="1" applyAlignment="1" applyProtection="1">
      <alignment horizontal="center" vertical="center" wrapText="1"/>
      <protection locked="0"/>
    </xf>
    <xf numFmtId="198" fontId="10" fillId="16" borderId="14" xfId="0" applyNumberFormat="1" applyFont="1" applyFill="1" applyBorder="1" applyAlignment="1" applyProtection="1">
      <alignment horizontal="center" vertical="center" wrapText="1"/>
      <protection locked="0"/>
    </xf>
    <xf numFmtId="37" fontId="10" fillId="16" borderId="30" xfId="0" applyNumberFormat="1" applyFont="1" applyFill="1" applyBorder="1" applyAlignment="1" applyProtection="1">
      <alignment horizontal="right" vertical="center"/>
      <protection locked="0"/>
    </xf>
    <xf numFmtId="37" fontId="10" fillId="16" borderId="8" xfId="0" applyNumberFormat="1" applyFont="1" applyFill="1" applyBorder="1" applyAlignment="1" applyProtection="1">
      <alignment horizontal="right" vertical="center"/>
      <protection locked="0"/>
    </xf>
    <xf numFmtId="37" fontId="10" fillId="16" borderId="14" xfId="0" applyNumberFormat="1" applyFont="1" applyFill="1" applyBorder="1" applyAlignment="1" applyProtection="1">
      <alignment horizontal="right" vertical="center"/>
      <protection locked="0"/>
    </xf>
    <xf numFmtId="37" fontId="255" fillId="15" borderId="30" xfId="0" applyNumberFormat="1" applyFont="1" applyFill="1" applyBorder="1" applyAlignment="1" applyProtection="1">
      <alignment horizontal="center" vertical="center"/>
      <protection hidden="1"/>
    </xf>
    <xf numFmtId="37" fontId="255" fillId="15" borderId="8" xfId="0" applyNumberFormat="1" applyFont="1" applyFill="1" applyBorder="1" applyAlignment="1" applyProtection="1">
      <alignment horizontal="center" vertical="center"/>
      <protection hidden="1"/>
    </xf>
    <xf numFmtId="0" fontId="255" fillId="15" borderId="30" xfId="0" applyFont="1" applyFill="1" applyBorder="1" applyAlignment="1" applyProtection="1">
      <alignment horizontal="center" vertical="center" wrapText="1"/>
      <protection hidden="1"/>
    </xf>
    <xf numFmtId="0" fontId="255" fillId="15" borderId="8" xfId="0" applyFont="1" applyFill="1" applyBorder="1" applyAlignment="1" applyProtection="1">
      <alignment horizontal="center" vertical="center" wrapText="1"/>
      <protection hidden="1"/>
    </xf>
    <xf numFmtId="0" fontId="255" fillId="15" borderId="14" xfId="0" applyFont="1" applyFill="1" applyBorder="1" applyAlignment="1" applyProtection="1">
      <alignment horizontal="center" vertical="center" wrapText="1"/>
      <protection hidden="1"/>
    </xf>
    <xf numFmtId="37" fontId="10" fillId="16" borderId="3" xfId="0" applyNumberFormat="1" applyFont="1" applyFill="1" applyBorder="1" applyProtection="1">
      <protection locked="0"/>
    </xf>
    <xf numFmtId="37" fontId="10" fillId="16" borderId="0" xfId="0" applyNumberFormat="1" applyFont="1" applyFill="1" applyProtection="1">
      <protection locked="0"/>
    </xf>
    <xf numFmtId="37" fontId="255" fillId="15" borderId="39" xfId="0" applyNumberFormat="1" applyFont="1" applyFill="1" applyBorder="1" applyAlignment="1" applyProtection="1">
      <alignment horizontal="center" vertical="center"/>
      <protection hidden="1"/>
    </xf>
    <xf numFmtId="37" fontId="255" fillId="15" borderId="25" xfId="0" applyNumberFormat="1" applyFont="1" applyFill="1" applyBorder="1" applyAlignment="1" applyProtection="1">
      <alignment horizontal="center" vertical="center"/>
      <protection hidden="1"/>
    </xf>
    <xf numFmtId="37" fontId="10" fillId="16" borderId="178" xfId="0" applyNumberFormat="1" applyFont="1" applyFill="1" applyBorder="1" applyProtection="1">
      <protection locked="0"/>
    </xf>
    <xf numFmtId="37" fontId="10" fillId="16" borderId="74" xfId="0" applyNumberFormat="1" applyFont="1" applyFill="1" applyBorder="1" applyProtection="1">
      <protection locked="0"/>
    </xf>
    <xf numFmtId="37" fontId="10" fillId="27" borderId="10" xfId="0" applyNumberFormat="1" applyFont="1" applyFill="1" applyBorder="1" applyProtection="1">
      <protection hidden="1"/>
    </xf>
    <xf numFmtId="0" fontId="13" fillId="15" borderId="31" xfId="0" applyFont="1" applyFill="1" applyBorder="1" applyAlignment="1" applyProtection="1">
      <alignment horizontal="left" vertical="center" indent="1"/>
      <protection hidden="1"/>
    </xf>
    <xf numFmtId="0" fontId="13" fillId="15" borderId="73" xfId="0" applyFont="1" applyFill="1" applyBorder="1" applyAlignment="1" applyProtection="1">
      <alignment horizontal="left" vertical="center" indent="1"/>
      <protection hidden="1"/>
    </xf>
    <xf numFmtId="198" fontId="10" fillId="16" borderId="178" xfId="0" applyNumberFormat="1" applyFont="1" applyFill="1" applyBorder="1" applyAlignment="1" applyProtection="1">
      <alignment horizontal="center" vertical="center" wrapText="1"/>
      <protection locked="0"/>
    </xf>
    <xf numFmtId="198" fontId="10" fillId="16" borderId="74" xfId="0" applyNumberFormat="1" applyFont="1" applyFill="1" applyBorder="1" applyAlignment="1" applyProtection="1">
      <alignment horizontal="center" vertical="center" wrapText="1"/>
      <protection locked="0"/>
    </xf>
    <xf numFmtId="198" fontId="10" fillId="16" borderId="179" xfId="0" applyNumberFormat="1" applyFont="1" applyFill="1" applyBorder="1" applyAlignment="1" applyProtection="1">
      <alignment horizontal="center" vertical="center" wrapText="1"/>
      <protection locked="0"/>
    </xf>
    <xf numFmtId="37" fontId="10" fillId="16" borderId="178" xfId="0" applyNumberFormat="1" applyFont="1" applyFill="1" applyBorder="1" applyAlignment="1" applyProtection="1">
      <alignment horizontal="right" vertical="center"/>
      <protection locked="0"/>
    </xf>
    <xf numFmtId="37" fontId="10" fillId="16" borderId="74" xfId="0" applyNumberFormat="1" applyFont="1" applyFill="1" applyBorder="1" applyAlignment="1" applyProtection="1">
      <alignment horizontal="right" vertical="center"/>
      <protection locked="0"/>
    </xf>
    <xf numFmtId="37" fontId="10" fillId="16" borderId="179" xfId="0" applyNumberFormat="1" applyFont="1" applyFill="1" applyBorder="1" applyAlignment="1" applyProtection="1">
      <alignment horizontal="right" vertical="center"/>
      <protection locked="0"/>
    </xf>
    <xf numFmtId="37" fontId="255" fillId="15" borderId="178" xfId="0" applyNumberFormat="1" applyFont="1" applyFill="1" applyBorder="1" applyAlignment="1" applyProtection="1">
      <alignment horizontal="center" vertical="center"/>
      <protection hidden="1"/>
    </xf>
    <xf numFmtId="37" fontId="255" fillId="15" borderId="74" xfId="0" applyNumberFormat="1" applyFont="1" applyFill="1" applyBorder="1" applyAlignment="1" applyProtection="1">
      <alignment horizontal="center" vertical="center"/>
      <protection hidden="1"/>
    </xf>
    <xf numFmtId="37" fontId="255" fillId="15" borderId="179" xfId="0" applyNumberFormat="1" applyFont="1" applyFill="1" applyBorder="1" applyAlignment="1" applyProtection="1">
      <alignment horizontal="center" vertical="center"/>
      <protection hidden="1"/>
    </xf>
    <xf numFmtId="0" fontId="255" fillId="15" borderId="178" xfId="0" applyFont="1" applyFill="1" applyBorder="1" applyAlignment="1" applyProtection="1">
      <alignment horizontal="center" vertical="center" wrapText="1"/>
      <protection hidden="1"/>
    </xf>
    <xf numFmtId="0" fontId="255" fillId="15" borderId="74" xfId="0" applyFont="1" applyFill="1" applyBorder="1" applyAlignment="1" applyProtection="1">
      <alignment horizontal="center" vertical="center" wrapText="1"/>
      <protection hidden="1"/>
    </xf>
    <xf numFmtId="0" fontId="255" fillId="15" borderId="179" xfId="0" applyFont="1" applyFill="1" applyBorder="1" applyAlignment="1" applyProtection="1">
      <alignment horizontal="center" vertical="center" wrapText="1"/>
      <protection hidden="1"/>
    </xf>
    <xf numFmtId="0" fontId="10" fillId="15" borderId="14" xfId="0" applyFont="1" applyFill="1" applyBorder="1" applyAlignment="1" applyProtection="1">
      <alignment horizontal="center"/>
      <protection hidden="1"/>
    </xf>
    <xf numFmtId="37" fontId="10" fillId="16" borderId="69" xfId="0" applyNumberFormat="1" applyFont="1" applyFill="1" applyBorder="1" applyAlignment="1" applyProtection="1">
      <alignment horizontal="right"/>
      <protection locked="0"/>
    </xf>
    <xf numFmtId="37" fontId="10" fillId="16" borderId="4" xfId="0" applyNumberFormat="1" applyFont="1" applyFill="1" applyBorder="1" applyAlignment="1" applyProtection="1">
      <alignment horizontal="right"/>
      <protection locked="0"/>
    </xf>
    <xf numFmtId="37" fontId="10" fillId="16" borderId="70" xfId="0" applyNumberFormat="1" applyFont="1" applyFill="1" applyBorder="1" applyAlignment="1" applyProtection="1">
      <alignment horizontal="right"/>
      <protection locked="0"/>
    </xf>
    <xf numFmtId="0" fontId="10" fillId="0" borderId="8" xfId="0" applyFont="1" applyBorder="1" applyAlignment="1" applyProtection="1">
      <alignment horizontal="center" vertical="center"/>
      <protection hidden="1"/>
    </xf>
    <xf numFmtId="0" fontId="7" fillId="15" borderId="25" xfId="0" applyFont="1" applyFill="1" applyBorder="1" applyAlignment="1" applyProtection="1">
      <alignment horizontal="center" vertical="center" wrapText="1"/>
      <protection hidden="1"/>
    </xf>
    <xf numFmtId="0" fontId="7" fillId="0" borderId="54"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14" xfId="0" applyBorder="1"/>
    <xf numFmtId="0" fontId="10" fillId="15" borderId="69" xfId="0" applyFont="1" applyFill="1" applyBorder="1" applyAlignment="1" applyProtection="1">
      <alignment horizontal="center"/>
      <protection hidden="1"/>
    </xf>
    <xf numFmtId="0" fontId="0" fillId="0" borderId="70" xfId="0" applyBorder="1" applyAlignment="1">
      <alignment horizontal="center"/>
    </xf>
    <xf numFmtId="37" fontId="0" fillId="16" borderId="4" xfId="0" applyNumberFormat="1" applyFill="1" applyBorder="1" applyAlignment="1" applyProtection="1">
      <alignment horizontal="right"/>
      <protection locked="0"/>
    </xf>
    <xf numFmtId="37" fontId="0" fillId="16" borderId="70" xfId="0" applyNumberFormat="1" applyFill="1" applyBorder="1" applyAlignment="1" applyProtection="1">
      <alignment horizontal="right"/>
      <protection locked="0"/>
    </xf>
    <xf numFmtId="0" fontId="10" fillId="16" borderId="25" xfId="0" applyFont="1" applyFill="1" applyBorder="1" applyAlignment="1" applyProtection="1">
      <alignment horizontal="center" vertical="center" wrapText="1"/>
      <protection locked="0"/>
    </xf>
    <xf numFmtId="0" fontId="10" fillId="16" borderId="54" xfId="0" applyFont="1" applyFill="1" applyBorder="1" applyAlignment="1" applyProtection="1">
      <alignment horizontal="center" vertical="center" wrapText="1"/>
      <protection locked="0"/>
    </xf>
    <xf numFmtId="17" fontId="10" fillId="16" borderId="39"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center" vertical="center" wrapText="1"/>
      <protection locked="0"/>
    </xf>
    <xf numFmtId="37" fontId="10" fillId="16" borderId="25"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right" vertical="center" wrapText="1"/>
      <protection locked="0"/>
    </xf>
    <xf numFmtId="37" fontId="10" fillId="16" borderId="25" xfId="0" applyNumberFormat="1" applyFont="1" applyFill="1" applyBorder="1" applyAlignment="1" applyProtection="1">
      <alignment horizontal="right" vertical="center" wrapText="1"/>
      <protection locked="0"/>
    </xf>
    <xf numFmtId="37" fontId="10" fillId="16" borderId="54" xfId="0" applyNumberFormat="1" applyFont="1" applyFill="1" applyBorder="1" applyAlignment="1" applyProtection="1">
      <alignment horizontal="right" vertical="center" wrapText="1"/>
      <protection locked="0"/>
    </xf>
    <xf numFmtId="0" fontId="10" fillId="16" borderId="39" xfId="0" applyFont="1" applyFill="1" applyBorder="1" applyAlignment="1" applyProtection="1">
      <alignment horizontal="center" vertical="center" wrapText="1"/>
      <protection locked="0"/>
    </xf>
    <xf numFmtId="0" fontId="3" fillId="16" borderId="25" xfId="0" applyFont="1" applyFill="1" applyBorder="1" applyAlignment="1" applyProtection="1">
      <alignment horizontal="center" vertical="center" wrapText="1"/>
      <protection locked="0"/>
    </xf>
    <xf numFmtId="0" fontId="0" fillId="0" borderId="54" xfId="0" applyBorder="1" applyAlignment="1" applyProtection="1">
      <alignment horizontal="center" vertical="center" wrapText="1"/>
      <protection locked="0"/>
    </xf>
    <xf numFmtId="37" fontId="0" fillId="27" borderId="25" xfId="0" applyNumberFormat="1" applyFill="1" applyBorder="1" applyAlignment="1" applyProtection="1">
      <alignment horizontal="right"/>
      <protection hidden="1"/>
    </xf>
    <xf numFmtId="37" fontId="0" fillId="27" borderId="54" xfId="0" applyNumberFormat="1" applyFill="1" applyBorder="1" applyAlignment="1" applyProtection="1">
      <alignment horizontal="right"/>
      <protection hidden="1"/>
    </xf>
    <xf numFmtId="0" fontId="10" fillId="15" borderId="8" xfId="0" applyFont="1" applyFill="1" applyBorder="1" applyAlignment="1" applyProtection="1">
      <alignment horizontal="center" vertical="center" wrapText="1"/>
      <protection hidden="1"/>
    </xf>
    <xf numFmtId="0" fontId="10" fillId="15" borderId="0" xfId="0" applyFont="1" applyFill="1" applyAlignment="1" applyProtection="1">
      <alignment horizontal="center" vertical="center"/>
      <protection hidden="1"/>
    </xf>
    <xf numFmtId="0" fontId="5" fillId="15" borderId="8" xfId="0" applyFont="1" applyFill="1" applyBorder="1" applyAlignment="1" applyProtection="1">
      <alignment wrapText="1"/>
      <protection hidden="1"/>
    </xf>
    <xf numFmtId="0" fontId="0" fillId="0" borderId="24" xfId="0" applyBorder="1" applyAlignment="1">
      <alignment wrapText="1"/>
    </xf>
    <xf numFmtId="0" fontId="0" fillId="0" borderId="25" xfId="0" applyBorder="1" applyAlignment="1">
      <alignment horizontal="center" vertical="center"/>
    </xf>
    <xf numFmtId="37" fontId="3" fillId="16" borderId="54" xfId="0" applyNumberFormat="1" applyFont="1" applyFill="1" applyBorder="1" applyAlignment="1" applyProtection="1">
      <alignment horizontal="center" wrapText="1"/>
      <protection locked="0"/>
    </xf>
    <xf numFmtId="37" fontId="3" fillId="27" borderId="3" xfId="0" applyNumberFormat="1" applyFont="1" applyFill="1" applyBorder="1" applyAlignment="1" applyProtection="1">
      <alignment horizontal="center" wrapText="1"/>
      <protection hidden="1"/>
    </xf>
    <xf numFmtId="37" fontId="3" fillId="27" borderId="0" xfId="0" applyNumberFormat="1" applyFont="1" applyFill="1" applyAlignment="1" applyProtection="1">
      <alignment horizontal="center" wrapText="1"/>
      <protection hidden="1"/>
    </xf>
    <xf numFmtId="37" fontId="3" fillId="27" borderId="24" xfId="0" applyNumberFormat="1" applyFont="1" applyFill="1" applyBorder="1" applyAlignment="1" applyProtection="1">
      <alignment horizontal="center" wrapText="1"/>
      <protection hidden="1"/>
    </xf>
    <xf numFmtId="37" fontId="3" fillId="16" borderId="3" xfId="0" applyNumberFormat="1" applyFont="1" applyFill="1" applyBorder="1" applyAlignment="1" applyProtection="1">
      <alignment horizontal="center" wrapText="1"/>
      <protection locked="0"/>
    </xf>
    <xf numFmtId="37" fontId="3" fillId="16" borderId="0" xfId="0" applyNumberFormat="1" applyFont="1" applyFill="1" applyAlignment="1" applyProtection="1">
      <alignment horizontal="center" wrapText="1"/>
      <protection locked="0"/>
    </xf>
    <xf numFmtId="37" fontId="3" fillId="16" borderId="24" xfId="0" applyNumberFormat="1" applyFont="1" applyFill="1" applyBorder="1" applyAlignment="1" applyProtection="1">
      <alignment horizontal="center" wrapText="1"/>
      <protection locked="0"/>
    </xf>
    <xf numFmtId="0" fontId="14" fillId="15" borderId="107" xfId="0" applyFont="1" applyFill="1" applyBorder="1" applyAlignment="1" applyProtection="1">
      <alignment horizontal="center" vertical="center" wrapText="1"/>
      <protection hidden="1"/>
    </xf>
    <xf numFmtId="0" fontId="14" fillId="0" borderId="214" xfId="0" applyFont="1" applyBorder="1" applyAlignment="1">
      <alignment horizontal="center" vertical="center" wrapText="1"/>
    </xf>
    <xf numFmtId="0" fontId="14" fillId="15" borderId="47" xfId="0" applyFont="1" applyFill="1" applyBorder="1" applyAlignment="1" applyProtection="1">
      <alignment horizontal="center" vertical="center" wrapText="1"/>
      <protection hidden="1"/>
    </xf>
    <xf numFmtId="0" fontId="14" fillId="0" borderId="108" xfId="0" applyFont="1" applyBorder="1" applyAlignment="1">
      <alignment horizontal="center" vertical="center" wrapText="1"/>
    </xf>
    <xf numFmtId="0" fontId="14" fillId="0" borderId="27" xfId="0" applyFont="1" applyBorder="1" applyAlignment="1">
      <alignment horizontal="center" vertical="center" wrapText="1"/>
    </xf>
    <xf numFmtId="0" fontId="14" fillId="16" borderId="39" xfId="0" applyFont="1" applyFill="1" applyBorder="1" applyAlignment="1" applyProtection="1">
      <alignment horizontal="center" vertical="center" wrapText="1"/>
      <protection locked="0"/>
    </xf>
    <xf numFmtId="0" fontId="14" fillId="16" borderId="68" xfId="0" applyFont="1" applyFill="1" applyBorder="1" applyAlignment="1" applyProtection="1">
      <alignment horizontal="center" vertical="center" wrapText="1"/>
      <protection locked="0"/>
    </xf>
    <xf numFmtId="0" fontId="14" fillId="16" borderId="67" xfId="0" applyFont="1" applyFill="1" applyBorder="1" applyAlignment="1" applyProtection="1">
      <alignment horizontal="center" vertical="center" wrapText="1"/>
      <protection locked="0"/>
    </xf>
    <xf numFmtId="0" fontId="14" fillId="16" borderId="54" xfId="0" applyFont="1" applyFill="1" applyBorder="1" applyAlignment="1" applyProtection="1">
      <alignment horizontal="center" vertical="center" wrapText="1"/>
      <protection locked="0"/>
    </xf>
    <xf numFmtId="0" fontId="14" fillId="16" borderId="25" xfId="0" applyFont="1" applyFill="1" applyBorder="1" applyAlignment="1" applyProtection="1">
      <alignment horizontal="center" vertical="center" wrapText="1"/>
      <protection locked="0"/>
    </xf>
    <xf numFmtId="0" fontId="0" fillId="0" borderId="0" xfId="0" applyAlignment="1">
      <alignment vertical="center" wrapText="1"/>
    </xf>
    <xf numFmtId="0" fontId="10" fillId="16" borderId="30" xfId="0" applyFont="1" applyFill="1" applyBorder="1" applyAlignment="1" applyProtection="1">
      <alignment horizontal="center" vertical="center" wrapText="1"/>
      <protection locked="0"/>
    </xf>
    <xf numFmtId="0" fontId="10" fillId="16" borderId="14" xfId="0"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locked="0"/>
    </xf>
    <xf numFmtId="0" fontId="10" fillId="16" borderId="11" xfId="0"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locked="0"/>
    </xf>
    <xf numFmtId="0" fontId="3" fillId="16" borderId="30" xfId="0" applyFont="1" applyFill="1" applyBorder="1" applyAlignment="1" applyProtection="1">
      <alignment horizontal="center" vertical="center" wrapText="1"/>
      <protection locked="0"/>
    </xf>
    <xf numFmtId="0" fontId="0" fillId="0" borderId="10" xfId="0" applyBorder="1" applyAlignment="1" applyProtection="1">
      <alignment horizontal="center" wrapText="1"/>
      <protection locked="0"/>
    </xf>
    <xf numFmtId="0" fontId="0" fillId="0" borderId="9" xfId="0" applyBorder="1" applyAlignment="1" applyProtection="1">
      <alignment horizontal="center" wrapText="1"/>
      <protection locked="0"/>
    </xf>
    <xf numFmtId="0" fontId="10" fillId="16" borderId="10" xfId="0" applyFont="1" applyFill="1" applyBorder="1" applyAlignment="1" applyProtection="1">
      <alignment horizontal="center" vertical="center" wrapText="1"/>
      <protection locked="0"/>
    </xf>
    <xf numFmtId="0" fontId="3" fillId="15" borderId="25" xfId="0"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protection hidden="1"/>
    </xf>
    <xf numFmtId="0" fontId="46" fillId="15" borderId="54" xfId="0" quotePrefix="1" applyFont="1" applyFill="1" applyBorder="1" applyAlignment="1" applyProtection="1">
      <alignment horizontal="center" vertical="center"/>
      <protection hidden="1"/>
    </xf>
    <xf numFmtId="0" fontId="46" fillId="15" borderId="39" xfId="0" applyFont="1" applyFill="1" applyBorder="1" applyAlignment="1" applyProtection="1">
      <alignment horizontal="center" vertical="center" wrapText="1"/>
      <protection hidden="1"/>
    </xf>
    <xf numFmtId="0" fontId="46" fillId="15" borderId="25" xfId="0" applyFont="1" applyFill="1" applyBorder="1" applyAlignment="1" applyProtection="1">
      <alignment horizontal="center" vertical="center"/>
      <protection hidden="1"/>
    </xf>
    <xf numFmtId="0" fontId="46" fillId="15" borderId="54" xfId="0" applyFont="1" applyFill="1" applyBorder="1" applyAlignment="1" applyProtection="1">
      <alignment horizontal="center" vertical="center"/>
      <protection hidden="1"/>
    </xf>
    <xf numFmtId="0" fontId="46" fillId="15" borderId="39" xfId="0" applyFont="1" applyFill="1" applyBorder="1" applyAlignment="1" applyProtection="1">
      <alignment horizontal="center" wrapText="1"/>
      <protection hidden="1"/>
    </xf>
    <xf numFmtId="0" fontId="46" fillId="15" borderId="25" xfId="0" applyFont="1" applyFill="1" applyBorder="1" applyAlignment="1" applyProtection="1">
      <alignment horizontal="center"/>
      <protection hidden="1"/>
    </xf>
    <xf numFmtId="0" fontId="46" fillId="15" borderId="54" xfId="0" applyFont="1" applyFill="1" applyBorder="1" applyAlignment="1" applyProtection="1">
      <alignment horizontal="center"/>
      <protection hidden="1"/>
    </xf>
    <xf numFmtId="0" fontId="46" fillId="15" borderId="25" xfId="0" applyFont="1" applyFill="1" applyBorder="1" applyAlignment="1" applyProtection="1">
      <alignment horizontal="center" vertical="center" wrapText="1"/>
      <protection hidden="1"/>
    </xf>
    <xf numFmtId="0" fontId="10" fillId="16" borderId="25" xfId="0" quotePrefix="1" applyFont="1" applyFill="1" applyBorder="1" applyAlignment="1" applyProtection="1">
      <alignment horizontal="left" vertical="center" wrapText="1"/>
      <protection locked="0"/>
    </xf>
    <xf numFmtId="0" fontId="10" fillId="16" borderId="25" xfId="0" quotePrefix="1" applyFont="1" applyFill="1" applyBorder="1" applyAlignment="1" applyProtection="1">
      <alignment horizontal="left" vertical="center"/>
      <protection locked="0"/>
    </xf>
    <xf numFmtId="0" fontId="10" fillId="16" borderId="54" xfId="0" quotePrefix="1" applyFont="1" applyFill="1" applyBorder="1" applyAlignment="1" applyProtection="1">
      <alignment horizontal="left" vertical="center"/>
      <protection locked="0"/>
    </xf>
    <xf numFmtId="15" fontId="10" fillId="16" borderId="39" xfId="0" applyNumberFormat="1"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protection locked="0"/>
    </xf>
    <xf numFmtId="0" fontId="10" fillId="16" borderId="54" xfId="0" applyFont="1" applyFill="1" applyBorder="1" applyAlignment="1" applyProtection="1">
      <alignment horizontal="center" vertical="center"/>
      <protection locked="0"/>
    </xf>
    <xf numFmtId="0" fontId="10" fillId="16" borderId="39" xfId="0" applyFont="1" applyFill="1" applyBorder="1" applyAlignment="1" applyProtection="1">
      <alignment horizontal="center" wrapText="1"/>
      <protection locked="0"/>
    </xf>
    <xf numFmtId="0" fontId="10" fillId="16" borderId="25" xfId="0" applyFont="1" applyFill="1" applyBorder="1" applyAlignment="1" applyProtection="1">
      <alignment horizontal="center"/>
      <protection locked="0"/>
    </xf>
    <xf numFmtId="0" fontId="10" fillId="16" borderId="54" xfId="0" applyFont="1" applyFill="1" applyBorder="1" applyAlignment="1" applyProtection="1">
      <alignment horizontal="center"/>
      <protection locked="0"/>
    </xf>
    <xf numFmtId="9" fontId="10" fillId="16" borderId="39" xfId="0" applyNumberFormat="1" applyFont="1" applyFill="1" applyBorder="1" applyAlignment="1" applyProtection="1">
      <alignment horizontal="center" wrapText="1"/>
      <protection locked="0"/>
    </xf>
    <xf numFmtId="37" fontId="10" fillId="27" borderId="39" xfId="0" applyNumberFormat="1" applyFont="1" applyFill="1" applyBorder="1" applyAlignment="1" applyProtection="1">
      <alignment horizontal="right" vertical="center" wrapText="1"/>
      <protection hidden="1"/>
    </xf>
    <xf numFmtId="37" fontId="10" fillId="27" borderId="25" xfId="0" applyNumberFormat="1" applyFont="1" applyFill="1" applyBorder="1" applyAlignment="1" applyProtection="1">
      <alignment horizontal="right" vertical="center" wrapText="1"/>
      <protection hidden="1"/>
    </xf>
    <xf numFmtId="0" fontId="9" fillId="0" borderId="30" xfId="0" applyFont="1" applyBorder="1" applyAlignment="1" applyProtection="1">
      <alignment horizontal="center" vertical="center"/>
      <protection hidden="1"/>
    </xf>
    <xf numFmtId="0" fontId="9" fillId="0" borderId="8"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3" xfId="0" applyFont="1" applyBorder="1" applyAlignment="1" applyProtection="1">
      <alignment horizontal="center" vertical="center"/>
      <protection hidden="1"/>
    </xf>
    <xf numFmtId="0" fontId="9" fillId="0" borderId="0" xfId="0" applyFont="1" applyAlignment="1" applyProtection="1">
      <alignment horizontal="center" vertical="center"/>
      <protection hidden="1"/>
    </xf>
    <xf numFmtId="0" fontId="9" fillId="0" borderId="24" xfId="0" applyFont="1" applyBorder="1" applyAlignment="1" applyProtection="1">
      <alignment horizontal="center" vertical="center"/>
      <protection hidden="1"/>
    </xf>
    <xf numFmtId="0" fontId="9" fillId="0" borderId="9" xfId="0" applyFont="1" applyBorder="1" applyAlignment="1" applyProtection="1">
      <alignment horizontal="center" vertical="center"/>
      <protection hidden="1"/>
    </xf>
    <xf numFmtId="0" fontId="9" fillId="0" borderId="1" xfId="0" applyFont="1" applyBorder="1" applyAlignment="1" applyProtection="1">
      <alignment horizontal="center" vertical="center"/>
      <protection hidden="1"/>
    </xf>
    <xf numFmtId="0" fontId="9" fillId="0" borderId="11" xfId="0" applyFont="1" applyBorder="1" applyAlignment="1" applyProtection="1">
      <alignment horizontal="center" vertical="center"/>
      <protection hidden="1"/>
    </xf>
    <xf numFmtId="0" fontId="9" fillId="0" borderId="30" xfId="0" applyFont="1" applyBorder="1" applyAlignment="1" applyProtection="1">
      <alignment horizontal="center" vertical="center" wrapText="1"/>
      <protection hidden="1"/>
    </xf>
    <xf numFmtId="0" fontId="9" fillId="0" borderId="8" xfId="0" applyFont="1" applyBorder="1" applyAlignment="1" applyProtection="1">
      <alignment horizontal="center" vertical="center" wrapText="1"/>
      <protection hidden="1"/>
    </xf>
    <xf numFmtId="0" fontId="9" fillId="0" borderId="14" xfId="0" applyFont="1" applyBorder="1" applyAlignment="1" applyProtection="1">
      <alignment horizontal="center" vertical="center" wrapText="1"/>
      <protection hidden="1"/>
    </xf>
    <xf numFmtId="0" fontId="9" fillId="0" borderId="3" xfId="0" applyFont="1" applyBorder="1" applyAlignment="1" applyProtection="1">
      <alignment horizontal="center" vertical="center" wrapText="1"/>
      <protection hidden="1"/>
    </xf>
    <xf numFmtId="0" fontId="9" fillId="0" borderId="0" xfId="0" applyFont="1" applyAlignment="1" applyProtection="1">
      <alignment horizontal="center" vertical="center" wrapText="1"/>
      <protection hidden="1"/>
    </xf>
    <xf numFmtId="0" fontId="9" fillId="0" borderId="24" xfId="0" applyFont="1" applyBorder="1" applyAlignment="1" applyProtection="1">
      <alignment horizontal="center" vertical="center" wrapText="1"/>
      <protection hidden="1"/>
    </xf>
    <xf numFmtId="0" fontId="9" fillId="0" borderId="9" xfId="0" applyFont="1" applyBorder="1" applyAlignment="1" applyProtection="1">
      <alignment horizontal="center" vertical="center" wrapText="1"/>
      <protection hidden="1"/>
    </xf>
    <xf numFmtId="0" fontId="9" fillId="0" borderId="1" xfId="0" applyFont="1" applyBorder="1" applyAlignment="1" applyProtection="1">
      <alignment horizontal="center" vertical="center" wrapText="1"/>
      <protection hidden="1"/>
    </xf>
    <xf numFmtId="0" fontId="9" fillId="0" borderId="11" xfId="0" applyFont="1" applyBorder="1" applyAlignment="1" applyProtection="1">
      <alignment horizontal="center" vertical="center" wrapText="1"/>
      <protection hidden="1"/>
    </xf>
    <xf numFmtId="37" fontId="14" fillId="0" borderId="39" xfId="0" applyNumberFormat="1" applyFont="1" applyBorder="1" applyAlignment="1" applyProtection="1">
      <alignment wrapText="1"/>
      <protection locked="0"/>
    </xf>
    <xf numFmtId="37" fontId="3" fillId="0" borderId="25" xfId="0" applyNumberFormat="1" applyFont="1" applyBorder="1" applyAlignment="1" applyProtection="1">
      <alignment wrapText="1"/>
      <protection locked="0"/>
    </xf>
    <xf numFmtId="37" fontId="3" fillId="0" borderId="54" xfId="0" applyNumberFormat="1" applyFont="1" applyBorder="1" applyAlignment="1" applyProtection="1">
      <alignment wrapText="1"/>
      <protection locked="0"/>
    </xf>
    <xf numFmtId="0" fontId="3" fillId="0" borderId="39" xfId="0" applyFont="1" applyBorder="1" applyAlignment="1" applyProtection="1">
      <alignment wrapText="1"/>
      <protection locked="0"/>
    </xf>
    <xf numFmtId="0" fontId="3" fillId="0" borderId="25" xfId="0" applyFont="1" applyBorder="1" applyAlignment="1" applyProtection="1">
      <alignment wrapText="1"/>
      <protection locked="0"/>
    </xf>
    <xf numFmtId="0" fontId="3" fillId="0" borderId="54" xfId="0" applyFont="1" applyBorder="1" applyAlignment="1" applyProtection="1">
      <alignment wrapText="1"/>
      <protection locked="0"/>
    </xf>
    <xf numFmtId="15" fontId="14" fillId="0" borderId="39" xfId="0" applyNumberFormat="1" applyFont="1" applyBorder="1" applyAlignment="1" applyProtection="1">
      <alignment horizontal="center"/>
      <protection locked="0"/>
    </xf>
    <xf numFmtId="0" fontId="14" fillId="0" borderId="25" xfId="0" applyFont="1" applyBorder="1" applyAlignment="1" applyProtection="1">
      <alignment horizontal="center"/>
      <protection locked="0"/>
    </xf>
    <xf numFmtId="0" fontId="14" fillId="0" borderId="54" xfId="0" applyFont="1" applyBorder="1" applyAlignment="1" applyProtection="1">
      <alignment horizontal="center"/>
      <protection locked="0"/>
    </xf>
    <xf numFmtId="37" fontId="14" fillId="0" borderId="39" xfId="0" applyNumberFormat="1" applyFont="1" applyBorder="1" applyAlignment="1" applyProtection="1">
      <alignment horizontal="right"/>
      <protection locked="0"/>
    </xf>
    <xf numFmtId="37" fontId="14" fillId="0" borderId="25" xfId="0" applyNumberFormat="1" applyFont="1" applyBorder="1" applyAlignment="1" applyProtection="1">
      <alignment horizontal="right"/>
      <protection locked="0"/>
    </xf>
    <xf numFmtId="37" fontId="14" fillId="0" borderId="54" xfId="0" applyNumberFormat="1" applyFont="1" applyBorder="1" applyAlignment="1" applyProtection="1">
      <alignment horizontal="right"/>
      <protection locked="0"/>
    </xf>
    <xf numFmtId="171" fontId="14" fillId="0" borderId="39" xfId="0" applyNumberFormat="1" applyFont="1" applyBorder="1" applyAlignment="1" applyProtection="1">
      <alignment horizontal="center"/>
      <protection locked="0"/>
    </xf>
    <xf numFmtId="171" fontId="14" fillId="0" borderId="25" xfId="0" applyNumberFormat="1" applyFont="1" applyBorder="1" applyAlignment="1" applyProtection="1">
      <alignment horizontal="center"/>
      <protection locked="0"/>
    </xf>
    <xf numFmtId="171" fontId="14" fillId="0" borderId="54" xfId="0" applyNumberFormat="1" applyFont="1" applyBorder="1" applyAlignment="1" applyProtection="1">
      <alignment horizontal="center"/>
      <protection locked="0"/>
    </xf>
    <xf numFmtId="37" fontId="14" fillId="0" borderId="39" xfId="0" applyNumberFormat="1" applyFont="1" applyBorder="1" applyAlignment="1" applyProtection="1">
      <alignment horizontal="center"/>
      <protection locked="0"/>
    </xf>
    <xf numFmtId="37" fontId="14" fillId="0" borderId="25" xfId="0" applyNumberFormat="1" applyFont="1" applyBorder="1" applyAlignment="1" applyProtection="1">
      <alignment horizontal="center"/>
      <protection locked="0"/>
    </xf>
    <xf numFmtId="37" fontId="14" fillId="0" borderId="54" xfId="0" applyNumberFormat="1" applyFont="1" applyBorder="1" applyAlignment="1" applyProtection="1">
      <alignment horizontal="center"/>
      <protection locked="0"/>
    </xf>
    <xf numFmtId="0" fontId="14" fillId="0" borderId="39" xfId="0" applyFont="1" applyBorder="1" applyAlignment="1" applyProtection="1">
      <alignment horizontal="center"/>
      <protection locked="0"/>
    </xf>
    <xf numFmtId="0" fontId="122" fillId="24" borderId="7" xfId="0" applyFont="1" applyFill="1" applyBorder="1" applyAlignment="1">
      <alignment horizontal="center" vertical="center" wrapText="1"/>
    </xf>
    <xf numFmtId="0" fontId="66" fillId="11" borderId="61" xfId="2" applyFill="1" applyBorder="1" applyAlignment="1" applyProtection="1">
      <alignment horizontal="center"/>
      <protection hidden="1"/>
    </xf>
    <xf numFmtId="0" fontId="66" fillId="11" borderId="62" xfId="2" applyFill="1" applyBorder="1" applyAlignment="1" applyProtection="1">
      <alignment horizontal="center"/>
      <protection hidden="1"/>
    </xf>
    <xf numFmtId="0" fontId="66" fillId="11" borderId="63" xfId="2" applyFill="1" applyBorder="1" applyAlignment="1" applyProtection="1">
      <alignment horizontal="center"/>
      <protection hidden="1"/>
    </xf>
    <xf numFmtId="4" fontId="9" fillId="3" borderId="21" xfId="0" applyNumberFormat="1" applyFont="1" applyFill="1" applyBorder="1" applyAlignment="1" applyProtection="1">
      <alignment horizontal="left" vertical="center" indent="2"/>
      <protection hidden="1"/>
    </xf>
    <xf numFmtId="0" fontId="0" fillId="0" borderId="4" xfId="0" applyBorder="1" applyAlignment="1" applyProtection="1">
      <alignment horizontal="left" vertical="center" indent="2"/>
      <protection hidden="1"/>
    </xf>
    <xf numFmtId="4" fontId="15" fillId="3" borderId="26" xfId="0" applyNumberFormat="1" applyFont="1" applyFill="1" applyBorder="1" applyAlignment="1" applyProtection="1">
      <alignment horizontal="center"/>
      <protection hidden="1"/>
    </xf>
    <xf numFmtId="0" fontId="91" fillId="0" borderId="8" xfId="0" applyFont="1" applyBorder="1" applyAlignment="1" applyProtection="1">
      <alignment horizontal="center"/>
      <protection hidden="1"/>
    </xf>
    <xf numFmtId="0" fontId="91" fillId="0" borderId="5" xfId="0" applyFont="1" applyBorder="1" applyAlignment="1" applyProtection="1">
      <alignment horizontal="center"/>
      <protection hidden="1"/>
    </xf>
    <xf numFmtId="0" fontId="91" fillId="0" borderId="0" xfId="0" applyFont="1" applyAlignment="1" applyProtection="1">
      <alignment horizontal="center"/>
      <protection hidden="1"/>
    </xf>
    <xf numFmtId="0" fontId="10" fillId="3" borderId="25" xfId="0" applyFont="1" applyFill="1" applyBorder="1" applyProtection="1">
      <protection hidden="1"/>
    </xf>
    <xf numFmtId="0" fontId="13" fillId="0" borderId="25" xfId="0" applyFont="1" applyBorder="1" applyProtection="1">
      <protection hidden="1"/>
    </xf>
    <xf numFmtId="0" fontId="9" fillId="3" borderId="5" xfId="0" applyFont="1" applyFill="1" applyBorder="1" applyAlignment="1" applyProtection="1">
      <alignment horizontal="left" indent="2"/>
      <protection hidden="1"/>
    </xf>
    <xf numFmtId="0" fontId="0" fillId="0" borderId="0" xfId="0" applyAlignment="1">
      <alignment horizontal="left" indent="2"/>
    </xf>
    <xf numFmtId="0" fontId="8" fillId="3" borderId="21" xfId="0" applyFont="1" applyFill="1" applyBorder="1" applyAlignment="1" applyProtection="1">
      <alignment horizontal="center" vertical="top"/>
      <protection hidden="1"/>
    </xf>
    <xf numFmtId="0" fontId="8" fillId="3" borderId="4" xfId="0" applyFont="1" applyFill="1" applyBorder="1" applyAlignment="1" applyProtection="1">
      <alignment horizontal="center" vertical="top"/>
      <protection hidden="1"/>
    </xf>
    <xf numFmtId="0" fontId="8" fillId="3" borderId="22" xfId="0" applyFont="1" applyFill="1" applyBorder="1" applyAlignment="1" applyProtection="1">
      <alignment horizontal="center" vertical="top"/>
      <protection hidden="1"/>
    </xf>
    <xf numFmtId="0" fontId="7" fillId="0" borderId="0" xfId="0" applyFont="1" applyAlignment="1" applyProtection="1">
      <alignment horizontal="center" vertical="center"/>
      <protection hidden="1"/>
    </xf>
    <xf numFmtId="0" fontId="7" fillId="0" borderId="20" xfId="0" applyFont="1" applyBorder="1" applyAlignment="1" applyProtection="1">
      <alignment horizontal="center" vertical="center"/>
      <protection hidden="1"/>
    </xf>
    <xf numFmtId="0" fontId="43" fillId="3" borderId="0" xfId="0" applyFont="1" applyFill="1" applyAlignment="1" applyProtection="1">
      <alignment horizontal="center"/>
      <protection hidden="1"/>
    </xf>
    <xf numFmtId="0" fontId="121" fillId="0" borderId="0" xfId="0" applyFont="1" applyAlignment="1" applyProtection="1">
      <alignment horizontal="center"/>
      <protection hidden="1"/>
    </xf>
    <xf numFmtId="0" fontId="121" fillId="0" borderId="20" xfId="0" applyFont="1" applyBorder="1" applyAlignment="1" applyProtection="1">
      <alignment horizontal="center"/>
      <protection hidden="1"/>
    </xf>
    <xf numFmtId="0" fontId="8" fillId="3" borderId="5" xfId="0" applyFont="1" applyFill="1" applyBorder="1" applyAlignment="1" applyProtection="1">
      <alignment horizontal="center" vertical="top"/>
      <protection hidden="1"/>
    </xf>
    <xf numFmtId="0" fontId="8" fillId="3" borderId="0" xfId="0" applyFont="1" applyFill="1" applyAlignment="1" applyProtection="1">
      <alignment horizontal="center" vertical="top"/>
      <protection hidden="1"/>
    </xf>
    <xf numFmtId="0" fontId="8" fillId="3" borderId="20" xfId="0" applyFont="1" applyFill="1" applyBorder="1" applyAlignment="1" applyProtection="1">
      <alignment horizontal="center" vertical="top"/>
      <protection hidden="1"/>
    </xf>
    <xf numFmtId="0" fontId="13" fillId="25" borderId="1" xfId="0" applyFont="1" applyFill="1" applyBorder="1" applyProtection="1">
      <protection hidden="1"/>
    </xf>
    <xf numFmtId="0" fontId="10" fillId="3" borderId="25" xfId="0" applyFont="1" applyFill="1" applyBorder="1" applyAlignment="1" applyProtection="1">
      <alignment vertical="center"/>
      <protection hidden="1"/>
    </xf>
    <xf numFmtId="0" fontId="13" fillId="0" borderId="25"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0" fontId="0" fillId="0" borderId="7" xfId="0" applyBorder="1" applyAlignment="1">
      <alignment horizontal="center"/>
    </xf>
    <xf numFmtId="0" fontId="7" fillId="3" borderId="0" xfId="0" applyFont="1" applyFill="1" applyAlignment="1" applyProtection="1">
      <alignment horizontal="center"/>
      <protection hidden="1"/>
    </xf>
    <xf numFmtId="0" fontId="119" fillId="24" borderId="21" xfId="0" applyFont="1" applyFill="1" applyBorder="1" applyAlignment="1" applyProtection="1">
      <alignment horizontal="center"/>
      <protection hidden="1"/>
    </xf>
    <xf numFmtId="0" fontId="119" fillId="24" borderId="4" xfId="0" applyFont="1" applyFill="1" applyBorder="1" applyAlignment="1" applyProtection="1">
      <alignment horizontal="center"/>
      <protection hidden="1"/>
    </xf>
    <xf numFmtId="0" fontId="119" fillId="24" borderId="22" xfId="0" applyFont="1" applyFill="1" applyBorder="1" applyAlignment="1" applyProtection="1">
      <alignment horizontal="center"/>
      <protection hidden="1"/>
    </xf>
    <xf numFmtId="0" fontId="5" fillId="24" borderId="0" xfId="0" applyFont="1" applyFill="1" applyAlignment="1" applyProtection="1">
      <alignment vertical="center"/>
      <protection hidden="1"/>
    </xf>
    <xf numFmtId="0" fontId="5" fillId="24" borderId="0" xfId="0" applyFont="1" applyFill="1"/>
    <xf numFmtId="0" fontId="104" fillId="3" borderId="0" xfId="0" applyFont="1" applyFill="1" applyAlignment="1" applyProtection="1">
      <alignment horizontal="left"/>
      <protection hidden="1"/>
    </xf>
    <xf numFmtId="0" fontId="134" fillId="0" borderId="20" xfId="0" applyFont="1" applyBorder="1" applyAlignment="1">
      <alignment horizontal="left"/>
    </xf>
    <xf numFmtId="0" fontId="134" fillId="0" borderId="0" xfId="0" applyFont="1"/>
    <xf numFmtId="0" fontId="134" fillId="0" borderId="20" xfId="0" applyFont="1" applyBorder="1"/>
    <xf numFmtId="0" fontId="10" fillId="28" borderId="1" xfId="0" quotePrefix="1" applyFont="1" applyFill="1" applyBorder="1" applyProtection="1">
      <protection hidden="1"/>
    </xf>
    <xf numFmtId="0" fontId="0" fillId="25" borderId="1" xfId="0" applyFill="1" applyBorder="1" applyProtection="1">
      <protection hidden="1"/>
    </xf>
    <xf numFmtId="0" fontId="0" fillId="25" borderId="11" xfId="0" applyFill="1" applyBorder="1" applyProtection="1">
      <protection hidden="1"/>
    </xf>
    <xf numFmtId="0" fontId="5" fillId="24" borderId="5" xfId="0" applyFont="1" applyFill="1" applyBorder="1" applyAlignment="1" applyProtection="1">
      <alignment horizontal="left"/>
      <protection hidden="1"/>
    </xf>
    <xf numFmtId="0" fontId="5" fillId="24" borderId="0" xfId="0" applyFont="1" applyFill="1" applyAlignment="1" applyProtection="1">
      <alignment horizontal="left"/>
      <protection hidden="1"/>
    </xf>
    <xf numFmtId="0" fontId="5" fillId="24" borderId="20" xfId="0" applyFont="1" applyFill="1" applyBorder="1" applyAlignment="1" applyProtection="1">
      <alignment horizontal="left"/>
      <protection hidden="1"/>
    </xf>
    <xf numFmtId="0" fontId="5" fillId="24" borderId="5" xfId="0" applyFont="1" applyFill="1" applyBorder="1" applyAlignment="1" applyProtection="1">
      <alignment horizontal="left" vertical="top"/>
      <protection hidden="1"/>
    </xf>
    <xf numFmtId="0" fontId="5" fillId="24" borderId="0" xfId="0" applyFont="1" applyFill="1" applyAlignment="1" applyProtection="1">
      <alignment horizontal="left" vertical="top"/>
      <protection hidden="1"/>
    </xf>
    <xf numFmtId="0" fontId="5" fillId="24" borderId="20" xfId="0" applyFont="1" applyFill="1" applyBorder="1" applyAlignment="1" applyProtection="1">
      <alignment horizontal="left" vertical="top"/>
      <protection hidden="1"/>
    </xf>
    <xf numFmtId="0" fontId="0" fillId="0" borderId="0" xfId="0" applyAlignment="1" applyProtection="1">
      <alignment horizontal="left" vertical="top" wrapText="1"/>
      <protection hidden="1"/>
    </xf>
    <xf numFmtId="0" fontId="0" fillId="0" borderId="20"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3" fillId="24" borderId="23" xfId="0" applyFont="1" applyFill="1" applyBorder="1" applyAlignment="1" applyProtection="1">
      <alignment horizontal="left" vertical="center" wrapText="1"/>
      <protection hidden="1"/>
    </xf>
    <xf numFmtId="0" fontId="0" fillId="0" borderId="7" xfId="0" applyBorder="1" applyAlignment="1">
      <alignment horizontal="left" vertical="center" wrapText="1"/>
    </xf>
    <xf numFmtId="0" fontId="0" fillId="0" borderId="5" xfId="0" applyBorder="1" applyAlignment="1">
      <alignment horizontal="left" vertical="center" wrapText="1"/>
    </xf>
    <xf numFmtId="0" fontId="0" fillId="0" borderId="21" xfId="0" applyBorder="1" applyAlignment="1">
      <alignment horizontal="left" vertical="center" wrapText="1"/>
    </xf>
    <xf numFmtId="0" fontId="109" fillId="24" borderId="0" xfId="0" applyFont="1" applyFill="1" applyAlignment="1">
      <alignment horizontal="center" vertical="center" wrapText="1"/>
    </xf>
    <xf numFmtId="0" fontId="109" fillId="0" borderId="0" xfId="0" applyFont="1" applyAlignment="1">
      <alignment horizontal="center" wrapText="1"/>
    </xf>
    <xf numFmtId="0" fontId="109" fillId="0" borderId="4" xfId="0" applyFont="1" applyBorder="1" applyAlignment="1">
      <alignment horizontal="center" wrapText="1"/>
    </xf>
    <xf numFmtId="4" fontId="206" fillId="0" borderId="0" xfId="0" applyNumberFormat="1" applyFont="1" applyAlignment="1" applyProtection="1">
      <alignment horizontal="left"/>
      <protection hidden="1"/>
    </xf>
    <xf numFmtId="4" fontId="206" fillId="0" borderId="20" xfId="0" applyNumberFormat="1" applyFont="1" applyBorder="1" applyAlignment="1" applyProtection="1">
      <alignment horizontal="left"/>
      <protection hidden="1"/>
    </xf>
    <xf numFmtId="0" fontId="5" fillId="15" borderId="26" xfId="4" applyFill="1" applyBorder="1" applyAlignment="1" applyProtection="1">
      <alignment horizontal="center" vertical="center" wrapText="1"/>
      <protection hidden="1"/>
    </xf>
    <xf numFmtId="0" fontId="5" fillId="0" borderId="1" xfId="4" applyBorder="1" applyAlignment="1" applyProtection="1">
      <alignment horizontal="center" vertical="center" wrapText="1"/>
      <protection hidden="1"/>
    </xf>
    <xf numFmtId="0" fontId="5" fillId="15" borderId="5" xfId="4" applyFill="1" applyBorder="1" applyAlignment="1" applyProtection="1">
      <alignment horizontal="center"/>
      <protection hidden="1"/>
    </xf>
    <xf numFmtId="0" fontId="5" fillId="0" borderId="0" xfId="4" applyAlignment="1">
      <alignment horizontal="center"/>
    </xf>
    <xf numFmtId="0" fontId="5" fillId="0" borderId="20" xfId="4" applyBorder="1" applyAlignment="1">
      <alignment horizontal="center"/>
    </xf>
    <xf numFmtId="0" fontId="5" fillId="15" borderId="80" xfId="4" applyFill="1" applyBorder="1" applyAlignment="1" applyProtection="1">
      <alignment horizontal="left" vertical="center" wrapText="1" indent="2"/>
      <protection hidden="1"/>
    </xf>
    <xf numFmtId="0" fontId="5" fillId="0" borderId="8" xfId="4" applyBorder="1" applyAlignment="1" applyProtection="1">
      <alignment horizontal="left" vertical="center" wrapText="1" indent="2"/>
      <protection hidden="1"/>
    </xf>
    <xf numFmtId="0" fontId="5" fillId="0" borderId="5" xfId="4" applyBorder="1" applyAlignment="1" applyProtection="1">
      <alignment horizontal="left" vertical="center" wrapText="1" indent="2"/>
      <protection hidden="1"/>
    </xf>
    <xf numFmtId="0" fontId="5" fillId="0" borderId="0" xfId="4" applyAlignment="1" applyProtection="1">
      <alignment horizontal="left" vertical="center" wrapText="1" indent="2"/>
      <protection hidden="1"/>
    </xf>
    <xf numFmtId="0" fontId="5" fillId="0" borderId="21" xfId="4" applyBorder="1" applyAlignment="1" applyProtection="1">
      <alignment horizontal="left" vertical="center" wrapText="1" indent="2"/>
      <protection hidden="1"/>
    </xf>
    <xf numFmtId="0" fontId="5" fillId="0" borderId="4" xfId="4" applyBorder="1" applyAlignment="1" applyProtection="1">
      <alignment horizontal="left" vertical="center" wrapText="1" indent="2"/>
      <protection hidden="1"/>
    </xf>
    <xf numFmtId="0" fontId="19" fillId="0" borderId="8" xfId="4" applyFont="1" applyBorder="1" applyAlignment="1" applyProtection="1">
      <alignment horizontal="left" vertical="center" wrapText="1"/>
      <protection hidden="1"/>
    </xf>
    <xf numFmtId="0" fontId="19" fillId="0" borderId="0" xfId="4" applyFont="1" applyAlignment="1" applyProtection="1">
      <alignment horizontal="left" vertical="center" wrapText="1"/>
      <protection hidden="1"/>
    </xf>
    <xf numFmtId="0" fontId="19" fillId="0" borderId="4" xfId="4" applyFont="1" applyBorder="1" applyAlignment="1" applyProtection="1">
      <alignment horizontal="left" vertical="center" wrapText="1"/>
      <protection hidden="1"/>
    </xf>
    <xf numFmtId="0" fontId="9" fillId="15" borderId="0" xfId="4" applyFont="1" applyFill="1" applyAlignment="1" applyProtection="1">
      <alignment horizontal="left" vertical="center" wrapText="1"/>
      <protection hidden="1"/>
    </xf>
    <xf numFmtId="0" fontId="5" fillId="0" borderId="0" xfId="4" applyAlignment="1">
      <alignment horizontal="left" vertical="center" wrapText="1"/>
    </xf>
    <xf numFmtId="0" fontId="5" fillId="0" borderId="20" xfId="4" applyBorder="1" applyAlignment="1">
      <alignment horizontal="left" vertical="center" wrapText="1"/>
    </xf>
    <xf numFmtId="0" fontId="5" fillId="0" borderId="4" xfId="4" applyBorder="1" applyAlignment="1">
      <alignment horizontal="left" vertical="center" wrapText="1"/>
    </xf>
    <xf numFmtId="0" fontId="5" fillId="0" borderId="22" xfId="4" applyBorder="1" applyAlignment="1">
      <alignment horizontal="left" vertical="center" wrapText="1"/>
    </xf>
    <xf numFmtId="0" fontId="43" fillId="27" borderId="0" xfId="4" applyFont="1" applyFill="1" applyProtection="1">
      <protection hidden="1"/>
    </xf>
    <xf numFmtId="49" fontId="19" fillId="16" borderId="5" xfId="4" applyNumberFormat="1" applyFont="1" applyFill="1" applyBorder="1" applyAlignment="1" applyProtection="1">
      <alignment horizontal="center" vertical="center"/>
      <protection locked="0"/>
    </xf>
    <xf numFmtId="49" fontId="19" fillId="16" borderId="0" xfId="4" applyNumberFormat="1" applyFont="1" applyFill="1" applyAlignment="1" applyProtection="1">
      <alignment horizontal="center" vertical="center"/>
      <protection locked="0"/>
    </xf>
    <xf numFmtId="49" fontId="19" fillId="16" borderId="26" xfId="4" applyNumberFormat="1" applyFont="1" applyFill="1" applyBorder="1" applyAlignment="1" applyProtection="1">
      <alignment horizontal="center" vertical="center"/>
      <protection locked="0"/>
    </xf>
    <xf numFmtId="49" fontId="19" fillId="16" borderId="1" xfId="4" applyNumberFormat="1" applyFont="1" applyFill="1" applyBorder="1" applyAlignment="1" applyProtection="1">
      <alignment horizontal="center" vertical="center"/>
      <protection locked="0"/>
    </xf>
    <xf numFmtId="1" fontId="10" fillId="15" borderId="8" xfId="4" applyNumberFormat="1" applyFont="1" applyFill="1" applyBorder="1" applyAlignment="1" applyProtection="1">
      <alignment horizontal="center" vertical="center" wrapText="1"/>
      <protection hidden="1"/>
    </xf>
    <xf numFmtId="0" fontId="5" fillId="0" borderId="8" xfId="4" applyBorder="1" applyAlignment="1">
      <alignment horizontal="center" vertical="center" wrapText="1"/>
    </xf>
    <xf numFmtId="0" fontId="5" fillId="0" borderId="0" xfId="4" applyAlignment="1">
      <alignment horizontal="center" vertical="center" wrapText="1"/>
    </xf>
    <xf numFmtId="0" fontId="5" fillId="0" borderId="1" xfId="4" applyBorder="1" applyAlignment="1">
      <alignment horizontal="center" vertical="center" wrapText="1"/>
    </xf>
    <xf numFmtId="0" fontId="11" fillId="16" borderId="30" xfId="4" applyFont="1" applyFill="1" applyBorder="1" applyAlignment="1" applyProtection="1">
      <alignment horizontal="center" vertical="center" wrapText="1"/>
      <protection locked="0"/>
    </xf>
    <xf numFmtId="0" fontId="9" fillId="16" borderId="8" xfId="4" applyFont="1" applyFill="1" applyBorder="1" applyAlignment="1" applyProtection="1">
      <alignment wrapText="1"/>
      <protection locked="0"/>
    </xf>
    <xf numFmtId="0" fontId="9" fillId="16" borderId="14" xfId="4" applyFont="1" applyFill="1" applyBorder="1" applyAlignment="1" applyProtection="1">
      <alignment wrapText="1"/>
      <protection locked="0"/>
    </xf>
    <xf numFmtId="0" fontId="9" fillId="16" borderId="3" xfId="4" applyFont="1" applyFill="1" applyBorder="1" applyAlignment="1" applyProtection="1">
      <alignment wrapText="1"/>
      <protection locked="0"/>
    </xf>
    <xf numFmtId="0" fontId="9" fillId="16" borderId="0" xfId="4" applyFont="1" applyFill="1" applyAlignment="1" applyProtection="1">
      <alignment wrapText="1"/>
      <protection locked="0"/>
    </xf>
    <xf numFmtId="0" fontId="9" fillId="16" borderId="24" xfId="4" applyFont="1" applyFill="1" applyBorder="1" applyAlignment="1" applyProtection="1">
      <alignment wrapText="1"/>
      <protection locked="0"/>
    </xf>
    <xf numFmtId="0" fontId="9" fillId="16" borderId="9" xfId="4" applyFont="1" applyFill="1" applyBorder="1" applyAlignment="1" applyProtection="1">
      <alignment wrapText="1"/>
      <protection locked="0"/>
    </xf>
    <xf numFmtId="0" fontId="9" fillId="16" borderId="1" xfId="4" applyFont="1" applyFill="1" applyBorder="1" applyAlignment="1" applyProtection="1">
      <alignment wrapText="1"/>
      <protection locked="0"/>
    </xf>
    <xf numFmtId="0" fontId="9" fillId="16" borderId="11" xfId="4" applyFont="1" applyFill="1" applyBorder="1" applyAlignment="1" applyProtection="1">
      <alignment wrapText="1"/>
      <protection locked="0"/>
    </xf>
    <xf numFmtId="0" fontId="11" fillId="16" borderId="8" xfId="4" applyFont="1" applyFill="1" applyBorder="1" applyAlignment="1" applyProtection="1">
      <alignment horizontal="center" vertical="center" wrapText="1"/>
      <protection locked="0"/>
    </xf>
    <xf numFmtId="0" fontId="11" fillId="16" borderId="3" xfId="4" applyFont="1" applyFill="1" applyBorder="1" applyAlignment="1" applyProtection="1">
      <alignment horizontal="center" vertical="center" wrapText="1"/>
      <protection locked="0"/>
    </xf>
    <xf numFmtId="0" fontId="11" fillId="16" borderId="0" xfId="4" applyFont="1" applyFill="1" applyAlignment="1" applyProtection="1">
      <alignment horizontal="center" vertical="center" wrapText="1"/>
      <protection locked="0"/>
    </xf>
    <xf numFmtId="0" fontId="11" fillId="16" borderId="9" xfId="4" applyFont="1" applyFill="1" applyBorder="1" applyAlignment="1" applyProtection="1">
      <alignment horizontal="center" vertical="center" wrapText="1"/>
      <protection locked="0"/>
    </xf>
    <xf numFmtId="0" fontId="11" fillId="16" borderId="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protection hidden="1"/>
    </xf>
    <xf numFmtId="0" fontId="110" fillId="31" borderId="25" xfId="4" applyFont="1" applyFill="1" applyBorder="1" applyAlignment="1" applyProtection="1">
      <alignment horizontal="center"/>
      <protection hidden="1"/>
    </xf>
    <xf numFmtId="0" fontId="10" fillId="15" borderId="8" xfId="4" applyFont="1" applyFill="1" applyBorder="1" applyAlignment="1" applyProtection="1">
      <alignment horizontal="center" vertical="center" wrapText="1"/>
      <protection hidden="1"/>
    </xf>
    <xf numFmtId="0" fontId="10" fillId="15" borderId="0" xfId="4" applyFont="1" applyFill="1" applyAlignment="1" applyProtection="1">
      <alignment horizontal="center" vertical="center" wrapText="1"/>
      <protection hidden="1"/>
    </xf>
    <xf numFmtId="0" fontId="10" fillId="15" borderId="1" xfId="4" applyFont="1" applyFill="1" applyBorder="1" applyAlignment="1" applyProtection="1">
      <alignment horizontal="center" vertical="center" wrapText="1"/>
      <protection hidden="1"/>
    </xf>
    <xf numFmtId="0" fontId="7" fillId="15" borderId="8" xfId="4" applyFont="1" applyFill="1" applyBorder="1" applyAlignment="1" applyProtection="1">
      <alignment horizontal="center" vertical="center" wrapText="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1" xfId="4" applyFill="1" applyBorder="1" applyAlignment="1" applyProtection="1">
      <alignment horizontal="center" vertical="center" wrapText="1"/>
      <protection hidden="1"/>
    </xf>
    <xf numFmtId="0" fontId="5" fillId="15" borderId="11" xfId="4" applyFill="1" applyBorder="1" applyAlignment="1" applyProtection="1">
      <alignment horizontal="center" vertical="center" wrapText="1"/>
      <protection hidden="1"/>
    </xf>
    <xf numFmtId="0" fontId="7" fillId="15" borderId="30" xfId="4" applyFont="1"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9" xfId="4" applyFill="1" applyBorder="1" applyAlignment="1" applyProtection="1">
      <alignment horizontal="center" vertical="center" wrapText="1"/>
      <protection hidden="1"/>
    </xf>
    <xf numFmtId="0" fontId="9" fillId="15" borderId="30" xfId="4" applyFont="1" applyFill="1" applyBorder="1" applyAlignment="1" applyProtection="1">
      <alignment horizontal="center" vertical="center" wrapText="1"/>
      <protection hidden="1"/>
    </xf>
    <xf numFmtId="0" fontId="9" fillId="15" borderId="8" xfId="4" applyFont="1" applyFill="1" applyBorder="1" applyAlignment="1" applyProtection="1">
      <alignment horizontal="center" vertical="center" wrapText="1"/>
      <protection hidden="1"/>
    </xf>
    <xf numFmtId="0" fontId="9" fillId="15" borderId="14" xfId="4" applyFont="1" applyFill="1" applyBorder="1" applyAlignment="1" applyProtection="1">
      <alignment horizontal="center" vertical="center" wrapText="1"/>
      <protection hidden="1"/>
    </xf>
    <xf numFmtId="0" fontId="9" fillId="15" borderId="9" xfId="4" applyFont="1" applyFill="1" applyBorder="1" applyAlignment="1" applyProtection="1">
      <alignment horizontal="center" vertical="center" wrapText="1"/>
      <protection hidden="1"/>
    </xf>
    <xf numFmtId="0" fontId="9" fillId="15" borderId="1" xfId="4" applyFont="1" applyFill="1" applyBorder="1" applyAlignment="1" applyProtection="1">
      <alignment horizontal="center" vertical="center" wrapText="1"/>
      <protection hidden="1"/>
    </xf>
    <xf numFmtId="0" fontId="9" fillId="15" borderId="11" xfId="4" applyFont="1" applyFill="1" applyBorder="1" applyAlignment="1" applyProtection="1">
      <alignment horizontal="center" vertical="center" wrapText="1"/>
      <protection hidden="1"/>
    </xf>
    <xf numFmtId="0" fontId="5" fillId="15" borderId="14" xfId="4" applyFill="1" applyBorder="1" applyAlignment="1" applyProtection="1">
      <alignment wrapText="1"/>
      <protection hidden="1"/>
    </xf>
    <xf numFmtId="0" fontId="5" fillId="15" borderId="11" xfId="4" applyFill="1" applyBorder="1" applyAlignment="1" applyProtection="1">
      <alignment wrapText="1"/>
      <protection hidden="1"/>
    </xf>
    <xf numFmtId="0" fontId="9" fillId="15" borderId="8" xfId="4" applyFont="1" applyFill="1" applyBorder="1" applyAlignment="1">
      <alignment horizontal="center" vertical="center" wrapText="1"/>
    </xf>
    <xf numFmtId="0" fontId="9" fillId="15" borderId="14" xfId="4" applyFont="1" applyFill="1" applyBorder="1" applyAlignment="1">
      <alignment horizontal="center" vertical="center" wrapText="1"/>
    </xf>
    <xf numFmtId="0" fontId="9" fillId="15" borderId="9" xfId="4" applyFont="1" applyFill="1" applyBorder="1" applyAlignment="1">
      <alignment horizontal="center" vertical="center" wrapText="1"/>
    </xf>
    <xf numFmtId="0" fontId="9" fillId="15" borderId="1" xfId="4" applyFont="1" applyFill="1" applyBorder="1" applyAlignment="1">
      <alignment horizontal="center" vertical="center" wrapText="1"/>
    </xf>
    <xf numFmtId="0" fontId="9" fillId="15" borderId="11" xfId="4" applyFont="1" applyFill="1" applyBorder="1" applyAlignment="1">
      <alignment horizontal="center" vertical="center" wrapText="1"/>
    </xf>
    <xf numFmtId="0" fontId="5" fillId="15" borderId="8" xfId="4" applyFill="1" applyBorder="1" applyAlignment="1">
      <alignment horizontal="center" vertical="center" wrapText="1"/>
    </xf>
    <xf numFmtId="0" fontId="5" fillId="15" borderId="14" xfId="4" applyFill="1" applyBorder="1" applyAlignment="1">
      <alignment horizontal="center" vertical="center" wrapText="1"/>
    </xf>
    <xf numFmtId="0" fontId="5" fillId="15" borderId="9" xfId="4" applyFill="1" applyBorder="1" applyAlignment="1">
      <alignment horizontal="center" vertical="center" wrapText="1"/>
    </xf>
    <xf numFmtId="0" fontId="5" fillId="15" borderId="1" xfId="4" applyFill="1" applyBorder="1" applyAlignment="1">
      <alignment horizontal="center" vertical="center" wrapText="1"/>
    </xf>
    <xf numFmtId="0" fontId="5" fillId="15" borderId="11" xfId="4" applyFill="1" applyBorder="1" applyAlignment="1">
      <alignment horizontal="center" vertical="center" wrapText="1"/>
    </xf>
    <xf numFmtId="0" fontId="3" fillId="16" borderId="39" xfId="4" applyFont="1" applyFill="1" applyBorder="1" applyAlignment="1" applyProtection="1">
      <alignment horizontal="center" vertical="center" wrapText="1"/>
      <protection locked="0"/>
    </xf>
    <xf numFmtId="0" fontId="3" fillId="16" borderId="25" xfId="4" applyFont="1" applyFill="1" applyBorder="1" applyAlignment="1" applyProtection="1">
      <alignment horizontal="center" vertical="center" wrapText="1"/>
      <protection locked="0"/>
    </xf>
    <xf numFmtId="1" fontId="10" fillId="15" borderId="25" xfId="4" applyNumberFormat="1" applyFont="1" applyFill="1" applyBorder="1" applyAlignment="1" applyProtection="1">
      <alignment horizontal="center" vertical="center" wrapText="1"/>
      <protection hidden="1"/>
    </xf>
    <xf numFmtId="1" fontId="10" fillId="15" borderId="54" xfId="4" applyNumberFormat="1" applyFont="1" applyFill="1" applyBorder="1" applyAlignment="1" applyProtection="1">
      <alignment horizontal="center" vertical="center" wrapText="1"/>
      <protection hidden="1"/>
    </xf>
    <xf numFmtId="14" fontId="3" fillId="16" borderId="39" xfId="4" applyNumberFormat="1" applyFont="1" applyFill="1" applyBorder="1" applyAlignment="1" applyProtection="1">
      <alignment horizontal="center" vertical="center" wrapText="1"/>
      <protection locked="0"/>
    </xf>
    <xf numFmtId="14" fontId="3" fillId="16" borderId="25" xfId="4" applyNumberFormat="1" applyFont="1" applyFill="1" applyBorder="1" applyAlignment="1" applyProtection="1">
      <alignment horizontal="center" vertical="center" wrapText="1"/>
      <protection locked="0"/>
    </xf>
    <xf numFmtId="14" fontId="3" fillId="16" borderId="54" xfId="4" applyNumberFormat="1" applyFont="1" applyFill="1" applyBorder="1" applyAlignment="1" applyProtection="1">
      <alignment horizontal="center" vertical="center" wrapText="1"/>
      <protection locked="0"/>
    </xf>
    <xf numFmtId="190" fontId="3" fillId="16" borderId="39" xfId="4" applyNumberFormat="1" applyFont="1" applyFill="1" applyBorder="1" applyAlignment="1" applyProtection="1">
      <alignment horizontal="center" vertical="center" wrapText="1"/>
      <protection locked="0"/>
    </xf>
    <xf numFmtId="190" fontId="3" fillId="16" borderId="25" xfId="4" applyNumberFormat="1" applyFont="1" applyFill="1" applyBorder="1" applyAlignment="1" applyProtection="1">
      <alignment horizontal="center" vertical="center" wrapText="1"/>
      <protection locked="0"/>
    </xf>
    <xf numFmtId="190" fontId="3" fillId="16" borderId="54" xfId="4" applyNumberFormat="1" applyFont="1" applyFill="1" applyBorder="1" applyAlignment="1" applyProtection="1">
      <alignment horizontal="center" vertical="center" wrapText="1"/>
      <protection locked="0"/>
    </xf>
    <xf numFmtId="0" fontId="3" fillId="16" borderId="54" xfId="4" applyFont="1" applyFill="1" applyBorder="1" applyAlignment="1" applyProtection="1">
      <alignment horizontal="center" vertical="center" wrapText="1"/>
      <protection locked="0"/>
    </xf>
    <xf numFmtId="168" fontId="3" fillId="16" borderId="39" xfId="4" applyNumberFormat="1" applyFont="1" applyFill="1" applyBorder="1" applyAlignment="1" applyProtection="1">
      <alignment horizontal="center" vertical="center" wrapText="1"/>
      <protection locked="0"/>
    </xf>
    <xf numFmtId="168" fontId="3" fillId="16" borderId="25" xfId="4" applyNumberFormat="1" applyFont="1" applyFill="1" applyBorder="1" applyAlignment="1" applyProtection="1">
      <alignment horizontal="center" vertical="center" wrapText="1"/>
      <protection locked="0"/>
    </xf>
    <xf numFmtId="168" fontId="3" fillId="16" borderId="54" xfId="4" applyNumberFormat="1" applyFont="1" applyFill="1" applyBorder="1" applyAlignment="1" applyProtection="1">
      <alignment horizontal="center" vertical="center" wrapText="1"/>
      <protection locked="0"/>
    </xf>
    <xf numFmtId="0" fontId="3" fillId="16" borderId="52" xfId="4" applyFont="1" applyFill="1" applyBorder="1" applyAlignment="1" applyProtection="1">
      <alignment horizontal="center" vertical="center" wrapText="1"/>
      <protection locked="0"/>
    </xf>
    <xf numFmtId="0" fontId="3" fillId="16" borderId="3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vertical="center"/>
      <protection hidden="1"/>
    </xf>
    <xf numFmtId="0" fontId="110" fillId="31" borderId="25" xfId="4" applyFont="1" applyFill="1" applyBorder="1" applyAlignment="1" applyProtection="1">
      <alignment horizontal="center"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1" fontId="10" fillId="15" borderId="31" xfId="4" applyNumberFormat="1" applyFont="1" applyFill="1" applyBorder="1" applyAlignment="1" applyProtection="1">
      <alignment horizontal="center" vertical="center" wrapText="1"/>
      <protection hidden="1"/>
    </xf>
    <xf numFmtId="1" fontId="10" fillId="15" borderId="73" xfId="4" applyNumberFormat="1" applyFont="1" applyFill="1" applyBorder="1" applyAlignment="1" applyProtection="1">
      <alignment horizontal="center" vertical="center" wrapText="1"/>
      <protection hidden="1"/>
    </xf>
    <xf numFmtId="14" fontId="3" fillId="16" borderId="52" xfId="4" applyNumberFormat="1" applyFont="1" applyFill="1" applyBorder="1" applyAlignment="1" applyProtection="1">
      <alignment horizontal="center" vertical="center" wrapText="1"/>
      <protection locked="0"/>
    </xf>
    <xf numFmtId="14" fontId="3" fillId="16" borderId="31" xfId="4" applyNumberFormat="1" applyFont="1" applyFill="1" applyBorder="1" applyAlignment="1" applyProtection="1">
      <alignment horizontal="center" vertical="center" wrapText="1"/>
      <protection locked="0"/>
    </xf>
    <xf numFmtId="14" fontId="3" fillId="16" borderId="73" xfId="4" applyNumberFormat="1" applyFont="1" applyFill="1" applyBorder="1" applyAlignment="1" applyProtection="1">
      <alignment horizontal="center" vertical="center" wrapText="1"/>
      <protection locked="0"/>
    </xf>
    <xf numFmtId="190" fontId="3" fillId="16" borderId="52" xfId="4" applyNumberFormat="1" applyFont="1" applyFill="1" applyBorder="1" applyAlignment="1" applyProtection="1">
      <alignment horizontal="center" vertical="center" wrapText="1"/>
      <protection locked="0"/>
    </xf>
    <xf numFmtId="190" fontId="3" fillId="16" borderId="31" xfId="4" applyNumberFormat="1" applyFont="1" applyFill="1" applyBorder="1" applyAlignment="1" applyProtection="1">
      <alignment horizontal="center" vertical="center" wrapText="1"/>
      <protection locked="0"/>
    </xf>
    <xf numFmtId="190" fontId="3" fillId="16" borderId="73" xfId="4" applyNumberFormat="1" applyFont="1" applyFill="1" applyBorder="1" applyAlignment="1" applyProtection="1">
      <alignment horizontal="center" vertical="center" wrapText="1"/>
      <protection locked="0"/>
    </xf>
    <xf numFmtId="0" fontId="3" fillId="16" borderId="73" xfId="4" applyFont="1" applyFill="1" applyBorder="1" applyAlignment="1" applyProtection="1">
      <alignment horizontal="center" vertical="center" wrapText="1"/>
      <protection locked="0"/>
    </xf>
    <xf numFmtId="168" fontId="3" fillId="16" borderId="52" xfId="4" applyNumberFormat="1" applyFont="1" applyFill="1" applyBorder="1" applyAlignment="1" applyProtection="1">
      <alignment horizontal="center" vertical="center" wrapText="1"/>
      <protection locked="0"/>
    </xf>
    <xf numFmtId="168" fontId="3" fillId="16" borderId="31" xfId="4" applyNumberFormat="1" applyFont="1" applyFill="1" applyBorder="1" applyAlignment="1" applyProtection="1">
      <alignment horizontal="center" vertical="center" wrapText="1"/>
      <protection locked="0"/>
    </xf>
    <xf numFmtId="168" fontId="3" fillId="16" borderId="73" xfId="4" applyNumberFormat="1" applyFont="1" applyFill="1" applyBorder="1" applyAlignment="1" applyProtection="1">
      <alignment horizontal="center" vertical="center" wrapText="1"/>
      <protection locked="0"/>
    </xf>
    <xf numFmtId="14" fontId="11" fillId="16" borderId="39" xfId="4" applyNumberFormat="1" applyFont="1" applyFill="1" applyBorder="1" applyAlignment="1" applyProtection="1">
      <alignment horizontal="center" vertical="center" wrapText="1"/>
      <protection locked="0"/>
    </xf>
    <xf numFmtId="0" fontId="11" fillId="0" borderId="25" xfId="4" applyFont="1" applyBorder="1" applyAlignment="1" applyProtection="1">
      <alignment horizontal="center" vertical="center" wrapText="1"/>
      <protection locked="0"/>
    </xf>
    <xf numFmtId="0" fontId="3" fillId="0" borderId="54" xfId="4" applyFont="1" applyBorder="1" applyAlignment="1" applyProtection="1">
      <alignment horizontal="center" vertical="center" wrapText="1"/>
      <protection locked="0"/>
    </xf>
    <xf numFmtId="0" fontId="8" fillId="16" borderId="39" xfId="4" applyFont="1" applyFill="1" applyBorder="1" applyAlignment="1" applyProtection="1">
      <alignment horizontal="center" vertical="center" wrapText="1"/>
      <protection locked="0"/>
    </xf>
    <xf numFmtId="0" fontId="7" fillId="0" borderId="25" xfId="4" applyFont="1" applyBorder="1" applyAlignment="1" applyProtection="1">
      <alignment horizontal="center" vertical="center" wrapText="1"/>
      <protection locked="0"/>
    </xf>
    <xf numFmtId="0" fontId="7" fillId="0" borderId="54" xfId="4" applyFont="1" applyBorder="1" applyAlignment="1" applyProtection="1">
      <alignment horizontal="center" vertical="center" wrapText="1"/>
      <protection locked="0"/>
    </xf>
    <xf numFmtId="168" fontId="5" fillId="0" borderId="25" xfId="4" applyNumberFormat="1" applyBorder="1" applyAlignment="1" applyProtection="1">
      <alignment horizontal="center" vertical="center" wrapText="1"/>
      <protection locked="0"/>
    </xf>
    <xf numFmtId="0" fontId="5" fillId="0" borderId="14" xfId="4" applyBorder="1" applyAlignment="1">
      <alignment horizontal="center" vertical="center" wrapText="1"/>
    </xf>
    <xf numFmtId="0" fontId="5" fillId="0" borderId="24" xfId="4" applyBorder="1" applyAlignment="1">
      <alignment horizontal="center" vertical="center" wrapText="1"/>
    </xf>
    <xf numFmtId="0" fontId="5" fillId="0" borderId="11" xfId="4" applyBorder="1" applyAlignment="1">
      <alignment horizontal="center" vertical="center" wrapText="1"/>
    </xf>
    <xf numFmtId="0" fontId="7" fillId="0" borderId="8" xfId="4" applyFont="1" applyBorder="1" applyAlignment="1">
      <alignment horizontal="center" vertical="center" wrapText="1"/>
    </xf>
    <xf numFmtId="0" fontId="7" fillId="0" borderId="14" xfId="4" applyFont="1" applyBorder="1" applyAlignment="1">
      <alignment horizontal="center" vertical="center" wrapText="1"/>
    </xf>
    <xf numFmtId="0" fontId="7" fillId="0" borderId="3" xfId="4" applyFont="1" applyBorder="1" applyAlignment="1">
      <alignment horizontal="center" vertical="center" wrapText="1"/>
    </xf>
    <xf numFmtId="0" fontId="7" fillId="0" borderId="0" xfId="4" applyFont="1" applyAlignment="1">
      <alignment horizontal="center" vertical="center" wrapText="1"/>
    </xf>
    <xf numFmtId="0" fontId="7" fillId="0" borderId="24" xfId="4" applyFont="1" applyBorder="1" applyAlignment="1">
      <alignment horizontal="center" vertical="center" wrapText="1"/>
    </xf>
    <xf numFmtId="0" fontId="7" fillId="0" borderId="9" xfId="4" applyFont="1" applyBorder="1" applyAlignment="1">
      <alignment horizontal="center" vertical="center" wrapText="1"/>
    </xf>
    <xf numFmtId="0" fontId="7" fillId="0" borderId="1" xfId="4" applyFont="1" applyBorder="1" applyAlignment="1">
      <alignment horizontal="center" vertical="center" wrapText="1"/>
    </xf>
    <xf numFmtId="0" fontId="7" fillId="0" borderId="11" xfId="4" applyFont="1" applyBorder="1" applyAlignment="1">
      <alignment horizontal="center" vertical="center" wrapText="1"/>
    </xf>
    <xf numFmtId="0" fontId="5" fillId="15" borderId="30" xfId="4" applyFill="1" applyBorder="1" applyAlignment="1" applyProtection="1">
      <alignment horizontal="center" vertical="center" wrapText="1"/>
      <protection hidden="1"/>
    </xf>
    <xf numFmtId="14" fontId="5" fillId="0" borderId="25" xfId="4" applyNumberFormat="1" applyBorder="1" applyAlignment="1" applyProtection="1">
      <alignment horizontal="center" vertical="center" wrapText="1"/>
      <protection locked="0"/>
    </xf>
    <xf numFmtId="14" fontId="9" fillId="16" borderId="39" xfId="4" applyNumberFormat="1" applyFont="1" applyFill="1" applyBorder="1" applyAlignment="1" applyProtection="1">
      <alignment horizontal="center" vertical="center" wrapText="1"/>
      <protection locked="0"/>
    </xf>
    <xf numFmtId="14" fontId="9" fillId="16" borderId="25" xfId="4" applyNumberFormat="1" applyFont="1" applyFill="1" applyBorder="1" applyAlignment="1" applyProtection="1">
      <alignment horizontal="center" vertical="center" wrapText="1"/>
      <protection locked="0"/>
    </xf>
    <xf numFmtId="0" fontId="9" fillId="0" borderId="25" xfId="4" applyFont="1" applyBorder="1" applyAlignment="1" applyProtection="1">
      <alignment horizontal="center" vertical="center" wrapText="1"/>
      <protection locked="0"/>
    </xf>
    <xf numFmtId="0" fontId="9" fillId="0" borderId="25" xfId="4" applyFont="1" applyBorder="1" applyAlignment="1" applyProtection="1">
      <alignment wrapText="1"/>
      <protection locked="0"/>
    </xf>
    <xf numFmtId="0" fontId="9" fillId="0" borderId="54" xfId="4" applyFont="1" applyBorder="1" applyAlignment="1" applyProtection="1">
      <alignment wrapText="1"/>
      <protection locked="0"/>
    </xf>
    <xf numFmtId="168" fontId="5" fillId="0" borderId="25" xfId="4" applyNumberFormat="1" applyBorder="1" applyAlignment="1" applyProtection="1">
      <alignment wrapText="1"/>
      <protection locked="0"/>
    </xf>
    <xf numFmtId="168" fontId="5" fillId="0" borderId="54" xfId="4" applyNumberFormat="1" applyBorder="1" applyAlignment="1" applyProtection="1">
      <alignment wrapText="1"/>
      <protection locked="0"/>
    </xf>
    <xf numFmtId="0" fontId="5" fillId="0" borderId="8" xfId="4" applyBorder="1" applyAlignment="1">
      <alignment vertical="center" wrapText="1"/>
    </xf>
    <xf numFmtId="0" fontId="5" fillId="0" borderId="9" xfId="4" applyBorder="1" applyAlignment="1">
      <alignment vertical="center" wrapText="1"/>
    </xf>
    <xf numFmtId="0" fontId="5" fillId="0" borderId="1" xfId="4" applyBorder="1" applyAlignment="1">
      <alignment vertical="center" wrapText="1"/>
    </xf>
    <xf numFmtId="0" fontId="7" fillId="0" borderId="30" xfId="4" applyFont="1" applyBorder="1" applyAlignment="1">
      <alignment horizontal="center" vertical="center" wrapText="1"/>
    </xf>
    <xf numFmtId="0" fontId="5" fillId="0" borderId="14" xfId="4" applyBorder="1" applyAlignment="1">
      <alignment vertical="center" wrapText="1"/>
    </xf>
    <xf numFmtId="0" fontId="5" fillId="0" borderId="11" xfId="4" applyBorder="1" applyAlignment="1">
      <alignment vertical="center" wrapText="1"/>
    </xf>
    <xf numFmtId="0" fontId="5" fillId="0" borderId="8" xfId="4" applyBorder="1" applyAlignment="1">
      <alignment wrapText="1"/>
    </xf>
    <xf numFmtId="0" fontId="5" fillId="0" borderId="9" xfId="4" applyBorder="1" applyAlignment="1">
      <alignment wrapText="1"/>
    </xf>
    <xf numFmtId="0" fontId="5" fillId="0" borderId="1" xfId="4" applyBorder="1" applyAlignment="1">
      <alignment wrapText="1"/>
    </xf>
    <xf numFmtId="0" fontId="5" fillId="0" borderId="14" xfId="4" applyBorder="1" applyAlignment="1">
      <alignment wrapText="1"/>
    </xf>
    <xf numFmtId="0" fontId="5" fillId="0" borderId="11" xfId="4" applyBorder="1" applyAlignment="1">
      <alignment wrapText="1"/>
    </xf>
    <xf numFmtId="3" fontId="3" fillId="16" borderId="25" xfId="4" applyNumberFormat="1" applyFont="1" applyFill="1" applyBorder="1" applyAlignment="1" applyProtection="1">
      <alignment horizontal="center" vertical="center" wrapText="1"/>
      <protection locked="0"/>
    </xf>
    <xf numFmtId="0" fontId="14" fillId="16" borderId="1" xfId="4" applyFont="1" applyFill="1" applyBorder="1" applyAlignment="1" applyProtection="1">
      <alignment horizontal="left" wrapText="1"/>
      <protection locked="0"/>
    </xf>
    <xf numFmtId="0" fontId="14" fillId="0" borderId="1" xfId="4" applyFont="1" applyBorder="1" applyAlignment="1" applyProtection="1">
      <alignment horizontal="left" wrapText="1"/>
      <protection locked="0"/>
    </xf>
    <xf numFmtId="0" fontId="14" fillId="16" borderId="11" xfId="4" applyFont="1" applyFill="1" applyBorder="1" applyAlignment="1" applyProtection="1">
      <alignment horizontal="left" wrapText="1"/>
      <protection locked="0"/>
    </xf>
    <xf numFmtId="0" fontId="43" fillId="27" borderId="20" xfId="4" applyFont="1" applyFill="1" applyBorder="1" applyProtection="1">
      <protection hidden="1"/>
    </xf>
    <xf numFmtId="0" fontId="43" fillId="27" borderId="1" xfId="4" applyFont="1" applyFill="1" applyBorder="1" applyProtection="1">
      <protection hidden="1"/>
    </xf>
    <xf numFmtId="0" fontId="43" fillId="27" borderId="29" xfId="4" applyFont="1" applyFill="1" applyBorder="1" applyProtection="1">
      <protection hidden="1"/>
    </xf>
    <xf numFmtId="0" fontId="124" fillId="31" borderId="8" xfId="4" applyFont="1" applyFill="1" applyBorder="1" applyAlignment="1" applyProtection="1">
      <alignment horizontal="center"/>
      <protection hidden="1"/>
    </xf>
    <xf numFmtId="0" fontId="110" fillId="31" borderId="8" xfId="4" applyFont="1" applyFill="1" applyBorder="1" applyAlignment="1" applyProtection="1">
      <alignment horizontal="center"/>
      <protection hidden="1"/>
    </xf>
    <xf numFmtId="0" fontId="14" fillId="15" borderId="8" xfId="4" applyFont="1" applyFill="1" applyBorder="1" applyAlignment="1" applyProtection="1">
      <alignment horizontal="right" vertical="center" wrapText="1" indent="1"/>
      <protection hidden="1"/>
    </xf>
    <xf numFmtId="0" fontId="14" fillId="15" borderId="8" xfId="4" applyFont="1" applyFill="1" applyBorder="1" applyAlignment="1">
      <alignment horizontal="right" vertical="center" wrapText="1" indent="1"/>
    </xf>
    <xf numFmtId="3" fontId="3" fillId="16" borderId="1" xfId="4" applyNumberFormat="1" applyFont="1" applyFill="1" applyBorder="1" applyAlignment="1" applyProtection="1">
      <alignment horizontal="center" vertical="center" wrapText="1"/>
      <protection locked="0"/>
    </xf>
    <xf numFmtId="0" fontId="14" fillId="16" borderId="39" xfId="4" applyFont="1" applyFill="1" applyBorder="1" applyAlignment="1" applyProtection="1">
      <alignment horizontal="center" vertical="center" wrapText="1"/>
      <protection locked="0"/>
    </xf>
    <xf numFmtId="0" fontId="14" fillId="16" borderId="54"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center" vertical="center" wrapText="1"/>
      <protection locked="0"/>
    </xf>
    <xf numFmtId="0" fontId="14" fillId="16" borderId="9" xfId="4" applyFont="1" applyFill="1" applyBorder="1" applyAlignment="1" applyProtection="1">
      <alignment horizontal="center" vertical="center" wrapText="1"/>
      <protection locked="0"/>
    </xf>
    <xf numFmtId="0" fontId="14" fillId="16" borderId="11" xfId="4" applyFont="1" applyFill="1" applyBorder="1" applyAlignment="1" applyProtection="1">
      <alignment horizontal="center" vertical="center" wrapText="1"/>
      <protection locked="0"/>
    </xf>
    <xf numFmtId="0" fontId="14" fillId="16" borderId="1"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left" wrapText="1"/>
      <protection locked="0"/>
    </xf>
    <xf numFmtId="0" fontId="14" fillId="15" borderId="39" xfId="4" applyFont="1" applyFill="1" applyBorder="1" applyAlignment="1" applyProtection="1">
      <alignment horizontal="center" wrapText="1"/>
      <protection hidden="1"/>
    </xf>
    <xf numFmtId="0" fontId="14" fillId="15" borderId="54" xfId="4" applyFont="1" applyFill="1" applyBorder="1" applyAlignment="1">
      <alignment horizontal="center" wrapText="1"/>
    </xf>
    <xf numFmtId="0" fontId="14" fillId="15" borderId="25" xfId="4" applyFont="1" applyFill="1" applyBorder="1" applyAlignment="1">
      <alignment horizontal="center" wrapText="1"/>
    </xf>
    <xf numFmtId="0" fontId="9" fillId="15" borderId="0" xfId="4" applyFont="1" applyFill="1" applyAlignment="1" applyProtection="1">
      <alignment horizontal="left" wrapText="1" indent="1"/>
      <protection hidden="1"/>
    </xf>
    <xf numFmtId="0" fontId="9" fillId="0" borderId="0" xfId="4" applyFont="1" applyAlignment="1">
      <alignment horizontal="left" wrapText="1" indent="1"/>
    </xf>
    <xf numFmtId="0" fontId="14" fillId="15" borderId="24" xfId="4" applyFont="1" applyFill="1" applyBorder="1" applyAlignment="1" applyProtection="1">
      <alignment horizontal="left" wrapText="1"/>
      <protection hidden="1"/>
    </xf>
    <xf numFmtId="0" fontId="14" fillId="15" borderId="6" xfId="4" applyFont="1" applyFill="1" applyBorder="1" applyAlignment="1" applyProtection="1">
      <alignment horizontal="left" wrapText="1"/>
      <protection hidden="1"/>
    </xf>
    <xf numFmtId="0" fontId="14" fillId="15" borderId="11" xfId="4" applyFont="1" applyFill="1" applyBorder="1" applyAlignment="1" applyProtection="1">
      <alignment horizontal="left" wrapText="1"/>
      <protection hidden="1"/>
    </xf>
    <xf numFmtId="0" fontId="14" fillId="15" borderId="10" xfId="4" applyFont="1" applyFill="1" applyBorder="1" applyAlignment="1" applyProtection="1">
      <alignment horizontal="left" wrapText="1"/>
      <protection hidden="1"/>
    </xf>
    <xf numFmtId="0" fontId="3" fillId="16" borderId="1" xfId="4" applyFont="1" applyFill="1" applyBorder="1" applyAlignment="1" applyProtection="1">
      <alignment horizontal="left" vertical="center" wrapText="1"/>
      <protection locked="0"/>
    </xf>
    <xf numFmtId="14" fontId="3" fillId="16" borderId="1" xfId="4" applyNumberFormat="1" applyFont="1" applyFill="1" applyBorder="1" applyAlignment="1" applyProtection="1">
      <alignment horizontal="center" vertical="center" wrapText="1"/>
      <protection locked="0"/>
    </xf>
    <xf numFmtId="0" fontId="5" fillId="0" borderId="1" xfId="4" applyBorder="1" applyAlignment="1" applyProtection="1">
      <alignment vertical="center" wrapText="1"/>
      <protection locked="0"/>
    </xf>
    <xf numFmtId="0" fontId="14" fillId="15" borderId="4" xfId="4" applyFont="1" applyFill="1" applyBorder="1" applyAlignment="1" applyProtection="1">
      <alignment horizontal="right" vertical="center" wrapText="1" indent="1"/>
      <protection hidden="1"/>
    </xf>
    <xf numFmtId="0" fontId="14" fillId="16" borderId="52" xfId="4" applyFont="1" applyFill="1" applyBorder="1" applyAlignment="1" applyProtection="1">
      <alignment horizontal="center" vertical="center" wrapText="1"/>
      <protection locked="0"/>
    </xf>
    <xf numFmtId="0" fontId="14" fillId="16" borderId="73" xfId="4" applyFont="1" applyFill="1" applyBorder="1" applyAlignment="1" applyProtection="1">
      <alignment horizontal="center" vertical="center" wrapText="1"/>
      <protection locked="0"/>
    </xf>
    <xf numFmtId="0" fontId="14" fillId="16" borderId="31" xfId="4" applyFont="1" applyFill="1" applyBorder="1" applyAlignment="1" applyProtection="1">
      <alignment horizontal="center" vertical="center" wrapText="1"/>
      <protection locked="0"/>
    </xf>
    <xf numFmtId="0" fontId="5" fillId="16" borderId="1" xfId="4" applyFill="1" applyBorder="1" applyAlignment="1" applyProtection="1">
      <alignment horizontal="center"/>
      <protection locked="0"/>
    </xf>
    <xf numFmtId="0" fontId="5" fillId="15" borderId="1" xfId="4" applyFill="1" applyBorder="1" applyAlignment="1" applyProtection="1">
      <alignment horizontal="left" wrapText="1"/>
      <protection hidden="1"/>
    </xf>
    <xf numFmtId="0" fontId="5" fillId="15" borderId="25" xfId="4" applyFill="1" applyBorder="1" applyAlignment="1" applyProtection="1">
      <alignment horizontal="center"/>
      <protection hidden="1"/>
    </xf>
    <xf numFmtId="182" fontId="5" fillId="16" borderId="25" xfId="4" applyNumberFormat="1" applyFill="1" applyBorder="1" applyAlignment="1" applyProtection="1">
      <alignment horizontal="center" vertical="center"/>
      <protection locked="0"/>
    </xf>
    <xf numFmtId="49" fontId="8" fillId="16" borderId="1" xfId="4" applyNumberFormat="1" applyFont="1" applyFill="1" applyBorder="1" applyAlignment="1" applyProtection="1">
      <alignment wrapText="1"/>
      <protection locked="0"/>
    </xf>
    <xf numFmtId="49" fontId="8" fillId="16" borderId="11" xfId="4" applyNumberFormat="1" applyFont="1" applyFill="1" applyBorder="1" applyAlignment="1" applyProtection="1">
      <alignment wrapText="1"/>
      <protection locked="0"/>
    </xf>
    <xf numFmtId="49" fontId="8" fillId="16" borderId="9" xfId="4" applyNumberFormat="1" applyFont="1" applyFill="1" applyBorder="1" applyAlignment="1" applyProtection="1">
      <alignment wrapText="1"/>
      <protection locked="0"/>
    </xf>
    <xf numFmtId="49" fontId="8" fillId="15" borderId="1" xfId="4" applyNumberFormat="1" applyFont="1" applyFill="1" applyBorder="1" applyAlignment="1" applyProtection="1">
      <alignment horizontal="left" wrapText="1"/>
      <protection locked="0"/>
    </xf>
    <xf numFmtId="49" fontId="8" fillId="15" borderId="11" xfId="4" applyNumberFormat="1" applyFont="1" applyFill="1" applyBorder="1" applyAlignment="1" applyProtection="1">
      <alignment horizontal="left" wrapText="1"/>
      <protection locked="0"/>
    </xf>
    <xf numFmtId="49" fontId="5" fillId="0" borderId="1" xfId="4" applyNumberFormat="1" applyBorder="1" applyAlignment="1" applyProtection="1">
      <alignment wrapText="1"/>
      <protection locked="0"/>
    </xf>
    <xf numFmtId="49" fontId="5" fillId="0" borderId="11" xfId="4" applyNumberFormat="1" applyBorder="1" applyAlignment="1" applyProtection="1">
      <alignment wrapText="1"/>
      <protection locked="0"/>
    </xf>
    <xf numFmtId="14" fontId="8" fillId="15" borderId="9" xfId="4" applyNumberFormat="1" applyFont="1" applyFill="1" applyBorder="1" applyAlignment="1" applyProtection="1">
      <alignment horizontal="center" wrapText="1"/>
      <protection locked="0"/>
    </xf>
    <xf numFmtId="14" fontId="5" fillId="15" borderId="1" xfId="4" applyNumberFormat="1" applyFill="1" applyBorder="1" applyAlignment="1" applyProtection="1">
      <alignment horizontal="center" wrapText="1"/>
      <protection locked="0"/>
    </xf>
    <xf numFmtId="0" fontId="43" fillId="16" borderId="1" xfId="4" applyFont="1" applyFill="1" applyBorder="1" applyProtection="1">
      <protection locked="0"/>
    </xf>
    <xf numFmtId="0" fontId="5" fillId="0" borderId="1" xfId="4" applyBorder="1" applyProtection="1">
      <protection locked="0"/>
    </xf>
    <xf numFmtId="0" fontId="5" fillId="0" borderId="11" xfId="4" applyBorder="1" applyProtection="1">
      <protection locked="0"/>
    </xf>
    <xf numFmtId="49" fontId="19" fillId="16" borderId="9" xfId="4" applyNumberFormat="1" applyFont="1" applyFill="1" applyBorder="1" applyAlignment="1" applyProtection="1">
      <alignment horizontal="center" vertical="center"/>
      <protection locked="0"/>
    </xf>
    <xf numFmtId="0" fontId="43" fillId="16" borderId="1" xfId="4" applyFont="1" applyFill="1" applyBorder="1" applyAlignment="1" applyProtection="1">
      <alignment wrapText="1"/>
      <protection locked="0"/>
    </xf>
    <xf numFmtId="0" fontId="5" fillId="0" borderId="1" xfId="4" applyBorder="1" applyAlignment="1" applyProtection="1">
      <alignment wrapText="1"/>
      <protection locked="0"/>
    </xf>
    <xf numFmtId="182" fontId="14" fillId="16" borderId="1" xfId="4" applyNumberFormat="1" applyFont="1" applyFill="1" applyBorder="1" applyAlignment="1" applyProtection="1">
      <alignment horizontal="center" wrapText="1"/>
      <protection locked="0"/>
    </xf>
    <xf numFmtId="37" fontId="10" fillId="16" borderId="0" xfId="0" applyNumberFormat="1" applyFont="1" applyFill="1" applyAlignment="1" applyProtection="1">
      <alignment horizontal="right"/>
      <protection locked="0"/>
    </xf>
    <xf numFmtId="39" fontId="5" fillId="0" borderId="0" xfId="0" applyNumberFormat="1" applyFont="1" applyAlignment="1" applyProtection="1">
      <alignment horizontal="left" vertical="center" wrapText="1"/>
      <protection locked="0"/>
    </xf>
    <xf numFmtId="0" fontId="311" fillId="15" borderId="0" xfId="0" applyFont="1" applyFill="1" applyAlignment="1">
      <alignment horizontal="left" vertical="center" wrapText="1"/>
    </xf>
    <xf numFmtId="0" fontId="3" fillId="15" borderId="4" xfId="0" applyFont="1" applyFill="1" applyBorder="1" applyAlignment="1" applyProtection="1">
      <alignment horizontal="right"/>
      <protection hidden="1"/>
    </xf>
    <xf numFmtId="0" fontId="3" fillId="15" borderId="70" xfId="0" applyFont="1" applyFill="1" applyBorder="1" applyAlignment="1" applyProtection="1">
      <alignment horizontal="right"/>
      <protection hidden="1"/>
    </xf>
    <xf numFmtId="37" fontId="10" fillId="16" borderId="39" xfId="0" quotePrefix="1" applyNumberFormat="1" applyFont="1" applyFill="1" applyBorder="1" applyAlignment="1" applyProtection="1">
      <alignment horizontal="right" indent="1"/>
      <protection locked="0"/>
    </xf>
    <xf numFmtId="37" fontId="10" fillId="16" borderId="25" xfId="0" quotePrefix="1" applyNumberFormat="1" applyFont="1" applyFill="1" applyBorder="1" applyAlignment="1" applyProtection="1">
      <alignment horizontal="right" indent="1"/>
      <protection locked="0"/>
    </xf>
    <xf numFmtId="37" fontId="10" fillId="16" borderId="54" xfId="0" quotePrefix="1" applyNumberFormat="1" applyFont="1" applyFill="1" applyBorder="1" applyAlignment="1" applyProtection="1">
      <alignment horizontal="right" indent="1"/>
      <protection locked="0"/>
    </xf>
    <xf numFmtId="37" fontId="10" fillId="27" borderId="39" xfId="0" quotePrefix="1" applyNumberFormat="1" applyFont="1" applyFill="1" applyBorder="1" applyAlignment="1">
      <alignment horizontal="right" indent="1"/>
    </xf>
    <xf numFmtId="37" fontId="10" fillId="27" borderId="25" xfId="0" quotePrefix="1" applyNumberFormat="1" applyFont="1" applyFill="1" applyBorder="1" applyAlignment="1">
      <alignment horizontal="right" indent="1"/>
    </xf>
    <xf numFmtId="37" fontId="10" fillId="27" borderId="54" xfId="0" quotePrefix="1" applyNumberFormat="1" applyFont="1" applyFill="1" applyBorder="1" applyAlignment="1">
      <alignment horizontal="right" indent="1"/>
    </xf>
    <xf numFmtId="0" fontId="309" fillId="15" borderId="1" xfId="0" applyFont="1" applyFill="1" applyBorder="1" applyAlignment="1">
      <alignment horizontal="left" vertical="center" wrapText="1"/>
    </xf>
    <xf numFmtId="0" fontId="10" fillId="15" borderId="30" xfId="0" applyFont="1" applyFill="1" applyBorder="1" applyAlignment="1" applyProtection="1">
      <alignment horizontal="left" vertical="top" wrapText="1" indent="1"/>
      <protection hidden="1"/>
    </xf>
    <xf numFmtId="0" fontId="10" fillId="15" borderId="8" xfId="0" applyFont="1" applyFill="1" applyBorder="1" applyAlignment="1" applyProtection="1">
      <alignment horizontal="left" vertical="top" wrapText="1" indent="1"/>
      <protection hidden="1"/>
    </xf>
    <xf numFmtId="0" fontId="10" fillId="15" borderId="14" xfId="0" applyFont="1" applyFill="1" applyBorder="1" applyAlignment="1" applyProtection="1">
      <alignment horizontal="left" vertical="top" wrapText="1" indent="1"/>
      <protection hidden="1"/>
    </xf>
    <xf numFmtId="0" fontId="10" fillId="15" borderId="3" xfId="0" applyFont="1" applyFill="1" applyBorder="1" applyAlignment="1" applyProtection="1">
      <alignment horizontal="left" vertical="top" wrapText="1" indent="1"/>
      <protection hidden="1"/>
    </xf>
    <xf numFmtId="0" fontId="10" fillId="15" borderId="0" xfId="0" applyFont="1" applyFill="1" applyAlignment="1" applyProtection="1">
      <alignment horizontal="left" vertical="top" wrapText="1" indent="1"/>
      <protection hidden="1"/>
    </xf>
    <xf numFmtId="0" fontId="10" fillId="15" borderId="24" xfId="0" applyFont="1" applyFill="1" applyBorder="1" applyAlignment="1" applyProtection="1">
      <alignment horizontal="left" vertical="top" wrapText="1" indent="1"/>
      <protection hidden="1"/>
    </xf>
    <xf numFmtId="0" fontId="46" fillId="15" borderId="3" xfId="0" applyFont="1" applyFill="1" applyBorder="1" applyAlignment="1" applyProtection="1">
      <alignment horizontal="left" vertical="top" wrapText="1" indent="1"/>
      <protection hidden="1"/>
    </xf>
    <xf numFmtId="0" fontId="46" fillId="15" borderId="0" xfId="0" applyFont="1" applyFill="1" applyAlignment="1" applyProtection="1">
      <alignment horizontal="left" vertical="top" wrapText="1" indent="1"/>
      <protection hidden="1"/>
    </xf>
    <xf numFmtId="0" fontId="46" fillId="15" borderId="24" xfId="0" applyFont="1" applyFill="1" applyBorder="1" applyAlignment="1" applyProtection="1">
      <alignment horizontal="left" vertical="top" wrapText="1" indent="1"/>
      <protection hidden="1"/>
    </xf>
    <xf numFmtId="0" fontId="267" fillId="15" borderId="0" xfId="0" applyFont="1" applyFill="1" applyAlignment="1" applyProtection="1">
      <alignment horizontal="center" vertical="top"/>
      <protection hidden="1"/>
    </xf>
    <xf numFmtId="0" fontId="13" fillId="15" borderId="30" xfId="0" applyFont="1" applyFill="1" applyBorder="1" applyAlignment="1" applyProtection="1">
      <alignment horizontal="center" vertical="center"/>
      <protection hidden="1"/>
    </xf>
    <xf numFmtId="0" fontId="13" fillId="15" borderId="8" xfId="0" applyFont="1" applyFill="1" applyBorder="1" applyAlignment="1" applyProtection="1">
      <alignment horizontal="center" vertical="center"/>
      <protection hidden="1"/>
    </xf>
    <xf numFmtId="0" fontId="13" fillId="15" borderId="14" xfId="0" applyFont="1" applyFill="1" applyBorder="1" applyAlignment="1" applyProtection="1">
      <alignment horizontal="center" vertical="center"/>
      <protection hidden="1"/>
    </xf>
    <xf numFmtId="0" fontId="13" fillId="15" borderId="9" xfId="0" applyFont="1" applyFill="1" applyBorder="1" applyAlignment="1" applyProtection="1">
      <alignment horizontal="center" vertical="center"/>
      <protection hidden="1"/>
    </xf>
    <xf numFmtId="0" fontId="13" fillId="15" borderId="1" xfId="0" applyFont="1" applyFill="1" applyBorder="1" applyAlignment="1" applyProtection="1">
      <alignment horizontal="center" vertical="center"/>
      <protection hidden="1"/>
    </xf>
    <xf numFmtId="0" fontId="13" fillId="15" borderId="11" xfId="0" applyFont="1" applyFill="1" applyBorder="1" applyAlignment="1" applyProtection="1">
      <alignment horizontal="center" vertical="center"/>
      <protection hidden="1"/>
    </xf>
    <xf numFmtId="0" fontId="13" fillId="15" borderId="30" xfId="0" quotePrefix="1" applyFont="1" applyFill="1" applyBorder="1" applyAlignment="1" applyProtection="1">
      <alignment horizontal="center" vertical="center" wrapText="1"/>
      <protection hidden="1"/>
    </xf>
    <xf numFmtId="0" fontId="13" fillId="15" borderId="8" xfId="0" quotePrefix="1" applyFont="1" applyFill="1" applyBorder="1" applyAlignment="1" applyProtection="1">
      <alignment horizontal="center" vertical="center" wrapText="1"/>
      <protection hidden="1"/>
    </xf>
    <xf numFmtId="0" fontId="13" fillId="15" borderId="14" xfId="0" quotePrefix="1" applyFont="1" applyFill="1" applyBorder="1" applyAlignment="1" applyProtection="1">
      <alignment horizontal="center" vertical="center" wrapText="1"/>
      <protection hidden="1"/>
    </xf>
    <xf numFmtId="0" fontId="13" fillId="15" borderId="9" xfId="0" quotePrefix="1" applyFont="1" applyFill="1" applyBorder="1" applyAlignment="1" applyProtection="1">
      <alignment horizontal="center" vertical="center" wrapText="1"/>
      <protection hidden="1"/>
    </xf>
    <xf numFmtId="0" fontId="13" fillId="15" borderId="1" xfId="0" quotePrefix="1" applyFont="1" applyFill="1" applyBorder="1" applyAlignment="1" applyProtection="1">
      <alignment horizontal="center" vertical="center" wrapText="1"/>
      <protection hidden="1"/>
    </xf>
    <xf numFmtId="0" fontId="13" fillId="15" borderId="11" xfId="0" quotePrefix="1" applyFont="1" applyFill="1" applyBorder="1" applyAlignment="1" applyProtection="1">
      <alignment horizontal="center" vertical="center" wrapText="1"/>
      <protection hidden="1"/>
    </xf>
    <xf numFmtId="0" fontId="13" fillId="15" borderId="3" xfId="0" quotePrefix="1" applyFont="1" applyFill="1" applyBorder="1" applyAlignment="1" applyProtection="1">
      <alignment horizontal="center" vertical="center" wrapText="1"/>
      <protection hidden="1"/>
    </xf>
    <xf numFmtId="0" fontId="13" fillId="15" borderId="0" xfId="0" quotePrefix="1" applyFont="1" applyFill="1" applyAlignment="1" applyProtection="1">
      <alignment horizontal="center" vertical="center" wrapText="1"/>
      <protection hidden="1"/>
    </xf>
    <xf numFmtId="0" fontId="13" fillId="15" borderId="24" xfId="0" quotePrefix="1" applyFont="1" applyFill="1" applyBorder="1" applyAlignment="1" applyProtection="1">
      <alignment horizontal="center" vertical="center" wrapText="1"/>
      <protection hidden="1"/>
    </xf>
    <xf numFmtId="0" fontId="10" fillId="15" borderId="30" xfId="0" quotePrefix="1" applyFont="1" applyFill="1" applyBorder="1" applyAlignment="1" applyProtection="1">
      <alignment horizontal="center" vertical="center" wrapText="1"/>
      <protection hidden="1"/>
    </xf>
    <xf numFmtId="0" fontId="10" fillId="15" borderId="8" xfId="0" quotePrefix="1" applyFont="1" applyFill="1" applyBorder="1" applyAlignment="1" applyProtection="1">
      <alignment horizontal="center" vertical="center" wrapText="1"/>
      <protection hidden="1"/>
    </xf>
    <xf numFmtId="0" fontId="10" fillId="15" borderId="14" xfId="0" quotePrefix="1" applyFont="1" applyFill="1" applyBorder="1" applyAlignment="1" applyProtection="1">
      <alignment horizontal="center" vertical="center" wrapText="1"/>
      <protection hidden="1"/>
    </xf>
    <xf numFmtId="0" fontId="10" fillId="15" borderId="3" xfId="0" quotePrefix="1" applyFont="1" applyFill="1" applyBorder="1" applyAlignment="1" applyProtection="1">
      <alignment horizontal="center" vertical="center" wrapText="1"/>
      <protection hidden="1"/>
    </xf>
    <xf numFmtId="0" fontId="10" fillId="15" borderId="0" xfId="0" quotePrefix="1" applyFont="1" applyFill="1" applyAlignment="1" applyProtection="1">
      <alignment horizontal="center" vertical="center" wrapText="1"/>
      <protection hidden="1"/>
    </xf>
    <xf numFmtId="0" fontId="10" fillId="15" borderId="24" xfId="0" quotePrefix="1" applyFont="1" applyFill="1" applyBorder="1" applyAlignment="1" applyProtection="1">
      <alignment horizontal="center" vertical="center" wrapText="1"/>
      <protection hidden="1"/>
    </xf>
    <xf numFmtId="0" fontId="10" fillId="15" borderId="9" xfId="0" quotePrefix="1" applyFont="1" applyFill="1" applyBorder="1" applyAlignment="1" applyProtection="1">
      <alignment horizontal="center" vertical="center" wrapText="1"/>
      <protection hidden="1"/>
    </xf>
    <xf numFmtId="0" fontId="10" fillId="15" borderId="1" xfId="0" quotePrefix="1" applyFont="1" applyFill="1" applyBorder="1" applyAlignment="1" applyProtection="1">
      <alignment horizontal="center" vertical="center" wrapText="1"/>
      <protection hidden="1"/>
    </xf>
    <xf numFmtId="0" fontId="10" fillId="15" borderId="11" xfId="0" quotePrefix="1" applyFont="1" applyFill="1" applyBorder="1" applyAlignment="1" applyProtection="1">
      <alignment horizontal="center" vertical="center" wrapText="1"/>
      <protection hidden="1"/>
    </xf>
    <xf numFmtId="37" fontId="10" fillId="27" borderId="69" xfId="0" quotePrefix="1" applyNumberFormat="1" applyFont="1" applyFill="1" applyBorder="1" applyAlignment="1">
      <alignment horizontal="right" indent="1"/>
    </xf>
    <xf numFmtId="37" fontId="10" fillId="27" borderId="4" xfId="0" quotePrefix="1" applyNumberFormat="1" applyFont="1" applyFill="1" applyBorder="1" applyAlignment="1">
      <alignment horizontal="right" indent="1"/>
    </xf>
    <xf numFmtId="37" fontId="10" fillId="27" borderId="70" xfId="0" quotePrefix="1" applyNumberFormat="1" applyFont="1" applyFill="1" applyBorder="1" applyAlignment="1">
      <alignment horizontal="right" indent="1"/>
    </xf>
    <xf numFmtId="0" fontId="110" fillId="15" borderId="8" xfId="0" applyFont="1" applyFill="1" applyBorder="1" applyAlignment="1" applyProtection="1">
      <alignment horizontal="center"/>
      <protection hidden="1"/>
    </xf>
    <xf numFmtId="39" fontId="10" fillId="27" borderId="39" xfId="0" quotePrefix="1" applyNumberFormat="1" applyFont="1" applyFill="1" applyBorder="1" applyAlignment="1">
      <alignment horizontal="center"/>
    </xf>
    <xf numFmtId="39" fontId="10" fillId="27" borderId="25" xfId="0" quotePrefix="1" applyNumberFormat="1" applyFont="1" applyFill="1" applyBorder="1" applyAlignment="1">
      <alignment horizontal="center"/>
    </xf>
    <xf numFmtId="39" fontId="10" fillId="27" borderId="54" xfId="0" quotePrefix="1" applyNumberFormat="1" applyFont="1" applyFill="1" applyBorder="1" applyAlignment="1">
      <alignment horizontal="center"/>
    </xf>
    <xf numFmtId="0" fontId="0" fillId="19" borderId="30" xfId="0" applyFill="1" applyBorder="1" applyAlignment="1" applyProtection="1">
      <alignment horizontal="center"/>
      <protection hidden="1"/>
    </xf>
    <xf numFmtId="0" fontId="0" fillId="19" borderId="8" xfId="0" applyFill="1" applyBorder="1" applyAlignment="1" applyProtection="1">
      <alignment horizontal="center"/>
      <protection hidden="1"/>
    </xf>
    <xf numFmtId="0" fontId="0" fillId="19" borderId="14" xfId="0" applyFill="1" applyBorder="1" applyAlignment="1" applyProtection="1">
      <alignment horizontal="center"/>
      <protection hidden="1"/>
    </xf>
    <xf numFmtId="0" fontId="0" fillId="19" borderId="3" xfId="0" applyFill="1" applyBorder="1" applyAlignment="1" applyProtection="1">
      <alignment horizontal="center"/>
      <protection hidden="1"/>
    </xf>
    <xf numFmtId="0" fontId="0" fillId="19" borderId="0" xfId="0" applyFill="1" applyAlignment="1" applyProtection="1">
      <alignment horizontal="center"/>
      <protection hidden="1"/>
    </xf>
    <xf numFmtId="0" fontId="0" fillId="19" borderId="24" xfId="0" applyFill="1" applyBorder="1" applyAlignment="1" applyProtection="1">
      <alignment horizontal="center"/>
      <protection hidden="1"/>
    </xf>
    <xf numFmtId="0" fontId="0" fillId="19" borderId="9" xfId="0" applyFill="1" applyBorder="1" applyAlignment="1" applyProtection="1">
      <alignment horizontal="center"/>
      <protection hidden="1"/>
    </xf>
    <xf numFmtId="0" fontId="0" fillId="19" borderId="1" xfId="0" applyFill="1" applyBorder="1" applyAlignment="1" applyProtection="1">
      <alignment horizontal="center"/>
      <protection hidden="1"/>
    </xf>
    <xf numFmtId="0" fontId="0" fillId="19" borderId="11" xfId="0" applyFill="1" applyBorder="1" applyAlignment="1" applyProtection="1">
      <alignment horizontal="center"/>
      <protection hidden="1"/>
    </xf>
    <xf numFmtId="37" fontId="10" fillId="16" borderId="39" xfId="0" quotePrefix="1" applyNumberFormat="1" applyFont="1" applyFill="1" applyBorder="1" applyAlignment="1" applyProtection="1">
      <alignment horizontal="center"/>
      <protection locked="0"/>
    </xf>
    <xf numFmtId="37" fontId="10" fillId="16" borderId="25" xfId="0" quotePrefix="1" applyNumberFormat="1" applyFont="1" applyFill="1" applyBorder="1" applyAlignment="1" applyProtection="1">
      <alignment horizontal="center"/>
      <protection locked="0"/>
    </xf>
    <xf numFmtId="37" fontId="10" fillId="16" borderId="54" xfId="0" quotePrefix="1" applyNumberFormat="1" applyFont="1" applyFill="1" applyBorder="1" applyAlignment="1" applyProtection="1">
      <alignment horizontal="center"/>
      <protection locked="0"/>
    </xf>
    <xf numFmtId="0" fontId="10" fillId="16" borderId="31" xfId="0" applyFont="1" applyFill="1" applyBorder="1" applyAlignment="1" applyProtection="1">
      <alignment horizontal="center"/>
      <protection locked="0"/>
    </xf>
    <xf numFmtId="0" fontId="10" fillId="16" borderId="73" xfId="0" applyFont="1" applyFill="1" applyBorder="1" applyAlignment="1" applyProtection="1">
      <alignment horizontal="center"/>
      <protection locked="0"/>
    </xf>
    <xf numFmtId="37" fontId="10" fillId="16" borderId="69" xfId="0" quotePrefix="1" applyNumberFormat="1" applyFont="1" applyFill="1" applyBorder="1" applyAlignment="1" applyProtection="1">
      <alignment horizontal="right" indent="1"/>
      <protection locked="0"/>
    </xf>
    <xf numFmtId="37" fontId="10" fillId="16" borderId="4" xfId="0" quotePrefix="1" applyNumberFormat="1" applyFont="1" applyFill="1" applyBorder="1" applyAlignment="1" applyProtection="1">
      <alignment horizontal="right" indent="1"/>
      <protection locked="0"/>
    </xf>
    <xf numFmtId="37" fontId="10" fillId="16" borderId="70" xfId="0" quotePrefix="1" applyNumberFormat="1" applyFont="1" applyFill="1" applyBorder="1" applyAlignment="1" applyProtection="1">
      <alignment horizontal="right" indent="1"/>
      <protection locked="0"/>
    </xf>
    <xf numFmtId="0" fontId="13" fillId="15" borderId="0" xfId="0" applyFont="1" applyFill="1" applyAlignment="1" applyProtection="1">
      <alignment horizontal="center" vertical="center"/>
      <protection hidden="1"/>
    </xf>
    <xf numFmtId="0" fontId="13" fillId="15" borderId="24" xfId="0" applyFont="1" applyFill="1" applyBorder="1" applyAlignment="1" applyProtection="1">
      <alignment horizontal="center" vertical="center"/>
      <protection hidden="1"/>
    </xf>
    <xf numFmtId="0" fontId="19" fillId="2" borderId="7" xfId="0" applyFont="1" applyFill="1" applyBorder="1" applyAlignment="1" applyProtection="1">
      <alignment horizontal="center"/>
      <protection hidden="1"/>
    </xf>
    <xf numFmtId="37" fontId="10" fillId="16" borderId="52" xfId="0" quotePrefix="1" applyNumberFormat="1" applyFont="1" applyFill="1" applyBorder="1" applyAlignment="1" applyProtection="1">
      <alignment horizontal="right" indent="1"/>
      <protection locked="0"/>
    </xf>
    <xf numFmtId="37" fontId="10" fillId="16" borderId="31" xfId="0" quotePrefix="1" applyNumberFormat="1" applyFont="1" applyFill="1" applyBorder="1" applyAlignment="1" applyProtection="1">
      <alignment horizontal="right" indent="1"/>
      <protection locked="0"/>
    </xf>
    <xf numFmtId="37" fontId="10" fillId="16" borderId="73" xfId="0" quotePrefix="1" applyNumberFormat="1" applyFont="1" applyFill="1" applyBorder="1" applyAlignment="1" applyProtection="1">
      <alignment horizontal="right" indent="1"/>
      <protection locked="0"/>
    </xf>
    <xf numFmtId="39" fontId="10" fillId="15" borderId="35" xfId="0" quotePrefix="1" applyNumberFormat="1" applyFont="1" applyFill="1" applyBorder="1" applyAlignment="1" applyProtection="1">
      <alignment horizontal="center"/>
      <protection hidden="1"/>
    </xf>
    <xf numFmtId="39" fontId="10" fillId="15" borderId="13" xfId="0" quotePrefix="1" applyNumberFormat="1" applyFont="1" applyFill="1" applyBorder="1" applyAlignment="1" applyProtection="1">
      <alignment horizontal="center"/>
      <protection hidden="1"/>
    </xf>
    <xf numFmtId="39" fontId="10" fillId="15" borderId="17" xfId="0" quotePrefix="1" applyNumberFormat="1" applyFont="1" applyFill="1" applyBorder="1" applyAlignment="1" applyProtection="1">
      <alignment horizontal="center"/>
      <protection hidden="1"/>
    </xf>
    <xf numFmtId="37" fontId="19" fillId="27" borderId="35" xfId="0" applyNumberFormat="1" applyFont="1" applyFill="1" applyBorder="1" applyAlignment="1">
      <alignment horizontal="right" wrapText="1" indent="1"/>
    </xf>
    <xf numFmtId="37" fontId="19" fillId="27" borderId="13" xfId="0" applyNumberFormat="1" applyFont="1" applyFill="1" applyBorder="1" applyAlignment="1">
      <alignment horizontal="right" wrapText="1" indent="1"/>
    </xf>
    <xf numFmtId="37" fontId="19" fillId="27" borderId="17" xfId="0" applyNumberFormat="1" applyFont="1" applyFill="1" applyBorder="1" applyAlignment="1">
      <alignment horizontal="right" wrapText="1" indent="1"/>
    </xf>
    <xf numFmtId="37" fontId="19" fillId="27" borderId="35" xfId="0" applyNumberFormat="1" applyFont="1" applyFill="1" applyBorder="1" applyAlignment="1">
      <alignment horizontal="center" wrapText="1"/>
    </xf>
    <xf numFmtId="37" fontId="19" fillId="27" borderId="13" xfId="0" applyNumberFormat="1" applyFont="1" applyFill="1" applyBorder="1" applyAlignment="1">
      <alignment horizontal="center" wrapText="1"/>
    </xf>
    <xf numFmtId="37" fontId="19" fillId="27" borderId="17" xfId="0" applyNumberFormat="1" applyFont="1" applyFill="1" applyBorder="1" applyAlignment="1">
      <alignment horizontal="center" wrapText="1"/>
    </xf>
    <xf numFmtId="37" fontId="19" fillId="27" borderId="35" xfId="0" applyNumberFormat="1" applyFont="1" applyFill="1" applyBorder="1" applyAlignment="1">
      <alignment horizontal="right" wrapText="1"/>
    </xf>
    <xf numFmtId="37" fontId="19" fillId="27" borderId="13" xfId="0" applyNumberFormat="1" applyFont="1" applyFill="1" applyBorder="1" applyAlignment="1">
      <alignment horizontal="right" wrapText="1"/>
    </xf>
    <xf numFmtId="37" fontId="19" fillId="27" borderId="9" xfId="0" applyNumberFormat="1" applyFont="1" applyFill="1" applyBorder="1" applyAlignment="1">
      <alignment horizontal="right" wrapText="1" indent="1"/>
    </xf>
    <xf numFmtId="37" fontId="19" fillId="27" borderId="1" xfId="0" applyNumberFormat="1" applyFont="1" applyFill="1" applyBorder="1" applyAlignment="1">
      <alignment horizontal="right" wrapText="1" indent="1"/>
    </xf>
    <xf numFmtId="37" fontId="19" fillId="27" borderId="11" xfId="0" applyNumberFormat="1" applyFont="1" applyFill="1" applyBorder="1" applyAlignment="1">
      <alignment horizontal="right" wrapText="1" indent="1"/>
    </xf>
    <xf numFmtId="39" fontId="19" fillId="27" borderId="9" xfId="0" applyNumberFormat="1" applyFont="1" applyFill="1" applyBorder="1" applyAlignment="1">
      <alignment horizontal="right" wrapText="1" indent="1"/>
    </xf>
    <xf numFmtId="39" fontId="19" fillId="27" borderId="1" xfId="0" applyNumberFormat="1" applyFont="1" applyFill="1" applyBorder="1" applyAlignment="1">
      <alignment horizontal="right" wrapText="1" indent="1"/>
    </xf>
    <xf numFmtId="39" fontId="19" fillId="27" borderId="11" xfId="0" applyNumberFormat="1" applyFont="1" applyFill="1" applyBorder="1" applyAlignment="1">
      <alignment horizontal="right" wrapText="1" indent="1"/>
    </xf>
    <xf numFmtId="37" fontId="19" fillId="27" borderId="9" xfId="0" applyNumberFormat="1" applyFont="1" applyFill="1" applyBorder="1" applyAlignment="1">
      <alignment horizontal="right" wrapText="1"/>
    </xf>
    <xf numFmtId="37" fontId="19" fillId="27" borderId="1" xfId="0" applyNumberFormat="1" applyFont="1" applyFill="1" applyBorder="1" applyAlignment="1">
      <alignment horizontal="right" wrapText="1"/>
    </xf>
    <xf numFmtId="37" fontId="19" fillId="27" borderId="11" xfId="0" applyNumberFormat="1" applyFont="1" applyFill="1" applyBorder="1" applyAlignment="1">
      <alignment horizontal="right" wrapText="1"/>
    </xf>
    <xf numFmtId="0" fontId="10" fillId="16" borderId="227" xfId="0" applyFont="1" applyFill="1" applyBorder="1" applyAlignment="1" applyProtection="1">
      <alignment horizontal="center"/>
      <protection locked="0"/>
    </xf>
    <xf numFmtId="0" fontId="10" fillId="16" borderId="84" xfId="0" applyFont="1" applyFill="1" applyBorder="1" applyAlignment="1" applyProtection="1">
      <alignment horizontal="center"/>
      <protection locked="0"/>
    </xf>
    <xf numFmtId="37" fontId="19" fillId="16" borderId="9" xfId="0" applyNumberFormat="1" applyFont="1" applyFill="1" applyBorder="1" applyAlignment="1" applyProtection="1">
      <alignment horizontal="right" wrapText="1" indent="1"/>
      <protection locked="0"/>
    </xf>
    <xf numFmtId="37" fontId="19" fillId="16" borderId="1" xfId="0" applyNumberFormat="1" applyFont="1" applyFill="1" applyBorder="1" applyAlignment="1" applyProtection="1">
      <alignment horizontal="right" wrapText="1" indent="1"/>
      <protection locked="0"/>
    </xf>
    <xf numFmtId="37" fontId="19" fillId="16" borderId="11" xfId="0" applyNumberFormat="1" applyFont="1" applyFill="1" applyBorder="1" applyAlignment="1" applyProtection="1">
      <alignment horizontal="right" wrapText="1" indent="1"/>
      <protection locked="0"/>
    </xf>
    <xf numFmtId="0" fontId="124" fillId="31" borderId="7" xfId="0" applyFont="1" applyFill="1" applyBorder="1" applyAlignment="1" applyProtection="1">
      <alignment horizontal="center" vertical="center"/>
      <protection hidden="1"/>
    </xf>
    <xf numFmtId="0" fontId="10" fillId="15" borderId="8" xfId="0" applyFont="1" applyFill="1" applyBorder="1" applyAlignment="1" applyProtection="1">
      <alignment horizontal="center" vertical="center"/>
      <protection hidden="1"/>
    </xf>
    <xf numFmtId="0" fontId="10" fillId="15" borderId="14" xfId="0" applyFont="1" applyFill="1" applyBorder="1" applyAlignment="1" applyProtection="1">
      <alignment horizontal="center" vertical="center"/>
      <protection hidden="1"/>
    </xf>
    <xf numFmtId="0" fontId="10" fillId="15" borderId="1" xfId="0" applyFont="1" applyFill="1" applyBorder="1" applyAlignment="1" applyProtection="1">
      <alignment horizontal="center" vertical="center"/>
      <protection hidden="1"/>
    </xf>
    <xf numFmtId="0" fontId="10" fillId="15" borderId="11" xfId="0" applyFont="1" applyFill="1" applyBorder="1" applyAlignment="1" applyProtection="1">
      <alignment horizontal="center" vertical="center"/>
      <protection hidden="1"/>
    </xf>
    <xf numFmtId="0" fontId="13" fillId="15" borderId="30" xfId="0" applyFont="1" applyFill="1" applyBorder="1" applyAlignment="1" applyProtection="1">
      <alignment horizontal="center" vertical="center" wrapText="1"/>
      <protection hidden="1"/>
    </xf>
    <xf numFmtId="0" fontId="10" fillId="15" borderId="30" xfId="0" applyFont="1" applyFill="1" applyBorder="1" applyAlignment="1" applyProtection="1">
      <alignment horizontal="center" vertical="center" wrapText="1"/>
      <protection hidden="1"/>
    </xf>
    <xf numFmtId="0" fontId="0" fillId="16" borderId="1" xfId="0" applyFill="1" applyBorder="1" applyAlignment="1" applyProtection="1">
      <alignment horizontal="center"/>
      <protection locked="0"/>
    </xf>
    <xf numFmtId="0" fontId="0" fillId="16" borderId="11" xfId="0" applyFill="1" applyBorder="1" applyAlignment="1" applyProtection="1">
      <alignment horizontal="center"/>
      <protection locked="0"/>
    </xf>
    <xf numFmtId="0" fontId="84" fillId="15" borderId="217" xfId="0" applyFont="1" applyFill="1" applyBorder="1" applyAlignment="1" applyProtection="1">
      <alignment horizontal="center" wrapText="1"/>
      <protection hidden="1"/>
    </xf>
    <xf numFmtId="0" fontId="0" fillId="0" borderId="217" xfId="0" applyBorder="1" applyAlignment="1">
      <alignment horizontal="center"/>
    </xf>
    <xf numFmtId="0" fontId="5" fillId="15" borderId="1" xfId="0" applyFont="1" applyFill="1" applyBorder="1" applyAlignment="1" applyProtection="1">
      <alignment horizontal="center" vertical="center"/>
      <protection hidden="1"/>
    </xf>
    <xf numFmtId="0" fontId="0" fillId="0" borderId="1" xfId="0" applyBorder="1" applyAlignment="1" applyProtection="1">
      <alignment horizontal="center" vertical="center"/>
      <protection hidden="1"/>
    </xf>
    <xf numFmtId="0" fontId="148" fillId="15" borderId="8" xfId="0" applyFont="1" applyFill="1" applyBorder="1" applyAlignment="1" applyProtection="1">
      <alignment horizontal="center" vertical="center"/>
      <protection hidden="1"/>
    </xf>
    <xf numFmtId="0" fontId="43" fillId="15" borderId="0" xfId="0" applyFont="1" applyFill="1" applyAlignment="1" applyProtection="1">
      <alignment horizontal="center" vertical="center"/>
      <protection hidden="1"/>
    </xf>
    <xf numFmtId="0" fontId="43" fillId="15" borderId="4" xfId="0" applyFont="1" applyFill="1" applyBorder="1" applyAlignment="1" applyProtection="1">
      <alignment horizontal="center" vertical="center"/>
      <protection hidden="1"/>
    </xf>
    <xf numFmtId="0" fontId="14" fillId="15" borderId="219" xfId="0" applyFont="1" applyFill="1" applyBorder="1" applyAlignment="1" applyProtection="1">
      <alignment horizontal="center" vertical="top"/>
      <protection hidden="1"/>
    </xf>
    <xf numFmtId="0" fontId="14" fillId="0" borderId="219" xfId="0" applyFont="1" applyBorder="1" applyAlignment="1" applyProtection="1">
      <alignment horizontal="center" vertical="top"/>
      <protection hidden="1"/>
    </xf>
    <xf numFmtId="0" fontId="5" fillId="15" borderId="4" xfId="0" applyFont="1" applyFill="1" applyBorder="1" applyAlignment="1" applyProtection="1">
      <alignment horizontal="center" vertical="center"/>
      <protection hidden="1"/>
    </xf>
    <xf numFmtId="0" fontId="0" fillId="0" borderId="4" xfId="0" applyBorder="1" applyAlignment="1" applyProtection="1">
      <alignment horizontal="center" vertical="center"/>
      <protection hidden="1"/>
    </xf>
    <xf numFmtId="37" fontId="19" fillId="28" borderId="31" xfId="0" applyNumberFormat="1" applyFont="1" applyFill="1" applyBorder="1" applyAlignment="1" applyProtection="1">
      <alignment horizontal="right"/>
      <protection hidden="1"/>
    </xf>
    <xf numFmtId="37" fontId="19" fillId="0" borderId="31" xfId="0" applyNumberFormat="1" applyFont="1" applyBorder="1" applyAlignment="1" applyProtection="1">
      <alignment horizontal="right"/>
      <protection hidden="1"/>
    </xf>
    <xf numFmtId="37" fontId="19" fillId="26" borderId="25" xfId="0" applyNumberFormat="1" applyFont="1" applyFill="1" applyBorder="1" applyAlignment="1" applyProtection="1">
      <alignment horizontal="right"/>
      <protection hidden="1"/>
    </xf>
    <xf numFmtId="37" fontId="19" fillId="28" borderId="1" xfId="0" applyNumberFormat="1" applyFont="1" applyFill="1" applyBorder="1" applyAlignment="1" applyProtection="1">
      <alignment horizontal="right"/>
      <protection hidden="1"/>
    </xf>
    <xf numFmtId="37" fontId="19" fillId="0" borderId="1" xfId="0" applyNumberFormat="1" applyFont="1" applyBorder="1" applyAlignment="1" applyProtection="1">
      <alignment horizontal="right"/>
      <protection hidden="1"/>
    </xf>
    <xf numFmtId="0" fontId="19" fillId="15" borderId="8" xfId="0" applyFont="1" applyFill="1" applyBorder="1" applyAlignment="1" applyProtection="1">
      <alignment horizontal="left" vertical="center"/>
      <protection hidden="1"/>
    </xf>
    <xf numFmtId="37" fontId="14" fillId="14" borderId="0" xfId="0" applyNumberFormat="1" applyFont="1" applyFill="1" applyAlignment="1" applyProtection="1">
      <alignment horizontal="right"/>
      <protection locked="0"/>
    </xf>
    <xf numFmtId="37" fontId="14" fillId="15" borderId="0" xfId="0" applyNumberFormat="1" applyFont="1" applyFill="1" applyAlignment="1" applyProtection="1">
      <alignment horizontal="right"/>
      <protection locked="0"/>
    </xf>
    <xf numFmtId="0" fontId="269" fillId="15" borderId="0" xfId="0" quotePrefix="1" applyFont="1" applyFill="1" applyAlignment="1" applyProtection="1">
      <alignment horizontal="left" vertical="center"/>
      <protection hidden="1"/>
    </xf>
    <xf numFmtId="0" fontId="269" fillId="15" borderId="75" xfId="0" quotePrefix="1" applyFont="1" applyFill="1" applyBorder="1" applyAlignment="1" applyProtection="1">
      <alignment horizontal="left" vertical="center"/>
      <protection hidden="1"/>
    </xf>
    <xf numFmtId="0" fontId="14" fillId="15" borderId="100" xfId="0" applyFont="1" applyFill="1" applyBorder="1" applyAlignment="1" applyProtection="1">
      <alignment horizontal="center" vertical="center"/>
      <protection hidden="1"/>
    </xf>
    <xf numFmtId="0" fontId="14" fillId="15" borderId="75" xfId="0" applyFont="1" applyFill="1" applyBorder="1" applyAlignment="1" applyProtection="1">
      <alignment horizontal="center" vertical="center"/>
      <protection hidden="1"/>
    </xf>
    <xf numFmtId="0" fontId="3" fillId="15" borderId="100" xfId="0" applyFont="1" applyFill="1" applyBorder="1" applyAlignment="1" applyProtection="1">
      <alignment horizontal="center" vertical="center"/>
      <protection hidden="1"/>
    </xf>
    <xf numFmtId="0" fontId="3" fillId="15" borderId="75" xfId="0" applyFont="1" applyFill="1" applyBorder="1" applyAlignment="1" applyProtection="1">
      <alignment horizontal="center" vertical="center"/>
      <protection hidden="1"/>
    </xf>
    <xf numFmtId="37" fontId="19" fillId="26" borderId="9" xfId="0" applyNumberFormat="1" applyFont="1" applyFill="1" applyBorder="1" applyAlignment="1" applyProtection="1">
      <alignment horizontal="right"/>
      <protection hidden="1"/>
    </xf>
    <xf numFmtId="37" fontId="19" fillId="26" borderId="1" xfId="0" applyNumberFormat="1" applyFont="1" applyFill="1" applyBorder="1" applyAlignment="1" applyProtection="1">
      <alignment horizontal="right"/>
      <protection hidden="1"/>
    </xf>
    <xf numFmtId="37" fontId="19" fillId="26" borderId="11" xfId="0" applyNumberFormat="1" applyFont="1" applyFill="1" applyBorder="1" applyAlignment="1" applyProtection="1">
      <alignment horizontal="right"/>
      <protection hidden="1"/>
    </xf>
    <xf numFmtId="0" fontId="43" fillId="28" borderId="1" xfId="0" quotePrefix="1" applyFont="1" applyFill="1" applyBorder="1" applyAlignment="1" applyProtection="1">
      <alignment horizontal="left" vertical="center" indent="1"/>
      <protection hidden="1"/>
    </xf>
    <xf numFmtId="0" fontId="43" fillId="28" borderId="11" xfId="0" quotePrefix="1" applyFont="1" applyFill="1" applyBorder="1" applyAlignment="1" applyProtection="1">
      <alignment horizontal="left" vertical="center" indent="1"/>
      <protection hidden="1"/>
    </xf>
    <xf numFmtId="37" fontId="10" fillId="16" borderId="30" xfId="0" quotePrefix="1" applyNumberFormat="1" applyFont="1" applyFill="1" applyBorder="1" applyAlignment="1" applyProtection="1">
      <alignment horizontal="right" indent="1"/>
      <protection locked="0"/>
    </xf>
    <xf numFmtId="37" fontId="10" fillId="16" borderId="8" xfId="0" quotePrefix="1" applyNumberFormat="1" applyFont="1" applyFill="1" applyBorder="1" applyAlignment="1" applyProtection="1">
      <alignment horizontal="right" indent="1"/>
      <protection locked="0"/>
    </xf>
    <xf numFmtId="37" fontId="10" fillId="16" borderId="14" xfId="0" quotePrefix="1" applyNumberFormat="1" applyFont="1" applyFill="1" applyBorder="1" applyAlignment="1" applyProtection="1">
      <alignment horizontal="right" indent="1"/>
      <protection locked="0"/>
    </xf>
    <xf numFmtId="0" fontId="73" fillId="15" borderId="8" xfId="0" applyFont="1" applyFill="1" applyBorder="1" applyAlignment="1" applyProtection="1">
      <alignment horizontal="center" vertical="center"/>
      <protection hidden="1"/>
    </xf>
    <xf numFmtId="0" fontId="73" fillId="15" borderId="14" xfId="0" applyFont="1" applyFill="1" applyBorder="1" applyAlignment="1" applyProtection="1">
      <alignment horizontal="center" vertical="center"/>
      <protection hidden="1"/>
    </xf>
    <xf numFmtId="0" fontId="73" fillId="15" borderId="0" xfId="0" applyFont="1" applyFill="1" applyAlignment="1" applyProtection="1">
      <alignment horizontal="center" vertical="center"/>
      <protection hidden="1"/>
    </xf>
    <xf numFmtId="0" fontId="73" fillId="15" borderId="24" xfId="0" applyFont="1" applyFill="1" applyBorder="1" applyAlignment="1" applyProtection="1">
      <alignment horizontal="center" vertical="center"/>
      <protection hidden="1"/>
    </xf>
    <xf numFmtId="0" fontId="73" fillId="15" borderId="1" xfId="0" applyFont="1" applyFill="1" applyBorder="1" applyAlignment="1" applyProtection="1">
      <alignment horizontal="center" vertical="center"/>
      <protection hidden="1"/>
    </xf>
    <xf numFmtId="0" fontId="73" fillId="15" borderId="11" xfId="0" applyFont="1" applyFill="1" applyBorder="1" applyAlignment="1" applyProtection="1">
      <alignment horizontal="center" vertical="center"/>
      <protection hidden="1"/>
    </xf>
    <xf numFmtId="0" fontId="46" fillId="15" borderId="30" xfId="0" quotePrefix="1" applyFont="1" applyFill="1" applyBorder="1" applyAlignment="1" applyProtection="1">
      <alignment horizontal="center" vertical="center" wrapText="1"/>
      <protection hidden="1"/>
    </xf>
    <xf numFmtId="0" fontId="46" fillId="15" borderId="8" xfId="0" quotePrefix="1" applyFont="1" applyFill="1" applyBorder="1" applyAlignment="1" applyProtection="1">
      <alignment horizontal="center" vertical="center" wrapText="1"/>
      <protection hidden="1"/>
    </xf>
    <xf numFmtId="0" fontId="46" fillId="15" borderId="14" xfId="0" quotePrefix="1" applyFont="1" applyFill="1" applyBorder="1" applyAlignment="1" applyProtection="1">
      <alignment horizontal="center" vertical="center" wrapText="1"/>
      <protection hidden="1"/>
    </xf>
    <xf numFmtId="0" fontId="46" fillId="15" borderId="3" xfId="0" quotePrefix="1" applyFont="1" applyFill="1" applyBorder="1" applyAlignment="1" applyProtection="1">
      <alignment horizontal="center" vertical="center" wrapText="1"/>
      <protection hidden="1"/>
    </xf>
    <xf numFmtId="0" fontId="46" fillId="15" borderId="0" xfId="0" quotePrefix="1" applyFont="1" applyFill="1" applyAlignment="1" applyProtection="1">
      <alignment horizontal="center" vertical="center" wrapText="1"/>
      <protection hidden="1"/>
    </xf>
    <xf numFmtId="0" fontId="46" fillId="15" borderId="24" xfId="0" quotePrefix="1" applyFont="1" applyFill="1" applyBorder="1" applyAlignment="1" applyProtection="1">
      <alignment horizontal="center" vertical="center" wrapText="1"/>
      <protection hidden="1"/>
    </xf>
    <xf numFmtId="0" fontId="46" fillId="15" borderId="9" xfId="0" quotePrefix="1" applyFont="1" applyFill="1" applyBorder="1" applyAlignment="1" applyProtection="1">
      <alignment horizontal="center" vertical="center" wrapText="1"/>
      <protection hidden="1"/>
    </xf>
    <xf numFmtId="0" fontId="46" fillId="15" borderId="1" xfId="0" quotePrefix="1" applyFont="1" applyFill="1" applyBorder="1" applyAlignment="1" applyProtection="1">
      <alignment horizontal="center" vertical="center" wrapText="1"/>
      <protection hidden="1"/>
    </xf>
    <xf numFmtId="0" fontId="46" fillId="15" borderId="11" xfId="0" quotePrefix="1" applyFont="1" applyFill="1" applyBorder="1" applyAlignment="1" applyProtection="1">
      <alignment horizontal="center" vertical="center" wrapText="1"/>
      <protection hidden="1"/>
    </xf>
    <xf numFmtId="0" fontId="10" fillId="15" borderId="30" xfId="0" quotePrefix="1" applyFont="1" applyFill="1" applyBorder="1" applyAlignment="1" applyProtection="1">
      <alignment horizontal="center" wrapText="1"/>
      <protection hidden="1"/>
    </xf>
    <xf numFmtId="0" fontId="10" fillId="15" borderId="8" xfId="0" quotePrefix="1" applyFont="1" applyFill="1" applyBorder="1" applyAlignment="1" applyProtection="1">
      <alignment horizontal="center" wrapText="1"/>
      <protection hidden="1"/>
    </xf>
    <xf numFmtId="0" fontId="10" fillId="15" borderId="14" xfId="0" quotePrefix="1" applyFont="1" applyFill="1" applyBorder="1" applyAlignment="1" applyProtection="1">
      <alignment horizontal="center" wrapText="1"/>
      <protection hidden="1"/>
    </xf>
    <xf numFmtId="0" fontId="10" fillId="15" borderId="9" xfId="0" quotePrefix="1" applyFont="1" applyFill="1" applyBorder="1" applyAlignment="1" applyProtection="1">
      <alignment horizontal="center" wrapText="1"/>
      <protection hidden="1"/>
    </xf>
    <xf numFmtId="0" fontId="10" fillId="15" borderId="1" xfId="0" quotePrefix="1" applyFont="1" applyFill="1" applyBorder="1" applyAlignment="1" applyProtection="1">
      <alignment horizontal="center" wrapText="1"/>
      <protection hidden="1"/>
    </xf>
    <xf numFmtId="0" fontId="10" fillId="15" borderId="11" xfId="0" quotePrefix="1" applyFont="1" applyFill="1" applyBorder="1" applyAlignment="1" applyProtection="1">
      <alignment horizontal="center" wrapText="1"/>
      <protection hidden="1"/>
    </xf>
    <xf numFmtId="0" fontId="224" fillId="31" borderId="0" xfId="0" applyFont="1" applyFill="1" applyAlignment="1" applyProtection="1">
      <alignment horizontal="center" vertical="center"/>
      <protection hidden="1"/>
    </xf>
    <xf numFmtId="39" fontId="10" fillId="15" borderId="56" xfId="0" quotePrefix="1" applyNumberFormat="1" applyFont="1" applyFill="1" applyBorder="1" applyAlignment="1" applyProtection="1">
      <alignment horizontal="center"/>
      <protection hidden="1"/>
    </xf>
    <xf numFmtId="0" fontId="10" fillId="15" borderId="7" xfId="0" quotePrefix="1" applyFont="1" applyFill="1" applyBorder="1" applyAlignment="1" applyProtection="1">
      <alignment horizontal="center"/>
      <protection hidden="1"/>
    </xf>
    <xf numFmtId="0" fontId="10" fillId="15" borderId="36" xfId="0" quotePrefix="1" applyFont="1" applyFill="1" applyBorder="1" applyAlignment="1" applyProtection="1">
      <alignment horizontal="center"/>
      <protection hidden="1"/>
    </xf>
    <xf numFmtId="0" fontId="10" fillId="15" borderId="8" xfId="0" quotePrefix="1" applyFont="1" applyFill="1" applyBorder="1" applyAlignment="1" applyProtection="1">
      <alignment horizontal="center" vertical="center"/>
      <protection hidden="1"/>
    </xf>
    <xf numFmtId="0" fontId="10" fillId="15" borderId="0" xfId="0" quotePrefix="1" applyFont="1" applyFill="1" applyAlignment="1" applyProtection="1">
      <alignment horizontal="center" vertical="center"/>
      <protection hidden="1"/>
    </xf>
    <xf numFmtId="0" fontId="10" fillId="15" borderId="1" xfId="0" quotePrefix="1" applyFont="1" applyFill="1" applyBorder="1" applyAlignment="1" applyProtection="1">
      <alignment horizontal="center" vertical="center"/>
      <protection hidden="1"/>
    </xf>
    <xf numFmtId="0" fontId="10" fillId="15" borderId="30" xfId="0" quotePrefix="1" applyFont="1" applyFill="1" applyBorder="1" applyAlignment="1" applyProtection="1">
      <alignment horizontal="center" vertical="center"/>
      <protection hidden="1"/>
    </xf>
    <xf numFmtId="0" fontId="10" fillId="15" borderId="14" xfId="0" quotePrefix="1" applyFont="1" applyFill="1" applyBorder="1" applyAlignment="1" applyProtection="1">
      <alignment horizontal="center" vertical="center"/>
      <protection hidden="1"/>
    </xf>
    <xf numFmtId="0" fontId="10" fillId="15" borderId="9" xfId="0" quotePrefix="1" applyFont="1" applyFill="1" applyBorder="1" applyAlignment="1" applyProtection="1">
      <alignment horizontal="center" vertical="center"/>
      <protection hidden="1"/>
    </xf>
    <xf numFmtId="0" fontId="10" fillId="15" borderId="11" xfId="0" quotePrefix="1" applyFont="1" applyFill="1" applyBorder="1" applyAlignment="1" applyProtection="1">
      <alignment horizontal="center" vertical="center"/>
      <protection hidden="1"/>
    </xf>
    <xf numFmtId="166" fontId="43" fillId="20" borderId="9" xfId="0" quotePrefix="1" applyNumberFormat="1" applyFont="1" applyFill="1" applyBorder="1" applyAlignment="1" applyProtection="1">
      <alignment horizontal="center" vertical="center"/>
      <protection locked="0"/>
    </xf>
    <xf numFmtId="166" fontId="43" fillId="20" borderId="1" xfId="0" quotePrefix="1" applyNumberFormat="1" applyFont="1" applyFill="1" applyBorder="1" applyAlignment="1" applyProtection="1">
      <alignment horizontal="center" vertical="center"/>
      <protection locked="0"/>
    </xf>
    <xf numFmtId="37" fontId="19" fillId="26" borderId="9" xfId="0" applyNumberFormat="1" applyFont="1" applyFill="1" applyBorder="1" applyAlignment="1">
      <alignment horizontal="right"/>
    </xf>
    <xf numFmtId="37" fontId="19" fillId="26" borderId="1" xfId="0" applyNumberFormat="1" applyFont="1" applyFill="1" applyBorder="1" applyAlignment="1">
      <alignment horizontal="right"/>
    </xf>
    <xf numFmtId="37" fontId="19" fillId="26" borderId="11" xfId="0" applyNumberFormat="1" applyFont="1" applyFill="1" applyBorder="1" applyAlignment="1">
      <alignment horizontal="right"/>
    </xf>
    <xf numFmtId="37" fontId="19" fillId="26" borderId="52" xfId="0" applyNumberFormat="1" applyFont="1" applyFill="1" applyBorder="1" applyAlignment="1" applyProtection="1">
      <alignment horizontal="right"/>
      <protection hidden="1"/>
    </xf>
    <xf numFmtId="37" fontId="19" fillId="26" borderId="31" xfId="0" applyNumberFormat="1" applyFont="1" applyFill="1" applyBorder="1" applyAlignment="1" applyProtection="1">
      <alignment horizontal="right"/>
      <protection hidden="1"/>
    </xf>
    <xf numFmtId="37" fontId="19" fillId="26" borderId="73" xfId="0" applyNumberFormat="1" applyFont="1" applyFill="1" applyBorder="1" applyAlignment="1" applyProtection="1">
      <alignment horizontal="right"/>
      <protection hidden="1"/>
    </xf>
    <xf numFmtId="37" fontId="19" fillId="26" borderId="69" xfId="0" applyNumberFormat="1" applyFont="1" applyFill="1" applyBorder="1" applyAlignment="1" applyProtection="1">
      <alignment horizontal="right"/>
      <protection hidden="1"/>
    </xf>
    <xf numFmtId="37" fontId="19" fillId="26" borderId="4" xfId="0" applyNumberFormat="1" applyFont="1" applyFill="1" applyBorder="1" applyAlignment="1" applyProtection="1">
      <alignment horizontal="right"/>
      <protection hidden="1"/>
    </xf>
    <xf numFmtId="0" fontId="0" fillId="19" borderId="56" xfId="0" applyFill="1" applyBorder="1" applyAlignment="1" applyProtection="1">
      <alignment horizontal="center"/>
      <protection hidden="1"/>
    </xf>
    <xf numFmtId="0" fontId="0" fillId="19" borderId="7" xfId="0" applyFill="1" applyBorder="1" applyAlignment="1" applyProtection="1">
      <alignment horizontal="center"/>
      <protection hidden="1"/>
    </xf>
    <xf numFmtId="0" fontId="0" fillId="19" borderId="36" xfId="0" applyFill="1" applyBorder="1" applyAlignment="1" applyProtection="1">
      <alignment horizontal="center"/>
      <protection hidden="1"/>
    </xf>
    <xf numFmtId="0" fontId="0" fillId="19" borderId="69" xfId="0" applyFill="1" applyBorder="1" applyAlignment="1" applyProtection="1">
      <alignment horizontal="center"/>
      <protection hidden="1"/>
    </xf>
    <xf numFmtId="0" fontId="0" fillId="19" borderId="4" xfId="0" applyFill="1" applyBorder="1" applyAlignment="1" applyProtection="1">
      <alignment horizontal="center"/>
      <protection hidden="1"/>
    </xf>
    <xf numFmtId="0" fontId="0" fillId="19" borderId="70" xfId="0" applyFill="1" applyBorder="1" applyAlignment="1" applyProtection="1">
      <alignment horizontal="center"/>
      <protection hidden="1"/>
    </xf>
    <xf numFmtId="0" fontId="110" fillId="15" borderId="3" xfId="0" applyFont="1" applyFill="1" applyBorder="1" applyAlignment="1" applyProtection="1">
      <alignment horizontal="right"/>
      <protection hidden="1"/>
    </xf>
    <xf numFmtId="0" fontId="110" fillId="15" borderId="0" xfId="0" applyFont="1" applyFill="1" applyAlignment="1" applyProtection="1">
      <alignment horizontal="right"/>
      <protection hidden="1"/>
    </xf>
    <xf numFmtId="39" fontId="10" fillId="15" borderId="69" xfId="0" quotePrefix="1" applyNumberFormat="1" applyFont="1" applyFill="1" applyBorder="1" applyAlignment="1" applyProtection="1">
      <alignment horizontal="center"/>
      <protection hidden="1"/>
    </xf>
    <xf numFmtId="39" fontId="10" fillId="15" borderId="4" xfId="0" quotePrefix="1" applyNumberFormat="1" applyFont="1" applyFill="1" applyBorder="1" applyAlignment="1" applyProtection="1">
      <alignment horizontal="center"/>
      <protection hidden="1"/>
    </xf>
    <xf numFmtId="39" fontId="10" fillId="15" borderId="70" xfId="0" quotePrefix="1" applyNumberFormat="1" applyFont="1" applyFill="1" applyBorder="1" applyAlignment="1" applyProtection="1">
      <alignment horizontal="center"/>
      <protection hidden="1"/>
    </xf>
    <xf numFmtId="0" fontId="5" fillId="15" borderId="0" xfId="0" applyFont="1" applyFill="1" applyAlignment="1" applyProtection="1">
      <alignment horizontal="center" textRotation="90"/>
      <protection hidden="1"/>
    </xf>
    <xf numFmtId="0" fontId="267" fillId="15" borderId="0" xfId="0" applyFont="1" applyFill="1" applyAlignment="1" applyProtection="1">
      <alignment horizontal="center"/>
      <protection hidden="1"/>
    </xf>
    <xf numFmtId="37" fontId="124" fillId="15" borderId="56" xfId="0" quotePrefix="1" applyNumberFormat="1" applyFont="1" applyFill="1" applyBorder="1" applyAlignment="1">
      <alignment horizontal="right" indent="1"/>
    </xf>
    <xf numFmtId="0" fontId="124" fillId="15" borderId="7" xfId="0" quotePrefix="1" applyFont="1" applyFill="1" applyBorder="1" applyAlignment="1">
      <alignment horizontal="right" indent="1"/>
    </xf>
    <xf numFmtId="0" fontId="124" fillId="15" borderId="36" xfId="0" quotePrefix="1" applyFont="1" applyFill="1" applyBorder="1" applyAlignment="1">
      <alignment horizontal="right" indent="1"/>
    </xf>
    <xf numFmtId="37" fontId="124" fillId="15" borderId="56" xfId="0" quotePrefix="1" applyNumberFormat="1" applyFont="1" applyFill="1" applyBorder="1" applyAlignment="1">
      <alignment horizontal="right"/>
    </xf>
    <xf numFmtId="37" fontId="124" fillId="15" borderId="7" xfId="0" quotePrefix="1" applyNumberFormat="1" applyFont="1" applyFill="1" applyBorder="1" applyAlignment="1">
      <alignment horizontal="right"/>
    </xf>
    <xf numFmtId="37" fontId="124" fillId="15" borderId="36" xfId="0" quotePrefix="1" applyNumberFormat="1" applyFont="1" applyFill="1" applyBorder="1" applyAlignment="1">
      <alignment horizontal="right"/>
    </xf>
    <xf numFmtId="37" fontId="124" fillId="15" borderId="56" xfId="0" quotePrefix="1" applyNumberFormat="1" applyFont="1" applyFill="1" applyBorder="1" applyAlignment="1" applyProtection="1">
      <alignment horizontal="right" indent="1"/>
      <protection hidden="1"/>
    </xf>
    <xf numFmtId="0" fontId="124" fillId="15" borderId="7" xfId="0" quotePrefix="1" applyFont="1" applyFill="1" applyBorder="1" applyAlignment="1" applyProtection="1">
      <alignment horizontal="right" indent="1"/>
      <protection hidden="1"/>
    </xf>
    <xf numFmtId="0" fontId="124" fillId="15" borderId="36" xfId="0" quotePrefix="1" applyFont="1" applyFill="1" applyBorder="1" applyAlignment="1" applyProtection="1">
      <alignment horizontal="right" indent="1"/>
      <protection hidden="1"/>
    </xf>
    <xf numFmtId="37" fontId="124" fillId="15" borderId="56" xfId="0" quotePrefix="1" applyNumberFormat="1" applyFont="1" applyFill="1" applyBorder="1" applyAlignment="1" applyProtection="1">
      <alignment horizontal="right"/>
      <protection hidden="1"/>
    </xf>
    <xf numFmtId="37" fontId="124" fillId="15" borderId="7" xfId="0" quotePrefix="1" applyNumberFormat="1" applyFont="1" applyFill="1" applyBorder="1" applyAlignment="1" applyProtection="1">
      <alignment horizontal="right"/>
      <protection hidden="1"/>
    </xf>
    <xf numFmtId="37" fontId="124" fillId="15" borderId="36" xfId="0" quotePrefix="1" applyNumberFormat="1" applyFont="1" applyFill="1" applyBorder="1" applyAlignment="1" applyProtection="1">
      <alignment horizontal="right"/>
      <protection hidden="1"/>
    </xf>
    <xf numFmtId="0" fontId="307" fillId="15" borderId="0" xfId="0" applyFont="1" applyFill="1" applyAlignment="1">
      <alignment horizontal="left" vertical="center" wrapText="1"/>
    </xf>
    <xf numFmtId="39" fontId="10" fillId="15" borderId="7" xfId="0" quotePrefix="1" applyNumberFormat="1" applyFont="1" applyFill="1" applyBorder="1" applyAlignment="1" applyProtection="1">
      <alignment horizontal="center"/>
      <protection hidden="1"/>
    </xf>
    <xf numFmtId="39" fontId="10" fillId="15" borderId="36" xfId="0" quotePrefix="1" applyNumberFormat="1" applyFont="1" applyFill="1" applyBorder="1" applyAlignment="1" applyProtection="1">
      <alignment horizontal="center"/>
      <protection hidden="1"/>
    </xf>
    <xf numFmtId="0" fontId="307" fillId="15" borderId="0" xfId="0" applyFont="1" applyFill="1" applyAlignment="1">
      <alignment vertical="center" wrapText="1"/>
    </xf>
    <xf numFmtId="0" fontId="308" fillId="15" borderId="0" xfId="0" applyFont="1" applyFill="1" applyAlignment="1">
      <alignment horizontal="left" vertical="center" wrapText="1"/>
    </xf>
    <xf numFmtId="37" fontId="14" fillId="20" borderId="9" xfId="0" applyNumberFormat="1" applyFont="1" applyFill="1" applyBorder="1" applyAlignment="1" applyProtection="1">
      <alignment horizontal="right"/>
      <protection locked="0"/>
    </xf>
    <xf numFmtId="0" fontId="14" fillId="20" borderId="1" xfId="0" applyFont="1" applyFill="1" applyBorder="1" applyAlignment="1" applyProtection="1">
      <alignment horizontal="right"/>
      <protection locked="0"/>
    </xf>
    <xf numFmtId="0" fontId="5" fillId="15" borderId="30" xfId="0" applyFont="1" applyFill="1" applyBorder="1" applyAlignment="1" applyProtection="1">
      <alignment horizontal="left"/>
      <protection hidden="1"/>
    </xf>
    <xf numFmtId="0" fontId="5" fillId="15" borderId="8" xfId="0" applyFont="1" applyFill="1" applyBorder="1" applyAlignment="1" applyProtection="1">
      <alignment horizontal="left"/>
      <protection hidden="1"/>
    </xf>
    <xf numFmtId="0" fontId="5" fillId="15" borderId="14" xfId="0" applyFont="1" applyFill="1" applyBorder="1" applyAlignment="1" applyProtection="1">
      <alignment horizontal="left"/>
      <protection hidden="1"/>
    </xf>
    <xf numFmtId="0" fontId="19" fillId="16" borderId="9" xfId="0" applyFont="1" applyFill="1" applyBorder="1" applyAlignment="1" applyProtection="1">
      <alignment horizontal="left" vertical="center" indent="1"/>
      <protection locked="0"/>
    </xf>
    <xf numFmtId="0" fontId="19" fillId="16" borderId="1" xfId="0" applyFont="1" applyFill="1" applyBorder="1" applyAlignment="1" applyProtection="1">
      <alignment horizontal="left" vertical="center" indent="1"/>
      <protection locked="0"/>
    </xf>
    <xf numFmtId="0" fontId="19" fillId="16" borderId="11" xfId="0" applyFont="1" applyFill="1" applyBorder="1" applyAlignment="1" applyProtection="1">
      <alignment horizontal="left" vertical="center" indent="1"/>
      <protection locked="0"/>
    </xf>
    <xf numFmtId="0" fontId="7" fillId="15" borderId="30" xfId="0"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37" fontId="14" fillId="26" borderId="9" xfId="0" applyNumberFormat="1" applyFont="1" applyFill="1" applyBorder="1" applyAlignment="1" applyProtection="1">
      <alignment horizontal="right"/>
      <protection hidden="1"/>
    </xf>
    <xf numFmtId="0" fontId="14" fillId="26" borderId="1" xfId="0" applyFont="1" applyFill="1" applyBorder="1" applyAlignment="1" applyProtection="1">
      <alignment horizontal="right"/>
      <protection hidden="1"/>
    </xf>
    <xf numFmtId="0" fontId="110" fillId="15" borderId="24" xfId="0" applyFont="1" applyFill="1" applyBorder="1" applyAlignment="1" applyProtection="1">
      <alignment horizontal="center"/>
      <protection hidden="1"/>
    </xf>
    <xf numFmtId="196" fontId="10" fillId="26" borderId="1" xfId="0" applyNumberFormat="1" applyFont="1" applyFill="1" applyBorder="1" applyAlignment="1" applyProtection="1">
      <alignment horizontal="center"/>
      <protection hidden="1"/>
    </xf>
    <xf numFmtId="196" fontId="10" fillId="26" borderId="11" xfId="0" applyNumberFormat="1" applyFont="1" applyFill="1" applyBorder="1" applyAlignment="1" applyProtection="1">
      <alignment horizontal="center"/>
      <protection hidden="1"/>
    </xf>
    <xf numFmtId="177" fontId="110" fillId="15" borderId="3" xfId="0" applyNumberFormat="1" applyFont="1" applyFill="1" applyBorder="1" applyAlignment="1" applyProtection="1">
      <alignment horizontal="center"/>
      <protection hidden="1"/>
    </xf>
    <xf numFmtId="177" fontId="110" fillId="15" borderId="0" xfId="0" applyNumberFormat="1" applyFont="1" applyFill="1" applyAlignment="1" applyProtection="1">
      <alignment horizontal="center"/>
      <protection hidden="1"/>
    </xf>
    <xf numFmtId="0" fontId="14" fillId="26" borderId="11" xfId="0" applyFont="1" applyFill="1" applyBorder="1" applyAlignment="1" applyProtection="1">
      <alignment horizontal="right"/>
      <protection hidden="1"/>
    </xf>
    <xf numFmtId="0" fontId="110" fillId="15" borderId="30" xfId="0" applyFont="1" applyFill="1" applyBorder="1" applyAlignment="1" applyProtection="1">
      <alignment horizontal="center"/>
      <protection hidden="1"/>
    </xf>
    <xf numFmtId="0" fontId="110" fillId="15" borderId="14" xfId="0" applyFont="1" applyFill="1" applyBorder="1" applyAlignment="1" applyProtection="1">
      <alignment horizontal="center"/>
      <protection hidden="1"/>
    </xf>
    <xf numFmtId="2" fontId="110" fillId="15" borderId="30" xfId="0" applyNumberFormat="1" applyFont="1" applyFill="1" applyBorder="1" applyAlignment="1" applyProtection="1">
      <alignment horizontal="center"/>
      <protection hidden="1"/>
    </xf>
    <xf numFmtId="2" fontId="110" fillId="15" borderId="8" xfId="0" applyNumberFormat="1" applyFont="1" applyFill="1" applyBorder="1" applyAlignment="1" applyProtection="1">
      <alignment horizontal="center"/>
      <protection hidden="1"/>
    </xf>
    <xf numFmtId="37" fontId="14" fillId="28" borderId="1" xfId="0" applyNumberFormat="1" applyFont="1" applyFill="1" applyBorder="1" applyAlignment="1" applyProtection="1">
      <alignment horizontal="right"/>
      <protection hidden="1"/>
    </xf>
    <xf numFmtId="37" fontId="14" fillId="0" borderId="1" xfId="0" applyNumberFormat="1" applyFont="1" applyBorder="1" applyAlignment="1" applyProtection="1">
      <alignment horizontal="right"/>
      <protection hidden="1"/>
    </xf>
    <xf numFmtId="0" fontId="10" fillId="15" borderId="8" xfId="0" applyFont="1" applyFill="1" applyBorder="1" applyAlignment="1" applyProtection="1">
      <alignment horizontal="left" vertical="center"/>
      <protection hidden="1"/>
    </xf>
    <xf numFmtId="0" fontId="3" fillId="15" borderId="217" xfId="0" applyFont="1" applyFill="1" applyBorder="1" applyAlignment="1" applyProtection="1">
      <alignment horizontal="center" vertical="center"/>
      <protection hidden="1"/>
    </xf>
    <xf numFmtId="0" fontId="124" fillId="31" borderId="16" xfId="0" applyFont="1" applyFill="1" applyBorder="1" applyAlignment="1" applyProtection="1">
      <alignment horizontal="center" vertical="center"/>
      <protection hidden="1"/>
    </xf>
    <xf numFmtId="37" fontId="14" fillId="26" borderId="1" xfId="0" applyNumberFormat="1" applyFont="1" applyFill="1" applyBorder="1" applyAlignment="1" applyProtection="1">
      <alignment horizontal="right"/>
      <protection hidden="1"/>
    </xf>
    <xf numFmtId="37" fontId="14" fillId="26" borderId="69" xfId="0" applyNumberFormat="1" applyFont="1" applyFill="1" applyBorder="1" applyAlignment="1" applyProtection="1">
      <alignment horizontal="right"/>
      <protection hidden="1"/>
    </xf>
    <xf numFmtId="37" fontId="14" fillId="26" borderId="4" xfId="0" applyNumberFormat="1" applyFont="1" applyFill="1" applyBorder="1" applyAlignment="1" applyProtection="1">
      <alignment horizontal="right"/>
      <protection hidden="1"/>
    </xf>
    <xf numFmtId="37" fontId="14" fillId="20" borderId="1" xfId="0" applyNumberFormat="1" applyFont="1" applyFill="1" applyBorder="1" applyAlignment="1" applyProtection="1">
      <alignment horizontal="right"/>
      <protection locked="0"/>
    </xf>
    <xf numFmtId="37" fontId="110" fillId="15" borderId="30" xfId="0" applyNumberFormat="1" applyFont="1" applyFill="1" applyBorder="1" applyAlignment="1" applyProtection="1">
      <alignment horizontal="center"/>
      <protection hidden="1"/>
    </xf>
    <xf numFmtId="37" fontId="110" fillId="15" borderId="8" xfId="0" applyNumberFormat="1" applyFont="1" applyFill="1" applyBorder="1" applyAlignment="1" applyProtection="1">
      <alignment horizontal="center"/>
      <protection hidden="1"/>
    </xf>
    <xf numFmtId="37" fontId="14" fillId="26" borderId="39" xfId="0" applyNumberFormat="1" applyFont="1" applyFill="1" applyBorder="1" applyAlignment="1" applyProtection="1">
      <alignment horizontal="right"/>
      <protection hidden="1"/>
    </xf>
    <xf numFmtId="37" fontId="14" fillId="26" borderId="25" xfId="0" applyNumberFormat="1" applyFont="1" applyFill="1" applyBorder="1" applyAlignment="1" applyProtection="1">
      <alignment horizontal="right"/>
      <protection hidden="1"/>
    </xf>
    <xf numFmtId="0" fontId="14" fillId="15" borderId="0" xfId="0" applyFont="1" applyFill="1" applyAlignment="1" applyProtection="1">
      <alignment horizontal="center" vertical="center" wrapText="1"/>
      <protection hidden="1"/>
    </xf>
    <xf numFmtId="0" fontId="46" fillId="15" borderId="0" xfId="0" applyFont="1" applyFill="1" applyAlignment="1" applyProtection="1">
      <alignment horizontal="left" vertical="center" indent="1"/>
      <protection hidden="1"/>
    </xf>
    <xf numFmtId="0" fontId="46" fillId="15" borderId="24" xfId="0" applyFont="1" applyFill="1" applyBorder="1" applyAlignment="1" applyProtection="1">
      <alignment horizontal="left" vertical="center" indent="1"/>
      <protection hidden="1"/>
    </xf>
    <xf numFmtId="37" fontId="14" fillId="16" borderId="1" xfId="0" applyNumberFormat="1" applyFont="1" applyFill="1" applyBorder="1" applyAlignment="1" applyProtection="1">
      <alignment horizontal="right"/>
      <protection locked="0"/>
    </xf>
    <xf numFmtId="0" fontId="10" fillId="15" borderId="7" xfId="0" applyFont="1" applyFill="1" applyBorder="1" applyAlignment="1" applyProtection="1">
      <alignment horizontal="left"/>
      <protection hidden="1"/>
    </xf>
    <xf numFmtId="0" fontId="10" fillId="15" borderId="36" xfId="0" applyFont="1" applyFill="1" applyBorder="1" applyAlignment="1" applyProtection="1">
      <alignment horizontal="left"/>
      <protection hidden="1"/>
    </xf>
    <xf numFmtId="0" fontId="10" fillId="15" borderId="0" xfId="0" applyFont="1" applyFill="1" applyAlignment="1" applyProtection="1">
      <alignment horizontal="left"/>
      <protection hidden="1"/>
    </xf>
    <xf numFmtId="0" fontId="10" fillId="15" borderId="24" xfId="0" applyFont="1" applyFill="1" applyBorder="1" applyAlignment="1" applyProtection="1">
      <alignment horizontal="left"/>
      <protection hidden="1"/>
    </xf>
    <xf numFmtId="0" fontId="19" fillId="28" borderId="1" xfId="0" quotePrefix="1" applyFont="1" applyFill="1" applyBorder="1" applyAlignment="1" applyProtection="1">
      <alignment horizontal="left" vertical="center" indent="1"/>
      <protection hidden="1"/>
    </xf>
    <xf numFmtId="0" fontId="19" fillId="28" borderId="11" xfId="0" quotePrefix="1" applyFont="1" applyFill="1" applyBorder="1" applyAlignment="1" applyProtection="1">
      <alignment horizontal="left" vertical="center" indent="1"/>
      <protection hidden="1"/>
    </xf>
    <xf numFmtId="166" fontId="19" fillId="28" borderId="9" xfId="0" quotePrefix="1" applyNumberFormat="1" applyFont="1" applyFill="1" applyBorder="1" applyAlignment="1" applyProtection="1">
      <alignment horizontal="left" vertical="center" indent="2"/>
      <protection hidden="1"/>
    </xf>
    <xf numFmtId="166" fontId="19" fillId="28" borderId="1" xfId="0" quotePrefix="1" applyNumberFormat="1" applyFont="1" applyFill="1" applyBorder="1" applyAlignment="1" applyProtection="1">
      <alignment horizontal="left" vertical="center" indent="2"/>
      <protection hidden="1"/>
    </xf>
    <xf numFmtId="0" fontId="5" fillId="15" borderId="30" xfId="0" applyFont="1" applyFill="1" applyBorder="1" applyAlignment="1">
      <alignment horizontal="left" vertical="center" indent="1"/>
    </xf>
    <xf numFmtId="0" fontId="5" fillId="15" borderId="8" xfId="0" applyFont="1" applyFill="1" applyBorder="1" applyAlignment="1">
      <alignment horizontal="left" vertical="center" indent="1"/>
    </xf>
    <xf numFmtId="0" fontId="269" fillId="15" borderId="0" xfId="0" quotePrefix="1" applyFont="1" applyFill="1" applyProtection="1">
      <protection hidden="1"/>
    </xf>
    <xf numFmtId="0" fontId="270" fillId="0" borderId="0" xfId="0" applyFont="1" applyProtection="1">
      <protection hidden="1"/>
    </xf>
    <xf numFmtId="0" fontId="3" fillId="15" borderId="219" xfId="0" applyFont="1" applyFill="1" applyBorder="1" applyAlignment="1" applyProtection="1">
      <alignment horizontal="center" vertical="top"/>
      <protection hidden="1"/>
    </xf>
    <xf numFmtId="0" fontId="3" fillId="0" borderId="219" xfId="0" applyFont="1" applyBorder="1" applyAlignment="1" applyProtection="1">
      <alignment horizontal="center" vertical="top"/>
      <protection hidden="1"/>
    </xf>
    <xf numFmtId="0" fontId="19" fillId="15" borderId="8" xfId="0" applyFont="1" applyFill="1" applyBorder="1" applyAlignment="1" applyProtection="1">
      <alignment horizontal="left" vertical="center" wrapText="1"/>
      <protection hidden="1"/>
    </xf>
    <xf numFmtId="0" fontId="19" fillId="15" borderId="14" xfId="0" applyFont="1" applyFill="1" applyBorder="1" applyAlignment="1" applyProtection="1">
      <alignment horizontal="left" vertical="center" wrapText="1"/>
      <protection hidden="1"/>
    </xf>
    <xf numFmtId="0" fontId="19" fillId="15" borderId="24" xfId="0" applyFont="1" applyFill="1" applyBorder="1" applyAlignment="1" applyProtection="1">
      <alignment horizontal="left" vertical="center" wrapText="1"/>
      <protection hidden="1"/>
    </xf>
    <xf numFmtId="0" fontId="19" fillId="15" borderId="1" xfId="0" applyFont="1" applyFill="1" applyBorder="1" applyAlignment="1" applyProtection="1">
      <alignment horizontal="left" vertical="center" wrapText="1"/>
      <protection hidden="1"/>
    </xf>
    <xf numFmtId="0" fontId="19" fillId="15" borderId="11" xfId="0" applyFont="1" applyFill="1" applyBorder="1" applyAlignment="1" applyProtection="1">
      <alignment horizontal="left" vertical="center" wrapText="1"/>
      <protection hidden="1"/>
    </xf>
    <xf numFmtId="0" fontId="3" fillId="15" borderId="23" xfId="0" applyFont="1" applyFill="1" applyBorder="1" applyAlignment="1" applyProtection="1">
      <alignment horizontal="left" vertical="top" wrapText="1"/>
      <protection hidden="1"/>
    </xf>
    <xf numFmtId="0" fontId="3" fillId="15" borderId="19" xfId="0" applyFont="1" applyFill="1" applyBorder="1" applyAlignment="1" applyProtection="1">
      <alignment horizontal="left" vertical="top" wrapText="1"/>
      <protection hidden="1"/>
    </xf>
    <xf numFmtId="0" fontId="3" fillId="15" borderId="5" xfId="0" applyFont="1" applyFill="1" applyBorder="1" applyAlignment="1" applyProtection="1">
      <alignment horizontal="left" vertical="top" wrapText="1"/>
      <protection hidden="1"/>
    </xf>
    <xf numFmtId="0" fontId="3" fillId="15" borderId="20" xfId="0" applyFont="1" applyFill="1" applyBorder="1" applyAlignment="1" applyProtection="1">
      <alignment horizontal="left" vertical="top" wrapText="1"/>
      <protection hidden="1"/>
    </xf>
    <xf numFmtId="0" fontId="3" fillId="15" borderId="21" xfId="0" applyFont="1" applyFill="1" applyBorder="1" applyAlignment="1" applyProtection="1">
      <alignment horizontal="left" vertical="top" wrapText="1"/>
      <protection hidden="1"/>
    </xf>
    <xf numFmtId="0" fontId="3" fillId="15" borderId="22" xfId="0" applyFont="1" applyFill="1" applyBorder="1" applyAlignment="1" applyProtection="1">
      <alignment horizontal="left" vertical="top" wrapText="1"/>
      <protection hidden="1"/>
    </xf>
    <xf numFmtId="0" fontId="43" fillId="15" borderId="8" xfId="0" applyFont="1" applyFill="1" applyBorder="1" applyAlignment="1" applyProtection="1">
      <alignment horizontal="left" vertical="center" wrapText="1"/>
      <protection hidden="1"/>
    </xf>
    <xf numFmtId="0" fontId="43" fillId="15" borderId="14" xfId="0" applyFont="1" applyFill="1" applyBorder="1" applyAlignment="1" applyProtection="1">
      <alignment horizontal="left" vertical="center" wrapText="1"/>
      <protection hidden="1"/>
    </xf>
    <xf numFmtId="0" fontId="43" fillId="15" borderId="0" xfId="0" applyFont="1" applyFill="1" applyAlignment="1" applyProtection="1">
      <alignment horizontal="left" vertical="center" wrapText="1"/>
      <protection hidden="1"/>
    </xf>
    <xf numFmtId="0" fontId="43" fillId="15" borderId="24" xfId="0" applyFont="1" applyFill="1" applyBorder="1" applyAlignment="1" applyProtection="1">
      <alignment horizontal="left" vertical="center" wrapText="1"/>
      <protection hidden="1"/>
    </xf>
    <xf numFmtId="0" fontId="43" fillId="15" borderId="13" xfId="0" applyFont="1" applyFill="1" applyBorder="1" applyAlignment="1" applyProtection="1">
      <alignment horizontal="left" vertical="center" wrapText="1"/>
      <protection hidden="1"/>
    </xf>
    <xf numFmtId="0" fontId="43" fillId="15" borderId="17" xfId="0" applyFont="1" applyFill="1" applyBorder="1" applyAlignment="1" applyProtection="1">
      <alignment horizontal="left" vertical="center" wrapText="1"/>
      <protection hidden="1"/>
    </xf>
    <xf numFmtId="0" fontId="3" fillId="16" borderId="3" xfId="0" applyFont="1" applyFill="1" applyBorder="1" applyAlignment="1" applyProtection="1">
      <alignment horizontal="left" vertical="center" indent="1"/>
      <protection locked="0"/>
    </xf>
    <xf numFmtId="0" fontId="3" fillId="16" borderId="0" xfId="0" applyFont="1" applyFill="1" applyAlignment="1" applyProtection="1">
      <alignment horizontal="left" vertical="center" indent="1"/>
      <protection locked="0"/>
    </xf>
    <xf numFmtId="0" fontId="3" fillId="16" borderId="24" xfId="0" applyFont="1" applyFill="1" applyBorder="1" applyAlignment="1" applyProtection="1">
      <alignment horizontal="left" vertical="center" indent="1"/>
      <protection locked="0"/>
    </xf>
    <xf numFmtId="0" fontId="3" fillId="16" borderId="9" xfId="0" applyFont="1" applyFill="1" applyBorder="1" applyAlignment="1" applyProtection="1">
      <alignment horizontal="left" vertical="center" indent="1"/>
      <protection locked="0"/>
    </xf>
    <xf numFmtId="0" fontId="3" fillId="16" borderId="11" xfId="0" applyFont="1" applyFill="1" applyBorder="1" applyAlignment="1" applyProtection="1">
      <alignment horizontal="left" vertical="center" indent="1"/>
      <protection locked="0"/>
    </xf>
    <xf numFmtId="182" fontId="3" fillId="16" borderId="3" xfId="0" applyNumberFormat="1" applyFont="1" applyFill="1" applyBorder="1" applyAlignment="1" applyProtection="1">
      <alignment horizontal="center" vertical="center" wrapText="1"/>
      <protection locked="0"/>
    </xf>
    <xf numFmtId="182" fontId="3" fillId="16" borderId="0" xfId="0" applyNumberFormat="1" applyFont="1" applyFill="1" applyAlignment="1" applyProtection="1">
      <alignment horizontal="center" vertical="center" wrapText="1"/>
      <protection locked="0"/>
    </xf>
    <xf numFmtId="182" fontId="3" fillId="16" borderId="24" xfId="0" applyNumberFormat="1" applyFont="1" applyFill="1" applyBorder="1" applyAlignment="1" applyProtection="1">
      <alignment horizontal="center" vertical="center" wrapText="1"/>
      <protection locked="0"/>
    </xf>
    <xf numFmtId="182" fontId="3" fillId="16" borderId="9" xfId="0" applyNumberFormat="1" applyFont="1" applyFill="1" applyBorder="1" applyAlignment="1" applyProtection="1">
      <alignment horizontal="center" vertical="center" wrapText="1"/>
      <protection locked="0"/>
    </xf>
    <xf numFmtId="182" fontId="3" fillId="16" borderId="1" xfId="0" applyNumberFormat="1" applyFont="1" applyFill="1" applyBorder="1" applyAlignment="1" applyProtection="1">
      <alignment horizontal="center" vertical="center" wrapText="1"/>
      <protection locked="0"/>
    </xf>
    <xf numFmtId="182" fontId="3" fillId="16" borderId="11" xfId="0" applyNumberFormat="1" applyFont="1" applyFill="1" applyBorder="1" applyAlignment="1" applyProtection="1">
      <alignment horizontal="center" vertical="center" wrapText="1"/>
      <protection locked="0"/>
    </xf>
    <xf numFmtId="0" fontId="3" fillId="16" borderId="3" xfId="0" applyFont="1" applyFill="1" applyBorder="1" applyAlignment="1" applyProtection="1">
      <alignment horizontal="center" vertical="center"/>
      <protection locked="0"/>
    </xf>
    <xf numFmtId="0" fontId="3" fillId="16" borderId="0" xfId="0" applyFont="1" applyFill="1" applyAlignment="1" applyProtection="1">
      <alignment horizontal="center" vertical="center"/>
      <protection locked="0"/>
    </xf>
    <xf numFmtId="0" fontId="3" fillId="16" borderId="9" xfId="0" applyFont="1" applyFill="1" applyBorder="1" applyAlignment="1" applyProtection="1">
      <alignment horizontal="center" vertical="center"/>
      <protection locked="0"/>
    </xf>
    <xf numFmtId="0" fontId="3" fillId="16" borderId="1" xfId="0" applyFont="1" applyFill="1" applyBorder="1" applyAlignment="1" applyProtection="1">
      <alignment horizontal="center" vertical="center"/>
      <protection locked="0"/>
    </xf>
    <xf numFmtId="0" fontId="3" fillId="16" borderId="25" xfId="0" applyFont="1" applyFill="1" applyBorder="1" applyAlignment="1" applyProtection="1">
      <alignment horizontal="left" indent="1"/>
      <protection locked="0"/>
    </xf>
    <xf numFmtId="0" fontId="3" fillId="16" borderId="99" xfId="0" applyFont="1" applyFill="1" applyBorder="1" applyAlignment="1" applyProtection="1">
      <alignment horizontal="left" indent="1"/>
      <protection locked="0"/>
    </xf>
    <xf numFmtId="165" fontId="8" fillId="16" borderId="99" xfId="0" applyNumberFormat="1" applyFont="1" applyFill="1" applyBorder="1" applyAlignment="1" applyProtection="1">
      <alignment horizontal="center" vertical="center"/>
      <protection locked="0"/>
    </xf>
    <xf numFmtId="0" fontId="14" fillId="26" borderId="4" xfId="0" applyFont="1" applyFill="1" applyBorder="1" applyAlignment="1" applyProtection="1">
      <alignment horizontal="right"/>
      <protection hidden="1"/>
    </xf>
    <xf numFmtId="0" fontId="14" fillId="26" borderId="25" xfId="0" applyFont="1" applyFill="1" applyBorder="1" applyAlignment="1" applyProtection="1">
      <alignment horizontal="right"/>
      <protection hidden="1"/>
    </xf>
    <xf numFmtId="37" fontId="0" fillId="15" borderId="30" xfId="0" applyNumberFormat="1" applyFill="1" applyBorder="1" applyAlignment="1" applyProtection="1">
      <alignment horizontal="center"/>
      <protection hidden="1"/>
    </xf>
    <xf numFmtId="37" fontId="0" fillId="15" borderId="8" xfId="0" applyNumberFormat="1" applyFill="1" applyBorder="1" applyAlignment="1" applyProtection="1">
      <alignment horizontal="center"/>
      <protection hidden="1"/>
    </xf>
    <xf numFmtId="37" fontId="14" fillId="20" borderId="11" xfId="0" applyNumberFormat="1" applyFont="1" applyFill="1" applyBorder="1" applyAlignment="1" applyProtection="1">
      <alignment horizontal="right"/>
      <protection locked="0"/>
    </xf>
    <xf numFmtId="37" fontId="14" fillId="26" borderId="11" xfId="0" applyNumberFormat="1" applyFont="1" applyFill="1" applyBorder="1" applyAlignment="1" applyProtection="1">
      <alignment horizontal="right"/>
      <protection hidden="1"/>
    </xf>
    <xf numFmtId="37" fontId="46" fillId="15" borderId="56" xfId="0" applyNumberFormat="1" applyFont="1" applyFill="1" applyBorder="1" applyAlignment="1" applyProtection="1">
      <alignment horizontal="right"/>
      <protection hidden="1"/>
    </xf>
    <xf numFmtId="37" fontId="46" fillId="15" borderId="7" xfId="0" applyNumberFormat="1" applyFont="1" applyFill="1" applyBorder="1" applyAlignment="1" applyProtection="1">
      <alignment horizontal="right"/>
      <protection hidden="1"/>
    </xf>
    <xf numFmtId="37" fontId="135" fillId="15" borderId="30" xfId="0" applyNumberFormat="1" applyFont="1" applyFill="1" applyBorder="1" applyAlignment="1" applyProtection="1">
      <alignment horizontal="right"/>
      <protection hidden="1"/>
    </xf>
    <xf numFmtId="37" fontId="135" fillId="15" borderId="8" xfId="0" applyNumberFormat="1" applyFont="1" applyFill="1" applyBorder="1" applyAlignment="1" applyProtection="1">
      <alignment horizontal="right"/>
      <protection hidden="1"/>
    </xf>
    <xf numFmtId="0" fontId="144" fillId="15" borderId="0" xfId="0" applyFont="1" applyFill="1" applyAlignment="1" applyProtection="1">
      <alignment horizontal="center"/>
      <protection hidden="1"/>
    </xf>
    <xf numFmtId="0" fontId="144" fillId="15" borderId="0" xfId="0" applyFont="1" applyFill="1" applyAlignment="1" applyProtection="1">
      <alignment horizontal="center" vertical="center"/>
      <protection hidden="1"/>
    </xf>
    <xf numFmtId="187" fontId="110" fillId="15" borderId="3" xfId="0" applyNumberFormat="1" applyFont="1" applyFill="1" applyBorder="1" applyAlignment="1" applyProtection="1">
      <alignment horizontal="center"/>
      <protection hidden="1"/>
    </xf>
    <xf numFmtId="187" fontId="110" fillId="15" borderId="0" xfId="0" applyNumberFormat="1" applyFont="1" applyFill="1" applyAlignment="1" applyProtection="1">
      <alignment horizontal="center"/>
      <protection hidden="1"/>
    </xf>
    <xf numFmtId="0" fontId="3" fillId="16" borderId="208" xfId="0" applyFont="1" applyFill="1" applyBorder="1" applyAlignment="1" applyProtection="1">
      <alignment horizontal="left" indent="1"/>
      <protection locked="0"/>
    </xf>
    <xf numFmtId="0" fontId="3" fillId="16" borderId="54" xfId="0" applyFont="1" applyFill="1" applyBorder="1" applyAlignment="1" applyProtection="1">
      <alignment horizontal="left" indent="1"/>
      <protection locked="0"/>
    </xf>
    <xf numFmtId="0" fontId="84" fillId="15" borderId="100" xfId="0" applyFont="1" applyFill="1" applyBorder="1" applyAlignment="1" applyProtection="1">
      <alignment horizontal="center" wrapText="1"/>
      <protection hidden="1"/>
    </xf>
    <xf numFmtId="0" fontId="84" fillId="15" borderId="0" xfId="0" applyFont="1" applyFill="1" applyAlignment="1" applyProtection="1">
      <alignment horizontal="center" wrapText="1"/>
      <protection hidden="1"/>
    </xf>
    <xf numFmtId="0" fontId="84" fillId="15" borderId="75" xfId="0" applyFont="1" applyFill="1" applyBorder="1" applyAlignment="1" applyProtection="1">
      <alignment horizontal="center" wrapText="1"/>
      <protection hidden="1"/>
    </xf>
    <xf numFmtId="0" fontId="0" fillId="15" borderId="101" xfId="0" applyFill="1" applyBorder="1" applyAlignment="1" applyProtection="1">
      <alignment horizontal="center"/>
      <protection hidden="1"/>
    </xf>
    <xf numFmtId="0" fontId="148" fillId="15" borderId="223" xfId="0" applyFont="1" applyFill="1" applyBorder="1" applyAlignment="1" applyProtection="1">
      <alignment horizontal="center" vertical="center"/>
      <protection hidden="1"/>
    </xf>
    <xf numFmtId="0" fontId="148" fillId="15" borderId="100" xfId="0" applyFont="1" applyFill="1" applyBorder="1" applyAlignment="1" applyProtection="1">
      <alignment horizontal="center" vertical="center"/>
      <protection hidden="1"/>
    </xf>
    <xf numFmtId="0" fontId="148" fillId="15" borderId="0" xfId="0" applyFont="1" applyFill="1" applyAlignment="1" applyProtection="1">
      <alignment horizontal="center" vertical="center"/>
      <protection hidden="1"/>
    </xf>
    <xf numFmtId="182" fontId="10" fillId="16" borderId="0" xfId="0" applyNumberFormat="1" applyFont="1" applyFill="1" applyAlignment="1" applyProtection="1">
      <alignment horizontal="center"/>
      <protection locked="0"/>
    </xf>
    <xf numFmtId="182" fontId="10" fillId="16" borderId="1" xfId="0" applyNumberFormat="1" applyFont="1" applyFill="1" applyBorder="1" applyAlignment="1" applyProtection="1">
      <alignment horizontal="center"/>
      <protection locked="0"/>
    </xf>
    <xf numFmtId="0" fontId="181" fillId="15" borderId="0" xfId="0" applyFont="1" applyFill="1" applyAlignment="1" applyProtection="1">
      <alignment horizontal="center" vertical="center"/>
      <protection hidden="1"/>
    </xf>
    <xf numFmtId="0" fontId="110" fillId="15" borderId="0" xfId="0" applyFont="1" applyFill="1" applyAlignment="1" applyProtection="1">
      <alignment horizontal="center" vertical="center"/>
      <protection hidden="1"/>
    </xf>
    <xf numFmtId="0" fontId="110" fillId="15" borderId="24" xfId="0" applyFont="1" applyFill="1" applyBorder="1" applyAlignment="1" applyProtection="1">
      <alignment horizontal="center" vertical="center"/>
      <protection hidden="1"/>
    </xf>
    <xf numFmtId="0" fontId="110" fillId="15" borderId="30"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vertical="center"/>
      <protection hidden="1"/>
    </xf>
    <xf numFmtId="0" fontId="116" fillId="15" borderId="0" xfId="0" applyFont="1" applyFill="1" applyAlignment="1" applyProtection="1">
      <alignment horizontal="center"/>
      <protection hidden="1"/>
    </xf>
    <xf numFmtId="0" fontId="124" fillId="31" borderId="1" xfId="0" applyFont="1" applyFill="1" applyBorder="1" applyAlignment="1" applyProtection="1">
      <alignment horizontal="right"/>
      <protection hidden="1"/>
    </xf>
    <xf numFmtId="0" fontId="110" fillId="31" borderId="1" xfId="0" applyFont="1" applyFill="1" applyBorder="1" applyAlignment="1" applyProtection="1">
      <alignment horizontal="right"/>
      <protection hidden="1"/>
    </xf>
    <xf numFmtId="0" fontId="3" fillId="15" borderId="9" xfId="0" applyFont="1" applyFill="1" applyBorder="1" applyAlignment="1" applyProtection="1">
      <alignment horizontal="center" vertical="center"/>
      <protection hidden="1"/>
    </xf>
    <xf numFmtId="5" fontId="7" fillId="15" borderId="0" xfId="0" applyNumberFormat="1" applyFont="1" applyFill="1" applyAlignment="1" applyProtection="1">
      <alignment horizontal="center"/>
      <protection hidden="1"/>
    </xf>
    <xf numFmtId="37" fontId="46" fillId="27" borderId="1" xfId="0" applyNumberFormat="1" applyFont="1" applyFill="1" applyBorder="1" applyAlignment="1" applyProtection="1">
      <alignment horizontal="center"/>
      <protection hidden="1"/>
    </xf>
    <xf numFmtId="0" fontId="116" fillId="15" borderId="0" xfId="0" quotePrefix="1" applyFont="1" applyFill="1" applyAlignment="1" applyProtection="1">
      <alignment horizontal="center"/>
      <protection hidden="1"/>
    </xf>
    <xf numFmtId="0" fontId="3" fillId="15" borderId="10" xfId="0" quotePrefix="1" applyFont="1" applyFill="1" applyBorder="1" applyAlignment="1" applyProtection="1">
      <alignment horizontal="center" vertical="center"/>
      <protection hidden="1"/>
    </xf>
    <xf numFmtId="0" fontId="0" fillId="0" borderId="10" xfId="0" applyBorder="1" applyAlignment="1">
      <alignment horizontal="center" vertical="center"/>
    </xf>
    <xf numFmtId="3" fontId="3" fillId="25" borderId="10" xfId="0" applyNumberFormat="1" applyFont="1" applyFill="1" applyBorder="1" applyAlignment="1" applyProtection="1">
      <alignment horizontal="right" vertical="center" wrapText="1" indent="1"/>
      <protection hidden="1"/>
    </xf>
    <xf numFmtId="3" fontId="0" fillId="25" borderId="10" xfId="0" applyNumberFormat="1" applyFill="1" applyBorder="1" applyAlignment="1" applyProtection="1">
      <alignment horizontal="right" vertical="center" wrapText="1" indent="1"/>
      <protection hidden="1"/>
    </xf>
    <xf numFmtId="3" fontId="0" fillId="25" borderId="9" xfId="0" applyNumberFormat="1" applyFill="1" applyBorder="1" applyAlignment="1" applyProtection="1">
      <alignment horizontal="right" vertical="center" wrapText="1" indent="1"/>
      <protection hidden="1"/>
    </xf>
    <xf numFmtId="0" fontId="110" fillId="15" borderId="4" xfId="0" applyFont="1" applyFill="1" applyBorder="1" applyAlignment="1" applyProtection="1">
      <alignment horizontal="center" vertical="center"/>
      <protection hidden="1"/>
    </xf>
    <xf numFmtId="0" fontId="3" fillId="15" borderId="9" xfId="0" quotePrefix="1" applyFont="1" applyFill="1" applyBorder="1" applyAlignment="1">
      <alignment horizontal="center" vertical="center"/>
    </xf>
    <xf numFmtId="0" fontId="3" fillId="15" borderId="11" xfId="0" applyFont="1" applyFill="1" applyBorder="1" applyAlignment="1">
      <alignment horizontal="center" vertical="center"/>
    </xf>
    <xf numFmtId="3" fontId="3" fillId="25" borderId="9" xfId="0" applyNumberFormat="1" applyFont="1" applyFill="1" applyBorder="1" applyAlignment="1" applyProtection="1">
      <alignment horizontal="right" vertical="center" wrapText="1" indent="1"/>
      <protection hidden="1"/>
    </xf>
    <xf numFmtId="3" fontId="0" fillId="25" borderId="1" xfId="0" applyNumberFormat="1" applyFill="1" applyBorder="1" applyAlignment="1" applyProtection="1">
      <alignment horizontal="right" vertical="center" wrapText="1" indent="1"/>
      <protection hidden="1"/>
    </xf>
    <xf numFmtId="37" fontId="8" fillId="27" borderId="1" xfId="0" applyNumberFormat="1" applyFont="1" applyFill="1" applyBorder="1" applyAlignment="1" applyProtection="1">
      <alignment horizontal="right" vertical="center" wrapText="1"/>
      <protection hidden="1"/>
    </xf>
    <xf numFmtId="0" fontId="110" fillId="15" borderId="25" xfId="0" applyFont="1" applyFill="1" applyBorder="1" applyAlignment="1" applyProtection="1">
      <alignment horizontal="center" vertical="center"/>
      <protection hidden="1"/>
    </xf>
    <xf numFmtId="37" fontId="110" fillId="15" borderId="3" xfId="0" applyNumberFormat="1" applyFont="1" applyFill="1" applyBorder="1" applyAlignment="1" applyProtection="1">
      <alignment horizontal="center" vertical="center"/>
      <protection hidden="1"/>
    </xf>
    <xf numFmtId="37" fontId="110" fillId="15" borderId="0" xfId="0" applyNumberFormat="1" applyFont="1" applyFill="1" applyAlignment="1" applyProtection="1">
      <alignment horizontal="center" vertical="center"/>
      <protection hidden="1"/>
    </xf>
    <xf numFmtId="37" fontId="110" fillId="15" borderId="24" xfId="0" applyNumberFormat="1" applyFont="1" applyFill="1" applyBorder="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7" fontId="3" fillId="25" borderId="10" xfId="0" applyNumberFormat="1" applyFont="1" applyFill="1" applyBorder="1" applyAlignment="1" applyProtection="1">
      <alignment horizontal="right" vertical="center" wrapText="1" indent="1"/>
      <protection hidden="1"/>
    </xf>
    <xf numFmtId="37" fontId="0" fillId="25" borderId="10" xfId="0" applyNumberFormat="1" applyFill="1" applyBorder="1" applyAlignment="1" applyProtection="1">
      <alignment horizontal="right" vertical="center" wrapText="1" indent="1"/>
      <protection hidden="1"/>
    </xf>
    <xf numFmtId="37" fontId="0" fillId="25" borderId="9" xfId="0" applyNumberFormat="1" applyFill="1" applyBorder="1" applyAlignment="1" applyProtection="1">
      <alignment horizontal="right" vertical="center" wrapText="1" indent="1"/>
      <protection hidden="1"/>
    </xf>
    <xf numFmtId="6" fontId="265" fillId="15" borderId="0" xfId="0" applyNumberFormat="1" applyFont="1" applyFill="1" applyAlignment="1" applyProtection="1">
      <alignment horizontal="center" vertical="center"/>
      <protection hidden="1"/>
    </xf>
    <xf numFmtId="0" fontId="265" fillId="15" borderId="0" xfId="0" applyFont="1" applyFill="1" applyAlignment="1" applyProtection="1">
      <alignment horizontal="center" vertical="center"/>
      <protection hidden="1"/>
    </xf>
    <xf numFmtId="0" fontId="3" fillId="15" borderId="6" xfId="0" applyFont="1" applyFill="1" applyBorder="1" applyAlignment="1" applyProtection="1">
      <alignment horizontal="center" vertical="center"/>
      <protection hidden="1"/>
    </xf>
    <xf numFmtId="0" fontId="0" fillId="0" borderId="6" xfId="0" applyBorder="1" applyAlignment="1">
      <alignment horizontal="center" vertical="center"/>
    </xf>
    <xf numFmtId="0" fontId="147" fillId="15" borderId="27" xfId="0" applyFont="1" applyFill="1" applyBorder="1" applyAlignment="1" applyProtection="1">
      <alignment horizontal="center"/>
      <protection hidden="1"/>
    </xf>
    <xf numFmtId="0" fontId="110" fillId="15" borderId="3" xfId="0" applyFont="1" applyFill="1" applyBorder="1" applyAlignment="1" applyProtection="1">
      <alignment horizontal="center" vertical="center"/>
      <protection hidden="1"/>
    </xf>
    <xf numFmtId="6" fontId="265" fillId="15" borderId="0" xfId="0" applyNumberFormat="1" applyFont="1" applyFill="1" applyAlignment="1" applyProtection="1">
      <alignment horizontal="left"/>
      <protection hidden="1"/>
    </xf>
    <xf numFmtId="6" fontId="265" fillId="15" borderId="0" xfId="0" applyNumberFormat="1" applyFont="1" applyFill="1" applyAlignment="1" applyProtection="1">
      <alignment horizontal="right"/>
      <protection hidden="1"/>
    </xf>
    <xf numFmtId="0" fontId="3" fillId="15" borderId="9" xfId="0" quotePrefix="1" applyFont="1" applyFill="1" applyBorder="1" applyAlignment="1" applyProtection="1">
      <alignment horizontal="center" vertical="center"/>
      <protection hidden="1"/>
    </xf>
    <xf numFmtId="0" fontId="3" fillId="15" borderId="39" xfId="0" quotePrefix="1" applyFont="1" applyFill="1" applyBorder="1" applyAlignment="1" applyProtection="1">
      <alignment horizontal="center" vertical="center"/>
      <protection hidden="1"/>
    </xf>
    <xf numFmtId="3" fontId="3" fillId="25" borderId="39" xfId="0" applyNumberFormat="1" applyFont="1" applyFill="1" applyBorder="1" applyAlignment="1" applyProtection="1">
      <alignment horizontal="right" vertical="center" wrapText="1" indent="1"/>
      <protection hidden="1"/>
    </xf>
    <xf numFmtId="3" fontId="0" fillId="25" borderId="25" xfId="0" applyNumberFormat="1" applyFill="1" applyBorder="1" applyAlignment="1" applyProtection="1">
      <alignment horizontal="right" vertical="center" wrapText="1" indent="1"/>
      <protection hidden="1"/>
    </xf>
    <xf numFmtId="0" fontId="267" fillId="15" borderId="0" xfId="0" applyFont="1" applyFill="1" applyAlignment="1" applyProtection="1">
      <alignment horizontal="center" vertical="center"/>
      <protection hidden="1"/>
    </xf>
    <xf numFmtId="0" fontId="8" fillId="15" borderId="16" xfId="0" applyFont="1" applyFill="1" applyBorder="1" applyAlignment="1" applyProtection="1">
      <alignment horizontal="center" vertical="center"/>
      <protection hidden="1"/>
    </xf>
    <xf numFmtId="0" fontId="123" fillId="15" borderId="0" xfId="0" quotePrefix="1" applyFont="1" applyFill="1" applyAlignment="1" applyProtection="1">
      <alignment horizontal="center"/>
      <protection hidden="1"/>
    </xf>
    <xf numFmtId="0" fontId="124" fillId="31" borderId="1" xfId="0" applyFont="1" applyFill="1" applyBorder="1" applyAlignment="1" applyProtection="1">
      <alignment horizontal="center"/>
      <protection hidden="1"/>
    </xf>
    <xf numFmtId="0" fontId="110" fillId="31" borderId="1" xfId="0" applyFont="1" applyFill="1" applyBorder="1" applyAlignment="1" applyProtection="1">
      <alignment horizontal="center"/>
      <protection hidden="1"/>
    </xf>
    <xf numFmtId="176" fontId="3" fillId="27" borderId="1" xfId="0" applyNumberFormat="1" applyFont="1" applyFill="1" applyBorder="1" applyAlignment="1" applyProtection="1">
      <alignment horizontal="center" vertical="center"/>
      <protection hidden="1"/>
    </xf>
    <xf numFmtId="0" fontId="110" fillId="15" borderId="70" xfId="0" applyFont="1" applyFill="1" applyBorder="1" applyAlignment="1" applyProtection="1">
      <alignment horizontal="center" vertical="center"/>
      <protection hidden="1"/>
    </xf>
    <xf numFmtId="0" fontId="110" fillId="15" borderId="27" xfId="0" applyFont="1" applyFill="1" applyBorder="1" applyAlignment="1" applyProtection="1">
      <alignment horizontal="center"/>
      <protection hidden="1"/>
    </xf>
    <xf numFmtId="0" fontId="3" fillId="15" borderId="0" xfId="0" quotePrefix="1" applyFont="1" applyFill="1" applyAlignment="1" applyProtection="1">
      <alignment horizontal="center" vertical="center"/>
      <protection hidden="1"/>
    </xf>
    <xf numFmtId="0" fontId="116" fillId="15" borderId="3" xfId="0" applyFont="1" applyFill="1" applyBorder="1" applyAlignment="1" applyProtection="1">
      <alignment horizontal="center" vertical="center"/>
      <protection hidden="1"/>
    </xf>
    <xf numFmtId="0" fontId="116" fillId="15" borderId="0" xfId="0" applyFont="1" applyFill="1" applyAlignment="1" applyProtection="1">
      <alignment horizontal="center" vertical="center"/>
      <protection hidden="1"/>
    </xf>
    <xf numFmtId="3" fontId="0" fillId="15" borderId="0" xfId="0" applyNumberFormat="1" applyFill="1" applyAlignment="1" applyProtection="1">
      <alignment horizontal="center"/>
      <protection locked="0"/>
    </xf>
    <xf numFmtId="3" fontId="0" fillId="15" borderId="1" xfId="0" applyNumberFormat="1" applyFill="1" applyBorder="1" applyAlignment="1" applyProtection="1">
      <alignment horizontal="center"/>
      <protection locked="0"/>
    </xf>
    <xf numFmtId="0" fontId="8" fillId="15" borderId="15" xfId="0" quotePrefix="1" applyFont="1" applyFill="1" applyBorder="1" applyAlignment="1" applyProtection="1">
      <alignment horizontal="center" vertical="center"/>
      <protection hidden="1"/>
    </xf>
    <xf numFmtId="0" fontId="8" fillId="15" borderId="10" xfId="0" quotePrefix="1" applyFont="1" applyFill="1" applyBorder="1" applyAlignment="1" applyProtection="1">
      <alignment horizontal="center" vertical="center"/>
      <protection hidden="1"/>
    </xf>
    <xf numFmtId="37" fontId="8" fillId="27" borderId="3" xfId="0" applyNumberFormat="1" applyFont="1" applyFill="1" applyBorder="1" applyAlignment="1" applyProtection="1">
      <alignment horizontal="right"/>
      <protection hidden="1"/>
    </xf>
    <xf numFmtId="37" fontId="8" fillId="27" borderId="0" xfId="0" applyNumberFormat="1" applyFont="1" applyFill="1" applyAlignment="1" applyProtection="1">
      <alignment horizontal="right"/>
      <protection hidden="1"/>
    </xf>
    <xf numFmtId="0" fontId="3" fillId="23" borderId="0" xfId="0" applyFont="1" applyFill="1" applyAlignment="1" applyProtection="1">
      <alignment horizontal="center" wrapText="1"/>
      <protection hidden="1"/>
    </xf>
    <xf numFmtId="37" fontId="8" fillId="27" borderId="9" xfId="0" applyNumberFormat="1" applyFont="1" applyFill="1" applyBorder="1" applyProtection="1">
      <protection hidden="1"/>
    </xf>
    <xf numFmtId="37" fontId="8" fillId="27" borderId="1" xfId="0" applyNumberFormat="1" applyFont="1" applyFill="1" applyBorder="1" applyProtection="1">
      <protection hidden="1"/>
    </xf>
    <xf numFmtId="0" fontId="8" fillId="15" borderId="30" xfId="0" quotePrefix="1" applyFont="1" applyFill="1" applyBorder="1" applyAlignment="1" applyProtection="1">
      <alignment horizontal="center" vertical="center"/>
      <protection hidden="1"/>
    </xf>
    <xf numFmtId="0" fontId="8" fillId="15" borderId="9" xfId="0" quotePrefix="1" applyFont="1" applyFill="1" applyBorder="1" applyAlignment="1" applyProtection="1">
      <alignment horizontal="center" vertical="center"/>
      <protection hidden="1"/>
    </xf>
    <xf numFmtId="37" fontId="3" fillId="27" borderId="3" xfId="0" applyNumberFormat="1" applyFont="1" applyFill="1" applyBorder="1" applyAlignment="1" applyProtection="1">
      <alignment horizontal="right"/>
      <protection hidden="1"/>
    </xf>
    <xf numFmtId="37" fontId="3" fillId="27" borderId="0" xfId="0" applyNumberFormat="1" applyFont="1" applyFill="1" applyAlignment="1" applyProtection="1">
      <alignment horizontal="right"/>
      <protection hidden="1"/>
    </xf>
    <xf numFmtId="37" fontId="3" fillId="27" borderId="1" xfId="0" applyNumberFormat="1" applyFont="1" applyFill="1" applyBorder="1" applyAlignment="1" applyProtection="1">
      <alignment horizontal="right"/>
      <protection hidden="1"/>
    </xf>
    <xf numFmtId="3" fontId="3" fillId="27" borderId="9" xfId="0" applyNumberFormat="1" applyFont="1" applyFill="1" applyBorder="1" applyAlignment="1" applyProtection="1">
      <alignment horizontal="center" vertical="center" wrapText="1"/>
      <protection hidden="1"/>
    </xf>
    <xf numFmtId="3" fontId="3" fillId="27" borderId="1" xfId="0" applyNumberFormat="1" applyFont="1" applyFill="1" applyBorder="1" applyAlignment="1" applyProtection="1">
      <alignment horizontal="center" vertical="center" wrapText="1"/>
      <protection hidden="1"/>
    </xf>
    <xf numFmtId="3" fontId="3" fillId="27" borderId="11" xfId="0" applyNumberFormat="1" applyFont="1" applyFill="1" applyBorder="1" applyAlignment="1" applyProtection="1">
      <alignment horizontal="center" vertical="center" wrapText="1"/>
      <protection hidden="1"/>
    </xf>
    <xf numFmtId="0" fontId="3" fillId="15" borderId="11" xfId="0" applyFont="1" applyFill="1" applyBorder="1" applyAlignment="1" applyProtection="1">
      <alignment horizontal="center" vertical="center"/>
      <protection hidden="1"/>
    </xf>
    <xf numFmtId="37" fontId="3" fillId="16" borderId="9" xfId="0" applyNumberFormat="1" applyFont="1" applyFill="1" applyBorder="1" applyAlignment="1" applyProtection="1">
      <alignment horizontal="right" vertical="center" wrapText="1" indent="1"/>
      <protection locked="0"/>
    </xf>
    <xf numFmtId="37" fontId="3" fillId="16" borderId="1" xfId="0" applyNumberFormat="1" applyFont="1" applyFill="1" applyBorder="1" applyAlignment="1" applyProtection="1">
      <alignment horizontal="right" vertical="center" wrapText="1" indent="1"/>
      <protection locked="0"/>
    </xf>
    <xf numFmtId="37" fontId="3" fillId="16" borderId="11" xfId="0" applyNumberFormat="1" applyFont="1" applyFill="1" applyBorder="1" applyAlignment="1" applyProtection="1">
      <alignment horizontal="right" vertical="center" wrapText="1" indent="1"/>
      <protection locked="0"/>
    </xf>
    <xf numFmtId="3" fontId="3" fillId="16" borderId="9" xfId="0" applyNumberFormat="1" applyFont="1" applyFill="1" applyBorder="1" applyAlignment="1" applyProtection="1">
      <alignment horizontal="right" vertical="center" wrapText="1" indent="1"/>
      <protection locked="0"/>
    </xf>
    <xf numFmtId="3" fontId="0" fillId="16" borderId="1" xfId="0" applyNumberFormat="1" applyFill="1" applyBorder="1" applyAlignment="1" applyProtection="1">
      <alignment horizontal="right" vertical="center" wrapText="1" indent="1"/>
      <protection locked="0"/>
    </xf>
    <xf numFmtId="0" fontId="3" fillId="15" borderId="69" xfId="0" applyFont="1" applyFill="1" applyBorder="1" applyAlignment="1" applyProtection="1">
      <alignment horizontal="center" vertical="center"/>
      <protection hidden="1"/>
    </xf>
    <xf numFmtId="0" fontId="0" fillId="0" borderId="70" xfId="0" applyBorder="1" applyAlignment="1">
      <alignment horizontal="center" vertical="center"/>
    </xf>
    <xf numFmtId="0" fontId="234" fillId="23" borderId="0" xfId="0" applyFont="1" applyFill="1" applyAlignment="1" applyProtection="1">
      <alignment horizontal="left" vertical="top" wrapText="1"/>
      <protection hidden="1"/>
    </xf>
    <xf numFmtId="37" fontId="3" fillId="27" borderId="9" xfId="0" applyNumberFormat="1" applyFont="1" applyFill="1" applyBorder="1" applyAlignment="1" applyProtection="1">
      <alignment horizontal="right" vertical="center" wrapText="1" indent="1"/>
      <protection hidden="1"/>
    </xf>
    <xf numFmtId="37" fontId="3" fillId="27" borderId="1" xfId="0" applyNumberFormat="1" applyFont="1" applyFill="1" applyBorder="1" applyAlignment="1" applyProtection="1">
      <alignment horizontal="right" vertical="center" wrapText="1" indent="1"/>
      <protection hidden="1"/>
    </xf>
    <xf numFmtId="37" fontId="3" fillId="27" borderId="11" xfId="0" applyNumberFormat="1" applyFont="1" applyFill="1" applyBorder="1" applyAlignment="1" applyProtection="1">
      <alignment horizontal="right" vertical="center" wrapText="1" indent="1"/>
      <protection hidden="1"/>
    </xf>
    <xf numFmtId="3" fontId="8" fillId="25" borderId="9" xfId="0" applyNumberFormat="1" applyFont="1" applyFill="1" applyBorder="1" applyAlignment="1" applyProtection="1">
      <alignment horizontal="right" vertical="center" wrapText="1" indent="1"/>
      <protection hidden="1"/>
    </xf>
    <xf numFmtId="3" fontId="7" fillId="25" borderId="1" xfId="0" applyNumberFormat="1" applyFont="1" applyFill="1" applyBorder="1" applyAlignment="1" applyProtection="1">
      <alignment horizontal="right" vertical="center" wrapText="1" indent="1"/>
      <protection hidden="1"/>
    </xf>
    <xf numFmtId="37" fontId="3" fillId="25" borderId="9" xfId="0" applyNumberFormat="1" applyFont="1" applyFill="1" applyBorder="1" applyAlignment="1" applyProtection="1">
      <alignment horizontal="right" vertical="center" wrapText="1" indent="1"/>
      <protection hidden="1"/>
    </xf>
    <xf numFmtId="37" fontId="0" fillId="25" borderId="1" xfId="0" applyNumberFormat="1" applyFill="1" applyBorder="1" applyAlignment="1" applyProtection="1">
      <alignment horizontal="right" vertical="center" wrapText="1" indent="1"/>
      <protection hidden="1"/>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110" fillId="15" borderId="3" xfId="0" applyFont="1" applyFill="1" applyBorder="1" applyAlignment="1" applyProtection="1">
      <alignment horizontal="center" vertical="center" wrapText="1"/>
      <protection hidden="1"/>
    </xf>
    <xf numFmtId="0" fontId="110" fillId="15" borderId="0" xfId="0" applyFont="1" applyFill="1" applyAlignment="1" applyProtection="1">
      <alignment horizontal="center" vertical="center" wrapText="1"/>
      <protection hidden="1"/>
    </xf>
    <xf numFmtId="37" fontId="110" fillId="15" borderId="3" xfId="0" applyNumberFormat="1" applyFont="1" applyFill="1" applyBorder="1" applyAlignment="1" applyProtection="1">
      <alignment horizontal="right" vertical="center" wrapText="1"/>
      <protection hidden="1"/>
    </xf>
    <xf numFmtId="37" fontId="110" fillId="15" borderId="0" xfId="0" applyNumberFormat="1" applyFont="1" applyFill="1" applyAlignment="1" applyProtection="1">
      <alignment horizontal="right" vertical="center" wrapText="1"/>
      <protection hidden="1"/>
    </xf>
    <xf numFmtId="37" fontId="3" fillId="25" borderId="69" xfId="0" applyNumberFormat="1" applyFont="1" applyFill="1" applyBorder="1" applyAlignment="1" applyProtection="1">
      <alignment horizontal="right" vertical="center" wrapText="1" indent="1"/>
      <protection hidden="1"/>
    </xf>
    <xf numFmtId="37" fontId="0" fillId="25" borderId="4" xfId="0" applyNumberFormat="1" applyFill="1" applyBorder="1" applyAlignment="1" applyProtection="1">
      <alignment horizontal="right" vertical="center" wrapText="1" indent="1"/>
      <protection hidden="1"/>
    </xf>
    <xf numFmtId="3" fontId="110" fillId="15" borderId="3" xfId="0" applyNumberFormat="1" applyFont="1" applyFill="1" applyBorder="1" applyAlignment="1" applyProtection="1">
      <alignment horizontal="center" vertical="center" wrapText="1"/>
      <protection hidden="1"/>
    </xf>
    <xf numFmtId="3" fontId="110" fillId="15" borderId="0" xfId="0" applyNumberFormat="1" applyFont="1" applyFill="1" applyAlignment="1" applyProtection="1">
      <alignment horizontal="center" vertical="center" wrapText="1"/>
      <protection hidden="1"/>
    </xf>
    <xf numFmtId="0" fontId="3" fillId="19" borderId="3" xfId="0" applyFont="1" applyFill="1" applyBorder="1" applyAlignment="1" applyProtection="1">
      <alignment horizontal="center" vertical="center"/>
      <protection hidden="1"/>
    </xf>
    <xf numFmtId="0" fontId="3" fillId="19" borderId="24" xfId="0" applyFont="1" applyFill="1" applyBorder="1" applyAlignment="1" applyProtection="1">
      <alignment horizontal="center" vertical="center"/>
      <protection hidden="1"/>
    </xf>
    <xf numFmtId="0" fontId="3" fillId="19" borderId="30" xfId="0" applyFont="1" applyFill="1" applyBorder="1" applyAlignment="1" applyProtection="1">
      <alignment horizontal="center" vertical="center"/>
      <protection hidden="1"/>
    </xf>
    <xf numFmtId="0" fontId="3" fillId="19" borderId="14" xfId="0" applyFont="1" applyFill="1" applyBorder="1" applyAlignment="1" applyProtection="1">
      <alignment horizontal="center" vertical="center"/>
      <protection hidden="1"/>
    </xf>
    <xf numFmtId="0" fontId="0" fillId="0" borderId="13" xfId="0" applyBorder="1" applyAlignment="1">
      <alignment horizontal="left" vertical="center" wrapText="1"/>
    </xf>
    <xf numFmtId="0" fontId="0" fillId="0" borderId="158" xfId="0" applyBorder="1" applyAlignment="1">
      <alignment horizontal="left" vertical="center" wrapText="1"/>
    </xf>
    <xf numFmtId="166" fontId="19" fillId="27" borderId="5" xfId="0" applyNumberFormat="1" applyFont="1" applyFill="1" applyBorder="1" applyAlignment="1" applyProtection="1">
      <alignment horizontal="center" vertical="center"/>
      <protection hidden="1"/>
    </xf>
    <xf numFmtId="166" fontId="19" fillId="27" borderId="0" xfId="0" applyNumberFormat="1" applyFont="1" applyFill="1" applyAlignment="1" applyProtection="1">
      <alignment horizontal="center" vertical="center"/>
      <protection hidden="1"/>
    </xf>
    <xf numFmtId="166" fontId="19" fillId="27" borderId="26" xfId="0" applyNumberFormat="1" applyFont="1" applyFill="1" applyBorder="1" applyAlignment="1" applyProtection="1">
      <alignment horizontal="center" vertical="center"/>
      <protection hidden="1"/>
    </xf>
    <xf numFmtId="166" fontId="19" fillId="27" borderId="1" xfId="0" applyNumberFormat="1" applyFont="1" applyFill="1" applyBorder="1" applyAlignment="1" applyProtection="1">
      <alignment horizontal="center" vertical="center"/>
      <protection hidden="1"/>
    </xf>
    <xf numFmtId="0" fontId="10" fillId="15" borderId="0" xfId="0" applyFont="1" applyFill="1" applyAlignment="1" applyProtection="1">
      <alignment wrapText="1"/>
      <protection hidden="1"/>
    </xf>
    <xf numFmtId="0" fontId="10" fillId="0" borderId="0" xfId="0" applyFont="1" applyAlignment="1">
      <alignment wrapText="1"/>
    </xf>
    <xf numFmtId="0" fontId="10" fillId="0" borderId="20" xfId="0" applyFont="1" applyBorder="1" applyAlignment="1">
      <alignment wrapText="1"/>
    </xf>
    <xf numFmtId="0" fontId="14" fillId="15" borderId="0" xfId="0" applyFont="1" applyFill="1" applyAlignment="1" applyProtection="1">
      <alignment wrapText="1"/>
      <protection hidden="1"/>
    </xf>
    <xf numFmtId="0" fontId="14" fillId="0" borderId="0" xfId="0" applyFont="1" applyAlignment="1">
      <alignment wrapText="1"/>
    </xf>
    <xf numFmtId="0" fontId="14" fillId="0" borderId="20" xfId="0" applyFont="1" applyBorder="1" applyAlignment="1">
      <alignment wrapText="1"/>
    </xf>
    <xf numFmtId="0" fontId="14" fillId="15" borderId="0" xfId="0" applyFont="1" applyFill="1" applyAlignment="1" applyProtection="1">
      <alignment horizontal="left" wrapText="1"/>
      <protection hidden="1"/>
    </xf>
    <xf numFmtId="0" fontId="0" fillId="0" borderId="13" xfId="0" applyBorder="1" applyAlignment="1">
      <alignment horizontal="left" wrapText="1"/>
    </xf>
    <xf numFmtId="0" fontId="19" fillId="15" borderId="0" xfId="0" applyFont="1" applyFill="1" applyAlignment="1" applyProtection="1">
      <alignment horizontal="center" wrapText="1"/>
      <protection hidden="1"/>
    </xf>
    <xf numFmtId="0" fontId="73" fillId="0" borderId="13" xfId="0" applyFont="1" applyBorder="1" applyAlignment="1">
      <alignment horizontal="center" wrapText="1"/>
    </xf>
    <xf numFmtId="0" fontId="43" fillId="15" borderId="0" xfId="0" applyFont="1" applyFill="1" applyAlignment="1" applyProtection="1">
      <alignment horizontal="center" wrapText="1"/>
      <protection hidden="1"/>
    </xf>
    <xf numFmtId="0" fontId="120" fillId="15" borderId="0" xfId="0" applyFont="1" applyFill="1" applyAlignment="1" applyProtection="1">
      <alignment horizontal="center" wrapText="1"/>
      <protection locked="0"/>
    </xf>
    <xf numFmtId="0" fontId="120" fillId="15" borderId="0" xfId="0" applyFont="1" applyFill="1" applyAlignment="1" applyProtection="1">
      <alignment horizontal="center"/>
      <protection locked="0"/>
    </xf>
    <xf numFmtId="0" fontId="120" fillId="15" borderId="20" xfId="0" applyFont="1" applyFill="1" applyBorder="1" applyAlignment="1" applyProtection="1">
      <alignment horizontal="center"/>
      <protection locked="0"/>
    </xf>
    <xf numFmtId="0" fontId="122" fillId="15" borderId="16" xfId="0" applyFont="1" applyFill="1" applyBorder="1" applyAlignment="1" applyProtection="1">
      <alignment horizontal="center"/>
      <protection hidden="1"/>
    </xf>
    <xf numFmtId="0" fontId="8" fillId="15" borderId="13" xfId="0" applyFont="1" applyFill="1" applyBorder="1" applyAlignment="1" applyProtection="1">
      <alignment horizontal="center" vertical="center"/>
      <protection hidden="1"/>
    </xf>
    <xf numFmtId="0" fontId="71" fillId="15" borderId="8" xfId="0" applyFont="1" applyFill="1" applyBorder="1" applyAlignment="1" applyProtection="1">
      <alignment horizontal="center" vertical="center" wrapText="1"/>
      <protection hidden="1"/>
    </xf>
    <xf numFmtId="0" fontId="71" fillId="15" borderId="5" xfId="0" applyFont="1" applyFill="1" applyBorder="1" applyAlignment="1" applyProtection="1">
      <alignment horizontal="center" vertical="center" wrapText="1"/>
      <protection hidden="1"/>
    </xf>
    <xf numFmtId="0" fontId="71" fillId="15" borderId="0" xfId="0" applyFont="1" applyFill="1" applyAlignment="1" applyProtection="1">
      <alignment horizontal="center" vertical="center" wrapText="1"/>
      <protection hidden="1"/>
    </xf>
    <xf numFmtId="37" fontId="8" fillId="27" borderId="30" xfId="0" applyNumberFormat="1" applyFont="1" applyFill="1" applyBorder="1" applyAlignment="1" applyProtection="1">
      <alignment horizontal="right"/>
      <protection hidden="1"/>
    </xf>
    <xf numFmtId="37" fontId="8" fillId="27" borderId="8" xfId="0" applyNumberFormat="1" applyFont="1" applyFill="1" applyBorder="1" applyAlignment="1" applyProtection="1">
      <alignment horizontal="right"/>
      <protection hidden="1"/>
    </xf>
    <xf numFmtId="37" fontId="8" fillId="27" borderId="14" xfId="0" applyNumberFormat="1" applyFont="1" applyFill="1" applyBorder="1" applyAlignment="1" applyProtection="1">
      <alignment horizontal="right"/>
      <protection hidden="1"/>
    </xf>
    <xf numFmtId="37" fontId="8" fillId="27" borderId="11" xfId="0" applyNumberFormat="1" applyFont="1" applyFill="1" applyBorder="1" applyAlignment="1" applyProtection="1">
      <alignment horizontal="right"/>
      <protection hidden="1"/>
    </xf>
    <xf numFmtId="0" fontId="8" fillId="15" borderId="215" xfId="0" quotePrefix="1" applyFont="1" applyFill="1" applyBorder="1" applyAlignment="1" applyProtection="1">
      <alignment horizontal="center" vertical="center"/>
      <protection hidden="1"/>
    </xf>
    <xf numFmtId="0" fontId="8" fillId="15" borderId="216" xfId="0" quotePrefix="1" applyFont="1" applyFill="1" applyBorder="1" applyAlignment="1" applyProtection="1">
      <alignment horizontal="center" vertical="center"/>
      <protection hidden="1"/>
    </xf>
    <xf numFmtId="37" fontId="3" fillId="27" borderId="215" xfId="0" applyNumberFormat="1" applyFont="1" applyFill="1" applyBorder="1" applyAlignment="1" applyProtection="1">
      <alignment horizontal="right"/>
      <protection hidden="1"/>
    </xf>
    <xf numFmtId="37" fontId="3" fillId="27" borderId="216"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vertical="top"/>
      <protection hidden="1"/>
    </xf>
    <xf numFmtId="37" fontId="8" fillId="27" borderId="39" xfId="0" applyNumberFormat="1" applyFont="1" applyFill="1" applyBorder="1" applyProtection="1">
      <protection hidden="1"/>
    </xf>
    <xf numFmtId="37" fontId="8" fillId="27" borderId="25" xfId="0" applyNumberFormat="1" applyFont="1" applyFill="1" applyBorder="1" applyProtection="1">
      <protection hidden="1"/>
    </xf>
    <xf numFmtId="37" fontId="8" fillId="27" borderId="54" xfId="0" applyNumberFormat="1" applyFont="1" applyFill="1" applyBorder="1" applyProtection="1">
      <protection hidden="1"/>
    </xf>
    <xf numFmtId="37" fontId="8" fillId="27" borderId="12" xfId="0" applyNumberFormat="1" applyFont="1" applyFill="1" applyBorder="1" applyAlignment="1" applyProtection="1">
      <alignment horizontal="right" vertical="center" wrapText="1"/>
      <protection hidden="1"/>
    </xf>
    <xf numFmtId="37" fontId="126" fillId="15" borderId="3" xfId="0" applyNumberFormat="1" applyFont="1" applyFill="1" applyBorder="1" applyAlignment="1" applyProtection="1">
      <alignment horizontal="right"/>
      <protection hidden="1"/>
    </xf>
    <xf numFmtId="37" fontId="126" fillId="15" borderId="0" xfId="0" applyNumberFormat="1" applyFont="1" applyFill="1" applyAlignment="1" applyProtection="1">
      <alignment horizontal="right"/>
      <protection hidden="1"/>
    </xf>
    <xf numFmtId="37" fontId="14" fillId="28" borderId="0" xfId="0" applyNumberFormat="1" applyFont="1" applyFill="1" applyAlignment="1">
      <alignment horizontal="right"/>
    </xf>
    <xf numFmtId="0" fontId="14" fillId="0" borderId="0" xfId="0" applyFont="1" applyAlignment="1">
      <alignment horizontal="right"/>
    </xf>
    <xf numFmtId="0" fontId="224" fillId="31" borderId="27" xfId="0" applyFont="1" applyFill="1" applyBorder="1" applyAlignment="1" applyProtection="1">
      <alignment horizontal="center" vertical="center"/>
      <protection hidden="1"/>
    </xf>
    <xf numFmtId="37" fontId="14" fillId="28" borderId="13" xfId="0" applyNumberFormat="1" applyFont="1" applyFill="1" applyBorder="1" applyAlignment="1">
      <alignment horizontal="right"/>
    </xf>
    <xf numFmtId="0" fontId="14" fillId="0" borderId="13" xfId="0" applyFont="1" applyBorder="1" applyAlignment="1">
      <alignment horizontal="right"/>
    </xf>
    <xf numFmtId="37" fontId="14" fillId="28" borderId="1" xfId="0" applyNumberFormat="1" applyFont="1" applyFill="1" applyBorder="1" applyAlignment="1">
      <alignment horizontal="right"/>
    </xf>
    <xf numFmtId="0" fontId="14" fillId="0" borderId="1" xfId="0" applyFont="1" applyBorder="1" applyAlignment="1">
      <alignment horizontal="right"/>
    </xf>
    <xf numFmtId="37" fontId="14" fillId="20" borderId="12" xfId="0" applyNumberFormat="1" applyFont="1" applyFill="1" applyBorder="1" applyAlignment="1" applyProtection="1">
      <alignment horizontal="right"/>
      <protection locked="0"/>
    </xf>
    <xf numFmtId="37" fontId="14" fillId="16" borderId="12" xfId="0" applyNumberFormat="1" applyFont="1" applyFill="1" applyBorder="1" applyAlignment="1" applyProtection="1">
      <alignment horizontal="right"/>
      <protection locked="0"/>
    </xf>
    <xf numFmtId="37" fontId="14" fillId="26" borderId="12" xfId="0" applyNumberFormat="1" applyFont="1" applyFill="1" applyBorder="1" applyAlignment="1">
      <alignment horizontal="right"/>
    </xf>
    <xf numFmtId="37" fontId="14" fillId="27" borderId="12" xfId="0" applyNumberFormat="1" applyFont="1" applyFill="1" applyBorder="1" applyAlignment="1">
      <alignment horizontal="right"/>
    </xf>
    <xf numFmtId="37" fontId="14" fillId="28" borderId="69" xfId="0" applyNumberFormat="1" applyFont="1" applyFill="1" applyBorder="1" applyAlignment="1">
      <alignment horizontal="right"/>
    </xf>
    <xf numFmtId="37" fontId="14" fillId="28" borderId="4" xfId="0" applyNumberFormat="1" applyFont="1" applyFill="1" applyBorder="1" applyAlignment="1">
      <alignment horizontal="right"/>
    </xf>
    <xf numFmtId="0" fontId="66" fillId="0" borderId="0" xfId="2" applyBorder="1" applyAlignment="1" applyProtection="1">
      <alignment horizontal="center" vertical="center"/>
    </xf>
    <xf numFmtId="0" fontId="14" fillId="16" borderId="1" xfId="0" applyFont="1" applyFill="1" applyBorder="1" applyAlignment="1" applyProtection="1">
      <alignment horizontal="right"/>
      <protection locked="0"/>
    </xf>
    <xf numFmtId="39" fontId="14" fillId="26" borderId="39" xfId="0" applyNumberFormat="1" applyFont="1" applyFill="1" applyBorder="1" applyAlignment="1">
      <alignment horizontal="right"/>
    </xf>
    <xf numFmtId="39" fontId="14" fillId="26" borderId="25" xfId="0" applyNumberFormat="1" applyFont="1" applyFill="1" applyBorder="1" applyAlignment="1">
      <alignment horizontal="right"/>
    </xf>
    <xf numFmtId="37" fontId="169" fillId="14" borderId="8" xfId="0" applyNumberFormat="1" applyFont="1" applyFill="1" applyBorder="1" applyAlignment="1" applyProtection="1">
      <alignment horizontal="center"/>
      <protection hidden="1"/>
    </xf>
    <xf numFmtId="37" fontId="169" fillId="14" borderId="14" xfId="0" applyNumberFormat="1" applyFont="1" applyFill="1" applyBorder="1" applyAlignment="1" applyProtection="1">
      <alignment horizontal="center"/>
      <protection hidden="1"/>
    </xf>
    <xf numFmtId="177" fontId="14" fillId="26" borderId="47" xfId="0" applyNumberFormat="1" applyFont="1" applyFill="1" applyBorder="1" applyAlignment="1">
      <alignment horizontal="right"/>
    </xf>
    <xf numFmtId="177" fontId="14" fillId="27" borderId="27" xfId="0" applyNumberFormat="1" applyFont="1" applyFill="1" applyBorder="1" applyAlignment="1">
      <alignment horizontal="right"/>
    </xf>
    <xf numFmtId="177" fontId="14" fillId="27" borderId="214" xfId="0" applyNumberFormat="1" applyFont="1" applyFill="1" applyBorder="1" applyAlignment="1">
      <alignment horizontal="right"/>
    </xf>
    <xf numFmtId="0" fontId="3" fillId="16" borderId="1" xfId="0" applyFont="1" applyFill="1" applyBorder="1" applyAlignment="1" applyProtection="1">
      <alignment horizontal="right"/>
      <protection locked="0"/>
    </xf>
    <xf numFmtId="0" fontId="84" fillId="15" borderId="20"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5" fillId="0" borderId="4" xfId="0" applyFont="1" applyBorder="1" applyAlignment="1" applyProtection="1">
      <alignment horizontal="center"/>
      <protection hidden="1"/>
    </xf>
    <xf numFmtId="0" fontId="5" fillId="0" borderId="22" xfId="0" applyFont="1" applyBorder="1" applyAlignment="1" applyProtection="1">
      <alignment horizontal="center"/>
      <protection hidden="1"/>
    </xf>
    <xf numFmtId="0" fontId="19" fillId="28" borderId="0" xfId="0" quotePrefix="1" applyFont="1" applyFill="1" applyAlignment="1" applyProtection="1">
      <alignment vertical="center"/>
      <protection locked="0" hidden="1"/>
    </xf>
    <xf numFmtId="0" fontId="73" fillId="25" borderId="0" xfId="0" applyFont="1" applyFill="1" applyAlignment="1" applyProtection="1">
      <alignment vertical="center"/>
      <protection locked="0" hidden="1"/>
    </xf>
    <xf numFmtId="0" fontId="73" fillId="0" borderId="0" xfId="0" applyFont="1" applyAlignment="1" applyProtection="1">
      <alignment vertical="center"/>
      <protection locked="0" hidden="1"/>
    </xf>
    <xf numFmtId="0" fontId="73" fillId="0" borderId="0" xfId="0" applyFont="1" applyAlignment="1" applyProtection="1">
      <alignment vertical="center"/>
      <protection locked="0"/>
    </xf>
    <xf numFmtId="0" fontId="73" fillId="0" borderId="24" xfId="0" applyFont="1" applyBorder="1" applyAlignment="1" applyProtection="1">
      <alignment vertical="center"/>
      <protection locked="0"/>
    </xf>
    <xf numFmtId="0" fontId="73" fillId="0" borderId="1" xfId="0" applyFont="1" applyBorder="1" applyAlignment="1" applyProtection="1">
      <alignment vertical="center"/>
      <protection locked="0" hidden="1"/>
    </xf>
    <xf numFmtId="0" fontId="73" fillId="0" borderId="1" xfId="0" applyFont="1" applyBorder="1" applyAlignment="1" applyProtection="1">
      <alignment vertical="center"/>
      <protection locked="0"/>
    </xf>
    <xf numFmtId="0" fontId="73" fillId="0" borderId="11" xfId="0" applyFont="1" applyBorder="1" applyAlignment="1" applyProtection="1">
      <alignment vertical="center"/>
      <protection locked="0"/>
    </xf>
    <xf numFmtId="166" fontId="10" fillId="28" borderId="3" xfId="0" quotePrefix="1" applyNumberFormat="1" applyFont="1" applyFill="1" applyBorder="1" applyAlignment="1" applyProtection="1">
      <alignment horizontal="center" vertical="center"/>
      <protection locked="0" hidden="1"/>
    </xf>
    <xf numFmtId="0" fontId="0" fillId="0" borderId="0" xfId="0"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37" fontId="8" fillId="14" borderId="39" xfId="0" applyNumberFormat="1" applyFont="1" applyFill="1" applyBorder="1" applyAlignment="1" applyProtection="1">
      <alignment horizontal="center"/>
      <protection hidden="1"/>
    </xf>
    <xf numFmtId="0" fontId="3" fillId="15" borderId="25" xfId="0" applyFont="1" applyFill="1" applyBorder="1" applyAlignment="1" applyProtection="1">
      <alignment horizontal="center"/>
      <protection hidden="1"/>
    </xf>
    <xf numFmtId="0" fontId="3" fillId="15" borderId="54" xfId="0" applyFont="1" applyFill="1" applyBorder="1" applyAlignment="1" applyProtection="1">
      <alignment horizontal="center"/>
      <protection hidden="1"/>
    </xf>
    <xf numFmtId="173" fontId="14" fillId="20" borderId="39" xfId="0" applyNumberFormat="1" applyFont="1" applyFill="1" applyBorder="1" applyAlignment="1" applyProtection="1">
      <alignment horizontal="right"/>
      <protection locked="0"/>
    </xf>
    <xf numFmtId="173" fontId="14" fillId="20" borderId="25" xfId="0" applyNumberFormat="1" applyFont="1" applyFill="1" applyBorder="1" applyAlignment="1" applyProtection="1">
      <alignment horizontal="right"/>
      <protection locked="0"/>
    </xf>
    <xf numFmtId="0" fontId="0" fillId="15" borderId="26" xfId="0" applyFill="1" applyBorder="1" applyAlignment="1" applyProtection="1">
      <alignment horizontal="center"/>
      <protection hidden="1"/>
    </xf>
    <xf numFmtId="39" fontId="14" fillId="28" borderId="69" xfId="0" applyNumberFormat="1" applyFont="1" applyFill="1" applyBorder="1" applyAlignment="1">
      <alignment horizontal="right"/>
    </xf>
    <xf numFmtId="39" fontId="14" fillId="28" borderId="4" xfId="0" applyNumberFormat="1" applyFont="1" applyFill="1" applyBorder="1" applyAlignment="1">
      <alignment horizontal="right"/>
    </xf>
    <xf numFmtId="0" fontId="5" fillId="15" borderId="5" xfId="0" applyFont="1" applyFill="1" applyBorder="1" applyAlignment="1" applyProtection="1">
      <alignment horizontal="center"/>
      <protection hidden="1"/>
    </xf>
    <xf numFmtId="0" fontId="0" fillId="15" borderId="20" xfId="0" applyFill="1" applyBorder="1" applyAlignment="1" applyProtection="1">
      <alignment horizontal="center"/>
      <protection hidden="1"/>
    </xf>
    <xf numFmtId="37" fontId="14" fillId="20" borderId="69" xfId="0" applyNumberFormat="1" applyFont="1" applyFill="1" applyBorder="1" applyAlignment="1" applyProtection="1">
      <alignment horizontal="right"/>
      <protection locked="0"/>
    </xf>
    <xf numFmtId="37" fontId="14" fillId="20" borderId="4" xfId="0" applyNumberFormat="1" applyFont="1" applyFill="1" applyBorder="1" applyAlignment="1" applyProtection="1">
      <alignment horizontal="right"/>
      <protection locked="0"/>
    </xf>
    <xf numFmtId="0" fontId="5" fillId="15" borderId="5"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0" xfId="0" applyBorder="1" applyAlignment="1" applyProtection="1">
      <alignment horizontal="center" vertical="top"/>
      <protection hidden="1"/>
    </xf>
    <xf numFmtId="37" fontId="14" fillId="26" borderId="0" xfId="0" applyNumberFormat="1" applyFont="1" applyFill="1" applyAlignment="1" applyProtection="1">
      <alignment horizontal="right"/>
      <protection hidden="1"/>
    </xf>
    <xf numFmtId="37" fontId="14" fillId="27" borderId="0" xfId="0" applyNumberFormat="1" applyFont="1" applyFill="1" applyAlignment="1" applyProtection="1">
      <alignment horizontal="right"/>
      <protection hidden="1"/>
    </xf>
    <xf numFmtId="37" fontId="14" fillId="27" borderId="4" xfId="0" applyNumberFormat="1" applyFont="1" applyFill="1" applyBorder="1" applyAlignment="1" applyProtection="1">
      <alignment horizontal="right"/>
      <protection hidden="1"/>
    </xf>
    <xf numFmtId="0" fontId="110" fillId="15" borderId="25" xfId="0" applyFont="1" applyFill="1" applyBorder="1" applyAlignment="1" applyProtection="1">
      <alignment horizontal="center"/>
      <protection hidden="1"/>
    </xf>
    <xf numFmtId="37" fontId="14" fillId="27" borderId="1" xfId="0" applyNumberFormat="1" applyFont="1" applyFill="1" applyBorder="1" applyAlignment="1" applyProtection="1">
      <alignment horizontal="right"/>
      <protection hidden="1"/>
    </xf>
    <xf numFmtId="0" fontId="3" fillId="15" borderId="199" xfId="0" applyFont="1" applyFill="1" applyBorder="1" applyAlignment="1" applyProtection="1">
      <alignment horizontal="center"/>
      <protection hidden="1"/>
    </xf>
    <xf numFmtId="0" fontId="0" fillId="0" borderId="34" xfId="0" applyBorder="1" applyAlignment="1">
      <alignment horizontal="center"/>
    </xf>
    <xf numFmtId="0" fontId="19" fillId="27" borderId="25" xfId="0" quotePrefix="1" applyFont="1" applyFill="1" applyBorder="1" applyAlignment="1" applyProtection="1">
      <alignment horizontal="left" vertical="center"/>
      <protection hidden="1"/>
    </xf>
    <xf numFmtId="0" fontId="73" fillId="27" borderId="25" xfId="0" applyFont="1" applyFill="1" applyBorder="1" applyAlignment="1" applyProtection="1">
      <alignment horizontal="left" vertical="center"/>
      <protection hidden="1"/>
    </xf>
    <xf numFmtId="0" fontId="73" fillId="27" borderId="54" xfId="0" applyFont="1" applyFill="1" applyBorder="1" applyAlignment="1" applyProtection="1">
      <alignment horizontal="left" vertical="center"/>
      <protection hidden="1"/>
    </xf>
    <xf numFmtId="166" fontId="19" fillId="27" borderId="39" xfId="0" applyNumberFormat="1" applyFont="1" applyFill="1" applyBorder="1" applyAlignment="1" applyProtection="1">
      <alignment horizontal="center" vertical="center"/>
      <protection hidden="1"/>
    </xf>
    <xf numFmtId="166" fontId="19" fillId="27" borderId="25" xfId="0" applyNumberFormat="1" applyFont="1" applyFill="1" applyBorder="1" applyAlignment="1" applyProtection="1">
      <alignment horizontal="center" vertical="center"/>
      <protection hidden="1"/>
    </xf>
    <xf numFmtId="0" fontId="46" fillId="15" borderId="8" xfId="0" applyFont="1" applyFill="1" applyBorder="1" applyAlignment="1" applyProtection="1">
      <alignment horizontal="left" vertical="center" wrapText="1"/>
      <protection hidden="1"/>
    </xf>
    <xf numFmtId="0" fontId="46" fillId="15" borderId="0" xfId="0" applyFont="1" applyFill="1" applyAlignment="1" applyProtection="1">
      <alignment horizontal="left" vertical="center" wrapText="1"/>
      <protection hidden="1"/>
    </xf>
    <xf numFmtId="0" fontId="46" fillId="15" borderId="1" xfId="0" applyFont="1" applyFill="1" applyBorder="1" applyAlignment="1" applyProtection="1">
      <alignment horizontal="left" vertical="center" wrapText="1"/>
      <protection hidden="1"/>
    </xf>
    <xf numFmtId="0" fontId="46" fillId="15" borderId="14" xfId="0" applyFont="1" applyFill="1" applyBorder="1" applyAlignment="1" applyProtection="1">
      <alignment horizontal="left" vertical="center" wrapText="1"/>
      <protection hidden="1"/>
    </xf>
    <xf numFmtId="0" fontId="46" fillId="15" borderId="24" xfId="0" applyFont="1" applyFill="1" applyBorder="1" applyAlignment="1" applyProtection="1">
      <alignment horizontal="left" vertical="center" wrapText="1"/>
      <protection hidden="1"/>
    </xf>
    <xf numFmtId="49" fontId="43" fillId="16" borderId="0" xfId="0" applyNumberFormat="1" applyFont="1" applyFill="1" applyAlignment="1" applyProtection="1">
      <alignment horizontal="left"/>
      <protection locked="0"/>
    </xf>
    <xf numFmtId="49" fontId="43" fillId="16" borderId="24" xfId="0" applyNumberFormat="1" applyFont="1" applyFill="1" applyBorder="1" applyAlignment="1" applyProtection="1">
      <alignment horizontal="left"/>
      <protection locked="0"/>
    </xf>
    <xf numFmtId="49" fontId="43" fillId="16" borderId="1" xfId="0" applyNumberFormat="1" applyFont="1" applyFill="1" applyBorder="1" applyAlignment="1" applyProtection="1">
      <alignment horizontal="left"/>
      <protection locked="0"/>
    </xf>
    <xf numFmtId="49" fontId="43" fillId="16" borderId="11" xfId="0" applyNumberFormat="1" applyFont="1" applyFill="1" applyBorder="1" applyAlignment="1" applyProtection="1">
      <alignment horizontal="left"/>
      <protection locked="0"/>
    </xf>
    <xf numFmtId="166" fontId="19" fillId="16" borderId="1" xfId="0" applyNumberFormat="1" applyFont="1" applyFill="1" applyBorder="1" applyAlignment="1" applyProtection="1">
      <alignment horizontal="center"/>
      <protection locked="0"/>
    </xf>
    <xf numFmtId="0" fontId="19" fillId="16" borderId="1" xfId="0" applyFont="1" applyFill="1" applyBorder="1" applyAlignment="1" applyProtection="1">
      <alignment horizontal="left"/>
      <protection locked="0"/>
    </xf>
    <xf numFmtId="0" fontId="19" fillId="16" borderId="11" xfId="0" applyFont="1" applyFill="1" applyBorder="1" applyAlignment="1" applyProtection="1">
      <alignment horizontal="left"/>
      <protection locked="0"/>
    </xf>
    <xf numFmtId="0" fontId="131" fillId="15" borderId="0" xfId="0" applyFont="1" applyFill="1" applyAlignment="1" applyProtection="1">
      <alignment horizontal="left" vertical="center" wrapText="1" indent="1"/>
      <protection hidden="1"/>
    </xf>
    <xf numFmtId="0" fontId="131" fillId="15" borderId="0" xfId="0" applyFont="1" applyFill="1" applyAlignment="1" applyProtection="1">
      <alignment horizontal="left" vertical="center" indent="1"/>
      <protection hidden="1"/>
    </xf>
    <xf numFmtId="39" fontId="5" fillId="15" borderId="5" xfId="0" applyNumberFormat="1" applyFont="1" applyFill="1" applyBorder="1" applyAlignment="1" applyProtection="1">
      <alignment horizontal="left"/>
      <protection hidden="1"/>
    </xf>
    <xf numFmtId="39" fontId="5" fillId="15" borderId="0" xfId="0" applyNumberFormat="1" applyFont="1" applyFill="1" applyAlignment="1" applyProtection="1">
      <alignment horizontal="left"/>
      <protection hidden="1"/>
    </xf>
    <xf numFmtId="0" fontId="159" fillId="15" borderId="0" xfId="0" applyFont="1" applyFill="1" applyAlignment="1" applyProtection="1">
      <alignment horizontal="left" vertical="center" wrapText="1"/>
      <protection hidden="1"/>
    </xf>
    <xf numFmtId="0" fontId="19" fillId="16" borderId="9" xfId="0" applyFont="1" applyFill="1" applyBorder="1" applyAlignment="1" applyProtection="1">
      <alignment horizontal="left" indent="1"/>
      <protection locked="0"/>
    </xf>
    <xf numFmtId="0" fontId="19" fillId="16" borderId="1" xfId="0" applyFont="1" applyFill="1" applyBorder="1" applyAlignment="1" applyProtection="1">
      <alignment horizontal="left" indent="1"/>
      <protection locked="0"/>
    </xf>
    <xf numFmtId="0" fontId="10" fillId="16" borderId="9" xfId="0" applyFont="1" applyFill="1" applyBorder="1" applyAlignment="1" applyProtection="1">
      <alignment horizontal="left" indent="1"/>
      <protection locked="0"/>
    </xf>
    <xf numFmtId="0" fontId="10" fillId="16" borderId="11" xfId="0" applyFont="1" applyFill="1" applyBorder="1" applyAlignment="1" applyProtection="1">
      <alignment horizontal="left"/>
      <protection locked="0"/>
    </xf>
    <xf numFmtId="0" fontId="110" fillId="15" borderId="3" xfId="0" applyFont="1" applyFill="1" applyBorder="1" applyAlignment="1" applyProtection="1">
      <alignment horizontal="center"/>
      <protection hidden="1"/>
    </xf>
    <xf numFmtId="0" fontId="124" fillId="31" borderId="27" xfId="0" applyFont="1" applyFill="1" applyBorder="1" applyAlignment="1" applyProtection="1">
      <alignment horizontal="center" vertical="center"/>
      <protection hidden="1"/>
    </xf>
    <xf numFmtId="0" fontId="14" fillId="25" borderId="1" xfId="0" applyFont="1" applyFill="1" applyBorder="1" applyAlignment="1" applyProtection="1">
      <alignment horizontal="right"/>
      <protection hidden="1"/>
    </xf>
    <xf numFmtId="37" fontId="110" fillId="15" borderId="3" xfId="0" applyNumberFormat="1" applyFont="1" applyFill="1" applyBorder="1" applyAlignment="1" applyProtection="1">
      <alignment horizontal="center"/>
      <protection hidden="1"/>
    </xf>
    <xf numFmtId="37" fontId="110" fillId="15" borderId="0" xfId="0" applyNumberFormat="1" applyFont="1" applyFill="1" applyAlignment="1" applyProtection="1">
      <alignment horizontal="center"/>
      <protection hidden="1"/>
    </xf>
    <xf numFmtId="39" fontId="33" fillId="15" borderId="23" xfId="0" applyNumberFormat="1" applyFont="1" applyFill="1" applyBorder="1" applyAlignment="1" applyProtection="1">
      <alignment horizontal="center"/>
      <protection hidden="1"/>
    </xf>
    <xf numFmtId="39" fontId="33" fillId="15" borderId="7" xfId="0" applyNumberFormat="1" applyFont="1" applyFill="1" applyBorder="1" applyAlignment="1" applyProtection="1">
      <alignment horizontal="center"/>
      <protection hidden="1"/>
    </xf>
    <xf numFmtId="39" fontId="33" fillId="15" borderId="19" xfId="0" applyNumberFormat="1" applyFont="1" applyFill="1" applyBorder="1" applyAlignment="1" applyProtection="1">
      <alignment horizontal="center"/>
      <protection hidden="1"/>
    </xf>
    <xf numFmtId="0" fontId="19" fillId="28" borderId="0" xfId="0" quotePrefix="1" applyFont="1" applyFill="1" applyAlignment="1" applyProtection="1">
      <alignment vertical="center"/>
      <protection hidden="1"/>
    </xf>
    <xf numFmtId="0" fontId="73" fillId="25" borderId="0" xfId="0" applyFont="1" applyFill="1" applyAlignment="1" applyProtection="1">
      <alignment vertical="center"/>
      <protection hidden="1"/>
    </xf>
    <xf numFmtId="0" fontId="73" fillId="0" borderId="0" xfId="0" applyFont="1" applyAlignment="1" applyProtection="1">
      <alignment vertical="center"/>
      <protection hidden="1"/>
    </xf>
    <xf numFmtId="0" fontId="73" fillId="0" borderId="0" xfId="0" applyFont="1" applyAlignment="1">
      <alignment vertical="center"/>
    </xf>
    <xf numFmtId="0" fontId="73" fillId="0" borderId="24" xfId="0" applyFont="1" applyBorder="1" applyAlignment="1">
      <alignment vertical="center"/>
    </xf>
    <xf numFmtId="0" fontId="73" fillId="0" borderId="1" xfId="0" applyFont="1" applyBorder="1" applyAlignment="1" applyProtection="1">
      <alignment vertical="center"/>
      <protection hidden="1"/>
    </xf>
    <xf numFmtId="0" fontId="73" fillId="0" borderId="1" xfId="0" applyFont="1" applyBorder="1" applyAlignment="1">
      <alignment vertical="center"/>
    </xf>
    <xf numFmtId="0" fontId="73" fillId="0" borderId="11" xfId="0" applyFont="1" applyBorder="1" applyAlignment="1">
      <alignment vertical="center"/>
    </xf>
    <xf numFmtId="166" fontId="19" fillId="28" borderId="3" xfId="0" quotePrefix="1" applyNumberFormat="1" applyFont="1" applyFill="1" applyBorder="1" applyAlignment="1" applyProtection="1">
      <alignment horizontal="center" vertical="center"/>
      <protection hidden="1"/>
    </xf>
    <xf numFmtId="0" fontId="73" fillId="0" borderId="0" xfId="0" applyFont="1" applyAlignment="1">
      <alignment horizontal="center" vertical="center"/>
    </xf>
    <xf numFmtId="0" fontId="73" fillId="0" borderId="9" xfId="0" applyFont="1" applyBorder="1" applyAlignment="1">
      <alignment horizontal="center" vertical="center"/>
    </xf>
    <xf numFmtId="0" fontId="73" fillId="0" borderId="1" xfId="0" applyFont="1" applyBorder="1" applyAlignment="1">
      <alignment horizontal="center" vertical="center"/>
    </xf>
    <xf numFmtId="0" fontId="3" fillId="15" borderId="0" xfId="0" applyFont="1" applyFill="1" applyAlignment="1" applyProtection="1">
      <alignment horizontal="center" textRotation="90"/>
      <protection hidden="1"/>
    </xf>
    <xf numFmtId="0" fontId="10" fillId="15" borderId="5" xfId="0" applyFont="1" applyFill="1" applyBorder="1" applyAlignment="1" applyProtection="1">
      <alignment horizontal="center" wrapText="1"/>
      <protection hidden="1"/>
    </xf>
    <xf numFmtId="0" fontId="13" fillId="0" borderId="0" xfId="0" applyFont="1" applyAlignment="1">
      <alignment horizontal="center"/>
    </xf>
    <xf numFmtId="0" fontId="13" fillId="0" borderId="20" xfId="0" applyFont="1" applyBorder="1" applyAlignment="1">
      <alignment horizontal="center"/>
    </xf>
    <xf numFmtId="0" fontId="13" fillId="0" borderId="5" xfId="0" applyFont="1" applyBorder="1" applyAlignment="1">
      <alignment horizontal="center"/>
    </xf>
    <xf numFmtId="37" fontId="0" fillId="15" borderId="3" xfId="0" applyNumberFormat="1" applyFill="1" applyBorder="1" applyAlignment="1" applyProtection="1">
      <alignment horizontal="center"/>
      <protection hidden="1"/>
    </xf>
    <xf numFmtId="37" fontId="0" fillId="15" borderId="0" xfId="0" applyNumberFormat="1" applyFill="1" applyAlignment="1" applyProtection="1">
      <alignment horizontal="center"/>
      <protection hidden="1"/>
    </xf>
    <xf numFmtId="37" fontId="0" fillId="15" borderId="24" xfId="0" applyNumberFormat="1" applyFill="1" applyBorder="1" applyAlignment="1" applyProtection="1">
      <alignment horizontal="center"/>
      <protection hidden="1"/>
    </xf>
    <xf numFmtId="0" fontId="0" fillId="15" borderId="30" xfId="0" applyFill="1" applyBorder="1" applyAlignment="1" applyProtection="1">
      <alignment horizontal="center"/>
      <protection hidden="1"/>
    </xf>
    <xf numFmtId="0" fontId="0" fillId="15" borderId="8" xfId="0" applyFill="1" applyBorder="1" applyAlignment="1" applyProtection="1">
      <alignment horizontal="center"/>
      <protection hidden="1"/>
    </xf>
    <xf numFmtId="0" fontId="0" fillId="15" borderId="14" xfId="0" applyFill="1" applyBorder="1" applyAlignment="1" applyProtection="1">
      <alignment horizontal="center"/>
      <protection hidden="1"/>
    </xf>
    <xf numFmtId="195" fontId="14" fillId="28" borderId="1" xfId="0" applyNumberFormat="1" applyFont="1" applyFill="1" applyBorder="1" applyAlignment="1" applyProtection="1">
      <alignment horizontal="right"/>
      <protection hidden="1"/>
    </xf>
    <xf numFmtId="195" fontId="14" fillId="25" borderId="1" xfId="0" applyNumberFormat="1" applyFont="1" applyFill="1" applyBorder="1" applyAlignment="1" applyProtection="1">
      <alignment horizontal="right"/>
      <protection hidden="1"/>
    </xf>
    <xf numFmtId="37" fontId="14" fillId="28" borderId="4" xfId="0" applyNumberFormat="1" applyFont="1" applyFill="1" applyBorder="1" applyAlignment="1" applyProtection="1">
      <alignment horizontal="right"/>
      <protection hidden="1"/>
    </xf>
    <xf numFmtId="37" fontId="14" fillId="0" borderId="4" xfId="0" applyNumberFormat="1" applyFont="1" applyBorder="1" applyAlignment="1" applyProtection="1">
      <alignment horizontal="right"/>
      <protection hidden="1"/>
    </xf>
    <xf numFmtId="37" fontId="14" fillId="26" borderId="10" xfId="0" applyNumberFormat="1" applyFont="1" applyFill="1" applyBorder="1" applyAlignment="1" applyProtection="1">
      <alignment horizontal="right"/>
      <protection hidden="1"/>
    </xf>
    <xf numFmtId="0" fontId="14" fillId="27" borderId="10" xfId="0" applyFont="1" applyFill="1" applyBorder="1" applyAlignment="1" applyProtection="1">
      <alignment horizontal="right"/>
      <protection hidden="1"/>
    </xf>
    <xf numFmtId="0" fontId="14" fillId="27" borderId="9" xfId="0" applyFont="1" applyFill="1" applyBorder="1" applyAlignment="1" applyProtection="1">
      <alignment horizontal="right"/>
      <protection hidden="1"/>
    </xf>
    <xf numFmtId="6" fontId="13" fillId="15" borderId="9" xfId="0" quotePrefix="1" applyNumberFormat="1" applyFont="1" applyFill="1" applyBorder="1" applyAlignment="1">
      <alignment horizontal="center"/>
    </xf>
    <xf numFmtId="0" fontId="13" fillId="15" borderId="1" xfId="0" applyFont="1" applyFill="1" applyBorder="1" applyAlignment="1">
      <alignment horizontal="center"/>
    </xf>
    <xf numFmtId="0" fontId="13" fillId="15" borderId="11" xfId="0" applyFont="1" applyFill="1" applyBorder="1" applyAlignment="1">
      <alignment horizontal="center"/>
    </xf>
    <xf numFmtId="0" fontId="13" fillId="15" borderId="9" xfId="0" quotePrefix="1" applyFont="1" applyFill="1" applyBorder="1" applyAlignment="1">
      <alignment horizontal="center"/>
    </xf>
    <xf numFmtId="200" fontId="13" fillId="15" borderId="9" xfId="0" applyNumberFormat="1" applyFont="1" applyFill="1" applyBorder="1" applyAlignment="1" applyProtection="1">
      <alignment horizontal="center"/>
      <protection hidden="1"/>
    </xf>
    <xf numFmtId="200" fontId="13" fillId="15" borderId="1" xfId="0" applyNumberFormat="1" applyFont="1" applyFill="1" applyBorder="1" applyAlignment="1" applyProtection="1">
      <alignment horizontal="center"/>
      <protection hidden="1"/>
    </xf>
    <xf numFmtId="200" fontId="13" fillId="15" borderId="11" xfId="0" applyNumberFormat="1" applyFont="1" applyFill="1" applyBorder="1" applyAlignment="1" applyProtection="1">
      <alignment horizontal="center"/>
      <protection hidden="1"/>
    </xf>
    <xf numFmtId="0" fontId="13" fillId="15" borderId="8" xfId="0" applyFont="1" applyFill="1" applyBorder="1" applyAlignment="1" applyProtection="1">
      <alignment horizontal="center"/>
      <protection hidden="1"/>
    </xf>
    <xf numFmtId="6" fontId="13" fillId="15" borderId="3" xfId="0" quotePrefix="1" applyNumberFormat="1" applyFont="1" applyFill="1" applyBorder="1" applyAlignment="1">
      <alignment horizontal="center"/>
    </xf>
    <xf numFmtId="0" fontId="13" fillId="15" borderId="0" xfId="0" applyFont="1" applyFill="1" applyAlignment="1">
      <alignment horizontal="center"/>
    </xf>
    <xf numFmtId="0" fontId="13" fillId="15" borderId="24" xfId="0" applyFont="1" applyFill="1" applyBorder="1" applyAlignment="1">
      <alignment horizontal="center"/>
    </xf>
    <xf numFmtId="200" fontId="13" fillId="15" borderId="3" xfId="0" applyNumberFormat="1" applyFont="1" applyFill="1" applyBorder="1" applyAlignment="1" applyProtection="1">
      <alignment horizontal="center"/>
      <protection hidden="1"/>
    </xf>
    <xf numFmtId="200" fontId="13" fillId="15" borderId="0" xfId="0" applyNumberFormat="1" applyFont="1" applyFill="1" applyAlignment="1" applyProtection="1">
      <alignment horizontal="center"/>
      <protection hidden="1"/>
    </xf>
    <xf numFmtId="200" fontId="13" fillId="15" borderId="24" xfId="0" applyNumberFormat="1" applyFont="1" applyFill="1" applyBorder="1" applyAlignment="1" applyProtection="1">
      <alignment horizontal="center"/>
      <protection hidden="1"/>
    </xf>
    <xf numFmtId="37" fontId="13" fillId="26" borderId="1" xfId="0" applyNumberFormat="1" applyFont="1" applyFill="1" applyBorder="1" applyAlignment="1" applyProtection="1">
      <alignment horizontal="left"/>
      <protection hidden="1"/>
    </xf>
    <xf numFmtId="0" fontId="135" fillId="15" borderId="0" xfId="0" applyFont="1" applyFill="1" applyAlignment="1" applyProtection="1">
      <alignment horizontal="center"/>
      <protection hidden="1"/>
    </xf>
    <xf numFmtId="0" fontId="14" fillId="15" borderId="11" xfId="0" applyFont="1" applyFill="1" applyBorder="1" applyAlignment="1" applyProtection="1">
      <alignment horizontal="center"/>
      <protection hidden="1"/>
    </xf>
    <xf numFmtId="0" fontId="13" fillId="15" borderId="30" xfId="0" quotePrefix="1" applyFont="1" applyFill="1" applyBorder="1" applyAlignment="1">
      <alignment horizontal="center"/>
    </xf>
    <xf numFmtId="0" fontId="13" fillId="15" borderId="8" xfId="0" applyFont="1" applyFill="1" applyBorder="1" applyAlignment="1">
      <alignment horizontal="center"/>
    </xf>
    <xf numFmtId="0" fontId="13" fillId="15" borderId="14" xfId="0" applyFont="1" applyFill="1" applyBorder="1" applyAlignment="1">
      <alignment horizontal="center"/>
    </xf>
    <xf numFmtId="6" fontId="13" fillId="15" borderId="30" xfId="0" applyNumberFormat="1" applyFont="1" applyFill="1" applyBorder="1" applyAlignment="1" applyProtection="1">
      <alignment horizontal="center"/>
      <protection hidden="1"/>
    </xf>
    <xf numFmtId="0" fontId="13" fillId="15" borderId="14" xfId="0" applyFont="1" applyFill="1" applyBorder="1" applyAlignment="1" applyProtection="1">
      <alignment horizontal="center"/>
      <protection hidden="1"/>
    </xf>
    <xf numFmtId="200" fontId="13" fillId="15" borderId="30" xfId="0" applyNumberFormat="1" applyFont="1" applyFill="1" applyBorder="1" applyAlignment="1" applyProtection="1">
      <alignment horizontal="center"/>
      <protection hidden="1"/>
    </xf>
    <xf numFmtId="200" fontId="13" fillId="15" borderId="8" xfId="0" applyNumberFormat="1" applyFont="1" applyFill="1" applyBorder="1" applyAlignment="1" applyProtection="1">
      <alignment horizontal="center"/>
      <protection hidden="1"/>
    </xf>
    <xf numFmtId="200" fontId="13" fillId="15" borderId="14" xfId="0" applyNumberFormat="1" applyFont="1" applyFill="1" applyBorder="1" applyAlignment="1" applyProtection="1">
      <alignment horizontal="center"/>
      <protection hidden="1"/>
    </xf>
    <xf numFmtId="200" fontId="110" fillId="15" borderId="1" xfId="0" applyNumberFormat="1" applyFont="1" applyFill="1" applyBorder="1" applyAlignment="1" applyProtection="1">
      <alignment horizontal="center"/>
      <protection hidden="1"/>
    </xf>
    <xf numFmtId="0" fontId="10" fillId="15" borderId="39" xfId="0" applyFont="1" applyFill="1" applyBorder="1" applyAlignment="1">
      <alignment horizontal="center"/>
    </xf>
    <xf numFmtId="0" fontId="10" fillId="15" borderId="25" xfId="0" applyFont="1" applyFill="1" applyBorder="1" applyAlignment="1">
      <alignment horizontal="center"/>
    </xf>
    <xf numFmtId="0" fontId="10" fillId="15" borderId="54" xfId="0" applyFont="1" applyFill="1" applyBorder="1" applyAlignment="1">
      <alignment horizontal="center"/>
    </xf>
    <xf numFmtId="0" fontId="10" fillId="15" borderId="54" xfId="0" applyFont="1" applyFill="1" applyBorder="1" applyAlignment="1" applyProtection="1">
      <alignment horizontal="center"/>
      <protection hidden="1"/>
    </xf>
    <xf numFmtId="0" fontId="13" fillId="15" borderId="30" xfId="0" applyFont="1" applyFill="1" applyBorder="1" applyAlignment="1">
      <alignment horizontal="center" vertical="center" wrapText="1"/>
    </xf>
    <xf numFmtId="0" fontId="46" fillId="15" borderId="30" xfId="0" applyFont="1" applyFill="1" applyBorder="1" applyAlignment="1" applyProtection="1">
      <alignment horizontal="center" vertical="center" wrapText="1"/>
      <protection hidden="1"/>
    </xf>
    <xf numFmtId="0" fontId="46" fillId="15" borderId="8" xfId="0" applyFont="1" applyFill="1" applyBorder="1" applyAlignment="1" applyProtection="1">
      <alignment horizontal="center" vertical="center" wrapText="1"/>
      <protection hidden="1"/>
    </xf>
    <xf numFmtId="0" fontId="46" fillId="15" borderId="14" xfId="0" applyFont="1" applyFill="1" applyBorder="1" applyAlignment="1" applyProtection="1">
      <alignment horizontal="center" vertical="center" wrapText="1"/>
      <protection hidden="1"/>
    </xf>
    <xf numFmtId="0" fontId="46" fillId="15" borderId="3" xfId="0" applyFont="1" applyFill="1" applyBorder="1" applyAlignment="1" applyProtection="1">
      <alignment horizontal="center" vertical="center" wrapText="1"/>
      <protection hidden="1"/>
    </xf>
    <xf numFmtId="0" fontId="46" fillId="15" borderId="0" xfId="0" applyFont="1" applyFill="1" applyAlignment="1" applyProtection="1">
      <alignment horizontal="center" vertical="center" wrapText="1"/>
      <protection hidden="1"/>
    </xf>
    <xf numFmtId="0" fontId="46" fillId="15" borderId="24" xfId="0" applyFont="1" applyFill="1" applyBorder="1" applyAlignment="1" applyProtection="1">
      <alignment horizontal="center" vertical="center" wrapText="1"/>
      <protection hidden="1"/>
    </xf>
    <xf numFmtId="0" fontId="46" fillId="15" borderId="9" xfId="0" applyFont="1" applyFill="1" applyBorder="1" applyAlignment="1" applyProtection="1">
      <alignment horizontal="center" vertical="center" wrapText="1"/>
      <protection hidden="1"/>
    </xf>
    <xf numFmtId="0" fontId="46" fillId="15" borderId="1" xfId="0" applyFont="1" applyFill="1" applyBorder="1" applyAlignment="1" applyProtection="1">
      <alignment horizontal="center" vertical="center" wrapText="1"/>
      <protection hidden="1"/>
    </xf>
    <xf numFmtId="0" fontId="46" fillId="15" borderId="11" xfId="0" applyFont="1" applyFill="1" applyBorder="1" applyAlignment="1" applyProtection="1">
      <alignment horizontal="center" vertical="center" wrapText="1"/>
      <protection hidden="1"/>
    </xf>
    <xf numFmtId="37" fontId="110" fillId="15" borderId="24" xfId="0" applyNumberFormat="1" applyFont="1" applyFill="1" applyBorder="1" applyAlignment="1" applyProtection="1">
      <alignment horizontal="center"/>
      <protection hidden="1"/>
    </xf>
    <xf numFmtId="37" fontId="10" fillId="27" borderId="52" xfId="0" applyNumberFormat="1" applyFont="1" applyFill="1" applyBorder="1" applyAlignment="1" applyProtection="1">
      <alignment horizontal="right"/>
      <protection hidden="1"/>
    </xf>
    <xf numFmtId="37" fontId="10" fillId="27" borderId="31" xfId="0" applyNumberFormat="1" applyFont="1" applyFill="1" applyBorder="1" applyAlignment="1" applyProtection="1">
      <alignment horizontal="right"/>
      <protection hidden="1"/>
    </xf>
    <xf numFmtId="37" fontId="10" fillId="27" borderId="73" xfId="0" applyNumberFormat="1" applyFont="1" applyFill="1" applyBorder="1" applyAlignment="1" applyProtection="1">
      <alignment horizontal="right"/>
      <protection hidden="1"/>
    </xf>
    <xf numFmtId="0" fontId="110" fillId="15" borderId="7" xfId="0" applyFont="1" applyFill="1" applyBorder="1" applyAlignment="1" applyProtection="1">
      <alignment horizontal="center"/>
      <protection hidden="1"/>
    </xf>
    <xf numFmtId="0" fontId="110" fillId="15" borderId="36" xfId="0" applyFont="1" applyFill="1" applyBorder="1" applyAlignment="1" applyProtection="1">
      <alignment horizontal="center"/>
      <protection hidden="1"/>
    </xf>
    <xf numFmtId="37" fontId="10" fillId="26" borderId="43" xfId="0" applyNumberFormat="1" applyFont="1" applyFill="1" applyBorder="1" applyAlignment="1" applyProtection="1">
      <alignment horizontal="right"/>
      <protection hidden="1"/>
    </xf>
    <xf numFmtId="0" fontId="10" fillId="27" borderId="43" xfId="0" applyFont="1" applyFill="1" applyBorder="1" applyAlignment="1" applyProtection="1">
      <alignment horizontal="right"/>
      <protection hidden="1"/>
    </xf>
    <xf numFmtId="0" fontId="10" fillId="27" borderId="47" xfId="0" applyFont="1" applyFill="1" applyBorder="1" applyAlignment="1" applyProtection="1">
      <alignment horizontal="right"/>
      <protection hidden="1"/>
    </xf>
    <xf numFmtId="37" fontId="10" fillId="27" borderId="43" xfId="0" applyNumberFormat="1" applyFont="1" applyFill="1" applyBorder="1" applyAlignment="1" applyProtection="1">
      <alignment horizontal="right"/>
      <protection hidden="1"/>
    </xf>
    <xf numFmtId="37" fontId="10" fillId="27" borderId="47" xfId="0" applyNumberFormat="1" applyFont="1" applyFill="1" applyBorder="1" applyAlignment="1" applyProtection="1">
      <alignment horizontal="right"/>
      <protection hidden="1"/>
    </xf>
    <xf numFmtId="37" fontId="10" fillId="27" borderId="27" xfId="0" applyNumberFormat="1" applyFont="1" applyFill="1" applyBorder="1" applyAlignment="1" applyProtection="1">
      <alignment horizontal="right"/>
      <protection hidden="1"/>
    </xf>
    <xf numFmtId="37" fontId="10" fillId="27" borderId="214" xfId="0" applyNumberFormat="1" applyFont="1" applyFill="1" applyBorder="1" applyAlignment="1" applyProtection="1">
      <alignment horizontal="right"/>
      <protection hidden="1"/>
    </xf>
    <xf numFmtId="37" fontId="10" fillId="20" borderId="10" xfId="0" applyNumberFormat="1" applyFont="1" applyFill="1" applyBorder="1" applyAlignment="1" applyProtection="1">
      <alignment horizontal="right"/>
      <protection locked="0"/>
    </xf>
    <xf numFmtId="37" fontId="10" fillId="16" borderId="10" xfId="0" applyNumberFormat="1" applyFont="1" applyFill="1" applyBorder="1" applyAlignment="1" applyProtection="1">
      <alignment horizontal="right"/>
      <protection locked="0"/>
    </xf>
    <xf numFmtId="37" fontId="10" fillId="20" borderId="28" xfId="0" applyNumberFormat="1" applyFont="1" applyFill="1" applyBorder="1" applyAlignment="1" applyProtection="1">
      <alignment horizontal="right"/>
      <protection locked="0"/>
    </xf>
    <xf numFmtId="37" fontId="10" fillId="16" borderId="28" xfId="0" applyNumberFormat="1" applyFont="1" applyFill="1" applyBorder="1" applyAlignment="1" applyProtection="1">
      <alignment horizontal="right"/>
      <protection locked="0"/>
    </xf>
    <xf numFmtId="0" fontId="116" fillId="15" borderId="4" xfId="0" applyFont="1" applyFill="1" applyBorder="1" applyAlignment="1">
      <alignment horizontal="center" vertical="center"/>
    </xf>
    <xf numFmtId="0" fontId="116" fillId="15" borderId="0" xfId="0" applyFont="1" applyFill="1" applyAlignment="1">
      <alignment horizontal="center" vertical="center"/>
    </xf>
    <xf numFmtId="0" fontId="116" fillId="15" borderId="24" xfId="0" applyFont="1" applyFill="1" applyBorder="1" applyAlignment="1">
      <alignment horizontal="center" vertical="center"/>
    </xf>
    <xf numFmtId="0" fontId="14" fillId="15" borderId="27" xfId="0" applyFont="1" applyFill="1" applyBorder="1" applyAlignment="1" applyProtection="1">
      <alignment horizontal="center" vertical="center"/>
      <protection hidden="1"/>
    </xf>
    <xf numFmtId="0" fontId="14" fillId="0" borderId="27" xfId="0" applyFont="1" applyBorder="1" applyAlignment="1">
      <alignment horizontal="center" vertical="center"/>
    </xf>
    <xf numFmtId="0" fontId="14" fillId="0" borderId="214" xfId="0" applyFont="1" applyBorder="1" applyAlignment="1">
      <alignment horizontal="center" vertical="center"/>
    </xf>
    <xf numFmtId="0" fontId="14" fillId="15" borderId="47" xfId="0" applyFont="1" applyFill="1" applyBorder="1" applyAlignment="1" applyProtection="1">
      <alignment horizontal="center" vertical="center"/>
      <protection hidden="1"/>
    </xf>
    <xf numFmtId="6" fontId="116" fillId="15" borderId="0" xfId="0" applyNumberFormat="1" applyFont="1" applyFill="1" applyAlignment="1">
      <alignment horizontal="center" vertical="center"/>
    </xf>
    <xf numFmtId="0" fontId="19" fillId="15" borderId="5" xfId="0" applyFont="1" applyFill="1" applyBorder="1" applyAlignment="1" applyProtection="1">
      <alignment horizontal="center" vertical="center"/>
      <protection hidden="1"/>
    </xf>
    <xf numFmtId="0" fontId="19" fillId="15" borderId="0" xfId="0" applyFont="1" applyFill="1" applyAlignment="1" applyProtection="1">
      <alignment horizontal="center" vertical="center"/>
      <protection hidden="1"/>
    </xf>
    <xf numFmtId="0" fontId="19" fillId="15" borderId="20" xfId="0" applyFont="1" applyFill="1" applyBorder="1" applyAlignment="1" applyProtection="1">
      <alignment horizontal="center" vertical="center"/>
      <protection hidden="1"/>
    </xf>
    <xf numFmtId="0" fontId="11" fillId="0" borderId="1" xfId="0" applyFont="1" applyBorder="1" applyAlignment="1" applyProtection="1">
      <alignment horizontal="center"/>
      <protection hidden="1"/>
    </xf>
    <xf numFmtId="0" fontId="9" fillId="3" borderId="0" xfId="0" applyFont="1" applyFill="1" applyAlignment="1" applyProtection="1">
      <alignment horizontal="left"/>
      <protection hidden="1"/>
    </xf>
    <xf numFmtId="0" fontId="0" fillId="0" borderId="20" xfId="0" applyBorder="1" applyAlignment="1">
      <alignment horizontal="left"/>
    </xf>
    <xf numFmtId="0" fontId="9" fillId="3" borderId="5" xfId="0" applyFont="1" applyFill="1" applyBorder="1" applyAlignment="1" applyProtection="1">
      <alignment horizontal="left"/>
      <protection hidden="1"/>
    </xf>
    <xf numFmtId="0" fontId="9" fillId="3" borderId="4" xfId="0" applyFont="1" applyFill="1" applyBorder="1" applyAlignment="1" applyProtection="1">
      <alignment horizontal="left" vertical="top"/>
      <protection hidden="1"/>
    </xf>
    <xf numFmtId="0" fontId="0" fillId="0" borderId="4" xfId="0" applyBorder="1" applyAlignment="1" applyProtection="1">
      <alignment horizontal="left" vertical="top"/>
      <protection hidden="1"/>
    </xf>
    <xf numFmtId="0" fontId="0" fillId="0" borderId="22" xfId="0" applyBorder="1" applyAlignment="1">
      <alignment horizontal="left" vertical="top"/>
    </xf>
    <xf numFmtId="0" fontId="11" fillId="3" borderId="21" xfId="0" applyFont="1" applyFill="1" applyBorder="1" applyAlignment="1" applyProtection="1">
      <alignment horizontal="center"/>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4" fontId="9" fillId="3" borderId="21" xfId="0" applyNumberFormat="1" applyFont="1" applyFill="1" applyBorder="1" applyAlignment="1" applyProtection="1">
      <alignment horizontal="center" vertical="center"/>
      <protection hidden="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134" fillId="0" borderId="8" xfId="0" applyFont="1" applyBorder="1" applyAlignment="1" applyProtection="1">
      <alignment horizontal="center"/>
      <protection hidden="1"/>
    </xf>
    <xf numFmtId="0" fontId="134" fillId="0" borderId="5" xfId="0" applyFont="1" applyBorder="1" applyAlignment="1" applyProtection="1">
      <alignment horizontal="center"/>
      <protection hidden="1"/>
    </xf>
    <xf numFmtId="0" fontId="134" fillId="0" borderId="0" xfId="0" applyFont="1" applyAlignment="1" applyProtection="1">
      <alignment horizontal="center"/>
      <protection hidden="1"/>
    </xf>
    <xf numFmtId="0" fontId="43" fillId="3" borderId="5" xfId="0" applyFont="1" applyFill="1" applyBorder="1" applyAlignment="1" applyProtection="1">
      <alignment horizontal="center"/>
      <protection hidden="1"/>
    </xf>
    <xf numFmtId="0" fontId="43" fillId="3" borderId="20" xfId="0" applyFont="1" applyFill="1" applyBorder="1" applyAlignment="1" applyProtection="1">
      <alignment horizontal="center"/>
      <protection hidden="1"/>
    </xf>
    <xf numFmtId="4" fontId="7" fillId="3" borderId="56" xfId="0" applyNumberFormat="1" applyFont="1" applyFill="1" applyBorder="1" applyAlignment="1" applyProtection="1">
      <alignment horizontal="left" vertical="center" wrapText="1"/>
      <protection hidden="1"/>
    </xf>
    <xf numFmtId="4" fontId="7" fillId="3" borderId="7" xfId="0" applyNumberFormat="1" applyFont="1" applyFill="1" applyBorder="1" applyAlignment="1" applyProtection="1">
      <alignment horizontal="left" vertical="center" wrapText="1"/>
      <protection hidden="1"/>
    </xf>
    <xf numFmtId="0" fontId="5" fillId="3" borderId="8" xfId="0" applyFont="1" applyFill="1" applyBorder="1" applyAlignment="1" applyProtection="1">
      <alignment horizontal="left" wrapText="1" indent="1"/>
      <protection hidden="1"/>
    </xf>
    <xf numFmtId="0" fontId="5" fillId="0" borderId="8" xfId="0" applyFont="1" applyBorder="1" applyAlignment="1" applyProtection="1">
      <alignment horizontal="left" wrapText="1" indent="1"/>
      <protection hidden="1"/>
    </xf>
    <xf numFmtId="0" fontId="7" fillId="3" borderId="0" xfId="0" applyFont="1" applyFill="1" applyAlignment="1" applyProtection="1">
      <alignment horizontal="center" vertical="center"/>
      <protection hidden="1"/>
    </xf>
    <xf numFmtId="0" fontId="104" fillId="3" borderId="0" xfId="0" applyFont="1" applyFill="1" applyAlignment="1" applyProtection="1">
      <alignment horizontal="left" vertical="center"/>
      <protection hidden="1"/>
    </xf>
    <xf numFmtId="0" fontId="134" fillId="0" borderId="20" xfId="0" applyFont="1" applyBorder="1" applyAlignment="1">
      <alignment horizontal="left" vertical="center"/>
    </xf>
    <xf numFmtId="0" fontId="134" fillId="0" borderId="0" xfId="0" applyFont="1" applyAlignment="1">
      <alignment vertical="center"/>
    </xf>
    <xf numFmtId="0" fontId="134" fillId="0" borderId="20" xfId="0" applyFont="1" applyBorder="1" applyAlignment="1">
      <alignment vertical="center"/>
    </xf>
    <xf numFmtId="0" fontId="121" fillId="0" borderId="0" xfId="0" applyFont="1" applyAlignment="1" applyProtection="1">
      <alignment horizontal="center" vertical="center"/>
      <protection hidden="1"/>
    </xf>
    <xf numFmtId="0" fontId="121" fillId="0" borderId="20" xfId="0" applyFont="1" applyBorder="1" applyAlignment="1" applyProtection="1">
      <alignment horizontal="center" vertical="center"/>
      <protection hidden="1"/>
    </xf>
    <xf numFmtId="0" fontId="46" fillId="3" borderId="8" xfId="0" applyFont="1" applyFill="1" applyBorder="1" applyAlignment="1" applyProtection="1">
      <alignment horizontal="left" vertical="center" wrapText="1" indent="1"/>
      <protection hidden="1"/>
    </xf>
    <xf numFmtId="0" fontId="46" fillId="0" borderId="8" xfId="0" applyFont="1" applyBorder="1" applyAlignment="1" applyProtection="1">
      <alignment horizontal="left" vertical="center" wrapText="1" indent="1"/>
      <protection hidden="1"/>
    </xf>
    <xf numFmtId="0" fontId="46" fillId="3" borderId="8" xfId="0" applyFont="1" applyFill="1" applyBorder="1" applyAlignment="1" applyProtection="1">
      <alignment horizontal="left" wrapText="1" indent="1"/>
      <protection hidden="1"/>
    </xf>
    <xf numFmtId="0" fontId="46" fillId="0" borderId="8" xfId="0" applyFont="1" applyBorder="1" applyAlignment="1" applyProtection="1">
      <alignment horizontal="left" wrapText="1" indent="1"/>
      <protection hidden="1"/>
    </xf>
    <xf numFmtId="0" fontId="5" fillId="14" borderId="0" xfId="0" applyFont="1" applyFill="1" applyAlignment="1" applyProtection="1">
      <alignment horizontal="left"/>
      <protection hidden="1"/>
    </xf>
    <xf numFmtId="0" fontId="64"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4" fontId="11" fillId="15" borderId="107" xfId="0" applyNumberFormat="1" applyFont="1" applyFill="1" applyBorder="1" applyAlignment="1" applyProtection="1">
      <alignment horizontal="center" wrapText="1"/>
      <protection hidden="1"/>
    </xf>
    <xf numFmtId="4" fontId="11" fillId="15" borderId="27" xfId="0" applyNumberFormat="1" applyFont="1" applyFill="1" applyBorder="1" applyAlignment="1" applyProtection="1">
      <alignment horizontal="center" wrapText="1"/>
      <protection hidden="1"/>
    </xf>
    <xf numFmtId="4" fontId="11" fillId="15" borderId="108"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0" fontId="5" fillId="15" borderId="0" xfId="0" quotePrefix="1" applyFont="1" applyFill="1" applyAlignment="1" applyProtection="1">
      <alignment horizontal="left" vertical="top" wrapText="1"/>
      <protection hidden="1"/>
    </xf>
    <xf numFmtId="0" fontId="207" fillId="5" borderId="0" xfId="0" applyFont="1" applyFill="1" applyAlignment="1" applyProtection="1">
      <alignment horizontal="center" vertical="center" wrapText="1"/>
      <protection hidden="1"/>
    </xf>
    <xf numFmtId="4" fontId="8" fillId="15" borderId="107" xfId="0" applyNumberFormat="1" applyFont="1" applyFill="1" applyBorder="1" applyAlignment="1" applyProtection="1">
      <alignment horizontal="center" wrapText="1"/>
      <protection hidden="1"/>
    </xf>
    <xf numFmtId="4" fontId="8" fillId="15" borderId="27" xfId="0" applyNumberFormat="1" applyFont="1" applyFill="1" applyBorder="1" applyAlignment="1" applyProtection="1">
      <alignment horizontal="center" wrapText="1"/>
      <protection hidden="1"/>
    </xf>
    <xf numFmtId="4" fontId="8" fillId="15" borderId="108" xfId="0" applyNumberFormat="1" applyFont="1" applyFill="1" applyBorder="1" applyAlignment="1" applyProtection="1">
      <alignment horizontal="center" wrapText="1"/>
      <protection hidden="1"/>
    </xf>
    <xf numFmtId="0" fontId="11" fillId="15" borderId="5" xfId="0" applyFont="1" applyFill="1" applyBorder="1" applyAlignment="1" applyProtection="1">
      <alignment horizontal="right" indent="1"/>
      <protection hidden="1"/>
    </xf>
    <xf numFmtId="0" fontId="11" fillId="15" borderId="0" xfId="0" applyFont="1" applyFill="1" applyAlignment="1" applyProtection="1">
      <alignment horizontal="right" indent="1"/>
      <protection hidden="1"/>
    </xf>
    <xf numFmtId="0" fontId="3" fillId="15" borderId="0" xfId="0" applyFont="1" applyFill="1" applyAlignment="1" applyProtection="1">
      <alignment horizontal="right" indent="1"/>
      <protection hidden="1"/>
    </xf>
    <xf numFmtId="0" fontId="11" fillId="15" borderId="8" xfId="0" applyFont="1" applyFill="1" applyBorder="1" applyAlignment="1" applyProtection="1">
      <alignment horizontal="left" textRotation="90"/>
      <protection hidden="1"/>
    </xf>
    <xf numFmtId="0" fontId="3" fillId="15" borderId="0" xfId="0" applyFont="1" applyFill="1" applyAlignment="1" applyProtection="1">
      <alignment textRotation="90"/>
      <protection hidden="1"/>
    </xf>
    <xf numFmtId="0" fontId="144" fillId="15" borderId="21" xfId="0" applyFont="1" applyFill="1" applyBorder="1" applyAlignment="1" applyProtection="1">
      <alignment horizontal="center" wrapText="1"/>
      <protection hidden="1"/>
    </xf>
    <xf numFmtId="0" fontId="144" fillId="15" borderId="4" xfId="0" applyFont="1" applyFill="1" applyBorder="1" applyAlignment="1" applyProtection="1">
      <alignment horizontal="center" wrapText="1"/>
      <protection hidden="1"/>
    </xf>
    <xf numFmtId="0" fontId="144" fillId="0" borderId="4" xfId="0" applyFont="1" applyBorder="1" applyAlignment="1">
      <alignment horizontal="center" wrapText="1"/>
    </xf>
    <xf numFmtId="0" fontId="144" fillId="0" borderId="22" xfId="0" applyFont="1" applyBorder="1" applyAlignment="1">
      <alignment horizontal="center" wrapText="1"/>
    </xf>
    <xf numFmtId="0" fontId="205" fillId="15" borderId="7" xfId="0" applyFont="1" applyFill="1" applyBorder="1" applyAlignment="1">
      <alignment horizontal="center"/>
    </xf>
    <xf numFmtId="1" fontId="11" fillId="3" borderId="0" xfId="0" applyNumberFormat="1" applyFont="1" applyFill="1" applyAlignment="1" applyProtection="1">
      <alignment horizontal="center"/>
      <protection hidden="1"/>
    </xf>
    <xf numFmtId="0" fontId="5" fillId="3" borderId="8" xfId="0" applyFont="1" applyFill="1" applyBorder="1" applyAlignment="1" applyProtection="1">
      <alignment horizontal="left" vertical="center" wrapText="1"/>
      <protection hidden="1"/>
    </xf>
    <xf numFmtId="0" fontId="5" fillId="3" borderId="0" xfId="0" applyFont="1" applyFill="1" applyAlignment="1" applyProtection="1">
      <alignment horizontal="left" vertical="center" wrapText="1"/>
      <protection hidden="1"/>
    </xf>
    <xf numFmtId="0" fontId="5" fillId="3" borderId="1" xfId="0" applyFont="1" applyFill="1" applyBorder="1" applyAlignment="1" applyProtection="1">
      <alignment horizontal="left" vertical="center" wrapText="1"/>
      <protection hidden="1"/>
    </xf>
    <xf numFmtId="0" fontId="3" fillId="2" borderId="0" xfId="0" applyFont="1" applyFill="1" applyAlignment="1" applyProtection="1">
      <alignment horizontal="left" wrapText="1"/>
      <protection hidden="1"/>
    </xf>
    <xf numFmtId="0" fontId="11" fillId="3" borderId="21" xfId="0" applyFont="1" applyFill="1" applyBorder="1" applyAlignment="1" applyProtection="1">
      <alignment horizontal="center" vertical="center"/>
      <protection hidden="1"/>
    </xf>
    <xf numFmtId="0" fontId="9" fillId="0" borderId="4" xfId="0" applyFont="1" applyBorder="1" applyAlignment="1" applyProtection="1">
      <alignment horizontal="center" vertical="center"/>
      <protection hidden="1"/>
    </xf>
    <xf numFmtId="0" fontId="9" fillId="0" borderId="22" xfId="0" applyFont="1" applyBorder="1" applyAlignment="1" applyProtection="1">
      <alignment horizontal="center" vertical="center"/>
      <protection hidden="1"/>
    </xf>
    <xf numFmtId="4" fontId="15" fillId="3" borderId="56" xfId="0" applyNumberFormat="1" applyFont="1" applyFill="1" applyBorder="1" applyAlignment="1" applyProtection="1">
      <alignment vertical="center" wrapText="1"/>
      <protection hidden="1"/>
    </xf>
    <xf numFmtId="0" fontId="15" fillId="0" borderId="7" xfId="0" applyFont="1" applyBorder="1" applyAlignment="1">
      <alignment vertical="center" wrapText="1"/>
    </xf>
    <xf numFmtId="0" fontId="15" fillId="0" borderId="9" xfId="0" applyFont="1" applyBorder="1" applyAlignment="1">
      <alignment vertical="center" wrapText="1"/>
    </xf>
    <xf numFmtId="0" fontId="15" fillId="0" borderId="1" xfId="0" applyFont="1" applyBorder="1" applyAlignment="1">
      <alignment vertical="center" wrapText="1"/>
    </xf>
    <xf numFmtId="166" fontId="10" fillId="28" borderId="7" xfId="0" applyNumberFormat="1" applyFont="1" applyFill="1" applyBorder="1" applyAlignment="1" applyProtection="1">
      <alignment horizontal="center"/>
      <protection hidden="1"/>
    </xf>
    <xf numFmtId="0" fontId="0" fillId="0" borderId="7" xfId="0" applyBorder="1"/>
    <xf numFmtId="0" fontId="7" fillId="14" borderId="0" xfId="0" applyFont="1" applyFill="1" applyAlignment="1" applyProtection="1">
      <alignment horizontal="left"/>
      <protection hidden="1"/>
    </xf>
    <xf numFmtId="0" fontId="46" fillId="3" borderId="1" xfId="0" applyFont="1" applyFill="1" applyBorder="1" applyAlignment="1" applyProtection="1">
      <alignment horizontal="left" wrapText="1" indent="1"/>
      <protection hidden="1"/>
    </xf>
    <xf numFmtId="0" fontId="46" fillId="0" borderId="1" xfId="0" applyFont="1" applyBorder="1" applyAlignment="1" applyProtection="1">
      <alignment horizontal="left" wrapText="1" indent="1"/>
      <protection hidden="1"/>
    </xf>
    <xf numFmtId="0" fontId="8" fillId="16" borderId="25" xfId="0" applyFont="1" applyFill="1" applyBorder="1" applyAlignment="1" applyProtection="1">
      <alignment horizontal="left" indent="1"/>
      <protection locked="0"/>
    </xf>
    <xf numFmtId="174" fontId="8" fillId="16" borderId="39" xfId="0" applyNumberFormat="1" applyFont="1" applyFill="1" applyBorder="1" applyAlignment="1" applyProtection="1">
      <alignment horizontal="center"/>
      <protection locked="0"/>
    </xf>
    <xf numFmtId="174" fontId="3" fillId="16" borderId="25" xfId="0" applyNumberFormat="1" applyFont="1" applyFill="1" applyBorder="1" applyAlignment="1" applyProtection="1">
      <alignment horizontal="center"/>
      <protection locked="0"/>
    </xf>
    <xf numFmtId="174" fontId="3" fillId="16" borderId="54" xfId="0" applyNumberFormat="1" applyFont="1" applyFill="1" applyBorder="1" applyAlignment="1" applyProtection="1">
      <alignment horizontal="center"/>
      <protection locked="0"/>
    </xf>
    <xf numFmtId="37" fontId="8" fillId="16" borderId="39" xfId="0" applyNumberFormat="1" applyFont="1" applyFill="1" applyBorder="1" applyAlignment="1" applyProtection="1">
      <alignment horizontal="center"/>
      <protection locked="0"/>
    </xf>
    <xf numFmtId="37" fontId="3" fillId="16" borderId="25" xfId="0" applyNumberFormat="1" applyFont="1" applyFill="1" applyBorder="1" applyAlignment="1" applyProtection="1">
      <alignment horizontal="right"/>
      <protection locked="0"/>
    </xf>
    <xf numFmtId="37" fontId="3" fillId="16" borderId="54" xfId="0" applyNumberFormat="1" applyFont="1" applyFill="1" applyBorder="1" applyAlignment="1" applyProtection="1">
      <alignment horizontal="right"/>
      <protection locked="0"/>
    </xf>
    <xf numFmtId="0" fontId="15" fillId="2" borderId="30" xfId="0" applyFont="1" applyFill="1" applyBorder="1" applyAlignment="1" applyProtection="1">
      <alignment horizontal="center" vertical="center" wrapText="1"/>
      <protection hidden="1"/>
    </xf>
    <xf numFmtId="0" fontId="15" fillId="0" borderId="8" xfId="0" applyFont="1" applyBorder="1" applyAlignment="1">
      <alignment horizontal="center" vertical="center"/>
    </xf>
    <xf numFmtId="0" fontId="15" fillId="0" borderId="14" xfId="0" applyFont="1" applyBorder="1" applyAlignment="1">
      <alignment horizontal="center" vertical="center"/>
    </xf>
    <xf numFmtId="0" fontId="15" fillId="2" borderId="3" xfId="0" applyFont="1" applyFill="1" applyBorder="1" applyAlignment="1" applyProtection="1">
      <alignment horizontal="center" vertical="center" wrapText="1"/>
      <protection hidden="1"/>
    </xf>
    <xf numFmtId="0" fontId="15" fillId="0" borderId="0" xfId="0" applyFont="1" applyAlignment="1">
      <alignment horizontal="center" vertical="center"/>
    </xf>
    <xf numFmtId="0" fontId="15" fillId="0" borderId="24" xfId="0" applyFont="1" applyBorder="1" applyAlignment="1">
      <alignment horizontal="center" vertical="center"/>
    </xf>
    <xf numFmtId="0" fontId="15" fillId="0" borderId="3" xfId="0" applyFont="1" applyBorder="1" applyAlignment="1">
      <alignment horizontal="center" vertical="center"/>
    </xf>
    <xf numFmtId="0" fontId="15" fillId="0" borderId="9" xfId="0" applyFont="1" applyBorder="1" applyAlignment="1">
      <alignment horizontal="center" vertical="center"/>
    </xf>
    <xf numFmtId="0" fontId="15" fillId="0" borderId="1" xfId="0" applyFont="1" applyBorder="1" applyAlignment="1">
      <alignment horizontal="center" vertical="center"/>
    </xf>
    <xf numFmtId="0" fontId="15" fillId="0" borderId="11" xfId="0" applyFont="1" applyBorder="1" applyAlignment="1">
      <alignment horizontal="center" vertical="center"/>
    </xf>
    <xf numFmtId="0" fontId="15" fillId="15" borderId="30" xfId="0" applyFont="1" applyFill="1" applyBorder="1" applyAlignment="1" applyProtection="1">
      <alignment horizontal="center" vertical="center" wrapText="1"/>
      <protection hidden="1"/>
    </xf>
    <xf numFmtId="0" fontId="15" fillId="15" borderId="8" xfId="0" applyFont="1" applyFill="1" applyBorder="1" applyAlignment="1" applyProtection="1">
      <alignment horizontal="center" vertical="center" wrapText="1"/>
      <protection hidden="1"/>
    </xf>
    <xf numFmtId="0" fontId="15" fillId="15" borderId="14" xfId="0" applyFont="1" applyFill="1" applyBorder="1" applyAlignment="1" applyProtection="1">
      <alignment horizontal="center" vertical="center" wrapText="1"/>
      <protection hidden="1"/>
    </xf>
    <xf numFmtId="0" fontId="15" fillId="15" borderId="9" xfId="0" applyFont="1" applyFill="1" applyBorder="1" applyAlignment="1" applyProtection="1">
      <alignment horizontal="center" vertical="center" wrapText="1"/>
      <protection hidden="1"/>
    </xf>
    <xf numFmtId="0" fontId="15" fillId="15" borderId="1" xfId="0" applyFont="1" applyFill="1" applyBorder="1" applyAlignment="1" applyProtection="1">
      <alignment horizontal="center" vertical="center" wrapText="1"/>
      <protection hidden="1"/>
    </xf>
    <xf numFmtId="0" fontId="15" fillId="15" borderId="11" xfId="0" applyFont="1" applyFill="1" applyBorder="1" applyAlignment="1" applyProtection="1">
      <alignment horizontal="center" vertical="center" wrapText="1"/>
      <protection hidden="1"/>
    </xf>
    <xf numFmtId="0" fontId="10" fillId="0" borderId="8" xfId="0" applyFont="1" applyBorder="1" applyAlignment="1" applyProtection="1">
      <alignment horizontal="center" vertical="top"/>
      <protection hidden="1"/>
    </xf>
    <xf numFmtId="0" fontId="10" fillId="0" borderId="0" xfId="0" applyFont="1" applyAlignment="1">
      <alignment horizontal="center" vertical="top"/>
    </xf>
    <xf numFmtId="0" fontId="7" fillId="2" borderId="8" xfId="0" applyFont="1" applyFill="1" applyBorder="1" applyAlignment="1" applyProtection="1">
      <alignment vertical="top" wrapText="1"/>
      <protection hidden="1"/>
    </xf>
    <xf numFmtId="0" fontId="7" fillId="0" borderId="8" xfId="0" applyFont="1" applyBorder="1" applyAlignment="1">
      <alignment vertical="top" wrapText="1"/>
    </xf>
    <xf numFmtId="0" fontId="7" fillId="0" borderId="0" xfId="0" applyFont="1" applyAlignment="1">
      <alignment vertical="top" wrapText="1"/>
    </xf>
    <xf numFmtId="37" fontId="0" fillId="16" borderId="30" xfId="0" applyNumberFormat="1" applyFill="1" applyBorder="1" applyAlignment="1" applyProtection="1">
      <alignment horizontal="right"/>
      <protection hidden="1"/>
    </xf>
    <xf numFmtId="0" fontId="0" fillId="16" borderId="8" xfId="0" applyFill="1" applyBorder="1" applyAlignment="1">
      <alignment horizontal="right"/>
    </xf>
    <xf numFmtId="0" fontId="0" fillId="16" borderId="14" xfId="0" applyFill="1" applyBorder="1" applyAlignment="1">
      <alignment horizontal="right"/>
    </xf>
    <xf numFmtId="0" fontId="0" fillId="16" borderId="3" xfId="0" applyFill="1" applyBorder="1" applyAlignment="1">
      <alignment horizontal="right"/>
    </xf>
    <xf numFmtId="0" fontId="0" fillId="16" borderId="0" xfId="0" applyFill="1" applyAlignment="1">
      <alignment horizontal="right"/>
    </xf>
    <xf numFmtId="0" fontId="0" fillId="16" borderId="24" xfId="0" applyFill="1" applyBorder="1" applyAlignment="1">
      <alignment horizontal="right"/>
    </xf>
    <xf numFmtId="0" fontId="0" fillId="16" borderId="9" xfId="0" applyFill="1" applyBorder="1" applyAlignment="1">
      <alignment horizontal="right"/>
    </xf>
    <xf numFmtId="0" fontId="0" fillId="16" borderId="1" xfId="0" applyFill="1" applyBorder="1" applyAlignment="1">
      <alignment horizontal="right"/>
    </xf>
    <xf numFmtId="0" fontId="0" fillId="16" borderId="11" xfId="0" applyFill="1" applyBorder="1" applyAlignment="1">
      <alignment horizontal="right"/>
    </xf>
    <xf numFmtId="0" fontId="4" fillId="15" borderId="7" xfId="0" applyFont="1" applyFill="1" applyBorder="1" applyAlignment="1" applyProtection="1">
      <alignment horizontal="left" wrapText="1"/>
      <protection hidden="1"/>
    </xf>
    <xf numFmtId="0" fontId="4" fillId="15" borderId="7" xfId="0" applyFont="1" applyFill="1" applyBorder="1" applyAlignment="1">
      <alignment wrapText="1"/>
    </xf>
    <xf numFmtId="0" fontId="0" fillId="16" borderId="8" xfId="0" applyFill="1" applyBorder="1" applyAlignment="1" applyProtection="1">
      <alignment horizontal="right"/>
      <protection hidden="1"/>
    </xf>
    <xf numFmtId="0" fontId="0" fillId="16" borderId="3" xfId="0" applyFill="1" applyBorder="1" applyAlignment="1" applyProtection="1">
      <alignment horizontal="right"/>
      <protection hidden="1"/>
    </xf>
    <xf numFmtId="0" fontId="0" fillId="16" borderId="0" xfId="0" applyFill="1" applyAlignment="1" applyProtection="1">
      <alignment horizontal="right"/>
      <protection hidden="1"/>
    </xf>
    <xf numFmtId="37" fontId="0" fillId="23" borderId="30" xfId="0" applyNumberFormat="1" applyFill="1" applyBorder="1" applyAlignment="1" applyProtection="1">
      <alignment horizontal="right"/>
      <protection hidden="1"/>
    </xf>
    <xf numFmtId="0" fontId="0" fillId="23" borderId="14" xfId="0" applyFill="1" applyBorder="1" applyAlignment="1" applyProtection="1">
      <alignment horizontal="right"/>
      <protection hidden="1"/>
    </xf>
    <xf numFmtId="0" fontId="0" fillId="23" borderId="3" xfId="0" applyFill="1" applyBorder="1" applyAlignment="1" applyProtection="1">
      <alignment horizontal="right"/>
      <protection hidden="1"/>
    </xf>
    <xf numFmtId="0" fontId="0" fillId="23" borderId="24" xfId="0" applyFill="1" applyBorder="1" applyAlignment="1" applyProtection="1">
      <alignment horizontal="right"/>
      <protection hidden="1"/>
    </xf>
    <xf numFmtId="0" fontId="0" fillId="23" borderId="9" xfId="0" applyFill="1" applyBorder="1" applyAlignment="1" applyProtection="1">
      <alignment horizontal="right"/>
      <protection hidden="1"/>
    </xf>
    <xf numFmtId="0" fontId="0" fillId="23" borderId="11" xfId="0" applyFill="1" applyBorder="1" applyAlignment="1" applyProtection="1">
      <alignment horizontal="right"/>
      <protection hidden="1"/>
    </xf>
    <xf numFmtId="0" fontId="0" fillId="16" borderId="14" xfId="0" applyFill="1" applyBorder="1" applyAlignment="1" applyProtection="1">
      <alignment horizontal="right"/>
      <protection hidden="1"/>
    </xf>
    <xf numFmtId="0" fontId="0" fillId="16" borderId="24" xfId="0" applyFill="1" applyBorder="1" applyAlignment="1" applyProtection="1">
      <alignment horizontal="right"/>
      <protection hidden="1"/>
    </xf>
    <xf numFmtId="0" fontId="0" fillId="16" borderId="9" xfId="0" applyFill="1" applyBorder="1" applyAlignment="1" applyProtection="1">
      <alignment horizontal="right"/>
      <protection hidden="1"/>
    </xf>
    <xf numFmtId="0" fontId="0" fillId="16" borderId="1" xfId="0" applyFill="1" applyBorder="1" applyAlignment="1" applyProtection="1">
      <alignment horizontal="right"/>
      <protection hidden="1"/>
    </xf>
    <xf numFmtId="0" fontId="0" fillId="16" borderId="11" xfId="0" applyFill="1" applyBorder="1" applyAlignment="1" applyProtection="1">
      <alignment horizontal="right"/>
      <protection hidden="1"/>
    </xf>
    <xf numFmtId="37" fontId="8" fillId="16" borderId="39" xfId="0" applyNumberFormat="1" applyFont="1" applyFill="1" applyBorder="1" applyAlignment="1" applyProtection="1">
      <alignment horizontal="right"/>
      <protection hidden="1"/>
    </xf>
    <xf numFmtId="37" fontId="3" fillId="16" borderId="25" xfId="0" applyNumberFormat="1" applyFont="1" applyFill="1" applyBorder="1" applyAlignment="1" applyProtection="1">
      <alignment horizontal="right"/>
      <protection hidden="1"/>
    </xf>
    <xf numFmtId="0" fontId="5" fillId="15" borderId="99" xfId="0" applyFont="1" applyFill="1" applyBorder="1" applyAlignment="1" applyProtection="1">
      <alignment horizontal="left" vertical="top" wrapText="1"/>
      <protection hidden="1"/>
    </xf>
    <xf numFmtId="0" fontId="5" fillId="0" borderId="99" xfId="0" applyFont="1" applyBorder="1" applyAlignment="1">
      <alignment wrapText="1"/>
    </xf>
    <xf numFmtId="0" fontId="5" fillId="0" borderId="13" xfId="0" applyFont="1" applyBorder="1" applyAlignment="1">
      <alignment wrapText="1"/>
    </xf>
    <xf numFmtId="0" fontId="14" fillId="2" borderId="8" xfId="0" applyFont="1" applyFill="1" applyBorder="1" applyProtection="1">
      <protection hidden="1"/>
    </xf>
    <xf numFmtId="0" fontId="14" fillId="2" borderId="0" xfId="0" applyFont="1" applyFill="1" applyProtection="1">
      <protection hidden="1"/>
    </xf>
    <xf numFmtId="0" fontId="14" fillId="0" borderId="0" xfId="0" applyFont="1"/>
    <xf numFmtId="0" fontId="14" fillId="0" borderId="1" xfId="0" applyFont="1" applyBorder="1"/>
    <xf numFmtId="0" fontId="9" fillId="2" borderId="8"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0" xfId="0" applyFont="1" applyFill="1" applyAlignment="1">
      <alignment horizontal="center" vertical="center" wrapText="1"/>
    </xf>
    <xf numFmtId="0" fontId="9" fillId="2" borderId="0" xfId="0" applyFont="1" applyFill="1" applyAlignment="1">
      <alignment horizontal="center" vertical="center"/>
    </xf>
    <xf numFmtId="0" fontId="9" fillId="2" borderId="24" xfId="0" applyFont="1" applyFill="1" applyBorder="1" applyAlignment="1">
      <alignment horizontal="center" vertical="center"/>
    </xf>
    <xf numFmtId="0" fontId="9" fillId="2" borderId="1"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30" xfId="0" applyFont="1" applyFill="1" applyBorder="1" applyAlignment="1" applyProtection="1">
      <alignment horizontal="center" vertical="center" wrapText="1"/>
      <protection hidden="1"/>
    </xf>
    <xf numFmtId="0" fontId="9" fillId="2" borderId="3" xfId="0" applyFont="1" applyFill="1" applyBorder="1" applyAlignment="1" applyProtection="1">
      <alignment horizontal="center" vertical="center" wrapText="1"/>
      <protection hidden="1"/>
    </xf>
    <xf numFmtId="0" fontId="9" fillId="0" borderId="1" xfId="0" applyFont="1" applyBorder="1" applyAlignment="1">
      <alignment horizontal="center" vertical="center"/>
    </xf>
    <xf numFmtId="0" fontId="50" fillId="9" borderId="8" xfId="0" applyFont="1" applyFill="1" applyBorder="1" applyAlignment="1" applyProtection="1">
      <alignment horizontal="center"/>
      <protection hidden="1"/>
    </xf>
    <xf numFmtId="0" fontId="5" fillId="0" borderId="8" xfId="0" applyFont="1" applyBorder="1" applyProtection="1">
      <protection hidden="1"/>
    </xf>
    <xf numFmtId="0" fontId="10" fillId="27" borderId="4" xfId="0" applyFont="1" applyFill="1" applyBorder="1" applyAlignment="1" applyProtection="1">
      <alignment horizontal="left" indent="1"/>
      <protection hidden="1"/>
    </xf>
    <xf numFmtId="0" fontId="0" fillId="27" borderId="4" xfId="0" applyFill="1" applyBorder="1" applyAlignment="1" applyProtection="1">
      <alignment horizontal="left" indent="1"/>
      <protection hidden="1"/>
    </xf>
    <xf numFmtId="0" fontId="0" fillId="27" borderId="70" xfId="0" applyFill="1" applyBorder="1" applyAlignment="1" applyProtection="1">
      <alignment horizontal="left" indent="1"/>
      <protection hidden="1"/>
    </xf>
    <xf numFmtId="166" fontId="10" fillId="27" borderId="69" xfId="0" applyNumberFormat="1" applyFont="1" applyFill="1" applyBorder="1" applyAlignment="1" applyProtection="1">
      <alignment horizontal="center" vertical="center"/>
      <protection hidden="1"/>
    </xf>
    <xf numFmtId="0" fontId="0" fillId="27" borderId="4" xfId="0" applyFill="1" applyBorder="1" applyProtection="1">
      <protection hidden="1"/>
    </xf>
    <xf numFmtId="0" fontId="7" fillId="15" borderId="99" xfId="0" applyFont="1" applyFill="1" applyBorder="1" applyAlignment="1" applyProtection="1">
      <alignment horizontal="left" vertical="top" wrapText="1"/>
      <protection hidden="1"/>
    </xf>
    <xf numFmtId="0" fontId="7" fillId="0" borderId="99" xfId="0" applyFont="1" applyBorder="1" applyAlignment="1">
      <alignment wrapText="1"/>
    </xf>
    <xf numFmtId="0" fontId="7" fillId="0" borderId="13" xfId="0" applyFont="1" applyBorder="1" applyAlignment="1">
      <alignment wrapText="1"/>
    </xf>
    <xf numFmtId="0" fontId="14" fillId="0" borderId="8" xfId="0" applyFont="1" applyBorder="1" applyAlignment="1" applyProtection="1">
      <alignment horizontal="center" vertical="top"/>
      <protection hidden="1"/>
    </xf>
    <xf numFmtId="0" fontId="14" fillId="0" borderId="0" xfId="0" applyFont="1" applyAlignment="1">
      <alignment horizontal="center" vertical="top"/>
    </xf>
    <xf numFmtId="0" fontId="0" fillId="16" borderId="69" xfId="0" applyFill="1" applyBorder="1" applyAlignment="1" applyProtection="1">
      <alignment horizontal="right"/>
      <protection hidden="1"/>
    </xf>
    <xf numFmtId="0" fontId="0" fillId="16" borderId="4" xfId="0" applyFill="1" applyBorder="1" applyAlignment="1" applyProtection="1">
      <alignment horizontal="right"/>
      <protection hidden="1"/>
    </xf>
    <xf numFmtId="0" fontId="0" fillId="16" borderId="70" xfId="0" applyFill="1" applyBorder="1" applyAlignment="1" applyProtection="1">
      <alignment horizontal="right"/>
      <protection hidden="1"/>
    </xf>
    <xf numFmtId="0" fontId="113" fillId="5" borderId="0" xfId="0" applyFont="1" applyFill="1" applyAlignment="1" applyProtection="1">
      <alignment horizontal="right"/>
      <protection hidden="1"/>
    </xf>
    <xf numFmtId="0" fontId="113" fillId="0" borderId="0" xfId="0" applyFont="1" applyAlignment="1">
      <alignment horizontal="right"/>
    </xf>
    <xf numFmtId="0" fontId="5" fillId="2" borderId="0" xfId="0" applyFont="1" applyFill="1" applyProtection="1">
      <protection hidden="1"/>
    </xf>
    <xf numFmtId="0" fontId="71" fillId="2" borderId="0" xfId="0" applyFont="1" applyFill="1" applyAlignment="1" applyProtection="1">
      <alignment horizontal="center" vertical="center"/>
      <protection hidden="1"/>
    </xf>
    <xf numFmtId="0" fontId="43" fillId="2" borderId="100" xfId="0" applyFont="1" applyFill="1" applyBorder="1" applyAlignment="1" applyProtection="1">
      <alignment horizontal="center"/>
      <protection hidden="1"/>
    </xf>
    <xf numFmtId="0" fontId="43" fillId="0" borderId="0" xfId="0" applyFont="1" applyAlignment="1" applyProtection="1">
      <alignment horizontal="center"/>
      <protection hidden="1"/>
    </xf>
    <xf numFmtId="0" fontId="43" fillId="0" borderId="75" xfId="0" applyFont="1" applyBorder="1" applyAlignment="1" applyProtection="1">
      <alignment horizontal="center"/>
      <protection hidden="1"/>
    </xf>
    <xf numFmtId="0" fontId="43" fillId="0" borderId="100" xfId="0" applyFont="1" applyBorder="1" applyAlignment="1" applyProtection="1">
      <alignment horizontal="center"/>
      <protection hidden="1"/>
    </xf>
    <xf numFmtId="0" fontId="0" fillId="0" borderId="100" xfId="0" applyBorder="1" applyAlignment="1">
      <alignment horizontal="center"/>
    </xf>
    <xf numFmtId="0" fontId="11" fillId="2" borderId="100"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5" xfId="0" applyFont="1" applyBorder="1" applyAlignment="1" applyProtection="1">
      <alignment horizontal="center" vertical="center"/>
      <protection hidden="1"/>
    </xf>
    <xf numFmtId="0" fontId="120" fillId="2" borderId="0" xfId="0" applyFont="1" applyFill="1" applyAlignment="1" applyProtection="1">
      <alignment horizontal="left"/>
      <protection hidden="1"/>
    </xf>
    <xf numFmtId="0" fontId="122" fillId="0" borderId="0" xfId="0" applyFont="1" applyAlignment="1" applyProtection="1">
      <alignment horizontal="left"/>
      <protection hidden="1"/>
    </xf>
    <xf numFmtId="0" fontId="9" fillId="2" borderId="100"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0" xfId="0" applyFont="1" applyFill="1" applyBorder="1" applyAlignment="1" applyProtection="1">
      <alignment horizontal="center" vertical="center" wrapText="1"/>
      <protection hidden="1"/>
    </xf>
    <xf numFmtId="0" fontId="5" fillId="2" borderId="4" xfId="0" applyFont="1" applyFill="1" applyBorder="1" applyAlignment="1" applyProtection="1">
      <alignment horizontal="center" vertical="center" wrapText="1"/>
      <protection hidden="1"/>
    </xf>
    <xf numFmtId="0" fontId="0" fillId="0" borderId="72" xfId="0" applyBorder="1" applyAlignment="1">
      <alignment vertical="center"/>
    </xf>
    <xf numFmtId="0" fontId="0" fillId="0" borderId="13" xfId="0" applyBorder="1" applyAlignment="1">
      <alignment vertical="center"/>
    </xf>
    <xf numFmtId="0" fontId="0" fillId="0" borderId="33" xfId="0" applyBorder="1" applyAlignment="1">
      <alignment vertical="center"/>
    </xf>
    <xf numFmtId="0" fontId="5" fillId="0" borderId="39" xfId="0" applyFont="1" applyBorder="1" applyAlignment="1" applyProtection="1">
      <alignment horizontal="center"/>
      <protection hidden="1"/>
    </xf>
    <xf numFmtId="0" fontId="5" fillId="0" borderId="12" xfId="0" applyFont="1" applyBorder="1" applyAlignment="1" applyProtection="1">
      <alignment horizontal="center" textRotation="90" wrapText="1"/>
      <protection hidden="1"/>
    </xf>
    <xf numFmtId="0" fontId="5" fillId="0" borderId="12" xfId="0" applyFont="1" applyBorder="1" applyAlignment="1">
      <alignment horizontal="center" wrapText="1"/>
    </xf>
    <xf numFmtId="0" fontId="9" fillId="15" borderId="15" xfId="0" applyFont="1" applyFill="1" applyBorder="1" applyAlignment="1">
      <alignment horizontal="center" vertical="center" wrapText="1"/>
    </xf>
    <xf numFmtId="0" fontId="0" fillId="0" borderId="10" xfId="0" applyBorder="1" applyAlignment="1">
      <alignment horizontal="center" vertical="center" wrapText="1"/>
    </xf>
    <xf numFmtId="0" fontId="45" fillId="15" borderId="30" xfId="0" applyFont="1" applyFill="1" applyBorder="1" applyAlignment="1" applyProtection="1">
      <alignment horizontal="center" vertical="center" wrapText="1"/>
      <protection hidden="1"/>
    </xf>
    <xf numFmtId="0" fontId="3" fillId="0" borderId="0" xfId="0" applyFont="1" applyAlignment="1" applyProtection="1">
      <alignment horizontal="center" vertical="center"/>
      <protection hidden="1"/>
    </xf>
    <xf numFmtId="0" fontId="3" fillId="0" borderId="0" xfId="0" applyFont="1" applyAlignment="1">
      <alignment horizontal="center" vertical="center"/>
    </xf>
    <xf numFmtId="0" fontId="9" fillId="0" borderId="12" xfId="0" applyFont="1" applyBorder="1" applyAlignment="1" applyProtection="1">
      <alignment horizontal="center" vertical="center" wrapText="1"/>
      <protection hidden="1"/>
    </xf>
    <xf numFmtId="0" fontId="9" fillId="0" borderId="12" xfId="0" applyFont="1" applyBorder="1" applyAlignment="1">
      <alignment horizontal="center" vertical="center" wrapText="1"/>
    </xf>
    <xf numFmtId="0" fontId="15" fillId="0" borderId="12" xfId="0" applyFont="1" applyBorder="1" applyAlignment="1" applyProtection="1">
      <alignment horizontal="center" vertical="center" wrapText="1"/>
      <protection hidden="1"/>
    </xf>
    <xf numFmtId="0" fontId="15" fillId="0" borderId="12" xfId="0" applyFont="1" applyBorder="1" applyAlignment="1">
      <alignment horizontal="center" vertical="center" wrapText="1"/>
    </xf>
    <xf numFmtId="0" fontId="122" fillId="0" borderId="0" xfId="0" applyFont="1" applyAlignment="1" applyProtection="1">
      <alignment horizontal="left" vertical="center"/>
      <protection hidden="1"/>
    </xf>
    <xf numFmtId="0" fontId="9" fillId="2" borderId="0" xfId="0" applyFont="1" applyFill="1" applyAlignment="1" applyProtection="1">
      <alignment horizontal="center" vertical="center" wrapText="1"/>
      <protection hidden="1"/>
    </xf>
    <xf numFmtId="0" fontId="9" fillId="2" borderId="180" xfId="0" applyFont="1" applyFill="1" applyBorder="1" applyAlignment="1" applyProtection="1">
      <alignment horizontal="center" vertical="center" wrapText="1"/>
      <protection hidden="1"/>
    </xf>
    <xf numFmtId="0" fontId="9" fillId="2" borderId="4" xfId="0" applyFont="1" applyFill="1" applyBorder="1" applyAlignment="1" applyProtection="1">
      <alignment horizontal="center" vertical="center" wrapText="1"/>
      <protection hidden="1"/>
    </xf>
    <xf numFmtId="0" fontId="57" fillId="3" borderId="0" xfId="0" applyFont="1" applyFill="1" applyAlignment="1" applyProtection="1">
      <alignment horizontal="left" vertical="center"/>
      <protection hidden="1"/>
    </xf>
    <xf numFmtId="0" fontId="91" fillId="0" borderId="20" xfId="0" applyFont="1" applyBorder="1" applyAlignment="1">
      <alignment horizontal="left" vertical="center"/>
    </xf>
    <xf numFmtId="0" fontId="91" fillId="0" borderId="0" xfId="0" applyFont="1" applyAlignment="1">
      <alignment vertical="center"/>
    </xf>
    <xf numFmtId="0" fontId="91" fillId="0" borderId="20" xfId="0" applyFont="1" applyBorder="1" applyAlignment="1">
      <alignment vertical="center"/>
    </xf>
    <xf numFmtId="0" fontId="19" fillId="3" borderId="0" xfId="0" applyFont="1" applyFill="1" applyAlignment="1" applyProtection="1">
      <alignment horizontal="center"/>
      <protection hidden="1"/>
    </xf>
    <xf numFmtId="0" fontId="7" fillId="0" borderId="0" xfId="0" applyFont="1" applyAlignment="1" applyProtection="1">
      <alignment horizontal="center" vertical="top"/>
      <protection hidden="1"/>
    </xf>
    <xf numFmtId="0" fontId="7" fillId="0" borderId="20" xfId="0" applyFont="1" applyBorder="1" applyAlignment="1" applyProtection="1">
      <alignment horizontal="center" vertical="top"/>
      <protection hidden="1"/>
    </xf>
    <xf numFmtId="0" fontId="8" fillId="3" borderId="21" xfId="0" applyFont="1" applyFill="1" applyBorder="1" applyAlignment="1" applyProtection="1">
      <alignment horizontal="center" vertical="center"/>
      <protection hidden="1"/>
    </xf>
    <xf numFmtId="0" fontId="7" fillId="0" borderId="4" xfId="0" applyFont="1" applyBorder="1" applyAlignment="1" applyProtection="1">
      <alignment horizontal="center" vertical="center"/>
      <protection hidden="1"/>
    </xf>
    <xf numFmtId="0" fontId="7" fillId="0" borderId="22" xfId="0" applyFont="1" applyBorder="1" applyAlignment="1" applyProtection="1">
      <alignment horizontal="center" vertical="center"/>
      <protection hidden="1"/>
    </xf>
    <xf numFmtId="5" fontId="7" fillId="3" borderId="0" xfId="0" applyNumberFormat="1" applyFont="1" applyFill="1" applyAlignment="1" applyProtection="1">
      <alignment horizontal="right"/>
      <protection hidden="1"/>
    </xf>
    <xf numFmtId="5" fontId="0" fillId="0" borderId="24" xfId="0" applyNumberFormat="1" applyBorder="1" applyAlignment="1" applyProtection="1">
      <alignment horizontal="right"/>
      <protection hidden="1"/>
    </xf>
    <xf numFmtId="39" fontId="273" fillId="3" borderId="0" xfId="0" applyNumberFormat="1" applyFont="1" applyFill="1" applyAlignment="1" applyProtection="1">
      <alignment horizontal="center" vertical="top" wrapText="1"/>
      <protection hidden="1"/>
    </xf>
    <xf numFmtId="0" fontId="10" fillId="3" borderId="8" xfId="0" applyFont="1" applyFill="1" applyBorder="1" applyAlignment="1" applyProtection="1">
      <alignment horizontal="left" vertical="top"/>
      <protection hidden="1"/>
    </xf>
    <xf numFmtId="0" fontId="0" fillId="0" borderId="8" xfId="0" applyBorder="1" applyAlignment="1">
      <alignment horizontal="left" vertical="top"/>
    </xf>
    <xf numFmtId="0" fontId="0" fillId="0" borderId="14" xfId="0" applyBorder="1" applyAlignment="1">
      <alignment horizontal="left" vertical="top"/>
    </xf>
    <xf numFmtId="0" fontId="8" fillId="14" borderId="5" xfId="0" applyFont="1" applyFill="1" applyBorder="1" applyAlignment="1" applyProtection="1">
      <alignment horizontal="center" vertical="top"/>
      <protection hidden="1"/>
    </xf>
    <xf numFmtId="0" fontId="40" fillId="14" borderId="0" xfId="0" applyFont="1" applyFill="1" applyAlignment="1" applyProtection="1">
      <alignment horizontal="center" vertical="top"/>
      <protection hidden="1"/>
    </xf>
    <xf numFmtId="0" fontId="7" fillId="15" borderId="0" xfId="0" applyFont="1" applyFill="1" applyAlignment="1" applyProtection="1">
      <alignment horizontal="center" vertical="top"/>
      <protection hidden="1"/>
    </xf>
    <xf numFmtId="0" fontId="7" fillId="15" borderId="20" xfId="0" applyFont="1" applyFill="1" applyBorder="1" applyAlignment="1" applyProtection="1">
      <alignment horizontal="center" vertical="top"/>
      <protection hidden="1"/>
    </xf>
    <xf numFmtId="0" fontId="11" fillId="14" borderId="21" xfId="0" applyFont="1" applyFill="1" applyBorder="1" applyAlignment="1" applyProtection="1">
      <alignment horizontal="center" vertical="center"/>
      <protection hidden="1"/>
    </xf>
    <xf numFmtId="0" fontId="11" fillId="14" borderId="4" xfId="0" applyFont="1" applyFill="1" applyBorder="1" applyAlignment="1" applyProtection="1">
      <alignment horizontal="center" vertical="center"/>
      <protection hidden="1"/>
    </xf>
    <xf numFmtId="0" fontId="9" fillId="15" borderId="4" xfId="0" applyFont="1" applyFill="1" applyBorder="1" applyAlignment="1" applyProtection="1">
      <alignment horizontal="center" vertical="center"/>
      <protection hidden="1"/>
    </xf>
    <xf numFmtId="0" fontId="9" fillId="15" borderId="22" xfId="0" applyFont="1" applyFill="1" applyBorder="1" applyAlignment="1" applyProtection="1">
      <alignment horizontal="center" vertical="center"/>
      <protection hidden="1"/>
    </xf>
    <xf numFmtId="0" fontId="19" fillId="14" borderId="0" xfId="0" applyFont="1" applyFill="1" applyAlignment="1" applyProtection="1">
      <alignment horizontal="center"/>
      <protection hidden="1"/>
    </xf>
    <xf numFmtId="186" fontId="0" fillId="16" borderId="69" xfId="0" applyNumberFormat="1" applyFill="1" applyBorder="1" applyAlignment="1" applyProtection="1">
      <alignment horizontal="center"/>
      <protection locked="0"/>
    </xf>
    <xf numFmtId="186" fontId="0" fillId="16" borderId="4" xfId="0" applyNumberFormat="1" applyFill="1" applyBorder="1" applyAlignment="1" applyProtection="1">
      <alignment horizontal="center"/>
      <protection locked="0"/>
    </xf>
    <xf numFmtId="186" fontId="0" fillId="0" borderId="4" xfId="0" applyNumberFormat="1" applyBorder="1" applyAlignment="1" applyProtection="1">
      <alignment horizontal="center"/>
      <protection locked="0"/>
    </xf>
    <xf numFmtId="186" fontId="0" fillId="0" borderId="70" xfId="0" applyNumberFormat="1" applyBorder="1" applyAlignment="1" applyProtection="1">
      <alignment horizontal="center"/>
      <protection locked="0"/>
    </xf>
    <xf numFmtId="0" fontId="0" fillId="15" borderId="8" xfId="0" applyFill="1" applyBorder="1" applyAlignment="1" applyProtection="1">
      <alignment vertical="top"/>
      <protection hidden="1"/>
    </xf>
    <xf numFmtId="49" fontId="0" fillId="16"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1" xfId="0" applyNumberFormat="1" applyBorder="1" applyAlignment="1" applyProtection="1">
      <alignment horizontal="center"/>
      <protection locked="0"/>
    </xf>
    <xf numFmtId="166" fontId="14" fillId="16" borderId="9" xfId="0" applyNumberFormat="1" applyFont="1" applyFill="1" applyBorder="1" applyAlignment="1" applyProtection="1">
      <alignment horizontal="center"/>
      <protection locked="0"/>
    </xf>
    <xf numFmtId="166" fontId="14" fillId="16" borderId="1" xfId="0" applyNumberFormat="1" applyFont="1" applyFill="1" applyBorder="1" applyAlignment="1" applyProtection="1">
      <alignment horizontal="center"/>
      <protection locked="0"/>
    </xf>
    <xf numFmtId="166" fontId="14" fillId="0" borderId="1" xfId="0" applyNumberFormat="1" applyFont="1" applyBorder="1" applyAlignment="1" applyProtection="1">
      <alignment horizontal="center"/>
      <protection locked="0"/>
    </xf>
    <xf numFmtId="166" fontId="14" fillId="0" borderId="11" xfId="0" applyNumberFormat="1" applyFont="1" applyBorder="1" applyAlignment="1" applyProtection="1">
      <alignment horizontal="center"/>
      <protection locked="0"/>
    </xf>
    <xf numFmtId="186" fontId="0" fillId="16" borderId="9" xfId="0" applyNumberFormat="1" applyFill="1" applyBorder="1" applyAlignment="1" applyProtection="1">
      <alignment horizontal="center"/>
      <protection locked="0"/>
    </xf>
    <xf numFmtId="186" fontId="0" fillId="16"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186" fontId="5" fillId="16" borderId="9" xfId="0" applyNumberFormat="1" applyFont="1" applyFill="1" applyBorder="1" applyAlignment="1" applyProtection="1">
      <alignment horizontal="center"/>
      <protection locked="0"/>
    </xf>
    <xf numFmtId="0" fontId="3" fillId="0" borderId="8" xfId="0" applyFont="1" applyBorder="1" applyAlignment="1" applyProtection="1">
      <alignment horizontal="left" vertical="center" wrapText="1"/>
      <protection hidden="1"/>
    </xf>
    <xf numFmtId="0" fontId="3" fillId="0" borderId="8" xfId="0" applyFont="1" applyBorder="1" applyAlignment="1" applyProtection="1">
      <alignment horizontal="left" vertical="center"/>
      <protection hidden="1"/>
    </xf>
    <xf numFmtId="0" fontId="3" fillId="0" borderId="14"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4"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3" fillId="23" borderId="30" xfId="0" applyFont="1" applyFill="1" applyBorder="1" applyAlignment="1" applyProtection="1">
      <alignment horizontal="center" vertical="center"/>
      <protection hidden="1"/>
    </xf>
    <xf numFmtId="0" fontId="3" fillId="23" borderId="8" xfId="0" applyFont="1" applyFill="1" applyBorder="1" applyAlignment="1" applyProtection="1">
      <alignment horizontal="center" vertical="center"/>
      <protection hidden="1"/>
    </xf>
    <xf numFmtId="0" fontId="3" fillId="23" borderId="14" xfId="0" applyFont="1" applyFill="1" applyBorder="1" applyAlignment="1" applyProtection="1">
      <alignment horizontal="center" vertical="center"/>
      <protection hidden="1"/>
    </xf>
    <xf numFmtId="0" fontId="3" fillId="23" borderId="3" xfId="0" applyFont="1" applyFill="1" applyBorder="1" applyAlignment="1" applyProtection="1">
      <alignment horizontal="center" vertical="center"/>
      <protection hidden="1"/>
    </xf>
    <xf numFmtId="0" fontId="3" fillId="23" borderId="0" xfId="0" applyFont="1" applyFill="1" applyAlignment="1" applyProtection="1">
      <alignment horizontal="center" vertical="center"/>
      <protection hidden="1"/>
    </xf>
    <xf numFmtId="0" fontId="3" fillId="23" borderId="24" xfId="0" applyFont="1" applyFill="1" applyBorder="1" applyAlignment="1" applyProtection="1">
      <alignment horizontal="center" vertical="center"/>
      <protection hidden="1"/>
    </xf>
    <xf numFmtId="0" fontId="3" fillId="23" borderId="30" xfId="0" applyFont="1" applyFill="1" applyBorder="1" applyAlignment="1" applyProtection="1">
      <alignment horizontal="center" vertical="center" wrapText="1"/>
      <protection hidden="1"/>
    </xf>
    <xf numFmtId="10" fontId="0" fillId="16" borderId="9" xfId="0" applyNumberFormat="1" applyFill="1" applyBorder="1" applyAlignment="1" applyProtection="1">
      <alignment horizontal="center"/>
      <protection locked="0"/>
    </xf>
    <xf numFmtId="10" fontId="0" fillId="16"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1" xfId="0" applyNumberFormat="1" applyBorder="1" applyAlignment="1" applyProtection="1">
      <alignment horizontal="center"/>
      <protection locked="0"/>
    </xf>
    <xf numFmtId="1" fontId="0" fillId="16" borderId="69" xfId="0" applyNumberFormat="1" applyFill="1" applyBorder="1" applyAlignment="1" applyProtection="1">
      <alignment horizontal="center"/>
      <protection locked="0"/>
    </xf>
    <xf numFmtId="1" fontId="0" fillId="16" borderId="4" xfId="0" applyNumberFormat="1" applyFill="1" applyBorder="1" applyAlignment="1" applyProtection="1">
      <alignment horizontal="center"/>
      <protection locked="0"/>
    </xf>
    <xf numFmtId="1" fontId="0" fillId="0" borderId="4" xfId="0" applyNumberFormat="1" applyBorder="1" applyAlignment="1" applyProtection="1">
      <alignment horizontal="center"/>
      <protection locked="0"/>
    </xf>
    <xf numFmtId="1" fontId="0" fillId="0" borderId="70" xfId="0" applyNumberFormat="1" applyBorder="1" applyAlignment="1" applyProtection="1">
      <alignment horizontal="center"/>
      <protection locked="0"/>
    </xf>
    <xf numFmtId="1" fontId="0" fillId="16" borderId="9" xfId="0" applyNumberFormat="1" applyFill="1" applyBorder="1" applyAlignment="1" applyProtection="1">
      <alignment horizontal="center"/>
      <protection locked="0"/>
    </xf>
    <xf numFmtId="1" fontId="0" fillId="16"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1" xfId="0" applyNumberFormat="1" applyBorder="1" applyAlignment="1" applyProtection="1">
      <alignment horizontal="center"/>
      <protection locked="0"/>
    </xf>
    <xf numFmtId="186" fontId="0" fillId="0" borderId="11" xfId="0" applyNumberFormat="1" applyBorder="1" applyAlignment="1" applyProtection="1">
      <alignment horizontal="center"/>
      <protection locked="0"/>
    </xf>
    <xf numFmtId="0" fontId="0" fillId="15" borderId="14" xfId="0" applyFill="1" applyBorder="1" applyAlignment="1" applyProtection="1">
      <alignment vertical="top"/>
      <protection hidden="1"/>
    </xf>
    <xf numFmtId="0" fontId="3" fillId="0" borderId="1" xfId="0" applyFont="1" applyBorder="1" applyAlignment="1" applyProtection="1">
      <alignment horizontal="right"/>
      <protection hidden="1"/>
    </xf>
    <xf numFmtId="37" fontId="8" fillId="28"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39" fontId="3" fillId="16" borderId="12" xfId="0" applyNumberFormat="1" applyFont="1" applyFill="1" applyBorder="1" applyProtection="1">
      <protection locked="0"/>
    </xf>
    <xf numFmtId="39" fontId="3" fillId="25" borderId="12" xfId="0" applyNumberFormat="1" applyFont="1" applyFill="1" applyBorder="1" applyProtection="1">
      <protection hidden="1"/>
    </xf>
    <xf numFmtId="0" fontId="7" fillId="23" borderId="15" xfId="0" applyFont="1" applyFill="1" applyBorder="1" applyAlignment="1" applyProtection="1">
      <alignment horizontal="center" vertical="center" wrapText="1"/>
      <protection hidden="1"/>
    </xf>
    <xf numFmtId="0" fontId="7" fillId="23" borderId="15" xfId="0" applyFont="1" applyFill="1" applyBorder="1" applyAlignment="1" applyProtection="1">
      <alignment horizontal="center" vertical="center"/>
      <protection hidden="1"/>
    </xf>
    <xf numFmtId="0" fontId="7" fillId="23" borderId="6" xfId="0" applyFont="1" applyFill="1" applyBorder="1" applyAlignment="1" applyProtection="1">
      <alignment horizontal="center" vertical="center"/>
      <protection hidden="1"/>
    </xf>
    <xf numFmtId="37" fontId="8" fillId="28" borderId="39" xfId="0" applyNumberFormat="1" applyFont="1" applyFill="1" applyBorder="1" applyAlignment="1" applyProtection="1">
      <alignment horizontal="right"/>
      <protection hidden="1"/>
    </xf>
    <xf numFmtId="0" fontId="3" fillId="0" borderId="25" xfId="0" applyFont="1" applyBorder="1" applyAlignment="1" applyProtection="1">
      <alignment horizontal="right"/>
      <protection hidden="1"/>
    </xf>
    <xf numFmtId="39" fontId="3" fillId="16" borderId="12" xfId="0" applyNumberFormat="1" applyFont="1" applyFill="1" applyBorder="1" applyAlignment="1" applyProtection="1">
      <alignment horizontal="right"/>
      <protection locked="0"/>
    </xf>
    <xf numFmtId="39" fontId="3" fillId="16" borderId="39" xfId="0" applyNumberFormat="1" applyFont="1" applyFill="1" applyBorder="1" applyAlignment="1" applyProtection="1">
      <alignment horizontal="right"/>
      <protection locked="0"/>
    </xf>
    <xf numFmtId="39" fontId="3" fillId="16" borderId="15" xfId="0" applyNumberFormat="1" applyFont="1" applyFill="1" applyBorder="1" applyAlignment="1" applyProtection="1">
      <alignment horizontal="right"/>
      <protection locked="0"/>
    </xf>
    <xf numFmtId="39" fontId="3" fillId="16" borderId="30" xfId="0" applyNumberFormat="1" applyFont="1" applyFill="1" applyBorder="1" applyAlignment="1" applyProtection="1">
      <alignment horizontal="right"/>
      <protection locked="0"/>
    </xf>
    <xf numFmtId="0" fontId="5" fillId="15" borderId="8" xfId="0" applyFont="1" applyFill="1" applyBorder="1" applyAlignment="1" applyProtection="1">
      <alignment vertical="top" wrapText="1"/>
      <protection hidden="1"/>
    </xf>
    <xf numFmtId="0" fontId="7" fillId="15" borderId="1" xfId="0" applyFont="1" applyFill="1" applyBorder="1" applyAlignment="1" applyProtection="1">
      <alignment horizontal="left"/>
      <protection hidden="1"/>
    </xf>
    <xf numFmtId="0" fontId="7" fillId="15" borderId="8" xfId="0" applyFont="1" applyFill="1" applyBorder="1" applyAlignment="1" applyProtection="1">
      <alignment horizontal="center"/>
      <protection hidden="1"/>
    </xf>
    <xf numFmtId="0" fontId="7" fillId="15" borderId="1" xfId="0" applyFont="1" applyFill="1" applyBorder="1" applyAlignment="1" applyProtection="1">
      <alignment horizontal="center"/>
      <protection hidden="1"/>
    </xf>
    <xf numFmtId="0" fontId="3" fillId="0" borderId="27" xfId="0" applyFont="1" applyBorder="1" applyAlignment="1" applyProtection="1">
      <alignment horizontal="right"/>
      <protection hidden="1"/>
    </xf>
    <xf numFmtId="39" fontId="3" fillId="16" borderId="51" xfId="0" applyNumberFormat="1" applyFont="1" applyFill="1" applyBorder="1" applyProtection="1">
      <protection locked="0"/>
    </xf>
    <xf numFmtId="37" fontId="3" fillId="0" borderId="4" xfId="0" applyNumberFormat="1" applyFont="1" applyBorder="1" applyAlignment="1" applyProtection="1">
      <alignment horizontal="right"/>
      <protection hidden="1"/>
    </xf>
    <xf numFmtId="0" fontId="5" fillId="15" borderId="25" xfId="0" applyFont="1" applyFill="1" applyBorder="1" applyAlignment="1" applyProtection="1">
      <alignment horizontal="left"/>
      <protection hidden="1"/>
    </xf>
    <xf numFmtId="0" fontId="36" fillId="15" borderId="30"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24" xfId="0" applyBorder="1" applyAlignment="1">
      <alignment horizontal="left" vertical="center" wrapText="1"/>
    </xf>
    <xf numFmtId="0" fontId="0" fillId="0" borderId="9" xfId="0" applyBorder="1" applyAlignment="1">
      <alignment horizontal="left" vertical="center" wrapText="1"/>
    </xf>
    <xf numFmtId="0" fontId="5" fillId="15" borderId="30" xfId="0" applyFont="1" applyFill="1" applyBorder="1" applyAlignment="1" applyProtection="1">
      <alignment horizontal="left" vertical="center" wrapText="1"/>
      <protection hidden="1"/>
    </xf>
    <xf numFmtId="1" fontId="8" fillId="28" borderId="9" xfId="0" applyNumberFormat="1" applyFont="1" applyFill="1" applyBorder="1" applyAlignment="1" applyProtection="1">
      <alignment horizontal="right"/>
      <protection hidden="1"/>
    </xf>
    <xf numFmtId="39" fontId="3" fillId="16" borderId="39" xfId="0" applyNumberFormat="1" applyFont="1" applyFill="1" applyBorder="1" applyProtection="1">
      <protection locked="0"/>
    </xf>
    <xf numFmtId="0" fontId="36" fillId="15" borderId="8" xfId="0" applyFont="1" applyFill="1" applyBorder="1" applyAlignment="1" applyProtection="1">
      <alignment horizontal="left" vertical="center" wrapText="1"/>
      <protection hidden="1"/>
    </xf>
    <xf numFmtId="0" fontId="36" fillId="15" borderId="14" xfId="0" applyFont="1" applyFill="1" applyBorder="1" applyAlignment="1" applyProtection="1">
      <alignment horizontal="left" vertical="center" wrapText="1"/>
      <protection hidden="1"/>
    </xf>
    <xf numFmtId="0" fontId="36" fillId="15" borderId="3" xfId="0" applyFont="1" applyFill="1" applyBorder="1" applyAlignment="1" applyProtection="1">
      <alignment horizontal="left" vertical="center" wrapText="1"/>
      <protection hidden="1"/>
    </xf>
    <xf numFmtId="0" fontId="36" fillId="15" borderId="0" xfId="0" applyFont="1" applyFill="1" applyAlignment="1" applyProtection="1">
      <alignment horizontal="left" vertical="center" wrapText="1"/>
      <protection hidden="1"/>
    </xf>
    <xf numFmtId="0" fontId="36" fillId="15" borderId="24" xfId="0" applyFont="1" applyFill="1" applyBorder="1" applyAlignment="1" applyProtection="1">
      <alignment horizontal="left" vertical="center" wrapText="1"/>
      <protection hidden="1"/>
    </xf>
    <xf numFmtId="0" fontId="36" fillId="15" borderId="9" xfId="0" applyFont="1" applyFill="1" applyBorder="1" applyAlignment="1" applyProtection="1">
      <alignment horizontal="left" vertical="center" wrapText="1"/>
      <protection hidden="1"/>
    </xf>
    <xf numFmtId="0" fontId="36" fillId="15" borderId="1" xfId="0" applyFont="1" applyFill="1" applyBorder="1" applyAlignment="1" applyProtection="1">
      <alignment horizontal="left" vertical="center" wrapText="1"/>
      <protection hidden="1"/>
    </xf>
    <xf numFmtId="0" fontId="36" fillId="15" borderId="11" xfId="0" applyFont="1" applyFill="1" applyBorder="1" applyAlignment="1" applyProtection="1">
      <alignment horizontal="left" vertical="center" wrapText="1"/>
      <protection hidden="1"/>
    </xf>
    <xf numFmtId="37" fontId="8" fillId="26" borderId="31" xfId="0" applyNumberFormat="1" applyFont="1" applyFill="1" applyBorder="1" applyAlignment="1" applyProtection="1">
      <alignment horizontal="right"/>
      <protection hidden="1"/>
    </xf>
    <xf numFmtId="0" fontId="3" fillId="26" borderId="31" xfId="0" applyFont="1" applyFill="1" applyBorder="1" applyAlignment="1" applyProtection="1">
      <alignment horizontal="right"/>
      <protection hidden="1"/>
    </xf>
    <xf numFmtId="0" fontId="3" fillId="26" borderId="73" xfId="0" applyFont="1" applyFill="1" applyBorder="1" applyAlignment="1" applyProtection="1">
      <alignment horizontal="right"/>
      <protection hidden="1"/>
    </xf>
    <xf numFmtId="0" fontId="110" fillId="15" borderId="30" xfId="0" applyFont="1" applyFill="1" applyBorder="1" applyAlignment="1" applyProtection="1">
      <alignment horizontal="left" vertical="center" wrapText="1"/>
      <protection hidden="1"/>
    </xf>
    <xf numFmtId="0" fontId="110" fillId="15" borderId="8" xfId="0" applyFont="1" applyFill="1" applyBorder="1" applyAlignment="1" applyProtection="1">
      <alignment horizontal="left" vertical="center" wrapText="1"/>
      <protection hidden="1"/>
    </xf>
    <xf numFmtId="0" fontId="110" fillId="15" borderId="14" xfId="0" applyFont="1" applyFill="1" applyBorder="1" applyAlignment="1" applyProtection="1">
      <alignment horizontal="left" vertical="center" wrapText="1"/>
      <protection hidden="1"/>
    </xf>
    <xf numFmtId="0" fontId="110" fillId="15" borderId="3" xfId="0" applyFont="1" applyFill="1" applyBorder="1" applyAlignment="1" applyProtection="1">
      <alignment horizontal="left" vertical="center" wrapText="1"/>
      <protection hidden="1"/>
    </xf>
    <xf numFmtId="0" fontId="110" fillId="15" borderId="0" xfId="0" applyFont="1" applyFill="1" applyAlignment="1" applyProtection="1">
      <alignment horizontal="left" vertical="center" wrapText="1"/>
      <protection hidden="1"/>
    </xf>
    <xf numFmtId="0" fontId="110" fillId="15" borderId="24" xfId="0" applyFont="1" applyFill="1" applyBorder="1" applyAlignment="1" applyProtection="1">
      <alignment horizontal="left" vertical="center" wrapText="1"/>
      <protection hidden="1"/>
    </xf>
    <xf numFmtId="0" fontId="110" fillId="15" borderId="9" xfId="0" applyFont="1" applyFill="1" applyBorder="1" applyAlignment="1" applyProtection="1">
      <alignment horizontal="left" vertical="center" wrapText="1"/>
      <protection hidden="1"/>
    </xf>
    <xf numFmtId="0" fontId="110" fillId="15" borderId="1" xfId="0" applyFont="1" applyFill="1" applyBorder="1" applyAlignment="1" applyProtection="1">
      <alignment horizontal="left" vertical="center" wrapText="1"/>
      <protection hidden="1"/>
    </xf>
    <xf numFmtId="0" fontId="110" fillId="15" borderId="11" xfId="0" applyFont="1" applyFill="1" applyBorder="1" applyAlignment="1" applyProtection="1">
      <alignment horizontal="left" vertical="center" wrapText="1"/>
      <protection hidden="1"/>
    </xf>
    <xf numFmtId="180" fontId="8" fillId="28"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5" borderId="1" xfId="0" applyFont="1" applyFill="1" applyBorder="1" applyAlignment="1" applyProtection="1">
      <alignment horizontal="right"/>
      <protection hidden="1"/>
    </xf>
    <xf numFmtId="0" fontId="7" fillId="23" borderId="30" xfId="0" applyFont="1" applyFill="1" applyBorder="1" applyAlignment="1" applyProtection="1">
      <alignment horizontal="center" vertical="center"/>
      <protection hidden="1"/>
    </xf>
    <xf numFmtId="0" fontId="7" fillId="23" borderId="3" xfId="0" applyFont="1" applyFill="1" applyBorder="1" applyAlignment="1" applyProtection="1">
      <alignment horizontal="center" vertical="center"/>
      <protection hidden="1"/>
    </xf>
    <xf numFmtId="0" fontId="3" fillId="27" borderId="1" xfId="0" applyFont="1" applyFill="1" applyBorder="1" applyAlignment="1" applyProtection="1">
      <alignment horizontal="right"/>
      <protection hidden="1"/>
    </xf>
    <xf numFmtId="0" fontId="14" fillId="0" borderId="8" xfId="0" applyFont="1" applyBorder="1" applyAlignment="1" applyProtection="1">
      <alignment horizontal="center" vertical="center" wrapText="1"/>
      <protection hidden="1"/>
    </xf>
    <xf numFmtId="0" fontId="14" fillId="0" borderId="8"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141" fillId="0" borderId="111"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vertical="center" wrapText="1"/>
    </xf>
    <xf numFmtId="0" fontId="0" fillId="0" borderId="112" xfId="0" applyBorder="1" applyAlignment="1">
      <alignment vertical="center" wrapText="1"/>
    </xf>
    <xf numFmtId="0" fontId="3" fillId="15" borderId="8" xfId="0" applyFont="1" applyFill="1" applyBorder="1" applyAlignment="1" applyProtection="1">
      <alignment horizontal="left" vertical="center" wrapText="1"/>
      <protection hidden="1"/>
    </xf>
    <xf numFmtId="0" fontId="0" fillId="0" borderId="70" xfId="0" applyBorder="1" applyAlignment="1">
      <alignment horizontal="left" vertical="center" wrapText="1"/>
    </xf>
    <xf numFmtId="0" fontId="110" fillId="0" borderId="0" xfId="0" applyFont="1" applyAlignment="1" applyProtection="1">
      <alignment vertical="center" wrapText="1"/>
      <protection hidden="1"/>
    </xf>
    <xf numFmtId="0" fontId="110" fillId="0" borderId="0" xfId="0" applyFont="1" applyAlignment="1">
      <alignment wrapText="1"/>
    </xf>
    <xf numFmtId="0" fontId="110" fillId="15" borderId="3" xfId="0" applyFont="1" applyFill="1" applyBorder="1" applyProtection="1">
      <protection hidden="1"/>
    </xf>
    <xf numFmtId="0" fontId="153" fillId="0" borderId="0" xfId="0" applyFont="1" applyAlignment="1" applyProtection="1">
      <alignment horizontal="center" vertical="center" wrapText="1"/>
      <protection hidden="1"/>
    </xf>
    <xf numFmtId="0" fontId="153" fillId="0" borderId="4" xfId="0" applyFont="1" applyBorder="1" applyAlignment="1" applyProtection="1">
      <alignment horizontal="center" vertical="center" wrapText="1"/>
      <protection hidden="1"/>
    </xf>
    <xf numFmtId="0" fontId="224" fillId="31" borderId="34" xfId="0" applyFont="1" applyFill="1" applyBorder="1" applyAlignment="1" applyProtection="1">
      <alignment horizontal="center" vertical="center"/>
      <protection hidden="1"/>
    </xf>
    <xf numFmtId="0" fontId="5" fillId="15" borderId="0" xfId="0" applyFont="1" applyFill="1" applyAlignment="1">
      <alignment horizontal="center"/>
    </xf>
    <xf numFmtId="0" fontId="3" fillId="0" borderId="4" xfId="0" applyFont="1" applyBorder="1" applyAlignment="1" applyProtection="1">
      <alignment horizontal="right"/>
      <protection hidden="1"/>
    </xf>
    <xf numFmtId="0" fontId="5" fillId="15" borderId="25" xfId="0" applyFont="1" applyFill="1" applyBorder="1" applyAlignment="1" applyProtection="1">
      <alignment horizontal="right"/>
      <protection hidden="1"/>
    </xf>
    <xf numFmtId="0" fontId="5" fillId="15" borderId="54" xfId="0" applyFont="1" applyFill="1" applyBorder="1" applyAlignment="1" applyProtection="1">
      <alignment horizontal="right"/>
      <protection hidden="1"/>
    </xf>
    <xf numFmtId="0" fontId="5" fillId="15" borderId="31" xfId="0" applyFont="1" applyFill="1" applyBorder="1" applyAlignment="1" applyProtection="1">
      <alignment horizontal="left"/>
      <protection hidden="1"/>
    </xf>
    <xf numFmtId="39" fontId="3" fillId="25" borderId="51" xfId="0" applyNumberFormat="1" applyFont="1" applyFill="1" applyBorder="1" applyProtection="1">
      <protection hidden="1"/>
    </xf>
    <xf numFmtId="0" fontId="14" fillId="15" borderId="8" xfId="0" quotePrefix="1" applyFont="1" applyFill="1" applyBorder="1" applyAlignment="1" applyProtection="1">
      <alignment horizontal="right" vertical="center" wrapText="1"/>
      <protection hidden="1"/>
    </xf>
    <xf numFmtId="0" fontId="0" fillId="0" borderId="1" xfId="0" applyBorder="1" applyAlignment="1">
      <alignment vertical="center" wrapText="1"/>
    </xf>
    <xf numFmtId="49" fontId="5" fillId="16" borderId="1" xfId="0" applyNumberFormat="1" applyFont="1" applyFill="1" applyBorder="1" applyAlignment="1" applyProtection="1">
      <alignment horizontal="center"/>
      <protection locked="0"/>
    </xf>
    <xf numFmtId="37" fontId="14" fillId="27" borderId="25" xfId="0" applyNumberFormat="1" applyFont="1" applyFill="1" applyBorder="1" applyAlignment="1" applyProtection="1">
      <alignment horizontal="right"/>
      <protection hidden="1"/>
    </xf>
    <xf numFmtId="37" fontId="14" fillId="27" borderId="39" xfId="0" applyNumberFormat="1" applyFont="1" applyFill="1" applyBorder="1" applyProtection="1">
      <protection hidden="1"/>
    </xf>
    <xf numFmtId="0" fontId="46" fillId="27" borderId="25" xfId="0" applyFont="1" applyFill="1" applyBorder="1" applyProtection="1">
      <protection hidden="1"/>
    </xf>
    <xf numFmtId="37" fontId="14" fillId="27" borderId="9" xfId="0" applyNumberFormat="1" applyFont="1" applyFill="1" applyBorder="1" applyAlignment="1" applyProtection="1">
      <alignment horizontal="right"/>
      <protection hidden="1"/>
    </xf>
    <xf numFmtId="37" fontId="14" fillId="27" borderId="9" xfId="0" applyNumberFormat="1" applyFont="1" applyFill="1" applyBorder="1" applyProtection="1">
      <protection hidden="1"/>
    </xf>
    <xf numFmtId="0" fontId="46" fillId="27" borderId="1" xfId="0" applyFont="1" applyFill="1" applyBorder="1" applyProtection="1">
      <protection hidden="1"/>
    </xf>
    <xf numFmtId="0" fontId="46" fillId="27" borderId="11" xfId="0" applyFont="1" applyFill="1" applyBorder="1" applyProtection="1">
      <protection hidden="1"/>
    </xf>
    <xf numFmtId="37" fontId="110" fillId="0" borderId="0" xfId="0" applyNumberFormat="1" applyFont="1" applyAlignment="1">
      <alignment horizontal="right"/>
    </xf>
    <xf numFmtId="37" fontId="169" fillId="15" borderId="30" xfId="0" applyNumberFormat="1" applyFont="1" applyFill="1" applyBorder="1" applyAlignment="1" applyProtection="1">
      <alignment horizontal="right"/>
      <protection hidden="1"/>
    </xf>
    <xf numFmtId="37" fontId="169" fillId="15" borderId="8" xfId="0" applyNumberFormat="1" applyFont="1" applyFill="1" applyBorder="1" applyAlignment="1" applyProtection="1">
      <alignment horizontal="right"/>
      <protection hidden="1"/>
    </xf>
    <xf numFmtId="37" fontId="169" fillId="15" borderId="14" xfId="0" applyNumberFormat="1" applyFont="1" applyFill="1" applyBorder="1" applyAlignment="1" applyProtection="1">
      <alignment horizontal="right"/>
      <protection hidden="1"/>
    </xf>
    <xf numFmtId="37" fontId="14" fillId="16" borderId="25" xfId="0" applyNumberFormat="1" applyFont="1" applyFill="1" applyBorder="1" applyAlignment="1" applyProtection="1">
      <alignment horizontal="right"/>
      <protection locked="0"/>
    </xf>
    <xf numFmtId="37" fontId="46" fillId="27" borderId="25" xfId="0" applyNumberFormat="1" applyFont="1" applyFill="1" applyBorder="1" applyProtection="1">
      <protection hidden="1"/>
    </xf>
    <xf numFmtId="0" fontId="126" fillId="15" borderId="3" xfId="0" applyFont="1" applyFill="1" applyBorder="1" applyAlignment="1" applyProtection="1">
      <alignment horizontal="center"/>
      <protection hidden="1"/>
    </xf>
    <xf numFmtId="37" fontId="46" fillId="27" borderId="1" xfId="0" applyNumberFormat="1" applyFont="1" applyFill="1" applyBorder="1" applyProtection="1">
      <protection hidden="1"/>
    </xf>
    <xf numFmtId="37" fontId="46" fillId="27" borderId="11" xfId="0" applyNumberFormat="1" applyFont="1" applyFill="1" applyBorder="1" applyProtection="1">
      <protection hidden="1"/>
    </xf>
    <xf numFmtId="0" fontId="3" fillId="15" borderId="8" xfId="0" quotePrefix="1" applyFont="1" applyFill="1" applyBorder="1" applyAlignment="1" applyProtection="1">
      <alignment horizontal="center"/>
      <protection hidden="1"/>
    </xf>
    <xf numFmtId="0" fontId="3" fillId="16" borderId="30" xfId="0" applyFont="1" applyFill="1" applyBorder="1" applyAlignment="1" applyProtection="1">
      <alignment horizontal="left" wrapText="1"/>
      <protection locked="0"/>
    </xf>
    <xf numFmtId="0" fontId="3" fillId="16" borderId="8" xfId="0" applyFont="1" applyFill="1" applyBorder="1" applyAlignment="1" applyProtection="1">
      <alignment horizontal="left" wrapText="1"/>
      <protection locked="0"/>
    </xf>
    <xf numFmtId="0" fontId="3" fillId="16" borderId="14" xfId="0" applyFont="1" applyFill="1" applyBorder="1" applyAlignment="1" applyProtection="1">
      <alignment horizontal="left" wrapText="1"/>
      <protection locked="0"/>
    </xf>
    <xf numFmtId="0" fontId="3" fillId="16" borderId="9" xfId="0" applyFont="1" applyFill="1" applyBorder="1" applyAlignment="1" applyProtection="1">
      <alignment horizontal="left" wrapText="1"/>
      <protection locked="0"/>
    </xf>
    <xf numFmtId="0" fontId="3" fillId="16" borderId="1" xfId="0" applyFont="1" applyFill="1" applyBorder="1" applyAlignment="1" applyProtection="1">
      <alignment horizontal="left" wrapText="1"/>
      <protection locked="0"/>
    </xf>
    <xf numFmtId="0" fontId="3" fillId="16" borderId="11" xfId="0" applyFont="1" applyFill="1" applyBorder="1" applyAlignment="1" applyProtection="1">
      <alignment horizontal="left" wrapText="1"/>
      <protection locked="0"/>
    </xf>
    <xf numFmtId="166" fontId="14" fillId="16" borderId="9" xfId="0" applyNumberFormat="1" applyFont="1" applyFill="1" applyBorder="1" applyAlignment="1" applyProtection="1">
      <alignment horizontal="center" vertical="center"/>
      <protection locked="0"/>
    </xf>
    <xf numFmtId="166" fontId="14" fillId="16" borderId="1" xfId="0" applyNumberFormat="1" applyFont="1" applyFill="1" applyBorder="1" applyAlignment="1" applyProtection="1">
      <alignment horizontal="center" vertical="center"/>
      <protection locked="0"/>
    </xf>
    <xf numFmtId="166" fontId="14" fillId="16" borderId="11" xfId="0" applyNumberFormat="1" applyFont="1" applyFill="1" applyBorder="1" applyAlignment="1" applyProtection="1">
      <alignment horizontal="center" vertical="center"/>
      <protection locked="0"/>
    </xf>
    <xf numFmtId="37" fontId="14" fillId="16" borderId="9" xfId="0" applyNumberFormat="1" applyFont="1" applyFill="1" applyBorder="1" applyAlignment="1" applyProtection="1">
      <alignment horizontal="right"/>
      <protection locked="0"/>
    </xf>
    <xf numFmtId="0" fontId="43" fillId="16" borderId="0" xfId="0" applyFont="1" applyFill="1" applyAlignment="1" applyProtection="1">
      <alignment horizontal="left"/>
      <protection locked="0"/>
    </xf>
    <xf numFmtId="0" fontId="43" fillId="16" borderId="24" xfId="0" applyFont="1" applyFill="1" applyBorder="1" applyAlignment="1" applyProtection="1">
      <alignment horizontal="left"/>
      <protection locked="0"/>
    </xf>
    <xf numFmtId="0" fontId="43" fillId="16" borderId="1" xfId="0" applyFont="1" applyFill="1" applyBorder="1" applyAlignment="1" applyProtection="1">
      <alignment horizontal="left"/>
      <protection locked="0"/>
    </xf>
    <xf numFmtId="0" fontId="43" fillId="16" borderId="11" xfId="0" applyFont="1" applyFill="1" applyBorder="1" applyAlignment="1" applyProtection="1">
      <alignment horizontal="left"/>
      <protection locked="0"/>
    </xf>
    <xf numFmtId="166" fontId="19" fillId="16" borderId="3" xfId="0" applyNumberFormat="1" applyFont="1" applyFill="1" applyBorder="1" applyAlignment="1" applyProtection="1">
      <alignment horizontal="center" vertical="center"/>
      <protection locked="0" hidden="1"/>
    </xf>
    <xf numFmtId="166" fontId="19" fillId="16" borderId="0" xfId="0" applyNumberFormat="1" applyFont="1" applyFill="1" applyAlignment="1" applyProtection="1">
      <alignment horizontal="center" vertical="center"/>
      <protection locked="0" hidden="1"/>
    </xf>
    <xf numFmtId="166" fontId="19" fillId="16" borderId="9" xfId="0" applyNumberFormat="1" applyFont="1" applyFill="1" applyBorder="1" applyAlignment="1" applyProtection="1">
      <alignment horizontal="center" vertical="center"/>
      <protection locked="0" hidden="1"/>
    </xf>
    <xf numFmtId="166" fontId="19" fillId="16" borderId="1" xfId="0" applyNumberFormat="1" applyFont="1" applyFill="1" applyBorder="1" applyAlignment="1" applyProtection="1">
      <alignment horizontal="center" vertical="center"/>
      <protection locked="0" hidden="1"/>
    </xf>
    <xf numFmtId="0" fontId="3" fillId="15" borderId="25" xfId="0" quotePrefix="1" applyFont="1" applyFill="1" applyBorder="1" applyAlignment="1" applyProtection="1">
      <alignment horizontal="center" vertical="top" wrapText="1"/>
      <protection hidden="1"/>
    </xf>
    <xf numFmtId="0" fontId="0" fillId="0" borderId="54" xfId="0" applyBorder="1" applyAlignment="1">
      <alignment horizontal="center" vertical="top"/>
    </xf>
    <xf numFmtId="0" fontId="5" fillId="15" borderId="39" xfId="0" applyFont="1" applyFill="1" applyBorder="1" applyAlignment="1" applyProtection="1">
      <alignment horizontal="center" vertical="top" wrapText="1"/>
      <protection hidden="1"/>
    </xf>
    <xf numFmtId="0" fontId="0" fillId="15" borderId="25" xfId="0" applyFill="1" applyBorder="1" applyAlignment="1" applyProtection="1">
      <alignment horizontal="center" vertical="top"/>
      <protection hidden="1"/>
    </xf>
    <xf numFmtId="0" fontId="0" fillId="15" borderId="54" xfId="0" applyFill="1" applyBorder="1" applyAlignment="1" applyProtection="1">
      <alignment horizontal="center" vertical="top"/>
      <protection hidden="1"/>
    </xf>
    <xf numFmtId="0" fontId="0" fillId="15" borderId="25" xfId="0" applyFill="1" applyBorder="1" applyAlignment="1" applyProtection="1">
      <alignment horizontal="center" vertical="center"/>
      <protection hidden="1"/>
    </xf>
    <xf numFmtId="0" fontId="0" fillId="15" borderId="54" xfId="0" applyFill="1" applyBorder="1" applyAlignment="1" applyProtection="1">
      <alignment horizontal="center" vertical="center"/>
      <protection hidden="1"/>
    </xf>
    <xf numFmtId="0" fontId="19" fillId="15" borderId="0" xfId="0" applyFont="1" applyFill="1" applyAlignment="1">
      <alignment horizontal="left" wrapText="1"/>
    </xf>
    <xf numFmtId="0" fontId="73" fillId="0" borderId="4" xfId="0" applyFont="1" applyBorder="1" applyAlignment="1">
      <alignment horizontal="left" wrapText="1"/>
    </xf>
    <xf numFmtId="0" fontId="46" fillId="15" borderId="0" xfId="0" applyFont="1" applyFill="1" applyAlignment="1">
      <alignment horizontal="center"/>
    </xf>
    <xf numFmtId="0" fontId="104" fillId="15" borderId="0" xfId="0" applyFont="1" applyFill="1" applyAlignment="1">
      <alignment horizontal="left"/>
    </xf>
    <xf numFmtId="0" fontId="104" fillId="15" borderId="20" xfId="0" applyFont="1" applyFill="1" applyBorder="1" applyAlignment="1">
      <alignment horizontal="left"/>
    </xf>
    <xf numFmtId="0" fontId="19" fillId="15" borderId="5" xfId="0" applyFont="1" applyFill="1" applyBorder="1" applyAlignment="1" applyProtection="1">
      <alignment horizontal="center"/>
      <protection hidden="1"/>
    </xf>
    <xf numFmtId="0" fontId="19" fillId="15" borderId="20" xfId="0" applyFont="1" applyFill="1" applyBorder="1" applyAlignment="1" applyProtection="1">
      <alignment horizontal="center"/>
      <protection hidden="1"/>
    </xf>
    <xf numFmtId="0" fontId="23" fillId="15" borderId="8" xfId="0" applyFont="1" applyFill="1" applyBorder="1" applyAlignment="1" applyProtection="1">
      <alignment horizontal="left" wrapText="1"/>
      <protection hidden="1"/>
    </xf>
    <xf numFmtId="0" fontId="23" fillId="15" borderId="1" xfId="0" applyFont="1" applyFill="1" applyBorder="1" applyAlignment="1" applyProtection="1">
      <alignment horizontal="left" vertical="top" wrapText="1"/>
      <protection hidden="1"/>
    </xf>
    <xf numFmtId="0" fontId="23" fillId="15" borderId="1" xfId="0" applyFont="1" applyFill="1" applyBorder="1" applyAlignment="1" applyProtection="1">
      <alignment horizontal="left" vertical="top"/>
      <protection hidden="1"/>
    </xf>
    <xf numFmtId="1" fontId="206" fillId="10" borderId="0" xfId="0" applyNumberFormat="1" applyFont="1" applyFill="1" applyAlignment="1" applyProtection="1">
      <alignment horizontal="center" vertical="center" wrapText="1"/>
      <protection hidden="1"/>
    </xf>
    <xf numFmtId="0" fontId="11" fillId="0" borderId="107" xfId="0" applyFont="1" applyBorder="1" applyAlignment="1" applyProtection="1">
      <alignment horizontal="center"/>
      <protection hidden="1"/>
    </xf>
    <xf numFmtId="0" fontId="0" fillId="0" borderId="27" xfId="0" applyBorder="1" applyAlignment="1">
      <alignment horizontal="center"/>
    </xf>
    <xf numFmtId="0" fontId="0" fillId="0" borderId="108" xfId="0" applyBorder="1" applyAlignment="1">
      <alignment horizontal="center"/>
    </xf>
    <xf numFmtId="0" fontId="11" fillId="0" borderId="48" xfId="0" applyFont="1" applyBorder="1" applyAlignment="1" applyProtection="1">
      <alignment horizontal="center"/>
      <protection hidden="1"/>
    </xf>
    <xf numFmtId="3" fontId="11" fillId="0" borderId="107" xfId="0" applyNumberFormat="1" applyFont="1" applyBorder="1" applyAlignment="1" applyProtection="1">
      <alignment horizontal="center"/>
      <protection hidden="1"/>
    </xf>
    <xf numFmtId="3" fontId="0" fillId="0" borderId="27" xfId="0" applyNumberFormat="1" applyBorder="1" applyAlignment="1">
      <alignment horizontal="center"/>
    </xf>
    <xf numFmtId="3" fontId="0" fillId="0" borderId="108" xfId="0" applyNumberFormat="1" applyBorder="1" applyAlignment="1">
      <alignment horizontal="center"/>
    </xf>
    <xf numFmtId="0" fontId="287" fillId="0" borderId="30" xfId="0" applyFont="1" applyBorder="1" applyAlignment="1" applyProtection="1">
      <alignment horizontal="center" vertical="center"/>
      <protection hidden="1"/>
    </xf>
    <xf numFmtId="0" fontId="287" fillId="0" borderId="8" xfId="0" applyFont="1" applyBorder="1" applyAlignment="1" applyProtection="1">
      <alignment horizontal="center" vertical="center"/>
      <protection hidden="1"/>
    </xf>
    <xf numFmtId="0" fontId="287" fillId="0" borderId="14" xfId="0" applyFont="1" applyBorder="1" applyAlignment="1" applyProtection="1">
      <alignment horizontal="center" vertical="center"/>
      <protection hidden="1"/>
    </xf>
    <xf numFmtId="0" fontId="287" fillId="0" borderId="9" xfId="0" applyFont="1" applyBorder="1" applyAlignment="1" applyProtection="1">
      <alignment horizontal="center" vertical="center"/>
      <protection hidden="1"/>
    </xf>
    <xf numFmtId="0" fontId="287" fillId="0" borderId="1" xfId="0" applyFont="1" applyBorder="1" applyAlignment="1" applyProtection="1">
      <alignment horizontal="center" vertical="center"/>
      <protection hidden="1"/>
    </xf>
    <xf numFmtId="0" fontId="287" fillId="0" borderId="11" xfId="0" applyFont="1" applyBorder="1" applyAlignment="1" applyProtection="1">
      <alignment horizontal="center" vertical="center"/>
      <protection hidden="1"/>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3304">
    <dxf>
      <fill>
        <patternFill patternType="solid">
          <fgColor theme="0"/>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C00000"/>
      </font>
    </dxf>
    <dxf>
      <fill>
        <patternFill>
          <bgColor theme="0"/>
        </patternFill>
      </fill>
    </dxf>
    <dxf>
      <font>
        <color rgb="FFFF0000"/>
      </font>
    </dxf>
    <dxf>
      <font>
        <color theme="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ont>
        <b/>
        <i val="0"/>
        <color rgb="FFC00000"/>
      </font>
    </dxf>
    <dxf>
      <font>
        <color theme="1"/>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val="0"/>
        <i val="0"/>
        <color rgb="FFFF0000"/>
      </font>
    </dxf>
    <dxf>
      <font>
        <b val="0"/>
        <i val="0"/>
        <color rgb="FFFF0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b val="0"/>
        <i val="0"/>
        <color rgb="FFFF0000"/>
      </font>
    </dxf>
    <dxf>
      <font>
        <b val="0"/>
        <i val="0"/>
        <color rgb="FFFF0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b val="0"/>
        <i val="0"/>
        <color rgb="FFFF0000"/>
      </font>
    </dxf>
    <dxf>
      <font>
        <b val="0"/>
        <i val="0"/>
        <color rgb="FFFF0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patternType="none">
          <bgColor auto="1"/>
        </patternFill>
      </fill>
      <border>
        <left/>
        <right/>
        <top/>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border>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b/>
        <i val="0"/>
        <color rgb="FFFF0000"/>
      </font>
    </dxf>
    <dxf>
      <font>
        <color theme="1"/>
      </font>
    </dxf>
    <dxf>
      <font>
        <b/>
        <i val="0"/>
        <color rgb="FFFF0000"/>
      </font>
    </dxf>
    <dxf>
      <font>
        <color theme="1"/>
      </font>
    </dxf>
    <dxf>
      <font>
        <b/>
        <i val="0"/>
        <color rgb="FFFF0000"/>
      </font>
    </dxf>
    <dxf>
      <font>
        <color theme="1"/>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4" tint="0.59996337778862885"/>
      </font>
    </dxf>
    <dxf>
      <font>
        <color theme="0"/>
      </font>
    </dxf>
    <dxf>
      <font>
        <b/>
        <i val="0"/>
        <color rgb="FFC00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top/>
        <bottom style="thin">
          <color auto="1"/>
        </bottom>
        <vertical/>
        <horizontal/>
      </border>
    </dxf>
    <dxf>
      <fill>
        <patternFill>
          <bgColor theme="0"/>
        </patternFill>
      </fill>
      <border>
        <left/>
        <right/>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color rgb="FF008000"/>
      </font>
    </dxf>
    <dxf>
      <fill>
        <patternFill>
          <bgColor theme="0"/>
        </patternFill>
      </fill>
    </dxf>
    <dxf>
      <font>
        <color rgb="FFC00000"/>
      </font>
    </dxf>
    <dxf>
      <font>
        <b/>
        <i val="0"/>
      </font>
    </dxf>
    <dxf>
      <font>
        <b/>
        <i val="0"/>
        <color rgb="FFC00000"/>
      </font>
    </dxf>
    <dxf>
      <fill>
        <patternFill>
          <bgColor theme="0"/>
        </patternFill>
      </fill>
    </dxf>
    <dxf>
      <font>
        <b/>
        <i val="0"/>
        <color rgb="FFC00000"/>
      </font>
    </dxf>
    <dxf>
      <font>
        <color rgb="FFFF0000"/>
      </font>
    </dxf>
    <dxf>
      <fill>
        <patternFill>
          <bgColor theme="0"/>
        </patternFill>
      </fill>
    </dxf>
    <dxf>
      <font>
        <b/>
        <i val="0"/>
        <color rgb="FF008000"/>
      </font>
    </dxf>
    <dxf>
      <font>
        <color rgb="FFFF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FF0000"/>
      </font>
    </dxf>
    <dxf>
      <font>
        <color rgb="FFFF0000"/>
      </font>
    </dxf>
    <dxf>
      <font>
        <b/>
        <i val="0"/>
        <color rgb="FFFF0000"/>
      </font>
    </dxf>
    <dxf>
      <font>
        <color theme="1"/>
      </font>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ont>
        <color rgb="FFC00000"/>
      </font>
    </dxf>
    <dxf>
      <font>
        <color rgb="FFFF0000"/>
      </font>
    </dxf>
    <dxf>
      <font>
        <color rgb="FFFF0000"/>
      </font>
    </dxf>
    <dxf>
      <font>
        <color rgb="FFFF0000"/>
      </font>
    </dxf>
    <dxf>
      <font>
        <color rgb="FFC0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rgb="FFC00000"/>
      </font>
    </dxf>
    <dxf>
      <font>
        <color rgb="FFC00000"/>
      </font>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7"/>
      </font>
    </dxf>
    <dxf>
      <font>
        <color rgb="FFFF0000"/>
      </font>
    </dxf>
    <dxf>
      <font>
        <b/>
        <i val="0"/>
        <color rgb="FFC00000"/>
      </font>
    </dxf>
    <dxf>
      <font>
        <b/>
        <i val="0"/>
        <color rgb="FFC00000"/>
      </font>
    </dxf>
    <dxf>
      <font>
        <color rgb="FFFF0000"/>
      </font>
    </dxf>
    <dxf>
      <font>
        <color rgb="FFFF0000"/>
      </font>
    </dxf>
    <dxf>
      <fill>
        <patternFill>
          <bgColor theme="0"/>
        </patternFill>
      </fill>
    </dxf>
    <dxf>
      <fill>
        <patternFill>
          <bgColor theme="0"/>
        </patternFill>
      </fill>
    </dxf>
    <dxf>
      <font>
        <b/>
        <i val="0"/>
        <color rgb="FFFF0000"/>
      </font>
    </dxf>
    <dxf>
      <font>
        <b val="0"/>
        <i val="0"/>
        <color indexed="10"/>
      </font>
    </dxf>
    <dxf>
      <fill>
        <patternFill>
          <bgColor theme="0"/>
        </patternFill>
      </fill>
    </dxf>
    <dxf>
      <border>
        <left style="thin">
          <color auto="1"/>
        </left>
        <right style="thin">
          <color auto="1"/>
        </right>
        <top style="thin">
          <color auto="1"/>
        </top>
        <bottom style="thin">
          <color auto="1"/>
        </bottom>
        <vertical/>
        <horizontal/>
      </border>
    </dxf>
    <dxf>
      <border>
        <left/>
        <right/>
        <top/>
        <bottom/>
        <vertical/>
        <horizontal/>
      </border>
    </dxf>
    <dxf>
      <font>
        <color theme="1"/>
      </font>
    </dxf>
    <dxf>
      <fill>
        <patternFill>
          <bgColor theme="0"/>
        </patternFill>
      </fill>
    </dxf>
    <dxf>
      <font>
        <color theme="1"/>
      </font>
    </dxf>
    <dxf>
      <font>
        <color theme="1"/>
      </font>
    </dxf>
    <dxf>
      <font>
        <b/>
        <i val="0"/>
        <color auto="1"/>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9"/>
      </font>
    </dxf>
    <dxf>
      <font>
        <b val="0"/>
        <i val="0"/>
        <condense val="0"/>
        <extend val="0"/>
        <color indexed="10"/>
      </font>
    </dxf>
    <dxf>
      <font>
        <b/>
        <i val="0"/>
        <color rgb="FFFF0000"/>
      </font>
    </dxf>
    <dxf>
      <font>
        <b val="0"/>
        <i val="0"/>
        <color rgb="FFFF0000"/>
      </font>
    </dxf>
    <dxf>
      <font>
        <b val="0"/>
        <i val="0"/>
        <color indexed="10"/>
      </font>
    </dxf>
    <dxf>
      <font>
        <condense val="0"/>
        <extend val="0"/>
        <color indexed="9"/>
      </font>
    </dxf>
    <dxf>
      <font>
        <b val="0"/>
        <i val="0"/>
        <condense val="0"/>
        <extend val="0"/>
        <color indexed="10"/>
      </font>
    </dxf>
    <dxf>
      <font>
        <b/>
        <i val="0"/>
        <color rgb="FFFF0000"/>
      </font>
    </dxf>
    <dxf>
      <font>
        <b/>
        <i val="0"/>
        <condense val="0"/>
        <extend val="0"/>
        <color indexed="10"/>
      </font>
    </dxf>
    <dxf>
      <font>
        <b/>
        <i val="0"/>
        <color rgb="FFFF0000"/>
      </font>
    </dxf>
    <dxf>
      <font>
        <color rgb="FFC00000"/>
      </font>
    </dxf>
    <dxf>
      <font>
        <color rgb="FFC00000"/>
      </font>
    </dxf>
    <dxf>
      <font>
        <condense val="0"/>
        <extend val="0"/>
        <color indexed="10"/>
      </font>
    </dxf>
    <dxf>
      <font>
        <color rgb="FFC00000"/>
      </font>
    </dxf>
    <dxf>
      <font>
        <color rgb="FFC00000"/>
      </font>
    </dxf>
    <dxf>
      <font>
        <b/>
        <i val="0"/>
        <color rgb="FFC00000"/>
      </font>
    </dxf>
    <dxf>
      <font>
        <color rgb="FFC00000"/>
      </font>
    </dxf>
    <dxf>
      <font>
        <color rgb="FFFF0000"/>
      </font>
    </dxf>
    <dxf>
      <font>
        <color rgb="FFFF0000"/>
      </font>
    </dxf>
    <dxf>
      <font>
        <color rgb="FFFF0000"/>
      </font>
    </dxf>
    <dxf>
      <fill>
        <patternFill>
          <bgColor theme="0"/>
        </patternFill>
      </fill>
    </dxf>
    <dxf>
      <font>
        <color rgb="FFC00000"/>
      </font>
    </dxf>
    <dxf>
      <font>
        <color rgb="FFC00000"/>
      </font>
    </dxf>
    <dxf>
      <font>
        <color rgb="FFC00000"/>
      </font>
    </dxf>
    <dxf>
      <font>
        <color rgb="FFC00000"/>
      </font>
    </dxf>
    <dxf>
      <fill>
        <patternFill>
          <bgColor theme="0"/>
        </patternFill>
      </fill>
    </dxf>
    <dxf>
      <font>
        <color rgb="FFC00000"/>
      </font>
    </dxf>
    <dxf>
      <font>
        <color rgb="FFFF0000"/>
      </font>
    </dxf>
    <dxf>
      <font>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ont>
        <color theme="0"/>
      </font>
    </dxf>
    <dxf>
      <font>
        <color theme="4" tint="0.79998168889431442"/>
      </font>
    </dxf>
    <dxf>
      <font>
        <color theme="0"/>
      </font>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C0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b/>
        <i val="0"/>
        <color rgb="FFFF0000"/>
      </font>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patternType="solid"/>
      </fill>
    </dxf>
    <dxf>
      <fill>
        <patternFill>
          <fgColor theme="0"/>
          <bgColor theme="0"/>
        </patternFill>
      </fill>
    </dxf>
    <dxf>
      <font>
        <b val="0"/>
        <i val="0"/>
      </font>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ont>
        <color rgb="FFFF0000"/>
      </font>
    </dxf>
    <dxf>
      <font>
        <color theme="0"/>
      </font>
    </dxf>
    <dxf>
      <fill>
        <patternFill>
          <bgColor theme="0"/>
        </patternFill>
      </fill>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C00000"/>
      </font>
    </dxf>
    <dxf>
      <fill>
        <patternFill>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ont>
        <color rgb="FF008000"/>
      </font>
    </dxf>
    <dxf>
      <font>
        <b/>
        <i val="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b/>
        <i val="0"/>
        <color rgb="FFFF0000"/>
      </font>
    </dxf>
    <dxf>
      <font>
        <color rgb="FFFF0000"/>
      </font>
    </dxf>
    <dxf>
      <font>
        <color rgb="FFFF0000"/>
      </font>
    </dxf>
    <dxf>
      <font>
        <color rgb="FFFF0000"/>
      </font>
    </dxf>
    <dxf>
      <font>
        <b/>
        <i/>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color rgb="FFFF0000"/>
      </font>
    </dxf>
    <dxf>
      <font>
        <color rgb="FFFF000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C00000"/>
      </font>
    </dxf>
    <dxf>
      <font>
        <color rgb="FF008000"/>
      </font>
    </dxf>
    <dxf>
      <font>
        <color rgb="FFC00000"/>
      </font>
    </dxf>
    <dxf>
      <font>
        <color rgb="FF008000"/>
      </font>
    </dxf>
    <dxf>
      <font>
        <color rgb="FFC00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4" tint="0.59996337778862885"/>
        </patternFill>
      </fill>
      <border>
        <bottom style="thin">
          <color auto="1"/>
        </bottom>
        <vertical/>
        <horizontal/>
      </border>
    </dxf>
    <dxf>
      <fill>
        <patternFill>
          <bgColor theme="0"/>
        </patternFill>
      </fill>
      <border>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ont>
        <color rgb="FFFF0000"/>
      </font>
    </dxf>
    <dxf>
      <font>
        <color rgb="FFFF0000"/>
      </font>
    </dxf>
    <dxf>
      <fill>
        <patternFill>
          <bgColor theme="0"/>
        </patternFill>
      </fill>
    </dxf>
    <dxf>
      <font>
        <b/>
        <i val="0"/>
        <color rgb="FFFF0000"/>
      </font>
    </dxf>
    <dxf>
      <font>
        <color rgb="FFFF0000"/>
      </font>
    </dxf>
    <dxf>
      <fill>
        <patternFill>
          <bgColor theme="0"/>
        </patternFill>
      </fill>
    </dxf>
    <dxf>
      <font>
        <color rgb="FF008000"/>
      </font>
    </dxf>
    <dxf>
      <font>
        <color theme="0"/>
      </font>
    </dxf>
    <dxf>
      <font>
        <color theme="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fgColor theme="0"/>
          <bgColor theme="0"/>
        </patternFill>
      </fill>
    </dxf>
    <dxf>
      <fill>
        <patternFill>
          <fgColor theme="0"/>
          <bgColor theme="0"/>
        </patternFill>
      </fill>
    </dxf>
    <dxf>
      <fill>
        <patternFill patternType="solid">
          <bgColor theme="0"/>
        </patternFill>
      </fill>
    </dxf>
    <dxf>
      <fill>
        <patternFill patternType="solid">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ill>
        <patternFill patternType="solid">
          <fgColor theme="0"/>
          <bgColor theme="0"/>
        </patternFill>
      </fill>
      <border>
        <left/>
        <right/>
        <top/>
        <bottom/>
      </border>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ont>
        <color theme="4" tint="0.59996337778862885"/>
      </font>
    </dxf>
    <dxf>
      <font>
        <b/>
        <i val="0"/>
        <condense val="0"/>
        <extend val="0"/>
        <color indexed="10"/>
      </font>
    </dxf>
    <dxf>
      <font>
        <b/>
        <i val="0"/>
        <condense val="0"/>
        <extend val="0"/>
        <color indexed="10"/>
      </font>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color theme="4" tint="0.59996337778862885"/>
      </font>
    </dxf>
    <dxf>
      <font>
        <b/>
        <i val="0"/>
        <condense val="0"/>
        <extend val="0"/>
        <color indexed="10"/>
      </font>
    </dxf>
    <dxf>
      <font>
        <b/>
        <i val="0"/>
        <condense val="0"/>
        <extend val="0"/>
        <color indexed="10"/>
      </font>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FF0000"/>
      </font>
    </dxf>
    <dxf>
      <font>
        <color rgb="FFFF0000"/>
      </font>
    </dxf>
    <dxf>
      <font>
        <color theme="0"/>
      </font>
    </dxf>
    <dxf>
      <font>
        <b val="0"/>
        <i val="0"/>
        <color rgb="FFC00000"/>
      </font>
    </dxf>
    <dxf>
      <font>
        <b val="0"/>
        <i val="0"/>
        <color rgb="FFC00000"/>
      </font>
    </dxf>
    <dxf>
      <font>
        <color rgb="FFFF0000"/>
      </font>
    </dxf>
    <dxf>
      <font>
        <color rgb="FFFF0000"/>
      </font>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patternType="solid">
          <fgColor theme="0"/>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bottom style="dotted">
          <color auto="1"/>
        </bottom>
        <vertical/>
        <horizontal/>
      </border>
    </dxf>
    <dxf>
      <font>
        <color rgb="FFFF0000"/>
      </font>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0"/>
      </font>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patternType="solid">
          <fgColor theme="0"/>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008000"/>
      </font>
    </dxf>
    <dxf>
      <font>
        <color rgb="FF008000"/>
      </font>
    </dxf>
    <dxf>
      <font>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indexed="47"/>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FF0000"/>
      </font>
    </dxf>
    <dxf>
      <font>
        <b/>
        <i val="0"/>
        <color rgb="FFFF0000"/>
      </font>
    </dxf>
    <dxf>
      <font>
        <color theme="0"/>
      </font>
    </dxf>
    <dxf>
      <font>
        <color theme="0"/>
      </font>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ont>
        <color rgb="FFFF0000"/>
      </font>
    </dxf>
    <dxf>
      <font>
        <color rgb="FFFF0000"/>
      </font>
    </dxf>
    <dxf>
      <fill>
        <patternFill>
          <bgColor theme="0"/>
        </patternFill>
      </fill>
    </dxf>
    <dxf>
      <fill>
        <patternFill>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border>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b/>
        <i val="0"/>
        <color rgb="FFFF0000"/>
      </font>
    </dxf>
    <dxf>
      <font>
        <color rgb="FFFF0000"/>
      </font>
    </dxf>
    <dxf>
      <font>
        <b/>
        <i val="0"/>
        <color rgb="FF00800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border>
        <left/>
        <right/>
        <top/>
        <bottom/>
        <vertical/>
        <horizontal/>
      </border>
    </dxf>
    <dxf>
      <border>
        <bottom/>
        <vertical/>
        <horizontal/>
      </border>
    </dxf>
    <dxf>
      <fill>
        <patternFill>
          <bgColor theme="0"/>
        </patternFill>
      </fill>
    </dxf>
    <dxf>
      <fill>
        <patternFill>
          <bgColor theme="0"/>
        </patternFill>
      </fill>
    </dxf>
    <dxf>
      <fill>
        <patternFill>
          <bgColor theme="0"/>
        </patternFill>
      </fill>
    </dxf>
    <dxf>
      <border>
        <bottom/>
        <vertical/>
        <horizontal/>
      </border>
    </dxf>
    <dxf>
      <font>
        <b/>
        <i val="0"/>
        <color rgb="FFFF0000"/>
      </font>
    </dxf>
    <dxf>
      <font>
        <b/>
        <i val="0"/>
        <color rgb="FF008000"/>
      </font>
    </dxf>
    <dxf>
      <font>
        <b/>
        <i val="0"/>
        <color rgb="FFFF0000"/>
      </font>
    </dxf>
    <dxf>
      <font>
        <b/>
        <i val="0"/>
        <color rgb="FF008000"/>
      </font>
    </dxf>
    <dxf>
      <font>
        <b/>
        <i val="0"/>
        <color rgb="FFFF0000"/>
      </font>
    </dxf>
    <dxf>
      <font>
        <b/>
        <i val="0"/>
        <color rgb="FF008000"/>
      </font>
    </dxf>
    <dxf>
      <font>
        <b/>
        <i val="0"/>
        <color rgb="FFFF0000"/>
      </font>
    </dxf>
    <dxf>
      <font>
        <b/>
        <i val="0"/>
        <color rgb="FFFF0000"/>
      </font>
    </dxf>
    <dxf>
      <font>
        <b/>
        <i val="0"/>
        <color rgb="FFFF0000"/>
      </font>
    </dxf>
    <dxf>
      <font>
        <b/>
        <i val="0"/>
        <color rgb="FF008000"/>
      </font>
    </dxf>
    <dxf>
      <font>
        <color theme="0"/>
      </font>
    </dxf>
    <dxf>
      <fill>
        <patternFill patternType="none">
          <bgColor auto="1"/>
        </patternFill>
      </fill>
      <border>
        <left/>
        <right/>
        <top/>
        <bottom/>
        <vertical/>
        <horizontal/>
      </border>
    </dxf>
    <dxf>
      <font>
        <color theme="0"/>
      </font>
    </dxf>
    <dxf>
      <font>
        <color rgb="FFFF0000"/>
      </font>
    </dxf>
    <dxf>
      <font>
        <color theme="0"/>
      </font>
      <fill>
        <patternFill patternType="none">
          <bgColor auto="1"/>
        </patternFill>
      </fill>
      <border>
        <left/>
        <right/>
        <top/>
        <bottom/>
        <vertical/>
        <horizontal/>
      </border>
    </dxf>
    <dxf>
      <fill>
        <patternFill patternType="none">
          <bgColor auto="1"/>
        </patternFill>
      </fill>
      <border>
        <left/>
        <right/>
        <top/>
        <bottom/>
        <vertical/>
        <horizontal/>
      </border>
    </dxf>
    <dxf>
      <font>
        <color theme="0"/>
      </font>
    </dxf>
    <dxf>
      <font>
        <color theme="0"/>
      </font>
    </dxf>
    <dxf>
      <font>
        <b/>
        <i val="0"/>
        <color rgb="FFFF0000"/>
      </font>
      <fill>
        <patternFill patternType="solid">
          <bgColor theme="0"/>
        </patternFill>
      </fill>
    </dxf>
    <dxf>
      <fill>
        <patternFill patternType="solid">
          <fgColor auto="1"/>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border>
    </dxf>
    <dxf>
      <font>
        <color auto="1"/>
      </font>
    </dxf>
    <dxf>
      <font>
        <color rgb="FF008000"/>
      </font>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border>
        <left/>
        <right/>
        <top/>
        <bottom/>
        <vertical/>
        <horizontal/>
      </border>
    </dxf>
    <dxf>
      <fill>
        <patternFill>
          <bgColor theme="0"/>
        </patternFill>
      </fill>
    </dxf>
    <dxf>
      <font>
        <b/>
        <i val="0"/>
        <color rgb="FFFF0000"/>
      </font>
    </dxf>
    <dxf>
      <font>
        <b/>
        <i val="0"/>
        <color rgb="FFFF0000"/>
      </font>
    </dxf>
    <dxf>
      <font>
        <b/>
        <i val="0"/>
        <color rgb="FFFF0000"/>
      </font>
    </dxf>
    <dxf>
      <font>
        <b/>
        <i val="0"/>
        <color rgb="FFFF0000"/>
      </font>
    </dxf>
    <dxf>
      <font>
        <color rgb="FF008000"/>
      </font>
    </dxf>
    <dxf>
      <font>
        <color rgb="FFC00000"/>
      </font>
    </dxf>
    <dxf>
      <font>
        <color rgb="FF008000"/>
      </font>
    </dxf>
    <dxf>
      <font>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color rgb="FF008000"/>
      </font>
    </dxf>
    <dxf>
      <font>
        <color rgb="FF008000"/>
      </font>
    </dxf>
    <dxf>
      <font>
        <color rgb="FF008000"/>
      </font>
    </dxf>
    <dxf>
      <font>
        <color rgb="FFFF0000"/>
      </font>
    </dxf>
    <dxf>
      <font>
        <color rgb="FFC00000"/>
      </font>
    </dxf>
    <dxf>
      <font>
        <color rgb="FF008000"/>
      </font>
    </dxf>
    <dxf>
      <font>
        <b/>
        <i val="0"/>
        <condense val="0"/>
        <extend val="0"/>
        <color indexed="17"/>
      </font>
    </dxf>
    <dxf>
      <font>
        <b/>
        <i val="0"/>
        <condense val="0"/>
        <extend val="0"/>
        <color indexed="17"/>
      </font>
    </dxf>
    <dxf>
      <font>
        <color rgb="FFFF0000"/>
      </font>
    </dxf>
    <dxf>
      <font>
        <b/>
        <i val="0"/>
        <condense val="0"/>
        <extend val="0"/>
        <color indexed="17"/>
      </font>
    </dxf>
    <dxf>
      <font>
        <b/>
        <i val="0"/>
        <condense val="0"/>
        <extend val="0"/>
        <color indexed="10"/>
      </font>
    </dxf>
    <dxf>
      <font>
        <b/>
        <i val="0"/>
        <condense val="0"/>
        <extend val="0"/>
        <color indexed="17"/>
      </font>
    </dxf>
    <dxf>
      <font>
        <color rgb="FFFF0000"/>
      </font>
    </dxf>
    <dxf>
      <font>
        <color rgb="FF008000"/>
      </font>
    </dxf>
    <dxf>
      <font>
        <b/>
        <i val="0"/>
        <color theme="3" tint="0.39991454817346722"/>
      </font>
    </dxf>
    <dxf>
      <font>
        <b/>
        <i val="0"/>
        <condense val="0"/>
        <extend val="0"/>
        <color indexed="17"/>
      </font>
    </dxf>
    <dxf>
      <font>
        <color rgb="FFFF0000"/>
      </font>
    </dxf>
    <dxf>
      <font>
        <color rgb="FF008000"/>
      </font>
    </dxf>
    <dxf>
      <font>
        <b/>
        <i val="0"/>
        <condense val="0"/>
        <extend val="0"/>
        <color indexed="10"/>
      </font>
    </dxf>
    <dxf>
      <font>
        <color rgb="FF008000"/>
      </font>
    </dxf>
    <dxf>
      <font>
        <color rgb="FF008000"/>
      </font>
    </dxf>
    <dxf>
      <font>
        <color indexed="17"/>
      </font>
    </dxf>
    <dxf>
      <font>
        <b/>
        <i val="0"/>
        <condense val="0"/>
        <extend val="0"/>
        <color indexed="10"/>
      </font>
    </dxf>
    <dxf>
      <font>
        <b/>
        <i val="0"/>
        <condense val="0"/>
        <extend val="0"/>
        <color indexed="10"/>
      </font>
    </dxf>
    <dxf>
      <font>
        <b/>
        <i val="0"/>
        <strike val="0"/>
        <color rgb="FFFF0000"/>
        <name val="Cambria"/>
        <scheme val="none"/>
      </font>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008000"/>
      </font>
    </dxf>
    <dxf>
      <font>
        <b/>
        <i val="0"/>
        <condense val="0"/>
        <extend val="0"/>
        <color indexed="17"/>
      </font>
    </dxf>
    <dxf>
      <font>
        <b/>
        <i val="0"/>
        <condense val="0"/>
        <extend val="0"/>
        <color indexed="17"/>
      </font>
    </dxf>
    <dxf>
      <font>
        <color rgb="FFFF0000"/>
      </font>
    </dxf>
    <dxf>
      <font>
        <color rgb="FF008000"/>
      </font>
    </dxf>
    <dxf>
      <font>
        <color theme="3" tint="0.39994506668294322"/>
      </font>
    </dxf>
    <dxf>
      <font>
        <b/>
        <i val="0"/>
        <color rgb="FF008000"/>
      </font>
    </dxf>
    <dxf>
      <font>
        <b/>
        <i val="0"/>
        <color theme="3" tint="0.39994506668294322"/>
      </font>
    </dxf>
    <dxf>
      <font>
        <b/>
        <i val="0"/>
        <color theme="3" tint="0.39994506668294322"/>
      </font>
    </dxf>
    <dxf>
      <font>
        <b/>
        <i val="0"/>
        <condense val="0"/>
        <extend val="0"/>
        <color indexed="17"/>
      </font>
    </dxf>
    <dxf>
      <font>
        <b/>
        <i val="0"/>
        <color rgb="FF008000"/>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lor rgb="FF008000"/>
      </font>
    </dxf>
    <dxf>
      <font>
        <color rgb="FF008000"/>
      </font>
    </dxf>
    <dxf>
      <font>
        <color rgb="FF008000"/>
      </font>
    </dxf>
    <dxf>
      <font>
        <color rgb="FF008000"/>
      </font>
    </dxf>
    <dxf>
      <font>
        <b/>
        <i val="0"/>
        <condense val="0"/>
        <extend val="0"/>
        <color indexed="10"/>
      </font>
    </dxf>
    <dxf>
      <font>
        <color rgb="FF008000"/>
      </font>
    </dxf>
    <dxf>
      <font>
        <color rgb="FFFF0000"/>
      </font>
    </dxf>
    <dxf>
      <font>
        <b/>
        <i val="0"/>
        <color rgb="FF008000"/>
      </font>
    </dxf>
    <dxf>
      <font>
        <condense val="0"/>
        <extend val="0"/>
        <color indexed="17"/>
      </font>
    </dxf>
    <dxf>
      <font>
        <condense val="0"/>
        <extend val="0"/>
        <color indexed="17"/>
      </font>
    </dxf>
    <dxf>
      <font>
        <b/>
        <i val="0"/>
        <color rgb="FF008000"/>
      </font>
    </dxf>
    <dxf>
      <font>
        <b/>
        <i val="0"/>
        <color rgb="FF008000"/>
      </font>
    </dxf>
    <dxf>
      <font>
        <b/>
        <i val="0"/>
        <condense val="0"/>
        <extend val="0"/>
        <color indexed="10"/>
      </font>
    </dxf>
    <dxf>
      <font>
        <b/>
        <i val="0"/>
        <color rgb="FF008000"/>
      </font>
    </dxf>
    <dxf>
      <font>
        <color rgb="FFFF0000"/>
      </font>
    </dxf>
    <dxf>
      <font>
        <b/>
        <i val="0"/>
        <condense val="0"/>
        <extend val="0"/>
        <color indexed="17"/>
      </font>
    </dxf>
    <dxf>
      <font>
        <color rgb="FFFF0000"/>
      </font>
    </dxf>
    <dxf>
      <font>
        <b/>
        <i val="0"/>
        <condense val="0"/>
        <extend val="0"/>
        <color indexed="17"/>
      </font>
    </dxf>
    <dxf>
      <font>
        <color rgb="FFFF0000"/>
      </font>
    </dxf>
    <dxf>
      <font>
        <b/>
        <i val="0"/>
        <condense val="0"/>
        <extend val="0"/>
        <color indexed="17"/>
      </font>
    </dxf>
    <dxf>
      <font>
        <color rgb="FFFF0000"/>
      </font>
    </dxf>
    <dxf>
      <font>
        <color rgb="FFFF0000"/>
      </font>
    </dxf>
    <dxf>
      <font>
        <color rgb="FFFF0000"/>
      </font>
    </dxf>
    <dxf>
      <font>
        <color rgb="FFFF0000"/>
      </font>
    </dxf>
    <dxf>
      <font>
        <color rgb="FFFF0000"/>
      </font>
    </dxf>
    <dxf>
      <font>
        <color rgb="FF008000"/>
      </font>
    </dxf>
    <dxf>
      <font>
        <color rgb="FF008000"/>
      </font>
    </dxf>
    <dxf>
      <font>
        <color rgb="FFFF0000"/>
      </font>
    </dxf>
    <dxf>
      <font>
        <color rgb="FF008000"/>
      </font>
    </dxf>
    <dxf>
      <font>
        <color rgb="FFFF0000"/>
      </font>
    </dxf>
    <dxf>
      <font>
        <color rgb="FF008000"/>
      </font>
    </dxf>
    <dxf>
      <font>
        <color rgb="FFFF0000"/>
      </font>
    </dxf>
    <dxf>
      <font>
        <b/>
        <i val="0"/>
        <color rgb="FF008000"/>
      </font>
    </dxf>
    <dxf>
      <font>
        <b/>
        <i val="0"/>
        <condense val="0"/>
        <extend val="0"/>
        <color indexed="10"/>
      </font>
    </dxf>
    <dxf>
      <font>
        <color rgb="FFFF0000"/>
      </font>
    </dxf>
    <dxf>
      <font>
        <b/>
        <i val="0"/>
        <condense val="0"/>
        <extend val="0"/>
        <color indexed="10"/>
      </font>
    </dxf>
    <dxf>
      <font>
        <color rgb="FF008000"/>
      </font>
    </dxf>
    <dxf>
      <font>
        <color rgb="FF008000"/>
      </font>
    </dxf>
    <dxf>
      <font>
        <color rgb="FF008000"/>
      </font>
    </dxf>
    <dxf>
      <font>
        <b/>
        <i val="0"/>
        <condense val="0"/>
        <extend val="0"/>
        <color indexed="10"/>
      </font>
    </dxf>
    <dxf>
      <font>
        <color rgb="FF008000"/>
      </font>
    </dxf>
    <dxf>
      <font>
        <color rgb="FF008000"/>
      </font>
    </dxf>
    <dxf>
      <font>
        <b/>
        <i val="0"/>
        <color theme="3" tint="0.39994506668294322"/>
      </font>
    </dxf>
    <dxf>
      <font>
        <b/>
        <i val="0"/>
        <color rgb="FFFF0000"/>
      </font>
    </dxf>
    <dxf>
      <font>
        <b/>
        <i val="0"/>
        <color rgb="FF0070C0"/>
      </font>
    </dxf>
    <dxf>
      <font>
        <color rgb="FFFF0000"/>
      </font>
    </dxf>
    <dxf>
      <font>
        <b/>
        <i val="0"/>
        <color rgb="FF0070C0"/>
      </font>
    </dxf>
    <dxf>
      <font>
        <color rgb="FF008000"/>
      </font>
    </dxf>
    <dxf>
      <font>
        <b/>
        <i val="0"/>
        <condense val="0"/>
        <extend val="0"/>
        <color indexed="10"/>
      </font>
    </dxf>
    <dxf>
      <font>
        <b/>
        <i val="0"/>
        <condense val="0"/>
        <extend val="0"/>
        <color indexed="10"/>
      </font>
    </dxf>
    <dxf>
      <font>
        <b/>
        <i val="0"/>
        <color rgb="FF0070C0"/>
      </font>
    </dxf>
    <dxf>
      <font>
        <b/>
        <i val="0"/>
        <condense val="0"/>
        <extend val="0"/>
        <color indexed="10"/>
      </font>
    </dxf>
    <dxf>
      <font>
        <b/>
        <i val="0"/>
        <color rgb="FF0070C0"/>
      </font>
    </dxf>
    <dxf>
      <font>
        <b/>
        <i val="0"/>
        <condense val="0"/>
        <extend val="0"/>
        <color indexed="17"/>
      </font>
    </dxf>
    <dxf>
      <font>
        <b/>
        <i val="0"/>
        <color rgb="FF0070C0"/>
      </font>
    </dxf>
    <dxf>
      <font>
        <b/>
        <i val="0"/>
        <condense val="0"/>
        <extend val="0"/>
        <color indexed="17"/>
      </font>
    </dxf>
    <dxf>
      <font>
        <b/>
        <i val="0"/>
        <color rgb="FF008000"/>
      </font>
    </dxf>
    <dxf>
      <font>
        <b/>
        <i val="0"/>
        <condense val="0"/>
        <extend val="0"/>
        <color indexed="1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color theme="3" tint="0.39994506668294322"/>
      </font>
    </dxf>
    <dxf>
      <font>
        <color theme="3" tint="0.39994506668294322"/>
      </font>
    </dxf>
    <dxf>
      <font>
        <color theme="3" tint="0.39994506668294322"/>
      </font>
    </dxf>
    <dxf>
      <font>
        <color theme="3" tint="0.3999450666829432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ont>
        <color rgb="FF008000"/>
      </font>
    </dxf>
    <dxf>
      <font>
        <color rgb="FF008000"/>
      </font>
    </dxf>
    <dxf>
      <font>
        <color rgb="FF008000"/>
      </font>
    </dxf>
    <dxf>
      <font>
        <color rgb="FFFF0000"/>
      </font>
    </dxf>
    <dxf>
      <fill>
        <patternFill>
          <bgColor theme="0"/>
        </patternFill>
      </fill>
    </dxf>
    <dxf>
      <fill>
        <patternFill>
          <bgColor theme="0"/>
        </patternFill>
      </fill>
    </dxf>
    <dxf>
      <font>
        <color rgb="FF008000"/>
      </font>
    </dxf>
    <dxf>
      <font>
        <color theme="0"/>
      </font>
    </dxf>
    <dxf>
      <font>
        <b/>
        <i val="0"/>
        <color rgb="FF008000"/>
      </font>
    </dxf>
    <dxf>
      <font>
        <b val="0"/>
        <i val="0"/>
        <color rgb="FFC00000"/>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008000"/>
      </font>
    </dxf>
    <dxf>
      <font>
        <b val="0"/>
        <i val="0"/>
        <color theme="1"/>
      </font>
    </dxf>
    <dxf>
      <font>
        <b val="0"/>
        <i val="0"/>
        <color theme="1"/>
      </font>
    </dxf>
    <dxf>
      <font>
        <color rgb="FF008000"/>
      </font>
    </dxf>
    <dxf>
      <font>
        <color rgb="FF008000"/>
      </font>
    </dxf>
    <dxf>
      <border>
        <left/>
        <right/>
        <top style="thin">
          <color auto="1"/>
        </top>
        <bottom/>
        <vertical/>
        <horizontal/>
      </border>
    </dxf>
    <dxf>
      <font>
        <color rgb="FF008000"/>
      </font>
      <border>
        <top style="thin">
          <color auto="1"/>
        </top>
      </border>
    </dxf>
    <dxf>
      <border>
        <left/>
        <right/>
        <top/>
        <bottom/>
        <vertical/>
        <horizontal/>
      </border>
    </dxf>
    <dxf>
      <border>
        <left/>
        <right/>
        <top/>
        <bottom/>
        <vertical/>
        <horizontal/>
      </border>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border>
        <right/>
      </border>
    </dxf>
    <dxf>
      <border>
        <left/>
        <right/>
        <top/>
        <bottom/>
      </border>
    </dxf>
    <dxf>
      <font>
        <condense val="0"/>
        <extend val="0"/>
        <color indexed="9"/>
      </font>
    </dxf>
    <dxf>
      <border>
        <top/>
      </border>
    </dxf>
    <dxf>
      <font>
        <condense val="0"/>
        <extend val="0"/>
        <color indexed="9"/>
      </font>
      <border>
        <left/>
        <right/>
        <top/>
        <bottom/>
      </border>
    </dxf>
    <dxf>
      <border>
        <left/>
        <right/>
        <bottom/>
      </border>
    </dxf>
    <dxf>
      <border>
        <left/>
        <bottom/>
      </border>
    </dxf>
    <dxf>
      <border>
        <left/>
        <right/>
        <top/>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border>
        <bottom/>
        <vertical/>
        <horizontal/>
      </border>
    </dxf>
    <dxf>
      <font>
        <color auto="1"/>
      </font>
    </dxf>
    <dxf>
      <font>
        <b val="0"/>
        <i val="0"/>
        <strike val="0"/>
        <color indexed="10"/>
      </font>
    </dxf>
    <dxf>
      <font>
        <condense val="0"/>
        <extend val="0"/>
        <color indexed="9"/>
      </font>
    </dxf>
    <dxf>
      <font>
        <condense val="0"/>
        <extend val="0"/>
        <color indexed="9"/>
      </font>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ont>
        <b val="0"/>
        <i val="0"/>
        <color rgb="FFFF0000"/>
      </font>
    </dxf>
    <dxf>
      <fill>
        <patternFill>
          <bgColor theme="0"/>
        </patternFill>
      </fill>
    </dxf>
    <dxf>
      <border>
        <left style="thin">
          <color indexed="64"/>
        </left>
        <right style="thin">
          <color indexed="64"/>
        </right>
        <top style="thin">
          <color indexed="64"/>
        </top>
        <bottom style="thin">
          <color indexed="64"/>
        </bottom>
      </border>
    </dxf>
    <dxf>
      <font>
        <b/>
        <i val="0"/>
        <condense val="0"/>
        <extend val="0"/>
        <color indexed="10"/>
      </font>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rgb="FF008000"/>
      </font>
    </dxf>
    <dxf>
      <font>
        <color rgb="FF008000"/>
      </font>
    </dxf>
    <dxf>
      <border>
        <left/>
        <right/>
        <top/>
        <bottom/>
        <vertical/>
        <horizontal/>
      </border>
    </dxf>
    <dxf>
      <font>
        <color rgb="FF008000"/>
      </font>
    </dxf>
    <dxf>
      <border>
        <left/>
        <right/>
        <top/>
        <bottom/>
        <vertical/>
        <horizontal/>
      </border>
    </dxf>
    <dxf>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border>
        <bottom style="thin">
          <color indexed="64"/>
        </bottom>
      </border>
    </dxf>
    <dxf>
      <font>
        <b/>
        <i val="0"/>
        <color rgb="FFFF0000"/>
      </font>
    </dxf>
    <dxf>
      <font>
        <condense val="0"/>
        <extend val="0"/>
        <color indexed="9"/>
      </font>
    </dxf>
    <dxf>
      <font>
        <condense val="0"/>
        <extend val="0"/>
        <color indexed="9"/>
      </font>
    </dxf>
    <dxf>
      <fill>
        <patternFill>
          <bgColor theme="0"/>
        </patternFill>
      </fill>
    </dxf>
    <dxf>
      <fill>
        <patternFill>
          <bgColor theme="0"/>
        </patternFill>
      </fill>
    </dxf>
    <dxf>
      <font>
        <condense val="0"/>
        <extend val="0"/>
        <color indexed="9"/>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ndense val="0"/>
        <extend val="0"/>
        <color indexed="10"/>
      </font>
    </dxf>
    <dxf>
      <font>
        <condense val="0"/>
        <extend val="0"/>
        <color indexed="10"/>
      </font>
    </dxf>
    <dxf>
      <font>
        <condense val="0"/>
        <extend val="0"/>
        <color indexed="10"/>
      </font>
    </dxf>
    <dxf>
      <font>
        <condense val="0"/>
        <extend val="0"/>
        <color indexed="10"/>
      </font>
    </dxf>
    <dxf>
      <font>
        <b/>
        <i val="0"/>
        <color rgb="FF00800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lor rgb="FFFF0000"/>
      </font>
      <fill>
        <patternFill>
          <bgColor theme="0"/>
        </patternFill>
      </fill>
    </dxf>
    <dxf>
      <font>
        <b/>
        <i val="0"/>
        <color rgb="FFFF0000"/>
      </font>
    </dxf>
    <dxf>
      <font>
        <color rgb="FFC00000"/>
      </font>
      <border>
        <left style="thin">
          <color auto="1"/>
        </left>
        <right style="thin">
          <color auto="1"/>
        </right>
        <top style="thin">
          <color auto="1"/>
        </top>
        <bottom style="thin">
          <color auto="1"/>
        </bottom>
      </border>
    </dxf>
    <dxf>
      <font>
        <color auto="1"/>
      </font>
      <fill>
        <patternFill>
          <bgColor theme="0"/>
        </patternFill>
      </fill>
      <border>
        <left style="thin">
          <color auto="1"/>
        </left>
        <right style="thin">
          <color auto="1"/>
        </right>
        <top style="thin">
          <color auto="1"/>
        </top>
        <bottom style="thin">
          <color auto="1"/>
        </bottom>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b/>
        <i val="0"/>
        <color rgb="FFC00000"/>
      </font>
      <border>
        <left style="thin">
          <color auto="1"/>
        </left>
        <right style="thin">
          <color auto="1"/>
        </right>
        <top style="thin">
          <color auto="1"/>
        </top>
        <bottom style="thin">
          <color auto="1"/>
        </bottom>
        <vertical/>
        <horizontal/>
      </border>
    </dxf>
    <dxf>
      <font>
        <color rgb="FFC00000"/>
      </font>
    </dxf>
    <dxf>
      <border>
        <left style="thin">
          <color auto="1"/>
        </left>
        <right style="thin">
          <color auto="1"/>
        </right>
        <top style="thin">
          <color auto="1"/>
        </top>
        <bottom style="thin">
          <color auto="1"/>
        </bottom>
        <vertical/>
        <horizontal/>
      </border>
    </dxf>
    <dxf>
      <font>
        <b/>
        <i val="0"/>
        <color rgb="FFC00000"/>
      </font>
      <fill>
        <patternFill patternType="solid">
          <bgColor theme="0"/>
        </patternFill>
      </fill>
    </dxf>
    <dxf>
      <font>
        <b/>
        <i val="0"/>
        <color rgb="FFC00000"/>
      </font>
      <fill>
        <patternFill patternType="solid">
          <fgColor auto="1"/>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ont>
        <color theme="4" tint="0.79998168889431442"/>
      </font>
    </dxf>
    <dxf>
      <font>
        <color theme="0"/>
      </font>
    </dxf>
    <dxf>
      <font>
        <color rgb="FFC00000"/>
      </font>
    </dxf>
    <dxf>
      <font>
        <color theme="9" tint="-0.24994659260841701"/>
      </font>
    </dxf>
    <dxf>
      <font>
        <color theme="4" tint="0.79998168889431442"/>
      </font>
    </dxf>
    <dxf>
      <font>
        <color theme="0"/>
      </font>
    </dxf>
    <dxf>
      <font>
        <color rgb="FFC00000"/>
      </font>
    </dxf>
    <dxf>
      <font>
        <color theme="4" tint="0.79998168889431442"/>
      </font>
    </dxf>
    <dxf>
      <font>
        <color theme="0"/>
      </font>
    </dxf>
    <dxf>
      <font>
        <color rgb="FFC00000"/>
      </font>
    </dxf>
    <dxf>
      <font>
        <b/>
        <i val="0"/>
        <color rgb="FFC00000"/>
      </font>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ill>
        <patternFill>
          <bgColor theme="0"/>
        </patternFill>
      </fill>
    </dxf>
    <dxf>
      <font>
        <strike val="0"/>
        <color rgb="FFFF0000"/>
      </font>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border>
        <left style="thin">
          <color auto="1"/>
        </left>
        <right style="thin">
          <color auto="1"/>
        </right>
        <top style="thin">
          <color auto="1"/>
        </top>
        <bottom style="thin">
          <color auto="1"/>
        </bottom>
        <vertical/>
        <horizontal/>
      </border>
    </dxf>
    <dxf>
      <font>
        <color rgb="FF008000"/>
      </font>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right style="thin">
          <color auto="1"/>
        </right>
        <bottom style="thin">
          <color auto="1"/>
        </bottom>
        <vertical/>
        <horizontal/>
      </border>
    </dxf>
    <dxf>
      <border>
        <right style="thin">
          <color auto="1"/>
        </right>
        <top style="thin">
          <color auto="1"/>
        </top>
        <vertical/>
        <horizontal/>
      </border>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right style="thin">
          <color auto="1"/>
        </right>
        <top style="thin">
          <color auto="1"/>
        </top>
        <vertical/>
        <horizontal/>
      </border>
    </dxf>
    <dxf>
      <fill>
        <patternFill>
          <bgColor theme="0"/>
        </patternFill>
      </fill>
    </dxf>
    <dxf>
      <font>
        <b val="0"/>
        <i val="0"/>
        <color theme="0"/>
      </font>
      <fill>
        <patternFill>
          <bgColor theme="0"/>
        </patternFill>
      </fill>
      <border>
        <left/>
        <right/>
        <top/>
        <bottom/>
        <vertical/>
        <horizontal/>
      </border>
    </dxf>
    <dxf>
      <fill>
        <patternFill>
          <bgColor theme="0"/>
        </patternFill>
      </fill>
    </dxf>
    <dxf>
      <font>
        <b val="0"/>
        <i val="0"/>
        <color theme="0"/>
      </font>
      <fill>
        <patternFill>
          <bgColor theme="0"/>
        </patternFill>
      </fill>
      <border>
        <left/>
        <right/>
        <top/>
        <bottom/>
        <vertical/>
        <horizontal/>
      </border>
    </dxf>
    <dxf>
      <font>
        <color rgb="FFC00000"/>
      </font>
    </dxf>
    <dxf>
      <font>
        <color rgb="FFFF0000"/>
      </font>
    </dxf>
    <dxf>
      <font>
        <color rgb="FFFF0000"/>
      </font>
    </dxf>
    <dxf>
      <border>
        <top style="thin">
          <color auto="1"/>
        </top>
        <vertical/>
        <horizontal/>
      </border>
    </dxf>
    <dxf>
      <font>
        <b/>
        <i val="0"/>
        <color rgb="FFC00000"/>
      </font>
    </dxf>
    <dxf>
      <font>
        <color rgb="FF008000"/>
      </font>
      <border>
        <left style="thin">
          <color auto="1"/>
        </left>
        <right style="thin">
          <color auto="1"/>
        </right>
        <top style="thin">
          <color auto="1"/>
        </top>
        <bottom style="thin">
          <color auto="1"/>
        </bottom>
      </border>
    </dxf>
    <dxf>
      <border>
        <bottom style="thin">
          <color auto="1"/>
        </bottom>
        <vertical/>
        <horizontal/>
      </border>
    </dxf>
    <dxf>
      <border>
        <right/>
        <top style="thin">
          <color auto="1"/>
        </top>
        <bottom style="thin">
          <color auto="1"/>
        </bottom>
        <vertical/>
        <horizontal/>
      </border>
    </dxf>
    <dxf>
      <font>
        <color rgb="FF008000"/>
      </font>
    </dxf>
    <dxf>
      <font>
        <color rgb="FF008000"/>
      </font>
    </dxf>
    <dxf>
      <font>
        <color rgb="FF008000"/>
      </font>
    </dxf>
    <dxf>
      <font>
        <strike val="0"/>
        <color rgb="FF008000"/>
      </font>
    </dxf>
    <dxf>
      <border>
        <left style="thin">
          <color auto="1"/>
        </left>
        <top style="thin">
          <color auto="1"/>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border>
        <left style="thin">
          <color auto="1"/>
        </left>
        <right style="thin">
          <color auto="1"/>
        </right>
        <bottom style="thin">
          <color auto="1"/>
        </bottom>
      </border>
    </dxf>
    <dxf>
      <font>
        <b/>
        <i val="0"/>
        <color rgb="FFC00000"/>
      </font>
    </dxf>
    <dxf>
      <border>
        <left style="thin">
          <color auto="1"/>
        </left>
        <right style="thin">
          <color auto="1"/>
        </right>
        <top style="thin">
          <color auto="1"/>
        </top>
        <bottom/>
        <vertical/>
        <horizontal/>
      </border>
    </dxf>
    <dxf>
      <font>
        <color rgb="FF008000"/>
      </font>
    </dxf>
    <dxf>
      <font>
        <b/>
        <i val="0"/>
        <color rgb="FF008000"/>
      </font>
    </dxf>
    <dxf>
      <font>
        <b/>
        <i val="0"/>
        <color theme="9" tint="-0.24994659260841701"/>
      </font>
    </dxf>
    <dxf>
      <font>
        <b/>
        <i val="0"/>
        <color rgb="FFC00000"/>
      </font>
    </dxf>
    <dxf>
      <font>
        <b/>
        <i val="0"/>
        <color rgb="FF008000"/>
      </font>
    </dxf>
    <dxf>
      <font>
        <b/>
        <i val="0"/>
        <color theme="9" tint="-0.24994659260841701"/>
      </font>
    </dxf>
    <dxf>
      <font>
        <color rgb="FFFF0000"/>
      </font>
    </dxf>
    <dxf>
      <font>
        <b/>
        <i val="0"/>
        <color rgb="FF008000"/>
      </font>
    </dxf>
    <dxf>
      <font>
        <b/>
        <i val="0"/>
        <color theme="9" tint="-0.24994659260841701"/>
      </font>
    </dxf>
    <dxf>
      <font>
        <b/>
        <i val="0"/>
        <color rgb="FFC00000"/>
      </font>
    </dxf>
    <dxf>
      <font>
        <b/>
        <i val="0"/>
        <color theme="9" tint="-0.24994659260841701"/>
      </font>
    </dxf>
    <dxf>
      <font>
        <b/>
        <i val="0"/>
        <color rgb="FFC00000"/>
      </font>
    </dxf>
    <dxf>
      <font>
        <b/>
        <i val="0"/>
        <color rgb="FF008000"/>
      </font>
    </dxf>
    <dxf>
      <font>
        <color theme="9" tint="-0.24994659260841701"/>
      </font>
    </dxf>
    <dxf>
      <font>
        <color rgb="FF008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theme="4" tint="0.79998168889431442"/>
      </font>
    </dxf>
    <dxf>
      <font>
        <color theme="0"/>
      </font>
    </dxf>
    <dxf>
      <font>
        <b/>
        <i val="0"/>
        <color rgb="FFFF0000"/>
      </font>
    </dxf>
    <dxf>
      <font>
        <color theme="4" tint="0.79998168889431442"/>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ont>
        <b/>
        <i val="0"/>
        <color rgb="FFFF0000"/>
      </font>
    </dxf>
    <dxf>
      <fill>
        <patternFill>
          <fgColor indexed="64"/>
          <bgColor theme="0"/>
        </patternFill>
      </fill>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theme="4" tint="0.79998168889431442"/>
      </font>
    </dxf>
    <dxf>
      <font>
        <color theme="0"/>
      </font>
    </dxf>
    <dxf>
      <font>
        <color theme="4" tint="0.79998168889431442"/>
      </font>
    </dxf>
    <dxf>
      <font>
        <color theme="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strike val="0"/>
        <color rgb="FFFF0000"/>
      </font>
    </dxf>
    <dxf>
      <font>
        <color rgb="FFC00000"/>
      </font>
    </dxf>
    <dxf>
      <fill>
        <patternFill patternType="solid">
          <bgColor theme="0"/>
        </patternFill>
      </fill>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ont>
        <b/>
        <i val="0"/>
        <strike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ont>
        <b/>
        <i val="0"/>
        <condense val="0"/>
        <extend val="0"/>
        <color indexed="10"/>
      </font>
    </dxf>
    <dxf>
      <font>
        <b/>
        <i val="0"/>
        <color rgb="FF008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C00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border>
        <left style="thin">
          <color auto="1"/>
        </left>
        <right style="thin">
          <color auto="1"/>
        </right>
        <top style="thin">
          <color auto="1"/>
        </top>
        <bottom style="thin">
          <color auto="1"/>
        </bottom>
        <vertical/>
        <horizontal/>
      </border>
    </dxf>
    <dxf>
      <fill>
        <patternFill>
          <bgColor theme="0"/>
        </patternFill>
      </fill>
    </dxf>
    <dxf>
      <fill>
        <patternFill patternType="none">
          <bgColor auto="1"/>
        </patternFill>
      </fill>
    </dxf>
    <dxf>
      <fill>
        <patternFill patternType="none">
          <bgColor auto="1"/>
        </patternFill>
      </fill>
    </dxf>
    <dxf>
      <font>
        <b/>
        <i val="0"/>
        <color rgb="FFFF0000"/>
      </font>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bgColor theme="0"/>
        </patternFill>
      </fill>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color rgb="FFC00000"/>
      </font>
    </dxf>
    <dxf>
      <font>
        <color rgb="FFC00000"/>
      </font>
    </dxf>
    <dxf>
      <font>
        <color rgb="FFC00000"/>
      </font>
    </dxf>
    <dxf>
      <font>
        <color rgb="FFC00000"/>
      </font>
    </dxf>
    <dxf>
      <font>
        <color rgb="FFC00000"/>
      </font>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C0000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B9FFF2"/>
      <color rgb="FFDDFFF9"/>
      <color rgb="FFABFFEF"/>
      <color rgb="FF5BFFE0"/>
      <color rgb="FF00FFCC"/>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5.jpe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5.jpeg"/><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 Id="rId4"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emf"/></Relationships>
</file>

<file path=xl/drawings/_rels/drawing2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jpeg"/><Relationship Id="rId1" Type="http://schemas.openxmlformats.org/officeDocument/2006/relationships/image" Target="../media/image2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220774</xdr:colOff>
      <xdr:row>10</xdr:row>
      <xdr:rowOff>146536</xdr:rowOff>
    </xdr:from>
    <xdr:to>
      <xdr:col>13</xdr:col>
      <xdr:colOff>65942</xdr:colOff>
      <xdr:row>39</xdr:row>
      <xdr:rowOff>24346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418601" y="1773113"/>
          <a:ext cx="6915649" cy="4552387"/>
        </a:xfrm>
        <a:prstGeom prst="rect">
          <a:avLst/>
        </a:prstGeom>
      </xdr:spPr>
    </xdr:pic>
    <xdr:clientData/>
  </xdr:twoCellAnchor>
  <xdr:twoCellAnchor editAs="oneCell">
    <xdr:from>
      <xdr:col>1</xdr:col>
      <xdr:colOff>7326</xdr:colOff>
      <xdr:row>40</xdr:row>
      <xdr:rowOff>183173</xdr:rowOff>
    </xdr:from>
    <xdr:to>
      <xdr:col>14</xdr:col>
      <xdr:colOff>19491</xdr:colOff>
      <xdr:row>67</xdr:row>
      <xdr:rowOff>80596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205153" y="6975231"/>
          <a:ext cx="7690780" cy="4366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A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684557</xdr:colOff>
      <xdr:row>40</xdr:row>
      <xdr:rowOff>47626</xdr:rowOff>
    </xdr:from>
    <xdr:to>
      <xdr:col>39</xdr:col>
      <xdr:colOff>875057</xdr:colOff>
      <xdr:row>40</xdr:row>
      <xdr:rowOff>161926</xdr:rowOff>
    </xdr:to>
    <xdr:sp macro="" textlink="">
      <xdr:nvSpPr>
        <xdr:cNvPr id="26" name="AutoShape 344">
          <a:extLst>
            <a:ext uri="{FF2B5EF4-FFF2-40B4-BE49-F238E27FC236}">
              <a16:creationId xmlns:a16="http://schemas.microsoft.com/office/drawing/2014/main" id="{00000000-0008-0000-0B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40</xdr:col>
      <xdr:colOff>684557</xdr:colOff>
      <xdr:row>51</xdr:row>
      <xdr:rowOff>47626</xdr:rowOff>
    </xdr:from>
    <xdr:to>
      <xdr:col>40</xdr:col>
      <xdr:colOff>875057</xdr:colOff>
      <xdr:row>51</xdr:row>
      <xdr:rowOff>161926</xdr:rowOff>
    </xdr:to>
    <xdr:sp macro="" textlink="">
      <xdr:nvSpPr>
        <xdr:cNvPr id="3" name="AutoShape 344">
          <a:extLst>
            <a:ext uri="{FF2B5EF4-FFF2-40B4-BE49-F238E27FC236}">
              <a16:creationId xmlns:a16="http://schemas.microsoft.com/office/drawing/2014/main" id="{00000000-0008-0000-0B00-000003000000}"/>
            </a:ext>
          </a:extLst>
        </xdr:cNvPr>
        <xdr:cNvSpPr>
          <a:spLocks noChangeArrowheads="1"/>
        </xdr:cNvSpPr>
      </xdr:nvSpPr>
      <xdr:spPr bwMode="auto">
        <a:xfrm rot="10800000">
          <a:off x="12695582" y="7686676"/>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41</xdr:col>
      <xdr:colOff>732182</xdr:colOff>
      <xdr:row>53</xdr:row>
      <xdr:rowOff>28576</xdr:rowOff>
    </xdr:from>
    <xdr:to>
      <xdr:col>41</xdr:col>
      <xdr:colOff>922682</xdr:colOff>
      <xdr:row>53</xdr:row>
      <xdr:rowOff>142876</xdr:rowOff>
    </xdr:to>
    <xdr:sp macro="" textlink="">
      <xdr:nvSpPr>
        <xdr:cNvPr id="4" name="AutoShape 344">
          <a:extLst>
            <a:ext uri="{FF2B5EF4-FFF2-40B4-BE49-F238E27FC236}">
              <a16:creationId xmlns:a16="http://schemas.microsoft.com/office/drawing/2014/main" id="{00000000-0008-0000-0B00-000004000000}"/>
            </a:ext>
          </a:extLst>
        </xdr:cNvPr>
        <xdr:cNvSpPr>
          <a:spLocks noChangeArrowheads="1"/>
        </xdr:cNvSpPr>
      </xdr:nvSpPr>
      <xdr:spPr bwMode="auto">
        <a:xfrm rot="10800000">
          <a:off x="13933832" y="904875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C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D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E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E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E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E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54429</xdr:colOff>
      <xdr:row>17</xdr:row>
      <xdr:rowOff>180975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F00-00002EB20100}"/>
            </a:ext>
          </a:extLst>
        </xdr:cNvPr>
        <xdr:cNvSpPr>
          <a:spLocks/>
        </xdr:cNvSpPr>
      </xdr:nvSpPr>
      <xdr:spPr bwMode="auto">
        <a:xfrm>
          <a:off x="5646965" y="3494314"/>
          <a:ext cx="145596" cy="1164772"/>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87</xdr:row>
      <xdr:rowOff>57150</xdr:rowOff>
    </xdr:from>
    <xdr:to>
      <xdr:col>4</xdr:col>
      <xdr:colOff>238124</xdr:colOff>
      <xdr:row>91</xdr:row>
      <xdr:rowOff>38100</xdr:rowOff>
    </xdr:to>
    <xdr:pic>
      <xdr:nvPicPr>
        <xdr:cNvPr id="111151" name="Picture 105" descr="caution">
          <a:extLst>
            <a:ext uri="{FF2B5EF4-FFF2-40B4-BE49-F238E27FC236}">
              <a16:creationId xmlns:a16="http://schemas.microsoft.com/office/drawing/2014/main" id="{00000000-0008-0000-0F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78</xdr:row>
      <xdr:rowOff>38100</xdr:rowOff>
    </xdr:to>
    <xdr:sp macro="" textlink="">
      <xdr:nvSpPr>
        <xdr:cNvPr id="111152" name="AutoShape 517">
          <a:extLst>
            <a:ext uri="{FF2B5EF4-FFF2-40B4-BE49-F238E27FC236}">
              <a16:creationId xmlns:a16="http://schemas.microsoft.com/office/drawing/2014/main" id="{00000000-0008-0000-0F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142875</xdr:colOff>
      <xdr:row>38</xdr:row>
      <xdr:rowOff>10886</xdr:rowOff>
    </xdr:from>
    <xdr:to>
      <xdr:col>9</xdr:col>
      <xdr:colOff>307521</xdr:colOff>
      <xdr:row>50</xdr:row>
      <xdr:rowOff>74839</xdr:rowOff>
    </xdr:to>
    <xdr:sp macro="" textlink="">
      <xdr:nvSpPr>
        <xdr:cNvPr id="111155" name="AutoShape 645">
          <a:extLst>
            <a:ext uri="{FF2B5EF4-FFF2-40B4-BE49-F238E27FC236}">
              <a16:creationId xmlns:a16="http://schemas.microsoft.com/office/drawing/2014/main" id="{00000000-0008-0000-0F00-000033B20100}"/>
            </a:ext>
          </a:extLst>
        </xdr:cNvPr>
        <xdr:cNvSpPr>
          <a:spLocks/>
        </xdr:cNvSpPr>
      </xdr:nvSpPr>
      <xdr:spPr bwMode="auto">
        <a:xfrm>
          <a:off x="5735411" y="6617154"/>
          <a:ext cx="164646" cy="1860096"/>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F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96</xdr:row>
      <xdr:rowOff>19050</xdr:rowOff>
    </xdr:from>
    <xdr:to>
      <xdr:col>23</xdr:col>
      <xdr:colOff>600075</xdr:colOff>
      <xdr:row>96</xdr:row>
      <xdr:rowOff>133350</xdr:rowOff>
    </xdr:to>
    <xdr:sp macro="" textlink="">
      <xdr:nvSpPr>
        <xdr:cNvPr id="10" name="AutoShape 344">
          <a:extLst>
            <a:ext uri="{FF2B5EF4-FFF2-40B4-BE49-F238E27FC236}">
              <a16:creationId xmlns:a16="http://schemas.microsoft.com/office/drawing/2014/main" id="{00000000-0008-0000-0F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F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F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F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10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1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67</xdr:row>
      <xdr:rowOff>81643</xdr:rowOff>
    </xdr:from>
    <xdr:to>
      <xdr:col>35</xdr:col>
      <xdr:colOff>840499</xdr:colOff>
      <xdr:row>67</xdr:row>
      <xdr:rowOff>188829</xdr:rowOff>
    </xdr:to>
    <xdr:sp macro="" textlink="">
      <xdr:nvSpPr>
        <xdr:cNvPr id="7" name="AutoShape 344">
          <a:extLst>
            <a:ext uri="{FF2B5EF4-FFF2-40B4-BE49-F238E27FC236}">
              <a16:creationId xmlns:a16="http://schemas.microsoft.com/office/drawing/2014/main" id="{00000000-0008-0000-11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41</xdr:row>
      <xdr:rowOff>81643</xdr:rowOff>
    </xdr:from>
    <xdr:to>
      <xdr:col>35</xdr:col>
      <xdr:colOff>840499</xdr:colOff>
      <xdr:row>41</xdr:row>
      <xdr:rowOff>188829</xdr:rowOff>
    </xdr:to>
    <xdr:sp macro="" textlink="">
      <xdr:nvSpPr>
        <xdr:cNvPr id="9" name="AutoShape 344">
          <a:extLst>
            <a:ext uri="{FF2B5EF4-FFF2-40B4-BE49-F238E27FC236}">
              <a16:creationId xmlns:a16="http://schemas.microsoft.com/office/drawing/2014/main" id="{00000000-0008-0000-11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2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4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714703</xdr:colOff>
      <xdr:row>63</xdr:row>
      <xdr:rowOff>19050</xdr:rowOff>
    </xdr:from>
    <xdr:to>
      <xdr:col>3</xdr:col>
      <xdr:colOff>1169276</xdr:colOff>
      <xdr:row>65</xdr:row>
      <xdr:rowOff>105103</xdr:rowOff>
    </xdr:to>
    <xdr:sp macro="" textlink="">
      <xdr:nvSpPr>
        <xdr:cNvPr id="108737" name="AutoShape 87">
          <a:extLst>
            <a:ext uri="{FF2B5EF4-FFF2-40B4-BE49-F238E27FC236}">
              <a16:creationId xmlns:a16="http://schemas.microsoft.com/office/drawing/2014/main" id="{00000000-0008-0000-1400-0000C1A80100}"/>
            </a:ext>
          </a:extLst>
        </xdr:cNvPr>
        <xdr:cNvSpPr>
          <a:spLocks noChangeArrowheads="1"/>
        </xdr:cNvSpPr>
      </xdr:nvSpPr>
      <xdr:spPr bwMode="auto">
        <a:xfrm>
          <a:off x="1319048" y="11022067"/>
          <a:ext cx="454573" cy="355381"/>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77665</xdr:colOff>
      <xdr:row>51</xdr:row>
      <xdr:rowOff>30774</xdr:rowOff>
    </xdr:from>
    <xdr:to>
      <xdr:col>4</xdr:col>
      <xdr:colOff>41763</xdr:colOff>
      <xdr:row>54</xdr:row>
      <xdr:rowOff>59349</xdr:rowOff>
    </xdr:to>
    <xdr:pic>
      <xdr:nvPicPr>
        <xdr:cNvPr id="110033" name="Picture 98">
          <a:extLst>
            <a:ext uri="{FF2B5EF4-FFF2-40B4-BE49-F238E27FC236}">
              <a16:creationId xmlns:a16="http://schemas.microsoft.com/office/drawing/2014/main" id="{00000000-0008-0000-15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857" y="8691197"/>
          <a:ext cx="462329" cy="44621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5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5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123772</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6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6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6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6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21</xdr:row>
      <xdr:rowOff>47625</xdr:rowOff>
    </xdr:from>
    <xdr:to>
      <xdr:col>14</xdr:col>
      <xdr:colOff>57150</xdr:colOff>
      <xdr:row>22</xdr:row>
      <xdr:rowOff>114300</xdr:rowOff>
    </xdr:to>
    <xdr:pic>
      <xdr:nvPicPr>
        <xdr:cNvPr id="2" name="Picture 20">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40</xdr:row>
      <xdr:rowOff>47625</xdr:rowOff>
    </xdr:from>
    <xdr:to>
      <xdr:col>8</xdr:col>
      <xdr:colOff>95250</xdr:colOff>
      <xdr:row>43</xdr:row>
      <xdr:rowOff>0</xdr:rowOff>
    </xdr:to>
    <xdr:sp macro="" textlink="">
      <xdr:nvSpPr>
        <xdr:cNvPr id="3" name="AutoShape 21">
          <a:extLst>
            <a:ext uri="{FF2B5EF4-FFF2-40B4-BE49-F238E27FC236}">
              <a16:creationId xmlns:a16="http://schemas.microsoft.com/office/drawing/2014/main" id="{00000000-0008-0000-1700-000003000000}"/>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32</xdr:row>
      <xdr:rowOff>66675</xdr:rowOff>
    </xdr:from>
    <xdr:to>
      <xdr:col>8</xdr:col>
      <xdr:colOff>0</xdr:colOff>
      <xdr:row>36</xdr:row>
      <xdr:rowOff>104775</xdr:rowOff>
    </xdr:to>
    <xdr:sp macro="" textlink="">
      <xdr:nvSpPr>
        <xdr:cNvPr id="4" name="AutoShape 43">
          <a:extLst>
            <a:ext uri="{FF2B5EF4-FFF2-40B4-BE49-F238E27FC236}">
              <a16:creationId xmlns:a16="http://schemas.microsoft.com/office/drawing/2014/main" id="{00000000-0008-0000-1700-000004000000}"/>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51</xdr:row>
      <xdr:rowOff>12212</xdr:rowOff>
    </xdr:from>
    <xdr:to>
      <xdr:col>8</xdr:col>
      <xdr:colOff>76200</xdr:colOff>
      <xdr:row>54</xdr:row>
      <xdr:rowOff>46404</xdr:rowOff>
    </xdr:to>
    <xdr:sp macro="" textlink="">
      <xdr:nvSpPr>
        <xdr:cNvPr id="5" name="AutoShape 21">
          <a:extLst>
            <a:ext uri="{FF2B5EF4-FFF2-40B4-BE49-F238E27FC236}">
              <a16:creationId xmlns:a16="http://schemas.microsoft.com/office/drawing/2014/main" id="{00000000-0008-0000-1700-000005000000}"/>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359659</xdr:colOff>
      <xdr:row>75</xdr:row>
      <xdr:rowOff>138733</xdr:rowOff>
    </xdr:from>
    <xdr:to>
      <xdr:col>13</xdr:col>
      <xdr:colOff>765312</xdr:colOff>
      <xdr:row>75</xdr:row>
      <xdr:rowOff>517389</xdr:rowOff>
    </xdr:to>
    <xdr:pic>
      <xdr:nvPicPr>
        <xdr:cNvPr id="6" name="Picture 10" descr="E:\My Documents\Excel\03_1040\Pencil - Black.jpg">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26550" y="13614537"/>
          <a:ext cx="405653" cy="378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76</xdr:row>
      <xdr:rowOff>95251</xdr:rowOff>
    </xdr:from>
    <xdr:to>
      <xdr:col>4</xdr:col>
      <xdr:colOff>19050</xdr:colOff>
      <xdr:row>77</xdr:row>
      <xdr:rowOff>88167</xdr:rowOff>
    </xdr:to>
    <xdr:pic>
      <xdr:nvPicPr>
        <xdr:cNvPr id="7" name="Picture 113" descr="E:\My Documents\Excel\04_1040\IRS Forms\CAUTION_Black.jpg">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387</xdr:row>
      <xdr:rowOff>0</xdr:rowOff>
    </xdr:from>
    <xdr:to>
      <xdr:col>16</xdr:col>
      <xdr:colOff>140969</xdr:colOff>
      <xdr:row>389</xdr:row>
      <xdr:rowOff>9526</xdr:rowOff>
    </xdr:to>
    <xdr:sp macro="" textlink="">
      <xdr:nvSpPr>
        <xdr:cNvPr id="3" name="AutoShape 2">
          <a:extLst>
            <a:ext uri="{FF2B5EF4-FFF2-40B4-BE49-F238E27FC236}">
              <a16:creationId xmlns:a16="http://schemas.microsoft.com/office/drawing/2014/main" id="{00000000-0008-0000-18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0</xdr:col>
      <xdr:colOff>707927</xdr:colOff>
      <xdr:row>249</xdr:row>
      <xdr:rowOff>53578</xdr:rowOff>
    </xdr:from>
    <xdr:to>
      <xdr:col>2</xdr:col>
      <xdr:colOff>188913</xdr:colOff>
      <xdr:row>252</xdr:row>
      <xdr:rowOff>67864</xdr:rowOff>
    </xdr:to>
    <xdr:pic>
      <xdr:nvPicPr>
        <xdr:cNvPr id="4" name="Picture 113" descr="E:\My Documents\Excel\04_1040\IRS Forms\CAUTION_Black.jpg">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7927" y="40582453"/>
          <a:ext cx="439439" cy="4964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78828</xdr:colOff>
      <xdr:row>486</xdr:row>
      <xdr:rowOff>158888</xdr:rowOff>
    </xdr:from>
    <xdr:to>
      <xdr:col>3</xdr:col>
      <xdr:colOff>503238</xdr:colOff>
      <xdr:row>489</xdr:row>
      <xdr:rowOff>146048</xdr:rowOff>
    </xdr:to>
    <xdr:pic>
      <xdr:nvPicPr>
        <xdr:cNvPr id="5" name="Picture 113" descr="E:\My Documents\Excel\04_1040\IRS Forms\CAUTION_Black.jpg">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0656" y="79124422"/>
          <a:ext cx="424410" cy="486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345</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351</xdr:row>
      <xdr:rowOff>0</xdr:rowOff>
    </xdr:from>
    <xdr:to>
      <xdr:col>19</xdr:col>
      <xdr:colOff>0</xdr:colOff>
      <xdr:row>353</xdr:row>
      <xdr:rowOff>23131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361</xdr:row>
      <xdr:rowOff>0</xdr:rowOff>
    </xdr:from>
    <xdr:ext cx="466725" cy="476251"/>
    <xdr:pic>
      <xdr:nvPicPr>
        <xdr:cNvPr id="10" name="Picture 9">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377</xdr:row>
      <xdr:rowOff>0</xdr:rowOff>
    </xdr:from>
    <xdr:ext cx="466725" cy="476251"/>
    <xdr:pic>
      <xdr:nvPicPr>
        <xdr:cNvPr id="11" name="Picture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xdr:from>
      <xdr:col>16</xdr:col>
      <xdr:colOff>104774</xdr:colOff>
      <xdr:row>384</xdr:row>
      <xdr:rowOff>0</xdr:rowOff>
    </xdr:from>
    <xdr:to>
      <xdr:col>16</xdr:col>
      <xdr:colOff>152399</xdr:colOff>
      <xdr:row>385</xdr:row>
      <xdr:rowOff>142875</xdr:rowOff>
    </xdr:to>
    <xdr:sp macro="" textlink="">
      <xdr:nvSpPr>
        <xdr:cNvPr id="14" name="AutoShape 2">
          <a:extLst>
            <a:ext uri="{FF2B5EF4-FFF2-40B4-BE49-F238E27FC236}">
              <a16:creationId xmlns:a16="http://schemas.microsoft.com/office/drawing/2014/main" id="{00000000-0008-0000-1800-00000E000000}"/>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10</xdr:col>
      <xdr:colOff>54429</xdr:colOff>
      <xdr:row>339</xdr:row>
      <xdr:rowOff>34019</xdr:rowOff>
    </xdr:from>
    <xdr:to>
      <xdr:col>13</xdr:col>
      <xdr:colOff>23288</xdr:colOff>
      <xdr:row>346</xdr:row>
      <xdr:rowOff>54428</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3"/>
        <a:stretch>
          <a:fillRect/>
        </a:stretch>
      </xdr:blipFill>
      <xdr:spPr>
        <a:xfrm>
          <a:off x="4918983" y="53503287"/>
          <a:ext cx="2064359" cy="1279070"/>
        </a:xfrm>
        <a:prstGeom prst="rect">
          <a:avLst/>
        </a:prstGeom>
      </xdr:spPr>
    </xdr:pic>
    <xdr:clientData/>
  </xdr:twoCellAnchor>
  <xdr:twoCellAnchor editAs="oneCell">
    <xdr:from>
      <xdr:col>11</xdr:col>
      <xdr:colOff>721180</xdr:colOff>
      <xdr:row>480</xdr:row>
      <xdr:rowOff>95249</xdr:rowOff>
    </xdr:from>
    <xdr:to>
      <xdr:col>15</xdr:col>
      <xdr:colOff>23289</xdr:colOff>
      <xdr:row>488</xdr:row>
      <xdr:rowOff>68033</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3"/>
        <a:stretch>
          <a:fillRect/>
        </a:stretch>
      </xdr:blipFill>
      <xdr:spPr>
        <a:xfrm>
          <a:off x="6272894" y="76159178"/>
          <a:ext cx="2064359" cy="1279070"/>
        </a:xfrm>
        <a:prstGeom prst="rect">
          <a:avLst/>
        </a:prstGeom>
      </xdr:spPr>
    </xdr:pic>
    <xdr:clientData/>
  </xdr:twoCellAnchor>
  <xdr:twoCellAnchor editAs="oneCell">
    <xdr:from>
      <xdr:col>4</xdr:col>
      <xdr:colOff>291705</xdr:colOff>
      <xdr:row>134</xdr:row>
      <xdr:rowOff>77392</xdr:rowOff>
    </xdr:from>
    <xdr:to>
      <xdr:col>4</xdr:col>
      <xdr:colOff>431129</xdr:colOff>
      <xdr:row>135</xdr:row>
      <xdr:rowOff>107157</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stretch>
          <a:fillRect/>
        </a:stretch>
      </xdr:blipFill>
      <xdr:spPr>
        <a:xfrm>
          <a:off x="2113361" y="22002751"/>
          <a:ext cx="139424" cy="190500"/>
        </a:xfrm>
        <a:prstGeom prst="rect">
          <a:avLst/>
        </a:prstGeom>
      </xdr:spPr>
    </xdr:pic>
    <xdr:clientData/>
  </xdr:twoCellAnchor>
  <xdr:twoCellAnchor editAs="oneCell">
    <xdr:from>
      <xdr:col>4</xdr:col>
      <xdr:colOff>291704</xdr:colOff>
      <xdr:row>115</xdr:row>
      <xdr:rowOff>89297</xdr:rowOff>
    </xdr:from>
    <xdr:to>
      <xdr:col>4</xdr:col>
      <xdr:colOff>431128</xdr:colOff>
      <xdr:row>116</xdr:row>
      <xdr:rowOff>119062</xdr:rowOff>
    </xdr:to>
    <xdr:pic>
      <xdr:nvPicPr>
        <xdr:cNvPr id="12" name="Picture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4"/>
        <a:stretch>
          <a:fillRect/>
        </a:stretch>
      </xdr:blipFill>
      <xdr:spPr>
        <a:xfrm>
          <a:off x="2113360" y="18960703"/>
          <a:ext cx="139424" cy="190500"/>
        </a:xfrm>
        <a:prstGeom prst="rect">
          <a:avLst/>
        </a:prstGeom>
      </xdr:spPr>
    </xdr:pic>
    <xdr:clientData/>
  </xdr:twoCellAnchor>
  <xdr:twoCellAnchor editAs="oneCell">
    <xdr:from>
      <xdr:col>10</xdr:col>
      <xdr:colOff>410765</xdr:colOff>
      <xdr:row>120</xdr:row>
      <xdr:rowOff>83344</xdr:rowOff>
    </xdr:from>
    <xdr:to>
      <xdr:col>10</xdr:col>
      <xdr:colOff>550189</xdr:colOff>
      <xdr:row>121</xdr:row>
      <xdr:rowOff>113109</xdr:rowOff>
    </xdr:to>
    <xdr:pic>
      <xdr:nvPicPr>
        <xdr:cNvPr id="13" name="Picture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4"/>
        <a:stretch>
          <a:fillRect/>
        </a:stretch>
      </xdr:blipFill>
      <xdr:spPr>
        <a:xfrm>
          <a:off x="5244703" y="19758422"/>
          <a:ext cx="139424" cy="190500"/>
        </a:xfrm>
        <a:prstGeom prst="rect">
          <a:avLst/>
        </a:prstGeom>
      </xdr:spPr>
    </xdr:pic>
    <xdr:clientData/>
  </xdr:twoCellAnchor>
  <xdr:twoCellAnchor editAs="oneCell">
    <xdr:from>
      <xdr:col>4</xdr:col>
      <xdr:colOff>297657</xdr:colOff>
      <xdr:row>127</xdr:row>
      <xdr:rowOff>89297</xdr:rowOff>
    </xdr:from>
    <xdr:to>
      <xdr:col>4</xdr:col>
      <xdr:colOff>437081</xdr:colOff>
      <xdr:row>128</xdr:row>
      <xdr:rowOff>119063</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4"/>
        <a:stretch>
          <a:fillRect/>
        </a:stretch>
      </xdr:blipFill>
      <xdr:spPr>
        <a:xfrm>
          <a:off x="2119313" y="20889516"/>
          <a:ext cx="139424" cy="190500"/>
        </a:xfrm>
        <a:prstGeom prst="rect">
          <a:avLst/>
        </a:prstGeom>
      </xdr:spPr>
    </xdr:pic>
    <xdr:clientData/>
  </xdr:twoCellAnchor>
  <xdr:twoCellAnchor editAs="oneCell">
    <xdr:from>
      <xdr:col>4</xdr:col>
      <xdr:colOff>291704</xdr:colOff>
      <xdr:row>142</xdr:row>
      <xdr:rowOff>83345</xdr:rowOff>
    </xdr:from>
    <xdr:to>
      <xdr:col>4</xdr:col>
      <xdr:colOff>431128</xdr:colOff>
      <xdr:row>143</xdr:row>
      <xdr:rowOff>113110</xdr:rowOff>
    </xdr:to>
    <xdr:pic>
      <xdr:nvPicPr>
        <xdr:cNvPr id="16" name="Picture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4"/>
        <a:stretch>
          <a:fillRect/>
        </a:stretch>
      </xdr:blipFill>
      <xdr:spPr>
        <a:xfrm>
          <a:off x="2113360" y="23294579"/>
          <a:ext cx="139424" cy="190500"/>
        </a:xfrm>
        <a:prstGeom prst="rect">
          <a:avLst/>
        </a:prstGeom>
      </xdr:spPr>
    </xdr:pic>
    <xdr:clientData/>
  </xdr:twoCellAnchor>
  <xdr:twoCellAnchor editAs="oneCell">
    <xdr:from>
      <xdr:col>10</xdr:col>
      <xdr:colOff>357188</xdr:colOff>
      <xdr:row>162</xdr:row>
      <xdr:rowOff>89297</xdr:rowOff>
    </xdr:from>
    <xdr:to>
      <xdr:col>10</xdr:col>
      <xdr:colOff>496612</xdr:colOff>
      <xdr:row>163</xdr:row>
      <xdr:rowOff>119063</xdr:rowOff>
    </xdr:to>
    <xdr:pic>
      <xdr:nvPicPr>
        <xdr:cNvPr id="17" name="Picture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4"/>
        <a:stretch>
          <a:fillRect/>
        </a:stretch>
      </xdr:blipFill>
      <xdr:spPr>
        <a:xfrm>
          <a:off x="5191126" y="26425922"/>
          <a:ext cx="139424" cy="190500"/>
        </a:xfrm>
        <a:prstGeom prst="rect">
          <a:avLst/>
        </a:prstGeom>
      </xdr:spPr>
    </xdr:pic>
    <xdr:clientData/>
  </xdr:twoCellAnchor>
  <xdr:twoCellAnchor editAs="oneCell">
    <xdr:from>
      <xdr:col>4</xdr:col>
      <xdr:colOff>321469</xdr:colOff>
      <xdr:row>175</xdr:row>
      <xdr:rowOff>77390</xdr:rowOff>
    </xdr:from>
    <xdr:to>
      <xdr:col>4</xdr:col>
      <xdr:colOff>460893</xdr:colOff>
      <xdr:row>176</xdr:row>
      <xdr:rowOff>107156</xdr:rowOff>
    </xdr:to>
    <xdr:pic>
      <xdr:nvPicPr>
        <xdr:cNvPr id="18" name="Picture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4"/>
        <a:stretch>
          <a:fillRect/>
        </a:stretch>
      </xdr:blipFill>
      <xdr:spPr>
        <a:xfrm>
          <a:off x="2143125" y="28348781"/>
          <a:ext cx="139424" cy="190500"/>
        </a:xfrm>
        <a:prstGeom prst="rect">
          <a:avLst/>
        </a:prstGeom>
      </xdr:spPr>
    </xdr:pic>
    <xdr:clientData/>
  </xdr:twoCellAnchor>
  <xdr:twoCellAnchor editAs="oneCell">
    <xdr:from>
      <xdr:col>4</xdr:col>
      <xdr:colOff>297656</xdr:colOff>
      <xdr:row>184</xdr:row>
      <xdr:rowOff>83344</xdr:rowOff>
    </xdr:from>
    <xdr:to>
      <xdr:col>4</xdr:col>
      <xdr:colOff>437080</xdr:colOff>
      <xdr:row>185</xdr:row>
      <xdr:rowOff>113110</xdr:rowOff>
    </xdr:to>
    <xdr:pic>
      <xdr:nvPicPr>
        <xdr:cNvPr id="19" name="Picture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4"/>
        <a:stretch>
          <a:fillRect/>
        </a:stretch>
      </xdr:blipFill>
      <xdr:spPr>
        <a:xfrm>
          <a:off x="2119312" y="29801344"/>
          <a:ext cx="139424" cy="190500"/>
        </a:xfrm>
        <a:prstGeom prst="rect">
          <a:avLst/>
        </a:prstGeom>
      </xdr:spPr>
    </xdr:pic>
    <xdr:clientData/>
  </xdr:twoCellAnchor>
  <xdr:twoCellAnchor editAs="oneCell">
    <xdr:from>
      <xdr:col>10</xdr:col>
      <xdr:colOff>470296</xdr:colOff>
      <xdr:row>191</xdr:row>
      <xdr:rowOff>77390</xdr:rowOff>
    </xdr:from>
    <xdr:to>
      <xdr:col>10</xdr:col>
      <xdr:colOff>609720</xdr:colOff>
      <xdr:row>192</xdr:row>
      <xdr:rowOff>107156</xdr:rowOff>
    </xdr:to>
    <xdr:pic>
      <xdr:nvPicPr>
        <xdr:cNvPr id="20" name="Picture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4"/>
        <a:stretch>
          <a:fillRect/>
        </a:stretch>
      </xdr:blipFill>
      <xdr:spPr>
        <a:xfrm>
          <a:off x="5304234" y="30920531"/>
          <a:ext cx="139424" cy="190500"/>
        </a:xfrm>
        <a:prstGeom prst="rect">
          <a:avLst/>
        </a:prstGeom>
      </xdr:spPr>
    </xdr:pic>
    <xdr:clientData/>
  </xdr:twoCellAnchor>
  <xdr:twoCellAnchor editAs="oneCell">
    <xdr:from>
      <xdr:col>10</xdr:col>
      <xdr:colOff>428625</xdr:colOff>
      <xdr:row>201</xdr:row>
      <xdr:rowOff>83344</xdr:rowOff>
    </xdr:from>
    <xdr:to>
      <xdr:col>10</xdr:col>
      <xdr:colOff>568049</xdr:colOff>
      <xdr:row>202</xdr:row>
      <xdr:rowOff>113109</xdr:rowOff>
    </xdr:to>
    <xdr:pic>
      <xdr:nvPicPr>
        <xdr:cNvPr id="21" name="Picture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4"/>
        <a:stretch>
          <a:fillRect/>
        </a:stretch>
      </xdr:blipFill>
      <xdr:spPr>
        <a:xfrm>
          <a:off x="5262563" y="32533828"/>
          <a:ext cx="139424" cy="190500"/>
        </a:xfrm>
        <a:prstGeom prst="rect">
          <a:avLst/>
        </a:prstGeom>
      </xdr:spPr>
    </xdr:pic>
    <xdr:clientData/>
  </xdr:twoCellAnchor>
  <xdr:twoCellAnchor editAs="oneCell">
    <xdr:from>
      <xdr:col>10</xdr:col>
      <xdr:colOff>440531</xdr:colOff>
      <xdr:row>211</xdr:row>
      <xdr:rowOff>89297</xdr:rowOff>
    </xdr:from>
    <xdr:to>
      <xdr:col>10</xdr:col>
      <xdr:colOff>579955</xdr:colOff>
      <xdr:row>212</xdr:row>
      <xdr:rowOff>119062</xdr:rowOff>
    </xdr:to>
    <xdr:pic>
      <xdr:nvPicPr>
        <xdr:cNvPr id="22" name="Picture 21">
          <a:extLst>
            <a:ext uri="{FF2B5EF4-FFF2-40B4-BE49-F238E27FC236}">
              <a16:creationId xmlns:a16="http://schemas.microsoft.com/office/drawing/2014/main" id="{00000000-0008-0000-1800-000016000000}"/>
            </a:ext>
          </a:extLst>
        </xdr:cNvPr>
        <xdr:cNvPicPr>
          <a:picLocks noChangeAspect="1"/>
        </xdr:cNvPicPr>
      </xdr:nvPicPr>
      <xdr:blipFill>
        <a:blip xmlns:r="http://schemas.openxmlformats.org/officeDocument/2006/relationships" r:embed="rId4"/>
        <a:stretch>
          <a:fillRect/>
        </a:stretch>
      </xdr:blipFill>
      <xdr:spPr>
        <a:xfrm>
          <a:off x="5274469" y="34147125"/>
          <a:ext cx="139424" cy="190500"/>
        </a:xfrm>
        <a:prstGeom prst="rect">
          <a:avLst/>
        </a:prstGeom>
      </xdr:spPr>
    </xdr:pic>
    <xdr:clientData/>
  </xdr:twoCellAnchor>
  <xdr:twoCellAnchor editAs="oneCell">
    <xdr:from>
      <xdr:col>10</xdr:col>
      <xdr:colOff>381000</xdr:colOff>
      <xdr:row>261</xdr:row>
      <xdr:rowOff>77390</xdr:rowOff>
    </xdr:from>
    <xdr:to>
      <xdr:col>10</xdr:col>
      <xdr:colOff>520424</xdr:colOff>
      <xdr:row>262</xdr:row>
      <xdr:rowOff>107155</xdr:rowOff>
    </xdr:to>
    <xdr:pic>
      <xdr:nvPicPr>
        <xdr:cNvPr id="23" name="Picture 22">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4"/>
        <a:stretch>
          <a:fillRect/>
        </a:stretch>
      </xdr:blipFill>
      <xdr:spPr>
        <a:xfrm>
          <a:off x="5214938" y="42523171"/>
          <a:ext cx="139424" cy="190500"/>
        </a:xfrm>
        <a:prstGeom prst="rect">
          <a:avLst/>
        </a:prstGeom>
      </xdr:spPr>
    </xdr:pic>
    <xdr:clientData/>
  </xdr:twoCellAnchor>
  <xdr:twoCellAnchor editAs="oneCell">
    <xdr:from>
      <xdr:col>12</xdr:col>
      <xdr:colOff>119063</xdr:colOff>
      <xdr:row>290</xdr:row>
      <xdr:rowOff>154782</xdr:rowOff>
    </xdr:from>
    <xdr:to>
      <xdr:col>12</xdr:col>
      <xdr:colOff>589360</xdr:colOff>
      <xdr:row>293</xdr:row>
      <xdr:rowOff>64803</xdr:rowOff>
    </xdr:to>
    <xdr:pic>
      <xdr:nvPicPr>
        <xdr:cNvPr id="24" name="Picture 23">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2"/>
        <a:stretch>
          <a:fillRect/>
        </a:stretch>
      </xdr:blipFill>
      <xdr:spPr>
        <a:xfrm>
          <a:off x="6369844" y="47226141"/>
          <a:ext cx="470297" cy="48152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33</xdr:col>
      <xdr:colOff>371475</xdr:colOff>
      <xdr:row>49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xdr:from>
      <xdr:col>15</xdr:col>
      <xdr:colOff>227656</xdr:colOff>
      <xdr:row>57</xdr:row>
      <xdr:rowOff>31549</xdr:rowOff>
    </xdr:from>
    <xdr:to>
      <xdr:col>16</xdr:col>
      <xdr:colOff>2248</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484390" y="9705377"/>
          <a:ext cx="78202" cy="722710"/>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209798</xdr:colOff>
      <xdr:row>53</xdr:row>
      <xdr:rowOff>72259</xdr:rowOff>
    </xdr:from>
    <xdr:to>
      <xdr:col>15</xdr:col>
      <xdr:colOff>301868</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466532" y="9103150"/>
          <a:ext cx="92070" cy="58668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209796</xdr:colOff>
      <xdr:row>171</xdr:row>
      <xdr:rowOff>5379</xdr:rowOff>
    </xdr:from>
    <xdr:to>
      <xdr:col>15</xdr:col>
      <xdr:colOff>290060</xdr:colOff>
      <xdr:row>175</xdr:row>
      <xdr:rowOff>91104</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466530" y="30747317"/>
          <a:ext cx="80264" cy="72866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221087</xdr:colOff>
      <xdr:row>167</xdr:row>
      <xdr:rowOff>158270</xdr:rowOff>
    </xdr:from>
    <xdr:to>
      <xdr:col>15</xdr:col>
      <xdr:colOff>281646</xdr:colOff>
      <xdr:row>170</xdr:row>
      <xdr:rowOff>154782</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477821" y="30257270"/>
          <a:ext cx="60559" cy="478715"/>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251052</xdr:colOff>
      <xdr:row>85</xdr:row>
      <xdr:rowOff>104776</xdr:rowOff>
    </xdr:from>
    <xdr:to>
      <xdr:col>7</xdr:col>
      <xdr:colOff>300036</xdr:colOff>
      <xdr:row>87</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4025333" y="15237620"/>
          <a:ext cx="48984" cy="359568"/>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499241</xdr:colOff>
      <xdr:row>90</xdr:row>
      <xdr:rowOff>0</xdr:rowOff>
    </xdr:from>
    <xdr:to>
      <xdr:col>9</xdr:col>
      <xdr:colOff>586154</xdr:colOff>
      <xdr:row>93</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77951</xdr:colOff>
      <xdr:row>45</xdr:row>
      <xdr:rowOff>151087</xdr:rowOff>
    </xdr:from>
    <xdr:to>
      <xdr:col>14</xdr:col>
      <xdr:colOff>183930</xdr:colOff>
      <xdr:row>51</xdr:row>
      <xdr:rowOff>45984</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901589" y="8487104"/>
          <a:ext cx="105979" cy="906518"/>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108</xdr:row>
      <xdr:rowOff>161925</xdr:rowOff>
    </xdr:from>
    <xdr:to>
      <xdr:col>9</xdr:col>
      <xdr:colOff>619126</xdr:colOff>
      <xdr:row>112</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310243</xdr:colOff>
      <xdr:row>37</xdr:row>
      <xdr:rowOff>116232</xdr:rowOff>
    </xdr:from>
    <xdr:to>
      <xdr:col>11</xdr:col>
      <xdr:colOff>95802</xdr:colOff>
      <xdr:row>44</xdr:row>
      <xdr:rowOff>87085</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568043" y="7164732"/>
          <a:ext cx="117573" cy="111385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6</xdr:row>
      <xdr:rowOff>104773</xdr:rowOff>
    </xdr:from>
    <xdr:to>
      <xdr:col>17</xdr:col>
      <xdr:colOff>428625</xdr:colOff>
      <xdr:row>6</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97</xdr:row>
      <xdr:rowOff>85725</xdr:rowOff>
    </xdr:from>
    <xdr:to>
      <xdr:col>9</xdr:col>
      <xdr:colOff>619125</xdr:colOff>
      <xdr:row>100</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3</xdr:row>
      <xdr:rowOff>114300</xdr:rowOff>
    </xdr:from>
    <xdr:to>
      <xdr:col>17</xdr:col>
      <xdr:colOff>438152</xdr:colOff>
      <xdr:row>3</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95250</xdr:rowOff>
    </xdr:from>
    <xdr:to>
      <xdr:col>17</xdr:col>
      <xdr:colOff>438152</xdr:colOff>
      <xdr:row>5</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223600</xdr:colOff>
      <xdr:row>137</xdr:row>
      <xdr:rowOff>21889</xdr:rowOff>
    </xdr:from>
    <xdr:to>
      <xdr:col>9</xdr:col>
      <xdr:colOff>52150</xdr:colOff>
      <xdr:row>137</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92075</xdr:colOff>
      <xdr:row>98</xdr:row>
      <xdr:rowOff>73025</xdr:rowOff>
    </xdr:from>
    <xdr:to>
      <xdr:col>3</xdr:col>
      <xdr:colOff>101600</xdr:colOff>
      <xdr:row>101</xdr:row>
      <xdr:rowOff>139701</xdr:rowOff>
    </xdr:to>
    <xdr:pic>
      <xdr:nvPicPr>
        <xdr:cNvPr id="19" name="Picture 113" descr="E:\My Documents\Excel\04_1040\IRS Forms\CAUTION_Black.jpg">
          <a:extLst>
            <a:ext uri="{FF2B5EF4-FFF2-40B4-BE49-F238E27FC236}">
              <a16:creationId xmlns:a16="http://schemas.microsoft.com/office/drawing/2014/main" id="{00000000-0008-0000-20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127000</xdr:colOff>
      <xdr:row>23</xdr:row>
      <xdr:rowOff>3629</xdr:rowOff>
    </xdr:from>
    <xdr:to>
      <xdr:col>1</xdr:col>
      <xdr:colOff>279400</xdr:colOff>
      <xdr:row>24</xdr:row>
      <xdr:rowOff>44745</xdr:rowOff>
    </xdr:to>
    <xdr:pic>
      <xdr:nvPicPr>
        <xdr:cNvPr id="11" name="Picture 10">
          <a:extLst>
            <a:ext uri="{FF2B5EF4-FFF2-40B4-BE49-F238E27FC236}">
              <a16:creationId xmlns:a16="http://schemas.microsoft.com/office/drawing/2014/main" id="{00000000-0008-0000-2100-00000B000000}"/>
            </a:ext>
          </a:extLst>
        </xdr:cNvPr>
        <xdr:cNvPicPr>
          <a:picLocks noChangeAspect="1"/>
        </xdr:cNvPicPr>
      </xdr:nvPicPr>
      <xdr:blipFill>
        <a:blip xmlns:r="http://schemas.openxmlformats.org/officeDocument/2006/relationships" r:embed="rId1"/>
        <a:stretch>
          <a:fillRect/>
        </a:stretch>
      </xdr:blipFill>
      <xdr:spPr>
        <a:xfrm>
          <a:off x="127000" y="3458029"/>
          <a:ext cx="285750" cy="282416"/>
        </a:xfrm>
        <a:prstGeom prst="rect">
          <a:avLst/>
        </a:prstGeom>
      </xdr:spPr>
    </xdr:pic>
    <xdr:clientData/>
  </xdr:twoCellAnchor>
  <xdr:twoCellAnchor editAs="oneCell">
    <xdr:from>
      <xdr:col>1</xdr:col>
      <xdr:colOff>76200</xdr:colOff>
      <xdr:row>93</xdr:row>
      <xdr:rowOff>38354</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
        <a:stretch>
          <a:fillRect/>
        </a:stretch>
      </xdr:blipFill>
      <xdr:spPr>
        <a:xfrm>
          <a:off x="209550" y="13951204"/>
          <a:ext cx="254905" cy="251931"/>
        </a:xfrm>
        <a:prstGeom prst="rect">
          <a:avLst/>
        </a:prstGeom>
      </xdr:spPr>
    </xdr:pic>
    <xdr:clientData/>
  </xdr:twoCellAnchor>
  <xdr:twoCellAnchor>
    <xdr:from>
      <xdr:col>13</xdr:col>
      <xdr:colOff>37566</xdr:colOff>
      <xdr:row>77</xdr:row>
      <xdr:rowOff>3695</xdr:rowOff>
    </xdr:from>
    <xdr:to>
      <xdr:col>13</xdr:col>
      <xdr:colOff>113766</xdr:colOff>
      <xdr:row>80</xdr:row>
      <xdr:rowOff>7637</xdr:rowOff>
    </xdr:to>
    <xdr:sp macro="" textlink="">
      <xdr:nvSpPr>
        <xdr:cNvPr id="20" name="AutoShape 2">
          <a:extLst>
            <a:ext uri="{FF2B5EF4-FFF2-40B4-BE49-F238E27FC236}">
              <a16:creationId xmlns:a16="http://schemas.microsoft.com/office/drawing/2014/main" id="{00000000-0008-0000-2100-000014000000}"/>
            </a:ext>
          </a:extLst>
        </xdr:cNvPr>
        <xdr:cNvSpPr>
          <a:spLocks/>
        </xdr:cNvSpPr>
      </xdr:nvSpPr>
      <xdr:spPr bwMode="auto">
        <a:xfrm>
          <a:off x="3895191" y="11784929"/>
          <a:ext cx="76200" cy="468286"/>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1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twoCellAnchor>
    <xdr:from>
      <xdr:col>13</xdr:col>
      <xdr:colOff>35719</xdr:colOff>
      <xdr:row>88</xdr:row>
      <xdr:rowOff>31078</xdr:rowOff>
    </xdr:from>
    <xdr:to>
      <xdr:col>13</xdr:col>
      <xdr:colOff>117339</xdr:colOff>
      <xdr:row>93</xdr:row>
      <xdr:rowOff>29765</xdr:rowOff>
    </xdr:to>
    <xdr:sp macro="" textlink="">
      <xdr:nvSpPr>
        <xdr:cNvPr id="2" name="AutoShape 2">
          <a:extLst>
            <a:ext uri="{FF2B5EF4-FFF2-40B4-BE49-F238E27FC236}">
              <a16:creationId xmlns:a16="http://schemas.microsoft.com/office/drawing/2014/main" id="{00000000-0008-0000-2100-000002000000}"/>
            </a:ext>
          </a:extLst>
        </xdr:cNvPr>
        <xdr:cNvSpPr>
          <a:spLocks/>
        </xdr:cNvSpPr>
      </xdr:nvSpPr>
      <xdr:spPr bwMode="auto">
        <a:xfrm>
          <a:off x="3893344" y="13181531"/>
          <a:ext cx="81620" cy="772593"/>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59</xdr:col>
      <xdr:colOff>61548</xdr:colOff>
      <xdr:row>100</xdr:row>
      <xdr:rowOff>28576</xdr:rowOff>
    </xdr:from>
    <xdr:to>
      <xdr:col>59</xdr:col>
      <xdr:colOff>352348</xdr:colOff>
      <xdr:row>101</xdr:row>
      <xdr:rowOff>152400</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102</xdr:row>
      <xdr:rowOff>104775</xdr:rowOff>
    </xdr:from>
    <xdr:to>
      <xdr:col>49</xdr:col>
      <xdr:colOff>609437</xdr:colOff>
      <xdr:row>104</xdr:row>
      <xdr:rowOff>133350</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230</xdr:row>
      <xdr:rowOff>28576</xdr:rowOff>
    </xdr:from>
    <xdr:ext cx="290800" cy="295274"/>
    <xdr:pic>
      <xdr:nvPicPr>
        <xdr:cNvPr id="38" name="Picture 37">
          <a:extLst>
            <a:ext uri="{FF2B5EF4-FFF2-40B4-BE49-F238E27FC236}">
              <a16:creationId xmlns:a16="http://schemas.microsoft.com/office/drawing/2014/main" id="{00000000-0008-0000-23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44" name="Picture 43">
          <a:extLst>
            <a:ext uri="{FF2B5EF4-FFF2-40B4-BE49-F238E27FC236}">
              <a16:creationId xmlns:a16="http://schemas.microsoft.com/office/drawing/2014/main" id="{00000000-0008-0000-23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45" name="Picture 44">
          <a:extLst>
            <a:ext uri="{FF2B5EF4-FFF2-40B4-BE49-F238E27FC236}">
              <a16:creationId xmlns:a16="http://schemas.microsoft.com/office/drawing/2014/main" id="{00000000-0008-0000-23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46" name="Picture 45">
          <a:extLst>
            <a:ext uri="{FF2B5EF4-FFF2-40B4-BE49-F238E27FC236}">
              <a16:creationId xmlns:a16="http://schemas.microsoft.com/office/drawing/2014/main" id="{00000000-0008-0000-23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53" name="Picture 52">
          <a:extLst>
            <a:ext uri="{FF2B5EF4-FFF2-40B4-BE49-F238E27FC236}">
              <a16:creationId xmlns:a16="http://schemas.microsoft.com/office/drawing/2014/main" id="{00000000-0008-0000-23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54" name="Picture 53">
          <a:extLst>
            <a:ext uri="{FF2B5EF4-FFF2-40B4-BE49-F238E27FC236}">
              <a16:creationId xmlns:a16="http://schemas.microsoft.com/office/drawing/2014/main" id="{00000000-0008-0000-23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100</xdr:row>
      <xdr:rowOff>28576</xdr:rowOff>
    </xdr:from>
    <xdr:ext cx="290800" cy="295274"/>
    <xdr:pic>
      <xdr:nvPicPr>
        <xdr:cNvPr id="55" name="Picture 54">
          <a:extLst>
            <a:ext uri="{FF2B5EF4-FFF2-40B4-BE49-F238E27FC236}">
              <a16:creationId xmlns:a16="http://schemas.microsoft.com/office/drawing/2014/main" id="{00000000-0008-0000-23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102</xdr:row>
      <xdr:rowOff>104775</xdr:rowOff>
    </xdr:from>
    <xdr:ext cx="366091" cy="371475"/>
    <xdr:pic>
      <xdr:nvPicPr>
        <xdr:cNvPr id="56" name="Picture 55">
          <a:extLst>
            <a:ext uri="{FF2B5EF4-FFF2-40B4-BE49-F238E27FC236}">
              <a16:creationId xmlns:a16="http://schemas.microsoft.com/office/drawing/2014/main" id="{00000000-0008-0000-23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230</xdr:row>
      <xdr:rowOff>28576</xdr:rowOff>
    </xdr:from>
    <xdr:ext cx="290800" cy="295274"/>
    <xdr:pic>
      <xdr:nvPicPr>
        <xdr:cNvPr id="57" name="Picture 56">
          <a:extLst>
            <a:ext uri="{FF2B5EF4-FFF2-40B4-BE49-F238E27FC236}">
              <a16:creationId xmlns:a16="http://schemas.microsoft.com/office/drawing/2014/main" id="{00000000-0008-0000-23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58" name="Picture 57">
          <a:extLst>
            <a:ext uri="{FF2B5EF4-FFF2-40B4-BE49-F238E27FC236}">
              <a16:creationId xmlns:a16="http://schemas.microsoft.com/office/drawing/2014/main" id="{00000000-0008-0000-23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59" name="Picture 58">
          <a:extLst>
            <a:ext uri="{FF2B5EF4-FFF2-40B4-BE49-F238E27FC236}">
              <a16:creationId xmlns:a16="http://schemas.microsoft.com/office/drawing/2014/main" id="{00000000-0008-0000-23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0" name="Picture 59">
          <a:extLst>
            <a:ext uri="{FF2B5EF4-FFF2-40B4-BE49-F238E27FC236}">
              <a16:creationId xmlns:a16="http://schemas.microsoft.com/office/drawing/2014/main" id="{00000000-0008-0000-23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61" name="Picture 60">
          <a:extLst>
            <a:ext uri="{FF2B5EF4-FFF2-40B4-BE49-F238E27FC236}">
              <a16:creationId xmlns:a16="http://schemas.microsoft.com/office/drawing/2014/main" id="{00000000-0008-0000-23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62" name="Picture 61">
          <a:extLst>
            <a:ext uri="{FF2B5EF4-FFF2-40B4-BE49-F238E27FC236}">
              <a16:creationId xmlns:a16="http://schemas.microsoft.com/office/drawing/2014/main" id="{00000000-0008-0000-23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63" name="Picture 62">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64" name="Picture 63">
          <a:extLst>
            <a:ext uri="{FF2B5EF4-FFF2-40B4-BE49-F238E27FC236}">
              <a16:creationId xmlns:a16="http://schemas.microsoft.com/office/drawing/2014/main" id="{00000000-0008-0000-23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5" name="Picture 64">
          <a:extLst>
            <a:ext uri="{FF2B5EF4-FFF2-40B4-BE49-F238E27FC236}">
              <a16:creationId xmlns:a16="http://schemas.microsoft.com/office/drawing/2014/main" id="{00000000-0008-0000-23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6" name="Picture 65">
          <a:extLst>
            <a:ext uri="{FF2B5EF4-FFF2-40B4-BE49-F238E27FC236}">
              <a16:creationId xmlns:a16="http://schemas.microsoft.com/office/drawing/2014/main" id="{00000000-0008-0000-23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7" name="Picture 66">
          <a:extLst>
            <a:ext uri="{FF2B5EF4-FFF2-40B4-BE49-F238E27FC236}">
              <a16:creationId xmlns:a16="http://schemas.microsoft.com/office/drawing/2014/main" id="{00000000-0008-0000-23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8" name="Picture 67">
          <a:extLst>
            <a:ext uri="{FF2B5EF4-FFF2-40B4-BE49-F238E27FC236}">
              <a16:creationId xmlns:a16="http://schemas.microsoft.com/office/drawing/2014/main" id="{00000000-0008-0000-23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69" name="Picture 68">
          <a:extLst>
            <a:ext uri="{FF2B5EF4-FFF2-40B4-BE49-F238E27FC236}">
              <a16:creationId xmlns:a16="http://schemas.microsoft.com/office/drawing/2014/main" id="{00000000-0008-0000-23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70" name="Picture 69">
          <a:extLst>
            <a:ext uri="{FF2B5EF4-FFF2-40B4-BE49-F238E27FC236}">
              <a16:creationId xmlns:a16="http://schemas.microsoft.com/office/drawing/2014/main" id="{00000000-0008-0000-23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359</xdr:row>
      <xdr:rowOff>28576</xdr:rowOff>
    </xdr:from>
    <xdr:ext cx="290800" cy="295274"/>
    <xdr:pic>
      <xdr:nvPicPr>
        <xdr:cNvPr id="71" name="Picture 70">
          <a:extLst>
            <a:ext uri="{FF2B5EF4-FFF2-40B4-BE49-F238E27FC236}">
              <a16:creationId xmlns:a16="http://schemas.microsoft.com/office/drawing/2014/main" id="{00000000-0008-0000-23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361</xdr:row>
      <xdr:rowOff>104775</xdr:rowOff>
    </xdr:from>
    <xdr:ext cx="366091" cy="371475"/>
    <xdr:pic>
      <xdr:nvPicPr>
        <xdr:cNvPr id="72" name="Picture 71">
          <a:extLst>
            <a:ext uri="{FF2B5EF4-FFF2-40B4-BE49-F238E27FC236}">
              <a16:creationId xmlns:a16="http://schemas.microsoft.com/office/drawing/2014/main" id="{00000000-0008-0000-23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4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4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4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13136</xdr:colOff>
      <xdr:row>14</xdr:row>
      <xdr:rowOff>13136</xdr:rowOff>
    </xdr:from>
    <xdr:to>
      <xdr:col>13</xdr:col>
      <xdr:colOff>349250</xdr:colOff>
      <xdr:row>14</xdr:row>
      <xdr:rowOff>25399</xdr:rowOff>
    </xdr:to>
    <xdr:sp macro="" textlink="">
      <xdr:nvSpPr>
        <xdr:cNvPr id="15" name="Line 20">
          <a:extLst>
            <a:ext uri="{FF2B5EF4-FFF2-40B4-BE49-F238E27FC236}">
              <a16:creationId xmlns:a16="http://schemas.microsoft.com/office/drawing/2014/main" id="{00000000-0008-0000-2400-00000F000000}"/>
            </a:ext>
          </a:extLst>
        </xdr:cNvPr>
        <xdr:cNvSpPr>
          <a:spLocks noChangeShapeType="1"/>
        </xdr:cNvSpPr>
      </xdr:nvSpPr>
      <xdr:spPr bwMode="auto">
        <a:xfrm>
          <a:off x="3740586" y="2749986"/>
          <a:ext cx="666314" cy="1226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19</xdr:row>
      <xdr:rowOff>19049</xdr:rowOff>
    </xdr:from>
    <xdr:to>
      <xdr:col>14</xdr:col>
      <xdr:colOff>6349</xdr:colOff>
      <xdr:row>19</xdr:row>
      <xdr:rowOff>19050</xdr:rowOff>
    </xdr:to>
    <xdr:sp macro="" textlink="">
      <xdr:nvSpPr>
        <xdr:cNvPr id="16" name="Line 21">
          <a:extLst>
            <a:ext uri="{FF2B5EF4-FFF2-40B4-BE49-F238E27FC236}">
              <a16:creationId xmlns:a16="http://schemas.microsoft.com/office/drawing/2014/main" id="{00000000-0008-0000-2400-000010000000}"/>
            </a:ext>
          </a:extLst>
        </xdr:cNvPr>
        <xdr:cNvSpPr>
          <a:spLocks noChangeShapeType="1"/>
        </xdr:cNvSpPr>
      </xdr:nvSpPr>
      <xdr:spPr bwMode="auto">
        <a:xfrm>
          <a:off x="3727450" y="3517899"/>
          <a:ext cx="692149"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4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4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21</xdr:col>
      <xdr:colOff>146152</xdr:colOff>
      <xdr:row>108</xdr:row>
      <xdr:rowOff>170678</xdr:rowOff>
    </xdr:from>
    <xdr:to>
      <xdr:col>22</xdr:col>
      <xdr:colOff>439616</xdr:colOff>
      <xdr:row>111</xdr:row>
      <xdr:rowOff>115034</xdr:rowOff>
    </xdr:to>
    <xdr:pic>
      <xdr:nvPicPr>
        <xdr:cNvPr id="23" name="Picture 27">
          <a:extLst>
            <a:ext uri="{FF2B5EF4-FFF2-40B4-BE49-F238E27FC236}">
              <a16:creationId xmlns:a16="http://schemas.microsoft.com/office/drawing/2014/main" id="{00000000-0008-0000-24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10</xdr:col>
      <xdr:colOff>0</xdr:colOff>
      <xdr:row>24</xdr:row>
      <xdr:rowOff>57150</xdr:rowOff>
    </xdr:from>
    <xdr:to>
      <xdr:col>10</xdr:col>
      <xdr:colOff>615950</xdr:colOff>
      <xdr:row>24</xdr:row>
      <xdr:rowOff>57150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12700</xdr:colOff>
      <xdr:row>26</xdr:row>
      <xdr:rowOff>88900</xdr:rowOff>
    </xdr:from>
    <xdr:to>
      <xdr:col>10</xdr:col>
      <xdr:colOff>628650</xdr:colOff>
      <xdr:row>26</xdr:row>
      <xdr:rowOff>88900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247650</xdr:colOff>
      <xdr:row>24</xdr:row>
      <xdr:rowOff>57150</xdr:rowOff>
    </xdr:from>
    <xdr:to>
      <xdr:col>11</xdr:col>
      <xdr:colOff>806450</xdr:colOff>
      <xdr:row>24</xdr:row>
      <xdr:rowOff>57150</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292100</xdr:colOff>
      <xdr:row>26</xdr:row>
      <xdr:rowOff>88900</xdr:rowOff>
    </xdr:from>
    <xdr:to>
      <xdr:col>12</xdr:col>
      <xdr:colOff>0</xdr:colOff>
      <xdr:row>26</xdr:row>
      <xdr:rowOff>88900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133819</xdr:colOff>
      <xdr:row>82</xdr:row>
      <xdr:rowOff>163901</xdr:rowOff>
    </xdr:from>
    <xdr:to>
      <xdr:col>10</xdr:col>
      <xdr:colOff>235742</xdr:colOff>
      <xdr:row>88</xdr:row>
      <xdr:rowOff>116276</xdr:rowOff>
    </xdr:to>
    <xdr:sp macro="" textlink="">
      <xdr:nvSpPr>
        <xdr:cNvPr id="6" name="AutoShape 6">
          <a:extLst>
            <a:ext uri="{FF2B5EF4-FFF2-40B4-BE49-F238E27FC236}">
              <a16:creationId xmlns:a16="http://schemas.microsoft.com/office/drawing/2014/main" id="{00000000-0008-0000-2500-000006000000}"/>
            </a:ext>
          </a:extLst>
        </xdr:cNvPr>
        <xdr:cNvSpPr>
          <a:spLocks/>
        </xdr:cNvSpPr>
      </xdr:nvSpPr>
      <xdr:spPr bwMode="auto">
        <a:xfrm>
          <a:off x="3953344" y="15442001"/>
          <a:ext cx="101923" cy="105727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21</xdr:col>
      <xdr:colOff>41955</xdr:colOff>
      <xdr:row>179</xdr:row>
      <xdr:rowOff>146278</xdr:rowOff>
    </xdr:from>
    <xdr:to>
      <xdr:col>21</xdr:col>
      <xdr:colOff>569860</xdr:colOff>
      <xdr:row>182</xdr:row>
      <xdr:rowOff>46493</xdr:rowOff>
    </xdr:to>
    <xdr:pic>
      <xdr:nvPicPr>
        <xdr:cNvPr id="9" name="Picture 8">
          <a:extLst>
            <a:ext uri="{FF2B5EF4-FFF2-40B4-BE49-F238E27FC236}">
              <a16:creationId xmlns:a16="http://schemas.microsoft.com/office/drawing/2014/main" id="{00000000-0008-0000-2500-000009000000}"/>
            </a:ext>
          </a:extLst>
        </xdr:cNvPr>
        <xdr:cNvPicPr>
          <a:picLocks noChangeAspect="1"/>
        </xdr:cNvPicPr>
      </xdr:nvPicPr>
      <xdr:blipFill>
        <a:blip xmlns:r="http://schemas.openxmlformats.org/officeDocument/2006/relationships" r:embed="rId1"/>
        <a:stretch>
          <a:fillRect/>
        </a:stretch>
      </xdr:blipFill>
      <xdr:spPr>
        <a:xfrm>
          <a:off x="7185705" y="35211885"/>
          <a:ext cx="527905" cy="53294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6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6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105604</xdr:colOff>
      <xdr:row>348</xdr:row>
      <xdr:rowOff>74365</xdr:rowOff>
    </xdr:from>
    <xdr:to>
      <xdr:col>20</xdr:col>
      <xdr:colOff>172001</xdr:colOff>
      <xdr:row>350</xdr:row>
      <xdr:rowOff>134690</xdr:rowOff>
    </xdr:to>
    <xdr:sp macro="" textlink="">
      <xdr:nvSpPr>
        <xdr:cNvPr id="2" name="AutoShape 6">
          <a:extLst>
            <a:ext uri="{FF2B5EF4-FFF2-40B4-BE49-F238E27FC236}">
              <a16:creationId xmlns:a16="http://schemas.microsoft.com/office/drawing/2014/main" id="{00000000-0008-0000-2600-000002000000}"/>
            </a:ext>
          </a:extLst>
        </xdr:cNvPr>
        <xdr:cNvSpPr>
          <a:spLocks/>
        </xdr:cNvSpPr>
      </xdr:nvSpPr>
      <xdr:spPr bwMode="auto">
        <a:xfrm>
          <a:off x="5315779" y="28858915"/>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351</xdr:row>
      <xdr:rowOff>25644</xdr:rowOff>
    </xdr:from>
    <xdr:to>
      <xdr:col>27</xdr:col>
      <xdr:colOff>235426</xdr:colOff>
      <xdr:row>353</xdr:row>
      <xdr:rowOff>85969</xdr:rowOff>
    </xdr:to>
    <xdr:sp macro="" textlink="">
      <xdr:nvSpPr>
        <xdr:cNvPr id="6" name="AutoShape 6">
          <a:extLst>
            <a:ext uri="{FF2B5EF4-FFF2-40B4-BE49-F238E27FC236}">
              <a16:creationId xmlns:a16="http://schemas.microsoft.com/office/drawing/2014/main" id="{00000000-0008-0000-2600-000006000000}"/>
            </a:ext>
          </a:extLst>
        </xdr:cNvPr>
        <xdr:cNvSpPr>
          <a:spLocks/>
        </xdr:cNvSpPr>
      </xdr:nvSpPr>
      <xdr:spPr bwMode="auto">
        <a:xfrm>
          <a:off x="7068792" y="29381694"/>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481045</xdr:colOff>
      <xdr:row>48</xdr:row>
      <xdr:rowOff>26929</xdr:rowOff>
    </xdr:from>
    <xdr:to>
      <xdr:col>10</xdr:col>
      <xdr:colOff>566525</xdr:colOff>
      <xdr:row>55</xdr:row>
      <xdr:rowOff>36245</xdr:rowOff>
    </xdr:to>
    <xdr:sp macro="" textlink="">
      <xdr:nvSpPr>
        <xdr:cNvPr id="107241" name="AutoShape 7">
          <a:extLst>
            <a:ext uri="{FF2B5EF4-FFF2-40B4-BE49-F238E27FC236}">
              <a16:creationId xmlns:a16="http://schemas.microsoft.com/office/drawing/2014/main" id="{00000000-0008-0000-2800-0000E9A20100}"/>
            </a:ext>
          </a:extLst>
        </xdr:cNvPr>
        <xdr:cNvSpPr>
          <a:spLocks/>
        </xdr:cNvSpPr>
      </xdr:nvSpPr>
      <xdr:spPr bwMode="auto">
        <a:xfrm>
          <a:off x="6425959" y="8914739"/>
          <a:ext cx="85480" cy="1198299"/>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75250</xdr:colOff>
      <xdr:row>86</xdr:row>
      <xdr:rowOff>82615</xdr:rowOff>
    </xdr:from>
    <xdr:to>
      <xdr:col>8</xdr:col>
      <xdr:colOff>141925</xdr:colOff>
      <xdr:row>89</xdr:row>
      <xdr:rowOff>15940</xdr:rowOff>
    </xdr:to>
    <xdr:sp macro="" textlink="">
      <xdr:nvSpPr>
        <xdr:cNvPr id="107244" name="AutoShape 318">
          <a:extLst>
            <a:ext uri="{FF2B5EF4-FFF2-40B4-BE49-F238E27FC236}">
              <a16:creationId xmlns:a16="http://schemas.microsoft.com/office/drawing/2014/main" id="{00000000-0008-0000-2800-0000ECA20100}"/>
            </a:ext>
          </a:extLst>
        </xdr:cNvPr>
        <xdr:cNvSpPr>
          <a:spLocks/>
        </xdr:cNvSpPr>
      </xdr:nvSpPr>
      <xdr:spPr bwMode="auto">
        <a:xfrm>
          <a:off x="5153060" y="15854701"/>
          <a:ext cx="66675" cy="4522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98</xdr:row>
      <xdr:rowOff>178676</xdr:rowOff>
    </xdr:from>
    <xdr:to>
      <xdr:col>6</xdr:col>
      <xdr:colOff>939363</xdr:colOff>
      <xdr:row>102</xdr:row>
      <xdr:rowOff>104775</xdr:rowOff>
    </xdr:to>
    <xdr:sp macro="" textlink="">
      <xdr:nvSpPr>
        <xdr:cNvPr id="13" name="AutoShape 318">
          <a:extLst>
            <a:ext uri="{FF2B5EF4-FFF2-40B4-BE49-F238E27FC236}">
              <a16:creationId xmlns:a16="http://schemas.microsoft.com/office/drawing/2014/main" id="{00000000-0008-0000-28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70</xdr:row>
      <xdr:rowOff>144236</xdr:rowOff>
    </xdr:from>
    <xdr:ext cx="345274" cy="340272"/>
    <xdr:pic>
      <xdr:nvPicPr>
        <xdr:cNvPr id="25" name="Picture 24">
          <a:extLst>
            <a:ext uri="{FF2B5EF4-FFF2-40B4-BE49-F238E27FC236}">
              <a16:creationId xmlns:a16="http://schemas.microsoft.com/office/drawing/2014/main" id="{00000000-0008-0000-2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95</xdr:row>
      <xdr:rowOff>69753</xdr:rowOff>
    </xdr:from>
    <xdr:ext cx="450542" cy="445908"/>
    <xdr:pic>
      <xdr:nvPicPr>
        <xdr:cNvPr id="26" name="Picture 25">
          <a:extLst>
            <a:ext uri="{FF2B5EF4-FFF2-40B4-BE49-F238E27FC236}">
              <a16:creationId xmlns:a16="http://schemas.microsoft.com/office/drawing/2014/main" id="{00000000-0008-0000-28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111</xdr:row>
      <xdr:rowOff>19049</xdr:rowOff>
    </xdr:from>
    <xdr:to>
      <xdr:col>27</xdr:col>
      <xdr:colOff>209549</xdr:colOff>
      <xdr:row>116</xdr:row>
      <xdr:rowOff>66674</xdr:rowOff>
    </xdr:to>
    <xdr:sp macro="" textlink="">
      <xdr:nvSpPr>
        <xdr:cNvPr id="27" name="AutoShape 7">
          <a:extLst>
            <a:ext uri="{FF2B5EF4-FFF2-40B4-BE49-F238E27FC236}">
              <a16:creationId xmlns:a16="http://schemas.microsoft.com/office/drawing/2014/main" id="{00000000-0008-0000-28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98</xdr:row>
      <xdr:rowOff>9526</xdr:rowOff>
    </xdr:from>
    <xdr:to>
      <xdr:col>22</xdr:col>
      <xdr:colOff>990600</xdr:colOff>
      <xdr:row>98</xdr:row>
      <xdr:rowOff>163732</xdr:rowOff>
    </xdr:to>
    <xdr:pic>
      <xdr:nvPicPr>
        <xdr:cNvPr id="16" name="Picture 15">
          <a:extLst>
            <a:ext uri="{FF2B5EF4-FFF2-40B4-BE49-F238E27FC236}">
              <a16:creationId xmlns:a16="http://schemas.microsoft.com/office/drawing/2014/main" id="{00000000-0008-0000-28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8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59120</xdr:colOff>
      <xdr:row>36</xdr:row>
      <xdr:rowOff>52552</xdr:rowOff>
    </xdr:from>
    <xdr:to>
      <xdr:col>25</xdr:col>
      <xdr:colOff>131379</xdr:colOff>
      <xdr:row>39</xdr:row>
      <xdr:rowOff>52552</xdr:rowOff>
    </xdr:to>
    <xdr:sp macro="" textlink="">
      <xdr:nvSpPr>
        <xdr:cNvPr id="30" name="AutoShape 7">
          <a:extLst>
            <a:ext uri="{FF2B5EF4-FFF2-40B4-BE49-F238E27FC236}">
              <a16:creationId xmlns:a16="http://schemas.microsoft.com/office/drawing/2014/main" id="{00000000-0008-0000-28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24</xdr:row>
      <xdr:rowOff>65690</xdr:rowOff>
    </xdr:from>
    <xdr:to>
      <xdr:col>25</xdr:col>
      <xdr:colOff>216777</xdr:colOff>
      <xdr:row>27</xdr:row>
      <xdr:rowOff>65690</xdr:rowOff>
    </xdr:to>
    <xdr:sp macro="" textlink="">
      <xdr:nvSpPr>
        <xdr:cNvPr id="31" name="AutoShape 7">
          <a:extLst>
            <a:ext uri="{FF2B5EF4-FFF2-40B4-BE49-F238E27FC236}">
              <a16:creationId xmlns:a16="http://schemas.microsoft.com/office/drawing/2014/main" id="{00000000-0008-0000-28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92</xdr:row>
      <xdr:rowOff>47625</xdr:rowOff>
    </xdr:from>
    <xdr:to>
      <xdr:col>27</xdr:col>
      <xdr:colOff>166007</xdr:colOff>
      <xdr:row>92</xdr:row>
      <xdr:rowOff>153591</xdr:rowOff>
    </xdr:to>
    <xdr:sp macro="" textlink="">
      <xdr:nvSpPr>
        <xdr:cNvPr id="32" name="AutoShape 85">
          <a:extLst>
            <a:ext uri="{FF2B5EF4-FFF2-40B4-BE49-F238E27FC236}">
              <a16:creationId xmlns:a16="http://schemas.microsoft.com/office/drawing/2014/main" id="{00000000-0008-0000-28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37</xdr:col>
      <xdr:colOff>110671</xdr:colOff>
      <xdr:row>81</xdr:row>
      <xdr:rowOff>50346</xdr:rowOff>
    </xdr:from>
    <xdr:to>
      <xdr:col>37</xdr:col>
      <xdr:colOff>167821</xdr:colOff>
      <xdr:row>81</xdr:row>
      <xdr:rowOff>156312</xdr:rowOff>
    </xdr:to>
    <xdr:sp macro="" textlink="">
      <xdr:nvSpPr>
        <xdr:cNvPr id="2" name="AutoShape 85">
          <a:extLst>
            <a:ext uri="{FF2B5EF4-FFF2-40B4-BE49-F238E27FC236}">
              <a16:creationId xmlns:a16="http://schemas.microsoft.com/office/drawing/2014/main" id="{00000000-0008-0000-2900-000002000000}"/>
            </a:ext>
          </a:extLst>
        </xdr:cNvPr>
        <xdr:cNvSpPr>
          <a:spLocks noChangeArrowheads="1"/>
        </xdr:cNvSpPr>
      </xdr:nvSpPr>
      <xdr:spPr bwMode="auto">
        <a:xfrm rot="5400000">
          <a:off x="7868188" y="1405745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3" name="AutoShape 85">
          <a:extLst>
            <a:ext uri="{FF2B5EF4-FFF2-40B4-BE49-F238E27FC236}">
              <a16:creationId xmlns:a16="http://schemas.microsoft.com/office/drawing/2014/main" id="{00000000-0008-0000-2900-000003000000}"/>
            </a:ext>
          </a:extLst>
        </xdr:cNvPr>
        <xdr:cNvSpPr>
          <a:spLocks noChangeArrowheads="1"/>
        </xdr:cNvSpPr>
      </xdr:nvSpPr>
      <xdr:spPr bwMode="auto">
        <a:xfrm rot="5400000">
          <a:off x="6776442" y="14426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4" name="AutoShape 85">
          <a:extLst>
            <a:ext uri="{FF2B5EF4-FFF2-40B4-BE49-F238E27FC236}">
              <a16:creationId xmlns:a16="http://schemas.microsoft.com/office/drawing/2014/main" id="{00000000-0008-0000-2900-000004000000}"/>
            </a:ext>
          </a:extLst>
        </xdr:cNvPr>
        <xdr:cNvSpPr>
          <a:spLocks noChangeArrowheads="1"/>
        </xdr:cNvSpPr>
      </xdr:nvSpPr>
      <xdr:spPr bwMode="auto">
        <a:xfrm rot="5400000">
          <a:off x="6776442" y="14626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5" name="AutoShape 85">
          <a:extLst>
            <a:ext uri="{FF2B5EF4-FFF2-40B4-BE49-F238E27FC236}">
              <a16:creationId xmlns:a16="http://schemas.microsoft.com/office/drawing/2014/main" id="{00000000-0008-0000-2900-000005000000}"/>
            </a:ext>
          </a:extLst>
        </xdr:cNvPr>
        <xdr:cNvSpPr>
          <a:spLocks noChangeArrowheads="1"/>
        </xdr:cNvSpPr>
      </xdr:nvSpPr>
      <xdr:spPr bwMode="auto">
        <a:xfrm rot="5400000">
          <a:off x="5461992" y="159121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6" name="AutoShape 85">
          <a:extLst>
            <a:ext uri="{FF2B5EF4-FFF2-40B4-BE49-F238E27FC236}">
              <a16:creationId xmlns:a16="http://schemas.microsoft.com/office/drawing/2014/main" id="{00000000-0008-0000-2900-000006000000}"/>
            </a:ext>
          </a:extLst>
        </xdr:cNvPr>
        <xdr:cNvSpPr>
          <a:spLocks noChangeArrowheads="1"/>
        </xdr:cNvSpPr>
      </xdr:nvSpPr>
      <xdr:spPr bwMode="auto">
        <a:xfrm rot="5400000">
          <a:off x="6776442" y="16093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7" name="AutoShape 85">
          <a:extLst>
            <a:ext uri="{FF2B5EF4-FFF2-40B4-BE49-F238E27FC236}">
              <a16:creationId xmlns:a16="http://schemas.microsoft.com/office/drawing/2014/main" id="{00000000-0008-0000-2900-000007000000}"/>
            </a:ext>
          </a:extLst>
        </xdr:cNvPr>
        <xdr:cNvSpPr>
          <a:spLocks noChangeArrowheads="1"/>
        </xdr:cNvSpPr>
      </xdr:nvSpPr>
      <xdr:spPr bwMode="auto">
        <a:xfrm rot="5400000">
          <a:off x="247054" y="18577521"/>
          <a:ext cx="121841"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8" name="AutoShape 85">
          <a:extLst>
            <a:ext uri="{FF2B5EF4-FFF2-40B4-BE49-F238E27FC236}">
              <a16:creationId xmlns:a16="http://schemas.microsoft.com/office/drawing/2014/main" id="{00000000-0008-0000-2900-000008000000}"/>
            </a:ext>
          </a:extLst>
        </xdr:cNvPr>
        <xdr:cNvSpPr>
          <a:spLocks noChangeArrowheads="1"/>
        </xdr:cNvSpPr>
      </xdr:nvSpPr>
      <xdr:spPr bwMode="auto">
        <a:xfrm rot="5400000">
          <a:off x="6795492" y="18852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9" name="AutoShape 85">
          <a:extLst>
            <a:ext uri="{FF2B5EF4-FFF2-40B4-BE49-F238E27FC236}">
              <a16:creationId xmlns:a16="http://schemas.microsoft.com/office/drawing/2014/main" id="{00000000-0008-0000-2900-000009000000}"/>
            </a:ext>
          </a:extLst>
        </xdr:cNvPr>
        <xdr:cNvSpPr>
          <a:spLocks noChangeArrowheads="1"/>
        </xdr:cNvSpPr>
      </xdr:nvSpPr>
      <xdr:spPr bwMode="auto">
        <a:xfrm rot="5400000">
          <a:off x="1175742" y="189156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0" name="AutoShape 85">
          <a:extLst>
            <a:ext uri="{FF2B5EF4-FFF2-40B4-BE49-F238E27FC236}">
              <a16:creationId xmlns:a16="http://schemas.microsoft.com/office/drawing/2014/main" id="{00000000-0008-0000-2900-00000A000000}"/>
            </a:ext>
          </a:extLst>
        </xdr:cNvPr>
        <xdr:cNvSpPr>
          <a:spLocks noChangeArrowheads="1"/>
        </xdr:cNvSpPr>
      </xdr:nvSpPr>
      <xdr:spPr bwMode="auto">
        <a:xfrm rot="5400000">
          <a:off x="7014567" y="2092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1" name="AutoShape 85">
          <a:extLst>
            <a:ext uri="{FF2B5EF4-FFF2-40B4-BE49-F238E27FC236}">
              <a16:creationId xmlns:a16="http://schemas.microsoft.com/office/drawing/2014/main" id="{00000000-0008-0000-2900-00000B000000}"/>
            </a:ext>
          </a:extLst>
        </xdr:cNvPr>
        <xdr:cNvSpPr>
          <a:spLocks noChangeArrowheads="1"/>
        </xdr:cNvSpPr>
      </xdr:nvSpPr>
      <xdr:spPr bwMode="auto">
        <a:xfrm rot="5400000">
          <a:off x="1223367" y="20931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2" name="AutoShape 85">
          <a:extLst>
            <a:ext uri="{FF2B5EF4-FFF2-40B4-BE49-F238E27FC236}">
              <a16:creationId xmlns:a16="http://schemas.microsoft.com/office/drawing/2014/main" id="{00000000-0008-0000-2900-00000C000000}"/>
            </a:ext>
          </a:extLst>
        </xdr:cNvPr>
        <xdr:cNvSpPr>
          <a:spLocks noChangeArrowheads="1"/>
        </xdr:cNvSpPr>
      </xdr:nvSpPr>
      <xdr:spPr bwMode="auto">
        <a:xfrm rot="5400000">
          <a:off x="3839567" y="2235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3" name="AutoShape 85">
          <a:extLst>
            <a:ext uri="{FF2B5EF4-FFF2-40B4-BE49-F238E27FC236}">
              <a16:creationId xmlns:a16="http://schemas.microsoft.com/office/drawing/2014/main" id="{00000000-0008-0000-2900-00000D000000}"/>
            </a:ext>
          </a:extLst>
        </xdr:cNvPr>
        <xdr:cNvSpPr>
          <a:spLocks noChangeArrowheads="1"/>
        </xdr:cNvSpPr>
      </xdr:nvSpPr>
      <xdr:spPr bwMode="auto">
        <a:xfrm rot="5400000">
          <a:off x="6547842" y="22951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14" name="AutoShape 85">
          <a:extLst>
            <a:ext uri="{FF2B5EF4-FFF2-40B4-BE49-F238E27FC236}">
              <a16:creationId xmlns:a16="http://schemas.microsoft.com/office/drawing/2014/main" id="{00000000-0008-0000-2900-00000E000000}"/>
            </a:ext>
          </a:extLst>
        </xdr:cNvPr>
        <xdr:cNvSpPr>
          <a:spLocks noChangeArrowheads="1"/>
        </xdr:cNvSpPr>
      </xdr:nvSpPr>
      <xdr:spPr bwMode="auto">
        <a:xfrm rot="5400000">
          <a:off x="4357092" y="210841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84411</xdr:colOff>
      <xdr:row>6</xdr:row>
      <xdr:rowOff>22006</xdr:rowOff>
    </xdr:from>
    <xdr:to>
      <xdr:col>11</xdr:col>
      <xdr:colOff>141561</xdr:colOff>
      <xdr:row>6</xdr:row>
      <xdr:rowOff>127972</xdr:rowOff>
    </xdr:to>
    <xdr:sp macro="" textlink="">
      <xdr:nvSpPr>
        <xdr:cNvPr id="20" name="AutoShape 85">
          <a:extLst>
            <a:ext uri="{FF2B5EF4-FFF2-40B4-BE49-F238E27FC236}">
              <a16:creationId xmlns:a16="http://schemas.microsoft.com/office/drawing/2014/main" id="{00000000-0008-0000-2C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146394</xdr:colOff>
      <xdr:row>80</xdr:row>
      <xdr:rowOff>32376</xdr:rowOff>
    </xdr:from>
    <xdr:to>
      <xdr:col>27</xdr:col>
      <xdr:colOff>15765</xdr:colOff>
      <xdr:row>82</xdr:row>
      <xdr:rowOff>179849</xdr:rowOff>
    </xdr:to>
    <xdr:sp macro="" textlink="">
      <xdr:nvSpPr>
        <xdr:cNvPr id="10" name="AutoShape 318">
          <a:extLst>
            <a:ext uri="{FF2B5EF4-FFF2-40B4-BE49-F238E27FC236}">
              <a16:creationId xmlns:a16="http://schemas.microsoft.com/office/drawing/2014/main" id="{00000000-0008-0000-2C00-00000A000000}"/>
            </a:ext>
          </a:extLst>
        </xdr:cNvPr>
        <xdr:cNvSpPr>
          <a:spLocks/>
        </xdr:cNvSpPr>
      </xdr:nvSpPr>
      <xdr:spPr bwMode="auto">
        <a:xfrm>
          <a:off x="5425965" y="13802805"/>
          <a:ext cx="66675" cy="5284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5561</xdr:colOff>
      <xdr:row>30</xdr:row>
      <xdr:rowOff>98753</xdr:rowOff>
    </xdr:from>
    <xdr:to>
      <xdr:col>26</xdr:col>
      <xdr:colOff>74957</xdr:colOff>
      <xdr:row>33</xdr:row>
      <xdr:rowOff>163785</xdr:rowOff>
    </xdr:to>
    <xdr:sp macro="" textlink="">
      <xdr:nvSpPr>
        <xdr:cNvPr id="12" name="AutoShape 318">
          <a:extLst>
            <a:ext uri="{FF2B5EF4-FFF2-40B4-BE49-F238E27FC236}">
              <a16:creationId xmlns:a16="http://schemas.microsoft.com/office/drawing/2014/main" id="{00000000-0008-0000-2C00-00000C000000}"/>
            </a:ext>
          </a:extLst>
        </xdr:cNvPr>
        <xdr:cNvSpPr>
          <a:spLocks/>
        </xdr:cNvSpPr>
      </xdr:nvSpPr>
      <xdr:spPr bwMode="auto">
        <a:xfrm>
          <a:off x="5368136" y="5299403"/>
          <a:ext cx="69396"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7</xdr:row>
      <xdr:rowOff>99632</xdr:rowOff>
    </xdr:from>
    <xdr:to>
      <xdr:col>8</xdr:col>
      <xdr:colOff>168495</xdr:colOff>
      <xdr:row>8</xdr:row>
      <xdr:rowOff>54511</xdr:rowOff>
    </xdr:to>
    <xdr:sp macro="" textlink="">
      <xdr:nvSpPr>
        <xdr:cNvPr id="8" name="AutoShape 85">
          <a:extLst>
            <a:ext uri="{FF2B5EF4-FFF2-40B4-BE49-F238E27FC236}">
              <a16:creationId xmlns:a16="http://schemas.microsoft.com/office/drawing/2014/main" id="{00000000-0008-0000-2C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94796</xdr:colOff>
      <xdr:row>28</xdr:row>
      <xdr:rowOff>33892</xdr:rowOff>
    </xdr:from>
    <xdr:to>
      <xdr:col>14</xdr:col>
      <xdr:colOff>140515</xdr:colOff>
      <xdr:row>29</xdr:row>
      <xdr:rowOff>156482</xdr:rowOff>
    </xdr:to>
    <xdr:sp macro="" textlink="">
      <xdr:nvSpPr>
        <xdr:cNvPr id="9" name="AutoShape 318">
          <a:extLst>
            <a:ext uri="{FF2B5EF4-FFF2-40B4-BE49-F238E27FC236}">
              <a16:creationId xmlns:a16="http://schemas.microsoft.com/office/drawing/2014/main" id="{00000000-0008-0000-2C00-000009000000}"/>
            </a:ext>
          </a:extLst>
        </xdr:cNvPr>
        <xdr:cNvSpPr>
          <a:spLocks/>
        </xdr:cNvSpPr>
      </xdr:nvSpPr>
      <xdr:spPr bwMode="auto">
        <a:xfrm>
          <a:off x="3006725" y="4483428"/>
          <a:ext cx="45719" cy="26546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138509</xdr:colOff>
      <xdr:row>183</xdr:row>
      <xdr:rowOff>34924</xdr:rowOff>
    </xdr:from>
    <xdr:to>
      <xdr:col>23</xdr:col>
      <xdr:colOff>2778</xdr:colOff>
      <xdr:row>187</xdr:row>
      <xdr:rowOff>0</xdr:rowOff>
    </xdr:to>
    <xdr:sp macro="" textlink="">
      <xdr:nvSpPr>
        <xdr:cNvPr id="15" name="AutoShape 318">
          <a:extLst>
            <a:ext uri="{FF2B5EF4-FFF2-40B4-BE49-F238E27FC236}">
              <a16:creationId xmlns:a16="http://schemas.microsoft.com/office/drawing/2014/main" id="{00000000-0008-0000-2C00-00000F000000}"/>
            </a:ext>
          </a:extLst>
        </xdr:cNvPr>
        <xdr:cNvSpPr>
          <a:spLocks/>
        </xdr:cNvSpPr>
      </xdr:nvSpPr>
      <xdr:spPr bwMode="auto">
        <a:xfrm>
          <a:off x="4740275" y="32741393"/>
          <a:ext cx="66675" cy="593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39688</xdr:colOff>
      <xdr:row>196</xdr:row>
      <xdr:rowOff>98027</xdr:rowOff>
    </xdr:from>
    <xdr:to>
      <xdr:col>20</xdr:col>
      <xdr:colOff>106363</xdr:colOff>
      <xdr:row>200</xdr:row>
      <xdr:rowOff>26193</xdr:rowOff>
    </xdr:to>
    <xdr:sp macro="" textlink="">
      <xdr:nvSpPr>
        <xdr:cNvPr id="16" name="AutoShape 318">
          <a:extLst>
            <a:ext uri="{FF2B5EF4-FFF2-40B4-BE49-F238E27FC236}">
              <a16:creationId xmlns:a16="http://schemas.microsoft.com/office/drawing/2014/main" id="{00000000-0008-0000-2C00-000010000000}"/>
            </a:ext>
          </a:extLst>
        </xdr:cNvPr>
        <xdr:cNvSpPr>
          <a:spLocks/>
        </xdr:cNvSpPr>
      </xdr:nvSpPr>
      <xdr:spPr bwMode="auto">
        <a:xfrm>
          <a:off x="4236641" y="3428682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185859</xdr:colOff>
      <xdr:row>223</xdr:row>
      <xdr:rowOff>194958</xdr:rowOff>
    </xdr:from>
    <xdr:to>
      <xdr:col>25</xdr:col>
      <xdr:colOff>50128</xdr:colOff>
      <xdr:row>227</xdr:row>
      <xdr:rowOff>165650</xdr:rowOff>
    </xdr:to>
    <xdr:sp macro="" textlink="">
      <xdr:nvSpPr>
        <xdr:cNvPr id="17" name="AutoShape 318">
          <a:extLst>
            <a:ext uri="{FF2B5EF4-FFF2-40B4-BE49-F238E27FC236}">
              <a16:creationId xmlns:a16="http://schemas.microsoft.com/office/drawing/2014/main" id="{00000000-0008-0000-2C00-000011000000}"/>
            </a:ext>
          </a:extLst>
        </xdr:cNvPr>
        <xdr:cNvSpPr>
          <a:spLocks/>
        </xdr:cNvSpPr>
      </xdr:nvSpPr>
      <xdr:spPr bwMode="auto">
        <a:xfrm>
          <a:off x="5192437" y="38146130"/>
          <a:ext cx="66675" cy="69102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845039</xdr:colOff>
      <xdr:row>110</xdr:row>
      <xdr:rowOff>0</xdr:rowOff>
    </xdr:from>
    <xdr:to>
      <xdr:col>44</xdr:col>
      <xdr:colOff>1003789</xdr:colOff>
      <xdr:row>117</xdr:row>
      <xdr:rowOff>0</xdr:rowOff>
    </xdr:to>
    <xdr:sp macro="" textlink="">
      <xdr:nvSpPr>
        <xdr:cNvPr id="18" name="AutoShape 318">
          <a:extLst>
            <a:ext uri="{FF2B5EF4-FFF2-40B4-BE49-F238E27FC236}">
              <a16:creationId xmlns:a16="http://schemas.microsoft.com/office/drawing/2014/main" id="{00000000-0008-0000-2C00-000012000000}"/>
            </a:ext>
          </a:extLst>
        </xdr:cNvPr>
        <xdr:cNvSpPr>
          <a:spLocks/>
        </xdr:cNvSpPr>
      </xdr:nvSpPr>
      <xdr:spPr bwMode="auto">
        <a:xfrm>
          <a:off x="9908443" y="19548231"/>
          <a:ext cx="158750" cy="118696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144463</xdr:colOff>
      <xdr:row>208</xdr:row>
      <xdr:rowOff>24209</xdr:rowOff>
    </xdr:from>
    <xdr:to>
      <xdr:col>25</xdr:col>
      <xdr:colOff>8732</xdr:colOff>
      <xdr:row>212</xdr:row>
      <xdr:rowOff>71437</xdr:rowOff>
    </xdr:to>
    <xdr:sp macro="" textlink="">
      <xdr:nvSpPr>
        <xdr:cNvPr id="2" name="AutoShape 318">
          <a:extLst>
            <a:ext uri="{FF2B5EF4-FFF2-40B4-BE49-F238E27FC236}">
              <a16:creationId xmlns:a16="http://schemas.microsoft.com/office/drawing/2014/main" id="{00000000-0008-0000-2C00-000002000000}"/>
            </a:ext>
          </a:extLst>
        </xdr:cNvPr>
        <xdr:cNvSpPr>
          <a:spLocks/>
        </xdr:cNvSpPr>
      </xdr:nvSpPr>
      <xdr:spPr bwMode="auto">
        <a:xfrm>
          <a:off x="5151041" y="3598108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E00-000007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twoCellAnchor>
    <xdr:from>
      <xdr:col>23</xdr:col>
      <xdr:colOff>210583</xdr:colOff>
      <xdr:row>25</xdr:row>
      <xdr:rowOff>120306</xdr:rowOff>
    </xdr:from>
    <xdr:to>
      <xdr:col>23</xdr:col>
      <xdr:colOff>283120</xdr:colOff>
      <xdr:row>27</xdr:row>
      <xdr:rowOff>134960</xdr:rowOff>
    </xdr:to>
    <xdr:sp macro="" textlink="">
      <xdr:nvSpPr>
        <xdr:cNvPr id="8" name="AutoShape 318">
          <a:extLst>
            <a:ext uri="{FF2B5EF4-FFF2-40B4-BE49-F238E27FC236}">
              <a16:creationId xmlns:a16="http://schemas.microsoft.com/office/drawing/2014/main" id="{00000000-0008-0000-2E00-000008000000}"/>
            </a:ext>
          </a:extLst>
        </xdr:cNvPr>
        <xdr:cNvSpPr>
          <a:spLocks/>
        </xdr:cNvSpPr>
      </xdr:nvSpPr>
      <xdr:spPr bwMode="auto">
        <a:xfrm>
          <a:off x="6104177" y="4960197"/>
          <a:ext cx="72537" cy="41351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E00-00000A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E00-00000B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E00-00000C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E00-00000D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E00-000010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1"/>
        <a:stretch>
          <a:fillRect/>
        </a:stretch>
      </xdr:blipFill>
      <xdr:spPr>
        <a:xfrm>
          <a:off x="266700" y="1781175"/>
          <a:ext cx="726777" cy="73342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10</xdr:col>
      <xdr:colOff>974480</xdr:colOff>
      <xdr:row>70</xdr:row>
      <xdr:rowOff>21981</xdr:rowOff>
    </xdr:from>
    <xdr:to>
      <xdr:col>10</xdr:col>
      <xdr:colOff>1020199</xdr:colOff>
      <xdr:row>70</xdr:row>
      <xdr:rowOff>109907</xdr:rowOff>
    </xdr:to>
    <xdr:sp macro="" textlink="">
      <xdr:nvSpPr>
        <xdr:cNvPr id="7" name="AutoShape 85">
          <a:extLst>
            <a:ext uri="{FF2B5EF4-FFF2-40B4-BE49-F238E27FC236}">
              <a16:creationId xmlns:a16="http://schemas.microsoft.com/office/drawing/2014/main" id="{00000000-0008-0000-30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28</xdr:col>
      <xdr:colOff>733425</xdr:colOff>
      <xdr:row>51</xdr:row>
      <xdr:rowOff>47625</xdr:rowOff>
    </xdr:from>
    <xdr:to>
      <xdr:col>29</xdr:col>
      <xdr:colOff>180975</xdr:colOff>
      <xdr:row>53</xdr:row>
      <xdr:rowOff>159544</xdr:rowOff>
    </xdr:to>
    <xdr:pic>
      <xdr:nvPicPr>
        <xdr:cNvPr id="2" name="Picture 2" descr="pencil">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8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95250</xdr:colOff>
      <xdr:row>9</xdr:row>
      <xdr:rowOff>9525</xdr:rowOff>
    </xdr:from>
    <xdr:to>
      <xdr:col>21</xdr:col>
      <xdr:colOff>600075</xdr:colOff>
      <xdr:row>55</xdr:row>
      <xdr:rowOff>38100</xdr:rowOff>
    </xdr:to>
    <xdr:pic>
      <xdr:nvPicPr>
        <xdr:cNvPr id="4" name="Picture 3">
          <a:extLst>
            <a:ext uri="{FF2B5EF4-FFF2-40B4-BE49-F238E27FC236}">
              <a16:creationId xmlns:a16="http://schemas.microsoft.com/office/drawing/2014/main" id="{00000000-0008-0000-3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91575" y="1552575"/>
          <a:ext cx="10534650" cy="791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2.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5.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28.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6.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2.xm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3.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6.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68"/>
  <sheetViews>
    <sheetView zoomScaleNormal="100" zoomScaleSheetLayoutView="100" workbookViewId="0"/>
  </sheetViews>
  <sheetFormatPr defaultColWidth="9.140625" defaultRowHeight="12.75"/>
  <cols>
    <col min="1" max="1" width="5.140625" style="808" customWidth="1"/>
    <col min="2" max="2" width="12.42578125" style="808" customWidth="1"/>
    <col min="3" max="3" width="9.140625" style="808"/>
    <col min="4" max="4" width="34.7109375" style="808" customWidth="1"/>
    <col min="5" max="5" width="21" style="808" customWidth="1"/>
    <col min="6" max="6" width="19.7109375" style="808" customWidth="1"/>
    <col min="7" max="11" width="7.140625" style="808" customWidth="1"/>
    <col min="12" max="12" width="4.42578125" style="808" customWidth="1"/>
    <col min="13" max="16384" width="9.140625" style="808"/>
  </cols>
  <sheetData>
    <row r="1" spans="2:11" s="1382" customFormat="1" ht="30.75" customHeight="1" thickBot="1">
      <c r="D1" s="3173" t="s">
        <v>0</v>
      </c>
      <c r="E1" s="3222">
        <f>RevDateTime</f>
        <v>45363.902777777781</v>
      </c>
    </row>
    <row r="2" spans="2:11" ht="23.25" customHeight="1">
      <c r="B2" s="6244" t="s">
        <v>1</v>
      </c>
      <c r="C2" s="6245"/>
      <c r="D2" s="6245"/>
      <c r="E2" s="6245"/>
      <c r="F2" s="6245"/>
      <c r="G2" s="6245"/>
      <c r="H2" s="6245"/>
      <c r="I2" s="6245"/>
      <c r="J2" s="6245"/>
      <c r="K2" s="6246"/>
    </row>
    <row r="3" spans="2:11" ht="23.25" customHeight="1">
      <c r="B3" s="6247"/>
      <c r="C3" s="6248"/>
      <c r="D3" s="6248"/>
      <c r="E3" s="6248"/>
      <c r="F3" s="6248"/>
      <c r="G3" s="6248"/>
      <c r="H3" s="6248"/>
      <c r="I3" s="6248"/>
      <c r="J3" s="6248"/>
      <c r="K3" s="6249"/>
    </row>
    <row r="4" spans="2:11" ht="23.25" customHeight="1">
      <c r="B4" s="6247"/>
      <c r="C4" s="6248"/>
      <c r="D4" s="6248"/>
      <c r="E4" s="6248"/>
      <c r="F4" s="6248"/>
      <c r="G4" s="6248"/>
      <c r="H4" s="6248"/>
      <c r="I4" s="6248"/>
      <c r="J4" s="6248"/>
      <c r="K4" s="6249"/>
    </row>
    <row r="5" spans="2:11" ht="23.25" customHeight="1">
      <c r="B5" s="6247"/>
      <c r="C5" s="6248"/>
      <c r="D5" s="6248"/>
      <c r="E5" s="6248"/>
      <c r="F5" s="6248"/>
      <c r="G5" s="6248"/>
      <c r="H5" s="6248"/>
      <c r="I5" s="6248"/>
      <c r="J5" s="6248"/>
      <c r="K5" s="6249"/>
    </row>
    <row r="6" spans="2:11" ht="23.25" customHeight="1">
      <c r="B6" s="6247"/>
      <c r="C6" s="6248"/>
      <c r="D6" s="6248"/>
      <c r="E6" s="6248"/>
      <c r="F6" s="6248"/>
      <c r="G6" s="6248"/>
      <c r="H6" s="6248"/>
      <c r="I6" s="6248"/>
      <c r="J6" s="6248"/>
      <c r="K6" s="6249"/>
    </row>
    <row r="7" spans="2:11" ht="23.25" customHeight="1">
      <c r="B7" s="6247"/>
      <c r="C7" s="6248"/>
      <c r="D7" s="6248"/>
      <c r="E7" s="6248"/>
      <c r="F7" s="6248"/>
      <c r="G7" s="6248"/>
      <c r="H7" s="6248"/>
      <c r="I7" s="6248"/>
      <c r="J7" s="6248"/>
      <c r="K7" s="6249"/>
    </row>
    <row r="8" spans="2:11" ht="23.25" customHeight="1">
      <c r="B8" s="6247"/>
      <c r="C8" s="6248"/>
      <c r="D8" s="6248"/>
      <c r="E8" s="6248"/>
      <c r="F8" s="6248"/>
      <c r="G8" s="6248"/>
      <c r="H8" s="6248"/>
      <c r="I8" s="6248"/>
      <c r="J8" s="6248"/>
      <c r="K8" s="6249"/>
    </row>
    <row r="9" spans="2:11" ht="23.25" customHeight="1">
      <c r="B9" s="6247"/>
      <c r="C9" s="6248"/>
      <c r="D9" s="6248"/>
      <c r="E9" s="6248"/>
      <c r="F9" s="6248"/>
      <c r="G9" s="6248"/>
      <c r="H9" s="6248"/>
      <c r="I9" s="6248"/>
      <c r="J9" s="6248"/>
      <c r="K9" s="6249"/>
    </row>
    <row r="10" spans="2:11" ht="12.75" customHeight="1" thickBot="1">
      <c r="B10" s="6250"/>
      <c r="C10" s="6251"/>
      <c r="D10" s="6251"/>
      <c r="E10" s="6251"/>
      <c r="F10" s="6251"/>
      <c r="G10" s="6251"/>
      <c r="H10" s="6251"/>
      <c r="I10" s="6251"/>
      <c r="J10" s="6251"/>
      <c r="K10" s="6252"/>
    </row>
    <row r="11" spans="2:11" ht="14.25" thickBot="1">
      <c r="B11" s="1221"/>
      <c r="C11" s="1221"/>
      <c r="D11" s="1221"/>
      <c r="E11" s="1221"/>
      <c r="F11" s="1221"/>
      <c r="G11" s="1221"/>
      <c r="H11" s="1221"/>
      <c r="I11" s="1221"/>
      <c r="J11" s="1221"/>
      <c r="K11" s="1221"/>
    </row>
    <row r="12" spans="2:11">
      <c r="B12" s="6253" t="s">
        <v>2</v>
      </c>
      <c r="C12" s="6245"/>
      <c r="D12" s="6245"/>
      <c r="E12" s="6245"/>
      <c r="F12" s="6245"/>
      <c r="G12" s="6245"/>
      <c r="H12" s="6245"/>
      <c r="I12" s="6245"/>
      <c r="J12" s="6245"/>
      <c r="K12" s="6246"/>
    </row>
    <row r="13" spans="2:11">
      <c r="B13" s="6247"/>
      <c r="C13" s="6248"/>
      <c r="D13" s="6248"/>
      <c r="E13" s="6248"/>
      <c r="F13" s="6248"/>
      <c r="G13" s="6248"/>
      <c r="H13" s="6248"/>
      <c r="I13" s="6248"/>
      <c r="J13" s="6248"/>
      <c r="K13" s="6249"/>
    </row>
    <row r="14" spans="2:11">
      <c r="B14" s="6247"/>
      <c r="C14" s="6248"/>
      <c r="D14" s="6248"/>
      <c r="E14" s="6248"/>
      <c r="F14" s="6248"/>
      <c r="G14" s="6248"/>
      <c r="H14" s="6248"/>
      <c r="I14" s="6248"/>
      <c r="J14" s="6248"/>
      <c r="K14" s="6249"/>
    </row>
    <row r="15" spans="2:11">
      <c r="B15" s="6247"/>
      <c r="C15" s="6248"/>
      <c r="D15" s="6248"/>
      <c r="E15" s="6248"/>
      <c r="F15" s="6248"/>
      <c r="G15" s="6248"/>
      <c r="H15" s="6248"/>
      <c r="I15" s="6248"/>
      <c r="J15" s="6248"/>
      <c r="K15" s="6249"/>
    </row>
    <row r="16" spans="2:11">
      <c r="B16" s="6247"/>
      <c r="C16" s="6248"/>
      <c r="D16" s="6248"/>
      <c r="E16" s="6248"/>
      <c r="F16" s="6248"/>
      <c r="G16" s="6248"/>
      <c r="H16" s="6248"/>
      <c r="I16" s="6248"/>
      <c r="J16" s="6248"/>
      <c r="K16" s="6249"/>
    </row>
    <row r="17" spans="2:11">
      <c r="B17" s="6247"/>
      <c r="C17" s="6248"/>
      <c r="D17" s="6248"/>
      <c r="E17" s="6248"/>
      <c r="F17" s="6248"/>
      <c r="G17" s="6248"/>
      <c r="H17" s="6248"/>
      <c r="I17" s="6248"/>
      <c r="J17" s="6248"/>
      <c r="K17" s="6249"/>
    </row>
    <row r="18" spans="2:11">
      <c r="B18" s="6247"/>
      <c r="C18" s="6248"/>
      <c r="D18" s="6248"/>
      <c r="E18" s="6248"/>
      <c r="F18" s="6248"/>
      <c r="G18" s="6248"/>
      <c r="H18" s="6248"/>
      <c r="I18" s="6248"/>
      <c r="J18" s="6248"/>
      <c r="K18" s="6249"/>
    </row>
    <row r="19" spans="2:11">
      <c r="B19" s="6247"/>
      <c r="C19" s="6248"/>
      <c r="D19" s="6248"/>
      <c r="E19" s="6248"/>
      <c r="F19" s="6248"/>
      <c r="G19" s="6248"/>
      <c r="H19" s="6248"/>
      <c r="I19" s="6248"/>
      <c r="J19" s="6248"/>
      <c r="K19" s="6249"/>
    </row>
    <row r="20" spans="2:11" ht="13.5" thickBot="1">
      <c r="B20" s="6250"/>
      <c r="C20" s="6251"/>
      <c r="D20" s="6251"/>
      <c r="E20" s="6251"/>
      <c r="F20" s="6251"/>
      <c r="G20" s="6251"/>
      <c r="H20" s="6251"/>
      <c r="I20" s="6251"/>
      <c r="J20" s="6251"/>
      <c r="K20" s="6252"/>
    </row>
    <row r="21" spans="2:11" ht="14.25" thickBot="1">
      <c r="B21" s="1221"/>
      <c r="C21" s="1221"/>
      <c r="D21" s="1221"/>
      <c r="E21" s="1221"/>
      <c r="F21" s="1221"/>
      <c r="G21" s="1221"/>
      <c r="H21" s="1221"/>
      <c r="I21" s="1221"/>
      <c r="J21" s="1221"/>
      <c r="K21" s="1221"/>
    </row>
    <row r="22" spans="2:11" ht="27" customHeight="1">
      <c r="B22" s="6253" t="s">
        <v>3</v>
      </c>
      <c r="C22" s="6254"/>
      <c r="D22" s="6254"/>
      <c r="E22" s="6254"/>
      <c r="F22" s="6254"/>
      <c r="G22" s="6254"/>
      <c r="H22" s="6254"/>
      <c r="I22" s="6254"/>
      <c r="J22" s="6254"/>
      <c r="K22" s="6255"/>
    </row>
    <row r="23" spans="2:11" ht="18" customHeight="1">
      <c r="B23" s="6256"/>
      <c r="C23" s="6257"/>
      <c r="D23" s="6257"/>
      <c r="E23" s="6257"/>
      <c r="F23" s="6257"/>
      <c r="G23" s="6257"/>
      <c r="H23" s="6257"/>
      <c r="I23" s="6257"/>
      <c r="J23" s="6257"/>
      <c r="K23" s="6258"/>
    </row>
    <row r="24" spans="2:11" ht="18" customHeight="1">
      <c r="B24" s="3204"/>
      <c r="C24" s="3205"/>
      <c r="D24" s="3205"/>
      <c r="E24" s="3214" t="s">
        <v>4</v>
      </c>
      <c r="F24" s="3205"/>
      <c r="G24" s="3205"/>
      <c r="H24" s="3205"/>
      <c r="I24" s="3205"/>
      <c r="J24" s="3205"/>
      <c r="K24" s="3206"/>
    </row>
    <row r="25" spans="2:11" ht="13.5" customHeight="1">
      <c r="B25" s="3207"/>
      <c r="C25" s="3212" t="s">
        <v>5</v>
      </c>
      <c r="D25" s="3212"/>
      <c r="E25" s="3212"/>
      <c r="F25" s="3212"/>
      <c r="G25" s="3212"/>
      <c r="H25" s="3212"/>
      <c r="I25" s="3212"/>
      <c r="J25" s="3212"/>
      <c r="K25" s="3208"/>
    </row>
    <row r="26" spans="2:11" ht="13.5" customHeight="1">
      <c r="B26" s="3207"/>
      <c r="C26" s="3212" t="s">
        <v>6</v>
      </c>
      <c r="D26" s="3212"/>
      <c r="E26" s="3212"/>
      <c r="F26" s="3212"/>
      <c r="G26" s="3212"/>
      <c r="H26" s="3212"/>
      <c r="I26" s="3212"/>
      <c r="J26" s="3212"/>
      <c r="K26" s="3208"/>
    </row>
    <row r="27" spans="2:11" ht="13.5" customHeight="1">
      <c r="B27" s="3207"/>
      <c r="C27" s="3212" t="s">
        <v>7</v>
      </c>
      <c r="D27" s="3212"/>
      <c r="E27" s="3212"/>
      <c r="F27" s="3212"/>
      <c r="G27" s="3212"/>
      <c r="H27" s="3212"/>
      <c r="I27" s="3212"/>
      <c r="J27" s="3212"/>
      <c r="K27" s="3208"/>
    </row>
    <row r="28" spans="2:11" ht="13.5" customHeight="1">
      <c r="B28" s="3207"/>
      <c r="C28" s="3212" t="s">
        <v>8</v>
      </c>
      <c r="D28" s="3212"/>
      <c r="E28" s="3212"/>
      <c r="F28" s="3212"/>
      <c r="G28" s="3212"/>
      <c r="H28" s="3212"/>
      <c r="I28" s="3212"/>
      <c r="J28" s="3212"/>
      <c r="K28" s="3208"/>
    </row>
    <row r="29" spans="2:11" ht="13.5" customHeight="1">
      <c r="B29" s="3207"/>
      <c r="C29" s="3212" t="s">
        <v>9</v>
      </c>
      <c r="D29" s="3212"/>
      <c r="E29" s="3212"/>
      <c r="F29" s="3212"/>
      <c r="G29" s="3212"/>
      <c r="H29" s="3212"/>
      <c r="I29" s="3212"/>
      <c r="J29" s="3212"/>
      <c r="K29" s="3208"/>
    </row>
    <row r="30" spans="2:11" ht="24.75" customHeight="1" thickBot="1">
      <c r="B30" s="3209"/>
      <c r="C30" s="3210"/>
      <c r="D30" s="3210"/>
      <c r="E30" s="3213" t="s">
        <v>10</v>
      </c>
      <c r="F30" s="3210"/>
      <c r="G30" s="3210"/>
      <c r="H30" s="3210"/>
      <c r="I30" s="3210"/>
      <c r="J30" s="3210"/>
      <c r="K30" s="3211"/>
    </row>
    <row r="31" spans="2:11" ht="14.25" thickBot="1">
      <c r="B31" s="1221"/>
      <c r="C31" s="1221"/>
      <c r="D31" s="1221"/>
      <c r="E31" s="1221"/>
      <c r="F31" s="1221"/>
      <c r="G31" s="1221"/>
      <c r="H31" s="1221"/>
      <c r="I31" s="1221"/>
      <c r="J31" s="1221"/>
      <c r="K31" s="1221"/>
    </row>
    <row r="32" spans="2:11" ht="12.75" customHeight="1">
      <c r="B32" s="1230"/>
      <c r="C32" s="890"/>
      <c r="D32" s="890"/>
      <c r="E32" s="890"/>
      <c r="F32" s="1222"/>
      <c r="G32" s="890"/>
      <c r="H32" s="890"/>
      <c r="I32" s="890"/>
      <c r="J32" s="890"/>
      <c r="K32" s="891"/>
    </row>
    <row r="33" spans="1:14" ht="21.75" customHeight="1">
      <c r="B33" s="3038" t="s">
        <v>11</v>
      </c>
      <c r="F33" s="1880"/>
      <c r="K33" s="860"/>
    </row>
    <row r="34" spans="1:14">
      <c r="B34" s="1227" t="s">
        <v>12</v>
      </c>
      <c r="E34" s="1223">
        <f>Adj_Gross_Inc</f>
        <v>0</v>
      </c>
      <c r="G34" s="892" t="s">
        <v>13</v>
      </c>
      <c r="K34" s="860"/>
      <c r="M34" s="1962" t="s">
        <v>14</v>
      </c>
      <c r="N34" s="874" t="str">
        <f>IF(Taxable_Inc="","---",IF(Taxable_Inc&lt;BOTT_A2,TEXT(RATE_A1,"0%"),IF(Taxable_Inc&lt;BOTT_A3,TEXT(RATE_A2,"0%"),IF(Taxable_Inc&lt;BOTT_A4,TEXT(RATE_A3,"0%"),IF(Taxable_Inc&lt;BOTT_A5,TEXT(RATE_A4,"0%"),IF(Taxable_Inc&lt;BOTT_A6,TEXT(RATE_A5,"0%"),IF(Taxable_Inc&lt;BOTT_A7,TEXT(RATE_A6,"0%"),TEXT(RATE_A7,"0.0%"))))))))</f>
        <v>10%</v>
      </c>
    </row>
    <row r="35" spans="1:14">
      <c r="B35" s="1227" t="s">
        <v>15</v>
      </c>
      <c r="E35" s="1224">
        <f>TotalDeductions</f>
        <v>0</v>
      </c>
      <c r="G35" s="892" t="s">
        <v>16</v>
      </c>
      <c r="K35" s="860"/>
      <c r="M35" s="1962"/>
      <c r="N35" s="874"/>
    </row>
    <row r="36" spans="1:14" ht="15">
      <c r="A36" s="965"/>
      <c r="B36" s="1227" t="s">
        <v>17</v>
      </c>
      <c r="E36" s="1224">
        <f>Taxable_Inc</f>
        <v>0</v>
      </c>
      <c r="F36" s="1225"/>
      <c r="G36" s="892" t="s">
        <v>18</v>
      </c>
      <c r="K36" s="860"/>
      <c r="M36" s="1962" t="s">
        <v>19</v>
      </c>
      <c r="N36" s="874" t="str">
        <f>IF(Taxable_Inc="","---",IF(Taxable_Inc&lt;BOTT_B2,TEXT(RATE_B1,"0%"),IF(Taxable_Inc&lt;BOTT_B3,TEXT(RATE_B2,"0%"),IF(Taxable_Inc&lt;BOTT_B4,TEXT(RATE_B3,"0%"),IF(Taxable_Inc&lt;BOTT_B5,TEXT(RATE_B4,"0%"),IF(Taxable_Inc&lt;BOTT_B6,TEXT(RATE_B5,"0%"),IF(Taxable_Inc&lt;BOTT_B7,TEXT(RATE_B6,"0%"),TEXT(RATE_B7,"0.0%"))))))))</f>
        <v>10%</v>
      </c>
    </row>
    <row r="37" spans="1:14" ht="15">
      <c r="B37" s="1227" t="s">
        <v>20</v>
      </c>
      <c r="E37" s="1224">
        <f>Tot_Tax</f>
        <v>0</v>
      </c>
      <c r="F37" s="1225"/>
      <c r="G37" s="892" t="s">
        <v>21</v>
      </c>
      <c r="K37" s="860"/>
      <c r="M37" s="1962" t="s">
        <v>22</v>
      </c>
      <c r="N37" s="874" t="str">
        <f>IF(Taxable_Inc="","---",IF(Taxable_Inc&lt;BOTT_C2,TEXT(RATE_C1,"0%"),IF(Taxable_Inc&lt;BOTT_C3,TEXT(RATE_C2,"0%"),IF(Taxable_Inc&lt;BOTT_C4,TEXT(RATE_C3,"0%"),IF(Taxable_Inc&lt;BOTT_C5,TEXT(RATE_C4,"0%"),IF(Taxable_Inc&lt;BOTT_C6,TEXT(RATE_C5,"0%"),IF(Taxable_Inc&lt;BOTT_C7,TEXT(RATE_C6,"0%"),TEXT(RATE_C7,"0.0%"))))))))</f>
        <v>10%</v>
      </c>
    </row>
    <row r="38" spans="1:14" ht="15">
      <c r="B38" s="1227" t="s">
        <v>23</v>
      </c>
      <c r="E38" s="1224">
        <f>Tot_Payments</f>
        <v>0</v>
      </c>
      <c r="F38" s="1225"/>
      <c r="G38" s="892" t="s">
        <v>24</v>
      </c>
      <c r="K38" s="860"/>
      <c r="M38" s="1962" t="s">
        <v>25</v>
      </c>
      <c r="N38" s="874" t="str">
        <f>IF(Taxable_Inc="","---",IF(Taxable_Inc&lt;BOTT_D2,TEXT(RATE_D1,"0%"),IF(Taxable_Inc&lt;BOTT_D3,TEXT(RATE_D2,"0%"),IF(Taxable_Inc&lt;BOTT_D4,TEXT(RATE_D3,"0%"),IF(Taxable_Inc&lt;BOTT_D5,TEXT(RATE_D4,"0%"),IF(Taxable_Inc&lt;BOTT_D6,TEXT(RATE_D5,"0%"),IF(Taxable_Inc&lt;BOTT_D7,TEXT(RATE_D6,"0%"),TEXT(RATE_D7,"0.0%"))))))))</f>
        <v>10%</v>
      </c>
    </row>
    <row r="39" spans="1:14" ht="15">
      <c r="B39" s="1227" t="str">
        <f>IF(Overpaid&gt;0,"Amount You Overpaid",IF(AND(E39&lt;&gt;"",E39&gt;0),"Amount You Underpaid",""))</f>
        <v/>
      </c>
      <c r="E39" s="1224" t="str">
        <f>IF(Overpaid&gt;0,Overpaid,IF(SUM(Tot_Tax,-Tot_Payments)&gt;0,SUM(Tot_Tax,-Tot_Payments),""))</f>
        <v/>
      </c>
      <c r="F39" s="1225"/>
      <c r="G39" s="892" t="str">
        <f>IF(Overpaid&gt;0,"Form 1040, Line 34","")</f>
        <v/>
      </c>
      <c r="K39" s="860"/>
      <c r="M39" s="1962"/>
      <c r="N39" s="874"/>
    </row>
    <row r="40" spans="1:14" ht="15">
      <c r="B40" s="1227" t="str">
        <f>IF(TaxPenalty&gt;0,"Penalty/Interest","")</f>
        <v/>
      </c>
      <c r="E40" s="1224" t="str">
        <f>IF(TaxPenalty&gt;0,TaxPenalty,"")</f>
        <v/>
      </c>
      <c r="F40" s="1225"/>
      <c r="G40" s="892" t="str">
        <f>IF(TaxPenalty&gt;0,"Form 1040, Line 38","")</f>
        <v/>
      </c>
      <c r="K40" s="860"/>
      <c r="M40" s="1962"/>
      <c r="N40" s="874"/>
    </row>
    <row r="41" spans="1:14">
      <c r="B41" s="1227" t="str">
        <f>IF(Overpaid&gt;0,"Amount To be Refunded","Amount You Owe")</f>
        <v>Amount You Owe</v>
      </c>
      <c r="E41" s="1224">
        <f>IF(Overpaid&gt;0,Overpaid,You_Owe)</f>
        <v>0</v>
      </c>
      <c r="G41" s="892" t="str">
        <f>IF(Overpaid&gt;0,"Form 1040, Line 35a","Form 1040, Line 37")</f>
        <v>Form 1040, Line 37</v>
      </c>
      <c r="K41" s="860"/>
    </row>
    <row r="42" spans="1:14">
      <c r="B42" s="1228"/>
      <c r="K42" s="860"/>
    </row>
    <row r="43" spans="1:14">
      <c r="B43" s="1227" t="s">
        <v>26</v>
      </c>
      <c r="E43" s="1226" t="str">
        <f>IF(File_Single&lt;&gt;"",N34,IF(OR(File_Marr_Joint&lt;&gt;"",File_Qual_Widow&lt;&gt;""),N36,IF(File_Marr_Sep&lt;&gt;"",N37,IF(File_Head&lt;&gt;"",N38,"---"))))</f>
        <v>---</v>
      </c>
      <c r="G43" s="892"/>
      <c r="K43" s="860"/>
    </row>
    <row r="44" spans="1:14" ht="13.5" thickBot="1">
      <c r="B44" s="1229"/>
      <c r="C44" s="896"/>
      <c r="D44" s="896"/>
      <c r="E44" s="896"/>
      <c r="F44" s="896"/>
      <c r="G44" s="896"/>
      <c r="H44" s="896"/>
      <c r="I44" s="896"/>
      <c r="J44" s="896"/>
      <c r="K44" s="897"/>
    </row>
    <row r="45" spans="1:14" ht="13.5" thickBot="1"/>
    <row r="46" spans="1:14">
      <c r="B46" s="889"/>
      <c r="C46" s="890"/>
      <c r="D46" s="890"/>
      <c r="E46" s="890"/>
      <c r="F46" s="890"/>
      <c r="G46" s="890"/>
      <c r="H46" s="890"/>
      <c r="I46" s="890"/>
      <c r="J46" s="890"/>
      <c r="K46" s="891"/>
    </row>
    <row r="47" spans="1:14" ht="21.75" customHeight="1">
      <c r="B47" s="6240" t="s">
        <v>27</v>
      </c>
      <c r="C47" s="6241"/>
      <c r="D47" s="6241"/>
      <c r="E47" s="6241"/>
      <c r="F47" s="6241"/>
      <c r="G47" s="6241"/>
      <c r="H47" s="6241"/>
      <c r="I47" s="6241"/>
      <c r="J47" s="6241"/>
      <c r="K47" s="6242"/>
    </row>
    <row r="48" spans="1:14" ht="21.75" customHeight="1">
      <c r="B48" s="6243"/>
      <c r="C48" s="6241"/>
      <c r="D48" s="6241"/>
      <c r="E48" s="6241"/>
      <c r="F48" s="6241"/>
      <c r="G48" s="6241"/>
      <c r="H48" s="6241"/>
      <c r="I48" s="6241"/>
      <c r="J48" s="6241"/>
      <c r="K48" s="6242"/>
    </row>
    <row r="49" spans="2:12" ht="21.75" customHeight="1">
      <c r="B49" s="6243"/>
      <c r="C49" s="6241"/>
      <c r="D49" s="6241"/>
      <c r="E49" s="6241"/>
      <c r="F49" s="6241"/>
      <c r="G49" s="6241"/>
      <c r="H49" s="6241"/>
      <c r="I49" s="6241"/>
      <c r="J49" s="6241"/>
      <c r="K49" s="6242"/>
    </row>
    <row r="50" spans="2:12" ht="21.75" customHeight="1">
      <c r="B50" s="6243"/>
      <c r="C50" s="6241"/>
      <c r="D50" s="6241"/>
      <c r="E50" s="6241"/>
      <c r="F50" s="6241"/>
      <c r="G50" s="6241"/>
      <c r="H50" s="6241"/>
      <c r="I50" s="6241"/>
      <c r="J50" s="6241"/>
      <c r="K50" s="6242"/>
    </row>
    <row r="51" spans="2:12">
      <c r="B51" s="6243"/>
      <c r="C51" s="6241"/>
      <c r="D51" s="6241"/>
      <c r="E51" s="6241"/>
      <c r="F51" s="6241"/>
      <c r="G51" s="6241"/>
      <c r="H51" s="6241"/>
      <c r="I51" s="6241"/>
      <c r="J51" s="6241"/>
      <c r="K51" s="6242"/>
    </row>
    <row r="52" spans="2:12">
      <c r="B52" s="1251"/>
      <c r="C52" s="2989" t="s">
        <v>28</v>
      </c>
      <c r="D52" s="1252"/>
      <c r="E52" s="2989" t="s">
        <v>29</v>
      </c>
      <c r="F52" s="1252"/>
      <c r="G52" s="1252"/>
      <c r="H52" s="1252"/>
      <c r="I52" s="1252"/>
      <c r="J52" s="1252"/>
      <c r="K52" s="860"/>
      <c r="L52" s="894"/>
    </row>
    <row r="53" spans="2:12">
      <c r="B53" s="2990"/>
      <c r="C53" s="2142" t="s">
        <v>30</v>
      </c>
      <c r="D53" s="2242"/>
      <c r="E53" s="2142" t="s">
        <v>31</v>
      </c>
      <c r="F53" s="2242"/>
      <c r="G53" s="2242"/>
      <c r="H53" s="2242"/>
      <c r="I53" s="2242"/>
      <c r="J53" s="2242"/>
      <c r="K53" s="2991"/>
    </row>
    <row r="54" spans="2:12">
      <c r="B54" s="1251"/>
      <c r="C54" s="2361" t="s">
        <v>32</v>
      </c>
      <c r="D54" s="1252"/>
      <c r="E54" s="2361" t="s">
        <v>33</v>
      </c>
      <c r="F54" s="1252"/>
      <c r="G54" s="1252"/>
      <c r="H54" s="1252"/>
      <c r="I54" s="1252"/>
      <c r="J54" s="1252"/>
      <c r="K54" s="1253"/>
    </row>
    <row r="55" spans="2:12">
      <c r="B55" s="1251"/>
      <c r="C55" s="1252"/>
      <c r="D55" s="1252"/>
      <c r="E55" s="2361"/>
      <c r="F55" s="1252"/>
      <c r="G55" s="1252"/>
      <c r="H55" s="1252"/>
      <c r="I55" s="1252"/>
      <c r="J55" s="1252"/>
      <c r="K55" s="1253"/>
    </row>
    <row r="56" spans="2:12">
      <c r="B56" s="1251"/>
      <c r="C56" s="2989" t="s">
        <v>34</v>
      </c>
      <c r="D56" s="1252"/>
      <c r="E56" s="2989" t="s">
        <v>35</v>
      </c>
      <c r="F56" s="1252"/>
      <c r="G56" s="1252"/>
      <c r="H56" s="1252"/>
      <c r="I56" s="1252"/>
      <c r="J56" s="1252"/>
      <c r="K56" s="860"/>
      <c r="L56" s="894"/>
    </row>
    <row r="57" spans="2:12">
      <c r="B57" s="2990"/>
      <c r="C57" s="2142" t="s">
        <v>36</v>
      </c>
      <c r="D57" s="780"/>
      <c r="E57" s="2142" t="s">
        <v>37</v>
      </c>
      <c r="F57" s="780"/>
      <c r="G57" s="780"/>
      <c r="H57" s="780"/>
      <c r="I57" s="780"/>
      <c r="J57" s="780"/>
      <c r="K57" s="1079"/>
    </row>
    <row r="58" spans="2:12">
      <c r="B58" s="1251"/>
      <c r="C58" s="2361" t="s">
        <v>32</v>
      </c>
      <c r="D58" s="1252"/>
      <c r="E58" s="2361" t="s">
        <v>32</v>
      </c>
      <c r="F58" s="1252"/>
      <c r="G58" s="1252"/>
      <c r="H58" s="1252"/>
      <c r="I58" s="1252"/>
      <c r="J58" s="1252"/>
      <c r="K58" s="1253"/>
    </row>
    <row r="59" spans="2:12">
      <c r="B59" s="1251"/>
      <c r="C59" s="1252"/>
      <c r="D59" s="1252"/>
      <c r="E59" s="1252"/>
      <c r="F59" s="1252"/>
      <c r="G59" s="1252"/>
      <c r="H59" s="1252"/>
      <c r="I59" s="1252"/>
      <c r="J59" s="1252"/>
      <c r="K59" s="1253"/>
    </row>
    <row r="60" spans="2:12">
      <c r="B60" s="1251"/>
      <c r="C60" s="2989" t="s">
        <v>38</v>
      </c>
      <c r="D60" s="1252"/>
      <c r="E60" s="2989"/>
      <c r="F60" s="1252"/>
      <c r="G60" s="1252"/>
      <c r="H60" s="1252"/>
      <c r="I60" s="1252"/>
      <c r="J60" s="1252"/>
      <c r="K60" s="860"/>
      <c r="L60" s="894"/>
    </row>
    <row r="61" spans="2:12" ht="16.5">
      <c r="B61" s="1251"/>
      <c r="C61" s="2988" t="s">
        <v>39</v>
      </c>
      <c r="E61" s="2988"/>
      <c r="K61" s="860"/>
      <c r="L61" s="894"/>
    </row>
    <row r="62" spans="2:12" ht="16.5">
      <c r="B62" s="1251"/>
      <c r="C62" s="2988" t="s">
        <v>40</v>
      </c>
      <c r="E62" s="2988"/>
      <c r="K62" s="860"/>
      <c r="L62" s="894"/>
    </row>
    <row r="63" spans="2:12" ht="16.5">
      <c r="B63" s="1251"/>
      <c r="C63" s="2988" t="s">
        <v>41</v>
      </c>
      <c r="E63" s="2988"/>
      <c r="K63" s="860"/>
      <c r="L63" s="894"/>
    </row>
    <row r="64" spans="2:12" ht="16.5">
      <c r="B64" s="1251"/>
      <c r="C64" s="2988" t="s">
        <v>42</v>
      </c>
      <c r="E64" s="2988"/>
      <c r="K64" s="860"/>
      <c r="L64" s="894"/>
    </row>
    <row r="65" spans="2:11" ht="16.5">
      <c r="B65" s="1251"/>
      <c r="E65" s="2988"/>
      <c r="K65" s="860"/>
    </row>
    <row r="66" spans="2:11" ht="22.5" customHeight="1">
      <c r="B66" s="1251"/>
      <c r="C66" s="2992"/>
      <c r="D66" s="2994" t="s">
        <v>43</v>
      </c>
      <c r="E66" s="2992"/>
      <c r="F66" s="2992"/>
      <c r="G66" s="2992"/>
      <c r="H66" s="2992"/>
      <c r="I66" s="2992"/>
      <c r="J66" s="2992"/>
      <c r="K66" s="2993"/>
    </row>
    <row r="67" spans="2:11" ht="13.5" thickBot="1">
      <c r="B67" s="895"/>
      <c r="C67" s="896"/>
      <c r="D67" s="896"/>
      <c r="E67" s="896"/>
      <c r="F67" s="896"/>
      <c r="G67" s="896"/>
      <c r="H67" s="896"/>
      <c r="I67" s="896"/>
      <c r="J67" s="896"/>
      <c r="K67" s="897"/>
    </row>
    <row r="68" spans="2:11">
      <c r="B68" s="890"/>
      <c r="C68" s="890"/>
      <c r="D68" s="890"/>
      <c r="E68" s="890"/>
      <c r="F68" s="890"/>
      <c r="G68" s="890"/>
      <c r="H68" s="890"/>
      <c r="I68" s="890"/>
      <c r="J68" s="890"/>
      <c r="K68" s="890"/>
    </row>
  </sheetData>
  <sheetProtection algorithmName="SHA-512" hashValue="Pk3p5NuymkjcrK+o9wm0SacENmMpwZj40o7+CFdbuaF7xfhp3PQuaRxguwvKTCe49d8nyIxNmiMDESOTz1qcDw==" saltValue="0ZCpihF5Hzr3W+fv5MvbhQ==" spinCount="100000" sheet="1" objects="1" scenarios="1"/>
  <mergeCells count="4">
    <mergeCell ref="B47:K51"/>
    <mergeCell ref="B2:K10"/>
    <mergeCell ref="B12:K20"/>
    <mergeCell ref="B22:K23"/>
  </mergeCells>
  <conditionalFormatting sqref="A36">
    <cfRule type="expression" dxfId="3303" priority="4">
      <formula>IF(Disclaimer,TRUE,FALSE)</formula>
    </cfRule>
  </conditionalFormatting>
  <conditionalFormatting sqref="F36:F40">
    <cfRule type="expression" dxfId="3302"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2"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67"/>
  <sheetViews>
    <sheetView topLeftCell="A22" zoomScaleNormal="100" workbookViewId="0">
      <selection activeCell="B43" sqref="B43"/>
    </sheetView>
  </sheetViews>
  <sheetFormatPr defaultRowHeight="14.25" customHeight="1"/>
  <cols>
    <col min="1" max="1" width="4" style="918" customWidth="1"/>
    <col min="2" max="2" width="32.140625" style="595" customWidth="1"/>
    <col min="3" max="3" width="114.42578125" style="3179" customWidth="1"/>
    <col min="4" max="4" width="3.7109375" style="3179" customWidth="1"/>
    <col min="5" max="5" width="9.140625" hidden="1" customWidth="1"/>
    <col min="6" max="6" width="31" style="187" hidden="1" customWidth="1"/>
    <col min="7" max="11" width="12.28515625" style="187" hidden="1" customWidth="1"/>
    <col min="12" max="12" width="14.5703125" style="187" hidden="1" customWidth="1"/>
    <col min="13" max="13" width="9.140625" customWidth="1"/>
    <col min="15" max="15" width="13.5703125" customWidth="1"/>
  </cols>
  <sheetData>
    <row r="1" spans="1:12" ht="14.25" customHeight="1" thickBot="1">
      <c r="A1" s="3274"/>
      <c r="B1" s="4606"/>
      <c r="C1" s="3919"/>
      <c r="D1" s="3919"/>
    </row>
    <row r="2" spans="1:12" ht="8.25" customHeight="1" thickTop="1">
      <c r="A2" s="6261" t="s">
        <v>5828</v>
      </c>
      <c r="B2" s="6259" t="s">
        <v>44</v>
      </c>
      <c r="C2" s="3180"/>
      <c r="D2" s="3916"/>
    </row>
    <row r="3" spans="1:12" ht="16.5" customHeight="1" thickBot="1">
      <c r="A3" s="6261"/>
      <c r="B3" s="6260"/>
      <c r="C3" s="3189" t="s">
        <v>45</v>
      </c>
      <c r="D3" s="3917"/>
    </row>
    <row r="4" spans="1:12" ht="16.5" customHeight="1">
      <c r="A4" s="6261"/>
      <c r="B4" s="6260"/>
      <c r="C4" s="3184" t="s">
        <v>46</v>
      </c>
      <c r="D4" s="3918"/>
      <c r="F4" s="3674"/>
      <c r="G4" s="3675" t="s">
        <v>47</v>
      </c>
      <c r="H4" s="3676" t="s">
        <v>49</v>
      </c>
      <c r="I4" s="3675" t="s">
        <v>47</v>
      </c>
      <c r="J4" s="3676" t="s">
        <v>49</v>
      </c>
      <c r="K4" s="3675" t="s">
        <v>48</v>
      </c>
      <c r="L4" s="3676" t="s">
        <v>48</v>
      </c>
    </row>
    <row r="5" spans="1:12" ht="16.5" customHeight="1" thickBot="1">
      <c r="A5" s="6261"/>
      <c r="B5" s="6260"/>
      <c r="C5" s="3942" t="str">
        <f>"© Glenn Reeves, "&amp;TaxYear+1</f>
        <v>© Glenn Reeves, 2024</v>
      </c>
      <c r="D5" s="3919"/>
      <c r="F5" s="3677" t="s">
        <v>50</v>
      </c>
      <c r="G5" s="3666" t="s">
        <v>52</v>
      </c>
      <c r="H5" s="3667" t="s">
        <v>52</v>
      </c>
      <c r="I5" s="3666" t="s">
        <v>50</v>
      </c>
      <c r="J5" s="3667" t="s">
        <v>50</v>
      </c>
      <c r="K5" s="3666" t="s">
        <v>51</v>
      </c>
      <c r="L5" s="3667" t="s">
        <v>53</v>
      </c>
    </row>
    <row r="6" spans="1:12" ht="16.5" customHeight="1">
      <c r="A6" s="6261"/>
      <c r="B6" s="3872"/>
      <c r="C6" s="3188" t="s">
        <v>54</v>
      </c>
      <c r="D6" s="3920"/>
      <c r="F6" s="4154" t="s">
        <v>55</v>
      </c>
      <c r="G6" s="4155">
        <v>45302</v>
      </c>
      <c r="H6" s="3669"/>
      <c r="I6" s="4155"/>
      <c r="J6" s="3669"/>
      <c r="K6" s="3672"/>
      <c r="L6" s="4530"/>
    </row>
    <row r="7" spans="1:12" ht="16.5" customHeight="1">
      <c r="A7" s="6183" t="str">
        <f t="shared" ref="A7:A38" si="0">IF(L7&lt;&gt;"","F",IF(K7&lt;&gt;"","D",""))</f>
        <v/>
      </c>
      <c r="B7" s="3185" t="s">
        <v>56</v>
      </c>
      <c r="C7" s="3182" t="s">
        <v>57</v>
      </c>
      <c r="D7" s="3921"/>
      <c r="F7" s="3678"/>
      <c r="G7" s="3668"/>
      <c r="H7" s="3669"/>
      <c r="I7" s="3668"/>
      <c r="J7" s="3669"/>
      <c r="K7" s="3672"/>
      <c r="L7" s="3679"/>
    </row>
    <row r="8" spans="1:12" ht="16.5" customHeight="1">
      <c r="A8" s="6183" t="str">
        <f t="shared" si="0"/>
        <v/>
      </c>
      <c r="B8" s="3185" t="s">
        <v>46</v>
      </c>
      <c r="C8" s="3182" t="s">
        <v>58</v>
      </c>
      <c r="D8" s="3921"/>
      <c r="F8" s="3678"/>
      <c r="G8" s="3670"/>
      <c r="H8" s="3671"/>
      <c r="I8" s="3670"/>
      <c r="J8" s="3671"/>
      <c r="K8" s="3673"/>
      <c r="L8" s="3681"/>
    </row>
    <row r="9" spans="1:12" ht="16.5" customHeight="1">
      <c r="A9" s="6183" t="str">
        <f t="shared" si="0"/>
        <v/>
      </c>
      <c r="B9" s="3185" t="s">
        <v>59</v>
      </c>
      <c r="C9" s="3182" t="s">
        <v>60</v>
      </c>
      <c r="D9" s="3921"/>
      <c r="F9" s="3678"/>
      <c r="G9" s="3670"/>
      <c r="H9" s="3671"/>
      <c r="I9" s="3670"/>
      <c r="J9" s="3671"/>
      <c r="K9" s="3673"/>
      <c r="L9" s="3681"/>
    </row>
    <row r="10" spans="1:12" ht="16.5" customHeight="1">
      <c r="A10" s="6183" t="str">
        <f t="shared" si="0"/>
        <v/>
      </c>
      <c r="B10" s="3185" t="s">
        <v>61</v>
      </c>
      <c r="C10" s="3182" t="s">
        <v>62</v>
      </c>
      <c r="D10" s="3921"/>
      <c r="E10">
        <v>1</v>
      </c>
      <c r="F10" s="3680" t="str">
        <f t="shared" ref="F10:F41" si="1">B10</f>
        <v>W-2s</v>
      </c>
      <c r="G10" s="3670"/>
      <c r="H10" s="3671"/>
      <c r="I10" s="3670"/>
      <c r="J10" s="3671"/>
      <c r="K10" s="3673"/>
      <c r="L10" s="3681"/>
    </row>
    <row r="11" spans="1:12" ht="16.5" customHeight="1">
      <c r="A11" s="6183" t="str">
        <f t="shared" si="0"/>
        <v/>
      </c>
      <c r="B11" s="3185" t="s">
        <v>63</v>
      </c>
      <c r="C11" s="3182" t="s">
        <v>64</v>
      </c>
      <c r="D11" s="3921"/>
      <c r="E11">
        <v>2</v>
      </c>
      <c r="F11" s="3680" t="str">
        <f t="shared" si="1"/>
        <v>1099-INT</v>
      </c>
      <c r="G11" s="3670">
        <v>45232</v>
      </c>
      <c r="H11" s="3671"/>
      <c r="I11" s="3670"/>
      <c r="J11" s="3671"/>
      <c r="K11" s="3673"/>
      <c r="L11" s="3681"/>
    </row>
    <row r="12" spans="1:12" ht="16.5" customHeight="1">
      <c r="A12" s="6183" t="str">
        <f t="shared" si="0"/>
        <v/>
      </c>
      <c r="B12" s="3185" t="s">
        <v>65</v>
      </c>
      <c r="C12" s="3182" t="s">
        <v>66</v>
      </c>
      <c r="D12" s="3921"/>
      <c r="E12">
        <v>3</v>
      </c>
      <c r="F12" s="3680" t="str">
        <f t="shared" si="1"/>
        <v>1099-DIV</v>
      </c>
      <c r="G12" s="3670"/>
      <c r="H12" s="3671"/>
      <c r="I12" s="3670"/>
      <c r="J12" s="3671"/>
      <c r="K12" s="3673"/>
      <c r="L12" s="3681"/>
    </row>
    <row r="13" spans="1:12" ht="16.5" customHeight="1">
      <c r="A13" s="6183" t="str">
        <f t="shared" si="0"/>
        <v/>
      </c>
      <c r="B13" s="3185" t="s">
        <v>67</v>
      </c>
      <c r="C13" s="3182" t="s">
        <v>68</v>
      </c>
      <c r="D13" s="3921"/>
      <c r="E13">
        <v>4</v>
      </c>
      <c r="F13" s="3680" t="str">
        <f t="shared" si="1"/>
        <v>1099-G</v>
      </c>
      <c r="G13" s="3670"/>
      <c r="H13" s="3671"/>
      <c r="I13" s="3670"/>
      <c r="J13" s="3671"/>
      <c r="K13" s="3673"/>
      <c r="L13" s="3681"/>
    </row>
    <row r="14" spans="1:12" ht="16.5" customHeight="1">
      <c r="A14" s="6183" t="str">
        <f t="shared" si="0"/>
        <v>F</v>
      </c>
      <c r="B14" s="3185" t="s">
        <v>69</v>
      </c>
      <c r="C14" s="3182" t="s">
        <v>70</v>
      </c>
      <c r="D14" s="3921"/>
      <c r="E14">
        <v>5</v>
      </c>
      <c r="F14" s="3680" t="str">
        <f t="shared" si="1"/>
        <v>1099-MISC</v>
      </c>
      <c r="G14" s="3670"/>
      <c r="H14" s="3671"/>
      <c r="I14" s="3670"/>
      <c r="J14" s="3671"/>
      <c r="K14" s="3673"/>
      <c r="L14" s="3681">
        <v>45303</v>
      </c>
    </row>
    <row r="15" spans="1:12" ht="16.5" customHeight="1">
      <c r="A15" s="6183" t="str">
        <f t="shared" si="0"/>
        <v>F</v>
      </c>
      <c r="B15" s="3185" t="s">
        <v>71</v>
      </c>
      <c r="C15" s="3182" t="s">
        <v>72</v>
      </c>
      <c r="D15" s="3921"/>
      <c r="E15">
        <v>6</v>
      </c>
      <c r="F15" s="3680" t="str">
        <f t="shared" si="1"/>
        <v>1099-R</v>
      </c>
      <c r="G15" s="3670"/>
      <c r="H15" s="3671"/>
      <c r="I15" s="3670"/>
      <c r="J15" s="3671">
        <v>45218</v>
      </c>
      <c r="K15" s="3673"/>
      <c r="L15" s="3681">
        <v>45233</v>
      </c>
    </row>
    <row r="16" spans="1:12" ht="16.5" customHeight="1">
      <c r="A16" s="6183" t="str">
        <f t="shared" si="0"/>
        <v>F</v>
      </c>
      <c r="B16" s="3185" t="s">
        <v>73</v>
      </c>
      <c r="C16" s="3182" t="s">
        <v>74</v>
      </c>
      <c r="D16" s="3921"/>
      <c r="E16">
        <v>7</v>
      </c>
      <c r="F16" s="3680" t="str">
        <f t="shared" si="1"/>
        <v>Lines 4ab (IRA Dist.)</v>
      </c>
      <c r="G16" s="3670"/>
      <c r="H16" s="3671">
        <v>45287</v>
      </c>
      <c r="I16" s="3670"/>
      <c r="J16" s="3671"/>
      <c r="K16" s="3673"/>
      <c r="L16" s="3681">
        <v>45303</v>
      </c>
    </row>
    <row r="17" spans="1:12" ht="16.5" customHeight="1">
      <c r="A17" s="6183" t="str">
        <f t="shared" si="0"/>
        <v>F</v>
      </c>
      <c r="B17" s="3185" t="s">
        <v>75</v>
      </c>
      <c r="C17" s="3182" t="s">
        <v>76</v>
      </c>
      <c r="D17" s="3921"/>
      <c r="E17">
        <v>8</v>
      </c>
      <c r="F17" s="3680" t="str">
        <f t="shared" si="1"/>
        <v>SSA-1099</v>
      </c>
      <c r="G17" s="3670"/>
      <c r="H17" s="3671"/>
      <c r="I17" s="3670"/>
      <c r="J17" s="3671"/>
      <c r="K17" s="3673"/>
      <c r="L17" s="3681">
        <v>45303</v>
      </c>
    </row>
    <row r="18" spans="1:12" ht="16.5" customHeight="1">
      <c r="A18" s="6183" t="str">
        <f t="shared" si="0"/>
        <v>F</v>
      </c>
      <c r="B18" s="3186" t="s">
        <v>77</v>
      </c>
      <c r="C18" s="3182" t="s">
        <v>78</v>
      </c>
      <c r="D18" s="3921"/>
      <c r="E18">
        <v>9</v>
      </c>
      <c r="F18" s="3680" t="str">
        <f t="shared" si="1"/>
        <v>1040</v>
      </c>
      <c r="G18" s="3670">
        <v>45233</v>
      </c>
      <c r="H18" s="3671">
        <v>45287</v>
      </c>
      <c r="I18" s="3670">
        <v>45092</v>
      </c>
      <c r="J18" s="3671">
        <v>45261</v>
      </c>
      <c r="K18" s="3673">
        <v>45217</v>
      </c>
      <c r="L18" s="3681">
        <v>45297</v>
      </c>
    </row>
    <row r="19" spans="1:12" ht="16.5" customHeight="1">
      <c r="A19" s="6183" t="str">
        <f t="shared" si="0"/>
        <v>F</v>
      </c>
      <c r="B19" s="3185" t="s">
        <v>79</v>
      </c>
      <c r="C19" s="3182" t="s">
        <v>80</v>
      </c>
      <c r="D19" s="3921"/>
      <c r="E19">
        <v>10</v>
      </c>
      <c r="F19" s="3680" t="str">
        <f t="shared" si="1"/>
        <v>Sch. 1</v>
      </c>
      <c r="G19" s="3670"/>
      <c r="H19" s="3671">
        <v>45287</v>
      </c>
      <c r="I19" s="3670">
        <v>45156</v>
      </c>
      <c r="J19" s="3671">
        <v>45273</v>
      </c>
      <c r="K19" s="3673">
        <v>45218</v>
      </c>
      <c r="L19" s="3681">
        <v>45296</v>
      </c>
    </row>
    <row r="20" spans="1:12" ht="16.5" customHeight="1">
      <c r="A20" s="6183" t="str">
        <f t="shared" si="0"/>
        <v>F</v>
      </c>
      <c r="B20" s="3185" t="s">
        <v>81</v>
      </c>
      <c r="C20" s="3181" t="s">
        <v>82</v>
      </c>
      <c r="D20" s="3922"/>
      <c r="E20">
        <v>11</v>
      </c>
      <c r="F20" s="3680" t="str">
        <f t="shared" si="1"/>
        <v>Sch. 1, Line 1 (SALT)</v>
      </c>
      <c r="G20" s="3670"/>
      <c r="H20" s="3671">
        <v>45287</v>
      </c>
      <c r="I20" s="3670">
        <v>45233</v>
      </c>
      <c r="J20" s="3671"/>
      <c r="K20" s="3673">
        <v>45242</v>
      </c>
      <c r="L20" s="3681">
        <v>45296</v>
      </c>
    </row>
    <row r="21" spans="1:12" ht="16.5" customHeight="1">
      <c r="A21" s="6183" t="str">
        <f t="shared" si="0"/>
        <v>F</v>
      </c>
      <c r="B21" s="3185" t="s">
        <v>83</v>
      </c>
      <c r="C21" s="3181" t="s">
        <v>84</v>
      </c>
      <c r="D21" s="3922"/>
      <c r="E21">
        <v>12</v>
      </c>
      <c r="F21" s="3680" t="str">
        <f t="shared" si="1"/>
        <v>Sch. 1 Line 20 (IRA)</v>
      </c>
      <c r="G21" s="3670"/>
      <c r="H21" s="3671">
        <v>45287</v>
      </c>
      <c r="I21" s="3670">
        <v>45233</v>
      </c>
      <c r="J21" s="3671"/>
      <c r="K21" s="3673">
        <v>45242</v>
      </c>
      <c r="L21" s="3681">
        <v>45297</v>
      </c>
    </row>
    <row r="22" spans="1:12" ht="16.5" customHeight="1">
      <c r="A22" s="6183" t="str">
        <f t="shared" si="0"/>
        <v>F</v>
      </c>
      <c r="B22" s="3185" t="s">
        <v>85</v>
      </c>
      <c r="C22" s="3181" t="s">
        <v>86</v>
      </c>
      <c r="D22" s="3922"/>
      <c r="E22">
        <v>13</v>
      </c>
      <c r="F22" s="3680" t="str">
        <f t="shared" si="1"/>
        <v>Sch. 1 Line 21 (Stu Loan)</v>
      </c>
      <c r="G22" s="3670"/>
      <c r="H22" s="3671">
        <v>45287</v>
      </c>
      <c r="I22" s="3670">
        <v>45233</v>
      </c>
      <c r="J22" s="3671"/>
      <c r="K22" s="3673">
        <v>45242</v>
      </c>
      <c r="L22" s="3681">
        <v>45297</v>
      </c>
    </row>
    <row r="23" spans="1:12" ht="16.5" customHeight="1">
      <c r="A23" s="6183" t="str">
        <f t="shared" si="0"/>
        <v>F</v>
      </c>
      <c r="B23" s="3185" t="s">
        <v>87</v>
      </c>
      <c r="C23" s="3182" t="s">
        <v>88</v>
      </c>
      <c r="D23" s="3921"/>
      <c r="E23">
        <v>14</v>
      </c>
      <c r="F23" s="3680" t="str">
        <f t="shared" si="1"/>
        <v>Sch. 2</v>
      </c>
      <c r="G23" s="3670"/>
      <c r="H23" s="3671">
        <v>45287</v>
      </c>
      <c r="I23" s="3670">
        <v>45092</v>
      </c>
      <c r="J23" s="3671">
        <v>45273</v>
      </c>
      <c r="K23" s="3673">
        <v>45220</v>
      </c>
      <c r="L23" s="3681">
        <v>45297</v>
      </c>
    </row>
    <row r="24" spans="1:12" ht="16.5" customHeight="1">
      <c r="A24" s="6183" t="str">
        <f t="shared" si="0"/>
        <v>F</v>
      </c>
      <c r="B24" s="3185" t="s">
        <v>89</v>
      </c>
      <c r="C24" s="3182" t="s">
        <v>90</v>
      </c>
      <c r="D24" s="3921"/>
      <c r="E24">
        <v>15</v>
      </c>
      <c r="F24" s="3680" t="str">
        <f t="shared" si="1"/>
        <v>Sch. 3</v>
      </c>
      <c r="G24" s="3670"/>
      <c r="H24" s="3671">
        <v>45287</v>
      </c>
      <c r="I24" s="3670">
        <v>45092</v>
      </c>
      <c r="J24" s="3671">
        <v>45273</v>
      </c>
      <c r="K24" s="3673">
        <v>45220</v>
      </c>
      <c r="L24" s="3681">
        <v>45297</v>
      </c>
    </row>
    <row r="25" spans="1:12" ht="16.5" customHeight="1">
      <c r="A25" s="6183" t="str">
        <f t="shared" si="0"/>
        <v>F</v>
      </c>
      <c r="B25" s="3185" t="s">
        <v>91</v>
      </c>
      <c r="C25" s="3182" t="s">
        <v>92</v>
      </c>
      <c r="D25" s="3921"/>
      <c r="E25">
        <v>16</v>
      </c>
      <c r="F25" s="3680" t="str">
        <f t="shared" si="1"/>
        <v>Earned Inc WS</v>
      </c>
      <c r="G25" s="3670"/>
      <c r="H25" s="3671">
        <v>45287</v>
      </c>
      <c r="I25" s="3670"/>
      <c r="J25" s="3671"/>
      <c r="K25" s="3673"/>
      <c r="L25" s="3681">
        <v>45303</v>
      </c>
    </row>
    <row r="26" spans="1:12" ht="16.5" customHeight="1">
      <c r="A26" s="6183" t="str">
        <f t="shared" si="0"/>
        <v>F</v>
      </c>
      <c r="B26" s="3185" t="s">
        <v>93</v>
      </c>
      <c r="C26" s="3182" t="s">
        <v>94</v>
      </c>
      <c r="D26" s="3921"/>
      <c r="E26">
        <v>17</v>
      </c>
      <c r="F26" s="3680" t="str">
        <f t="shared" si="1"/>
        <v>Lines 5ab (Simplified Meth WS)</v>
      </c>
      <c r="G26" s="3670"/>
      <c r="H26" s="3671">
        <v>45287</v>
      </c>
      <c r="I26" s="3670">
        <v>45233</v>
      </c>
      <c r="J26" s="3671"/>
      <c r="K26" s="3673">
        <v>45242</v>
      </c>
      <c r="L26" s="3681">
        <v>45297</v>
      </c>
    </row>
    <row r="27" spans="1:12" ht="16.5" customHeight="1">
      <c r="A27" s="6183" t="str">
        <f t="shared" si="0"/>
        <v>F</v>
      </c>
      <c r="B27" s="3185" t="s">
        <v>95</v>
      </c>
      <c r="C27" s="3182" t="s">
        <v>96</v>
      </c>
      <c r="D27" s="3921"/>
      <c r="E27">
        <v>18</v>
      </c>
      <c r="F27" s="3680" t="str">
        <f t="shared" si="1"/>
        <v>Line 6ab (SS Bene)</v>
      </c>
      <c r="G27" s="3670"/>
      <c r="H27" s="3671">
        <v>45287</v>
      </c>
      <c r="I27" s="3670">
        <v>45233</v>
      </c>
      <c r="J27" s="3671"/>
      <c r="K27" s="3673">
        <v>45242</v>
      </c>
      <c r="L27" s="3681">
        <v>45297</v>
      </c>
    </row>
    <row r="28" spans="1:12" ht="16.5" customHeight="1">
      <c r="A28" s="6183" t="str">
        <f t="shared" si="0"/>
        <v>F</v>
      </c>
      <c r="B28" s="3185" t="s">
        <v>97</v>
      </c>
      <c r="C28" s="3181" t="s">
        <v>98</v>
      </c>
      <c r="D28" s="3922"/>
      <c r="E28">
        <v>19</v>
      </c>
      <c r="F28" s="3680" t="str">
        <f t="shared" si="1"/>
        <v>Line 12 (SD Depnts)</v>
      </c>
      <c r="G28" s="3670"/>
      <c r="H28" s="3671">
        <v>45287</v>
      </c>
      <c r="I28" s="3670">
        <v>45233</v>
      </c>
      <c r="J28" s="3671"/>
      <c r="K28" s="3673">
        <v>45242</v>
      </c>
      <c r="L28" s="3681">
        <v>45297</v>
      </c>
    </row>
    <row r="29" spans="1:12" ht="16.5" customHeight="1">
      <c r="A29" s="6183" t="str">
        <f t="shared" si="0"/>
        <v>F</v>
      </c>
      <c r="B29" s="3185" t="s">
        <v>99</v>
      </c>
      <c r="C29" s="3181" t="s">
        <v>100</v>
      </c>
      <c r="D29" s="3922"/>
      <c r="E29">
        <v>20</v>
      </c>
      <c r="F29" s="3680" t="str">
        <f t="shared" si="1"/>
        <v>Line 16 (QDCG Tax)</v>
      </c>
      <c r="G29" s="3670"/>
      <c r="H29" s="3671">
        <v>45287</v>
      </c>
      <c r="I29" s="3670"/>
      <c r="J29" s="3671"/>
      <c r="K29" s="3673"/>
      <c r="L29" s="3681">
        <v>45297</v>
      </c>
    </row>
    <row r="30" spans="1:12" ht="16.5" customHeight="1">
      <c r="A30" s="6183" t="str">
        <f t="shared" si="0"/>
        <v>F</v>
      </c>
      <c r="B30" s="3185" t="s">
        <v>101</v>
      </c>
      <c r="C30" s="3181" t="s">
        <v>102</v>
      </c>
      <c r="D30" s="3922"/>
      <c r="E30">
        <v>21</v>
      </c>
      <c r="F30" s="3680" t="str">
        <f t="shared" si="1"/>
        <v>Line 27 (EIC)</v>
      </c>
      <c r="G30" s="3670"/>
      <c r="H30" s="3671">
        <v>45287</v>
      </c>
      <c r="I30" s="3670">
        <v>45233</v>
      </c>
      <c r="J30" s="3671"/>
      <c r="K30" s="3673">
        <v>45242</v>
      </c>
      <c r="L30" s="3681">
        <v>45297</v>
      </c>
    </row>
    <row r="31" spans="1:12" ht="16.5" customHeight="1">
      <c r="A31" s="6183" t="str">
        <f t="shared" si="0"/>
        <v>F</v>
      </c>
      <c r="B31" s="3185" t="s">
        <v>103</v>
      </c>
      <c r="C31" s="3181" t="s">
        <v>104</v>
      </c>
      <c r="D31" s="3922"/>
      <c r="E31">
        <v>22</v>
      </c>
      <c r="F31" s="3680" t="str">
        <f t="shared" si="1"/>
        <v>Sch. A</v>
      </c>
      <c r="G31" s="3670"/>
      <c r="H31" s="3671">
        <v>45273</v>
      </c>
      <c r="I31" s="3670">
        <v>45092</v>
      </c>
      <c r="J31" s="3671"/>
      <c r="K31" s="3673">
        <v>45232</v>
      </c>
      <c r="L31" s="3681">
        <v>45297</v>
      </c>
    </row>
    <row r="32" spans="1:12" ht="16.5" customHeight="1">
      <c r="A32" s="6183" t="str">
        <f t="shared" si="0"/>
        <v>F</v>
      </c>
      <c r="B32" s="3185" t="s">
        <v>105</v>
      </c>
      <c r="C32" s="3181" t="s">
        <v>106</v>
      </c>
      <c r="D32" s="3922"/>
      <c r="E32">
        <v>23</v>
      </c>
      <c r="F32" s="3680" t="str">
        <f t="shared" si="1"/>
        <v>Sch. B</v>
      </c>
      <c r="G32" s="3670">
        <v>45204</v>
      </c>
      <c r="H32" s="3671">
        <v>45281</v>
      </c>
      <c r="I32" s="3670">
        <v>45077</v>
      </c>
      <c r="J32" s="3671">
        <v>45232</v>
      </c>
      <c r="K32" s="3673">
        <v>45233</v>
      </c>
      <c r="L32" s="3681">
        <v>45233</v>
      </c>
    </row>
    <row r="33" spans="1:12" ht="16.5" customHeight="1">
      <c r="A33" s="6183" t="str">
        <f t="shared" si="0"/>
        <v>F</v>
      </c>
      <c r="B33" s="3185" t="s">
        <v>107</v>
      </c>
      <c r="C33" s="3181" t="s">
        <v>108</v>
      </c>
      <c r="D33" s="3922"/>
      <c r="E33">
        <v>24</v>
      </c>
      <c r="F33" s="3680" t="str">
        <f t="shared" si="1"/>
        <v>Sch. C</v>
      </c>
      <c r="G33" s="3670">
        <v>45184</v>
      </c>
      <c r="H33" s="3671">
        <v>45289</v>
      </c>
      <c r="I33" s="3670">
        <v>45134</v>
      </c>
      <c r="J33" s="3671">
        <v>45223</v>
      </c>
      <c r="K33" s="3673">
        <v>45252</v>
      </c>
      <c r="L33" s="3681">
        <v>45252</v>
      </c>
    </row>
    <row r="34" spans="1:12" ht="16.5" customHeight="1">
      <c r="A34" s="6183" t="str">
        <f t="shared" si="0"/>
        <v>F</v>
      </c>
      <c r="B34" s="3185" t="s">
        <v>109</v>
      </c>
      <c r="C34" s="3181" t="s">
        <v>110</v>
      </c>
      <c r="D34" s="3922"/>
      <c r="E34">
        <v>25</v>
      </c>
      <c r="F34" s="3680" t="str">
        <f t="shared" si="1"/>
        <v>Sch. D</v>
      </c>
      <c r="G34" s="3670">
        <v>45231</v>
      </c>
      <c r="H34" s="3671">
        <v>45281</v>
      </c>
      <c r="I34" s="3670">
        <v>45086</v>
      </c>
      <c r="J34" s="3671">
        <v>45280</v>
      </c>
      <c r="K34" s="3673">
        <v>45252</v>
      </c>
      <c r="L34" s="3681">
        <v>45297</v>
      </c>
    </row>
    <row r="35" spans="1:12" ht="54" customHeight="1">
      <c r="A35" s="6184" t="str">
        <f t="shared" si="0"/>
        <v>F</v>
      </c>
      <c r="B35" s="4540" t="s">
        <v>111</v>
      </c>
      <c r="C35" s="4541" t="s">
        <v>112</v>
      </c>
      <c r="D35" s="4542"/>
      <c r="E35">
        <v>26</v>
      </c>
      <c r="F35" s="4543" t="str">
        <f t="shared" si="1"/>
        <v>Sch. D WS</v>
      </c>
      <c r="G35" s="4544">
        <v>45229</v>
      </c>
      <c r="H35" s="4546">
        <v>45281</v>
      </c>
      <c r="I35" s="5954" t="s">
        <v>399</v>
      </c>
      <c r="J35" s="4546"/>
      <c r="K35" s="4545">
        <v>45252</v>
      </c>
      <c r="L35" s="4547">
        <v>45297</v>
      </c>
    </row>
    <row r="36" spans="1:12" ht="16.5" customHeight="1">
      <c r="A36" s="6183" t="str">
        <f t="shared" si="0"/>
        <v>F</v>
      </c>
      <c r="B36" s="3185" t="s">
        <v>113</v>
      </c>
      <c r="C36" s="3181" t="s">
        <v>114</v>
      </c>
      <c r="D36" s="3922"/>
      <c r="E36">
        <v>27</v>
      </c>
      <c r="F36" s="3680" t="str">
        <f t="shared" si="1"/>
        <v>Sch. E</v>
      </c>
      <c r="G36" s="3670">
        <v>45156</v>
      </c>
      <c r="H36" s="3671">
        <v>45279</v>
      </c>
      <c r="I36" s="3670">
        <v>45135</v>
      </c>
      <c r="J36" s="3671">
        <v>45236</v>
      </c>
      <c r="K36" s="3673"/>
      <c r="L36" s="3681">
        <v>45252</v>
      </c>
    </row>
    <row r="37" spans="1:12" ht="16.5" customHeight="1">
      <c r="A37" s="6183" t="str">
        <f t="shared" si="0"/>
        <v>F</v>
      </c>
      <c r="B37" s="3185" t="s">
        <v>115</v>
      </c>
      <c r="C37" s="3181" t="s">
        <v>114</v>
      </c>
      <c r="D37" s="3922"/>
      <c r="E37">
        <v>28</v>
      </c>
      <c r="F37" s="3680" t="str">
        <f t="shared" si="1"/>
        <v>Sch. E (2)</v>
      </c>
      <c r="G37" s="3670"/>
      <c r="H37" s="3671"/>
      <c r="I37" s="3670"/>
      <c r="J37" s="3671">
        <v>45236</v>
      </c>
      <c r="K37" s="3673"/>
      <c r="L37" s="3681">
        <v>45252</v>
      </c>
    </row>
    <row r="38" spans="1:12" ht="16.5" customHeight="1">
      <c r="A38" s="6183" t="str">
        <f t="shared" si="0"/>
        <v>F</v>
      </c>
      <c r="B38" s="3185" t="s">
        <v>116</v>
      </c>
      <c r="C38" s="3181" t="s">
        <v>117</v>
      </c>
      <c r="D38" s="3922"/>
      <c r="E38">
        <v>29</v>
      </c>
      <c r="F38" s="3680" t="str">
        <f t="shared" si="1"/>
        <v>Sch. F</v>
      </c>
      <c r="G38" s="3670">
        <v>45205</v>
      </c>
      <c r="H38" s="3671"/>
      <c r="I38" s="3670">
        <v>45126</v>
      </c>
      <c r="J38" s="3671">
        <v>45243</v>
      </c>
      <c r="K38" s="3673"/>
      <c r="L38" s="3681">
        <v>45252</v>
      </c>
    </row>
    <row r="39" spans="1:12" ht="16.5" customHeight="1">
      <c r="A39" s="6183" t="str">
        <f t="shared" ref="A39:A65" si="2">IF(L39&lt;&gt;"","F",IF(K39&lt;&gt;"","D",""))</f>
        <v>F</v>
      </c>
      <c r="B39" s="3185" t="s">
        <v>118</v>
      </c>
      <c r="C39" s="3181" t="s">
        <v>119</v>
      </c>
      <c r="D39" s="3922"/>
      <c r="E39">
        <v>30</v>
      </c>
      <c r="F39" s="3680" t="str">
        <f t="shared" si="1"/>
        <v>Sch. R</v>
      </c>
      <c r="G39" s="3670">
        <v>45261</v>
      </c>
      <c r="H39" s="3671">
        <v>45282</v>
      </c>
      <c r="I39" s="3670">
        <v>45068</v>
      </c>
      <c r="J39" s="3671">
        <v>45218</v>
      </c>
      <c r="K39" s="3673"/>
      <c r="L39" s="3681">
        <v>45233</v>
      </c>
    </row>
    <row r="40" spans="1:12" ht="16.5" customHeight="1">
      <c r="A40" s="6183" t="str">
        <f t="shared" si="2"/>
        <v>F</v>
      </c>
      <c r="B40" s="3185" t="s">
        <v>120</v>
      </c>
      <c r="C40" s="3181" t="s">
        <v>121</v>
      </c>
      <c r="D40" s="3922"/>
      <c r="E40">
        <v>31</v>
      </c>
      <c r="F40" s="3680" t="str">
        <f t="shared" si="1"/>
        <v>Sch. SE</v>
      </c>
      <c r="G40" s="3670">
        <v>45282</v>
      </c>
      <c r="H40" s="5144"/>
      <c r="I40" s="3670">
        <v>45218</v>
      </c>
      <c r="J40" s="3671">
        <v>45257</v>
      </c>
      <c r="K40" s="3673">
        <v>45252</v>
      </c>
      <c r="L40" s="3681">
        <v>45298</v>
      </c>
    </row>
    <row r="41" spans="1:12" ht="16.5" customHeight="1">
      <c r="A41" s="6183" t="str">
        <f t="shared" si="2"/>
        <v>F</v>
      </c>
      <c r="B41" s="3186" t="s">
        <v>122</v>
      </c>
      <c r="C41" s="3181" t="s">
        <v>123</v>
      </c>
      <c r="D41" s="3922"/>
      <c r="E41">
        <v>32</v>
      </c>
      <c r="F41" s="3680" t="str">
        <f t="shared" si="1"/>
        <v>1116</v>
      </c>
      <c r="G41" s="3670"/>
      <c r="H41" s="3671"/>
      <c r="I41" s="3670">
        <v>45148</v>
      </c>
      <c r="J41" s="3671">
        <v>45280</v>
      </c>
      <c r="K41" s="3673"/>
      <c r="L41" s="3681">
        <v>45298</v>
      </c>
    </row>
    <row r="42" spans="1:12" ht="16.5" customHeight="1">
      <c r="A42" s="6183" t="str">
        <f t="shared" si="2"/>
        <v>F</v>
      </c>
      <c r="B42" s="3186" t="s">
        <v>124</v>
      </c>
      <c r="C42" s="3181" t="s">
        <v>5826</v>
      </c>
      <c r="D42" s="3922"/>
      <c r="E42">
        <v>33</v>
      </c>
      <c r="F42" s="3680" t="str">
        <f t="shared" ref="F42:F65" si="3">B42</f>
        <v>2210</v>
      </c>
      <c r="G42" s="3670">
        <v>45233</v>
      </c>
      <c r="H42" s="3671"/>
      <c r="I42" s="3670">
        <v>45215</v>
      </c>
      <c r="J42" s="3671">
        <v>45301</v>
      </c>
      <c r="K42" s="3673"/>
      <c r="L42" s="3681">
        <v>45306</v>
      </c>
    </row>
    <row r="43" spans="1:12" ht="16.5" customHeight="1">
      <c r="A43" s="6183" t="str">
        <f t="shared" si="2"/>
        <v>F</v>
      </c>
      <c r="B43" s="3186" t="s">
        <v>125</v>
      </c>
      <c r="C43" s="3181" t="s">
        <v>126</v>
      </c>
      <c r="D43" s="3922"/>
      <c r="E43">
        <v>34</v>
      </c>
      <c r="F43" s="3680" t="str">
        <f t="shared" si="3"/>
        <v>2441</v>
      </c>
      <c r="G43" s="3670">
        <v>45236</v>
      </c>
      <c r="H43" s="3671"/>
      <c r="I43" s="3670">
        <v>45123</v>
      </c>
      <c r="J43" s="3671">
        <v>45273</v>
      </c>
      <c r="K43" s="3673"/>
      <c r="L43" s="3681">
        <v>45275</v>
      </c>
    </row>
    <row r="44" spans="1:12" ht="16.5" customHeight="1">
      <c r="A44" s="6183" t="str">
        <f t="shared" si="2"/>
        <v>F</v>
      </c>
      <c r="B44" s="3186" t="s">
        <v>127</v>
      </c>
      <c r="C44" s="3181" t="s">
        <v>128</v>
      </c>
      <c r="D44" s="3922"/>
      <c r="E44">
        <v>35</v>
      </c>
      <c r="F44" s="3680" t="str">
        <f t="shared" si="3"/>
        <v>2555</v>
      </c>
      <c r="G44" s="3670">
        <v>45133</v>
      </c>
      <c r="H44" s="3671"/>
      <c r="I44" s="3670">
        <v>45124</v>
      </c>
      <c r="J44" s="3671">
        <v>45233</v>
      </c>
      <c r="K44" s="3673"/>
      <c r="L44" s="3681">
        <v>45234</v>
      </c>
    </row>
    <row r="45" spans="1:12" ht="16.5" customHeight="1">
      <c r="A45" s="6183" t="str">
        <f t="shared" si="2"/>
        <v>F</v>
      </c>
      <c r="B45" s="3186" t="s">
        <v>129</v>
      </c>
      <c r="C45" s="3181" t="s">
        <v>130</v>
      </c>
      <c r="D45" s="3922"/>
      <c r="E45">
        <v>36</v>
      </c>
      <c r="F45" s="3680" t="str">
        <f t="shared" si="3"/>
        <v>4562</v>
      </c>
      <c r="G45" s="3670"/>
      <c r="H45" s="3671"/>
      <c r="I45" s="3670">
        <v>45091</v>
      </c>
      <c r="J45" s="3671">
        <v>45279</v>
      </c>
      <c r="K45" s="3673">
        <v>45283</v>
      </c>
      <c r="L45" s="3681">
        <v>45298</v>
      </c>
    </row>
    <row r="46" spans="1:12" ht="16.5" customHeight="1">
      <c r="A46" s="6183" t="str">
        <f t="shared" si="2"/>
        <v>F</v>
      </c>
      <c r="B46" s="3186" t="s">
        <v>131</v>
      </c>
      <c r="C46" s="3181" t="s">
        <v>132</v>
      </c>
      <c r="D46" s="3922"/>
      <c r="E46">
        <v>37</v>
      </c>
      <c r="F46" s="3680" t="str">
        <f t="shared" si="3"/>
        <v>6251</v>
      </c>
      <c r="G46" s="3670">
        <v>45236</v>
      </c>
      <c r="H46" s="3671">
        <v>45646</v>
      </c>
      <c r="I46" s="3670">
        <v>45086</v>
      </c>
      <c r="J46" s="3671">
        <v>45267</v>
      </c>
      <c r="K46" s="3673">
        <v>45280</v>
      </c>
      <c r="L46" s="3681">
        <v>45271</v>
      </c>
    </row>
    <row r="47" spans="1:12" ht="16.5" customHeight="1">
      <c r="A47" s="6183" t="str">
        <f t="shared" si="2"/>
        <v>F</v>
      </c>
      <c r="B47" s="3186" t="s">
        <v>133</v>
      </c>
      <c r="C47" s="3181" t="s">
        <v>134</v>
      </c>
      <c r="D47" s="3922"/>
      <c r="E47">
        <v>38</v>
      </c>
      <c r="F47" s="3680" t="str">
        <f t="shared" si="3"/>
        <v>8283</v>
      </c>
      <c r="G47" s="3670"/>
      <c r="H47" s="3671"/>
      <c r="I47" s="3670">
        <v>45159</v>
      </c>
      <c r="J47" s="3671"/>
      <c r="K47" s="3673">
        <v>45283</v>
      </c>
      <c r="L47" s="3681">
        <v>45305</v>
      </c>
    </row>
    <row r="48" spans="1:12" ht="16.5" customHeight="1">
      <c r="A48" s="6183" t="str">
        <f t="shared" si="2"/>
        <v>F</v>
      </c>
      <c r="B48" s="3186" t="s">
        <v>5455</v>
      </c>
      <c r="C48" s="3181" t="s">
        <v>5456</v>
      </c>
      <c r="D48" s="3922"/>
      <c r="E48">
        <v>39</v>
      </c>
      <c r="F48" s="3680" t="str">
        <f t="shared" si="3"/>
        <v>8582</v>
      </c>
      <c r="G48" s="3670"/>
      <c r="H48" s="3671">
        <v>45266</v>
      </c>
      <c r="I48" s="3670">
        <v>45192</v>
      </c>
      <c r="J48" s="3671">
        <v>45258</v>
      </c>
      <c r="K48" s="3673">
        <v>45257</v>
      </c>
      <c r="L48" s="3681">
        <v>45303</v>
      </c>
    </row>
    <row r="49" spans="1:13" ht="16.5" customHeight="1">
      <c r="A49" s="6183" t="str">
        <f t="shared" si="2"/>
        <v>F</v>
      </c>
      <c r="B49" s="3186" t="s">
        <v>135</v>
      </c>
      <c r="C49" s="3181" t="s">
        <v>136</v>
      </c>
      <c r="D49" s="3922"/>
      <c r="E49">
        <v>40</v>
      </c>
      <c r="F49" s="3680" t="str">
        <f t="shared" si="3"/>
        <v>8606</v>
      </c>
      <c r="G49" s="3670">
        <v>45230</v>
      </c>
      <c r="H49" s="3671"/>
      <c r="I49" s="3670">
        <v>45192</v>
      </c>
      <c r="J49" s="3671">
        <v>45267</v>
      </c>
      <c r="K49" s="3673">
        <v>45267</v>
      </c>
      <c r="L49" s="3681">
        <v>45304</v>
      </c>
    </row>
    <row r="50" spans="1:13" ht="16.5" customHeight="1">
      <c r="A50" s="6183" t="str">
        <f t="shared" si="2"/>
        <v>F</v>
      </c>
      <c r="B50" s="3186" t="s">
        <v>137</v>
      </c>
      <c r="C50" s="3181" t="s">
        <v>138</v>
      </c>
      <c r="D50" s="3922"/>
      <c r="E50">
        <v>41</v>
      </c>
      <c r="F50" s="3680" t="str">
        <f t="shared" si="3"/>
        <v>8812</v>
      </c>
      <c r="G50" s="3670">
        <v>45204</v>
      </c>
      <c r="H50" s="3671">
        <v>45266</v>
      </c>
      <c r="I50" s="3670">
        <v>45124</v>
      </c>
      <c r="J50" s="3671">
        <v>45232</v>
      </c>
      <c r="K50" s="3673">
        <v>45234</v>
      </c>
      <c r="L50" s="3681">
        <v>45247</v>
      </c>
      <c r="M50" s="962"/>
    </row>
    <row r="51" spans="1:13" ht="16.5" customHeight="1">
      <c r="A51" s="6183" t="str">
        <f t="shared" si="2"/>
        <v>F</v>
      </c>
      <c r="B51" s="3186">
        <v>8829</v>
      </c>
      <c r="C51" s="3181" t="s">
        <v>139</v>
      </c>
      <c r="D51" s="3922"/>
      <c r="E51">
        <v>42</v>
      </c>
      <c r="F51" s="4390">
        <f t="shared" si="3"/>
        <v>8829</v>
      </c>
      <c r="G51" s="3670">
        <v>45177</v>
      </c>
      <c r="H51" s="3671">
        <v>45233</v>
      </c>
      <c r="I51" s="3670">
        <v>45112</v>
      </c>
      <c r="J51" s="3671">
        <v>45222</v>
      </c>
      <c r="K51" s="3673"/>
      <c r="L51" s="3681">
        <v>45235</v>
      </c>
    </row>
    <row r="52" spans="1:13" ht="16.5" customHeight="1">
      <c r="A52" s="6183" t="str">
        <f t="shared" si="2"/>
        <v>F</v>
      </c>
      <c r="B52" s="3186" t="s">
        <v>140</v>
      </c>
      <c r="C52" s="3181" t="s">
        <v>141</v>
      </c>
      <c r="D52" s="3922"/>
      <c r="E52">
        <v>43</v>
      </c>
      <c r="F52" s="3680" t="str">
        <f t="shared" si="3"/>
        <v>8863</v>
      </c>
      <c r="G52" s="3670">
        <v>45175</v>
      </c>
      <c r="H52" s="3671">
        <v>45244</v>
      </c>
      <c r="I52" s="3670">
        <v>45175</v>
      </c>
      <c r="J52" s="3671">
        <v>45295</v>
      </c>
      <c r="K52" s="3673">
        <v>45283</v>
      </c>
      <c r="L52" s="3681">
        <v>45314</v>
      </c>
    </row>
    <row r="53" spans="1:13" ht="16.5" customHeight="1">
      <c r="A53" s="6183" t="str">
        <f t="shared" si="2"/>
        <v>F</v>
      </c>
      <c r="B53" s="3186" t="s">
        <v>142</v>
      </c>
      <c r="C53" s="3181" t="s">
        <v>143</v>
      </c>
      <c r="D53" s="3922"/>
      <c r="E53">
        <v>44</v>
      </c>
      <c r="F53" s="3680" t="str">
        <f t="shared" si="3"/>
        <v>8880</v>
      </c>
      <c r="G53" s="3670"/>
      <c r="H53" s="3671"/>
      <c r="I53" s="3670">
        <v>45080</v>
      </c>
      <c r="J53" s="3671">
        <v>45232</v>
      </c>
      <c r="K53" s="3673"/>
      <c r="L53" s="3681">
        <v>45236</v>
      </c>
    </row>
    <row r="54" spans="1:13" ht="16.5" customHeight="1">
      <c r="A54" s="6183" t="str">
        <f t="shared" si="2"/>
        <v>F</v>
      </c>
      <c r="B54" s="3186" t="s">
        <v>144</v>
      </c>
      <c r="C54" s="3181" t="s">
        <v>145</v>
      </c>
      <c r="D54" s="3922"/>
      <c r="E54">
        <v>45</v>
      </c>
      <c r="F54" s="3680" t="str">
        <f t="shared" si="3"/>
        <v>8889</v>
      </c>
      <c r="G54" s="3670">
        <v>45007</v>
      </c>
      <c r="H54" s="3671"/>
      <c r="I54" s="3670">
        <v>45033</v>
      </c>
      <c r="J54" s="3671">
        <v>45223</v>
      </c>
      <c r="K54" s="3673"/>
      <c r="L54" s="3681">
        <v>45255</v>
      </c>
    </row>
    <row r="55" spans="1:13" ht="16.5" customHeight="1">
      <c r="A55" s="6183" t="str">
        <f t="shared" si="2"/>
        <v>F</v>
      </c>
      <c r="B55" s="3186" t="s">
        <v>146</v>
      </c>
      <c r="C55" s="3181" t="s">
        <v>147</v>
      </c>
      <c r="D55" s="3922"/>
      <c r="E55">
        <v>46</v>
      </c>
      <c r="F55" s="3680" t="str">
        <f t="shared" si="3"/>
        <v>8949A</v>
      </c>
      <c r="G55" s="3670"/>
      <c r="H55" s="3671"/>
      <c r="I55" s="3670">
        <v>45107</v>
      </c>
      <c r="J55" s="3671">
        <v>45295</v>
      </c>
      <c r="K55" s="3673"/>
      <c r="L55" s="3681">
        <v>45303</v>
      </c>
    </row>
    <row r="56" spans="1:13" ht="16.5" customHeight="1">
      <c r="A56" s="6183" t="str">
        <f t="shared" si="2"/>
        <v>F</v>
      </c>
      <c r="B56" s="3186" t="s">
        <v>148</v>
      </c>
      <c r="C56" s="3181" t="s">
        <v>147</v>
      </c>
      <c r="D56" s="3922"/>
      <c r="E56">
        <v>47</v>
      </c>
      <c r="F56" s="3680" t="str">
        <f t="shared" si="3"/>
        <v>8949B</v>
      </c>
      <c r="G56" s="4131"/>
      <c r="H56" s="4389"/>
      <c r="I56" s="3670">
        <v>45107</v>
      </c>
      <c r="J56" s="3671">
        <v>45295</v>
      </c>
      <c r="K56" s="3673"/>
      <c r="L56" s="3681">
        <v>45303</v>
      </c>
    </row>
    <row r="57" spans="1:13" ht="16.5" customHeight="1">
      <c r="A57" s="6183" t="str">
        <f t="shared" si="2"/>
        <v>F</v>
      </c>
      <c r="B57" s="3185" t="s">
        <v>149</v>
      </c>
      <c r="C57" s="3181" t="s">
        <v>147</v>
      </c>
      <c r="D57" s="3922"/>
      <c r="E57">
        <v>48</v>
      </c>
      <c r="F57" s="3680" t="str">
        <f t="shared" si="3"/>
        <v>8949C</v>
      </c>
      <c r="G57" s="4131"/>
      <c r="H57" s="4389"/>
      <c r="I57" s="3670">
        <v>45107</v>
      </c>
      <c r="J57" s="3671">
        <v>45295</v>
      </c>
      <c r="K57" s="3673"/>
      <c r="L57" s="3681">
        <v>45303</v>
      </c>
    </row>
    <row r="58" spans="1:13" ht="16.5" customHeight="1">
      <c r="A58" s="6183" t="str">
        <f t="shared" si="2"/>
        <v>F</v>
      </c>
      <c r="B58" s="3185" t="s">
        <v>150</v>
      </c>
      <c r="C58" s="3181" t="s">
        <v>147</v>
      </c>
      <c r="D58" s="3922"/>
      <c r="E58">
        <v>49</v>
      </c>
      <c r="F58" s="3680" t="str">
        <f t="shared" si="3"/>
        <v>8949D</v>
      </c>
      <c r="G58" s="4131"/>
      <c r="H58" s="4389"/>
      <c r="I58" s="3670">
        <v>45107</v>
      </c>
      <c r="J58" s="3671">
        <v>45295</v>
      </c>
      <c r="K58" s="3673"/>
      <c r="L58" s="3681">
        <v>45303</v>
      </c>
    </row>
    <row r="59" spans="1:13" ht="16.5" customHeight="1">
      <c r="A59" s="6183" t="str">
        <f t="shared" si="2"/>
        <v>F</v>
      </c>
      <c r="B59" s="3186" t="s">
        <v>151</v>
      </c>
      <c r="C59" s="3181" t="s">
        <v>152</v>
      </c>
      <c r="D59" s="3922"/>
      <c r="E59">
        <v>50</v>
      </c>
      <c r="F59" s="3680" t="str">
        <f t="shared" si="3"/>
        <v>8959</v>
      </c>
      <c r="G59" s="3670"/>
      <c r="H59" s="3671">
        <v>45266</v>
      </c>
      <c r="I59" s="3670">
        <v>45142</v>
      </c>
      <c r="J59" s="3671">
        <v>45266</v>
      </c>
      <c r="K59" s="3673"/>
      <c r="L59" s="3681">
        <v>45267</v>
      </c>
    </row>
    <row r="60" spans="1:13" ht="16.5" customHeight="1">
      <c r="A60" s="6183" t="str">
        <f t="shared" si="2"/>
        <v>F</v>
      </c>
      <c r="B60" s="3186" t="s">
        <v>153</v>
      </c>
      <c r="C60" s="3181" t="s">
        <v>154</v>
      </c>
      <c r="D60" s="3922"/>
      <c r="E60">
        <v>51</v>
      </c>
      <c r="F60" s="3680" t="str">
        <f t="shared" si="3"/>
        <v>8960</v>
      </c>
      <c r="G60" s="3670">
        <v>45203</v>
      </c>
      <c r="H60" s="3671">
        <v>45281</v>
      </c>
      <c r="I60" s="3670">
        <v>45152</v>
      </c>
      <c r="J60" s="3671">
        <v>45268</v>
      </c>
      <c r="K60" s="3673"/>
      <c r="L60" s="3681">
        <v>45305</v>
      </c>
    </row>
    <row r="61" spans="1:13" ht="16.5" customHeight="1">
      <c r="A61" s="6183" t="str">
        <f t="shared" si="2"/>
        <v>F</v>
      </c>
      <c r="B61" s="3186" t="s">
        <v>155</v>
      </c>
      <c r="C61" s="3181" t="s">
        <v>156</v>
      </c>
      <c r="D61" s="3922"/>
      <c r="E61">
        <v>52</v>
      </c>
      <c r="F61" s="3680" t="str">
        <f t="shared" si="3"/>
        <v>8962</v>
      </c>
      <c r="G61" s="3670">
        <v>45211</v>
      </c>
      <c r="H61" s="3671">
        <v>45295</v>
      </c>
      <c r="I61" s="3670">
        <v>45212</v>
      </c>
      <c r="J61" s="3671">
        <v>45266</v>
      </c>
      <c r="K61" s="3673">
        <v>45262</v>
      </c>
      <c r="L61" s="3681">
        <v>45267</v>
      </c>
    </row>
    <row r="62" spans="1:13" ht="16.5" customHeight="1">
      <c r="A62" s="6183" t="str">
        <f t="shared" si="2"/>
        <v>F</v>
      </c>
      <c r="B62" s="3345">
        <v>8995</v>
      </c>
      <c r="C62" s="3346" t="s">
        <v>157</v>
      </c>
      <c r="D62" s="3923"/>
      <c r="E62">
        <v>53</v>
      </c>
      <c r="F62" s="4390">
        <f t="shared" si="3"/>
        <v>8995</v>
      </c>
      <c r="G62" s="3670">
        <v>45260</v>
      </c>
      <c r="H62" s="3671"/>
      <c r="I62" s="3670">
        <v>45260</v>
      </c>
      <c r="J62" s="3671">
        <v>45302</v>
      </c>
      <c r="K62" s="3673"/>
      <c r="L62" s="3681">
        <v>45305</v>
      </c>
    </row>
    <row r="63" spans="1:13" ht="16.5" customHeight="1">
      <c r="A63" s="6183" t="str">
        <f t="shared" si="2"/>
        <v>F</v>
      </c>
      <c r="B63" s="3185" t="s">
        <v>158</v>
      </c>
      <c r="C63" s="3181" t="s">
        <v>159</v>
      </c>
      <c r="D63" s="3922"/>
      <c r="E63">
        <v>54</v>
      </c>
      <c r="F63" s="3680" t="str">
        <f t="shared" si="3"/>
        <v>EIC Table</v>
      </c>
      <c r="G63" s="3670"/>
      <c r="H63" s="3671"/>
      <c r="I63" s="3670"/>
      <c r="J63" s="3671">
        <v>45301</v>
      </c>
      <c r="K63" s="3673"/>
      <c r="L63" s="3681">
        <v>45303</v>
      </c>
    </row>
    <row r="64" spans="1:13" ht="16.5" customHeight="1">
      <c r="A64" s="6183" t="str">
        <f t="shared" si="2"/>
        <v>F</v>
      </c>
      <c r="B64" s="3185" t="s">
        <v>160</v>
      </c>
      <c r="C64" s="3182" t="s">
        <v>161</v>
      </c>
      <c r="D64" s="3921"/>
      <c r="E64">
        <v>55</v>
      </c>
      <c r="F64" s="3680" t="str">
        <f t="shared" si="3"/>
        <v>Tax Table</v>
      </c>
      <c r="G64" s="3670">
        <v>45160</v>
      </c>
      <c r="H64" s="3671">
        <v>45283</v>
      </c>
      <c r="I64" s="3670">
        <v>45176</v>
      </c>
      <c r="J64" s="3671">
        <v>45160</v>
      </c>
      <c r="K64" s="3673">
        <v>45205</v>
      </c>
      <c r="L64" s="3681">
        <v>45283</v>
      </c>
    </row>
    <row r="65" spans="1:12" ht="16.5" customHeight="1">
      <c r="A65" s="6183" t="str">
        <f t="shared" si="2"/>
        <v>F</v>
      </c>
      <c r="B65" s="3185" t="s">
        <v>162</v>
      </c>
      <c r="C65" s="3182" t="s">
        <v>163</v>
      </c>
      <c r="D65" s="3921"/>
      <c r="E65">
        <v>56</v>
      </c>
      <c r="F65" s="3680" t="str">
        <f t="shared" si="3"/>
        <v>Changes</v>
      </c>
      <c r="G65" s="3670"/>
      <c r="H65" s="3671">
        <v>45283</v>
      </c>
      <c r="I65" s="3670"/>
      <c r="J65" s="3671">
        <v>45160</v>
      </c>
      <c r="K65" s="3673"/>
      <c r="L65" s="4389">
        <v>45283</v>
      </c>
    </row>
    <row r="66" spans="1:12" ht="14.25" customHeight="1" thickBot="1">
      <c r="A66" s="6183"/>
      <c r="B66" s="3187"/>
      <c r="C66" s="3183"/>
      <c r="D66" s="3919"/>
      <c r="F66" s="3682"/>
      <c r="G66" s="4871"/>
      <c r="H66" s="4873"/>
      <c r="I66" s="4871"/>
      <c r="J66" s="4873"/>
      <c r="K66" s="4872"/>
      <c r="L66" s="4874"/>
    </row>
    <row r="67" spans="1:12" ht="14.25" customHeight="1" thickTop="1">
      <c r="A67" s="3274"/>
      <c r="B67" s="4606"/>
      <c r="C67" s="3919"/>
      <c r="D67" s="3919"/>
    </row>
  </sheetData>
  <sheetProtection algorithmName="SHA-512" hashValue="lCsfWjr5OPdar1S64oFfUnAfMy2j2T6VuxrH0fBBOCmHcWilSWIelGiB2so0MplvFWV21sk4Qa914j3oBUhxEA==" saltValue="SDyNWizHZlecZ0PVzGgy6A==" spinCount="100000" sheet="1" objects="1" scenarios="1"/>
  <sortState xmlns:xlrd2="http://schemas.microsoft.com/office/spreadsheetml/2017/richdata2" ref="E10:L65">
    <sortCondition ref="E10:E65"/>
  </sortState>
  <mergeCells count="2">
    <mergeCell ref="B2:B5"/>
    <mergeCell ref="A2:A6"/>
  </mergeCells>
  <conditionalFormatting sqref="A7:A66">
    <cfRule type="expression" dxfId="3301" priority="1">
      <formula>A7="D"</formula>
    </cfRule>
  </conditionalFormatting>
  <hyperlinks>
    <hyperlink ref="B18" location="'1040'!A1" display="1040" xr:uid="{00000000-0004-0000-0100-000000000000}"/>
    <hyperlink ref="B7" location="Coversheet!A1" display="Coversheet" xr:uid="{00000000-0004-0000-0100-000001000000}"/>
    <hyperlink ref="B9" location="Instructions!A1" display="Instructions" xr:uid="{00000000-0004-0000-0100-000002000000}"/>
    <hyperlink ref="B10" location="'W-2s'!A1" display="W-2s" xr:uid="{00000000-0004-0000-0100-000003000000}"/>
    <hyperlink ref="B11" location="'1099-INT'!A1" display="1099-INT" xr:uid="{00000000-0004-0000-0100-000004000000}"/>
    <hyperlink ref="B12" location="'1099-DIV'!A1" display="1099-DIV" xr:uid="{00000000-0004-0000-0100-000005000000}"/>
    <hyperlink ref="B13" location="'1099-G'!A1" display="1099-G" xr:uid="{00000000-0004-0000-0100-000006000000}"/>
    <hyperlink ref="B14" location="'1099-MISC'!A1" display="1099-MISC" xr:uid="{00000000-0004-0000-0100-000007000000}"/>
    <hyperlink ref="B15" location="'1099-R'!A1" display="1099-R" xr:uid="{00000000-0004-0000-0100-000008000000}"/>
    <hyperlink ref="B17" location="'SSA-1099'!A1" display="SSA-1099" xr:uid="{00000000-0004-0000-0100-000009000000}"/>
    <hyperlink ref="B8" location="'Table of Contents'!A1" display="Table of Contents" xr:uid="{00000000-0004-0000-0100-00000A000000}"/>
    <hyperlink ref="B19" location="'Sch. 1'!A1" display="Sch. 1" xr:uid="{00000000-0004-0000-0100-00000B000000}"/>
    <hyperlink ref="B23" location="'Sch. 2'!A1" display="Sch. 2" xr:uid="{00000000-0004-0000-0100-00000C000000}"/>
    <hyperlink ref="B24" location="'Sch. 3'!A1" display="Sch. 3" xr:uid="{00000000-0004-0000-0100-00000D000000}"/>
    <hyperlink ref="B62" location="'8995'!A1" display="8995" xr:uid="{00000000-0004-0000-0100-00000E000000}"/>
    <hyperlink ref="B26" location="'Lines 5ab (Simplified Meth WS)'!A1" display="Lines 5ab (Simplified Meth WS)" xr:uid="{00000000-0004-0000-0100-00000F000000}"/>
    <hyperlink ref="B27" location="'Line 6ab (SS Bene)'!A1" display="Line 6ab (SS Bene)" xr:uid="{00000000-0004-0000-0100-000010000000}"/>
    <hyperlink ref="B28" location="'Line 12 (SD Depnts)'!A1" display="Line 12 (SD Depnts)" xr:uid="{00000000-0004-0000-0100-000011000000}"/>
    <hyperlink ref="B25" location="'Earned Inc WS'!A1" display="Earned Inc WS" xr:uid="{00000000-0004-0000-0100-000012000000}"/>
    <hyperlink ref="B20" location="'Sch 1, Line 1 (SALT)'!A1" display="Sch. 1, Line 1 (SALT)" xr:uid="{00000000-0004-0000-0100-000013000000}"/>
    <hyperlink ref="B29" location="'Line 16 (QDCG Tax)'!A1" display="Line 16 (QDCG Tax)" xr:uid="{00000000-0004-0000-0100-000014000000}"/>
    <hyperlink ref="B30" location="'Line 27 (EIC)'!A1" display="Line 27 (EIC)" xr:uid="{00000000-0004-0000-0100-000015000000}"/>
    <hyperlink ref="B21" location="'Sch. 1, Line 20 (IRA)'!A1" display="Sch. 1 Line 20 (IRA)" xr:uid="{00000000-0004-0000-0100-000016000000}"/>
    <hyperlink ref="B22" location="'Sch. 1, Line 21 (Stu Loan)'!A1" display="Sch. 1 Line 21 (Stu Loan)" xr:uid="{00000000-0004-0000-0100-000017000000}"/>
    <hyperlink ref="B31" location="'Sch. A'!A1" display="Sch. A" xr:uid="{00000000-0004-0000-0100-000018000000}"/>
    <hyperlink ref="B32" location="'Sch. B'!A1" display="Sch. B" xr:uid="{00000000-0004-0000-0100-000019000000}"/>
    <hyperlink ref="B33" location="'Sch. C'!A1" display="Sch. C" xr:uid="{00000000-0004-0000-0100-00001A000000}"/>
    <hyperlink ref="B34" location="'Sch. D'!A1" display="Sch. D" xr:uid="{00000000-0004-0000-0100-00001B000000}"/>
    <hyperlink ref="B35" location="'Sch. D WS'!A1" display="Sch. D WS" xr:uid="{00000000-0004-0000-0100-00001C000000}"/>
    <hyperlink ref="B36" location="'Sch. E'!A1" display="Sch. E" xr:uid="{00000000-0004-0000-0100-00001D000000}"/>
    <hyperlink ref="B38" location="'Sch. F'!A1" display="Sch. F" xr:uid="{00000000-0004-0000-0100-00001E000000}"/>
    <hyperlink ref="B39" location="'Sch. R'!A1" display="Sch. R" xr:uid="{00000000-0004-0000-0100-00001F000000}"/>
    <hyperlink ref="B40" location="'Sch. SE'!A1" display="Sch. SE" xr:uid="{00000000-0004-0000-0100-000020000000}"/>
    <hyperlink ref="B41" location="'1116'!A1" display="1116" xr:uid="{00000000-0004-0000-0100-000021000000}"/>
    <hyperlink ref="B42" location="'2210'!A1" display="2210" xr:uid="{00000000-0004-0000-0100-000022000000}"/>
    <hyperlink ref="B43" location="'2441'!A1" display="2441" xr:uid="{00000000-0004-0000-0100-000023000000}"/>
    <hyperlink ref="B44" location="'2555'!A1" display="2555" xr:uid="{00000000-0004-0000-0100-000024000000}"/>
    <hyperlink ref="B46" location="'6251'!A1" display="6251" xr:uid="{00000000-0004-0000-0100-000025000000}"/>
    <hyperlink ref="B47" location="'8283'!A1" display="8283" xr:uid="{00000000-0004-0000-0100-000026000000}"/>
    <hyperlink ref="B50" location="'8812'!A1" display="8812" xr:uid="{00000000-0004-0000-0100-000027000000}"/>
    <hyperlink ref="B54" location="'8889'!A1" display="8889" xr:uid="{00000000-0004-0000-0100-000028000000}"/>
    <hyperlink ref="B55" location="'8949A'!A1" display="8949A" xr:uid="{00000000-0004-0000-0100-000029000000}"/>
    <hyperlink ref="B56" location="'8949B'!A1" display="8949B" xr:uid="{00000000-0004-0000-0100-00002A000000}"/>
    <hyperlink ref="B57" location="'8949C'!A1" display="8949C" xr:uid="{00000000-0004-0000-0100-00002B000000}"/>
    <hyperlink ref="B58" location="'8949D'!A1" display="8949D" xr:uid="{00000000-0004-0000-0100-00002C000000}"/>
    <hyperlink ref="B59" location="'8959'!A1" display="8959" xr:uid="{00000000-0004-0000-0100-00002D000000}"/>
    <hyperlink ref="B60" location="'8960'!A1" display="8960" xr:uid="{00000000-0004-0000-0100-00002E000000}"/>
    <hyperlink ref="B61" location="'8962'!A1" display="8962" xr:uid="{00000000-0004-0000-0100-00002F000000}"/>
    <hyperlink ref="B63" location="'EIC Table'!A1" display="EIC Table" xr:uid="{00000000-0004-0000-0100-000030000000}"/>
    <hyperlink ref="B64" location="'Tax Table'!A1" display="Tax Table" xr:uid="{00000000-0004-0000-0100-000031000000}"/>
    <hyperlink ref="B65" location="Changes!A1" display="Changes" xr:uid="{00000000-0004-0000-0100-000032000000}"/>
    <hyperlink ref="B52" location="'8863'!A1" display="8863" xr:uid="{00000000-0004-0000-0100-000033000000}"/>
    <hyperlink ref="B49" location="'8606'!A1" display="8606" xr:uid="{00000000-0004-0000-0100-000034000000}"/>
    <hyperlink ref="B45" location="'4562'!A1" display="4562" xr:uid="{00000000-0004-0000-0100-000035000000}"/>
    <hyperlink ref="B51" location="'8829'!A1" display="8829" xr:uid="{00000000-0004-0000-0100-000036000000}"/>
    <hyperlink ref="B37" location="'Sch. E (2)'!A1" display="Sch. E (2)" xr:uid="{00000000-0004-0000-0100-000037000000}"/>
    <hyperlink ref="B53" location="'8880'!A1" display="8880" xr:uid="{00000000-0004-0000-0100-000038000000}"/>
    <hyperlink ref="B16" location="'Lines 4ab (IRA Dist.)'!A1" display="Lines 4ab (IRA Dist.)" xr:uid="{00000000-0004-0000-0100-000039000000}"/>
    <hyperlink ref="B48" location="'8582'!A1" display="8582" xr:uid="{00000000-0004-0000-0100-00003A000000}"/>
  </hyperlinks>
  <pageMargins left="0.75" right="0.25" top="0.36" bottom="0.28999999999999998" header="0.36" footer="0.21"/>
  <pageSetup scale="66"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87"/>
  <sheetViews>
    <sheetView zoomScaleNormal="100" workbookViewId="0">
      <selection activeCell="B54" sqref="B54"/>
    </sheetView>
  </sheetViews>
  <sheetFormatPr defaultColWidth="9.140625" defaultRowHeight="12.75"/>
  <cols>
    <col min="1" max="1" width="5.28515625" style="808" customWidth="1"/>
    <col min="2" max="2" width="4.42578125" style="808" customWidth="1"/>
    <col min="3" max="3" width="9.140625" style="1371"/>
    <col min="4" max="11" width="9.140625" style="808"/>
    <col min="12" max="12" width="12.140625" style="808" customWidth="1"/>
    <col min="13" max="16384" width="9.140625" style="808"/>
  </cols>
  <sheetData>
    <row r="2" spans="1:12" ht="26.25">
      <c r="A2" s="2140" t="s">
        <v>164</v>
      </c>
      <c r="B2" s="2140"/>
      <c r="C2" s="1364"/>
      <c r="D2" s="1364"/>
      <c r="E2" s="1364"/>
      <c r="F2" s="1364"/>
      <c r="G2" s="1364"/>
      <c r="H2" s="1364"/>
      <c r="I2" s="1364"/>
      <c r="J2" s="1364"/>
      <c r="K2" s="1364"/>
      <c r="L2" s="1364"/>
    </row>
    <row r="3" spans="1:12" ht="23.25">
      <c r="A3" s="2141" t="s">
        <v>165</v>
      </c>
      <c r="B3" s="1364"/>
      <c r="C3" s="1364"/>
      <c r="D3" s="1364"/>
      <c r="E3" s="2141"/>
      <c r="F3" s="1364"/>
      <c r="G3" s="1364"/>
      <c r="H3" s="1364"/>
      <c r="I3" s="1364"/>
      <c r="J3" s="1364"/>
      <c r="K3" s="1364"/>
      <c r="L3" s="1364"/>
    </row>
    <row r="5" spans="1:12">
      <c r="B5" s="899" t="s">
        <v>166</v>
      </c>
    </row>
    <row r="6" spans="1:12">
      <c r="B6" s="1571" t="s">
        <v>167</v>
      </c>
      <c r="C6" s="1370" t="s">
        <v>168</v>
      </c>
    </row>
    <row r="7" spans="1:12">
      <c r="C7" s="1370" t="s">
        <v>169</v>
      </c>
    </row>
    <row r="8" spans="1:12">
      <c r="C8" s="1370" t="s">
        <v>170</v>
      </c>
    </row>
    <row r="10" spans="1:12">
      <c r="B10" s="1571" t="s">
        <v>171</v>
      </c>
      <c r="C10" s="1370" t="s">
        <v>172</v>
      </c>
    </row>
    <row r="11" spans="1:12">
      <c r="B11" s="1571"/>
      <c r="C11" s="1370" t="s">
        <v>173</v>
      </c>
    </row>
    <row r="12" spans="1:12">
      <c r="C12" s="1370" t="s">
        <v>174</v>
      </c>
    </row>
    <row r="13" spans="1:12">
      <c r="C13" s="1370" t="s">
        <v>175</v>
      </c>
    </row>
    <row r="14" spans="1:12">
      <c r="C14" s="1370" t="s">
        <v>176</v>
      </c>
    </row>
    <row r="15" spans="1:12">
      <c r="C15" s="1370"/>
    </row>
    <row r="16" spans="1:12">
      <c r="B16" s="1571" t="s">
        <v>177</v>
      </c>
      <c r="C16" s="1370" t="s">
        <v>178</v>
      </c>
    </row>
    <row r="17" spans="2:9">
      <c r="C17" s="1370" t="s">
        <v>179</v>
      </c>
    </row>
    <row r="18" spans="2:9">
      <c r="C18" s="1370" t="s">
        <v>180</v>
      </c>
      <c r="I18" s="2142" t="s">
        <v>181</v>
      </c>
    </row>
    <row r="20" spans="2:9">
      <c r="B20" s="1571" t="s">
        <v>182</v>
      </c>
      <c r="C20" s="1370" t="s">
        <v>183</v>
      </c>
    </row>
    <row r="21" spans="2:9">
      <c r="C21" s="1370" t="s">
        <v>184</v>
      </c>
      <c r="F21" s="1585" t="s">
        <v>185</v>
      </c>
      <c r="G21" s="2142" t="s">
        <v>10</v>
      </c>
    </row>
    <row r="23" spans="2:9">
      <c r="B23" s="899" t="s">
        <v>186</v>
      </c>
    </row>
    <row r="24" spans="2:9">
      <c r="B24" s="1571" t="s">
        <v>167</v>
      </c>
      <c r="C24" s="1370" t="s">
        <v>187</v>
      </c>
    </row>
    <row r="25" spans="2:9">
      <c r="C25" s="1370" t="s">
        <v>188</v>
      </c>
    </row>
    <row r="26" spans="2:9">
      <c r="C26" s="1370" t="s">
        <v>189</v>
      </c>
    </row>
    <row r="28" spans="2:9">
      <c r="B28" s="1571" t="s">
        <v>171</v>
      </c>
      <c r="C28" s="2143" t="s">
        <v>190</v>
      </c>
    </row>
    <row r="29" spans="2:9">
      <c r="B29" s="1571"/>
      <c r="C29" s="2143" t="s">
        <v>191</v>
      </c>
    </row>
    <row r="30" spans="2:9">
      <c r="B30" s="1571"/>
      <c r="C30" s="2143" t="s">
        <v>192</v>
      </c>
    </row>
    <row r="31" spans="2:9">
      <c r="B31" s="1571"/>
      <c r="C31" s="2143"/>
    </row>
    <row r="32" spans="2:9">
      <c r="B32" s="1571"/>
      <c r="C32" s="2143" t="s">
        <v>193</v>
      </c>
    </row>
    <row r="33" spans="2:3">
      <c r="B33" s="1571"/>
      <c r="C33" s="2143" t="s">
        <v>194</v>
      </c>
    </row>
    <row r="34" spans="2:3">
      <c r="B34" s="1571"/>
      <c r="C34" s="2143" t="s">
        <v>195</v>
      </c>
    </row>
    <row r="36" spans="2:3">
      <c r="B36" s="1571" t="s">
        <v>177</v>
      </c>
      <c r="C36" s="2143" t="s">
        <v>196</v>
      </c>
    </row>
    <row r="37" spans="2:3">
      <c r="B37" s="1571"/>
      <c r="C37" s="2143"/>
    </row>
    <row r="38" spans="2:3">
      <c r="B38" s="1571"/>
      <c r="C38" s="2143" t="s">
        <v>197</v>
      </c>
    </row>
    <row r="39" spans="2:3">
      <c r="B39" s="1571"/>
      <c r="C39" s="2143" t="s">
        <v>194</v>
      </c>
    </row>
    <row r="40" spans="2:3">
      <c r="B40" s="1571"/>
      <c r="C40" s="2143" t="s">
        <v>195</v>
      </c>
    </row>
    <row r="42" spans="2:3">
      <c r="B42" s="1571" t="s">
        <v>182</v>
      </c>
      <c r="C42" s="2143" t="s">
        <v>5596</v>
      </c>
    </row>
    <row r="43" spans="2:3">
      <c r="B43" s="1571"/>
      <c r="C43" s="2143" t="s">
        <v>5852</v>
      </c>
    </row>
    <row r="44" spans="2:3">
      <c r="B44" s="1571"/>
      <c r="C44" s="2143" t="s">
        <v>5853</v>
      </c>
    </row>
    <row r="46" spans="2:3">
      <c r="B46" s="1571" t="s">
        <v>198</v>
      </c>
      <c r="C46" s="2143" t="s">
        <v>199</v>
      </c>
    </row>
    <row r="47" spans="2:3">
      <c r="B47" s="1571"/>
      <c r="C47" s="2143" t="s">
        <v>200</v>
      </c>
    </row>
    <row r="48" spans="2:3">
      <c r="B48" s="1571"/>
      <c r="C48" s="2143" t="s">
        <v>201</v>
      </c>
    </row>
    <row r="49" spans="2:9">
      <c r="B49" s="1571"/>
      <c r="C49" s="2143"/>
    </row>
    <row r="50" spans="2:9">
      <c r="B50" s="1571" t="s">
        <v>202</v>
      </c>
      <c r="C50" s="2143" t="s">
        <v>203</v>
      </c>
    </row>
    <row r="51" spans="2:9">
      <c r="B51" s="1571"/>
      <c r="C51" s="2143" t="s">
        <v>204</v>
      </c>
    </row>
    <row r="52" spans="2:9">
      <c r="B52" s="1571"/>
      <c r="C52" s="2143" t="s">
        <v>205</v>
      </c>
    </row>
    <row r="54" spans="2:9">
      <c r="B54" s="899" t="s">
        <v>5856</v>
      </c>
    </row>
    <row r="55" spans="2:9">
      <c r="B55" s="1571" t="s">
        <v>167</v>
      </c>
      <c r="C55" s="1370" t="s">
        <v>231</v>
      </c>
    </row>
    <row r="56" spans="2:9">
      <c r="B56" s="1571"/>
      <c r="C56" s="1752" t="s">
        <v>232</v>
      </c>
      <c r="D56" s="892"/>
      <c r="E56" s="892"/>
      <c r="F56" s="892"/>
      <c r="G56" s="892"/>
      <c r="H56" s="892"/>
      <c r="I56" s="892"/>
    </row>
    <row r="57" spans="2:9">
      <c r="B57" s="1571"/>
      <c r="C57" s="1752" t="s">
        <v>233</v>
      </c>
      <c r="D57" s="892"/>
      <c r="E57" s="892"/>
      <c r="F57" s="892"/>
      <c r="G57" s="892"/>
      <c r="H57" s="892"/>
      <c r="I57" s="892"/>
    </row>
    <row r="58" spans="2:9">
      <c r="B58" s="1571"/>
      <c r="C58" s="1752" t="s">
        <v>234</v>
      </c>
      <c r="D58" s="892"/>
      <c r="E58" s="892"/>
      <c r="F58" s="892"/>
      <c r="G58" s="892"/>
      <c r="H58" s="892"/>
      <c r="I58" s="892"/>
    </row>
    <row r="59" spans="2:9">
      <c r="C59" s="1752" t="s">
        <v>235</v>
      </c>
      <c r="D59" s="892"/>
      <c r="E59" s="892"/>
      <c r="F59" s="892"/>
      <c r="G59" s="892"/>
      <c r="H59" s="892"/>
      <c r="I59" s="892"/>
    </row>
    <row r="60" spans="2:9">
      <c r="C60" s="1752"/>
      <c r="D60" s="892"/>
      <c r="E60" s="892"/>
      <c r="F60" s="892"/>
      <c r="G60" s="892"/>
      <c r="H60" s="892"/>
      <c r="I60" s="892"/>
    </row>
    <row r="61" spans="2:9">
      <c r="B61" s="899" t="s">
        <v>206</v>
      </c>
    </row>
    <row r="62" spans="2:9">
      <c r="B62" s="1571" t="s">
        <v>167</v>
      </c>
      <c r="C62" s="1370" t="s">
        <v>207</v>
      </c>
    </row>
    <row r="63" spans="2:9">
      <c r="B63" s="1571" t="s">
        <v>171</v>
      </c>
      <c r="C63" s="1370" t="s">
        <v>5854</v>
      </c>
    </row>
    <row r="64" spans="2:9">
      <c r="B64" s="1571"/>
      <c r="C64" s="1370" t="s">
        <v>5855</v>
      </c>
    </row>
    <row r="65" spans="2:3">
      <c r="B65" s="1571" t="s">
        <v>177</v>
      </c>
      <c r="C65" s="1370" t="s">
        <v>208</v>
      </c>
    </row>
    <row r="66" spans="2:3">
      <c r="B66" s="1571"/>
      <c r="C66" s="1370" t="s">
        <v>209</v>
      </c>
    </row>
    <row r="67" spans="2:3">
      <c r="B67" s="1571" t="s">
        <v>182</v>
      </c>
      <c r="C67" s="1370" t="s">
        <v>210</v>
      </c>
    </row>
    <row r="68" spans="2:3">
      <c r="B68" s="1571"/>
      <c r="C68" s="1370" t="s">
        <v>211</v>
      </c>
    </row>
    <row r="69" spans="2:3">
      <c r="B69" s="1571" t="s">
        <v>198</v>
      </c>
      <c r="C69" s="1370" t="s">
        <v>212</v>
      </c>
    </row>
    <row r="70" spans="2:3">
      <c r="B70" s="1571"/>
      <c r="C70" s="1370" t="s">
        <v>213</v>
      </c>
    </row>
    <row r="71" spans="2:3">
      <c r="B71" s="1571" t="s">
        <v>202</v>
      </c>
      <c r="C71" s="1370" t="s">
        <v>214</v>
      </c>
    </row>
    <row r="72" spans="2:3">
      <c r="B72" s="1571" t="s">
        <v>215</v>
      </c>
      <c r="C72" s="1370" t="s">
        <v>216</v>
      </c>
    </row>
    <row r="73" spans="2:3">
      <c r="B73" s="1571" t="s">
        <v>217</v>
      </c>
      <c r="C73" s="1370" t="s">
        <v>218</v>
      </c>
    </row>
    <row r="74" spans="2:3">
      <c r="C74" s="1370" t="s">
        <v>219</v>
      </c>
    </row>
    <row r="75" spans="2:3">
      <c r="C75" s="1370" t="s">
        <v>220</v>
      </c>
    </row>
    <row r="76" spans="2:3" ht="14.1" customHeight="1">
      <c r="C76" s="1370" t="s">
        <v>221</v>
      </c>
    </row>
    <row r="77" spans="2:3" ht="14.1" customHeight="1">
      <c r="B77" s="1571" t="s">
        <v>222</v>
      </c>
      <c r="C77" s="1370" t="s">
        <v>223</v>
      </c>
    </row>
    <row r="78" spans="2:3" ht="14.1" customHeight="1">
      <c r="B78" s="1571"/>
      <c r="C78" s="1370" t="s">
        <v>224</v>
      </c>
    </row>
    <row r="79" spans="2:3" ht="14.1" customHeight="1">
      <c r="B79" s="1571"/>
      <c r="C79" s="1370" t="s">
        <v>225</v>
      </c>
    </row>
    <row r="80" spans="2:3">
      <c r="B80" s="1571"/>
      <c r="C80" s="1370" t="s">
        <v>226</v>
      </c>
    </row>
    <row r="81" spans="2:4">
      <c r="B81" s="1571" t="s">
        <v>227</v>
      </c>
      <c r="C81" s="1370" t="s">
        <v>228</v>
      </c>
    </row>
    <row r="82" spans="2:4">
      <c r="B82" s="1571" t="s">
        <v>229</v>
      </c>
      <c r="C82" s="1370" t="s">
        <v>230</v>
      </c>
    </row>
    <row r="84" spans="2:4" ht="15.75" thickBot="1">
      <c r="C84" s="4653"/>
    </row>
    <row r="85" spans="2:4">
      <c r="C85" s="3197"/>
      <c r="D85" s="891"/>
    </row>
    <row r="86" spans="2:4">
      <c r="C86" s="3198" t="s">
        <v>46</v>
      </c>
      <c r="D86" s="860"/>
    </row>
    <row r="87" spans="2:4" ht="13.5" thickBot="1">
      <c r="C87" s="1229"/>
      <c r="D87" s="897"/>
    </row>
  </sheetData>
  <sheetProtection algorithmName="SHA-512" hashValue="7rk9D7ZDnZ9XcbyWgggBCkm+HBgtF+jUlYy2sSC+9J+iOZYgUxRhoT01VyKw5SPeY5YRnZsxyPFNLZbtu7GG8Q==" saltValue="TZlh2xcW0GYqrOPnH/LisQ==" spinCount="100000" sheet="1" objects="1" scenarios="1"/>
  <hyperlinks>
    <hyperlink ref="I18" r:id="rId1" xr:uid="{00000000-0004-0000-0200-000000000000}"/>
    <hyperlink ref="G21" r:id="rId2" xr:uid="{00000000-0004-0000-0200-000001000000}"/>
    <hyperlink ref="C86" location="'Table of Contents'!A1" display="Table of Contents" xr:uid="{00000000-0004-0000-0200-000002000000}"/>
  </hyperlinks>
  <pageMargins left="0.75" right="0.25" top="0.36" bottom="0.28999999999999998" header="0.36" footer="0.21"/>
  <pageSetup scale="93" fitToHeight="0" orientation="portrait" r:id="rId3"/>
  <rowBreaks count="1" manualBreakCount="1">
    <brk id="60" max="1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A92"/>
  <sheetViews>
    <sheetView zoomScaleNormal="100" zoomScaleSheetLayoutView="100" workbookViewId="0">
      <pane ySplit="1" topLeftCell="A2" activePane="bottomLeft" state="frozen"/>
      <selection pane="bottomLeft"/>
    </sheetView>
  </sheetViews>
  <sheetFormatPr defaultColWidth="9.140625" defaultRowHeight="12.75"/>
  <cols>
    <col min="1" max="1" width="7" style="220" customWidth="1"/>
    <col min="2" max="2" width="37.7109375" customWidth="1"/>
    <col min="3" max="8" width="19.42578125" customWidth="1"/>
    <col min="9" max="9" width="13" customWidth="1"/>
    <col min="10" max="10" width="13.28515625" customWidth="1"/>
    <col min="11" max="11" width="2.140625" customWidth="1"/>
    <col min="12" max="12" width="18.140625" style="5" customWidth="1"/>
    <col min="13" max="13" width="30.5703125" customWidth="1"/>
    <col min="14" max="14" width="10.85546875" style="902" customWidth="1"/>
    <col min="15" max="15" width="13.7109375" style="2396" customWidth="1"/>
    <col min="16" max="25" width="9.140625" style="2038"/>
    <col min="26" max="26" width="9.140625" style="4734"/>
    <col min="27" max="27" width="8.140625" style="596" bestFit="1" customWidth="1"/>
  </cols>
  <sheetData>
    <row r="1" spans="1:27" ht="42" customHeight="1" thickBot="1">
      <c r="A1" s="312"/>
      <c r="B1" s="1922" t="s">
        <v>236</v>
      </c>
      <c r="C1" s="5373"/>
      <c r="D1" s="1999"/>
      <c r="E1" s="1999"/>
      <c r="F1" s="2697" t="s">
        <v>237</v>
      </c>
      <c r="G1" s="5374">
        <v>160200</v>
      </c>
      <c r="H1" s="2697" t="s">
        <v>238</v>
      </c>
      <c r="I1" s="5375">
        <v>6.2E-2</v>
      </c>
      <c r="J1" s="2697"/>
      <c r="K1" s="2697" t="s">
        <v>239</v>
      </c>
      <c r="L1" s="5374">
        <f>ROUND(MaxSSTaxEarnings*SSTaxRate,2)</f>
        <v>9932.4</v>
      </c>
      <c r="M1" s="3033" t="s">
        <v>240</v>
      </c>
      <c r="N1" s="4728"/>
      <c r="O1" s="2395" t="s">
        <v>241</v>
      </c>
    </row>
    <row r="2" spans="1:27" ht="42" customHeight="1" thickTop="1">
      <c r="A2" s="5376"/>
      <c r="B2" s="898" t="str">
        <f>IF(Name_1st_Yours="","Enter your name on the"&amp;CHAR(10)&amp;"sheet labeled '1040'",NameYours)</f>
        <v>Enter your name on the
sheet labeled '1040'</v>
      </c>
      <c r="C2" s="4627" t="s">
        <v>242</v>
      </c>
      <c r="D2" s="4627" t="s">
        <v>243</v>
      </c>
      <c r="E2" s="4627" t="s">
        <v>244</v>
      </c>
      <c r="F2" s="4627" t="s">
        <v>245</v>
      </c>
      <c r="G2" s="4627" t="s">
        <v>246</v>
      </c>
      <c r="H2" s="4627" t="s">
        <v>247</v>
      </c>
      <c r="I2" s="5376" t="s">
        <v>248</v>
      </c>
      <c r="J2" s="5377" t="s">
        <v>249</v>
      </c>
      <c r="K2" s="1896"/>
      <c r="L2" s="2017" t="s">
        <v>250</v>
      </c>
      <c r="M2" s="2000"/>
      <c r="N2" s="4729"/>
      <c r="O2" s="3061" t="s">
        <v>251</v>
      </c>
    </row>
    <row r="3" spans="1:27" ht="19.5" customHeight="1">
      <c r="A3" s="3159" t="s">
        <v>252</v>
      </c>
      <c r="B3" s="2008" t="s">
        <v>253</v>
      </c>
      <c r="C3" s="2001"/>
      <c r="D3" s="2001"/>
      <c r="E3" s="2002"/>
      <c r="F3" s="2003"/>
      <c r="G3" s="2003"/>
      <c r="H3" s="2003"/>
      <c r="I3" s="5378">
        <f>SUM(ROUND(C3,0),ROUND(D3,0),ROUND(E3,0),ROUND(F3,0),ROUND(G3,0),ROUND(H3,0))</f>
        <v>0</v>
      </c>
      <c r="J3" s="5278"/>
      <c r="K3" s="5278"/>
      <c r="L3" s="5379"/>
      <c r="M3" s="5380"/>
      <c r="N3" s="3152">
        <v>45000</v>
      </c>
      <c r="Z3" s="4735"/>
      <c r="AA3" s="3152"/>
    </row>
    <row r="4" spans="1:27">
      <c r="A4" s="3159" t="s">
        <v>254</v>
      </c>
      <c r="B4" s="2008" t="s">
        <v>255</v>
      </c>
      <c r="C4" s="2004"/>
      <c r="D4" s="2004"/>
      <c r="E4" s="2004"/>
      <c r="F4" s="2006"/>
      <c r="G4" s="2006"/>
      <c r="H4" s="2006"/>
      <c r="I4" s="5381">
        <f t="shared" ref="I4:I22" si="0">SUM(ROUND(C4,0),ROUND(D4,0),ROUND(E4,0),ROUND(F4,0),ROUND(G4,0),ROUND(H4,0))</f>
        <v>0</v>
      </c>
      <c r="J4" s="5278"/>
      <c r="K4" s="5278"/>
      <c r="L4" s="2007"/>
      <c r="M4" s="5380"/>
      <c r="N4" s="2671">
        <f>0.19*N3</f>
        <v>8550</v>
      </c>
      <c r="Z4" s="4735"/>
      <c r="AA4" s="3152"/>
    </row>
    <row r="5" spans="1:27">
      <c r="A5" s="3159" t="s">
        <v>256</v>
      </c>
      <c r="B5" s="2008" t="s">
        <v>257</v>
      </c>
      <c r="C5" s="2004"/>
      <c r="D5" s="2004"/>
      <c r="E5" s="2004"/>
      <c r="F5" s="2006"/>
      <c r="G5" s="2006"/>
      <c r="H5" s="2006"/>
      <c r="I5" s="5381">
        <f t="shared" si="0"/>
        <v>0</v>
      </c>
      <c r="J5" s="185"/>
      <c r="K5" s="185"/>
      <c r="L5" s="2000" t="s">
        <v>258</v>
      </c>
      <c r="M5" s="5380"/>
      <c r="N5" s="2671">
        <f>MIN(N3,MaxSSTaxEarnings)</f>
        <v>45000</v>
      </c>
      <c r="Z5" s="4735"/>
      <c r="AA5" s="3152"/>
    </row>
    <row r="6" spans="1:27">
      <c r="A6" s="3159" t="s">
        <v>259</v>
      </c>
      <c r="B6" s="2008" t="s">
        <v>260</v>
      </c>
      <c r="C6" s="2004"/>
      <c r="D6" s="2004"/>
      <c r="E6" s="2004"/>
      <c r="F6" s="2006"/>
      <c r="G6" s="2006"/>
      <c r="H6" s="2006"/>
      <c r="I6" s="5382">
        <f>SUM(C6:H6)</f>
        <v>0</v>
      </c>
      <c r="J6" s="185">
        <f>IF(SUM(I6,-MaxSSTax)&gt;0,SUM(I6,-MaxSSTax),0)</f>
        <v>0</v>
      </c>
      <c r="K6" s="185"/>
      <c r="L6" s="5278" t="str">
        <f>IF(AND(EmployerCountYou&gt;1,J6&gt;0),"Schedule 3, line 11.",IF(AND(EmployerCountYou=1,J6&gt;0),"See note below.",""))</f>
        <v/>
      </c>
      <c r="M6" s="5380"/>
      <c r="N6" s="2671">
        <f>MIN(SSTaxRate*N3,MaxSSTax)</f>
        <v>2790</v>
      </c>
      <c r="Z6" s="4735"/>
      <c r="AA6" s="3152"/>
    </row>
    <row r="7" spans="1:27">
      <c r="A7" s="3159" t="s">
        <v>261</v>
      </c>
      <c r="B7" s="2008" t="s">
        <v>262</v>
      </c>
      <c r="C7" s="2004"/>
      <c r="D7" s="2004"/>
      <c r="E7" s="2004"/>
      <c r="F7" s="2006"/>
      <c r="G7" s="2006"/>
      <c r="H7" s="2006"/>
      <c r="I7" s="5381">
        <f t="shared" si="0"/>
        <v>0</v>
      </c>
      <c r="J7" s="185"/>
      <c r="K7" s="185"/>
      <c r="L7" s="2007"/>
      <c r="M7" s="5380"/>
      <c r="N7" s="2671">
        <f>N3</f>
        <v>45000</v>
      </c>
      <c r="Z7" s="4735"/>
      <c r="AA7" s="3152"/>
    </row>
    <row r="8" spans="1:27">
      <c r="A8" s="3159" t="s">
        <v>263</v>
      </c>
      <c r="B8" s="2008" t="s">
        <v>264</v>
      </c>
      <c r="C8" s="2004"/>
      <c r="D8" s="2004"/>
      <c r="E8" s="2004"/>
      <c r="F8" s="2004"/>
      <c r="G8" s="2004"/>
      <c r="H8" s="2004"/>
      <c r="I8" s="5381">
        <f t="shared" si="0"/>
        <v>0</v>
      </c>
      <c r="J8" s="185"/>
      <c r="K8" s="185"/>
      <c r="L8" s="2010" t="s">
        <v>265</v>
      </c>
      <c r="M8" s="5380"/>
      <c r="N8" s="2671">
        <f>MedicareTaxRate*N7</f>
        <v>652.5</v>
      </c>
      <c r="Z8" s="4735"/>
      <c r="AA8" s="3152"/>
    </row>
    <row r="9" spans="1:27">
      <c r="A9" s="3159" t="s">
        <v>266</v>
      </c>
      <c r="B9" s="2008" t="s">
        <v>267</v>
      </c>
      <c r="C9" s="2004"/>
      <c r="D9" s="2004"/>
      <c r="E9" s="2005"/>
      <c r="F9" s="2006"/>
      <c r="G9" s="2006"/>
      <c r="H9" s="2006"/>
      <c r="I9" s="5381">
        <f t="shared" si="0"/>
        <v>0</v>
      </c>
      <c r="J9" s="185"/>
      <c r="K9" s="185"/>
      <c r="L9" s="2000" t="s">
        <v>258</v>
      </c>
      <c r="M9" s="5380"/>
    </row>
    <row r="10" spans="1:27">
      <c r="A10" s="3159" t="s">
        <v>268</v>
      </c>
      <c r="B10" s="2011" t="s">
        <v>269</v>
      </c>
      <c r="C10" s="2004"/>
      <c r="D10" s="2004"/>
      <c r="E10" s="2005"/>
      <c r="F10" s="2006"/>
      <c r="G10" s="2006"/>
      <c r="H10" s="2006"/>
      <c r="I10" s="5381">
        <f t="shared" si="0"/>
        <v>0</v>
      </c>
      <c r="J10" s="185"/>
      <c r="K10" s="185"/>
      <c r="L10" s="1569"/>
      <c r="M10" s="4726"/>
      <c r="P10" s="2044"/>
    </row>
    <row r="11" spans="1:27">
      <c r="A11" s="3159" t="s">
        <v>270</v>
      </c>
      <c r="B11" s="2008" t="s">
        <v>271</v>
      </c>
      <c r="C11" s="2004"/>
      <c r="D11" s="2004"/>
      <c r="E11" s="2005"/>
      <c r="F11" s="2006"/>
      <c r="G11" s="2006"/>
      <c r="H11" s="2006"/>
      <c r="I11" s="5381">
        <f t="shared" si="0"/>
        <v>0</v>
      </c>
      <c r="J11" s="185"/>
      <c r="K11" s="185"/>
      <c r="L11" s="1569"/>
      <c r="M11" s="4726"/>
    </row>
    <row r="12" spans="1:27">
      <c r="A12" s="3159" t="s">
        <v>272</v>
      </c>
      <c r="B12" s="2011" t="s">
        <v>273</v>
      </c>
      <c r="C12" s="2004"/>
      <c r="D12" s="2004"/>
      <c r="E12" s="2005"/>
      <c r="F12" s="2006"/>
      <c r="G12" s="2006"/>
      <c r="H12" s="2006"/>
      <c r="I12" s="5381">
        <f t="shared" si="0"/>
        <v>0</v>
      </c>
      <c r="J12" s="185"/>
      <c r="K12" s="185"/>
      <c r="L12" s="1569"/>
      <c r="M12" s="4726"/>
    </row>
    <row r="13" spans="1:27">
      <c r="A13" s="5383" t="s">
        <v>274</v>
      </c>
      <c r="B13" s="2008" t="s">
        <v>275</v>
      </c>
      <c r="C13" s="2004"/>
      <c r="D13" s="2004"/>
      <c r="E13" s="2005"/>
      <c r="F13" s="2006"/>
      <c r="G13" s="2006"/>
      <c r="H13" s="2006"/>
      <c r="I13" s="5381">
        <f t="shared" si="0"/>
        <v>0</v>
      </c>
      <c r="J13" s="185"/>
      <c r="K13" s="185"/>
      <c r="L13" s="1569"/>
      <c r="M13" s="4726"/>
    </row>
    <row r="14" spans="1:27">
      <c r="A14" s="5383" t="s">
        <v>276</v>
      </c>
      <c r="B14" s="2011" t="s">
        <v>277</v>
      </c>
      <c r="C14" s="2004"/>
      <c r="D14" s="2004"/>
      <c r="E14" s="2005"/>
      <c r="F14" s="2006"/>
      <c r="G14" s="2006"/>
      <c r="H14" s="2006"/>
      <c r="I14" s="5381">
        <f t="shared" si="0"/>
        <v>0</v>
      </c>
      <c r="J14" s="185"/>
      <c r="K14" s="185"/>
      <c r="L14" s="1569"/>
      <c r="M14" s="4726"/>
    </row>
    <row r="15" spans="1:27">
      <c r="A15" s="5383" t="s">
        <v>278</v>
      </c>
      <c r="B15" s="2012"/>
      <c r="C15" s="2004"/>
      <c r="D15" s="2004"/>
      <c r="E15" s="2005"/>
      <c r="F15" s="2006"/>
      <c r="G15" s="2006"/>
      <c r="H15" s="2006"/>
      <c r="I15" s="5381">
        <f t="shared" si="0"/>
        <v>0</v>
      </c>
      <c r="J15" s="185"/>
      <c r="K15" s="185"/>
      <c r="L15" s="1569"/>
      <c r="M15" s="4726"/>
    </row>
    <row r="16" spans="1:27">
      <c r="A16" s="5383" t="s">
        <v>279</v>
      </c>
      <c r="B16" s="2012"/>
      <c r="C16" s="2004"/>
      <c r="D16" s="2004"/>
      <c r="E16" s="2005"/>
      <c r="F16" s="2006"/>
      <c r="G16" s="2006"/>
      <c r="H16" s="2006"/>
      <c r="I16" s="5381">
        <f t="shared" si="0"/>
        <v>0</v>
      </c>
      <c r="J16" s="185"/>
      <c r="K16" s="185"/>
      <c r="L16" s="1569"/>
      <c r="M16" s="4726"/>
      <c r="O16" s="2552"/>
    </row>
    <row r="17" spans="1:27">
      <c r="A17" s="3159" t="s">
        <v>280</v>
      </c>
      <c r="B17" s="2011" t="s">
        <v>281</v>
      </c>
      <c r="C17" s="2004"/>
      <c r="D17" s="2004"/>
      <c r="E17" s="2005"/>
      <c r="F17" s="2006"/>
      <c r="G17" s="2006"/>
      <c r="H17" s="2006"/>
      <c r="I17" s="5381">
        <f t="shared" si="0"/>
        <v>0</v>
      </c>
      <c r="J17" s="185"/>
      <c r="K17" s="185"/>
      <c r="L17" s="1569"/>
      <c r="M17" s="4726"/>
    </row>
    <row r="18" spans="1:27">
      <c r="A18" s="3159" t="s">
        <v>282</v>
      </c>
      <c r="B18" s="2011" t="s">
        <v>283</v>
      </c>
      <c r="C18" s="2004"/>
      <c r="D18" s="2004"/>
      <c r="E18" s="2005"/>
      <c r="F18" s="2006"/>
      <c r="G18" s="2006"/>
      <c r="H18" s="2006"/>
      <c r="I18" s="5381">
        <f t="shared" si="0"/>
        <v>0</v>
      </c>
      <c r="J18" s="185"/>
      <c r="K18" s="185"/>
      <c r="L18" s="1569"/>
      <c r="M18" s="4726"/>
      <c r="O18" s="2552"/>
    </row>
    <row r="19" spans="1:27">
      <c r="A19" s="3159" t="s">
        <v>282</v>
      </c>
      <c r="B19" s="2008" t="s">
        <v>284</v>
      </c>
      <c r="C19" s="2004"/>
      <c r="D19" s="2004"/>
      <c r="E19" s="2005"/>
      <c r="F19" s="2005"/>
      <c r="G19" s="2005"/>
      <c r="H19" s="2005"/>
      <c r="I19" s="5381">
        <f t="shared" si="0"/>
        <v>0</v>
      </c>
      <c r="J19" s="185"/>
      <c r="K19" s="185"/>
      <c r="L19" s="118" t="str">
        <f>IF(I29,"Form 8959, line 14","")</f>
        <v/>
      </c>
      <c r="M19" s="4726"/>
    </row>
    <row r="20" spans="1:27">
      <c r="A20" s="3159" t="s">
        <v>282</v>
      </c>
      <c r="B20" s="2013" t="s">
        <v>285</v>
      </c>
      <c r="C20" s="2004"/>
      <c r="D20" s="2004"/>
      <c r="E20" s="2004"/>
      <c r="F20" s="2004"/>
      <c r="G20" s="2004"/>
      <c r="H20" s="2004"/>
      <c r="I20" s="5381">
        <f t="shared" si="0"/>
        <v>0</v>
      </c>
      <c r="J20" s="185"/>
      <c r="K20" s="185"/>
      <c r="L20" s="1569"/>
      <c r="M20" s="4726"/>
    </row>
    <row r="21" spans="1:27">
      <c r="A21" s="3159" t="s">
        <v>286</v>
      </c>
      <c r="B21" s="2011" t="s">
        <v>287</v>
      </c>
      <c r="C21" s="5220"/>
      <c r="D21" s="5220"/>
      <c r="E21" s="5220"/>
      <c r="F21" s="5220"/>
      <c r="G21" s="5220"/>
      <c r="H21" s="5220"/>
      <c r="I21" s="5221" t="s">
        <v>288</v>
      </c>
      <c r="J21" s="185"/>
      <c r="K21" s="185"/>
      <c r="L21" s="1569"/>
      <c r="M21" s="4726"/>
    </row>
    <row r="22" spans="1:27">
      <c r="A22" s="3159" t="s">
        <v>289</v>
      </c>
      <c r="B22" s="2011" t="s">
        <v>290</v>
      </c>
      <c r="C22" s="2004"/>
      <c r="D22" s="2004"/>
      <c r="E22" s="2005"/>
      <c r="F22" s="2005"/>
      <c r="G22" s="2005"/>
      <c r="H22" s="2005"/>
      <c r="I22" s="5381">
        <f t="shared" si="0"/>
        <v>0</v>
      </c>
      <c r="J22" s="185"/>
      <c r="K22" s="185"/>
      <c r="L22" s="1569"/>
      <c r="M22" s="4726"/>
    </row>
    <row r="23" spans="1:27">
      <c r="A23" s="3159" t="s">
        <v>291</v>
      </c>
      <c r="B23" s="2008" t="s">
        <v>292</v>
      </c>
      <c r="C23" s="2004"/>
      <c r="D23" s="2004"/>
      <c r="E23" s="2005"/>
      <c r="F23" s="2006"/>
      <c r="G23" s="2006"/>
      <c r="H23" s="2006"/>
      <c r="I23" s="5381">
        <f>SUM(ROUND(C23,0),ROUND(D23,0),ROUND(E23,0),ROUND(F23,0),ROUND(G23,0),ROUND(H23,0))</f>
        <v>0</v>
      </c>
      <c r="J23" s="185"/>
      <c r="K23" s="185"/>
      <c r="L23" s="1569"/>
      <c r="M23" s="4726"/>
      <c r="N23" s="2671">
        <f>0.05*N3</f>
        <v>2250</v>
      </c>
      <c r="Z23" s="4735"/>
    </row>
    <row r="24" spans="1:27">
      <c r="A24" s="3159" t="s">
        <v>293</v>
      </c>
      <c r="B24" s="2011" t="s">
        <v>294</v>
      </c>
      <c r="C24" s="2004"/>
      <c r="D24" s="2005"/>
      <c r="E24" s="2005"/>
      <c r="F24" s="2006"/>
      <c r="G24" s="2006"/>
      <c r="H24" s="2006"/>
      <c r="I24" s="5381">
        <f>SUM(ROUND(C24,0),ROUND(D24,0),ROUND(E24,0),ROUND(F24,0),ROUND(G24,0),ROUND(H24,0))</f>
        <v>0</v>
      </c>
      <c r="J24" s="185"/>
      <c r="K24" s="185"/>
      <c r="L24" s="1569"/>
      <c r="M24" s="4726"/>
    </row>
    <row r="25" spans="1:27">
      <c r="A25" s="3159" t="s">
        <v>295</v>
      </c>
      <c r="B25" s="2008" t="s">
        <v>296</v>
      </c>
      <c r="C25" s="2004"/>
      <c r="D25" s="2004"/>
      <c r="E25" s="2004"/>
      <c r="F25" s="2004"/>
      <c r="G25" s="2004"/>
      <c r="H25" s="2004"/>
      <c r="I25" s="5381">
        <f>SUM(ROUND(C25,0),ROUND(D25,0),ROUND(E25,0),ROUND(F25,0),ROUND(G25,0),ROUND(H25,0))</f>
        <v>0</v>
      </c>
      <c r="J25" s="185"/>
      <c r="K25" s="185"/>
      <c r="L25" s="1569"/>
      <c r="M25" s="4727"/>
    </row>
    <row r="26" spans="1:27">
      <c r="A26" s="3159" t="s">
        <v>297</v>
      </c>
      <c r="B26" s="5222" t="s">
        <v>298</v>
      </c>
      <c r="C26" s="5220"/>
      <c r="D26" s="5220"/>
      <c r="E26" s="5220"/>
      <c r="F26" s="5220"/>
      <c r="G26" s="5220"/>
      <c r="H26" s="5220"/>
      <c r="I26" s="5221" t="s">
        <v>288</v>
      </c>
      <c r="J26" s="2014"/>
      <c r="K26" s="185"/>
      <c r="L26" s="1569"/>
      <c r="M26" s="4727"/>
    </row>
    <row r="27" spans="1:27" hidden="1">
      <c r="A27" s="1896"/>
      <c r="B27" s="5223" t="s">
        <v>299</v>
      </c>
      <c r="C27" s="5277">
        <f t="shared" ref="C27:H27" si="1">IF(C6&lt;&gt;"",1,0)</f>
        <v>0</v>
      </c>
      <c r="D27" s="5277">
        <f t="shared" si="1"/>
        <v>0</v>
      </c>
      <c r="E27" s="5277">
        <f t="shared" si="1"/>
        <v>0</v>
      </c>
      <c r="F27" s="5277">
        <f t="shared" si="1"/>
        <v>0</v>
      </c>
      <c r="G27" s="5277">
        <f t="shared" si="1"/>
        <v>0</v>
      </c>
      <c r="H27" s="5277">
        <f t="shared" si="1"/>
        <v>0</v>
      </c>
      <c r="I27" s="2698">
        <f>SUM(C27:H27)</f>
        <v>0</v>
      </c>
      <c r="J27" s="800"/>
      <c r="K27" s="185"/>
      <c r="L27" s="1569"/>
      <c r="M27" s="587"/>
    </row>
    <row r="28" spans="1:27" s="39" customFormat="1" ht="15" hidden="1" customHeight="1">
      <c r="A28" s="1376"/>
      <c r="B28" s="5223" t="str">
        <f>"Medicare wages and tip &gt; "&amp;TEXT(J28,"$0,000")</f>
        <v>Medicare wages and tip &gt; $200,000</v>
      </c>
      <c r="C28" s="1991" t="b">
        <f t="shared" ref="C28:H28" si="2">(C7&gt;$J28)</f>
        <v>0</v>
      </c>
      <c r="D28" s="1991" t="b">
        <f t="shared" si="2"/>
        <v>0</v>
      </c>
      <c r="E28" s="1991" t="b">
        <f t="shared" si="2"/>
        <v>0</v>
      </c>
      <c r="F28" s="1991" t="b">
        <f t="shared" si="2"/>
        <v>0</v>
      </c>
      <c r="G28" s="1991" t="b">
        <f t="shared" si="2"/>
        <v>0</v>
      </c>
      <c r="H28" s="1991" t="b">
        <f t="shared" si="2"/>
        <v>0</v>
      </c>
      <c r="I28" s="1991" t="b">
        <f>OR(C28:H28)</f>
        <v>0</v>
      </c>
      <c r="J28" s="5279">
        <f>'8959'!$H$24</f>
        <v>200000</v>
      </c>
      <c r="K28" s="1896"/>
      <c r="L28" s="5384"/>
      <c r="M28" s="5385"/>
      <c r="N28" s="902"/>
      <c r="O28" s="2396"/>
      <c r="P28" s="2038"/>
      <c r="Q28" s="2038"/>
      <c r="R28" s="2038"/>
      <c r="S28" s="2038"/>
      <c r="T28" s="2038"/>
      <c r="U28" s="2038"/>
      <c r="V28" s="2038"/>
      <c r="W28" s="2038"/>
      <c r="X28" s="2038"/>
      <c r="Y28" s="2038"/>
      <c r="Z28" s="4734"/>
      <c r="AA28" s="596"/>
    </row>
    <row r="29" spans="1:27" s="39" customFormat="1" ht="15" hidden="1" customHeight="1">
      <c r="A29" s="1376"/>
      <c r="B29" s="5223" t="str">
        <f>"RRTA &gt; "&amp;TEXT(J29,"$0,000")</f>
        <v>RRTA &gt; $200,000</v>
      </c>
      <c r="C29" s="1991" t="b">
        <f>IF(C19&gt;'8959'!$H$24,TRUE,FALSE)</f>
        <v>0</v>
      </c>
      <c r="D29" s="1991" t="b">
        <f>IF(D19&gt;'8959'!$H$24,TRUE,FALSE)</f>
        <v>0</v>
      </c>
      <c r="E29" s="1991" t="b">
        <f>IF(E19&gt;'8959'!$H$24,TRUE,FALSE)</f>
        <v>0</v>
      </c>
      <c r="F29" s="1991" t="b">
        <f>IF(F19&gt;'8959'!$H$24,TRUE,FALSE)</f>
        <v>0</v>
      </c>
      <c r="G29" s="1991" t="b">
        <f>IF(G19&gt;'8959'!$H$24,TRUE,FALSE)</f>
        <v>0</v>
      </c>
      <c r="H29" s="1991" t="b">
        <f>IF(H19&gt;'8959'!$H$24,TRUE,FALSE)</f>
        <v>0</v>
      </c>
      <c r="I29" s="1991" t="b">
        <f>OR(C29:H29)</f>
        <v>0</v>
      </c>
      <c r="J29" s="5279">
        <f>'8959'!H46</f>
        <v>200000</v>
      </c>
      <c r="K29" s="1896"/>
      <c r="L29" s="5384"/>
      <c r="M29" s="5385"/>
      <c r="N29" s="902"/>
      <c r="O29" s="2396"/>
      <c r="P29" s="2038"/>
      <c r="Q29" s="2038"/>
      <c r="R29" s="2038"/>
      <c r="S29" s="2038"/>
      <c r="T29" s="2038"/>
      <c r="U29" s="2038"/>
      <c r="V29" s="2038"/>
      <c r="W29" s="2038"/>
      <c r="X29" s="2038"/>
      <c r="Y29" s="2038"/>
      <c r="Z29" s="4734"/>
      <c r="AA29" s="596"/>
    </row>
    <row r="30" spans="1:27" s="39" customFormat="1" ht="15" customHeight="1">
      <c r="A30" s="1376"/>
      <c r="B30" s="5386"/>
      <c r="C30" s="620" t="str">
        <f>IF(AND(I6&gt;MaxSSTax,EmployerCountYou=1),"Notify your employer that they withheld "&amp;TEXT(SUM(I6,-MaxSSTax),"$0.00")&amp;" too much Social Security Tax or file Form 843, Claim for Refund and Request for Abatement.","")</f>
        <v/>
      </c>
      <c r="D30" s="5386"/>
      <c r="E30" s="5386"/>
      <c r="F30" s="5386"/>
      <c r="G30" s="5386"/>
      <c r="H30" s="5386"/>
      <c r="I30" s="5386"/>
      <c r="J30" s="5386"/>
      <c r="K30" s="1896"/>
      <c r="L30" s="5384"/>
      <c r="M30" s="5385"/>
      <c r="N30" s="902"/>
      <c r="O30" s="2396"/>
      <c r="P30" s="2038"/>
      <c r="Q30" s="2038"/>
      <c r="R30" s="2038"/>
      <c r="S30" s="2038"/>
      <c r="T30" s="2038"/>
      <c r="U30" s="2038"/>
      <c r="V30" s="2038"/>
      <c r="W30" s="2038"/>
      <c r="X30" s="2038"/>
      <c r="Y30" s="2038"/>
      <c r="Z30" s="4734"/>
      <c r="AA30" s="596"/>
    </row>
    <row r="31" spans="1:27" s="39" customFormat="1" ht="15" customHeight="1" thickBot="1">
      <c r="A31" s="1376"/>
      <c r="B31" s="1646" t="str">
        <f>IF(OR(AND(C7="",C8&lt;&gt;""),AND(D7="",D8&lt;&gt;""),AND(E7="",E8&lt;&gt;""),AND(F7="",F8&lt;&gt;"")),"CAUTION:  Entering an amount into Line 6 without entering an amount into Line 5 will result in a tax calculation error.","")</f>
        <v/>
      </c>
      <c r="C31" s="1646"/>
      <c r="D31" s="37"/>
      <c r="E31" s="37"/>
      <c r="F31" s="37"/>
      <c r="G31" s="37"/>
      <c r="H31" s="37"/>
      <c r="I31" s="37"/>
      <c r="J31" s="37"/>
      <c r="K31" s="1896"/>
      <c r="L31" s="5384"/>
      <c r="M31" s="5385"/>
      <c r="N31" s="902"/>
      <c r="O31" s="2396"/>
      <c r="P31" s="2038"/>
      <c r="Q31" s="2038"/>
      <c r="R31" s="2038"/>
      <c r="S31" s="2038"/>
      <c r="T31" s="2038"/>
      <c r="U31" s="2038"/>
      <c r="V31" s="2038"/>
      <c r="W31" s="2038"/>
      <c r="X31" s="2038"/>
      <c r="Y31" s="2038"/>
      <c r="Z31" s="4734"/>
      <c r="AA31" s="596"/>
    </row>
    <row r="32" spans="1:27" ht="42" customHeight="1" thickTop="1">
      <c r="A32" s="1908"/>
      <c r="B32" s="1923" t="s">
        <v>236</v>
      </c>
      <c r="C32" s="5387"/>
      <c r="D32" s="2015"/>
      <c r="E32" s="2015"/>
      <c r="F32" s="2015"/>
      <c r="G32" s="2015"/>
      <c r="H32" s="2015"/>
      <c r="I32" s="2015"/>
      <c r="J32" s="2015"/>
      <c r="K32" s="2015"/>
      <c r="L32" s="689"/>
      <c r="M32" s="1998"/>
      <c r="N32" s="4728"/>
    </row>
    <row r="33" spans="1:14" ht="36.75" customHeight="1">
      <c r="A33" s="37"/>
      <c r="B33" s="1907" t="str">
        <f>IF(Name_1st_Sp="","Enter your spouse's name on"&amp;CHAR(10)&amp;"the sheet labeled '1040'",NameSpouse)</f>
        <v>Enter your spouse's name on
the sheet labeled '1040'</v>
      </c>
      <c r="C33" s="4628" t="s">
        <v>242</v>
      </c>
      <c r="D33" s="4628" t="s">
        <v>243</v>
      </c>
      <c r="E33" s="4628" t="s">
        <v>244</v>
      </c>
      <c r="F33" s="4628" t="s">
        <v>245</v>
      </c>
      <c r="G33" s="4628" t="s">
        <v>246</v>
      </c>
      <c r="H33" s="4628" t="s">
        <v>247</v>
      </c>
      <c r="I33" s="2017" t="s">
        <v>248</v>
      </c>
      <c r="J33" s="2017" t="s">
        <v>249</v>
      </c>
      <c r="K33" s="1896"/>
      <c r="L33" s="2017" t="s">
        <v>250</v>
      </c>
      <c r="M33" s="5385"/>
      <c r="N33" s="5219">
        <v>0.75</v>
      </c>
    </row>
    <row r="34" spans="1:14" ht="18" customHeight="1">
      <c r="A34" s="3159" t="s">
        <v>252</v>
      </c>
      <c r="B34" s="2008" t="s">
        <v>253</v>
      </c>
      <c r="C34" s="2001"/>
      <c r="D34" s="2001"/>
      <c r="E34" s="2002"/>
      <c r="F34" s="2003"/>
      <c r="G34" s="2003"/>
      <c r="H34" s="2003"/>
      <c r="I34" s="5378">
        <f>SUM(ROUND(C34,0),ROUND(D34,0),ROUND(E34,0),ROUND(F34,0),ROUND(G34,0),ROUND(H34,0))</f>
        <v>0</v>
      </c>
      <c r="J34" s="5278"/>
      <c r="K34" s="5278"/>
      <c r="L34" s="5379"/>
      <c r="M34" s="5388"/>
      <c r="N34" s="2671">
        <f>N3*$N$33</f>
        <v>33750</v>
      </c>
    </row>
    <row r="35" spans="1:14">
      <c r="A35" s="3159" t="s">
        <v>254</v>
      </c>
      <c r="B35" s="2008" t="s">
        <v>255</v>
      </c>
      <c r="C35" s="2004"/>
      <c r="D35" s="2004"/>
      <c r="E35" s="2005"/>
      <c r="F35" s="2006"/>
      <c r="G35" s="2006"/>
      <c r="H35" s="2006"/>
      <c r="I35" s="5381">
        <f t="shared" ref="I35:I53" si="3">SUM(ROUND(C35,0),ROUND(D35,0),ROUND(E35,0),ROUND(F35,0),ROUND(G35,0),ROUND(H35,0))</f>
        <v>0</v>
      </c>
      <c r="J35" s="5278"/>
      <c r="K35" s="5278"/>
      <c r="L35" s="5389"/>
      <c r="M35" s="587"/>
      <c r="N35" s="2671">
        <f>0.19*N34</f>
        <v>6412.5</v>
      </c>
    </row>
    <row r="36" spans="1:14">
      <c r="A36" s="3159" t="s">
        <v>256</v>
      </c>
      <c r="B36" s="2008" t="s">
        <v>257</v>
      </c>
      <c r="C36" s="2004"/>
      <c r="D36" s="2004"/>
      <c r="E36" s="2005"/>
      <c r="F36" s="2006"/>
      <c r="G36" s="2006"/>
      <c r="H36" s="2006"/>
      <c r="I36" s="5381">
        <f t="shared" si="3"/>
        <v>0</v>
      </c>
      <c r="J36" s="185"/>
      <c r="K36" s="185"/>
      <c r="L36" s="2000" t="s">
        <v>258</v>
      </c>
      <c r="M36" s="587"/>
      <c r="N36" s="2671">
        <f>MIN(N34,MaxSSTaxEarnings)</f>
        <v>33750</v>
      </c>
    </row>
    <row r="37" spans="1:14">
      <c r="A37" s="3159" t="s">
        <v>259</v>
      </c>
      <c r="B37" s="2008" t="s">
        <v>260</v>
      </c>
      <c r="C37" s="2004"/>
      <c r="D37" s="2004"/>
      <c r="E37" s="2005"/>
      <c r="F37" s="2006"/>
      <c r="G37" s="2006"/>
      <c r="H37" s="2006"/>
      <c r="I37" s="5382">
        <f>SUM(C37:H37)</f>
        <v>0</v>
      </c>
      <c r="J37" s="185">
        <f>IF(SUM(I37,-MaxSSTax)&gt;0,SUM(I37,-MaxSSTax),0)</f>
        <v>0</v>
      </c>
      <c r="K37" s="185"/>
      <c r="L37" s="5278" t="str">
        <f>IF(AND(EmployerCountSpouse&gt;1,J37&gt;0),"Schedule 3, line 11.",IF(AND(EmployerCountSpouse=1,J37&gt;0),"See note below.",""))</f>
        <v/>
      </c>
      <c r="M37" s="2009"/>
      <c r="N37" s="2671">
        <f>MIN(SSTaxRate*N34,MaxSSTax)</f>
        <v>2092.5</v>
      </c>
    </row>
    <row r="38" spans="1:14">
      <c r="A38" s="3159" t="s">
        <v>261</v>
      </c>
      <c r="B38" s="2008" t="s">
        <v>262</v>
      </c>
      <c r="C38" s="2004"/>
      <c r="D38" s="2004"/>
      <c r="E38" s="2005"/>
      <c r="F38" s="2006"/>
      <c r="G38" s="2006"/>
      <c r="H38" s="2006"/>
      <c r="I38" s="5381">
        <f t="shared" si="3"/>
        <v>0</v>
      </c>
      <c r="J38" s="185"/>
      <c r="K38" s="185"/>
      <c r="L38" s="2016"/>
      <c r="M38" s="587"/>
      <c r="N38" s="2671">
        <f>N34</f>
        <v>33750</v>
      </c>
    </row>
    <row r="39" spans="1:14">
      <c r="A39" s="3159" t="s">
        <v>263</v>
      </c>
      <c r="B39" s="2008" t="s">
        <v>264</v>
      </c>
      <c r="C39" s="2004"/>
      <c r="D39" s="2004"/>
      <c r="E39" s="2004"/>
      <c r="F39" s="2004"/>
      <c r="G39" s="2004"/>
      <c r="H39" s="2004"/>
      <c r="I39" s="5381">
        <f t="shared" si="3"/>
        <v>0</v>
      </c>
      <c r="J39" s="39"/>
      <c r="K39" s="39"/>
      <c r="L39" s="2010" t="s">
        <v>265</v>
      </c>
      <c r="M39" s="587"/>
      <c r="N39" s="2671">
        <f>MedicareTaxRate*N38</f>
        <v>489.375</v>
      </c>
    </row>
    <row r="40" spans="1:14">
      <c r="A40" s="3159" t="s">
        <v>266</v>
      </c>
      <c r="B40" s="2008" t="s">
        <v>267</v>
      </c>
      <c r="C40" s="2004"/>
      <c r="D40" s="2004"/>
      <c r="E40" s="2005"/>
      <c r="F40" s="2006"/>
      <c r="G40" s="2006"/>
      <c r="H40" s="2006"/>
      <c r="I40" s="5381">
        <f t="shared" si="3"/>
        <v>0</v>
      </c>
      <c r="J40" s="185"/>
      <c r="K40" s="185"/>
      <c r="L40" s="2000" t="s">
        <v>258</v>
      </c>
      <c r="M40" s="587"/>
      <c r="N40" s="4729"/>
    </row>
    <row r="41" spans="1:14">
      <c r="A41" s="3159" t="s">
        <v>268</v>
      </c>
      <c r="B41" s="2011" t="s">
        <v>269</v>
      </c>
      <c r="C41" s="2004"/>
      <c r="D41" s="2004"/>
      <c r="E41" s="2005"/>
      <c r="F41" s="2006"/>
      <c r="G41" s="2006"/>
      <c r="H41" s="2006"/>
      <c r="I41" s="5381">
        <f t="shared" si="3"/>
        <v>0</v>
      </c>
      <c r="J41" s="185"/>
      <c r="K41" s="185"/>
      <c r="L41" s="1569"/>
      <c r="M41" s="587"/>
      <c r="N41" s="4729"/>
    </row>
    <row r="42" spans="1:14">
      <c r="A42" s="3159" t="s">
        <v>270</v>
      </c>
      <c r="B42" s="2008" t="s">
        <v>271</v>
      </c>
      <c r="C42" s="2004"/>
      <c r="D42" s="2004"/>
      <c r="E42" s="2005"/>
      <c r="F42" s="2006"/>
      <c r="G42" s="2006"/>
      <c r="H42" s="2006"/>
      <c r="I42" s="5381">
        <f t="shared" si="3"/>
        <v>0</v>
      </c>
      <c r="J42" s="185"/>
      <c r="K42" s="185"/>
      <c r="L42" s="1569"/>
      <c r="M42" s="587"/>
      <c r="N42" s="4729"/>
    </row>
    <row r="43" spans="1:14">
      <c r="A43" s="3159" t="s">
        <v>272</v>
      </c>
      <c r="B43" s="2011" t="s">
        <v>273</v>
      </c>
      <c r="C43" s="2004"/>
      <c r="D43" s="2004"/>
      <c r="E43" s="2005"/>
      <c r="F43" s="2006"/>
      <c r="G43" s="2006"/>
      <c r="H43" s="2006"/>
      <c r="I43" s="5381">
        <f t="shared" si="3"/>
        <v>0</v>
      </c>
      <c r="J43" s="185"/>
      <c r="K43" s="185"/>
      <c r="L43" s="1569"/>
      <c r="M43" s="587"/>
      <c r="N43" s="4729"/>
    </row>
    <row r="44" spans="1:14">
      <c r="A44" s="5383" t="s">
        <v>274</v>
      </c>
      <c r="B44" s="2008" t="s">
        <v>275</v>
      </c>
      <c r="C44" s="2004"/>
      <c r="D44" s="2004"/>
      <c r="E44" s="2005"/>
      <c r="F44" s="2006"/>
      <c r="G44" s="2006"/>
      <c r="H44" s="2006"/>
      <c r="I44" s="5381">
        <f t="shared" si="3"/>
        <v>0</v>
      </c>
      <c r="J44" s="185"/>
      <c r="K44" s="185"/>
      <c r="L44" s="1569"/>
      <c r="M44" s="587"/>
      <c r="N44" s="4729"/>
    </row>
    <row r="45" spans="1:14">
      <c r="A45" s="5383" t="s">
        <v>276</v>
      </c>
      <c r="B45" s="2011" t="s">
        <v>277</v>
      </c>
      <c r="C45" s="2004"/>
      <c r="D45" s="2004"/>
      <c r="E45" s="2005"/>
      <c r="F45" s="2006"/>
      <c r="G45" s="2006"/>
      <c r="H45" s="2006"/>
      <c r="I45" s="5381">
        <f t="shared" si="3"/>
        <v>0</v>
      </c>
      <c r="J45" s="185"/>
      <c r="K45" s="185"/>
      <c r="L45" s="1569"/>
      <c r="M45" s="587"/>
      <c r="N45" s="4729"/>
    </row>
    <row r="46" spans="1:14">
      <c r="A46" s="5383" t="s">
        <v>278</v>
      </c>
      <c r="B46" s="2012"/>
      <c r="C46" s="2004"/>
      <c r="D46" s="2004"/>
      <c r="E46" s="2005"/>
      <c r="F46" s="2006"/>
      <c r="G46" s="2006"/>
      <c r="H46" s="2006"/>
      <c r="I46" s="5381">
        <f t="shared" si="3"/>
        <v>0</v>
      </c>
      <c r="J46" s="185"/>
      <c r="K46" s="185"/>
      <c r="L46" s="1569"/>
      <c r="M46" s="587"/>
      <c r="N46" s="4729"/>
    </row>
    <row r="47" spans="1:14">
      <c r="A47" s="5383" t="s">
        <v>279</v>
      </c>
      <c r="B47" s="2012"/>
      <c r="C47" s="2004"/>
      <c r="D47" s="2004"/>
      <c r="E47" s="2005"/>
      <c r="F47" s="2006"/>
      <c r="G47" s="2006"/>
      <c r="H47" s="2006"/>
      <c r="I47" s="5381">
        <f t="shared" si="3"/>
        <v>0</v>
      </c>
      <c r="J47" s="185"/>
      <c r="K47" s="185"/>
      <c r="L47" s="1569"/>
      <c r="M47" s="587"/>
      <c r="N47" s="4729"/>
    </row>
    <row r="48" spans="1:14">
      <c r="A48" s="3159" t="s">
        <v>280</v>
      </c>
      <c r="B48" s="2011" t="s">
        <v>281</v>
      </c>
      <c r="C48" s="2004"/>
      <c r="D48" s="2004"/>
      <c r="E48" s="2005"/>
      <c r="F48" s="2006"/>
      <c r="G48" s="2006"/>
      <c r="H48" s="2006"/>
      <c r="I48" s="5381">
        <f t="shared" si="3"/>
        <v>0</v>
      </c>
      <c r="J48" s="185"/>
      <c r="K48" s="185"/>
      <c r="L48" s="1569"/>
      <c r="M48" s="587"/>
      <c r="N48" s="4729"/>
    </row>
    <row r="49" spans="1:27">
      <c r="A49" s="3159" t="s">
        <v>282</v>
      </c>
      <c r="B49" s="2011" t="s">
        <v>283</v>
      </c>
      <c r="C49" s="2004"/>
      <c r="D49" s="2004"/>
      <c r="E49" s="2005"/>
      <c r="F49" s="2006"/>
      <c r="G49" s="2006"/>
      <c r="H49" s="2006"/>
      <c r="I49" s="5381">
        <f t="shared" si="3"/>
        <v>0</v>
      </c>
      <c r="J49" s="185"/>
      <c r="K49" s="185"/>
      <c r="L49" s="1569"/>
      <c r="M49" s="587"/>
      <c r="N49" s="4729"/>
    </row>
    <row r="50" spans="1:27">
      <c r="A50" s="3159" t="s">
        <v>282</v>
      </c>
      <c r="B50" s="2008" t="s">
        <v>284</v>
      </c>
      <c r="C50" s="2004"/>
      <c r="D50" s="2004"/>
      <c r="E50" s="2004"/>
      <c r="F50" s="2006"/>
      <c r="G50" s="2006"/>
      <c r="H50" s="2006"/>
      <c r="I50" s="5381">
        <f t="shared" si="3"/>
        <v>0</v>
      </c>
      <c r="J50" s="185"/>
      <c r="K50" s="185"/>
      <c r="L50" s="5278" t="str">
        <f>IF(I60,"Form 8959, line 14","")</f>
        <v/>
      </c>
      <c r="M50" s="587"/>
      <c r="N50" s="4729"/>
    </row>
    <row r="51" spans="1:27">
      <c r="A51" s="3159" t="s">
        <v>282</v>
      </c>
      <c r="B51" s="2013" t="s">
        <v>285</v>
      </c>
      <c r="C51" s="2004"/>
      <c r="D51" s="2004"/>
      <c r="E51" s="2005"/>
      <c r="F51" s="2006"/>
      <c r="G51" s="2006"/>
      <c r="H51" s="2006"/>
      <c r="I51" s="5381">
        <f t="shared" si="3"/>
        <v>0</v>
      </c>
      <c r="J51" s="185"/>
      <c r="K51" s="185"/>
      <c r="L51" s="1569"/>
      <c r="M51" s="587"/>
    </row>
    <row r="52" spans="1:27">
      <c r="A52" s="3159" t="s">
        <v>286</v>
      </c>
      <c r="B52" s="2011" t="s">
        <v>287</v>
      </c>
      <c r="C52" s="5220"/>
      <c r="D52" s="5220"/>
      <c r="E52" s="5220"/>
      <c r="F52" s="5220"/>
      <c r="G52" s="5220"/>
      <c r="H52" s="5220"/>
      <c r="I52" s="5221" t="s">
        <v>288</v>
      </c>
      <c r="J52" s="185"/>
      <c r="K52" s="185"/>
      <c r="L52" s="1569"/>
      <c r="M52" s="4726"/>
      <c r="N52" s="4729"/>
    </row>
    <row r="53" spans="1:27">
      <c r="A53" s="3159" t="s">
        <v>289</v>
      </c>
      <c r="B53" s="2011" t="s">
        <v>290</v>
      </c>
      <c r="C53" s="2004"/>
      <c r="D53" s="2004"/>
      <c r="E53" s="2005"/>
      <c r="F53" s="2006"/>
      <c r="G53" s="2006"/>
      <c r="H53" s="2006"/>
      <c r="I53" s="5381">
        <f t="shared" si="3"/>
        <v>0</v>
      </c>
      <c r="J53" s="185"/>
      <c r="K53" s="185"/>
      <c r="L53" s="1569"/>
      <c r="M53" s="587"/>
      <c r="N53" s="2671">
        <f>0.05*N62</f>
        <v>0</v>
      </c>
    </row>
    <row r="54" spans="1:27">
      <c r="A54" s="3159" t="s">
        <v>291</v>
      </c>
      <c r="B54" s="2008" t="s">
        <v>292</v>
      </c>
      <c r="C54" s="2004"/>
      <c r="D54" s="2004"/>
      <c r="E54" s="2005"/>
      <c r="F54" s="2006"/>
      <c r="G54" s="2006"/>
      <c r="H54" s="2006"/>
      <c r="I54" s="5381">
        <f>SUM(ROUND(C54,0),ROUND(D54,0),ROUND(E54,0),ROUND(F54,0),ROUND(G54,0),ROUND(H54,0))</f>
        <v>0</v>
      </c>
      <c r="J54" s="39"/>
      <c r="K54" s="39"/>
      <c r="L54" s="1569"/>
      <c r="M54" s="587"/>
      <c r="N54" s="2671">
        <f>0.05*N34</f>
        <v>1687.5</v>
      </c>
    </row>
    <row r="55" spans="1:27">
      <c r="A55" s="3159" t="s">
        <v>293</v>
      </c>
      <c r="B55" s="2011" t="s">
        <v>294</v>
      </c>
      <c r="C55" s="2004"/>
      <c r="D55" s="2005"/>
      <c r="E55" s="2005"/>
      <c r="F55" s="2006"/>
      <c r="G55" s="2006"/>
      <c r="H55" s="2006"/>
      <c r="I55" s="5381">
        <f>SUM(ROUND(C55,0),ROUND(D55,0),ROUND(E55,0),ROUND(F55,0),ROUND(G55,0),ROUND(H55,0))</f>
        <v>0</v>
      </c>
      <c r="J55" s="185"/>
      <c r="K55" s="185"/>
      <c r="L55" s="1569"/>
      <c r="M55" s="587"/>
      <c r="N55" s="4729"/>
    </row>
    <row r="56" spans="1:27">
      <c r="A56" s="3159" t="s">
        <v>295</v>
      </c>
      <c r="B56" s="2008" t="s">
        <v>296</v>
      </c>
      <c r="C56" s="2004"/>
      <c r="D56" s="2004"/>
      <c r="E56" s="2004"/>
      <c r="F56" s="2004"/>
      <c r="G56" s="2004"/>
      <c r="H56" s="2004"/>
      <c r="I56" s="5381">
        <f>SUM(ROUND(C56,0),ROUND(D56,0),ROUND(E56,0),ROUND(F56,0),ROUND(G56,0),ROUND(H56,0))</f>
        <v>0</v>
      </c>
      <c r="J56" s="185"/>
      <c r="K56" s="185"/>
      <c r="L56" s="1569"/>
      <c r="M56" s="587"/>
      <c r="N56" s="4729"/>
    </row>
    <row r="57" spans="1:27">
      <c r="A57" s="3159" t="s">
        <v>297</v>
      </c>
      <c r="B57" s="5222" t="s">
        <v>298</v>
      </c>
      <c r="C57" s="5275"/>
      <c r="D57" s="5275"/>
      <c r="E57" s="5275"/>
      <c r="F57" s="5275"/>
      <c r="G57" s="5275"/>
      <c r="H57" s="5275"/>
      <c r="I57" s="5221" t="s">
        <v>288</v>
      </c>
      <c r="J57" s="185"/>
      <c r="K57" s="185"/>
      <c r="L57" s="1569"/>
      <c r="M57" s="4727"/>
      <c r="N57" s="4730"/>
    </row>
    <row r="58" spans="1:27" hidden="1">
      <c r="A58" s="1896"/>
      <c r="B58" s="5223" t="s">
        <v>299</v>
      </c>
      <c r="C58" s="5277">
        <f t="shared" ref="C58:H58" si="4">IF(C37&lt;&gt;"",1,0)</f>
        <v>0</v>
      </c>
      <c r="D58" s="5277">
        <f t="shared" si="4"/>
        <v>0</v>
      </c>
      <c r="E58" s="5277">
        <f t="shared" si="4"/>
        <v>0</v>
      </c>
      <c r="F58" s="5277">
        <f t="shared" si="4"/>
        <v>0</v>
      </c>
      <c r="G58" s="5277">
        <f t="shared" si="4"/>
        <v>0</v>
      </c>
      <c r="H58" s="5277">
        <f t="shared" si="4"/>
        <v>0</v>
      </c>
      <c r="I58" s="2698">
        <f>SUM(C58:H58)</f>
        <v>0</v>
      </c>
      <c r="J58" s="5276"/>
      <c r="K58" s="185"/>
      <c r="L58" s="1569"/>
      <c r="M58" s="587"/>
      <c r="N58" s="4730"/>
    </row>
    <row r="59" spans="1:27" s="39" customFormat="1" ht="15" hidden="1" customHeight="1">
      <c r="A59" s="1376"/>
      <c r="B59" s="5223" t="str">
        <f>"Medicare wages and tip &gt; "&amp;TEXT($J$28,"$0,000")</f>
        <v>Medicare wages and tip &gt; $200,000</v>
      </c>
      <c r="C59" s="294" t="b">
        <f>IF(C38&gt;'8959'!$H$24,TRUE,FALSE)</f>
        <v>0</v>
      </c>
      <c r="D59" s="294" t="b">
        <f>IF(D38&gt;'8959'!$H$24,TRUE,FALSE)</f>
        <v>0</v>
      </c>
      <c r="E59" s="294" t="b">
        <f>IF(E38&gt;'8959'!$H$24,TRUE,FALSE)</f>
        <v>0</v>
      </c>
      <c r="F59" s="294" t="b">
        <f>IF(F38&gt;'8959'!$H$24,TRUE,FALSE)</f>
        <v>0</v>
      </c>
      <c r="G59" s="294" t="b">
        <f>IF(G38&gt;'8959'!$H$24,TRUE,FALSE)</f>
        <v>0</v>
      </c>
      <c r="H59" s="294" t="b">
        <f>IF(H38&gt;'8959'!$H$24,TRUE,FALSE)</f>
        <v>0</v>
      </c>
      <c r="I59" s="1991" t="b">
        <f>OR(C59:H59)</f>
        <v>0</v>
      </c>
      <c r="J59" s="5280" t="b">
        <f>OR(I28,I59)</f>
        <v>0</v>
      </c>
      <c r="K59" s="1896"/>
      <c r="L59" s="5384"/>
      <c r="M59" s="5385"/>
      <c r="N59" s="4730"/>
      <c r="O59" s="2396"/>
      <c r="P59" s="2038"/>
      <c r="Q59" s="2038"/>
      <c r="R59" s="2038"/>
      <c r="S59" s="2038"/>
      <c r="T59" s="2038"/>
      <c r="U59" s="2038"/>
      <c r="V59" s="2038"/>
      <c r="W59" s="2038"/>
      <c r="X59" s="2038"/>
      <c r="Y59" s="2038"/>
      <c r="Z59" s="4734"/>
      <c r="AA59" s="596"/>
    </row>
    <row r="60" spans="1:27" s="39" customFormat="1" ht="15" hidden="1" customHeight="1">
      <c r="A60" s="1376"/>
      <c r="B60" s="5223" t="str">
        <f>"RRTA &gt; "&amp;TEXT($J$29,"$0,000")</f>
        <v>RRTA &gt; $200,000</v>
      </c>
      <c r="C60" s="1991" t="b">
        <f>IF(C50&gt;'8959'!$H$24,TRUE,FALSE)</f>
        <v>0</v>
      </c>
      <c r="D60" s="1991" t="b">
        <f>IF(D50&gt;'8959'!$H$24,TRUE,FALSE)</f>
        <v>0</v>
      </c>
      <c r="E60" s="1991" t="b">
        <f>IF(E50&gt;'8959'!$H$24,TRUE,FALSE)</f>
        <v>0</v>
      </c>
      <c r="F60" s="1991" t="b">
        <f>IF(F50&gt;'8959'!$H$24,TRUE,FALSE)</f>
        <v>0</v>
      </c>
      <c r="G60" s="1991" t="b">
        <f>IF(G50&gt;'8959'!$H$24,TRUE,FALSE)</f>
        <v>0</v>
      </c>
      <c r="H60" s="1991" t="b">
        <f>IF(H50&gt;'8959'!$H$24,TRUE,FALSE)</f>
        <v>0</v>
      </c>
      <c r="I60" s="1991" t="b">
        <f>OR(C60:H60)</f>
        <v>0</v>
      </c>
      <c r="J60" s="5280" t="b">
        <f>OR(I29,I60)</f>
        <v>0</v>
      </c>
      <c r="K60" s="1896"/>
      <c r="L60" s="5384"/>
      <c r="M60" s="5385"/>
      <c r="N60" s="902"/>
      <c r="O60" s="2396"/>
      <c r="P60" s="2038"/>
      <c r="Q60" s="2038"/>
      <c r="R60" s="2038"/>
      <c r="S60" s="2038"/>
      <c r="T60" s="2038"/>
      <c r="U60" s="2038"/>
      <c r="V60" s="2038"/>
      <c r="W60" s="2038"/>
      <c r="X60" s="2038"/>
      <c r="Y60" s="2038"/>
      <c r="Z60" s="4734"/>
      <c r="AA60" s="596"/>
    </row>
    <row r="61" spans="1:27" s="39" customFormat="1" ht="15" customHeight="1">
      <c r="A61" s="1376"/>
      <c r="B61" s="5386"/>
      <c r="C61" s="620" t="str">
        <f>IF(AND(I37&gt;MaxSSTax,EmployerCountSpouse=1),"Notify your employer that they withheld "&amp;TEXT(SUM(I37,-MaxSSTax),"$0.00")&amp;" too much Social Security Tax or file Form 843, Claim for Refund and Request for Abatement.","")</f>
        <v/>
      </c>
      <c r="D61" s="5386"/>
      <c r="E61" s="5386"/>
      <c r="F61" s="5386"/>
      <c r="G61" s="5386"/>
      <c r="H61" s="5386"/>
      <c r="I61" s="5386"/>
      <c r="J61" s="5386"/>
      <c r="K61" s="1896"/>
      <c r="L61" s="5384"/>
      <c r="M61" s="5385"/>
      <c r="N61" s="4730"/>
      <c r="O61" s="2396"/>
      <c r="P61" s="2038"/>
      <c r="Q61" s="2038"/>
      <c r="R61" s="2038"/>
      <c r="S61" s="2038"/>
      <c r="T61" s="2038"/>
      <c r="U61" s="2038"/>
      <c r="V61" s="2038"/>
      <c r="W61" s="2038"/>
      <c r="X61" s="2038"/>
      <c r="Y61" s="2038"/>
      <c r="Z61" s="4734"/>
      <c r="AA61" s="596"/>
    </row>
    <row r="62" spans="1:27" s="39" customFormat="1" ht="15" customHeight="1">
      <c r="A62" s="1376"/>
      <c r="B62" s="1646" t="str">
        <f>IF(OR(AND(C38="",C39&lt;&gt;""),AND(D38="",D39&lt;&gt;""),AND(E38="",E39&lt;&gt;""),AND(F38="",F39&lt;&gt;"")),"CAUTION:  Entering an amount into Line 6 without entering an amount into Line 5 will resutl in a tax calculation error.","")</f>
        <v/>
      </c>
      <c r="C62" s="1646"/>
      <c r="D62" s="37"/>
      <c r="E62" s="37"/>
      <c r="F62" s="37"/>
      <c r="G62" s="37"/>
      <c r="H62" s="37"/>
      <c r="I62" s="37"/>
      <c r="J62" s="2139"/>
      <c r="K62" s="1896"/>
      <c r="L62" s="5384"/>
      <c r="M62" s="5385"/>
      <c r="N62" s="4731"/>
      <c r="O62" s="2396"/>
      <c r="P62" s="2038"/>
      <c r="Q62" s="2038"/>
      <c r="R62" s="2038"/>
      <c r="S62" s="2038"/>
      <c r="T62" s="2038"/>
      <c r="U62" s="2038"/>
      <c r="V62" s="2038"/>
      <c r="W62" s="2038"/>
      <c r="X62" s="2038"/>
      <c r="Y62" s="2038"/>
      <c r="Z62" s="4734"/>
      <c r="AA62" s="596"/>
    </row>
    <row r="63" spans="1:27" ht="33" customHeight="1">
      <c r="A63" s="1376"/>
      <c r="B63" s="5390" t="s">
        <v>300</v>
      </c>
      <c r="C63" s="2017" t="s">
        <v>300</v>
      </c>
      <c r="D63" s="2017" t="s">
        <v>250</v>
      </c>
      <c r="E63" s="2017"/>
      <c r="F63" s="2017"/>
      <c r="G63" s="2017"/>
      <c r="H63" s="2017"/>
      <c r="I63" s="2017"/>
      <c r="J63" s="2312" t="s">
        <v>301</v>
      </c>
      <c r="K63" s="5362"/>
      <c r="L63" s="2017" t="s">
        <v>250</v>
      </c>
      <c r="M63" s="2018"/>
      <c r="N63" s="4729"/>
    </row>
    <row r="64" spans="1:27" ht="18" customHeight="1">
      <c r="A64" s="3159" t="s">
        <v>252</v>
      </c>
      <c r="B64" s="2008" t="s">
        <v>253</v>
      </c>
      <c r="C64" s="4688">
        <f>SUM(I3,I34)</f>
        <v>0</v>
      </c>
      <c r="D64" s="2699" t="s">
        <v>302</v>
      </c>
      <c r="E64" s="3587"/>
      <c r="F64" s="5391"/>
      <c r="G64" s="5391"/>
      <c r="H64" s="5391"/>
      <c r="I64" s="5380"/>
      <c r="J64" s="5278"/>
      <c r="K64" s="5278"/>
      <c r="L64" s="5389"/>
      <c r="M64" s="587"/>
      <c r="N64" s="4729"/>
    </row>
    <row r="65" spans="1:14">
      <c r="A65" s="3159" t="s">
        <v>254</v>
      </c>
      <c r="B65" s="2008" t="s">
        <v>255</v>
      </c>
      <c r="C65" s="4689">
        <f>SUM(I4,I35)</f>
        <v>0</v>
      </c>
      <c r="D65" s="1886" t="s">
        <v>303</v>
      </c>
      <c r="E65" s="3588"/>
      <c r="F65" s="3419"/>
      <c r="G65" s="3419"/>
      <c r="H65" s="3419"/>
      <c r="I65" s="5380"/>
      <c r="J65" s="5278"/>
      <c r="K65" s="5278"/>
      <c r="L65" s="2010" t="s">
        <v>265</v>
      </c>
      <c r="M65" s="5388"/>
      <c r="N65" s="4731"/>
    </row>
    <row r="66" spans="1:14">
      <c r="A66" s="3159" t="s">
        <v>256</v>
      </c>
      <c r="B66" s="2019" t="s">
        <v>257</v>
      </c>
      <c r="C66" s="4690">
        <f>SUM(I5,I36)</f>
        <v>0</v>
      </c>
      <c r="D66" s="1886" t="s">
        <v>258</v>
      </c>
      <c r="E66" s="3588"/>
      <c r="F66" s="3419"/>
      <c r="G66" s="3419"/>
      <c r="H66" s="3419"/>
      <c r="I66" s="5380"/>
      <c r="J66" s="185"/>
      <c r="K66" s="185"/>
      <c r="L66" s="2016"/>
      <c r="M66" s="587"/>
      <c r="N66" s="4729"/>
    </row>
    <row r="67" spans="1:14">
      <c r="A67" s="3159" t="s">
        <v>259</v>
      </c>
      <c r="B67" s="2008" t="s">
        <v>260</v>
      </c>
      <c r="C67" s="4689">
        <f>SUM(ROUND(I6,0),ROUND(I37,0))</f>
        <v>0</v>
      </c>
      <c r="D67" s="1886" t="s">
        <v>304</v>
      </c>
      <c r="E67" s="3588"/>
      <c r="F67" s="3419"/>
      <c r="G67" s="3419"/>
      <c r="H67" s="3419"/>
      <c r="I67" s="5380"/>
      <c r="J67" s="5281">
        <f>ROUND(SUM(J6,J37),0)</f>
        <v>0</v>
      </c>
      <c r="K67" s="185"/>
      <c r="L67" s="2020" t="s">
        <v>305</v>
      </c>
      <c r="M67" s="587"/>
      <c r="N67" s="4729"/>
    </row>
    <row r="68" spans="1:14">
      <c r="A68" s="3159" t="s">
        <v>261</v>
      </c>
      <c r="B68" s="2008" t="s">
        <v>262</v>
      </c>
      <c r="C68" s="4689">
        <f t="shared" ref="C68:C81" si="5">SUM(I7,I38)</f>
        <v>0</v>
      </c>
      <c r="D68" s="1886" t="s">
        <v>306</v>
      </c>
      <c r="E68" s="3588"/>
      <c r="F68" s="3419"/>
      <c r="G68" s="3419"/>
      <c r="H68" s="3419"/>
      <c r="I68" s="5380"/>
      <c r="J68" s="2021"/>
      <c r="K68" s="185"/>
      <c r="L68" s="2016"/>
      <c r="M68" s="587"/>
      <c r="N68" s="4729"/>
    </row>
    <row r="69" spans="1:14">
      <c r="A69" s="3159" t="s">
        <v>263</v>
      </c>
      <c r="B69" s="2008" t="s">
        <v>264</v>
      </c>
      <c r="C69" s="4689">
        <f t="shared" si="5"/>
        <v>0</v>
      </c>
      <c r="D69" s="1886" t="s">
        <v>307</v>
      </c>
      <c r="E69" s="3588"/>
      <c r="F69" s="3419"/>
      <c r="G69" s="3419"/>
      <c r="H69" s="3419"/>
      <c r="I69" s="5380"/>
      <c r="J69" s="185"/>
      <c r="K69" s="185"/>
      <c r="L69" s="2010"/>
      <c r="M69" s="587"/>
      <c r="N69" s="4729"/>
    </row>
    <row r="70" spans="1:14">
      <c r="A70" s="3159" t="s">
        <v>266</v>
      </c>
      <c r="B70" s="2011" t="s">
        <v>267</v>
      </c>
      <c r="C70" s="4690">
        <f t="shared" si="5"/>
        <v>0</v>
      </c>
      <c r="D70" s="1886"/>
      <c r="E70" s="3588"/>
      <c r="F70" s="3419"/>
      <c r="G70" s="3419"/>
      <c r="H70" s="3419"/>
      <c r="I70" s="5380"/>
      <c r="J70" s="185"/>
      <c r="K70" s="185"/>
      <c r="L70" s="1569"/>
      <c r="M70" s="587"/>
      <c r="N70" s="4729"/>
    </row>
    <row r="71" spans="1:14">
      <c r="A71" s="3159" t="s">
        <v>268</v>
      </c>
      <c r="B71" s="2011" t="s">
        <v>269</v>
      </c>
      <c r="C71" s="4690">
        <f t="shared" si="5"/>
        <v>0</v>
      </c>
      <c r="D71" s="1886"/>
      <c r="E71" s="3588"/>
      <c r="F71" s="3419"/>
      <c r="G71" s="3419"/>
      <c r="H71" s="3419"/>
      <c r="I71" s="5380"/>
      <c r="J71" s="185"/>
      <c r="K71" s="185"/>
      <c r="L71" s="1569"/>
      <c r="M71" s="587"/>
      <c r="N71" s="4729"/>
    </row>
    <row r="72" spans="1:14">
      <c r="A72" s="3159" t="s">
        <v>270</v>
      </c>
      <c r="B72" s="2008" t="s">
        <v>271</v>
      </c>
      <c r="C72" s="4689">
        <f t="shared" si="5"/>
        <v>0</v>
      </c>
      <c r="D72" s="1886" t="s">
        <v>308</v>
      </c>
      <c r="E72" s="3588"/>
      <c r="F72" s="3419"/>
      <c r="G72" s="3419"/>
      <c r="H72" s="3419"/>
      <c r="I72" s="5380"/>
      <c r="J72" s="185"/>
      <c r="K72" s="185"/>
      <c r="L72" s="1569"/>
      <c r="M72" s="587"/>
      <c r="N72" s="4729"/>
    </row>
    <row r="73" spans="1:14">
      <c r="A73" s="3159" t="s">
        <v>272</v>
      </c>
      <c r="B73" s="2011" t="s">
        <v>273</v>
      </c>
      <c r="C73" s="4690">
        <f t="shared" si="5"/>
        <v>0</v>
      </c>
      <c r="D73" s="1886"/>
      <c r="E73" s="3588"/>
      <c r="F73" s="3419"/>
      <c r="G73" s="3419"/>
      <c r="H73" s="3419"/>
      <c r="I73" s="5380"/>
      <c r="J73" s="185"/>
      <c r="K73" s="185"/>
      <c r="L73" s="1569"/>
      <c r="M73" s="587"/>
      <c r="N73" s="4729"/>
    </row>
    <row r="74" spans="1:14">
      <c r="A74" s="5383" t="s">
        <v>274</v>
      </c>
      <c r="B74" s="2008" t="s">
        <v>275</v>
      </c>
      <c r="C74" s="4690">
        <f t="shared" si="5"/>
        <v>0</v>
      </c>
      <c r="D74" s="1886" t="s">
        <v>309</v>
      </c>
      <c r="E74" s="3588"/>
      <c r="F74" s="3419"/>
      <c r="G74" s="3419"/>
      <c r="H74" s="3419"/>
      <c r="I74" s="5380"/>
      <c r="J74" s="185"/>
      <c r="K74" s="185"/>
      <c r="L74" s="1569"/>
      <c r="M74" s="587"/>
      <c r="N74" s="4729"/>
    </row>
    <row r="75" spans="1:14">
      <c r="A75" s="5383" t="s">
        <v>276</v>
      </c>
      <c r="B75" s="2011" t="s">
        <v>277</v>
      </c>
      <c r="C75" s="4690">
        <f t="shared" si="5"/>
        <v>0</v>
      </c>
      <c r="D75" s="1886"/>
      <c r="E75" s="3588"/>
      <c r="F75" s="3419"/>
      <c r="G75" s="3419"/>
      <c r="H75" s="3419"/>
      <c r="I75" s="5380"/>
      <c r="J75" s="185"/>
      <c r="K75" s="185"/>
      <c r="L75" s="1569"/>
      <c r="M75" s="587"/>
      <c r="N75" s="4729"/>
    </row>
    <row r="76" spans="1:14">
      <c r="A76" s="5383" t="s">
        <v>278</v>
      </c>
      <c r="B76" s="2011"/>
      <c r="C76" s="4690">
        <f t="shared" si="5"/>
        <v>0</v>
      </c>
      <c r="D76" s="1886"/>
      <c r="E76" s="3588"/>
      <c r="F76" s="3419"/>
      <c r="G76" s="3419"/>
      <c r="H76" s="3419"/>
      <c r="I76" s="5380"/>
      <c r="J76" s="185"/>
      <c r="K76" s="185"/>
      <c r="L76" s="1569"/>
      <c r="M76" s="587"/>
      <c r="N76" s="4729"/>
    </row>
    <row r="77" spans="1:14">
      <c r="A77" s="5383" t="s">
        <v>279</v>
      </c>
      <c r="B77" s="2011"/>
      <c r="C77" s="4690">
        <f t="shared" si="5"/>
        <v>0</v>
      </c>
      <c r="D77" s="1886"/>
      <c r="E77" s="3588"/>
      <c r="F77" s="3419"/>
      <c r="G77" s="3419"/>
      <c r="H77" s="3419"/>
      <c r="I77" s="5380"/>
      <c r="J77" s="185"/>
      <c r="K77" s="185"/>
      <c r="L77" s="1569"/>
      <c r="M77" s="587"/>
      <c r="N77" s="4729"/>
    </row>
    <row r="78" spans="1:14">
      <c r="A78" s="3159" t="s">
        <v>280</v>
      </c>
      <c r="B78" s="2011" t="s">
        <v>281</v>
      </c>
      <c r="C78" s="4690">
        <f t="shared" si="5"/>
        <v>0</v>
      </c>
      <c r="D78" s="1886"/>
      <c r="E78" s="3588"/>
      <c r="F78" s="3419"/>
      <c r="G78" s="3419"/>
      <c r="H78" s="3419"/>
      <c r="I78" s="5380"/>
      <c r="J78" s="185"/>
      <c r="K78" s="185"/>
      <c r="L78" s="1569"/>
      <c r="M78" s="587"/>
      <c r="N78" s="4729"/>
    </row>
    <row r="79" spans="1:14">
      <c r="A79" s="3159" t="s">
        <v>282</v>
      </c>
      <c r="B79" s="2011" t="s">
        <v>283</v>
      </c>
      <c r="C79" s="4690">
        <f t="shared" si="5"/>
        <v>0</v>
      </c>
      <c r="D79" s="1886"/>
      <c r="E79" s="3588"/>
      <c r="F79" s="3419"/>
      <c r="G79" s="3419"/>
      <c r="H79" s="3419"/>
      <c r="I79" s="5380"/>
      <c r="J79" s="185"/>
      <c r="K79" s="185"/>
      <c r="L79" s="1569"/>
      <c r="M79" s="587"/>
      <c r="N79" s="4729"/>
    </row>
    <row r="80" spans="1:14">
      <c r="A80" s="3159" t="s">
        <v>282</v>
      </c>
      <c r="B80" s="2008" t="s">
        <v>284</v>
      </c>
      <c r="C80" s="4689">
        <f t="shared" si="5"/>
        <v>0</v>
      </c>
      <c r="D80" s="1886" t="s">
        <v>310</v>
      </c>
      <c r="E80" s="3588"/>
      <c r="F80" s="3419"/>
      <c r="G80" s="3419"/>
      <c r="H80" s="3419"/>
      <c r="I80" s="5380"/>
      <c r="J80" s="185"/>
      <c r="K80" s="185"/>
      <c r="L80" s="1569"/>
      <c r="M80" s="587"/>
      <c r="N80" s="4729"/>
    </row>
    <row r="81" spans="1:14">
      <c r="A81" s="3159" t="s">
        <v>282</v>
      </c>
      <c r="B81" s="2013" t="s">
        <v>285</v>
      </c>
      <c r="C81" s="4689">
        <f t="shared" si="5"/>
        <v>0</v>
      </c>
      <c r="D81" s="1886" t="s">
        <v>311</v>
      </c>
      <c r="E81" s="3588"/>
      <c r="F81" s="3419"/>
      <c r="G81" s="3419"/>
      <c r="H81" s="3419"/>
      <c r="I81" s="5380"/>
      <c r="J81" s="185"/>
      <c r="K81" s="185"/>
      <c r="L81" s="1569"/>
      <c r="M81" s="587"/>
      <c r="N81" s="4729"/>
    </row>
    <row r="82" spans="1:14">
      <c r="A82" s="3159" t="s">
        <v>286</v>
      </c>
      <c r="B82" s="2011" t="s">
        <v>287</v>
      </c>
      <c r="C82" s="5221" t="s">
        <v>288</v>
      </c>
      <c r="D82" s="5290"/>
      <c r="E82" s="5290"/>
      <c r="F82" s="5290"/>
      <c r="G82" s="5290"/>
      <c r="H82" s="5290"/>
      <c r="I82" s="185"/>
      <c r="J82" s="185"/>
      <c r="K82" s="1569"/>
      <c r="L82" s="4726"/>
      <c r="M82" s="4726"/>
      <c r="N82" s="4729"/>
    </row>
    <row r="83" spans="1:14">
      <c r="A83" s="3159" t="s">
        <v>289</v>
      </c>
      <c r="B83" s="2011" t="s">
        <v>290</v>
      </c>
      <c r="C83" s="4690">
        <f>SUM(I22,I53)</f>
        <v>0</v>
      </c>
      <c r="D83" s="1886"/>
      <c r="E83" s="3588"/>
      <c r="F83" s="3419"/>
      <c r="G83" s="3419"/>
      <c r="H83" s="3419"/>
      <c r="I83" s="5380"/>
      <c r="J83" s="185"/>
      <c r="K83" s="185"/>
      <c r="L83" s="1569"/>
      <c r="M83" s="587"/>
      <c r="N83" s="4729"/>
    </row>
    <row r="84" spans="1:14">
      <c r="A84" s="3159" t="s">
        <v>291</v>
      </c>
      <c r="B84" s="2008" t="s">
        <v>292</v>
      </c>
      <c r="C84" s="4689">
        <f>SUM(I23,I54)</f>
        <v>0</v>
      </c>
      <c r="D84" s="1886" t="s">
        <v>312</v>
      </c>
      <c r="E84" s="3588"/>
      <c r="F84" s="3419"/>
      <c r="G84" s="3419"/>
      <c r="H84" s="3419"/>
      <c r="I84" s="5380"/>
      <c r="J84" s="185"/>
      <c r="K84" s="185"/>
      <c r="L84" s="2016"/>
      <c r="M84" s="587"/>
      <c r="N84" s="4729"/>
    </row>
    <row r="85" spans="1:14">
      <c r="A85" s="3159" t="s">
        <v>293</v>
      </c>
      <c r="B85" s="2011" t="s">
        <v>294</v>
      </c>
      <c r="C85" s="4690">
        <f>SUM(I24,I55)</f>
        <v>0</v>
      </c>
      <c r="D85" s="1886"/>
      <c r="E85" s="3588"/>
      <c r="F85" s="3419"/>
      <c r="G85" s="3419"/>
      <c r="H85" s="3419"/>
      <c r="I85" s="5380"/>
      <c r="J85" s="185"/>
      <c r="K85" s="185"/>
      <c r="L85" s="2016"/>
      <c r="M85" s="587"/>
      <c r="N85" s="4729"/>
    </row>
    <row r="86" spans="1:14">
      <c r="A86" s="3159" t="s">
        <v>295</v>
      </c>
      <c r="B86" s="2008" t="s">
        <v>296</v>
      </c>
      <c r="C86" s="4690">
        <f>SUM(I25,I56)</f>
        <v>0</v>
      </c>
      <c r="D86" s="1886" t="s">
        <v>312</v>
      </c>
      <c r="E86" s="3588"/>
      <c r="F86" s="800"/>
      <c r="G86" s="800"/>
      <c r="H86" s="800"/>
      <c r="I86" s="5380"/>
      <c r="J86" s="185"/>
      <c r="K86" s="39"/>
      <c r="L86" s="1569"/>
      <c r="M86" s="587"/>
      <c r="N86" s="4729"/>
    </row>
    <row r="87" spans="1:14">
      <c r="A87" s="3159" t="s">
        <v>297</v>
      </c>
      <c r="B87" s="5222" t="s">
        <v>298</v>
      </c>
      <c r="C87" s="5292" t="s">
        <v>288</v>
      </c>
      <c r="D87" s="5291"/>
      <c r="E87" s="5291"/>
      <c r="F87" s="5291"/>
      <c r="G87" s="5291"/>
      <c r="H87" s="5291"/>
      <c r="I87" s="5380"/>
      <c r="J87" s="185"/>
      <c r="K87" s="185"/>
      <c r="L87" s="1569"/>
      <c r="M87" s="4727"/>
      <c r="N87" s="4730"/>
    </row>
    <row r="88" spans="1:14" ht="26.25" customHeight="1">
      <c r="A88" s="37"/>
      <c r="B88" s="198"/>
      <c r="C88" s="198"/>
      <c r="D88" s="198"/>
      <c r="E88" s="198"/>
      <c r="F88" s="198"/>
      <c r="G88" s="198"/>
      <c r="H88" s="198"/>
      <c r="I88" s="5380"/>
      <c r="J88" s="185"/>
    </row>
    <row r="89" spans="1:14" ht="13.5" thickBot="1">
      <c r="A89" s="1896"/>
      <c r="I89" s="5380"/>
      <c r="J89" s="185"/>
    </row>
    <row r="90" spans="1:14">
      <c r="A90" s="1896"/>
      <c r="B90" s="3194"/>
    </row>
    <row r="91" spans="1:14">
      <c r="A91" s="1896"/>
      <c r="B91" s="3195" t="s">
        <v>46</v>
      </c>
    </row>
    <row r="92" spans="1:14" ht="13.5" thickBot="1">
      <c r="A92" s="1896"/>
      <c r="B92" s="3196"/>
    </row>
  </sheetData>
  <sheetProtection algorithmName="SHA-512" hashValue="9h9oWaFBKbhgo2oVzQ5f9Y5a60ap2O3wXJSNLPSa4/U+OS/wceFGND//zJSdSRvq7RCHkkE+yOldPOB8lcCh9Q==" saltValue="dopd1B6zVbcB+qfV0/X6RA==" spinCount="100000" sheet="1" objects="1" scenarios="1"/>
  <phoneticPr fontId="12" type="noConversion"/>
  <conditionalFormatting sqref="C3:C18">
    <cfRule type="expression" dxfId="3300" priority="77">
      <formula>IF(NoColor,1,0)</formula>
    </cfRule>
  </conditionalFormatting>
  <conditionalFormatting sqref="C23:C24">
    <cfRule type="expression" dxfId="3299" priority="1">
      <formula>IF(NoColor,1,0)</formula>
    </cfRule>
  </conditionalFormatting>
  <conditionalFormatting sqref="C33:C51">
    <cfRule type="expression" dxfId="3298" priority="73">
      <formula>IF(NoColor,1,0)</formula>
    </cfRule>
  </conditionalFormatting>
  <conditionalFormatting sqref="C64:C87">
    <cfRule type="expression" dxfId="3297" priority="5">
      <formula>IF(NoColor,1,0)</formula>
    </cfRule>
  </conditionalFormatting>
  <conditionalFormatting sqref="C19:D22">
    <cfRule type="expression" dxfId="3296" priority="68">
      <formula>IF(NoColor,1,0)</formula>
    </cfRule>
  </conditionalFormatting>
  <conditionalFormatting sqref="C52:D54">
    <cfRule type="expression" dxfId="3295" priority="40">
      <formula>IF(NoColor,1,0)</formula>
    </cfRule>
  </conditionalFormatting>
  <conditionalFormatting sqref="C55:F55">
    <cfRule type="expression" dxfId="3294" priority="198">
      <formula>IF(NoColor,1,0)</formula>
    </cfRule>
  </conditionalFormatting>
  <conditionalFormatting sqref="C2:H2">
    <cfRule type="expression" dxfId="3293" priority="147">
      <formula>IF(NoColor,1,0)</formula>
    </cfRule>
  </conditionalFormatting>
  <conditionalFormatting sqref="C25:H27">
    <cfRule type="expression" dxfId="3292" priority="28">
      <formula>IF(NoColor,1,0)</formula>
    </cfRule>
  </conditionalFormatting>
  <conditionalFormatting sqref="C56:H58">
    <cfRule type="expression" dxfId="3291" priority="22">
      <formula>IF(NoColor,1,0)</formula>
    </cfRule>
  </conditionalFormatting>
  <conditionalFormatting sqref="D3:D8">
    <cfRule type="expression" dxfId="3290" priority="96">
      <formula>IF(NoColor,1,0)</formula>
    </cfRule>
  </conditionalFormatting>
  <conditionalFormatting sqref="D23">
    <cfRule type="expression" dxfId="3289" priority="123">
      <formula>IF(NoColor,1,0)</formula>
    </cfRule>
  </conditionalFormatting>
  <conditionalFormatting sqref="D34:D51">
    <cfRule type="expression" dxfId="3288" priority="120">
      <formula>IF(NoColor,1,0)</formula>
    </cfRule>
  </conditionalFormatting>
  <conditionalFormatting sqref="D33:F33">
    <cfRule type="expression" dxfId="3287" priority="196">
      <formula>IF(NoColor,1,0)</formula>
    </cfRule>
  </conditionalFormatting>
  <conditionalFormatting sqref="D87:H87">
    <cfRule type="expression" dxfId="3286" priority="12">
      <formula>IF(NoColor,1,0)</formula>
    </cfRule>
  </conditionalFormatting>
  <conditionalFormatting sqref="E19:F23">
    <cfRule type="expression" dxfId="3285" priority="71">
      <formula>IF(NoColor,1,0)</formula>
    </cfRule>
  </conditionalFormatting>
  <conditionalFormatting sqref="E34:F54">
    <cfRule type="expression" dxfId="3284" priority="21">
      <formula>IF(NoColor,1,0)</formula>
    </cfRule>
  </conditionalFormatting>
  <conditionalFormatting sqref="E4:H8">
    <cfRule type="expression" dxfId="3283" priority="102">
      <formula>IF(NoColor,1,0)</formula>
    </cfRule>
  </conditionalFormatting>
  <conditionalFormatting sqref="E3:I3 D9:H12 D13:I18 D24:F24 D82:H82">
    <cfRule type="expression" dxfId="3282" priority="199">
      <formula>IF(NoColor,1,0)</formula>
    </cfRule>
  </conditionalFormatting>
  <conditionalFormatting sqref="G19:H24">
    <cfRule type="expression" dxfId="3281" priority="69">
      <formula>IF(NoColor,1,0)</formula>
    </cfRule>
  </conditionalFormatting>
  <conditionalFormatting sqref="G33:H55">
    <cfRule type="expression" dxfId="3280" priority="48">
      <formula>IF(NoColor,1,0)</formula>
    </cfRule>
  </conditionalFormatting>
  <conditionalFormatting sqref="I4:I27">
    <cfRule type="expression" dxfId="3279" priority="18">
      <formula>IF(NoColor,1,0)</formula>
    </cfRule>
  </conditionalFormatting>
  <conditionalFormatting sqref="I34:I58">
    <cfRule type="expression" dxfId="3278" priority="17">
      <formula>IF(NoColor,1,0)</formula>
    </cfRule>
  </conditionalFormatting>
  <conditionalFormatting sqref="J67">
    <cfRule type="expression" dxfId="3277" priority="186">
      <formula>IF(NoColor,1,0)</formula>
    </cfRule>
  </conditionalFormatting>
  <conditionalFormatting sqref="L6">
    <cfRule type="expression" dxfId="3276" priority="26">
      <formula>AND(EmployerCountYou=1,J6&gt;0)</formula>
    </cfRule>
    <cfRule type="expression" dxfId="3275" priority="27">
      <formula>AND(EmployerCountSpouse=1,J6&gt;0)</formula>
    </cfRule>
  </conditionalFormatting>
  <conditionalFormatting sqref="L37">
    <cfRule type="expression" dxfId="3274" priority="24">
      <formula>AND(EmployerCountYou=1,J37&gt;0)</formula>
    </cfRule>
    <cfRule type="expression" dxfId="3273" priority="25">
      <formula>AND(EmployerCountSpouse=1,J37&gt;0)</formula>
    </cfRule>
  </conditionalFormatting>
  <conditionalFormatting sqref="L50">
    <cfRule type="expression" dxfId="3272" priority="19">
      <formula>AND(EmployerCountYou=1,J50&gt;0)</formula>
    </cfRule>
    <cfRule type="expression" dxfId="3271" priority="20">
      <formula>AND(EmployerCountSpouse=1,J50&gt;0)</formula>
    </cfRule>
  </conditionalFormatting>
  <hyperlinks>
    <hyperlink ref="B91" location="'Table of Contents'!A1" display="Table of Contents" xr:uid="{00000000-0004-0000-0300-000000000000}"/>
  </hyperlinks>
  <pageMargins left="0.75" right="0.25" top="0.36" bottom="0.28999999999999998" header="0.36" footer="0.21"/>
  <pageSetup scale="54" fitToHeight="0" orientation="landscape" r:id="rId1"/>
  <rowBreaks count="1" manualBreakCount="1">
    <brk id="62"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E94"/>
  <sheetViews>
    <sheetView zoomScaleNormal="100" zoomScaleSheetLayoutView="100" workbookViewId="0">
      <pane ySplit="1" topLeftCell="A2" activePane="bottomLeft" state="frozen"/>
      <selection pane="bottomLeft"/>
    </sheetView>
  </sheetViews>
  <sheetFormatPr defaultRowHeight="12.75"/>
  <cols>
    <col min="1" max="1" width="2.5703125" customWidth="1"/>
    <col min="2" max="2" width="4.42578125" customWidth="1"/>
    <col min="3" max="3" width="48" customWidth="1"/>
    <col min="4" max="8" width="26.28515625" customWidth="1"/>
    <col min="9" max="9" width="17.28515625" customWidth="1"/>
    <col min="10" max="10" width="39" customWidth="1"/>
    <col min="11" max="11" width="14" style="4698" customWidth="1"/>
    <col min="12" max="25" width="9.140625" style="2038" customWidth="1"/>
    <col min="27" max="31" width="9.140625" hidden="1" customWidth="1"/>
  </cols>
  <sheetData>
    <row r="1" spans="1:31" ht="42" customHeight="1" thickBot="1">
      <c r="A1" s="784"/>
      <c r="B1" s="1922" t="s">
        <v>313</v>
      </c>
      <c r="C1" s="5392"/>
      <c r="D1" s="5393"/>
      <c r="E1" s="1881"/>
      <c r="F1" s="5393"/>
      <c r="G1" s="5393"/>
      <c r="H1" s="5393"/>
      <c r="I1" s="5394"/>
      <c r="J1" s="5394"/>
      <c r="K1" s="4697" t="s">
        <v>241</v>
      </c>
    </row>
    <row r="2" spans="1:31" ht="42" customHeight="1" thickTop="1" thickBot="1">
      <c r="A2" s="785"/>
      <c r="B2" s="5395"/>
      <c r="C2" s="1927" t="str">
        <f>IF(Name_1st_Yours="","Enter your name(s) on the"&amp;CHAR(10)&amp;"sheet lableled '1040'",IF(File_Marr_Joint&lt;&gt;"",NameYours&amp;CHAR(10)&amp;" and "&amp;NameSpouse,NameYours))</f>
        <v>Enter your name(s) on the
sheet lableled '1040'</v>
      </c>
      <c r="D2" s="1455" t="s">
        <v>314</v>
      </c>
      <c r="E2" s="1455" t="s">
        <v>315</v>
      </c>
      <c r="F2" s="1455" t="s">
        <v>316</v>
      </c>
      <c r="G2" s="1455" t="s">
        <v>317</v>
      </c>
      <c r="H2" s="1455" t="s">
        <v>318</v>
      </c>
      <c r="I2" s="2329"/>
      <c r="J2" s="2329"/>
      <c r="K2" s="4696" t="s">
        <v>319</v>
      </c>
    </row>
    <row r="3" spans="1:31">
      <c r="A3" s="780"/>
      <c r="B3" s="1775"/>
      <c r="C3" s="1934" t="s">
        <v>320</v>
      </c>
      <c r="D3" s="1937"/>
      <c r="E3" s="1938"/>
      <c r="F3" s="1938"/>
      <c r="G3" s="1938"/>
      <c r="H3" s="1939"/>
      <c r="I3" s="5396"/>
      <c r="J3" s="325"/>
    </row>
    <row r="4" spans="1:31">
      <c r="A4" s="780"/>
      <c r="B4" s="1776"/>
      <c r="C4" s="1935" t="s">
        <v>321</v>
      </c>
      <c r="D4" s="1966"/>
      <c r="E4" s="1967"/>
      <c r="F4" s="1967"/>
      <c r="G4" s="1967"/>
      <c r="H4" s="1968"/>
      <c r="I4" s="5396"/>
      <c r="J4" s="325"/>
    </row>
    <row r="5" spans="1:31" ht="13.5" thickBot="1">
      <c r="A5" s="780"/>
      <c r="B5" s="1777"/>
      <c r="C5" s="1936" t="s">
        <v>322</v>
      </c>
      <c r="D5" s="1969"/>
      <c r="E5" s="1970"/>
      <c r="F5" s="1970"/>
      <c r="G5" s="1970"/>
      <c r="H5" s="1971"/>
      <c r="I5" s="5396"/>
      <c r="J5" s="325"/>
    </row>
    <row r="6" spans="1:31" ht="13.5" customHeight="1">
      <c r="A6" s="780"/>
      <c r="B6" s="1781">
        <v>1</v>
      </c>
      <c r="C6" s="1778" t="s">
        <v>323</v>
      </c>
      <c r="D6" s="1940"/>
      <c r="E6" s="1941"/>
      <c r="F6" s="1941"/>
      <c r="G6" s="2023"/>
      <c r="H6" s="2024"/>
      <c r="I6" s="2284"/>
      <c r="J6" s="325"/>
      <c r="AA6" s="4">
        <f>ROUND(D6,2)</f>
        <v>0</v>
      </c>
      <c r="AB6" s="4">
        <f>ROUND(E6,2)</f>
        <v>0</v>
      </c>
      <c r="AC6" s="4">
        <f>ROUND(F6,2)</f>
        <v>0</v>
      </c>
      <c r="AD6" s="4">
        <f>ROUND(G6,2)</f>
        <v>0</v>
      </c>
      <c r="AE6" s="4">
        <f>ROUND(H6,2)</f>
        <v>0</v>
      </c>
    </row>
    <row r="7" spans="1:31" ht="13.5" customHeight="1">
      <c r="A7" s="780"/>
      <c r="B7" s="1782">
        <v>2</v>
      </c>
      <c r="C7" s="1779" t="s">
        <v>324</v>
      </c>
      <c r="D7" s="1942"/>
      <c r="E7" s="1943"/>
      <c r="F7" s="1943"/>
      <c r="G7" s="1944"/>
      <c r="H7" s="1945"/>
      <c r="I7" s="5397"/>
      <c r="J7" s="325"/>
      <c r="AA7" s="4">
        <f>ROUND(D7,0)</f>
        <v>0</v>
      </c>
      <c r="AB7" s="4">
        <f t="shared" ref="AB7:AE8" si="0">ROUND(E7,0)</f>
        <v>0</v>
      </c>
      <c r="AC7" s="4">
        <f t="shared" si="0"/>
        <v>0</v>
      </c>
      <c r="AD7" s="4">
        <f t="shared" si="0"/>
        <v>0</v>
      </c>
      <c r="AE7" s="4">
        <f t="shared" si="0"/>
        <v>0</v>
      </c>
    </row>
    <row r="8" spans="1:31" ht="13.5" customHeight="1">
      <c r="A8" s="780"/>
      <c r="B8" s="1782">
        <v>3</v>
      </c>
      <c r="C8" s="1779" t="s">
        <v>325</v>
      </c>
      <c r="D8" s="1942"/>
      <c r="E8" s="1943"/>
      <c r="F8" s="1943"/>
      <c r="G8" s="1944"/>
      <c r="H8" s="1945"/>
      <c r="I8" s="5397"/>
      <c r="J8" s="325"/>
      <c r="AA8" s="4">
        <f>ROUND(D8,0)</f>
        <v>0</v>
      </c>
      <c r="AB8" s="4">
        <f t="shared" si="0"/>
        <v>0</v>
      </c>
      <c r="AC8" s="4">
        <f t="shared" si="0"/>
        <v>0</v>
      </c>
      <c r="AD8" s="4">
        <f t="shared" si="0"/>
        <v>0</v>
      </c>
      <c r="AE8" s="4">
        <f t="shared" si="0"/>
        <v>0</v>
      </c>
    </row>
    <row r="9" spans="1:31" ht="13.5" customHeight="1">
      <c r="A9" s="780"/>
      <c r="B9" s="1782" t="s">
        <v>326</v>
      </c>
      <c r="C9" s="1779" t="s">
        <v>327</v>
      </c>
      <c r="D9" s="2272" t="s">
        <v>328</v>
      </c>
      <c r="E9" s="2273" t="s">
        <v>328</v>
      </c>
      <c r="F9" s="2273" t="s">
        <v>328</v>
      </c>
      <c r="G9" s="2274" t="s">
        <v>328</v>
      </c>
      <c r="H9" s="2275" t="s">
        <v>328</v>
      </c>
      <c r="I9" s="5397"/>
      <c r="J9" s="325"/>
      <c r="AA9" s="4"/>
      <c r="AB9" s="4"/>
      <c r="AC9" s="4"/>
      <c r="AD9" s="4"/>
      <c r="AE9" s="4"/>
    </row>
    <row r="10" spans="1:31" ht="13.5" customHeight="1">
      <c r="A10" s="780"/>
      <c r="B10" s="1782">
        <v>4</v>
      </c>
      <c r="C10" s="1779" t="s">
        <v>255</v>
      </c>
      <c r="D10" s="1942"/>
      <c r="E10" s="1943"/>
      <c r="F10" s="1943"/>
      <c r="G10" s="1944"/>
      <c r="H10" s="1945"/>
      <c r="I10" s="5397"/>
      <c r="J10" s="325"/>
      <c r="AA10" s="4">
        <f t="shared" ref="AA10:AA15" si="1">ROUND(D10,0)</f>
        <v>0</v>
      </c>
      <c r="AB10" s="4">
        <f t="shared" ref="AB10:AE15" si="2">ROUND(E10,0)</f>
        <v>0</v>
      </c>
      <c r="AC10" s="4">
        <f t="shared" si="2"/>
        <v>0</v>
      </c>
      <c r="AD10" s="4">
        <f t="shared" si="2"/>
        <v>0</v>
      </c>
      <c r="AE10" s="4">
        <f t="shared" si="2"/>
        <v>0</v>
      </c>
    </row>
    <row r="11" spans="1:31">
      <c r="A11" s="780"/>
      <c r="B11" s="786">
        <v>5</v>
      </c>
      <c r="C11" s="787" t="s">
        <v>329</v>
      </c>
      <c r="D11" s="1942"/>
      <c r="E11" s="1943"/>
      <c r="F11" s="1943"/>
      <c r="G11" s="1944"/>
      <c r="H11" s="1945"/>
      <c r="I11" s="5397"/>
      <c r="J11" s="325"/>
      <c r="AA11" s="4">
        <f t="shared" si="1"/>
        <v>0</v>
      </c>
      <c r="AB11" s="4">
        <f t="shared" si="2"/>
        <v>0</v>
      </c>
      <c r="AC11" s="4">
        <f t="shared" si="2"/>
        <v>0</v>
      </c>
      <c r="AD11" s="4">
        <f t="shared" si="2"/>
        <v>0</v>
      </c>
      <c r="AE11" s="4">
        <f t="shared" si="2"/>
        <v>0</v>
      </c>
    </row>
    <row r="12" spans="1:31">
      <c r="A12" s="780"/>
      <c r="B12" s="1782">
        <v>6</v>
      </c>
      <c r="C12" s="1779" t="s">
        <v>330</v>
      </c>
      <c r="D12" s="1942"/>
      <c r="E12" s="1943"/>
      <c r="F12" s="1943"/>
      <c r="G12" s="1944"/>
      <c r="H12" s="1945"/>
      <c r="I12" s="2246" t="str">
        <f>IF(SUM(D12:H12)&gt;0,"Check Form 1116, Foreign Tax Credit","")</f>
        <v/>
      </c>
      <c r="J12" s="325"/>
      <c r="AA12" s="4">
        <f t="shared" si="1"/>
        <v>0</v>
      </c>
      <c r="AB12" s="4">
        <f t="shared" si="2"/>
        <v>0</v>
      </c>
      <c r="AC12" s="4">
        <f t="shared" si="2"/>
        <v>0</v>
      </c>
      <c r="AD12" s="4">
        <f t="shared" si="2"/>
        <v>0</v>
      </c>
      <c r="AE12" s="4">
        <f t="shared" si="2"/>
        <v>0</v>
      </c>
    </row>
    <row r="13" spans="1:31">
      <c r="A13" s="780"/>
      <c r="B13" s="786">
        <v>7</v>
      </c>
      <c r="C13" s="787" t="s">
        <v>331</v>
      </c>
      <c r="D13" s="1928"/>
      <c r="E13" s="1929"/>
      <c r="F13" s="1929"/>
      <c r="G13" s="1946"/>
      <c r="H13" s="1947"/>
      <c r="I13" s="5398"/>
      <c r="J13" s="325"/>
      <c r="AA13" s="4">
        <f t="shared" si="1"/>
        <v>0</v>
      </c>
      <c r="AB13" s="4">
        <f t="shared" si="2"/>
        <v>0</v>
      </c>
      <c r="AC13" s="4">
        <f t="shared" si="2"/>
        <v>0</v>
      </c>
      <c r="AD13" s="4">
        <f t="shared" si="2"/>
        <v>0</v>
      </c>
      <c r="AE13" s="4">
        <f t="shared" si="2"/>
        <v>0</v>
      </c>
    </row>
    <row r="14" spans="1:31">
      <c r="A14" s="780"/>
      <c r="B14" s="1782">
        <v>8</v>
      </c>
      <c r="C14" s="1779" t="s">
        <v>332</v>
      </c>
      <c r="D14" s="1942"/>
      <c r="E14" s="1943"/>
      <c r="F14" s="1943"/>
      <c r="G14" s="1944"/>
      <c r="H14" s="1945"/>
      <c r="I14" s="5397"/>
      <c r="J14" s="325"/>
      <c r="AA14" s="4">
        <f t="shared" si="1"/>
        <v>0</v>
      </c>
      <c r="AB14" s="4">
        <f t="shared" si="2"/>
        <v>0</v>
      </c>
      <c r="AC14" s="4">
        <f t="shared" si="2"/>
        <v>0</v>
      </c>
      <c r="AD14" s="4">
        <f t="shared" si="2"/>
        <v>0</v>
      </c>
      <c r="AE14" s="4">
        <f t="shared" si="2"/>
        <v>0</v>
      </c>
    </row>
    <row r="15" spans="1:31">
      <c r="A15" s="780"/>
      <c r="B15" s="1782">
        <v>9</v>
      </c>
      <c r="C15" s="1779" t="s">
        <v>333</v>
      </c>
      <c r="D15" s="1942"/>
      <c r="E15" s="1943"/>
      <c r="F15" s="1943"/>
      <c r="G15" s="1943"/>
      <c r="H15" s="1945"/>
      <c r="I15" s="5399"/>
      <c r="J15" s="325"/>
      <c r="AA15" s="4">
        <f t="shared" si="1"/>
        <v>0</v>
      </c>
      <c r="AB15" s="4">
        <f t="shared" si="2"/>
        <v>0</v>
      </c>
      <c r="AC15" s="4">
        <f t="shared" si="2"/>
        <v>0</v>
      </c>
      <c r="AD15" s="4">
        <f t="shared" si="2"/>
        <v>0</v>
      </c>
      <c r="AE15" s="4">
        <f t="shared" si="2"/>
        <v>0</v>
      </c>
    </row>
    <row r="16" spans="1:31">
      <c r="A16" s="780"/>
      <c r="B16" s="786"/>
      <c r="C16" s="787"/>
      <c r="D16" s="1942"/>
      <c r="E16" s="1943"/>
      <c r="F16" s="1943"/>
      <c r="G16" s="1944"/>
      <c r="H16" s="1945"/>
      <c r="I16" s="5397"/>
      <c r="J16" s="325"/>
      <c r="AA16" s="4"/>
      <c r="AB16" s="4"/>
      <c r="AC16" s="4"/>
      <c r="AD16" s="4"/>
      <c r="AE16" s="4"/>
    </row>
    <row r="17" spans="1:31">
      <c r="A17" s="780"/>
      <c r="B17" s="1782">
        <v>10</v>
      </c>
      <c r="C17" s="1779" t="s">
        <v>334</v>
      </c>
      <c r="D17" s="3547"/>
      <c r="E17" s="1943"/>
      <c r="F17" s="1943"/>
      <c r="G17" s="1944"/>
      <c r="H17" s="1945"/>
      <c r="I17" s="5397"/>
      <c r="J17" s="325"/>
      <c r="AA17" s="4">
        <f>ROUND(D17,0)</f>
        <v>0</v>
      </c>
      <c r="AB17" s="4">
        <f t="shared" ref="AB17:AE21" si="3">ROUND(E17,0)</f>
        <v>0</v>
      </c>
      <c r="AC17" s="4">
        <f t="shared" si="3"/>
        <v>0</v>
      </c>
      <c r="AD17" s="4">
        <f t="shared" si="3"/>
        <v>0</v>
      </c>
      <c r="AE17" s="4">
        <f t="shared" si="3"/>
        <v>0</v>
      </c>
    </row>
    <row r="18" spans="1:31">
      <c r="A18" s="780"/>
      <c r="B18" s="786">
        <v>11</v>
      </c>
      <c r="C18" s="787" t="s">
        <v>335</v>
      </c>
      <c r="D18" s="3547"/>
      <c r="E18" s="3548"/>
      <c r="F18" s="3548"/>
      <c r="G18" s="3548"/>
      <c r="H18" s="3549"/>
      <c r="I18" s="5397"/>
      <c r="J18" s="325"/>
      <c r="AA18" s="4">
        <f>ROUND(D18,0)</f>
        <v>0</v>
      </c>
      <c r="AB18" s="4">
        <f t="shared" si="3"/>
        <v>0</v>
      </c>
      <c r="AC18" s="4">
        <f t="shared" si="3"/>
        <v>0</v>
      </c>
      <c r="AD18" s="4">
        <f t="shared" si="3"/>
        <v>0</v>
      </c>
      <c r="AE18" s="4">
        <f t="shared" si="3"/>
        <v>0</v>
      </c>
    </row>
    <row r="19" spans="1:31">
      <c r="A19" s="780"/>
      <c r="B19" s="786">
        <v>12</v>
      </c>
      <c r="C19" s="787" t="s">
        <v>336</v>
      </c>
      <c r="D19" s="3547"/>
      <c r="E19" s="3548"/>
      <c r="F19" s="3548"/>
      <c r="G19" s="3548"/>
      <c r="H19" s="3549"/>
      <c r="I19" s="5397"/>
      <c r="J19" s="325"/>
      <c r="AA19" s="4">
        <f>ROUND(D19,0)</f>
        <v>0</v>
      </c>
      <c r="AB19" s="4">
        <f t="shared" si="3"/>
        <v>0</v>
      </c>
      <c r="AC19" s="4">
        <f t="shared" si="3"/>
        <v>0</v>
      </c>
      <c r="AD19" s="4">
        <f t="shared" si="3"/>
        <v>0</v>
      </c>
      <c r="AE19" s="4">
        <f t="shared" si="3"/>
        <v>0</v>
      </c>
    </row>
    <row r="20" spans="1:31">
      <c r="A20" s="780"/>
      <c r="B20" s="786">
        <v>13</v>
      </c>
      <c r="C20" s="787" t="s">
        <v>337</v>
      </c>
      <c r="D20" s="3547"/>
      <c r="E20" s="3548"/>
      <c r="F20" s="3548"/>
      <c r="G20" s="3548"/>
      <c r="H20" s="3549"/>
      <c r="I20" s="5398"/>
      <c r="J20" s="325"/>
      <c r="AA20" s="4">
        <f>ROUND(D20,0)</f>
        <v>0</v>
      </c>
      <c r="AB20" s="4">
        <f t="shared" si="3"/>
        <v>0</v>
      </c>
      <c r="AC20" s="4">
        <f t="shared" si="3"/>
        <v>0</v>
      </c>
      <c r="AD20" s="4">
        <f t="shared" si="3"/>
        <v>0</v>
      </c>
      <c r="AE20" s="4">
        <f t="shared" si="3"/>
        <v>0</v>
      </c>
    </row>
    <row r="21" spans="1:31">
      <c r="A21" s="780"/>
      <c r="B21" s="786">
        <v>14</v>
      </c>
      <c r="C21" s="787" t="s">
        <v>338</v>
      </c>
      <c r="D21" s="1928"/>
      <c r="E21" s="1929"/>
      <c r="F21" s="1929"/>
      <c r="G21" s="1929"/>
      <c r="H21" s="1947"/>
      <c r="I21" s="5397"/>
      <c r="J21" s="325"/>
      <c r="AA21" s="4">
        <f>ROUND(D21,0)</f>
        <v>0</v>
      </c>
      <c r="AB21" s="4">
        <f t="shared" si="3"/>
        <v>0</v>
      </c>
      <c r="AC21" s="4">
        <f t="shared" si="3"/>
        <v>0</v>
      </c>
      <c r="AD21" s="4">
        <f t="shared" si="3"/>
        <v>0</v>
      </c>
      <c r="AE21" s="4">
        <f t="shared" si="3"/>
        <v>0</v>
      </c>
    </row>
    <row r="22" spans="1:31">
      <c r="A22" s="780"/>
      <c r="B22" s="786">
        <v>15</v>
      </c>
      <c r="C22" s="787" t="s">
        <v>339</v>
      </c>
      <c r="D22" s="3546"/>
      <c r="E22" s="3550"/>
      <c r="F22" s="3550"/>
      <c r="G22" s="3550"/>
      <c r="H22" s="3551"/>
      <c r="I22" s="5397"/>
      <c r="J22" s="325"/>
      <c r="AA22" s="4"/>
      <c r="AB22" s="4"/>
      <c r="AC22" s="4"/>
      <c r="AD22" s="4"/>
      <c r="AE22" s="4"/>
    </row>
    <row r="23" spans="1:31">
      <c r="A23" s="780"/>
      <c r="B23" s="786">
        <v>16</v>
      </c>
      <c r="C23" s="787" t="s">
        <v>340</v>
      </c>
      <c r="D23" s="1930"/>
      <c r="E23" s="1931"/>
      <c r="F23" s="1931"/>
      <c r="G23" s="1931"/>
      <c r="H23" s="1933"/>
      <c r="I23" s="5398"/>
      <c r="J23" s="325"/>
      <c r="AA23" s="4"/>
      <c r="AB23" s="4"/>
      <c r="AC23" s="4"/>
      <c r="AD23" s="4"/>
      <c r="AE23" s="4"/>
    </row>
    <row r="24" spans="1:31" ht="13.5" thickBot="1">
      <c r="A24" s="780"/>
      <c r="B24" s="2655">
        <v>17</v>
      </c>
      <c r="C24" s="1787" t="s">
        <v>341</v>
      </c>
      <c r="D24" s="1952"/>
      <c r="E24" s="1953"/>
      <c r="F24" s="1953"/>
      <c r="G24" s="1954"/>
      <c r="H24" s="1955"/>
      <c r="I24" s="5397"/>
      <c r="J24" s="325"/>
      <c r="AA24" s="4">
        <f>ROUND(D24,0)</f>
        <v>0</v>
      </c>
      <c r="AB24" s="4">
        <f>ROUND(E24,0)</f>
        <v>0</v>
      </c>
      <c r="AC24" s="4">
        <f>ROUND(F24,0)</f>
        <v>0</v>
      </c>
      <c r="AD24" s="4">
        <f>ROUND(G24,0)</f>
        <v>0</v>
      </c>
      <c r="AE24" s="4">
        <f>ROUND(H24,0)</f>
        <v>0</v>
      </c>
    </row>
    <row r="25" spans="1:31" ht="17.25" customHeight="1" thickBot="1">
      <c r="A25" s="780"/>
      <c r="B25" s="1910" t="s">
        <v>342</v>
      </c>
      <c r="C25" s="780"/>
      <c r="D25" s="780"/>
      <c r="E25" s="780"/>
      <c r="F25" s="780"/>
      <c r="G25" s="780"/>
      <c r="H25" s="780"/>
      <c r="I25" s="780"/>
      <c r="J25" s="325"/>
      <c r="AA25" s="4"/>
    </row>
    <row r="26" spans="1:31" s="1887" customFormat="1" ht="17.25" hidden="1" customHeight="1">
      <c r="A26" s="1906"/>
      <c r="B26" s="1910"/>
      <c r="C26" s="1906"/>
      <c r="D26" s="2290" t="str">
        <f>IF(OR(LEFT(D9,1)="Y",LEFT(D9,1)="y"),D8,"")</f>
        <v/>
      </c>
      <c r="E26" s="2290" t="str">
        <f>IF(OR(LEFT(E9,1)="Y",LEFT(E9,1)="y"),E8,"")</f>
        <v/>
      </c>
      <c r="F26" s="2290" t="str">
        <f>IF(OR(LEFT(F9,1)="Y",LEFT(F9,1)="y"),F8,"")</f>
        <v/>
      </c>
      <c r="G26" s="2290" t="str">
        <f>IF(OR(LEFT(G9,1)="Y",LEFT(G9,1)="y"),G8,"")</f>
        <v/>
      </c>
      <c r="H26" s="2290" t="str">
        <f>IF(OR(LEFT(H9,1)="Y",LEFT(H9,1)="y"),H8,"")</f>
        <v/>
      </c>
      <c r="I26" s="1906"/>
      <c r="J26" s="2291"/>
      <c r="K26" s="4699"/>
      <c r="L26" s="2292"/>
      <c r="M26" s="2292"/>
      <c r="N26" s="2292"/>
      <c r="O26" s="2292"/>
      <c r="P26" s="2292"/>
      <c r="Q26" s="2292"/>
      <c r="R26" s="2292"/>
      <c r="S26" s="2292"/>
      <c r="T26" s="2292"/>
      <c r="U26" s="2292"/>
      <c r="V26" s="2292"/>
      <c r="W26" s="2292"/>
      <c r="X26" s="2292"/>
      <c r="Y26" s="2292"/>
      <c r="AA26"/>
    </row>
    <row r="27" spans="1:31" s="1958" customFormat="1" ht="13.5" hidden="1" thickBot="1">
      <c r="D27" s="1958" t="str">
        <f>IF(D3&lt;&gt;"",D3,"")</f>
        <v/>
      </c>
      <c r="E27" s="1958" t="str">
        <f>IF(E3&lt;&gt;"",E3,"")</f>
        <v/>
      </c>
      <c r="F27" s="1958" t="str">
        <f>IF(F3&lt;&gt;"",F3,"")</f>
        <v/>
      </c>
      <c r="G27" s="1958" t="str">
        <f>IF(G3&lt;&gt;"",G3,"")</f>
        <v/>
      </c>
      <c r="H27" s="1958" t="str">
        <f>IF(H3&lt;&gt;"",H3,"")</f>
        <v/>
      </c>
      <c r="K27" s="4700"/>
      <c r="L27" s="2227"/>
      <c r="M27" s="2227"/>
      <c r="N27" s="2227"/>
      <c r="O27" s="2227"/>
      <c r="P27" s="2227"/>
      <c r="Q27" s="2227"/>
      <c r="R27" s="2227"/>
      <c r="S27" s="2227"/>
      <c r="T27" s="2227"/>
      <c r="U27" s="2227"/>
      <c r="V27" s="2227"/>
      <c r="W27" s="2227"/>
      <c r="X27" s="2227"/>
      <c r="Y27" s="2227"/>
      <c r="AA27" s="1887"/>
    </row>
    <row r="28" spans="1:31" s="1958" customFormat="1" ht="13.5" hidden="1" thickBot="1">
      <c r="D28" s="1958" t="str">
        <f>IF(D4&lt;&gt;"", " - "&amp;D4,"")</f>
        <v/>
      </c>
      <c r="E28" s="1958" t="str">
        <f>IF(E4&lt;&gt;"", " - "&amp;E4,"")</f>
        <v/>
      </c>
      <c r="F28" s="1958" t="str">
        <f>IF(F4&lt;&gt;"", " - "&amp;F4,"")</f>
        <v/>
      </c>
      <c r="G28" s="1958" t="str">
        <f>IF(G4&lt;&gt;"", " - "&amp;G4,"")</f>
        <v/>
      </c>
      <c r="H28" s="1958" t="str">
        <f>IF(H4&lt;&gt;"", " - "&amp;H4,"")</f>
        <v/>
      </c>
      <c r="K28" s="4700"/>
      <c r="L28" s="2227"/>
      <c r="M28" s="2227"/>
      <c r="N28" s="2227"/>
      <c r="O28" s="2227"/>
      <c r="P28" s="2227"/>
      <c r="Q28" s="2227"/>
      <c r="R28" s="2227"/>
      <c r="S28" s="2227"/>
      <c r="T28" s="2227"/>
      <c r="U28" s="2227"/>
      <c r="V28" s="2227"/>
      <c r="W28" s="2227"/>
      <c r="X28" s="2227"/>
      <c r="Y28" s="2227"/>
    </row>
    <row r="29" spans="1:31" s="1958" customFormat="1" ht="13.5" hidden="1" thickBot="1">
      <c r="D29" s="1958" t="str">
        <f>IF(D5&lt;&gt;""," - "&amp;D5,"")</f>
        <v/>
      </c>
      <c r="E29" s="1958" t="str">
        <f>IF(E5&lt;&gt;""," - "&amp;E5,"")</f>
        <v/>
      </c>
      <c r="F29" s="1958" t="str">
        <f>IF(F5&lt;&gt;""," - "&amp;F5,"")</f>
        <v/>
      </c>
      <c r="G29" s="1958" t="str">
        <f>IF(G5&lt;&gt;""," - "&amp;G5,"")</f>
        <v/>
      </c>
      <c r="H29" s="1958" t="str">
        <f>IF(H5&lt;&gt;""," - "&amp;H5,"")</f>
        <v/>
      </c>
      <c r="K29" s="4700"/>
      <c r="L29" s="2227"/>
      <c r="M29" s="2227"/>
      <c r="N29" s="2227"/>
      <c r="O29" s="2227"/>
      <c r="P29" s="2227"/>
      <c r="Q29" s="2227"/>
      <c r="R29" s="2227"/>
      <c r="S29" s="2227"/>
      <c r="T29" s="2227"/>
      <c r="U29" s="2227"/>
      <c r="V29" s="2227"/>
      <c r="W29" s="2227"/>
      <c r="X29" s="2227"/>
      <c r="Y29" s="2227"/>
    </row>
    <row r="30" spans="1:31" s="1958" customFormat="1" ht="13.5" hidden="1" thickBot="1">
      <c r="D30" s="2228" t="str">
        <f>D27&amp;D28&amp;D29</f>
        <v/>
      </c>
      <c r="E30" s="2228" t="str">
        <f>E27&amp;E28&amp;E29</f>
        <v/>
      </c>
      <c r="F30" s="2228" t="str">
        <f>F27&amp;F28&amp;F29</f>
        <v/>
      </c>
      <c r="G30" s="2228" t="str">
        <f>G27&amp;G28&amp;G29</f>
        <v/>
      </c>
      <c r="H30" s="2228" t="str">
        <f>H27&amp;H28&amp;H29</f>
        <v/>
      </c>
      <c r="K30" s="4700"/>
      <c r="L30" s="2227"/>
      <c r="M30" s="2227"/>
      <c r="N30" s="2227"/>
      <c r="O30" s="2227"/>
      <c r="P30" s="2227"/>
      <c r="Q30" s="2227"/>
      <c r="R30" s="2227"/>
      <c r="S30" s="2227"/>
      <c r="T30" s="2227"/>
      <c r="U30" s="2227"/>
      <c r="V30" s="2227"/>
      <c r="W30" s="2227"/>
      <c r="X30" s="2227"/>
      <c r="Y30" s="2227"/>
    </row>
    <row r="31" spans="1:31" ht="42" customHeight="1" thickTop="1" thickBot="1">
      <c r="A31" s="785"/>
      <c r="B31" s="5395"/>
      <c r="C31" s="1927" t="str">
        <f>IF(Name_1st_Yours="","Enter your name(s) on the"&amp;CHAR(10)&amp;"sheet lableled '1040'",IF(File_Marr_Joint&lt;&gt;"",NameYours&amp;CHAR(10)&amp;" and "&amp;NameSpouse,NameYours))</f>
        <v>Enter your name(s) on the
sheet lableled '1040'</v>
      </c>
      <c r="D31" s="1455" t="s">
        <v>343</v>
      </c>
      <c r="E31" s="1455" t="s">
        <v>344</v>
      </c>
      <c r="F31" s="1455" t="s">
        <v>345</v>
      </c>
      <c r="G31" s="1455" t="s">
        <v>346</v>
      </c>
      <c r="H31" s="1455" t="s">
        <v>347</v>
      </c>
      <c r="I31" s="2329"/>
      <c r="J31" s="2329"/>
      <c r="AA31" s="1958"/>
    </row>
    <row r="32" spans="1:31">
      <c r="A32" s="780"/>
      <c r="B32" s="1775"/>
      <c r="C32" s="1934" t="s">
        <v>320</v>
      </c>
      <c r="D32" s="1937"/>
      <c r="E32" s="1938"/>
      <c r="F32" s="1938"/>
      <c r="G32" s="1938"/>
      <c r="H32" s="1939"/>
      <c r="I32" s="5396"/>
      <c r="J32" s="325"/>
    </row>
    <row r="33" spans="1:31">
      <c r="A33" s="780"/>
      <c r="B33" s="1776"/>
      <c r="C33" s="1935" t="s">
        <v>321</v>
      </c>
      <c r="D33" s="1966"/>
      <c r="E33" s="1967"/>
      <c r="F33" s="1967"/>
      <c r="G33" s="1967"/>
      <c r="H33" s="1968"/>
      <c r="I33" s="5396"/>
      <c r="J33" s="325"/>
    </row>
    <row r="34" spans="1:31" ht="13.5" thickBot="1">
      <c r="A34" s="780"/>
      <c r="B34" s="1777"/>
      <c r="C34" s="1936" t="s">
        <v>322</v>
      </c>
      <c r="D34" s="1969"/>
      <c r="E34" s="1970"/>
      <c r="F34" s="1970"/>
      <c r="G34" s="1970"/>
      <c r="H34" s="1971"/>
      <c r="I34" s="5396"/>
      <c r="J34" s="325"/>
    </row>
    <row r="35" spans="1:31" ht="13.5" customHeight="1">
      <c r="A35" s="780"/>
      <c r="B35" s="1781">
        <v>1</v>
      </c>
      <c r="C35" s="1778" t="s">
        <v>323</v>
      </c>
      <c r="D35" s="1940"/>
      <c r="E35" s="1941"/>
      <c r="F35" s="1941"/>
      <c r="G35" s="2023"/>
      <c r="H35" s="2024"/>
      <c r="I35" s="2284"/>
      <c r="J35" s="325"/>
      <c r="AA35" s="4">
        <f>ROUND(D35,2)</f>
        <v>0</v>
      </c>
      <c r="AB35" s="4">
        <f>ROUND(E35,2)</f>
        <v>0</v>
      </c>
      <c r="AC35" s="4">
        <f>ROUND(F35,2)</f>
        <v>0</v>
      </c>
      <c r="AD35" s="4">
        <f>ROUND(G35,2)</f>
        <v>0</v>
      </c>
      <c r="AE35" s="4">
        <f>ROUND(H35,2)</f>
        <v>0</v>
      </c>
    </row>
    <row r="36" spans="1:31" ht="13.5" customHeight="1">
      <c r="A36" s="780"/>
      <c r="B36" s="1782">
        <v>2</v>
      </c>
      <c r="C36" s="1779" t="s">
        <v>324</v>
      </c>
      <c r="D36" s="1942"/>
      <c r="E36" s="1943"/>
      <c r="F36" s="1943"/>
      <c r="G36" s="1944"/>
      <c r="H36" s="1945"/>
      <c r="I36" s="5397"/>
      <c r="J36" s="325"/>
      <c r="AA36" s="4">
        <f t="shared" ref="AA36:AE37" si="4">ROUND(D36,0)</f>
        <v>0</v>
      </c>
      <c r="AB36" s="4">
        <f t="shared" si="4"/>
        <v>0</v>
      </c>
      <c r="AC36" s="4">
        <f t="shared" si="4"/>
        <v>0</v>
      </c>
      <c r="AD36" s="4">
        <f t="shared" si="4"/>
        <v>0</v>
      </c>
      <c r="AE36" s="4">
        <f t="shared" si="4"/>
        <v>0</v>
      </c>
    </row>
    <row r="37" spans="1:31" ht="13.5" customHeight="1">
      <c r="A37" s="780"/>
      <c r="B37" s="1782">
        <v>3</v>
      </c>
      <c r="C37" s="1779" t="s">
        <v>325</v>
      </c>
      <c r="D37" s="1942"/>
      <c r="E37" s="1943"/>
      <c r="F37" s="1943"/>
      <c r="G37" s="1944"/>
      <c r="H37" s="1945"/>
      <c r="I37" s="5397"/>
      <c r="J37" s="325"/>
      <c r="AA37" s="4">
        <f t="shared" si="4"/>
        <v>0</v>
      </c>
      <c r="AB37" s="4">
        <f t="shared" si="4"/>
        <v>0</v>
      </c>
      <c r="AC37" s="4">
        <f t="shared" si="4"/>
        <v>0</v>
      </c>
      <c r="AD37" s="4">
        <f t="shared" si="4"/>
        <v>0</v>
      </c>
      <c r="AE37" s="4">
        <f t="shared" si="4"/>
        <v>0</v>
      </c>
    </row>
    <row r="38" spans="1:31" ht="13.5" customHeight="1">
      <c r="A38" s="780"/>
      <c r="B38" s="1782" t="s">
        <v>326</v>
      </c>
      <c r="C38" s="1779" t="s">
        <v>327</v>
      </c>
      <c r="D38" s="2272" t="s">
        <v>328</v>
      </c>
      <c r="E38" s="2273" t="s">
        <v>328</v>
      </c>
      <c r="F38" s="2273" t="s">
        <v>328</v>
      </c>
      <c r="G38" s="2274" t="s">
        <v>328</v>
      </c>
      <c r="H38" s="2275" t="s">
        <v>328</v>
      </c>
      <c r="I38" s="5397"/>
      <c r="J38" s="325"/>
      <c r="AA38" s="4"/>
      <c r="AB38" s="4"/>
      <c r="AC38" s="4"/>
      <c r="AD38" s="4"/>
      <c r="AE38" s="4"/>
    </row>
    <row r="39" spans="1:31" ht="13.5" customHeight="1">
      <c r="A39" s="780"/>
      <c r="B39" s="1782">
        <v>4</v>
      </c>
      <c r="C39" s="1779" t="s">
        <v>255</v>
      </c>
      <c r="D39" s="1942"/>
      <c r="E39" s="1943"/>
      <c r="F39" s="1943"/>
      <c r="G39" s="1944"/>
      <c r="H39" s="1945"/>
      <c r="I39" s="5397"/>
      <c r="J39" s="325"/>
      <c r="AA39" s="4">
        <f t="shared" ref="AA39:AA44" si="5">ROUND(D39,0)</f>
        <v>0</v>
      </c>
      <c r="AB39" s="4">
        <f t="shared" ref="AB39:AB44" si="6">ROUND(E39,0)</f>
        <v>0</v>
      </c>
      <c r="AC39" s="4">
        <f t="shared" ref="AC39:AC44" si="7">ROUND(F39,0)</f>
        <v>0</v>
      </c>
      <c r="AD39" s="4">
        <f t="shared" ref="AD39:AD44" si="8">ROUND(G39,0)</f>
        <v>0</v>
      </c>
      <c r="AE39" s="4">
        <f t="shared" ref="AE39:AE44" si="9">ROUND(H39,0)</f>
        <v>0</v>
      </c>
    </row>
    <row r="40" spans="1:31">
      <c r="A40" s="780"/>
      <c r="B40" s="786">
        <v>5</v>
      </c>
      <c r="C40" s="787" t="s">
        <v>329</v>
      </c>
      <c r="D40" s="1942"/>
      <c r="E40" s="1943"/>
      <c r="F40" s="1943"/>
      <c r="G40" s="1944"/>
      <c r="H40" s="1945"/>
      <c r="I40" s="5397"/>
      <c r="J40" s="325"/>
      <c r="AA40" s="4">
        <f t="shared" si="5"/>
        <v>0</v>
      </c>
      <c r="AB40" s="4">
        <f t="shared" si="6"/>
        <v>0</v>
      </c>
      <c r="AC40" s="4">
        <f t="shared" si="7"/>
        <v>0</v>
      </c>
      <c r="AD40" s="4">
        <f t="shared" si="8"/>
        <v>0</v>
      </c>
      <c r="AE40" s="4">
        <f t="shared" si="9"/>
        <v>0</v>
      </c>
    </row>
    <row r="41" spans="1:31">
      <c r="A41" s="780"/>
      <c r="B41" s="1782">
        <v>6</v>
      </c>
      <c r="C41" s="1779" t="s">
        <v>330</v>
      </c>
      <c r="D41" s="1942"/>
      <c r="E41" s="1943"/>
      <c r="F41" s="1943"/>
      <c r="G41" s="1944"/>
      <c r="H41" s="1945"/>
      <c r="I41" s="2246" t="str">
        <f>IF(SUM(D41:H41)&gt;0,"Check Form 1116, Foreign Tax Credit","")</f>
        <v/>
      </c>
      <c r="J41" s="325"/>
      <c r="AA41" s="4">
        <f t="shared" si="5"/>
        <v>0</v>
      </c>
      <c r="AB41" s="4">
        <f t="shared" si="6"/>
        <v>0</v>
      </c>
      <c r="AC41" s="4">
        <f t="shared" si="7"/>
        <v>0</v>
      </c>
      <c r="AD41" s="4">
        <f t="shared" si="8"/>
        <v>0</v>
      </c>
      <c r="AE41" s="4">
        <f t="shared" si="9"/>
        <v>0</v>
      </c>
    </row>
    <row r="42" spans="1:31">
      <c r="A42" s="780"/>
      <c r="B42" s="786">
        <v>7</v>
      </c>
      <c r="C42" s="787" t="s">
        <v>331</v>
      </c>
      <c r="D42" s="1928"/>
      <c r="E42" s="1929"/>
      <c r="F42" s="1929"/>
      <c r="G42" s="1946"/>
      <c r="H42" s="1947"/>
      <c r="I42" s="5398"/>
      <c r="J42" s="325"/>
      <c r="AA42" s="4">
        <f t="shared" si="5"/>
        <v>0</v>
      </c>
      <c r="AB42" s="4">
        <f t="shared" si="6"/>
        <v>0</v>
      </c>
      <c r="AC42" s="4">
        <f t="shared" si="7"/>
        <v>0</v>
      </c>
      <c r="AD42" s="4">
        <f t="shared" si="8"/>
        <v>0</v>
      </c>
      <c r="AE42" s="4">
        <f t="shared" si="9"/>
        <v>0</v>
      </c>
    </row>
    <row r="43" spans="1:31">
      <c r="A43" s="780"/>
      <c r="B43" s="1782">
        <v>8</v>
      </c>
      <c r="C43" s="1779" t="s">
        <v>332</v>
      </c>
      <c r="D43" s="1942"/>
      <c r="E43" s="1943"/>
      <c r="F43" s="1943"/>
      <c r="G43" s="1944"/>
      <c r="H43" s="1945"/>
      <c r="I43" s="5397"/>
      <c r="J43" s="325"/>
      <c r="AA43" s="4">
        <f t="shared" si="5"/>
        <v>0</v>
      </c>
      <c r="AB43" s="4">
        <f t="shared" si="6"/>
        <v>0</v>
      </c>
      <c r="AC43" s="4">
        <f t="shared" si="7"/>
        <v>0</v>
      </c>
      <c r="AD43" s="4">
        <f t="shared" si="8"/>
        <v>0</v>
      </c>
      <c r="AE43" s="4">
        <f t="shared" si="9"/>
        <v>0</v>
      </c>
    </row>
    <row r="44" spans="1:31">
      <c r="A44" s="780"/>
      <c r="B44" s="1782">
        <v>9</v>
      </c>
      <c r="C44" s="1779" t="s">
        <v>333</v>
      </c>
      <c r="D44" s="1942"/>
      <c r="E44" s="1943"/>
      <c r="F44" s="1943"/>
      <c r="G44" s="1943"/>
      <c r="H44" s="1945"/>
      <c r="I44" s="5399"/>
      <c r="J44" s="325"/>
      <c r="AA44" s="4">
        <f t="shared" si="5"/>
        <v>0</v>
      </c>
      <c r="AB44" s="4">
        <f t="shared" si="6"/>
        <v>0</v>
      </c>
      <c r="AC44" s="4">
        <f t="shared" si="7"/>
        <v>0</v>
      </c>
      <c r="AD44" s="4">
        <f t="shared" si="8"/>
        <v>0</v>
      </c>
      <c r="AE44" s="4">
        <f t="shared" si="9"/>
        <v>0</v>
      </c>
    </row>
    <row r="45" spans="1:31">
      <c r="A45" s="780"/>
      <c r="B45" s="786"/>
      <c r="C45" s="787"/>
      <c r="D45" s="1942"/>
      <c r="E45" s="1943"/>
      <c r="F45" s="1943"/>
      <c r="G45" s="1944"/>
      <c r="H45" s="1945"/>
      <c r="I45" s="5397"/>
      <c r="J45" s="325"/>
      <c r="AA45" s="4"/>
      <c r="AB45" s="4"/>
      <c r="AC45" s="4"/>
      <c r="AD45" s="4"/>
      <c r="AE45" s="4"/>
    </row>
    <row r="46" spans="1:31">
      <c r="A46" s="780"/>
      <c r="B46" s="1782">
        <v>10</v>
      </c>
      <c r="C46" s="1779" t="s">
        <v>334</v>
      </c>
      <c r="D46" s="1942"/>
      <c r="E46" s="1943"/>
      <c r="F46" s="1943"/>
      <c r="G46" s="1944"/>
      <c r="H46" s="1945"/>
      <c r="I46" s="5397"/>
      <c r="J46" s="325"/>
      <c r="AA46" s="4">
        <f t="shared" ref="AA46:AE50" si="10">ROUND(D46,0)</f>
        <v>0</v>
      </c>
      <c r="AB46" s="4">
        <f t="shared" si="10"/>
        <v>0</v>
      </c>
      <c r="AC46" s="4">
        <f t="shared" si="10"/>
        <v>0</v>
      </c>
      <c r="AD46" s="4">
        <f t="shared" si="10"/>
        <v>0</v>
      </c>
      <c r="AE46" s="4">
        <f t="shared" si="10"/>
        <v>0</v>
      </c>
    </row>
    <row r="47" spans="1:31">
      <c r="A47" s="780"/>
      <c r="B47" s="786">
        <v>11</v>
      </c>
      <c r="C47" s="787" t="s">
        <v>335</v>
      </c>
      <c r="D47" s="3547"/>
      <c r="E47" s="3548"/>
      <c r="F47" s="3548"/>
      <c r="G47" s="3548"/>
      <c r="H47" s="3549"/>
      <c r="I47" s="5397"/>
      <c r="J47" s="325"/>
      <c r="AA47" s="4">
        <f t="shared" si="10"/>
        <v>0</v>
      </c>
      <c r="AB47" s="4">
        <f t="shared" si="10"/>
        <v>0</v>
      </c>
      <c r="AC47" s="4">
        <f t="shared" si="10"/>
        <v>0</v>
      </c>
      <c r="AD47" s="4">
        <f t="shared" si="10"/>
        <v>0</v>
      </c>
      <c r="AE47" s="4">
        <f t="shared" si="10"/>
        <v>0</v>
      </c>
    </row>
    <row r="48" spans="1:31">
      <c r="A48" s="780"/>
      <c r="B48" s="786">
        <v>12</v>
      </c>
      <c r="C48" s="787" t="s">
        <v>336</v>
      </c>
      <c r="D48" s="3547"/>
      <c r="E48" s="3548"/>
      <c r="F48" s="3548"/>
      <c r="G48" s="3548"/>
      <c r="H48" s="3549"/>
      <c r="I48" s="5397"/>
      <c r="J48" s="325"/>
      <c r="AA48" s="4">
        <f t="shared" si="10"/>
        <v>0</v>
      </c>
      <c r="AB48" s="4">
        <f t="shared" si="10"/>
        <v>0</v>
      </c>
      <c r="AC48" s="4">
        <f t="shared" si="10"/>
        <v>0</v>
      </c>
      <c r="AD48" s="4">
        <f t="shared" si="10"/>
        <v>0</v>
      </c>
      <c r="AE48" s="4">
        <f t="shared" si="10"/>
        <v>0</v>
      </c>
    </row>
    <row r="49" spans="1:31">
      <c r="A49" s="780"/>
      <c r="B49" s="786">
        <v>13</v>
      </c>
      <c r="C49" s="787" t="s">
        <v>337</v>
      </c>
      <c r="D49" s="3547"/>
      <c r="E49" s="3548"/>
      <c r="F49" s="3548"/>
      <c r="G49" s="3548"/>
      <c r="H49" s="3549"/>
      <c r="I49" s="5398"/>
      <c r="J49" s="325"/>
      <c r="AA49" s="4">
        <f t="shared" si="10"/>
        <v>0</v>
      </c>
      <c r="AB49" s="4">
        <f t="shared" si="10"/>
        <v>0</v>
      </c>
      <c r="AC49" s="4">
        <f t="shared" si="10"/>
        <v>0</v>
      </c>
      <c r="AD49" s="4">
        <f t="shared" si="10"/>
        <v>0</v>
      </c>
      <c r="AE49" s="4">
        <f t="shared" si="10"/>
        <v>0</v>
      </c>
    </row>
    <row r="50" spans="1:31">
      <c r="A50" s="780"/>
      <c r="B50" s="786">
        <v>14</v>
      </c>
      <c r="C50" s="787" t="s">
        <v>338</v>
      </c>
      <c r="D50" s="1928"/>
      <c r="E50" s="1929"/>
      <c r="F50" s="1929"/>
      <c r="G50" s="1929"/>
      <c r="H50" s="1947"/>
      <c r="I50" s="5397"/>
      <c r="J50" s="325"/>
      <c r="AA50" s="4">
        <f t="shared" si="10"/>
        <v>0</v>
      </c>
      <c r="AB50" s="4">
        <f t="shared" si="10"/>
        <v>0</v>
      </c>
      <c r="AC50" s="4">
        <f t="shared" si="10"/>
        <v>0</v>
      </c>
      <c r="AD50" s="4">
        <f t="shared" si="10"/>
        <v>0</v>
      </c>
      <c r="AE50" s="4">
        <f t="shared" si="10"/>
        <v>0</v>
      </c>
    </row>
    <row r="51" spans="1:31">
      <c r="A51" s="780"/>
      <c r="B51" s="786">
        <v>15</v>
      </c>
      <c r="C51" s="787" t="s">
        <v>339</v>
      </c>
      <c r="D51" s="3546"/>
      <c r="E51" s="3550"/>
      <c r="F51" s="3550"/>
      <c r="G51" s="3550"/>
      <c r="H51" s="3551"/>
      <c r="I51" s="5397"/>
      <c r="J51" s="325"/>
      <c r="AA51" s="4"/>
      <c r="AB51" s="4"/>
      <c r="AC51" s="4"/>
      <c r="AD51" s="4"/>
      <c r="AE51" s="4"/>
    </row>
    <row r="52" spans="1:31">
      <c r="A52" s="780"/>
      <c r="B52" s="786">
        <v>16</v>
      </c>
      <c r="C52" s="787" t="s">
        <v>340</v>
      </c>
      <c r="D52" s="1930"/>
      <c r="E52" s="1931"/>
      <c r="F52" s="1931"/>
      <c r="G52" s="1931"/>
      <c r="H52" s="1933"/>
      <c r="I52" s="5398"/>
      <c r="J52" s="325"/>
      <c r="AA52" s="4"/>
      <c r="AB52" s="4"/>
      <c r="AC52" s="4"/>
      <c r="AD52" s="4"/>
      <c r="AE52" s="4"/>
    </row>
    <row r="53" spans="1:31" ht="13.5" thickBot="1">
      <c r="A53" s="780"/>
      <c r="B53" s="2655">
        <v>17</v>
      </c>
      <c r="C53" s="1787" t="s">
        <v>341</v>
      </c>
      <c r="D53" s="1952"/>
      <c r="E53" s="1953"/>
      <c r="F53" s="1953"/>
      <c r="G53" s="1954"/>
      <c r="H53" s="1955"/>
      <c r="I53" s="5397"/>
      <c r="J53" s="325"/>
      <c r="AA53" s="4">
        <f>ROUND(D53,0)</f>
        <v>0</v>
      </c>
      <c r="AB53" s="4">
        <f>ROUND(E53,0)</f>
        <v>0</v>
      </c>
      <c r="AC53" s="4">
        <f>ROUND(F53,0)</f>
        <v>0</v>
      </c>
      <c r="AD53" s="4">
        <f>ROUND(G53,0)</f>
        <v>0</v>
      </c>
      <c r="AE53" s="4">
        <f>ROUND(H53,0)</f>
        <v>0</v>
      </c>
    </row>
    <row r="54" spans="1:31" ht="17.25" customHeight="1" thickBot="1">
      <c r="A54" s="780"/>
      <c r="B54" s="1910" t="s">
        <v>342</v>
      </c>
      <c r="C54" s="780"/>
      <c r="D54" s="780"/>
      <c r="E54" s="780"/>
      <c r="F54" s="780"/>
      <c r="G54" s="780"/>
      <c r="H54" s="780"/>
      <c r="I54" s="780"/>
      <c r="J54" s="325"/>
    </row>
    <row r="55" spans="1:31" ht="17.25" hidden="1" customHeight="1">
      <c r="A55" s="780"/>
      <c r="B55" s="1910"/>
      <c r="C55" s="780"/>
      <c r="D55" s="2276" t="str">
        <f>IF(OR(LEFT(D38,1)="Y",LEFT(D38,1)="y"),D37,"")</f>
        <v/>
      </c>
      <c r="E55" s="2276" t="str">
        <f>IF(OR(LEFT(E38,1)="Y",LEFT(E38,1)="y"),E37,"")</f>
        <v/>
      </c>
      <c r="F55" s="2276" t="str">
        <f>IF(OR(LEFT(F38,1)="Y",LEFT(F38,1)="y"),F37,"")</f>
        <v/>
      </c>
      <c r="G55" s="2276" t="str">
        <f>IF(OR(LEFT(G38,1)="Y",LEFT(G38,1)="y"),G37,"")</f>
        <v/>
      </c>
      <c r="H55" s="2276" t="str">
        <f>IF(OR(LEFT(H38,1)="Y",LEFT(H38,1)="y"),H37,"")</f>
        <v/>
      </c>
      <c r="I55" s="780"/>
      <c r="J55" s="325"/>
    </row>
    <row r="56" spans="1:31" s="1958" customFormat="1" ht="13.5" hidden="1" thickBot="1">
      <c r="D56" s="1958" t="str">
        <f>IF(D32&lt;&gt;"",D32,"")</f>
        <v/>
      </c>
      <c r="E56" s="1958" t="str">
        <f>IF(E32&lt;&gt;"",E32,"")</f>
        <v/>
      </c>
      <c r="F56" s="1958" t="str">
        <f>IF(F32&lt;&gt;"",F32,"")</f>
        <v/>
      </c>
      <c r="G56" s="1958" t="str">
        <f>IF(G32&lt;&gt;"",G32,"")</f>
        <v/>
      </c>
      <c r="H56" s="1958" t="str">
        <f>IF(H32&lt;&gt;"",H32,"")</f>
        <v/>
      </c>
      <c r="K56" s="4700"/>
      <c r="L56" s="2227"/>
      <c r="M56" s="2227"/>
      <c r="N56" s="2227"/>
      <c r="O56" s="2227"/>
      <c r="P56" s="2227"/>
      <c r="Q56" s="2227"/>
      <c r="R56" s="2227"/>
      <c r="S56" s="2227"/>
      <c r="T56" s="2227"/>
      <c r="U56" s="2227"/>
      <c r="V56" s="2227"/>
      <c r="W56" s="2227"/>
      <c r="X56" s="2227"/>
      <c r="Y56" s="2227"/>
    </row>
    <row r="57" spans="1:31" s="1958" customFormat="1" ht="13.5" hidden="1" thickBot="1">
      <c r="D57" s="1958" t="str">
        <f>IF(D33&lt;&gt;"", " - "&amp;D33,"")</f>
        <v/>
      </c>
      <c r="E57" s="1958" t="str">
        <f>IF(E33&lt;&gt;"", " - "&amp;E33,"")</f>
        <v/>
      </c>
      <c r="F57" s="1958" t="str">
        <f>IF(F33&lt;&gt;"", " - "&amp;F33,"")</f>
        <v/>
      </c>
      <c r="G57" s="1958" t="str">
        <f>IF(G33&lt;&gt;"", " - "&amp;G33,"")</f>
        <v/>
      </c>
      <c r="H57" s="1958" t="str">
        <f>IF(H33&lt;&gt;"", " - "&amp;H33,"")</f>
        <v/>
      </c>
      <c r="K57" s="4700"/>
      <c r="L57" s="2227"/>
      <c r="M57" s="2227"/>
      <c r="N57" s="2227"/>
      <c r="O57" s="2227"/>
      <c r="P57" s="2227"/>
      <c r="Q57" s="2227"/>
      <c r="R57" s="2227"/>
      <c r="S57" s="2227"/>
      <c r="T57" s="2227"/>
      <c r="U57" s="2227"/>
      <c r="V57" s="2227"/>
      <c r="W57" s="2227"/>
      <c r="X57" s="2227"/>
      <c r="Y57" s="2227"/>
    </row>
    <row r="58" spans="1:31" s="1958" customFormat="1" ht="13.5" hidden="1" thickBot="1">
      <c r="D58" s="1958" t="str">
        <f>IF(D34&lt;&gt;""," - "&amp;D34,"")</f>
        <v/>
      </c>
      <c r="E58" s="1958" t="str">
        <f>IF(E34&lt;&gt;""," - "&amp;E34,"")</f>
        <v/>
      </c>
      <c r="F58" s="1958" t="str">
        <f>IF(F34&lt;&gt;""," - "&amp;F34,"")</f>
        <v/>
      </c>
      <c r="G58" s="1958" t="str">
        <f>IF(G34&lt;&gt;""," - "&amp;G34,"")</f>
        <v/>
      </c>
      <c r="H58" s="1958" t="str">
        <f>IF(H34&lt;&gt;""," - "&amp;H34,"")</f>
        <v/>
      </c>
      <c r="K58" s="4700"/>
      <c r="L58" s="2227"/>
      <c r="M58" s="2227"/>
      <c r="N58" s="2227"/>
      <c r="O58" s="2227"/>
      <c r="P58" s="2227"/>
      <c r="Q58" s="2227"/>
      <c r="R58" s="2227"/>
      <c r="S58" s="2227"/>
      <c r="T58" s="2227"/>
      <c r="U58" s="2227"/>
      <c r="V58" s="2227"/>
      <c r="W58" s="2227"/>
      <c r="X58" s="2227"/>
      <c r="Y58" s="2227"/>
    </row>
    <row r="59" spans="1:31" s="1958" customFormat="1" ht="13.5" hidden="1" thickBot="1">
      <c r="D59" s="2228" t="str">
        <f>D56&amp;D57&amp;D58</f>
        <v/>
      </c>
      <c r="E59" s="2228" t="str">
        <f>E56&amp;E57&amp;E58</f>
        <v/>
      </c>
      <c r="F59" s="2228" t="str">
        <f>F56&amp;F57&amp;F58</f>
        <v/>
      </c>
      <c r="G59" s="2228" t="str">
        <f>G56&amp;G57&amp;G58</f>
        <v/>
      </c>
      <c r="H59" s="2228" t="str">
        <f>H56&amp;H57&amp;H58</f>
        <v/>
      </c>
      <c r="K59" s="4700"/>
      <c r="L59" s="2227"/>
      <c r="M59" s="2227"/>
      <c r="N59" s="2227"/>
      <c r="O59" s="2227"/>
      <c r="P59" s="2227"/>
      <c r="Q59" s="2227"/>
      <c r="R59" s="2227"/>
      <c r="S59" s="2227"/>
      <c r="T59" s="2227"/>
      <c r="U59" s="2227"/>
      <c r="V59" s="2227"/>
      <c r="W59" s="2227"/>
      <c r="X59" s="2227"/>
      <c r="Y59" s="2227"/>
    </row>
    <row r="60" spans="1:31" ht="42" customHeight="1" thickTop="1" thickBot="1">
      <c r="A60" s="1908"/>
      <c r="B60" s="1923" t="s">
        <v>313</v>
      </c>
      <c r="C60" s="5400"/>
      <c r="D60" s="5401"/>
      <c r="E60" s="1909"/>
      <c r="F60" s="5401"/>
      <c r="G60" s="5401"/>
      <c r="H60" s="5401"/>
      <c r="I60" s="5402"/>
      <c r="J60" s="325"/>
    </row>
    <row r="61" spans="1:31" ht="42" customHeight="1" thickTop="1" thickBot="1">
      <c r="A61" s="780"/>
      <c r="B61" s="5371"/>
      <c r="C61" s="1927" t="str">
        <f>IF(Name_1st_Yours="","Enter your name(s) on the"&amp;CHAR(10)&amp;"sheet lableled '1040'",IF(File_Marr_Joint&lt;&gt;"",NameYours&amp;CHAR(10)&amp;" and "&amp;NameSpouse,NameYours))</f>
        <v>Enter your name(s) on the
sheet lableled '1040'</v>
      </c>
      <c r="D61" s="1455" t="s">
        <v>348</v>
      </c>
      <c r="E61" s="1455" t="s">
        <v>349</v>
      </c>
      <c r="F61" s="1455" t="s">
        <v>350</v>
      </c>
      <c r="G61" s="1455" t="s">
        <v>351</v>
      </c>
      <c r="H61" s="1455" t="s">
        <v>352</v>
      </c>
      <c r="I61" s="1786" t="s">
        <v>248</v>
      </c>
      <c r="J61" s="1882" t="s">
        <v>250</v>
      </c>
    </row>
    <row r="62" spans="1:31">
      <c r="A62" s="780"/>
      <c r="B62" s="1775"/>
      <c r="C62" s="1934" t="s">
        <v>320</v>
      </c>
      <c r="D62" s="1937"/>
      <c r="E62" s="1938"/>
      <c r="F62" s="1938"/>
      <c r="G62" s="1938"/>
      <c r="H62" s="1939"/>
      <c r="I62" s="5403"/>
      <c r="J62" s="1883"/>
    </row>
    <row r="63" spans="1:31">
      <c r="A63" s="780"/>
      <c r="B63" s="1776"/>
      <c r="C63" s="1935" t="s">
        <v>321</v>
      </c>
      <c r="D63" s="1966"/>
      <c r="E63" s="1967"/>
      <c r="F63" s="1967"/>
      <c r="G63" s="1967"/>
      <c r="H63" s="1968"/>
      <c r="I63" s="2025"/>
      <c r="J63" s="1883"/>
    </row>
    <row r="64" spans="1:31" ht="13.5" thickBot="1">
      <c r="A64" s="780"/>
      <c r="B64" s="1777"/>
      <c r="C64" s="1936" t="s">
        <v>322</v>
      </c>
      <c r="D64" s="1969"/>
      <c r="E64" s="1970"/>
      <c r="F64" s="1970"/>
      <c r="G64" s="1970"/>
      <c r="H64" s="1971"/>
      <c r="I64" s="2026"/>
      <c r="J64" s="2246" t="str">
        <f>IF(AND(ForeignTaxPaid_INT&lt;&gt;"",ForeignTaxPaid_INT&gt;0),"Check Form 1116, Foreign Tax Credit","")</f>
        <v/>
      </c>
    </row>
    <row r="65" spans="1:31" ht="13.5" customHeight="1">
      <c r="A65" s="780"/>
      <c r="B65" s="1781">
        <v>1</v>
      </c>
      <c r="C65" s="1778" t="s">
        <v>323</v>
      </c>
      <c r="D65" s="1940"/>
      <c r="E65" s="1941"/>
      <c r="F65" s="1941"/>
      <c r="G65" s="2023"/>
      <c r="H65" s="2024"/>
      <c r="I65" s="5404">
        <f>ROUND(SUM(AA6:AE6,AA35:AE35,AA65:AE65),2)</f>
        <v>0</v>
      </c>
      <c r="J65" s="1884" t="s">
        <v>105</v>
      </c>
      <c r="AA65" s="4">
        <f>ROUND(D65,2)</f>
        <v>0</v>
      </c>
      <c r="AB65" s="4">
        <f>ROUND(E65,2)</f>
        <v>0</v>
      </c>
      <c r="AC65" s="4">
        <f>ROUND(F65,2)</f>
        <v>0</v>
      </c>
      <c r="AD65" s="4">
        <f>ROUND(G65,2)</f>
        <v>0</v>
      </c>
      <c r="AE65" s="4">
        <f>ROUND(H65,2)</f>
        <v>0</v>
      </c>
    </row>
    <row r="66" spans="1:31" ht="13.5" customHeight="1">
      <c r="A66" s="780"/>
      <c r="B66" s="1782">
        <v>2</v>
      </c>
      <c r="C66" s="1779" t="s">
        <v>324</v>
      </c>
      <c r="D66" s="1942"/>
      <c r="E66" s="1943"/>
      <c r="F66" s="1943"/>
      <c r="G66" s="1944"/>
      <c r="H66" s="1945"/>
      <c r="I66" s="3530">
        <f t="shared" ref="I66:I78" si="11">SUM(AA7:AE7,AA36:AE36,AA66:AE66)</f>
        <v>0</v>
      </c>
      <c r="J66" s="1884" t="s">
        <v>354</v>
      </c>
      <c r="AA66" s="4">
        <f t="shared" ref="AA66:AE67" si="12">ROUND(D66,0)</f>
        <v>0</v>
      </c>
      <c r="AB66" s="4">
        <f t="shared" si="12"/>
        <v>0</v>
      </c>
      <c r="AC66" s="4">
        <f t="shared" si="12"/>
        <v>0</v>
      </c>
      <c r="AD66" s="4">
        <f t="shared" si="12"/>
        <v>0</v>
      </c>
      <c r="AE66" s="4">
        <f t="shared" si="12"/>
        <v>0</v>
      </c>
    </row>
    <row r="67" spans="1:31" ht="13.5" customHeight="1">
      <c r="A67" s="780"/>
      <c r="B67" s="1782">
        <v>3</v>
      </c>
      <c r="C67" s="1779" t="s">
        <v>325</v>
      </c>
      <c r="D67" s="1942"/>
      <c r="E67" s="1943"/>
      <c r="F67" s="1943"/>
      <c r="G67" s="1944"/>
      <c r="H67" s="1945"/>
      <c r="I67" s="5405">
        <f t="shared" si="11"/>
        <v>0</v>
      </c>
      <c r="J67" s="1884" t="s">
        <v>355</v>
      </c>
      <c r="AA67" s="4">
        <f t="shared" si="12"/>
        <v>0</v>
      </c>
      <c r="AB67" s="4">
        <f t="shared" si="12"/>
        <v>0</v>
      </c>
      <c r="AC67" s="4">
        <f t="shared" si="12"/>
        <v>0</v>
      </c>
      <c r="AD67" s="4">
        <f t="shared" si="12"/>
        <v>0</v>
      </c>
      <c r="AE67" s="4">
        <f t="shared" si="12"/>
        <v>0</v>
      </c>
    </row>
    <row r="68" spans="1:31" ht="13.5" customHeight="1" thickBot="1">
      <c r="A68" s="780"/>
      <c r="B68" s="1782" t="s">
        <v>326</v>
      </c>
      <c r="C68" s="1779" t="s">
        <v>327</v>
      </c>
      <c r="D68" s="2272" t="s">
        <v>328</v>
      </c>
      <c r="E68" s="2273" t="s">
        <v>328</v>
      </c>
      <c r="F68" s="2273" t="s">
        <v>328</v>
      </c>
      <c r="G68" s="2274" t="s">
        <v>328</v>
      </c>
      <c r="H68" s="2275" t="s">
        <v>328</v>
      </c>
      <c r="I68" s="5406"/>
      <c r="J68" s="1884"/>
      <c r="AA68" s="4"/>
      <c r="AB68" s="4"/>
      <c r="AC68" s="4"/>
      <c r="AD68" s="4"/>
      <c r="AE68" s="4"/>
    </row>
    <row r="69" spans="1:31" ht="13.5" customHeight="1">
      <c r="A69" s="780"/>
      <c r="B69" s="1782">
        <v>4</v>
      </c>
      <c r="C69" s="1779" t="s">
        <v>255</v>
      </c>
      <c r="D69" s="1942"/>
      <c r="E69" s="1943"/>
      <c r="F69" s="1943"/>
      <c r="G69" s="1944"/>
      <c r="H69" s="1945"/>
      <c r="I69" s="3529">
        <f t="shared" si="11"/>
        <v>0</v>
      </c>
      <c r="J69" s="1884" t="s">
        <v>356</v>
      </c>
      <c r="AA69" s="4">
        <f t="shared" ref="AA69:AA74" si="13">ROUND(D69,0)</f>
        <v>0</v>
      </c>
      <c r="AB69" s="4">
        <f t="shared" ref="AB69:AB74" si="14">ROUND(E69,0)</f>
        <v>0</v>
      </c>
      <c r="AC69" s="4">
        <f t="shared" ref="AC69:AC74" si="15">ROUND(F69,0)</f>
        <v>0</v>
      </c>
      <c r="AD69" s="4">
        <f t="shared" ref="AD69:AD74" si="16">ROUND(G69,0)</f>
        <v>0</v>
      </c>
      <c r="AE69" s="4">
        <f t="shared" ref="AE69:AE74" si="17">ROUND(H69,0)</f>
        <v>0</v>
      </c>
    </row>
    <row r="70" spans="1:31" ht="12.75" customHeight="1">
      <c r="A70" s="780"/>
      <c r="B70" s="786">
        <v>5</v>
      </c>
      <c r="C70" s="787" t="s">
        <v>329</v>
      </c>
      <c r="D70" s="1942"/>
      <c r="E70" s="1943"/>
      <c r="F70" s="1943"/>
      <c r="G70" s="1944"/>
      <c r="H70" s="1945"/>
      <c r="I70" s="5405">
        <f t="shared" si="11"/>
        <v>0</v>
      </c>
      <c r="J70" s="1884" t="s">
        <v>357</v>
      </c>
      <c r="AA70" s="4">
        <f t="shared" si="13"/>
        <v>0</v>
      </c>
      <c r="AB70" s="4">
        <f t="shared" si="14"/>
        <v>0</v>
      </c>
      <c r="AC70" s="4">
        <f t="shared" si="15"/>
        <v>0</v>
      </c>
      <c r="AD70" s="4">
        <f t="shared" si="16"/>
        <v>0</v>
      </c>
      <c r="AE70" s="4">
        <f t="shared" si="17"/>
        <v>0</v>
      </c>
    </row>
    <row r="71" spans="1:31">
      <c r="A71" s="780"/>
      <c r="B71" s="1782">
        <v>6</v>
      </c>
      <c r="C71" s="1779" t="s">
        <v>330</v>
      </c>
      <c r="D71" s="1942"/>
      <c r="E71" s="1943"/>
      <c r="F71" s="1943"/>
      <c r="G71" s="1944"/>
      <c r="H71" s="1945"/>
      <c r="I71" s="3530">
        <f t="shared" si="11"/>
        <v>0</v>
      </c>
      <c r="J71" s="1885" t="s">
        <v>358</v>
      </c>
      <c r="AA71" s="4">
        <f t="shared" si="13"/>
        <v>0</v>
      </c>
      <c r="AB71" s="4">
        <f t="shared" si="14"/>
        <v>0</v>
      </c>
      <c r="AC71" s="4">
        <f t="shared" si="15"/>
        <v>0</v>
      </c>
      <c r="AD71" s="4">
        <f t="shared" si="16"/>
        <v>0</v>
      </c>
      <c r="AE71" s="4">
        <f t="shared" si="17"/>
        <v>0</v>
      </c>
    </row>
    <row r="72" spans="1:31">
      <c r="A72" s="780"/>
      <c r="B72" s="786">
        <v>7</v>
      </c>
      <c r="C72" s="787" t="s">
        <v>331</v>
      </c>
      <c r="D72" s="1928"/>
      <c r="E72" s="1929"/>
      <c r="F72" s="1929"/>
      <c r="G72" s="1946"/>
      <c r="H72" s="1947"/>
      <c r="I72" s="5407" t="str">
        <f>" - - - -"</f>
        <v xml:space="preserve"> - - - -</v>
      </c>
      <c r="J72" s="2817" t="str">
        <f>IF(ForeignTaxPaid_INT&gt;0,"Check Form 1116, Foreign Tax Credit","")</f>
        <v/>
      </c>
      <c r="AA72" s="4">
        <f t="shared" si="13"/>
        <v>0</v>
      </c>
      <c r="AB72" s="4">
        <f t="shared" si="14"/>
        <v>0</v>
      </c>
      <c r="AC72" s="4">
        <f t="shared" si="15"/>
        <v>0</v>
      </c>
      <c r="AD72" s="4">
        <f t="shared" si="16"/>
        <v>0</v>
      </c>
      <c r="AE72" s="4">
        <f t="shared" si="17"/>
        <v>0</v>
      </c>
    </row>
    <row r="73" spans="1:31">
      <c r="A73" s="780"/>
      <c r="B73" s="1782">
        <v>8</v>
      </c>
      <c r="C73" s="1779" t="s">
        <v>332</v>
      </c>
      <c r="D73" s="1942"/>
      <c r="E73" s="1943"/>
      <c r="F73" s="1943"/>
      <c r="G73" s="1944"/>
      <c r="H73" s="1945"/>
      <c r="I73" s="3530">
        <f t="shared" si="11"/>
        <v>0</v>
      </c>
      <c r="J73" s="1884" t="s">
        <v>359</v>
      </c>
      <c r="AA73" s="4">
        <f t="shared" si="13"/>
        <v>0</v>
      </c>
      <c r="AB73" s="4">
        <f t="shared" si="14"/>
        <v>0</v>
      </c>
      <c r="AC73" s="4">
        <f t="shared" si="15"/>
        <v>0</v>
      </c>
      <c r="AD73" s="4">
        <f t="shared" si="16"/>
        <v>0</v>
      </c>
      <c r="AE73" s="4">
        <f t="shared" si="17"/>
        <v>0</v>
      </c>
    </row>
    <row r="74" spans="1:31">
      <c r="A74" s="780"/>
      <c r="B74" s="1782">
        <v>9</v>
      </c>
      <c r="C74" s="1779" t="s">
        <v>333</v>
      </c>
      <c r="D74" s="1942"/>
      <c r="E74" s="1943"/>
      <c r="F74" s="1943"/>
      <c r="G74" s="1943"/>
      <c r="H74" s="1945"/>
      <c r="I74" s="3530">
        <f t="shared" si="11"/>
        <v>0</v>
      </c>
      <c r="J74" s="1884" t="s">
        <v>360</v>
      </c>
      <c r="AA74" s="4">
        <f t="shared" si="13"/>
        <v>0</v>
      </c>
      <c r="AB74" s="4">
        <f t="shared" si="14"/>
        <v>0</v>
      </c>
      <c r="AC74" s="4">
        <f t="shared" si="15"/>
        <v>0</v>
      </c>
      <c r="AD74" s="4">
        <f t="shared" si="16"/>
        <v>0</v>
      </c>
      <c r="AE74" s="4">
        <f t="shared" si="17"/>
        <v>0</v>
      </c>
    </row>
    <row r="75" spans="1:31">
      <c r="A75" s="780"/>
      <c r="B75" s="786"/>
      <c r="C75" s="787"/>
      <c r="D75" s="1942"/>
      <c r="E75" s="1943"/>
      <c r="F75" s="1943"/>
      <c r="G75" s="1944"/>
      <c r="H75" s="1945"/>
      <c r="I75" s="5405">
        <f t="shared" si="11"/>
        <v>0</v>
      </c>
      <c r="J75" s="1884"/>
      <c r="AA75" s="4"/>
      <c r="AB75" s="4"/>
      <c r="AC75" s="4"/>
      <c r="AD75" s="4"/>
      <c r="AE75" s="4"/>
    </row>
    <row r="76" spans="1:31">
      <c r="A76" s="780"/>
      <c r="B76" s="1782">
        <v>10</v>
      </c>
      <c r="C76" s="1779" t="s">
        <v>334</v>
      </c>
      <c r="D76" s="1942"/>
      <c r="E76" s="1943"/>
      <c r="F76" s="1943"/>
      <c r="G76" s="1944"/>
      <c r="H76" s="1945"/>
      <c r="I76" s="3530">
        <f t="shared" si="11"/>
        <v>0</v>
      </c>
      <c r="J76" s="1883" t="s">
        <v>353</v>
      </c>
      <c r="AA76" s="4">
        <f t="shared" ref="AA76:AE80" si="18">ROUND(D76,0)</f>
        <v>0</v>
      </c>
      <c r="AB76" s="4">
        <f t="shared" si="18"/>
        <v>0</v>
      </c>
      <c r="AC76" s="4">
        <f t="shared" si="18"/>
        <v>0</v>
      </c>
      <c r="AD76" s="4">
        <f t="shared" si="18"/>
        <v>0</v>
      </c>
      <c r="AE76" s="4">
        <f t="shared" si="18"/>
        <v>0</v>
      </c>
    </row>
    <row r="77" spans="1:31">
      <c r="A77" s="780"/>
      <c r="B77" s="786">
        <v>11</v>
      </c>
      <c r="C77" s="787" t="s">
        <v>335</v>
      </c>
      <c r="D77" s="3547"/>
      <c r="E77" s="3548"/>
      <c r="F77" s="3548"/>
      <c r="G77" s="3548"/>
      <c r="H77" s="3549"/>
      <c r="I77" s="5405">
        <f t="shared" si="11"/>
        <v>0</v>
      </c>
      <c r="J77" s="1883"/>
      <c r="AA77" s="4">
        <f t="shared" si="18"/>
        <v>0</v>
      </c>
      <c r="AB77" s="4">
        <f t="shared" si="18"/>
        <v>0</v>
      </c>
      <c r="AC77" s="4">
        <f t="shared" si="18"/>
        <v>0</v>
      </c>
      <c r="AD77" s="4">
        <f t="shared" si="18"/>
        <v>0</v>
      </c>
      <c r="AE77" s="4">
        <f t="shared" si="18"/>
        <v>0</v>
      </c>
    </row>
    <row r="78" spans="1:31">
      <c r="A78" s="780"/>
      <c r="B78" s="786">
        <v>12</v>
      </c>
      <c r="C78" s="787" t="s">
        <v>336</v>
      </c>
      <c r="D78" s="3547"/>
      <c r="E78" s="3548"/>
      <c r="F78" s="3548"/>
      <c r="G78" s="3548"/>
      <c r="H78" s="3549"/>
      <c r="I78" s="5405">
        <f t="shared" si="11"/>
        <v>0</v>
      </c>
      <c r="J78" s="1884"/>
      <c r="AA78" s="4">
        <f t="shared" si="18"/>
        <v>0</v>
      </c>
      <c r="AB78" s="4">
        <f t="shared" si="18"/>
        <v>0</v>
      </c>
      <c r="AC78" s="4">
        <f t="shared" si="18"/>
        <v>0</v>
      </c>
      <c r="AD78" s="4">
        <f t="shared" si="18"/>
        <v>0</v>
      </c>
      <c r="AE78" s="4">
        <f t="shared" si="18"/>
        <v>0</v>
      </c>
    </row>
    <row r="79" spans="1:31">
      <c r="A79" s="780"/>
      <c r="B79" s="786">
        <v>13</v>
      </c>
      <c r="C79" s="787" t="s">
        <v>337</v>
      </c>
      <c r="D79" s="3547"/>
      <c r="E79" s="3548"/>
      <c r="F79" s="3548"/>
      <c r="G79" s="3548"/>
      <c r="H79" s="3549"/>
      <c r="I79" s="5407" t="str">
        <f>" - - - -"</f>
        <v xml:space="preserve"> - - - -</v>
      </c>
      <c r="J79" s="1884"/>
      <c r="AA79" s="4">
        <f t="shared" si="18"/>
        <v>0</v>
      </c>
      <c r="AB79" s="4">
        <f t="shared" si="18"/>
        <v>0</v>
      </c>
      <c r="AC79" s="4">
        <f t="shared" si="18"/>
        <v>0</v>
      </c>
      <c r="AD79" s="4">
        <f t="shared" si="18"/>
        <v>0</v>
      </c>
      <c r="AE79" s="4">
        <f t="shared" si="18"/>
        <v>0</v>
      </c>
    </row>
    <row r="80" spans="1:31">
      <c r="A80" s="780"/>
      <c r="B80" s="786">
        <v>14</v>
      </c>
      <c r="C80" s="787" t="s">
        <v>338</v>
      </c>
      <c r="D80" s="1928"/>
      <c r="E80" s="1929"/>
      <c r="F80" s="1929"/>
      <c r="G80" s="1929"/>
      <c r="H80" s="1947"/>
      <c r="I80" s="5407" t="str">
        <f>" - - - -"</f>
        <v xml:space="preserve"> - - - -</v>
      </c>
      <c r="J80" s="1884"/>
      <c r="AA80" s="4">
        <f t="shared" si="18"/>
        <v>0</v>
      </c>
      <c r="AB80" s="4">
        <f t="shared" si="18"/>
        <v>0</v>
      </c>
      <c r="AC80" s="4">
        <f t="shared" si="18"/>
        <v>0</v>
      </c>
      <c r="AD80" s="4">
        <f t="shared" si="18"/>
        <v>0</v>
      </c>
      <c r="AE80" s="4">
        <f t="shared" si="18"/>
        <v>0</v>
      </c>
    </row>
    <row r="81" spans="1:31">
      <c r="A81" s="780"/>
      <c r="B81" s="786">
        <v>15</v>
      </c>
      <c r="C81" s="787" t="s">
        <v>339</v>
      </c>
      <c r="D81" s="3546"/>
      <c r="E81" s="3550"/>
      <c r="F81" s="3550"/>
      <c r="G81" s="3550"/>
      <c r="H81" s="3551"/>
      <c r="I81" s="5407" t="str">
        <f>" - - - -"</f>
        <v xml:space="preserve"> - - - -</v>
      </c>
      <c r="J81" s="1884"/>
      <c r="AA81" s="4"/>
      <c r="AB81" s="4"/>
      <c r="AC81" s="4"/>
      <c r="AD81" s="4"/>
      <c r="AE81" s="4"/>
    </row>
    <row r="82" spans="1:31" ht="12.75" customHeight="1">
      <c r="A82" s="780"/>
      <c r="B82" s="786">
        <v>16</v>
      </c>
      <c r="C82" s="787" t="s">
        <v>340</v>
      </c>
      <c r="D82" s="1930"/>
      <c r="E82" s="1931"/>
      <c r="F82" s="1931"/>
      <c r="G82" s="1931"/>
      <c r="H82" s="1933"/>
      <c r="I82" s="5407" t="str">
        <f>" - - - -"</f>
        <v xml:space="preserve"> - - - -</v>
      </c>
      <c r="J82" s="1884"/>
      <c r="AA82" s="4"/>
      <c r="AB82" s="4"/>
      <c r="AC82" s="4"/>
      <c r="AD82" s="4"/>
      <c r="AE82" s="4"/>
    </row>
    <row r="83" spans="1:31" ht="13.5" thickBot="1">
      <c r="A83" s="780"/>
      <c r="B83" s="2655">
        <v>17</v>
      </c>
      <c r="C83" s="1787" t="s">
        <v>341</v>
      </c>
      <c r="D83" s="1952"/>
      <c r="E83" s="1953"/>
      <c r="F83" s="1953"/>
      <c r="G83" s="1954"/>
      <c r="H83" s="1955"/>
      <c r="I83" s="4691">
        <f>SUM(D24:H24,D53:H53,D83:H83)</f>
        <v>0</v>
      </c>
      <c r="J83" s="1884" t="s">
        <v>361</v>
      </c>
      <c r="AA83" s="4">
        <f>ROUND(D83,0)</f>
        <v>0</v>
      </c>
      <c r="AB83" s="4">
        <f>ROUND(E83,0)</f>
        <v>0</v>
      </c>
      <c r="AC83" s="4">
        <f>ROUND(F83,0)</f>
        <v>0</v>
      </c>
      <c r="AD83" s="4">
        <f>ROUND(G83,0)</f>
        <v>0</v>
      </c>
      <c r="AE83" s="4">
        <f>ROUND(H83,0)</f>
        <v>0</v>
      </c>
    </row>
    <row r="84" spans="1:31" ht="17.25" customHeight="1">
      <c r="A84" s="780"/>
      <c r="B84" s="1906" t="s">
        <v>342</v>
      </c>
      <c r="C84" s="780"/>
      <c r="D84" s="780"/>
      <c r="E84" s="780"/>
      <c r="F84" s="780"/>
      <c r="G84" s="780"/>
      <c r="H84" s="780"/>
      <c r="I84" s="780"/>
      <c r="J84" s="780"/>
    </row>
    <row r="85" spans="1:31" ht="17.25" hidden="1" customHeight="1">
      <c r="A85" s="780"/>
      <c r="B85" s="1910"/>
      <c r="C85" s="780"/>
      <c r="D85" s="2276" t="str">
        <f>IF(OR(LEFT(D68,1)="Y",LEFT(D68,1)="y"),D67,"")</f>
        <v/>
      </c>
      <c r="E85" s="2276" t="str">
        <f>IF(OR(LEFT(E68,1)="Y",LEFT(E68,1)="y"),E67,"")</f>
        <v/>
      </c>
      <c r="F85" s="2276" t="str">
        <f>IF(OR(LEFT(F68,1)="Y",LEFT(F68,1)="y"),F67,"")</f>
        <v/>
      </c>
      <c r="G85" s="2276" t="str">
        <f>IF(OR(LEFT(G68,1)="Y",LEFT(G68,1)="y"),G67,"")</f>
        <v/>
      </c>
      <c r="H85" s="2276" t="str">
        <f>IF(OR(LEFT(H68,1)="Y",LEFT(H68,1)="y"),H67,"")</f>
        <v/>
      </c>
      <c r="I85" s="780"/>
      <c r="J85" s="325"/>
    </row>
    <row r="86" spans="1:31" s="1958" customFormat="1" hidden="1">
      <c r="D86" s="1958" t="str">
        <f>IF(D62&lt;&gt;"",D62,"")</f>
        <v/>
      </c>
      <c r="E86" s="1958" t="str">
        <f>IF(E62&lt;&gt;"",E62,"")</f>
        <v/>
      </c>
      <c r="F86" s="1958" t="str">
        <f>IF(F62&lt;&gt;"",F62,"")</f>
        <v/>
      </c>
      <c r="G86" s="1958" t="str">
        <f>IF(G62&lt;&gt;"",G62,"")</f>
        <v/>
      </c>
      <c r="H86" s="1958" t="str">
        <f>IF(H62&lt;&gt;"",H62,"")</f>
        <v/>
      </c>
      <c r="K86" s="4700"/>
      <c r="L86" s="2227"/>
      <c r="M86" s="2227"/>
      <c r="N86" s="2227"/>
      <c r="O86" s="2227"/>
      <c r="P86" s="2227"/>
      <c r="Q86" s="2227"/>
      <c r="R86" s="2227"/>
      <c r="S86" s="2227"/>
      <c r="T86" s="2227"/>
      <c r="U86" s="2227"/>
      <c r="V86" s="2227"/>
      <c r="W86" s="2227"/>
      <c r="X86" s="2227"/>
      <c r="Y86" s="2227"/>
    </row>
    <row r="87" spans="1:31" s="1958" customFormat="1" hidden="1">
      <c r="D87" s="1958" t="str">
        <f>IF(D63&lt;&gt;"", " - "&amp;D63,"")</f>
        <v/>
      </c>
      <c r="E87" s="1958" t="str">
        <f>IF(E63&lt;&gt;"", " - "&amp;E63,"")</f>
        <v/>
      </c>
      <c r="F87" s="1958" t="str">
        <f>IF(F63&lt;&gt;"", " - "&amp;F63,"")</f>
        <v/>
      </c>
      <c r="G87" s="1958" t="str">
        <f>IF(G63&lt;&gt;"", " - "&amp;G63,"")</f>
        <v/>
      </c>
      <c r="H87" s="1958" t="str">
        <f>IF(H63&lt;&gt;"", " - "&amp;H63,"")</f>
        <v/>
      </c>
      <c r="K87" s="4700"/>
      <c r="L87" s="2227"/>
      <c r="M87" s="2227"/>
      <c r="N87" s="2227"/>
      <c r="O87" s="2227"/>
      <c r="P87" s="2227"/>
      <c r="Q87" s="2227"/>
      <c r="R87" s="2227"/>
      <c r="S87" s="2227"/>
      <c r="T87" s="2227"/>
      <c r="U87" s="2227"/>
      <c r="V87" s="2227"/>
      <c r="W87" s="2227"/>
      <c r="X87" s="2227"/>
      <c r="Y87" s="2227"/>
    </row>
    <row r="88" spans="1:31" s="1958" customFormat="1" hidden="1">
      <c r="D88" s="1958" t="str">
        <f>IF(D64&lt;&gt;""," - "&amp;D64,"")</f>
        <v/>
      </c>
      <c r="E88" s="1958" t="str">
        <f>IF(E64&lt;&gt;""," - "&amp;E64,"")</f>
        <v/>
      </c>
      <c r="F88" s="1958" t="str">
        <f>IF(F64&lt;&gt;""," - "&amp;F64,"")</f>
        <v/>
      </c>
      <c r="G88" s="1958" t="str">
        <f>IF(G64&lt;&gt;""," - "&amp;G64,"")</f>
        <v/>
      </c>
      <c r="H88" s="1958" t="str">
        <f>IF(H64&lt;&gt;""," - "&amp;H64,"")</f>
        <v/>
      </c>
      <c r="K88" s="4700"/>
      <c r="L88" s="2227"/>
      <c r="M88" s="2227"/>
      <c r="N88" s="2227"/>
      <c r="O88" s="2227"/>
      <c r="P88" s="2227"/>
      <c r="Q88" s="2227"/>
      <c r="R88" s="2227"/>
      <c r="S88" s="2227"/>
      <c r="T88" s="2227"/>
      <c r="U88" s="2227"/>
      <c r="V88" s="2227"/>
      <c r="W88" s="2227"/>
      <c r="X88" s="2227"/>
      <c r="Y88" s="2227"/>
    </row>
    <row r="89" spans="1:31" s="1958" customFormat="1" hidden="1">
      <c r="D89" s="2228" t="str">
        <f>D86&amp;D87&amp;D88</f>
        <v/>
      </c>
      <c r="E89" s="2228" t="str">
        <f>E86&amp;E87&amp;E88</f>
        <v/>
      </c>
      <c r="F89" s="2228" t="str">
        <f>F86&amp;F87&amp;F88</f>
        <v/>
      </c>
      <c r="G89" s="2228" t="str">
        <f>G86&amp;G87&amp;G88</f>
        <v/>
      </c>
      <c r="H89" s="2228" t="str">
        <f>H86&amp;H87&amp;H88</f>
        <v/>
      </c>
      <c r="K89" s="4700"/>
      <c r="L89" s="2227"/>
      <c r="M89" s="2227"/>
      <c r="N89" s="2227"/>
      <c r="O89" s="2227"/>
      <c r="P89" s="2227"/>
      <c r="Q89" s="2227"/>
      <c r="R89" s="2227"/>
      <c r="S89" s="2227"/>
      <c r="T89" s="2227"/>
      <c r="U89" s="2227"/>
      <c r="V89" s="2227"/>
      <c r="W89" s="2227"/>
      <c r="X89" s="2227"/>
      <c r="Y89" s="2227"/>
    </row>
    <row r="91" spans="1:31" ht="13.5" thickBot="1"/>
    <row r="92" spans="1:31">
      <c r="C92" s="3194"/>
    </row>
    <row r="93" spans="1:31">
      <c r="C93" s="3195" t="s">
        <v>46</v>
      </c>
    </row>
    <row r="94" spans="1:31" ht="13.5" thickBot="1">
      <c r="C94" s="3196"/>
    </row>
  </sheetData>
  <sheetProtection algorithmName="SHA-512" hashValue="PthCkMISZ28ayd9epZ9mSA/0ljGEBSAmpxtN7pvs/mhz1R6viFxrylUb1QVsS/absIOoTHDwV8CdV5s6YO6Apg==" saltValue="0cwTwgHAeEO99Pg3C7Wx4A==" spinCount="100000" sheet="1" objects="1" scenarios="1"/>
  <conditionalFormatting sqref="D2:H24">
    <cfRule type="expression" dxfId="3270" priority="6">
      <formula>IF(NoColor,1,0)</formula>
    </cfRule>
  </conditionalFormatting>
  <conditionalFormatting sqref="D31:H53">
    <cfRule type="expression" dxfId="3269" priority="2">
      <formula>IF(NoColor,1,0)</formula>
    </cfRule>
  </conditionalFormatting>
  <conditionalFormatting sqref="D61:H83">
    <cfRule type="expression" dxfId="3268" priority="1">
      <formula>IF(NoColor,1,0)</formula>
    </cfRule>
  </conditionalFormatting>
  <conditionalFormatting sqref="I62:I83">
    <cfRule type="expression" dxfId="3267" priority="3">
      <formula>NoColor</formula>
    </cfRule>
  </conditionalFormatting>
  <hyperlinks>
    <hyperlink ref="C93" location="'Table of Contents'!A1" display="Table of Contents" xr:uid="{00000000-0004-0000-0400-000000000000}"/>
  </hyperlinks>
  <pageMargins left="0.75" right="0.25" top="0.36" bottom="0.28999999999999998" header="0.36" footer="0.21"/>
  <pageSetup scale="53" fitToHeight="0" orientation="landscape" r:id="rId1"/>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F124"/>
  <sheetViews>
    <sheetView zoomScaleNormal="100" zoomScaleSheetLayoutView="100" workbookViewId="0">
      <pane ySplit="1" topLeftCell="A2" activePane="bottomLeft" state="frozen"/>
      <selection pane="bottomLeft"/>
    </sheetView>
  </sheetViews>
  <sheetFormatPr defaultRowHeight="12.75"/>
  <cols>
    <col min="1" max="1" width="2.5703125" customWidth="1"/>
    <col min="2" max="2" width="4.42578125" customWidth="1"/>
    <col min="3" max="3" width="45.7109375" customWidth="1"/>
    <col min="4" max="8" width="26.28515625" customWidth="1"/>
    <col min="9" max="9" width="37.140625" customWidth="1"/>
    <col min="10" max="10" width="5.5703125" customWidth="1"/>
    <col min="11" max="11" width="13.140625" style="2725" customWidth="1"/>
    <col min="12" max="25" width="9.140625" style="2036" customWidth="1"/>
    <col min="26" max="26" width="9.140625" customWidth="1"/>
    <col min="27" max="27" width="5.28515625" style="3275" hidden="1" customWidth="1"/>
    <col min="28" max="32" width="9.140625" hidden="1" customWidth="1"/>
  </cols>
  <sheetData>
    <row r="1" spans="1:32" ht="42" customHeight="1" thickBot="1">
      <c r="A1" s="784"/>
      <c r="B1" s="1922" t="s">
        <v>362</v>
      </c>
      <c r="C1" s="5392"/>
      <c r="D1" s="5393"/>
      <c r="E1" s="1881"/>
      <c r="F1" s="5393"/>
      <c r="G1" s="5393"/>
      <c r="H1" s="5393"/>
      <c r="I1" s="5393"/>
      <c r="J1" s="1997"/>
      <c r="K1" s="2723" t="s">
        <v>241</v>
      </c>
    </row>
    <row r="2" spans="1:32" ht="42" customHeight="1" thickTop="1" thickBot="1">
      <c r="A2" s="785"/>
      <c r="B2" s="5395"/>
      <c r="C2" s="1927" t="str">
        <f>IF(Name_1st_Yours="","Enter your name(s) on the"&amp;CHAR(10)&amp;"sheet labeled '1040'",Names)</f>
        <v>Enter your name(s) on the
sheet labeled '1040'</v>
      </c>
      <c r="D2" s="1455" t="s">
        <v>314</v>
      </c>
      <c r="E2" s="1455" t="s">
        <v>315</v>
      </c>
      <c r="F2" s="1455" t="s">
        <v>316</v>
      </c>
      <c r="G2" s="1455" t="s">
        <v>317</v>
      </c>
      <c r="H2" s="1455" t="s">
        <v>318</v>
      </c>
      <c r="I2" s="72"/>
      <c r="J2" s="325"/>
      <c r="K2" s="4696" t="s">
        <v>319</v>
      </c>
    </row>
    <row r="3" spans="1:32">
      <c r="A3" s="780"/>
      <c r="B3" s="1775"/>
      <c r="C3" s="1783" t="s">
        <v>320</v>
      </c>
      <c r="D3" s="1937"/>
      <c r="E3" s="1938"/>
      <c r="F3" s="1938"/>
      <c r="G3" s="1938"/>
      <c r="H3" s="1938"/>
      <c r="I3" s="107"/>
      <c r="J3" s="325"/>
    </row>
    <row r="4" spans="1:32">
      <c r="A4" s="780"/>
      <c r="B4" s="1776"/>
      <c r="C4" s="1784" t="s">
        <v>321</v>
      </c>
      <c r="D4" s="1966"/>
      <c r="E4" s="1967"/>
      <c r="F4" s="1967"/>
      <c r="G4" s="1967"/>
      <c r="H4" s="1967"/>
      <c r="I4" s="107"/>
      <c r="J4" s="325"/>
    </row>
    <row r="5" spans="1:32" ht="13.5" thickBot="1">
      <c r="A5" s="780"/>
      <c r="B5" s="1777"/>
      <c r="C5" s="1785" t="s">
        <v>322</v>
      </c>
      <c r="D5" s="1969"/>
      <c r="E5" s="1970"/>
      <c r="F5" s="1970"/>
      <c r="G5" s="1970"/>
      <c r="H5" s="1970"/>
      <c r="I5" s="107"/>
      <c r="J5" s="325"/>
    </row>
    <row r="6" spans="1:32" ht="13.5" customHeight="1">
      <c r="A6" s="780"/>
      <c r="B6" s="1781" t="s">
        <v>363</v>
      </c>
      <c r="C6" s="1778" t="s">
        <v>364</v>
      </c>
      <c r="D6" s="3393"/>
      <c r="E6" s="2023"/>
      <c r="F6" s="1941"/>
      <c r="G6" s="1941"/>
      <c r="H6" s="1941"/>
      <c r="I6" s="3395" t="str">
        <f>IF(I26,"Error: All qualified dividends must be included in","")</f>
        <v/>
      </c>
      <c r="J6" s="325"/>
      <c r="AA6" s="3275" t="str">
        <f>B6</f>
        <v>1a</v>
      </c>
      <c r="AB6" s="4">
        <f t="shared" ref="AB6:AF7" si="0">ROUND(D6,2)</f>
        <v>0</v>
      </c>
      <c r="AC6" s="4">
        <f t="shared" si="0"/>
        <v>0</v>
      </c>
      <c r="AD6" s="4">
        <f t="shared" si="0"/>
        <v>0</v>
      </c>
      <c r="AE6" s="4">
        <f t="shared" si="0"/>
        <v>0</v>
      </c>
      <c r="AF6" s="4">
        <f t="shared" si="0"/>
        <v>0</v>
      </c>
    </row>
    <row r="7" spans="1:32" ht="13.5" customHeight="1">
      <c r="A7" s="780"/>
      <c r="B7" s="1782" t="s">
        <v>365</v>
      </c>
      <c r="C7" s="1779" t="s">
        <v>366</v>
      </c>
      <c r="D7" s="3394"/>
      <c r="E7" s="1944"/>
      <c r="F7" s="1943"/>
      <c r="G7" s="1943"/>
      <c r="H7" s="1943"/>
      <c r="I7" s="3395" t="str">
        <f>IF(I26,"the Total ordinary dividend amount.","")</f>
        <v/>
      </c>
      <c r="J7" s="325"/>
      <c r="AA7" s="3275" t="str">
        <f t="shared" ref="AA7:AA25" si="1">B7</f>
        <v>1b</v>
      </c>
      <c r="AB7" s="4">
        <f t="shared" si="0"/>
        <v>0</v>
      </c>
      <c r="AC7" s="4">
        <f t="shared" si="0"/>
        <v>0</v>
      </c>
      <c r="AD7" s="4">
        <f t="shared" si="0"/>
        <v>0</v>
      </c>
      <c r="AE7" s="4">
        <f t="shared" si="0"/>
        <v>0</v>
      </c>
      <c r="AF7" s="4">
        <f t="shared" si="0"/>
        <v>0</v>
      </c>
    </row>
    <row r="8" spans="1:32" ht="13.5" customHeight="1">
      <c r="A8" s="780"/>
      <c r="B8" s="1782" t="s">
        <v>367</v>
      </c>
      <c r="C8" s="1779" t="s">
        <v>368</v>
      </c>
      <c r="D8" s="1942"/>
      <c r="E8" s="1943"/>
      <c r="F8" s="1943"/>
      <c r="G8" s="1943"/>
      <c r="H8" s="1943"/>
      <c r="I8" s="3914"/>
      <c r="J8" s="325"/>
      <c r="AA8" s="3275" t="str">
        <f t="shared" si="1"/>
        <v>2a</v>
      </c>
      <c r="AB8" s="4">
        <f t="shared" ref="AB8:AB15" si="2">ROUND(D8,0)</f>
        <v>0</v>
      </c>
      <c r="AC8" s="4">
        <f t="shared" ref="AC8:AF9" si="3">ROUND(E8,0)</f>
        <v>0</v>
      </c>
      <c r="AD8" s="4">
        <f t="shared" si="3"/>
        <v>0</v>
      </c>
      <c r="AE8" s="4">
        <f t="shared" si="3"/>
        <v>0</v>
      </c>
      <c r="AF8" s="4">
        <f t="shared" si="3"/>
        <v>0</v>
      </c>
    </row>
    <row r="9" spans="1:32" ht="13.5" customHeight="1">
      <c r="A9" s="780"/>
      <c r="B9" s="788" t="s">
        <v>369</v>
      </c>
      <c r="C9" s="787" t="s">
        <v>370</v>
      </c>
      <c r="D9" s="1942"/>
      <c r="E9" s="1943"/>
      <c r="F9" s="1943"/>
      <c r="G9" s="1943"/>
      <c r="H9" s="1943"/>
      <c r="I9" s="3914"/>
      <c r="J9" s="325"/>
      <c r="AA9" s="3275" t="str">
        <f t="shared" si="1"/>
        <v>2b</v>
      </c>
      <c r="AB9" s="4">
        <f t="shared" si="2"/>
        <v>0</v>
      </c>
      <c r="AC9" s="4">
        <f t="shared" si="3"/>
        <v>0</v>
      </c>
      <c r="AD9" s="4">
        <f t="shared" si="3"/>
        <v>0</v>
      </c>
      <c r="AE9" s="4">
        <f t="shared" si="3"/>
        <v>0</v>
      </c>
      <c r="AF9" s="4">
        <f t="shared" si="3"/>
        <v>0</v>
      </c>
    </row>
    <row r="10" spans="1:32">
      <c r="A10" s="780"/>
      <c r="B10" s="788" t="s">
        <v>371</v>
      </c>
      <c r="C10" s="1780" t="s">
        <v>372</v>
      </c>
      <c r="D10" s="1942"/>
      <c r="E10" s="1943"/>
      <c r="F10" s="1943"/>
      <c r="G10" s="1943"/>
      <c r="H10" s="1943"/>
      <c r="I10" s="107"/>
      <c r="J10" s="325"/>
      <c r="AA10" s="3275" t="str">
        <f t="shared" si="1"/>
        <v>2c</v>
      </c>
      <c r="AB10" s="4">
        <f t="shared" ref="AB10:AF11" si="4">ROUND(D10,2)</f>
        <v>0</v>
      </c>
      <c r="AC10" s="4">
        <f t="shared" si="4"/>
        <v>0</v>
      </c>
      <c r="AD10" s="4">
        <f t="shared" si="4"/>
        <v>0</v>
      </c>
      <c r="AE10" s="4">
        <f t="shared" si="4"/>
        <v>0</v>
      </c>
      <c r="AF10" s="4">
        <f t="shared" si="4"/>
        <v>0</v>
      </c>
    </row>
    <row r="11" spans="1:32">
      <c r="A11" s="780"/>
      <c r="B11" s="1782" t="s">
        <v>373</v>
      </c>
      <c r="C11" s="1779" t="s">
        <v>374</v>
      </c>
      <c r="D11" s="1942"/>
      <c r="E11" s="1943"/>
      <c r="F11" s="1943"/>
      <c r="G11" s="1943"/>
      <c r="H11" s="1943"/>
      <c r="I11" s="107"/>
      <c r="J11" s="325"/>
      <c r="AA11" s="3275" t="str">
        <f t="shared" si="1"/>
        <v>2d</v>
      </c>
      <c r="AB11" s="4">
        <f t="shared" si="4"/>
        <v>0</v>
      </c>
      <c r="AC11" s="4">
        <f t="shared" si="4"/>
        <v>0</v>
      </c>
      <c r="AD11" s="4">
        <f t="shared" si="4"/>
        <v>0</v>
      </c>
      <c r="AE11" s="4">
        <f t="shared" si="4"/>
        <v>0</v>
      </c>
      <c r="AF11" s="4">
        <f t="shared" si="4"/>
        <v>0</v>
      </c>
    </row>
    <row r="12" spans="1:32">
      <c r="A12" s="780"/>
      <c r="B12" s="786">
        <v>3</v>
      </c>
      <c r="C12" s="787" t="s">
        <v>375</v>
      </c>
      <c r="D12" s="1942"/>
      <c r="E12" s="1943"/>
      <c r="F12" s="1943"/>
      <c r="G12" s="1943"/>
      <c r="H12" s="1943"/>
      <c r="I12" s="107"/>
      <c r="J12" s="325"/>
      <c r="AA12" s="3275">
        <f t="shared" si="1"/>
        <v>3</v>
      </c>
      <c r="AB12" s="4">
        <f t="shared" si="2"/>
        <v>0</v>
      </c>
      <c r="AC12" s="4">
        <f>ROUND(E12,0)</f>
        <v>0</v>
      </c>
      <c r="AD12" s="4">
        <f>ROUND(F12,0)</f>
        <v>0</v>
      </c>
      <c r="AE12" s="4">
        <f>ROUND(G12,0)</f>
        <v>0</v>
      </c>
      <c r="AF12" s="4">
        <f>ROUND(H12,0)</f>
        <v>0</v>
      </c>
    </row>
    <row r="13" spans="1:32">
      <c r="A13" s="780"/>
      <c r="B13" s="1782">
        <v>4</v>
      </c>
      <c r="C13" s="1779" t="s">
        <v>255</v>
      </c>
      <c r="D13" s="1942"/>
      <c r="E13" s="1943"/>
      <c r="F13" s="1943"/>
      <c r="G13" s="1943"/>
      <c r="H13" s="1943"/>
      <c r="I13" s="107"/>
      <c r="J13" s="325"/>
      <c r="AA13" s="3275">
        <f t="shared" si="1"/>
        <v>4</v>
      </c>
      <c r="AB13" s="4">
        <f t="shared" ref="AB13:AF14" si="5">ROUND(D13,2)</f>
        <v>0</v>
      </c>
      <c r="AC13" s="4">
        <f t="shared" si="5"/>
        <v>0</v>
      </c>
      <c r="AD13" s="4">
        <f t="shared" si="5"/>
        <v>0</v>
      </c>
      <c r="AE13" s="4">
        <f t="shared" si="5"/>
        <v>0</v>
      </c>
      <c r="AF13" s="4">
        <f t="shared" si="5"/>
        <v>0</v>
      </c>
    </row>
    <row r="14" spans="1:32">
      <c r="A14" s="780"/>
      <c r="B14" s="1782">
        <v>5</v>
      </c>
      <c r="C14" s="1779" t="s">
        <v>376</v>
      </c>
      <c r="D14" s="1942"/>
      <c r="E14" s="1943"/>
      <c r="F14" s="1943"/>
      <c r="G14" s="1943"/>
      <c r="H14" s="1943"/>
      <c r="I14" s="107"/>
      <c r="J14" s="325"/>
      <c r="AA14" s="3275">
        <f t="shared" si="1"/>
        <v>5</v>
      </c>
      <c r="AB14" s="4">
        <f t="shared" si="5"/>
        <v>0</v>
      </c>
      <c r="AC14" s="4">
        <f t="shared" si="5"/>
        <v>0</v>
      </c>
      <c r="AD14" s="4">
        <f t="shared" si="5"/>
        <v>0</v>
      </c>
      <c r="AE14" s="4">
        <f t="shared" si="5"/>
        <v>0</v>
      </c>
      <c r="AF14" s="4">
        <f t="shared" si="5"/>
        <v>0</v>
      </c>
    </row>
    <row r="15" spans="1:32">
      <c r="A15" s="780"/>
      <c r="B15" s="786">
        <v>6</v>
      </c>
      <c r="C15" s="787" t="s">
        <v>329</v>
      </c>
      <c r="D15" s="1942"/>
      <c r="E15" s="1943"/>
      <c r="F15" s="1943"/>
      <c r="G15" s="1943"/>
      <c r="H15" s="1943"/>
      <c r="I15" s="107"/>
      <c r="J15" s="325"/>
      <c r="AA15" s="3275">
        <f t="shared" si="1"/>
        <v>6</v>
      </c>
      <c r="AB15" s="4">
        <f t="shared" si="2"/>
        <v>0</v>
      </c>
      <c r="AC15" s="4">
        <f>ROUND(E15,0)</f>
        <v>0</v>
      </c>
      <c r="AD15" s="4">
        <f>ROUND(F15,0)</f>
        <v>0</v>
      </c>
      <c r="AE15" s="4">
        <f>ROUND(G15,0)</f>
        <v>0</v>
      </c>
      <c r="AF15" s="4">
        <f>ROUND(H15,0)</f>
        <v>0</v>
      </c>
    </row>
    <row r="16" spans="1:32">
      <c r="A16" s="780"/>
      <c r="B16" s="1782">
        <v>7</v>
      </c>
      <c r="C16" s="1779" t="s">
        <v>330</v>
      </c>
      <c r="D16" s="1942"/>
      <c r="E16" s="1943"/>
      <c r="F16" s="1943"/>
      <c r="G16" s="1943"/>
      <c r="H16" s="1943"/>
      <c r="I16" s="2246" t="str">
        <f>IF(SUM(D16:H16)&gt;0,"Check Form 1116, Foreign Tax Credit","")</f>
        <v/>
      </c>
      <c r="J16" s="325"/>
      <c r="AA16" s="3275">
        <f t="shared" si="1"/>
        <v>7</v>
      </c>
      <c r="AB16" s="4">
        <f>ROUND(D16,2)</f>
        <v>0</v>
      </c>
      <c r="AC16" s="4">
        <f>ROUND(E16,2)</f>
        <v>0</v>
      </c>
      <c r="AD16" s="4">
        <f>ROUND(F16,2)</f>
        <v>0</v>
      </c>
      <c r="AE16" s="4">
        <f>ROUND(G16,2)</f>
        <v>0</v>
      </c>
      <c r="AF16" s="4">
        <f>ROUND(H16,2)</f>
        <v>0</v>
      </c>
    </row>
    <row r="17" spans="1:32">
      <c r="A17" s="780"/>
      <c r="B17" s="786">
        <v>8</v>
      </c>
      <c r="C17" s="787" t="s">
        <v>331</v>
      </c>
      <c r="D17" s="1942"/>
      <c r="E17" s="1943"/>
      <c r="F17" s="1943"/>
      <c r="G17" s="1943"/>
      <c r="H17" s="1943"/>
      <c r="I17" s="107"/>
      <c r="J17" s="325"/>
      <c r="AA17" s="3275">
        <f t="shared" si="1"/>
        <v>8</v>
      </c>
      <c r="AB17" s="4"/>
      <c r="AC17" s="4"/>
      <c r="AD17" s="4"/>
      <c r="AE17" s="4"/>
      <c r="AF17" s="4"/>
    </row>
    <row r="18" spans="1:32">
      <c r="A18" s="780"/>
      <c r="B18" s="786">
        <v>9</v>
      </c>
      <c r="C18" s="787" t="s">
        <v>377</v>
      </c>
      <c r="D18" s="1942"/>
      <c r="E18" s="1943"/>
      <c r="F18" s="1943"/>
      <c r="G18" s="1943"/>
      <c r="H18" s="1943"/>
      <c r="I18" s="107"/>
      <c r="J18" s="325"/>
      <c r="AA18" s="3275">
        <f t="shared" si="1"/>
        <v>9</v>
      </c>
      <c r="AB18" s="4">
        <f t="shared" ref="AB18:AF19" si="6">ROUND(D18,0)</f>
        <v>0</v>
      </c>
      <c r="AC18" s="4">
        <f t="shared" si="6"/>
        <v>0</v>
      </c>
      <c r="AD18" s="4">
        <f t="shared" si="6"/>
        <v>0</v>
      </c>
      <c r="AE18" s="4">
        <f t="shared" si="6"/>
        <v>0</v>
      </c>
      <c r="AF18" s="4">
        <f t="shared" si="6"/>
        <v>0</v>
      </c>
    </row>
    <row r="19" spans="1:32">
      <c r="A19" s="780"/>
      <c r="B19" s="786">
        <v>10</v>
      </c>
      <c r="C19" s="787" t="s">
        <v>378</v>
      </c>
      <c r="D19" s="1942"/>
      <c r="E19" s="1943"/>
      <c r="F19" s="1943"/>
      <c r="G19" s="1943"/>
      <c r="H19" s="1943"/>
      <c r="I19" s="107"/>
      <c r="J19" s="325"/>
      <c r="AA19" s="3275">
        <f t="shared" si="1"/>
        <v>10</v>
      </c>
      <c r="AB19" s="4">
        <f t="shared" si="6"/>
        <v>0</v>
      </c>
      <c r="AC19" s="4">
        <f t="shared" si="6"/>
        <v>0</v>
      </c>
      <c r="AD19" s="4">
        <f t="shared" si="6"/>
        <v>0</v>
      </c>
      <c r="AE19" s="4">
        <f t="shared" si="6"/>
        <v>0</v>
      </c>
      <c r="AF19" s="4">
        <f t="shared" si="6"/>
        <v>0</v>
      </c>
    </row>
    <row r="20" spans="1:32">
      <c r="A20" s="780"/>
      <c r="B20" s="786">
        <v>11</v>
      </c>
      <c r="C20" s="787" t="s">
        <v>379</v>
      </c>
      <c r="D20" s="1942"/>
      <c r="E20" s="1943"/>
      <c r="F20" s="1943"/>
      <c r="G20" s="1943"/>
      <c r="H20" s="1943"/>
      <c r="I20" s="107"/>
      <c r="J20" s="325"/>
      <c r="AA20" s="3275">
        <f t="shared" si="1"/>
        <v>11</v>
      </c>
      <c r="AB20" s="4">
        <f t="shared" ref="AB20:AF22" si="7">ROUND(D20,2)</f>
        <v>0</v>
      </c>
      <c r="AC20" s="4">
        <f t="shared" si="7"/>
        <v>0</v>
      </c>
      <c r="AD20" s="4">
        <f t="shared" si="7"/>
        <v>0</v>
      </c>
      <c r="AE20" s="4">
        <f t="shared" si="7"/>
        <v>0</v>
      </c>
      <c r="AF20" s="4">
        <f t="shared" si="7"/>
        <v>0</v>
      </c>
    </row>
    <row r="21" spans="1:32">
      <c r="A21" s="780"/>
      <c r="B21" s="1782">
        <v>12</v>
      </c>
      <c r="C21" s="1779" t="s">
        <v>380</v>
      </c>
      <c r="D21" s="1942"/>
      <c r="E21" s="1943"/>
      <c r="F21" s="1943"/>
      <c r="G21" s="1943"/>
      <c r="H21" s="1943"/>
      <c r="I21" s="107"/>
      <c r="J21" s="325"/>
      <c r="AA21" s="3275">
        <f t="shared" si="1"/>
        <v>12</v>
      </c>
      <c r="AB21" s="4">
        <f t="shared" si="7"/>
        <v>0</v>
      </c>
      <c r="AC21" s="4">
        <f t="shared" si="7"/>
        <v>0</v>
      </c>
      <c r="AD21" s="4">
        <f t="shared" si="7"/>
        <v>0</v>
      </c>
      <c r="AE21" s="4">
        <f t="shared" si="7"/>
        <v>0</v>
      </c>
      <c r="AF21" s="4">
        <f t="shared" si="7"/>
        <v>0</v>
      </c>
    </row>
    <row r="22" spans="1:32">
      <c r="A22" s="780"/>
      <c r="B22" s="1782">
        <v>13</v>
      </c>
      <c r="C22" s="1779" t="s">
        <v>381</v>
      </c>
      <c r="D22" s="1942"/>
      <c r="E22" s="1943"/>
      <c r="F22" s="1943"/>
      <c r="G22" s="1943"/>
      <c r="H22" s="1943"/>
      <c r="I22" s="107"/>
      <c r="J22" s="325"/>
      <c r="AA22" s="3275">
        <f t="shared" si="1"/>
        <v>13</v>
      </c>
      <c r="AB22" s="4">
        <f t="shared" si="7"/>
        <v>0</v>
      </c>
      <c r="AC22" s="4">
        <f t="shared" si="7"/>
        <v>0</v>
      </c>
      <c r="AD22" s="4">
        <f t="shared" si="7"/>
        <v>0</v>
      </c>
      <c r="AE22" s="4">
        <f t="shared" si="7"/>
        <v>0</v>
      </c>
      <c r="AF22" s="4">
        <f t="shared" si="7"/>
        <v>0</v>
      </c>
    </row>
    <row r="23" spans="1:32">
      <c r="A23" s="780"/>
      <c r="B23" s="786">
        <v>14</v>
      </c>
      <c r="C23" s="787" t="s">
        <v>339</v>
      </c>
      <c r="D23" s="1928"/>
      <c r="E23" s="1929"/>
      <c r="F23" s="1929"/>
      <c r="G23" s="1929"/>
      <c r="H23" s="1929"/>
      <c r="I23" s="107"/>
      <c r="J23" s="325"/>
      <c r="AA23" s="3275">
        <f t="shared" si="1"/>
        <v>14</v>
      </c>
      <c r="AB23" s="4"/>
      <c r="AC23" s="4"/>
      <c r="AD23" s="4"/>
      <c r="AE23" s="4"/>
      <c r="AF23" s="4"/>
    </row>
    <row r="24" spans="1:32">
      <c r="A24" s="780"/>
      <c r="B24" s="786">
        <v>15</v>
      </c>
      <c r="C24" s="787" t="s">
        <v>340</v>
      </c>
      <c r="D24" s="1930"/>
      <c r="E24" s="1931"/>
      <c r="F24" s="1931"/>
      <c r="G24" s="1931"/>
      <c r="H24" s="1931"/>
      <c r="I24" s="107"/>
      <c r="J24" s="325"/>
      <c r="AA24" s="3275">
        <f t="shared" si="1"/>
        <v>15</v>
      </c>
      <c r="AB24" s="4"/>
      <c r="AC24" s="4"/>
      <c r="AD24" s="4"/>
      <c r="AE24" s="4"/>
      <c r="AF24" s="4"/>
    </row>
    <row r="25" spans="1:32" ht="13.5" thickBot="1">
      <c r="A25" s="780"/>
      <c r="B25" s="2655">
        <v>16</v>
      </c>
      <c r="C25" s="1787" t="s">
        <v>341</v>
      </c>
      <c r="D25" s="1952"/>
      <c r="E25" s="1953"/>
      <c r="F25" s="1953"/>
      <c r="G25" s="1953"/>
      <c r="H25" s="1953"/>
      <c r="I25" s="107"/>
      <c r="J25" s="325"/>
      <c r="AA25" s="3275">
        <f t="shared" si="1"/>
        <v>16</v>
      </c>
      <c r="AB25" s="4">
        <f>ROUND(D25,2)</f>
        <v>0</v>
      </c>
      <c r="AC25" s="4">
        <f>ROUND(E25,2)</f>
        <v>0</v>
      </c>
      <c r="AD25" s="4">
        <f>ROUND(F25,2)</f>
        <v>0</v>
      </c>
      <c r="AE25" s="4">
        <f>ROUND(G25,2)</f>
        <v>0</v>
      </c>
      <c r="AF25" s="4">
        <f>ROUND(H25,2)</f>
        <v>0</v>
      </c>
    </row>
    <row r="26" spans="1:32" ht="17.25" customHeight="1" thickBot="1">
      <c r="A26" s="780"/>
      <c r="B26" s="1906" t="s">
        <v>342</v>
      </c>
      <c r="C26" s="780"/>
      <c r="D26" s="1745" t="b">
        <f>D7&gt;D6</f>
        <v>0</v>
      </c>
      <c r="E26" s="1745" t="b">
        <f>E7&gt;E6</f>
        <v>0</v>
      </c>
      <c r="F26" s="1745" t="b">
        <f>F7&gt;F6</f>
        <v>0</v>
      </c>
      <c r="G26" s="1745" t="b">
        <f>G7&gt;G6</f>
        <v>0</v>
      </c>
      <c r="H26" s="1745" t="b">
        <f>H7&gt;H6</f>
        <v>0</v>
      </c>
      <c r="I26" s="3396" t="b">
        <f>OR(D26:H26)</f>
        <v>0</v>
      </c>
      <c r="J26" s="325"/>
    </row>
    <row r="27" spans="1:32" s="1958" customFormat="1" hidden="1">
      <c r="D27" s="1958" t="str">
        <f>IF(D3&lt;&gt;"",D3,"")</f>
        <v/>
      </c>
      <c r="E27" s="1958" t="str">
        <f>IF(E3&lt;&gt;"",E3,"")</f>
        <v/>
      </c>
      <c r="F27" s="1958" t="str">
        <f>IF(F3&lt;&gt;"",F3,"")</f>
        <v/>
      </c>
      <c r="G27" s="1958" t="str">
        <f>IF(G3&lt;&gt;"",G3,"")</f>
        <v/>
      </c>
      <c r="H27" s="1958" t="str">
        <f>IF(H3&lt;&gt;"",H3,"")</f>
        <v/>
      </c>
      <c r="I27" s="107"/>
      <c r="J27" s="325"/>
      <c r="K27" s="4695"/>
      <c r="L27" s="2227"/>
      <c r="M27" s="2227"/>
      <c r="N27" s="2227"/>
      <c r="O27" s="2227"/>
      <c r="P27" s="2227"/>
      <c r="Q27" s="2227"/>
      <c r="R27" s="2227"/>
      <c r="S27" s="2227"/>
      <c r="T27" s="2227"/>
      <c r="U27" s="2227"/>
      <c r="V27" s="2227"/>
      <c r="W27" s="2227"/>
      <c r="X27" s="2227"/>
      <c r="Y27" s="2227"/>
      <c r="AA27" s="5273"/>
    </row>
    <row r="28" spans="1:32" s="1958" customFormat="1" hidden="1">
      <c r="D28" s="1958" t="str">
        <f>IF(D4&lt;&gt;"", " - "&amp;D4,"")</f>
        <v/>
      </c>
      <c r="E28" s="1958" t="str">
        <f>IF(E4&lt;&gt;"", " - "&amp;E4,"")</f>
        <v/>
      </c>
      <c r="F28" s="1958" t="str">
        <f>IF(F4&lt;&gt;"", " - "&amp;F4,"")</f>
        <v/>
      </c>
      <c r="G28" s="1958" t="str">
        <f>IF(G4&lt;&gt;"", " - "&amp;G4,"")</f>
        <v/>
      </c>
      <c r="H28" s="1958" t="str">
        <f>IF(H4&lt;&gt;"", " - "&amp;H4,"")</f>
        <v/>
      </c>
      <c r="I28" s="107"/>
      <c r="J28" s="325"/>
      <c r="K28" s="4695"/>
      <c r="L28" s="2227"/>
      <c r="M28" s="2227"/>
      <c r="N28" s="2227"/>
      <c r="O28" s="2227"/>
      <c r="P28" s="2227"/>
      <c r="Q28" s="2227"/>
      <c r="R28" s="2227"/>
      <c r="S28" s="2227"/>
      <c r="T28" s="2227"/>
      <c r="U28" s="2227"/>
      <c r="V28" s="2227"/>
      <c r="W28" s="2227"/>
      <c r="X28" s="2227"/>
      <c r="Y28" s="2227"/>
      <c r="AA28" s="5273"/>
    </row>
    <row r="29" spans="1:32" s="1958" customFormat="1" hidden="1">
      <c r="D29" s="1958" t="str">
        <f>IF(D5&lt;&gt;""," - "&amp;D5,"")</f>
        <v/>
      </c>
      <c r="E29" s="1958" t="str">
        <f>IF(E5&lt;&gt;""," - "&amp;E5,"")</f>
        <v/>
      </c>
      <c r="F29" s="1958" t="str">
        <f>IF(F5&lt;&gt;""," - "&amp;F5,"")</f>
        <v/>
      </c>
      <c r="G29" s="1958" t="str">
        <f>IF(G5&lt;&gt;""," - "&amp;G5,"")</f>
        <v/>
      </c>
      <c r="H29" s="1958" t="str">
        <f>IF(H5&lt;&gt;""," - "&amp;H5,"")</f>
        <v/>
      </c>
      <c r="I29" s="107"/>
      <c r="J29" s="325"/>
      <c r="K29" s="4695"/>
      <c r="L29" s="2227"/>
      <c r="M29" s="2227"/>
      <c r="N29" s="2227"/>
      <c r="O29" s="2227"/>
      <c r="P29" s="2227"/>
      <c r="Q29" s="2227"/>
      <c r="R29" s="2227"/>
      <c r="S29" s="2227"/>
      <c r="T29" s="2227"/>
      <c r="U29" s="2227"/>
      <c r="V29" s="2227"/>
      <c r="W29" s="2227"/>
      <c r="X29" s="2227"/>
      <c r="Y29" s="2227"/>
      <c r="AA29" s="5273"/>
    </row>
    <row r="30" spans="1:32" s="1958" customFormat="1" ht="13.5" hidden="1" thickBot="1">
      <c r="D30" s="2228" t="str">
        <f>IF(D6="","",D27&amp;D28&amp;D29)</f>
        <v/>
      </c>
      <c r="E30" s="2228" t="str">
        <f>IF(E6="","",E27&amp;E28&amp;E29)</f>
        <v/>
      </c>
      <c r="F30" s="2228" t="str">
        <f>IF(F6="","",F27&amp;F28&amp;F29)</f>
        <v/>
      </c>
      <c r="G30" s="2228" t="str">
        <f>IF(G6="","",G27&amp;G28&amp;G29)</f>
        <v/>
      </c>
      <c r="H30" s="2228" t="str">
        <f>IF(H6="","",H27&amp;H28&amp;H29)</f>
        <v/>
      </c>
      <c r="I30" s="107"/>
      <c r="J30" s="325"/>
      <c r="K30" s="4695"/>
      <c r="L30" s="2227"/>
      <c r="M30" s="2227"/>
      <c r="N30" s="2227"/>
      <c r="O30" s="2227"/>
      <c r="P30" s="2227"/>
      <c r="Q30" s="2227"/>
      <c r="R30" s="2227"/>
      <c r="S30" s="2227"/>
      <c r="T30" s="2227"/>
      <c r="U30" s="2227"/>
      <c r="V30" s="2227"/>
      <c r="W30" s="2227"/>
      <c r="X30" s="2227"/>
      <c r="Y30" s="2227"/>
      <c r="AA30" s="5273"/>
    </row>
    <row r="31" spans="1:32" ht="42" customHeight="1" thickTop="1" thickBot="1">
      <c r="A31" s="785"/>
      <c r="B31" s="5395"/>
      <c r="C31" s="1927" t="str">
        <f>IF(Name_1st_Yours="","Enter your name(s) on the"&amp;CHAR(10)&amp;"sheet labeled '1040'",Names)</f>
        <v>Enter your name(s) on the
sheet labeled '1040'</v>
      </c>
      <c r="D31" s="1455" t="s">
        <v>343</v>
      </c>
      <c r="E31" s="1455" t="s">
        <v>344</v>
      </c>
      <c r="F31" s="1455" t="s">
        <v>345</v>
      </c>
      <c r="G31" s="1455" t="s">
        <v>346</v>
      </c>
      <c r="H31" s="1455" t="s">
        <v>347</v>
      </c>
      <c r="I31" s="72"/>
      <c r="J31" s="325"/>
    </row>
    <row r="32" spans="1:32">
      <c r="A32" s="780"/>
      <c r="B32" s="1775"/>
      <c r="C32" s="1783" t="s">
        <v>320</v>
      </c>
      <c r="D32" s="1937"/>
      <c r="E32" s="1938"/>
      <c r="F32" s="1938"/>
      <c r="G32" s="1938"/>
      <c r="H32" s="1938"/>
      <c r="I32" s="107"/>
      <c r="J32" s="325"/>
    </row>
    <row r="33" spans="1:32">
      <c r="A33" s="780"/>
      <c r="B33" s="1776"/>
      <c r="C33" s="1784" t="s">
        <v>321</v>
      </c>
      <c r="D33" s="1966"/>
      <c r="E33" s="1967"/>
      <c r="F33" s="1967"/>
      <c r="G33" s="1967"/>
      <c r="H33" s="1967"/>
      <c r="I33" s="107"/>
      <c r="J33" s="325"/>
    </row>
    <row r="34" spans="1:32" ht="13.5" thickBot="1">
      <c r="A34" s="780"/>
      <c r="B34" s="1777"/>
      <c r="C34" s="1785" t="s">
        <v>322</v>
      </c>
      <c r="D34" s="1969"/>
      <c r="E34" s="1970"/>
      <c r="F34" s="1970"/>
      <c r="G34" s="1970"/>
      <c r="H34" s="1970"/>
      <c r="I34" s="107"/>
      <c r="J34" s="325"/>
    </row>
    <row r="35" spans="1:32" ht="13.5" customHeight="1">
      <c r="A35" s="780"/>
      <c r="B35" s="1781" t="s">
        <v>363</v>
      </c>
      <c r="C35" s="1778" t="s">
        <v>364</v>
      </c>
      <c r="D35" s="1940"/>
      <c r="E35" s="1941"/>
      <c r="F35" s="1941"/>
      <c r="G35" s="1941"/>
      <c r="H35" s="1941"/>
      <c r="I35" s="3395" t="str">
        <f>IF(I55,"Error: All qualified dividends must be included in","")</f>
        <v/>
      </c>
      <c r="J35" s="325"/>
      <c r="AA35" s="3275" t="str">
        <f>B35</f>
        <v>1a</v>
      </c>
      <c r="AB35" s="4">
        <f t="shared" ref="AB35:AF36" si="8">ROUND(D35,2)</f>
        <v>0</v>
      </c>
      <c r="AC35" s="4">
        <f t="shared" si="8"/>
        <v>0</v>
      </c>
      <c r="AD35" s="4">
        <f t="shared" si="8"/>
        <v>0</v>
      </c>
      <c r="AE35" s="4">
        <f t="shared" si="8"/>
        <v>0</v>
      </c>
      <c r="AF35" s="4">
        <f t="shared" si="8"/>
        <v>0</v>
      </c>
    </row>
    <row r="36" spans="1:32" ht="13.5" customHeight="1">
      <c r="A36" s="780"/>
      <c r="B36" s="1782" t="s">
        <v>365</v>
      </c>
      <c r="C36" s="1779" t="s">
        <v>366</v>
      </c>
      <c r="D36" s="1942"/>
      <c r="E36" s="1943"/>
      <c r="F36" s="1943"/>
      <c r="G36" s="1943"/>
      <c r="H36" s="1943"/>
      <c r="I36" s="3395" t="str">
        <f>IF(I55,"the Total ordinary dividend amount.","")</f>
        <v/>
      </c>
      <c r="J36" s="325"/>
      <c r="AA36" s="3275" t="str">
        <f t="shared" ref="AA36:AA54" si="9">B36</f>
        <v>1b</v>
      </c>
      <c r="AB36" s="4">
        <f t="shared" si="8"/>
        <v>0</v>
      </c>
      <c r="AC36" s="4">
        <f t="shared" si="8"/>
        <v>0</v>
      </c>
      <c r="AD36" s="4">
        <f t="shared" si="8"/>
        <v>0</v>
      </c>
      <c r="AE36" s="4">
        <f t="shared" si="8"/>
        <v>0</v>
      </c>
      <c r="AF36" s="4">
        <f t="shared" si="8"/>
        <v>0</v>
      </c>
    </row>
    <row r="37" spans="1:32" ht="13.5" customHeight="1">
      <c r="A37" s="780"/>
      <c r="B37" s="1782" t="s">
        <v>367</v>
      </c>
      <c r="C37" s="1779" t="s">
        <v>368</v>
      </c>
      <c r="D37" s="1942"/>
      <c r="E37" s="1943"/>
      <c r="F37" s="1943"/>
      <c r="G37" s="1943"/>
      <c r="H37" s="1943"/>
      <c r="I37" s="3914"/>
      <c r="J37" s="325"/>
      <c r="AA37" s="3275" t="str">
        <f t="shared" si="9"/>
        <v>2a</v>
      </c>
      <c r="AB37" s="4">
        <f t="shared" ref="AB37:AF38" si="10">ROUND(D37,0)</f>
        <v>0</v>
      </c>
      <c r="AC37" s="4">
        <f t="shared" si="10"/>
        <v>0</v>
      </c>
      <c r="AD37" s="4">
        <f t="shared" si="10"/>
        <v>0</v>
      </c>
      <c r="AE37" s="4">
        <f t="shared" si="10"/>
        <v>0</v>
      </c>
      <c r="AF37" s="4">
        <f t="shared" si="10"/>
        <v>0</v>
      </c>
    </row>
    <row r="38" spans="1:32" ht="13.5" customHeight="1">
      <c r="A38" s="780"/>
      <c r="B38" s="788" t="s">
        <v>369</v>
      </c>
      <c r="C38" s="787" t="s">
        <v>370</v>
      </c>
      <c r="D38" s="1942"/>
      <c r="E38" s="1943"/>
      <c r="F38" s="1943"/>
      <c r="G38" s="1943"/>
      <c r="H38" s="1943"/>
      <c r="I38" s="3914"/>
      <c r="J38" s="325"/>
      <c r="AA38" s="3275" t="str">
        <f t="shared" si="9"/>
        <v>2b</v>
      </c>
      <c r="AB38" s="4">
        <f t="shared" si="10"/>
        <v>0</v>
      </c>
      <c r="AC38" s="4">
        <f t="shared" si="10"/>
        <v>0</v>
      </c>
      <c r="AD38" s="4">
        <f t="shared" si="10"/>
        <v>0</v>
      </c>
      <c r="AE38" s="4">
        <f t="shared" si="10"/>
        <v>0</v>
      </c>
      <c r="AF38" s="4">
        <f t="shared" si="10"/>
        <v>0</v>
      </c>
    </row>
    <row r="39" spans="1:32">
      <c r="A39" s="780"/>
      <c r="B39" s="788" t="s">
        <v>371</v>
      </c>
      <c r="C39" s="1780" t="s">
        <v>372</v>
      </c>
      <c r="D39" s="1942"/>
      <c r="E39" s="1943"/>
      <c r="F39" s="1943"/>
      <c r="G39" s="1943"/>
      <c r="H39" s="1943"/>
      <c r="I39" s="107"/>
      <c r="J39" s="325"/>
      <c r="AA39" s="3275" t="str">
        <f t="shared" si="9"/>
        <v>2c</v>
      </c>
      <c r="AB39" s="4">
        <f t="shared" ref="AB39:AF40" si="11">ROUND(D39,2)</f>
        <v>0</v>
      </c>
      <c r="AC39" s="4">
        <f t="shared" si="11"/>
        <v>0</v>
      </c>
      <c r="AD39" s="4">
        <f t="shared" si="11"/>
        <v>0</v>
      </c>
      <c r="AE39" s="4">
        <f t="shared" si="11"/>
        <v>0</v>
      </c>
      <c r="AF39" s="4">
        <f t="shared" si="11"/>
        <v>0</v>
      </c>
    </row>
    <row r="40" spans="1:32">
      <c r="A40" s="780"/>
      <c r="B40" s="1782" t="s">
        <v>373</v>
      </c>
      <c r="C40" s="1779" t="s">
        <v>374</v>
      </c>
      <c r="D40" s="1942"/>
      <c r="E40" s="1943"/>
      <c r="F40" s="1943"/>
      <c r="G40" s="1943"/>
      <c r="H40" s="1943"/>
      <c r="I40" s="107"/>
      <c r="J40" s="325"/>
      <c r="AA40" s="3275" t="str">
        <f t="shared" si="9"/>
        <v>2d</v>
      </c>
      <c r="AB40" s="4">
        <f t="shared" si="11"/>
        <v>0</v>
      </c>
      <c r="AC40" s="4">
        <f t="shared" si="11"/>
        <v>0</v>
      </c>
      <c r="AD40" s="4">
        <f t="shared" si="11"/>
        <v>0</v>
      </c>
      <c r="AE40" s="4">
        <f t="shared" si="11"/>
        <v>0</v>
      </c>
      <c r="AF40" s="4">
        <f t="shared" si="11"/>
        <v>0</v>
      </c>
    </row>
    <row r="41" spans="1:32">
      <c r="A41" s="780"/>
      <c r="B41" s="786">
        <v>3</v>
      </c>
      <c r="C41" s="787" t="s">
        <v>375</v>
      </c>
      <c r="D41" s="1942"/>
      <c r="E41" s="1943"/>
      <c r="F41" s="1943"/>
      <c r="G41" s="1943"/>
      <c r="H41" s="1943"/>
      <c r="I41" s="107"/>
      <c r="J41" s="325"/>
      <c r="AA41" s="3275">
        <f t="shared" si="9"/>
        <v>3</v>
      </c>
      <c r="AB41" s="4">
        <f>ROUND(D41,0)</f>
        <v>0</v>
      </c>
      <c r="AC41" s="4">
        <f>ROUND(E41,0)</f>
        <v>0</v>
      </c>
      <c r="AD41" s="4">
        <f>ROUND(F41,0)</f>
        <v>0</v>
      </c>
      <c r="AE41" s="4">
        <f>ROUND(G41,0)</f>
        <v>0</v>
      </c>
      <c r="AF41" s="4">
        <f>ROUND(H41,0)</f>
        <v>0</v>
      </c>
    </row>
    <row r="42" spans="1:32">
      <c r="A42" s="780"/>
      <c r="B42" s="1782">
        <v>4</v>
      </c>
      <c r="C42" s="1779" t="s">
        <v>255</v>
      </c>
      <c r="D42" s="1942"/>
      <c r="E42" s="1943"/>
      <c r="F42" s="1943"/>
      <c r="G42" s="1943"/>
      <c r="H42" s="1943"/>
      <c r="I42" s="107"/>
      <c r="J42" s="325"/>
      <c r="AA42" s="3275">
        <f t="shared" si="9"/>
        <v>4</v>
      </c>
      <c r="AB42" s="4">
        <f t="shared" ref="AB42:AF43" si="12">ROUND(D42,2)</f>
        <v>0</v>
      </c>
      <c r="AC42" s="4">
        <f t="shared" si="12"/>
        <v>0</v>
      </c>
      <c r="AD42" s="4">
        <f t="shared" si="12"/>
        <v>0</v>
      </c>
      <c r="AE42" s="4">
        <f t="shared" si="12"/>
        <v>0</v>
      </c>
      <c r="AF42" s="4">
        <f t="shared" si="12"/>
        <v>0</v>
      </c>
    </row>
    <row r="43" spans="1:32">
      <c r="A43" s="780"/>
      <c r="B43" s="1782">
        <v>5</v>
      </c>
      <c r="C43" s="1779" t="s">
        <v>376</v>
      </c>
      <c r="D43" s="1942"/>
      <c r="E43" s="1943"/>
      <c r="F43" s="1943"/>
      <c r="G43" s="1943"/>
      <c r="H43" s="1943"/>
      <c r="I43" s="107"/>
      <c r="J43" s="325"/>
      <c r="AA43" s="3275">
        <f t="shared" si="9"/>
        <v>5</v>
      </c>
      <c r="AB43" s="4">
        <f t="shared" si="12"/>
        <v>0</v>
      </c>
      <c r="AC43" s="4">
        <f t="shared" si="12"/>
        <v>0</v>
      </c>
      <c r="AD43" s="4">
        <f t="shared" si="12"/>
        <v>0</v>
      </c>
      <c r="AE43" s="4">
        <f t="shared" si="12"/>
        <v>0</v>
      </c>
      <c r="AF43" s="4">
        <f t="shared" si="12"/>
        <v>0</v>
      </c>
    </row>
    <row r="44" spans="1:32">
      <c r="A44" s="780"/>
      <c r="B44" s="786">
        <v>6</v>
      </c>
      <c r="C44" s="787" t="s">
        <v>329</v>
      </c>
      <c r="D44" s="1942"/>
      <c r="E44" s="1943"/>
      <c r="F44" s="1943"/>
      <c r="G44" s="1943"/>
      <c r="H44" s="1943"/>
      <c r="I44" s="107"/>
      <c r="J44" s="325"/>
      <c r="AA44" s="3275">
        <f t="shared" si="9"/>
        <v>6</v>
      </c>
      <c r="AB44" s="4">
        <f>ROUND(D44,0)</f>
        <v>0</v>
      </c>
      <c r="AC44" s="4">
        <f>ROUND(E44,0)</f>
        <v>0</v>
      </c>
      <c r="AD44" s="4">
        <f>ROUND(F44,0)</f>
        <v>0</v>
      </c>
      <c r="AE44" s="4">
        <f>ROUND(G44,0)</f>
        <v>0</v>
      </c>
      <c r="AF44" s="4">
        <f>ROUND(H44,0)</f>
        <v>0</v>
      </c>
    </row>
    <row r="45" spans="1:32">
      <c r="A45" s="780"/>
      <c r="B45" s="1782">
        <v>7</v>
      </c>
      <c r="C45" s="1779" t="s">
        <v>330</v>
      </c>
      <c r="D45" s="1942"/>
      <c r="E45" s="1943"/>
      <c r="F45" s="1943"/>
      <c r="G45" s="1943"/>
      <c r="H45" s="1943"/>
      <c r="I45" s="2246" t="str">
        <f>IF(SUM(D45:H45)&gt;0,"Check Form 1116, Foreign Tax Credit","")</f>
        <v/>
      </c>
      <c r="J45" s="325"/>
      <c r="AA45" s="3275">
        <f t="shared" si="9"/>
        <v>7</v>
      </c>
      <c r="AB45" s="4">
        <f>ROUND(D45,2)</f>
        <v>0</v>
      </c>
      <c r="AC45" s="4">
        <f>ROUND(E45,2)</f>
        <v>0</v>
      </c>
      <c r="AD45" s="4">
        <f>ROUND(F45,2)</f>
        <v>0</v>
      </c>
      <c r="AE45" s="4">
        <f>ROUND(G45,2)</f>
        <v>0</v>
      </c>
      <c r="AF45" s="4">
        <f>ROUND(H45,2)</f>
        <v>0</v>
      </c>
    </row>
    <row r="46" spans="1:32">
      <c r="A46" s="780"/>
      <c r="B46" s="786">
        <v>8</v>
      </c>
      <c r="C46" s="787" t="s">
        <v>331</v>
      </c>
      <c r="D46" s="1942"/>
      <c r="E46" s="1943"/>
      <c r="F46" s="1943"/>
      <c r="G46" s="1943"/>
      <c r="H46" s="1943"/>
      <c r="I46" s="107"/>
      <c r="J46" s="325"/>
      <c r="AA46" s="3275">
        <f t="shared" si="9"/>
        <v>8</v>
      </c>
      <c r="AB46" s="4"/>
      <c r="AC46" s="4"/>
      <c r="AD46" s="4"/>
      <c r="AE46" s="4"/>
      <c r="AF46" s="4"/>
    </row>
    <row r="47" spans="1:32">
      <c r="A47" s="780"/>
      <c r="B47" s="786">
        <v>9</v>
      </c>
      <c r="C47" s="787" t="s">
        <v>377</v>
      </c>
      <c r="D47" s="1942"/>
      <c r="E47" s="1943"/>
      <c r="F47" s="1943"/>
      <c r="G47" s="1943"/>
      <c r="H47" s="1943"/>
      <c r="I47" s="107"/>
      <c r="J47" s="325"/>
      <c r="AA47" s="3275">
        <f t="shared" si="9"/>
        <v>9</v>
      </c>
      <c r="AB47" s="4">
        <f t="shared" ref="AB47:AF48" si="13">ROUND(D47,0)</f>
        <v>0</v>
      </c>
      <c r="AC47" s="4">
        <f t="shared" si="13"/>
        <v>0</v>
      </c>
      <c r="AD47" s="4">
        <f t="shared" si="13"/>
        <v>0</v>
      </c>
      <c r="AE47" s="4">
        <f t="shared" si="13"/>
        <v>0</v>
      </c>
      <c r="AF47" s="4">
        <f t="shared" si="13"/>
        <v>0</v>
      </c>
    </row>
    <row r="48" spans="1:32">
      <c r="A48" s="780"/>
      <c r="B48" s="786">
        <v>10</v>
      </c>
      <c r="C48" s="787" t="s">
        <v>378</v>
      </c>
      <c r="D48" s="1942"/>
      <c r="E48" s="1943"/>
      <c r="F48" s="1943"/>
      <c r="G48" s="1943"/>
      <c r="H48" s="1943"/>
      <c r="I48" s="107"/>
      <c r="J48" s="325"/>
      <c r="AA48" s="3275">
        <f t="shared" si="9"/>
        <v>10</v>
      </c>
      <c r="AB48" s="4">
        <f t="shared" si="13"/>
        <v>0</v>
      </c>
      <c r="AC48" s="4">
        <f t="shared" si="13"/>
        <v>0</v>
      </c>
      <c r="AD48" s="4">
        <f t="shared" si="13"/>
        <v>0</v>
      </c>
      <c r="AE48" s="4">
        <f t="shared" si="13"/>
        <v>0</v>
      </c>
      <c r="AF48" s="4">
        <f t="shared" si="13"/>
        <v>0</v>
      </c>
    </row>
    <row r="49" spans="1:32">
      <c r="A49" s="780"/>
      <c r="B49" s="786">
        <v>11</v>
      </c>
      <c r="C49" s="787" t="s">
        <v>379</v>
      </c>
      <c r="D49" s="1942"/>
      <c r="E49" s="1943"/>
      <c r="F49" s="1943"/>
      <c r="G49" s="1943"/>
      <c r="H49" s="1943"/>
      <c r="I49" s="107"/>
      <c r="J49" s="325"/>
      <c r="AA49" s="3275">
        <f t="shared" si="9"/>
        <v>11</v>
      </c>
      <c r="AB49" s="4">
        <f t="shared" ref="AB49:AF51" si="14">ROUND(D49,2)</f>
        <v>0</v>
      </c>
      <c r="AC49" s="4">
        <f t="shared" si="14"/>
        <v>0</v>
      </c>
      <c r="AD49" s="4">
        <f t="shared" si="14"/>
        <v>0</v>
      </c>
      <c r="AE49" s="4">
        <f t="shared" si="14"/>
        <v>0</v>
      </c>
      <c r="AF49" s="4">
        <f t="shared" si="14"/>
        <v>0</v>
      </c>
    </row>
    <row r="50" spans="1:32">
      <c r="A50" s="780"/>
      <c r="B50" s="1782">
        <v>12</v>
      </c>
      <c r="C50" s="1779" t="s">
        <v>380</v>
      </c>
      <c r="D50" s="1942"/>
      <c r="E50" s="1943"/>
      <c r="F50" s="1943"/>
      <c r="G50" s="1943"/>
      <c r="H50" s="1943"/>
      <c r="I50" s="107"/>
      <c r="J50" s="325"/>
      <c r="AA50" s="3275">
        <f t="shared" si="9"/>
        <v>12</v>
      </c>
      <c r="AB50" s="4">
        <f t="shared" si="14"/>
        <v>0</v>
      </c>
      <c r="AC50" s="4">
        <f t="shared" si="14"/>
        <v>0</v>
      </c>
      <c r="AD50" s="4">
        <f t="shared" si="14"/>
        <v>0</v>
      </c>
      <c r="AE50" s="4">
        <f t="shared" si="14"/>
        <v>0</v>
      </c>
      <c r="AF50" s="4">
        <f t="shared" si="14"/>
        <v>0</v>
      </c>
    </row>
    <row r="51" spans="1:32">
      <c r="A51" s="780"/>
      <c r="B51" s="1782">
        <v>13</v>
      </c>
      <c r="C51" s="1779" t="s">
        <v>381</v>
      </c>
      <c r="D51" s="1942"/>
      <c r="E51" s="1943"/>
      <c r="F51" s="1943"/>
      <c r="G51" s="1943"/>
      <c r="H51" s="1943"/>
      <c r="I51" s="107"/>
      <c r="J51" s="325"/>
      <c r="AA51" s="3275">
        <f t="shared" si="9"/>
        <v>13</v>
      </c>
      <c r="AB51" s="4">
        <f t="shared" si="14"/>
        <v>0</v>
      </c>
      <c r="AC51" s="4">
        <f t="shared" si="14"/>
        <v>0</v>
      </c>
      <c r="AD51" s="4">
        <f t="shared" si="14"/>
        <v>0</v>
      </c>
      <c r="AE51" s="4">
        <f t="shared" si="14"/>
        <v>0</v>
      </c>
      <c r="AF51" s="4">
        <f t="shared" si="14"/>
        <v>0</v>
      </c>
    </row>
    <row r="52" spans="1:32">
      <c r="A52" s="780"/>
      <c r="B52" s="786">
        <v>14</v>
      </c>
      <c r="C52" s="787" t="s">
        <v>339</v>
      </c>
      <c r="D52" s="1928"/>
      <c r="E52" s="1929"/>
      <c r="F52" s="1929"/>
      <c r="G52" s="1929"/>
      <c r="H52" s="1929"/>
      <c r="I52" s="107"/>
      <c r="J52" s="325"/>
      <c r="AA52" s="3275">
        <f t="shared" si="9"/>
        <v>14</v>
      </c>
      <c r="AB52" s="4"/>
      <c r="AC52" s="4"/>
      <c r="AD52" s="4"/>
      <c r="AE52" s="4"/>
      <c r="AF52" s="4"/>
    </row>
    <row r="53" spans="1:32">
      <c r="A53" s="780"/>
      <c r="B53" s="786">
        <v>15</v>
      </c>
      <c r="C53" s="787" t="s">
        <v>340</v>
      </c>
      <c r="D53" s="1930"/>
      <c r="E53" s="1931"/>
      <c r="F53" s="1931"/>
      <c r="G53" s="1931"/>
      <c r="H53" s="1931"/>
      <c r="I53" s="107"/>
      <c r="J53" s="325"/>
      <c r="AA53" s="3275">
        <f t="shared" si="9"/>
        <v>15</v>
      </c>
      <c r="AB53" s="4"/>
      <c r="AC53" s="4"/>
      <c r="AD53" s="4"/>
      <c r="AE53" s="4"/>
      <c r="AF53" s="4"/>
    </row>
    <row r="54" spans="1:32" ht="13.5" thickBot="1">
      <c r="A54" s="780"/>
      <c r="B54" s="2655">
        <v>16</v>
      </c>
      <c r="C54" s="1787" t="s">
        <v>341</v>
      </c>
      <c r="D54" s="1952"/>
      <c r="E54" s="1953"/>
      <c r="F54" s="1953"/>
      <c r="G54" s="1953"/>
      <c r="H54" s="1953"/>
      <c r="I54" s="107"/>
      <c r="J54" s="325"/>
      <c r="AA54" s="3275">
        <f t="shared" si="9"/>
        <v>16</v>
      </c>
      <c r="AB54" s="4">
        <f>ROUND(D54,2)</f>
        <v>0</v>
      </c>
      <c r="AC54" s="4">
        <f>ROUND(E54,2)</f>
        <v>0</v>
      </c>
      <c r="AD54" s="4">
        <f>ROUND(F54,2)</f>
        <v>0</v>
      </c>
      <c r="AE54" s="4">
        <f>ROUND(G54,2)</f>
        <v>0</v>
      </c>
      <c r="AF54" s="4">
        <f>ROUND(H54,2)</f>
        <v>0</v>
      </c>
    </row>
    <row r="55" spans="1:32" ht="17.25" customHeight="1" thickBot="1">
      <c r="A55" s="780"/>
      <c r="B55" s="1906" t="s">
        <v>342</v>
      </c>
      <c r="C55" s="780"/>
      <c r="D55" s="1745" t="b">
        <f>D36&gt;D35</f>
        <v>0</v>
      </c>
      <c r="E55" s="1745" t="b">
        <f>E36&gt;E35</f>
        <v>0</v>
      </c>
      <c r="F55" s="1745" t="b">
        <f>F36&gt;F35</f>
        <v>0</v>
      </c>
      <c r="G55" s="1745" t="b">
        <f>G36&gt;G35</f>
        <v>0</v>
      </c>
      <c r="H55" s="1745" t="b">
        <f>H36&gt;H35</f>
        <v>0</v>
      </c>
      <c r="I55" s="3396" t="b">
        <f>OR(D55:H55)</f>
        <v>0</v>
      </c>
      <c r="J55" s="325"/>
    </row>
    <row r="56" spans="1:32" s="1958" customFormat="1" hidden="1">
      <c r="D56" s="1958" t="str">
        <f>IF(D32&lt;&gt;"",D32,"")</f>
        <v/>
      </c>
      <c r="E56" s="1958" t="str">
        <f>IF(E32&lt;&gt;"",E32,"")</f>
        <v/>
      </c>
      <c r="F56" s="1958" t="str">
        <f>IF(F32&lt;&gt;"",F32,"")</f>
        <v/>
      </c>
      <c r="G56" s="1958" t="str">
        <f>IF(G32&lt;&gt;"",G32,"")</f>
        <v/>
      </c>
      <c r="H56" s="1958" t="str">
        <f>IF(H32&lt;&gt;"",H32,"")</f>
        <v/>
      </c>
      <c r="I56" s="107"/>
      <c r="J56" s="325"/>
      <c r="K56" s="4695"/>
      <c r="L56" s="2227"/>
      <c r="M56" s="2227"/>
      <c r="N56" s="2227"/>
      <c r="O56" s="2227"/>
      <c r="P56" s="2227"/>
      <c r="Q56" s="2227"/>
      <c r="R56" s="2227"/>
      <c r="S56" s="2227"/>
      <c r="T56" s="2227"/>
      <c r="U56" s="2227"/>
      <c r="V56" s="2227"/>
      <c r="W56" s="2227"/>
      <c r="X56" s="2227"/>
      <c r="Y56" s="2227"/>
      <c r="AA56" s="5273"/>
    </row>
    <row r="57" spans="1:32" s="1958" customFormat="1" hidden="1">
      <c r="D57" s="1958" t="str">
        <f>IF(D33&lt;&gt;"", " - "&amp;D33,"")</f>
        <v/>
      </c>
      <c r="E57" s="1958" t="str">
        <f>IF(E33&lt;&gt;"", " - "&amp;E33,"")</f>
        <v/>
      </c>
      <c r="F57" s="1958" t="str">
        <f>IF(F33&lt;&gt;"", " - "&amp;F33,"")</f>
        <v/>
      </c>
      <c r="G57" s="1958" t="str">
        <f>IF(G33&lt;&gt;"", " - "&amp;G33,"")</f>
        <v/>
      </c>
      <c r="H57" s="1958" t="str">
        <f>IF(H33&lt;&gt;"", " - "&amp;H33,"")</f>
        <v/>
      </c>
      <c r="I57" s="107"/>
      <c r="J57" s="325"/>
      <c r="K57" s="4695"/>
      <c r="L57" s="2227"/>
      <c r="M57" s="2227"/>
      <c r="N57" s="2227"/>
      <c r="O57" s="2227"/>
      <c r="P57" s="2227"/>
      <c r="Q57" s="2227"/>
      <c r="R57" s="2227"/>
      <c r="S57" s="2227"/>
      <c r="T57" s="2227"/>
      <c r="U57" s="2227"/>
      <c r="V57" s="2227"/>
      <c r="W57" s="2227"/>
      <c r="X57" s="2227"/>
      <c r="Y57" s="2227"/>
      <c r="AA57" s="5273"/>
    </row>
    <row r="58" spans="1:32" s="1958" customFormat="1" hidden="1">
      <c r="D58" s="1958" t="str">
        <f>IF(D34&lt;&gt;""," - "&amp;D34,"")</f>
        <v/>
      </c>
      <c r="E58" s="1958" t="str">
        <f>IF(E34&lt;&gt;""," - "&amp;E34,"")</f>
        <v/>
      </c>
      <c r="F58" s="1958" t="str">
        <f>IF(F34&lt;&gt;""," - "&amp;F34,"")</f>
        <v/>
      </c>
      <c r="G58" s="1958" t="str">
        <f>IF(G34&lt;&gt;""," - "&amp;G34,"")</f>
        <v/>
      </c>
      <c r="H58" s="1958" t="str">
        <f>IF(H34&lt;&gt;""," - "&amp;H34,"")</f>
        <v/>
      </c>
      <c r="I58" s="107"/>
      <c r="J58" s="325"/>
      <c r="K58" s="4695"/>
      <c r="L58" s="2227"/>
      <c r="M58" s="2227"/>
      <c r="N58" s="2227"/>
      <c r="O58" s="2227"/>
      <c r="P58" s="2227"/>
      <c r="Q58" s="2227"/>
      <c r="R58" s="2227"/>
      <c r="S58" s="2227"/>
      <c r="T58" s="2227"/>
      <c r="U58" s="2227"/>
      <c r="V58" s="2227"/>
      <c r="W58" s="2227"/>
      <c r="X58" s="2227"/>
      <c r="Y58" s="2227"/>
      <c r="AA58" s="5273"/>
    </row>
    <row r="59" spans="1:32" s="1958" customFormat="1" ht="13.5" hidden="1" thickBot="1">
      <c r="D59" s="2228" t="str">
        <f>IF(D35="","",D56&amp;D57&amp;D58)</f>
        <v/>
      </c>
      <c r="E59" s="2228" t="str">
        <f>IF(E35="","",E56&amp;E57&amp;E58)</f>
        <v/>
      </c>
      <c r="F59" s="2228" t="str">
        <f>IF(F35="","",F56&amp;F57&amp;F58)</f>
        <v/>
      </c>
      <c r="G59" s="2228" t="str">
        <f>IF(G35="","",G56&amp;G57&amp;G58)</f>
        <v/>
      </c>
      <c r="H59" s="2228" t="str">
        <f>IF(H35="","",H56&amp;H57&amp;H58)</f>
        <v/>
      </c>
      <c r="I59" s="107"/>
      <c r="J59" s="325"/>
      <c r="K59" s="4695"/>
      <c r="L59" s="2227"/>
      <c r="M59" s="2227"/>
      <c r="N59" s="2227"/>
      <c r="O59" s="2227"/>
      <c r="P59" s="2227"/>
      <c r="Q59" s="2227"/>
      <c r="R59" s="2227"/>
      <c r="S59" s="2227"/>
      <c r="T59" s="2227"/>
      <c r="U59" s="2227"/>
      <c r="V59" s="2227"/>
      <c r="W59" s="2227"/>
      <c r="X59" s="2227"/>
      <c r="Y59" s="2227"/>
      <c r="AA59" s="5273"/>
    </row>
    <row r="60" spans="1:32" ht="42" customHeight="1" thickTop="1" thickBot="1">
      <c r="A60" s="785"/>
      <c r="B60" s="5395"/>
      <c r="C60" s="1927" t="str">
        <f>IF(Name_1st_Yours="","Enter your name(s) on the"&amp;CHAR(10)&amp;"sheet labeled '1040'",Names)</f>
        <v>Enter your name(s) on the
sheet labeled '1040'</v>
      </c>
      <c r="D60" s="1455" t="s">
        <v>348</v>
      </c>
      <c r="E60" s="1455" t="s">
        <v>349</v>
      </c>
      <c r="F60" s="1455" t="s">
        <v>350</v>
      </c>
      <c r="G60" s="1455" t="s">
        <v>351</v>
      </c>
      <c r="H60" s="1455" t="s">
        <v>352</v>
      </c>
      <c r="I60" s="72"/>
      <c r="J60" s="325"/>
    </row>
    <row r="61" spans="1:32">
      <c r="A61" s="780"/>
      <c r="B61" s="1775"/>
      <c r="C61" s="1783" t="s">
        <v>320</v>
      </c>
      <c r="D61" s="1937"/>
      <c r="E61" s="1938"/>
      <c r="F61" s="1938"/>
      <c r="G61" s="1937"/>
      <c r="H61" s="1938"/>
      <c r="I61" s="107"/>
      <c r="J61" s="325"/>
    </row>
    <row r="62" spans="1:32">
      <c r="A62" s="780"/>
      <c r="B62" s="1776"/>
      <c r="C62" s="1784" t="s">
        <v>321</v>
      </c>
      <c r="D62" s="1966"/>
      <c r="E62" s="1967"/>
      <c r="F62" s="1967"/>
      <c r="G62" s="1967"/>
      <c r="H62" s="1967"/>
      <c r="I62" s="107"/>
      <c r="J62" s="325"/>
    </row>
    <row r="63" spans="1:32" ht="13.5" thickBot="1">
      <c r="A63" s="780"/>
      <c r="B63" s="1777"/>
      <c r="C63" s="1785" t="s">
        <v>322</v>
      </c>
      <c r="D63" s="1969"/>
      <c r="E63" s="1970"/>
      <c r="F63" s="1970"/>
      <c r="G63" s="1970"/>
      <c r="H63" s="1970"/>
      <c r="I63" s="107"/>
      <c r="J63" s="325"/>
    </row>
    <row r="64" spans="1:32" ht="13.5" customHeight="1">
      <c r="A64" s="780"/>
      <c r="B64" s="1781" t="s">
        <v>363</v>
      </c>
      <c r="C64" s="1778" t="s">
        <v>364</v>
      </c>
      <c r="D64" s="1940"/>
      <c r="E64" s="1941"/>
      <c r="F64" s="1941"/>
      <c r="G64" s="1941"/>
      <c r="H64" s="1941"/>
      <c r="I64" s="3395" t="str">
        <f>IF(I84,"Error: All qualified dividends must be included in","")</f>
        <v/>
      </c>
      <c r="J64" s="325"/>
      <c r="AA64" s="3275" t="str">
        <f t="shared" ref="AA64:AA83" si="15">B64</f>
        <v>1a</v>
      </c>
      <c r="AB64" s="4">
        <f t="shared" ref="AB64:AF65" si="16">ROUND(D64,2)</f>
        <v>0</v>
      </c>
      <c r="AC64" s="4">
        <f t="shared" si="16"/>
        <v>0</v>
      </c>
      <c r="AD64" s="4">
        <f t="shared" si="16"/>
        <v>0</v>
      </c>
      <c r="AE64" s="4">
        <f t="shared" si="16"/>
        <v>0</v>
      </c>
      <c r="AF64" s="4">
        <f t="shared" si="16"/>
        <v>0</v>
      </c>
    </row>
    <row r="65" spans="1:32" ht="13.5" customHeight="1">
      <c r="A65" s="780"/>
      <c r="B65" s="1782" t="s">
        <v>365</v>
      </c>
      <c r="C65" s="1779" t="s">
        <v>366</v>
      </c>
      <c r="D65" s="1942"/>
      <c r="E65" s="1943"/>
      <c r="F65" s="1943"/>
      <c r="G65" s="1943"/>
      <c r="H65" s="1943"/>
      <c r="I65" s="3395" t="str">
        <f>IF(I84,"the Total ordinary dividend amount.","")</f>
        <v/>
      </c>
      <c r="J65" s="325"/>
      <c r="AA65" s="3275" t="str">
        <f t="shared" si="15"/>
        <v>1b</v>
      </c>
      <c r="AB65" s="4">
        <f t="shared" si="16"/>
        <v>0</v>
      </c>
      <c r="AC65" s="4">
        <f t="shared" si="16"/>
        <v>0</v>
      </c>
      <c r="AD65" s="4">
        <f t="shared" si="16"/>
        <v>0</v>
      </c>
      <c r="AE65" s="4">
        <f t="shared" si="16"/>
        <v>0</v>
      </c>
      <c r="AF65" s="4">
        <f t="shared" si="16"/>
        <v>0</v>
      </c>
    </row>
    <row r="66" spans="1:32" ht="13.5" customHeight="1">
      <c r="A66" s="780"/>
      <c r="B66" s="1782" t="s">
        <v>367</v>
      </c>
      <c r="C66" s="1779" t="s">
        <v>368</v>
      </c>
      <c r="D66" s="1942"/>
      <c r="E66" s="1943"/>
      <c r="F66" s="1943"/>
      <c r="G66" s="1943"/>
      <c r="H66" s="1943"/>
      <c r="I66" s="3914"/>
      <c r="J66" s="325"/>
      <c r="AA66" s="3275" t="str">
        <f t="shared" si="15"/>
        <v>2a</v>
      </c>
      <c r="AB66" s="4">
        <f t="shared" ref="AB66:AF67" si="17">ROUND(D66,0)</f>
        <v>0</v>
      </c>
      <c r="AC66" s="4">
        <f t="shared" si="17"/>
        <v>0</v>
      </c>
      <c r="AD66" s="4">
        <f t="shared" si="17"/>
        <v>0</v>
      </c>
      <c r="AE66" s="4">
        <f t="shared" si="17"/>
        <v>0</v>
      </c>
      <c r="AF66" s="4">
        <f t="shared" si="17"/>
        <v>0</v>
      </c>
    </row>
    <row r="67" spans="1:32" ht="13.5" customHeight="1">
      <c r="A67" s="780"/>
      <c r="B67" s="788" t="s">
        <v>369</v>
      </c>
      <c r="C67" s="787" t="s">
        <v>370</v>
      </c>
      <c r="D67" s="1942"/>
      <c r="E67" s="1943"/>
      <c r="F67" s="1943"/>
      <c r="G67" s="1943"/>
      <c r="H67" s="1943"/>
      <c r="I67" s="3914"/>
      <c r="J67" s="325"/>
      <c r="AA67" s="3275" t="str">
        <f t="shared" si="15"/>
        <v>2b</v>
      </c>
      <c r="AB67" s="4">
        <f t="shared" si="17"/>
        <v>0</v>
      </c>
      <c r="AC67" s="4">
        <f t="shared" si="17"/>
        <v>0</v>
      </c>
      <c r="AD67" s="4">
        <f t="shared" si="17"/>
        <v>0</v>
      </c>
      <c r="AE67" s="4">
        <f t="shared" si="17"/>
        <v>0</v>
      </c>
      <c r="AF67" s="4">
        <f t="shared" si="17"/>
        <v>0</v>
      </c>
    </row>
    <row r="68" spans="1:32">
      <c r="A68" s="780"/>
      <c r="B68" s="788" t="s">
        <v>371</v>
      </c>
      <c r="C68" s="1780" t="s">
        <v>372</v>
      </c>
      <c r="D68" s="1942"/>
      <c r="E68" s="1943"/>
      <c r="F68" s="1943"/>
      <c r="G68" s="1943"/>
      <c r="H68" s="1943"/>
      <c r="I68" s="107"/>
      <c r="J68" s="325"/>
      <c r="AA68" s="3275" t="str">
        <f t="shared" si="15"/>
        <v>2c</v>
      </c>
      <c r="AB68" s="4">
        <f t="shared" ref="AB68:AF69" si="18">ROUND(D68,2)</f>
        <v>0</v>
      </c>
      <c r="AC68" s="4">
        <f t="shared" si="18"/>
        <v>0</v>
      </c>
      <c r="AD68" s="4">
        <f t="shared" si="18"/>
        <v>0</v>
      </c>
      <c r="AE68" s="4">
        <f t="shared" si="18"/>
        <v>0</v>
      </c>
      <c r="AF68" s="4">
        <f t="shared" si="18"/>
        <v>0</v>
      </c>
    </row>
    <row r="69" spans="1:32">
      <c r="A69" s="780"/>
      <c r="B69" s="1782" t="s">
        <v>373</v>
      </c>
      <c r="C69" s="1779" t="s">
        <v>374</v>
      </c>
      <c r="D69" s="1942"/>
      <c r="E69" s="1943"/>
      <c r="F69" s="1943"/>
      <c r="G69" s="1943"/>
      <c r="H69" s="1943"/>
      <c r="I69" s="107"/>
      <c r="J69" s="325"/>
      <c r="AA69" s="3275" t="str">
        <f t="shared" si="15"/>
        <v>2d</v>
      </c>
      <c r="AB69" s="4">
        <f t="shared" si="18"/>
        <v>0</v>
      </c>
      <c r="AC69" s="4">
        <f t="shared" si="18"/>
        <v>0</v>
      </c>
      <c r="AD69" s="4">
        <f t="shared" si="18"/>
        <v>0</v>
      </c>
      <c r="AE69" s="4">
        <f t="shared" si="18"/>
        <v>0</v>
      </c>
      <c r="AF69" s="4">
        <f t="shared" si="18"/>
        <v>0</v>
      </c>
    </row>
    <row r="70" spans="1:32">
      <c r="A70" s="780"/>
      <c r="B70" s="786">
        <v>3</v>
      </c>
      <c r="C70" s="787" t="s">
        <v>375</v>
      </c>
      <c r="D70" s="1942"/>
      <c r="E70" s="1943"/>
      <c r="F70" s="1943"/>
      <c r="G70" s="1943"/>
      <c r="H70" s="1943"/>
      <c r="I70" s="107"/>
      <c r="J70" s="325"/>
      <c r="AA70" s="3275">
        <f t="shared" si="15"/>
        <v>3</v>
      </c>
      <c r="AB70" s="4">
        <f>ROUND(D70,0)</f>
        <v>0</v>
      </c>
      <c r="AC70" s="4">
        <f>ROUND(E70,0)</f>
        <v>0</v>
      </c>
      <c r="AD70" s="4">
        <f>ROUND(F70,0)</f>
        <v>0</v>
      </c>
      <c r="AE70" s="4">
        <f>ROUND(G70,0)</f>
        <v>0</v>
      </c>
      <c r="AF70" s="4">
        <f>ROUND(H70,0)</f>
        <v>0</v>
      </c>
    </row>
    <row r="71" spans="1:32">
      <c r="A71" s="780"/>
      <c r="B71" s="1782">
        <v>4</v>
      </c>
      <c r="C71" s="1779" t="s">
        <v>255</v>
      </c>
      <c r="D71" s="1942"/>
      <c r="E71" s="1943"/>
      <c r="F71" s="1943"/>
      <c r="G71" s="1943"/>
      <c r="H71" s="1943"/>
      <c r="I71" s="107"/>
      <c r="J71" s="325"/>
      <c r="AA71" s="3275">
        <f t="shared" si="15"/>
        <v>4</v>
      </c>
      <c r="AB71" s="4">
        <f t="shared" ref="AB71:AF72" si="19">ROUND(D71,2)</f>
        <v>0</v>
      </c>
      <c r="AC71" s="4">
        <f t="shared" si="19"/>
        <v>0</v>
      </c>
      <c r="AD71" s="4">
        <f t="shared" si="19"/>
        <v>0</v>
      </c>
      <c r="AE71" s="4">
        <f t="shared" si="19"/>
        <v>0</v>
      </c>
      <c r="AF71" s="4">
        <f t="shared" si="19"/>
        <v>0</v>
      </c>
    </row>
    <row r="72" spans="1:32">
      <c r="A72" s="780"/>
      <c r="B72" s="1782">
        <v>5</v>
      </c>
      <c r="C72" s="1779" t="s">
        <v>376</v>
      </c>
      <c r="D72" s="1942"/>
      <c r="E72" s="1943"/>
      <c r="F72" s="1943"/>
      <c r="G72" s="1943"/>
      <c r="H72" s="1943"/>
      <c r="I72" s="107"/>
      <c r="J72" s="325"/>
      <c r="AA72" s="3275">
        <f t="shared" si="15"/>
        <v>5</v>
      </c>
      <c r="AB72" s="4">
        <f t="shared" si="19"/>
        <v>0</v>
      </c>
      <c r="AC72" s="4">
        <f t="shared" si="19"/>
        <v>0</v>
      </c>
      <c r="AD72" s="4">
        <f t="shared" si="19"/>
        <v>0</v>
      </c>
      <c r="AE72" s="4">
        <f t="shared" si="19"/>
        <v>0</v>
      </c>
      <c r="AF72" s="4">
        <f t="shared" si="19"/>
        <v>0</v>
      </c>
    </row>
    <row r="73" spans="1:32">
      <c r="A73" s="780"/>
      <c r="B73" s="786">
        <v>6</v>
      </c>
      <c r="C73" s="787" t="s">
        <v>329</v>
      </c>
      <c r="D73" s="1942"/>
      <c r="E73" s="1943"/>
      <c r="F73" s="1943"/>
      <c r="G73" s="1943"/>
      <c r="H73" s="1943"/>
      <c r="I73" s="107"/>
      <c r="J73" s="325"/>
      <c r="AA73" s="3275">
        <f t="shared" si="15"/>
        <v>6</v>
      </c>
      <c r="AB73" s="4">
        <f>ROUND(D73,0)</f>
        <v>0</v>
      </c>
      <c r="AC73" s="4">
        <f>ROUND(E73,0)</f>
        <v>0</v>
      </c>
      <c r="AD73" s="4">
        <f>ROUND(F73,0)</f>
        <v>0</v>
      </c>
      <c r="AE73" s="4">
        <f>ROUND(G73,0)</f>
        <v>0</v>
      </c>
      <c r="AF73" s="4">
        <f>ROUND(H73,0)</f>
        <v>0</v>
      </c>
    </row>
    <row r="74" spans="1:32">
      <c r="A74" s="780"/>
      <c r="B74" s="1782">
        <v>7</v>
      </c>
      <c r="C74" s="1779" t="s">
        <v>330</v>
      </c>
      <c r="D74" s="1942"/>
      <c r="E74" s="1943"/>
      <c r="F74" s="1943"/>
      <c r="G74" s="1943"/>
      <c r="H74" s="1943"/>
      <c r="I74" s="2246" t="str">
        <f>IF(SUM(D74:H74)&gt;0,"Check Form 1116, Foreign Tax Credit","")</f>
        <v/>
      </c>
      <c r="J74" s="325"/>
      <c r="AA74" s="3275">
        <f t="shared" si="15"/>
        <v>7</v>
      </c>
      <c r="AB74" s="4">
        <f>ROUND(D74,2)</f>
        <v>0</v>
      </c>
      <c r="AC74" s="4">
        <f>ROUND(E74,2)</f>
        <v>0</v>
      </c>
      <c r="AD74" s="4">
        <f>ROUND(F74,2)</f>
        <v>0</v>
      </c>
      <c r="AE74" s="4">
        <f>ROUND(G74,2)</f>
        <v>0</v>
      </c>
      <c r="AF74" s="4">
        <f>ROUND(H74,2)</f>
        <v>0</v>
      </c>
    </row>
    <row r="75" spans="1:32">
      <c r="A75" s="780"/>
      <c r="B75" s="786">
        <v>8</v>
      </c>
      <c r="C75" s="787" t="s">
        <v>331</v>
      </c>
      <c r="D75" s="1942"/>
      <c r="E75" s="1943"/>
      <c r="F75" s="1943"/>
      <c r="G75" s="1943"/>
      <c r="H75" s="1943"/>
      <c r="I75" s="107"/>
      <c r="J75" s="325"/>
      <c r="AA75" s="3275">
        <f t="shared" si="15"/>
        <v>8</v>
      </c>
      <c r="AB75" s="4"/>
      <c r="AC75" s="4"/>
      <c r="AD75" s="4"/>
      <c r="AE75" s="4"/>
      <c r="AF75" s="4"/>
    </row>
    <row r="76" spans="1:32">
      <c r="A76" s="780"/>
      <c r="B76" s="786">
        <v>9</v>
      </c>
      <c r="C76" s="787" t="s">
        <v>377</v>
      </c>
      <c r="D76" s="1942"/>
      <c r="E76" s="1943"/>
      <c r="F76" s="1943"/>
      <c r="G76" s="1943"/>
      <c r="H76" s="1943"/>
      <c r="I76" s="107"/>
      <c r="J76" s="325"/>
      <c r="AA76" s="3275">
        <f t="shared" si="15"/>
        <v>9</v>
      </c>
      <c r="AB76" s="4">
        <f t="shared" ref="AB76:AF77" si="20">ROUND(D76,0)</f>
        <v>0</v>
      </c>
      <c r="AC76" s="4">
        <f t="shared" si="20"/>
        <v>0</v>
      </c>
      <c r="AD76" s="4">
        <f t="shared" si="20"/>
        <v>0</v>
      </c>
      <c r="AE76" s="4">
        <f t="shared" si="20"/>
        <v>0</v>
      </c>
      <c r="AF76" s="4">
        <f t="shared" si="20"/>
        <v>0</v>
      </c>
    </row>
    <row r="77" spans="1:32">
      <c r="A77" s="780"/>
      <c r="B77" s="786">
        <v>10</v>
      </c>
      <c r="C77" s="787" t="s">
        <v>378</v>
      </c>
      <c r="D77" s="1942"/>
      <c r="E77" s="1943"/>
      <c r="F77" s="1943"/>
      <c r="G77" s="1943"/>
      <c r="H77" s="1943"/>
      <c r="I77" s="107"/>
      <c r="J77" s="325"/>
      <c r="AA77" s="3275">
        <f t="shared" si="15"/>
        <v>10</v>
      </c>
      <c r="AB77" s="4">
        <f t="shared" si="20"/>
        <v>0</v>
      </c>
      <c r="AC77" s="4">
        <f t="shared" si="20"/>
        <v>0</v>
      </c>
      <c r="AD77" s="4">
        <f t="shared" si="20"/>
        <v>0</v>
      </c>
      <c r="AE77" s="4">
        <f t="shared" si="20"/>
        <v>0</v>
      </c>
      <c r="AF77" s="4">
        <f t="shared" si="20"/>
        <v>0</v>
      </c>
    </row>
    <row r="78" spans="1:32">
      <c r="A78" s="780"/>
      <c r="B78" s="786">
        <v>11</v>
      </c>
      <c r="C78" s="787" t="s">
        <v>379</v>
      </c>
      <c r="D78" s="1942"/>
      <c r="E78" s="1943"/>
      <c r="F78" s="1943"/>
      <c r="G78" s="1943"/>
      <c r="H78" s="1943"/>
      <c r="I78" s="107"/>
      <c r="J78" s="325"/>
      <c r="Z78" s="2036"/>
      <c r="AA78" s="3275">
        <f t="shared" si="15"/>
        <v>11</v>
      </c>
      <c r="AB78" s="4">
        <f t="shared" ref="AB78:AF80" si="21">ROUND(D78,2)</f>
        <v>0</v>
      </c>
      <c r="AC78" s="4">
        <f t="shared" si="21"/>
        <v>0</v>
      </c>
      <c r="AD78" s="4">
        <f t="shared" si="21"/>
        <v>0</v>
      </c>
      <c r="AE78" s="4">
        <f t="shared" si="21"/>
        <v>0</v>
      </c>
      <c r="AF78" s="4">
        <f t="shared" si="21"/>
        <v>0</v>
      </c>
    </row>
    <row r="79" spans="1:32">
      <c r="A79" s="780"/>
      <c r="B79" s="1782">
        <v>12</v>
      </c>
      <c r="C79" s="1779" t="s">
        <v>380</v>
      </c>
      <c r="D79" s="1942"/>
      <c r="E79" s="1943"/>
      <c r="F79" s="1943"/>
      <c r="G79" s="1943"/>
      <c r="H79" s="1943"/>
      <c r="I79" s="107"/>
      <c r="J79" s="325"/>
      <c r="AA79" s="3275">
        <f t="shared" si="15"/>
        <v>12</v>
      </c>
      <c r="AB79" s="4">
        <f t="shared" si="21"/>
        <v>0</v>
      </c>
      <c r="AC79" s="4">
        <f t="shared" si="21"/>
        <v>0</v>
      </c>
      <c r="AD79" s="4">
        <f t="shared" si="21"/>
        <v>0</v>
      </c>
      <c r="AE79" s="4">
        <f t="shared" si="21"/>
        <v>0</v>
      </c>
      <c r="AF79" s="4">
        <f t="shared" si="21"/>
        <v>0</v>
      </c>
    </row>
    <row r="80" spans="1:32">
      <c r="A80" s="780"/>
      <c r="B80" s="1782">
        <v>13</v>
      </c>
      <c r="C80" s="1779" t="s">
        <v>381</v>
      </c>
      <c r="D80" s="1942"/>
      <c r="E80" s="1943"/>
      <c r="F80" s="1943"/>
      <c r="G80" s="1943"/>
      <c r="H80" s="1943"/>
      <c r="I80" s="107"/>
      <c r="J80" s="325"/>
      <c r="AA80" s="3275">
        <f t="shared" si="15"/>
        <v>13</v>
      </c>
      <c r="AB80" s="4">
        <f t="shared" si="21"/>
        <v>0</v>
      </c>
      <c r="AC80" s="4">
        <f t="shared" si="21"/>
        <v>0</v>
      </c>
      <c r="AD80" s="4">
        <f t="shared" si="21"/>
        <v>0</v>
      </c>
      <c r="AE80" s="4">
        <f t="shared" si="21"/>
        <v>0</v>
      </c>
      <c r="AF80" s="4">
        <f t="shared" si="21"/>
        <v>0</v>
      </c>
    </row>
    <row r="81" spans="1:32">
      <c r="A81" s="780"/>
      <c r="B81" s="786">
        <v>14</v>
      </c>
      <c r="C81" s="787" t="s">
        <v>339</v>
      </c>
      <c r="D81" s="1928"/>
      <c r="E81" s="1929"/>
      <c r="F81" s="1929"/>
      <c r="G81" s="1929"/>
      <c r="H81" s="1929"/>
      <c r="I81" s="107"/>
      <c r="J81" s="325"/>
      <c r="AA81" s="3275">
        <f t="shared" si="15"/>
        <v>14</v>
      </c>
      <c r="AB81" s="4"/>
      <c r="AC81" s="4"/>
      <c r="AD81" s="4"/>
      <c r="AE81" s="4"/>
      <c r="AF81" s="4"/>
    </row>
    <row r="82" spans="1:32">
      <c r="A82" s="780"/>
      <c r="B82" s="786">
        <v>15</v>
      </c>
      <c r="C82" s="787" t="s">
        <v>340</v>
      </c>
      <c r="D82" s="1930"/>
      <c r="E82" s="1931"/>
      <c r="F82" s="1931"/>
      <c r="G82" s="1931"/>
      <c r="H82" s="1931"/>
      <c r="I82" s="107"/>
      <c r="J82" s="325"/>
      <c r="AA82" s="3275">
        <f t="shared" si="15"/>
        <v>15</v>
      </c>
      <c r="AB82" s="4"/>
      <c r="AC82" s="4"/>
      <c r="AD82" s="4"/>
      <c r="AE82" s="4"/>
      <c r="AF82" s="4"/>
    </row>
    <row r="83" spans="1:32" ht="13.5" thickBot="1">
      <c r="A83" s="780"/>
      <c r="B83" s="2655">
        <v>16</v>
      </c>
      <c r="C83" s="1787" t="s">
        <v>341</v>
      </c>
      <c r="D83" s="1952"/>
      <c r="E83" s="1953"/>
      <c r="F83" s="1953"/>
      <c r="G83" s="1953"/>
      <c r="H83" s="1953"/>
      <c r="I83" s="107"/>
      <c r="J83" s="325"/>
      <c r="AA83" s="3275">
        <f t="shared" si="15"/>
        <v>16</v>
      </c>
      <c r="AB83" s="4">
        <f>ROUND(D83,2)</f>
        <v>0</v>
      </c>
      <c r="AC83" s="4">
        <f>ROUND(E83,2)</f>
        <v>0</v>
      </c>
      <c r="AD83" s="4">
        <f>ROUND(F83,2)</f>
        <v>0</v>
      </c>
      <c r="AE83" s="4">
        <f>ROUND(G83,2)</f>
        <v>0</v>
      </c>
      <c r="AF83" s="4">
        <f>ROUND(H83,2)</f>
        <v>0</v>
      </c>
    </row>
    <row r="84" spans="1:32" ht="17.25" customHeight="1" thickBot="1">
      <c r="A84" s="780"/>
      <c r="B84" s="1906" t="s">
        <v>342</v>
      </c>
      <c r="C84" s="780"/>
      <c r="D84" s="1745" t="b">
        <f>D65&gt;D64</f>
        <v>0</v>
      </c>
      <c r="E84" s="1745" t="b">
        <f>E65&gt;E64</f>
        <v>0</v>
      </c>
      <c r="F84" s="1745" t="b">
        <f>F65&gt;F64</f>
        <v>0</v>
      </c>
      <c r="G84" s="1745" t="b">
        <f>G65&gt;G64</f>
        <v>0</v>
      </c>
      <c r="H84" s="1745" t="b">
        <f>H65&gt;H64</f>
        <v>0</v>
      </c>
      <c r="I84" s="3396" t="b">
        <f>OR(D84:H84)</f>
        <v>0</v>
      </c>
      <c r="J84" s="325"/>
    </row>
    <row r="85" spans="1:32" s="1958" customFormat="1" hidden="1">
      <c r="D85" s="1958" t="str">
        <f>IF(D61&lt;&gt;"",D61,"")</f>
        <v/>
      </c>
      <c r="E85" s="1958" t="str">
        <f>IF(E61&lt;&gt;"",E61,"")</f>
        <v/>
      </c>
      <c r="F85" s="1958" t="str">
        <f>IF(F61&lt;&gt;"",F61,"")</f>
        <v/>
      </c>
      <c r="G85" s="1958" t="str">
        <f>IF(G61&lt;&gt;"",G61,"")</f>
        <v/>
      </c>
      <c r="H85" s="1958" t="str">
        <f>IF(H61&lt;&gt;"",H61,"")</f>
        <v/>
      </c>
      <c r="I85" s="107"/>
      <c r="K85" s="4695"/>
      <c r="L85" s="2227"/>
      <c r="M85" s="2227"/>
      <c r="N85" s="2227"/>
      <c r="O85" s="2227"/>
      <c r="P85" s="2227"/>
      <c r="Q85" s="2227"/>
      <c r="R85" s="2227"/>
      <c r="S85" s="2227"/>
      <c r="T85" s="2227"/>
      <c r="U85" s="2227"/>
      <c r="V85" s="2227"/>
      <c r="W85" s="2227"/>
      <c r="X85" s="2227"/>
      <c r="Y85" s="2227"/>
      <c r="AA85" s="5273"/>
    </row>
    <row r="86" spans="1:32" s="1958" customFormat="1" hidden="1">
      <c r="D86" s="1958" t="str">
        <f>IF(D62&lt;&gt;"", " - "&amp;D62,"")</f>
        <v/>
      </c>
      <c r="E86" s="1958" t="str">
        <f>IF(E62&lt;&gt;"", " - "&amp;E62,"")</f>
        <v/>
      </c>
      <c r="F86" s="1958" t="str">
        <f>IF(F62&lt;&gt;"", " - "&amp;F62,"")</f>
        <v/>
      </c>
      <c r="G86" s="1958" t="str">
        <f>IF(G62&lt;&gt;"", " - "&amp;G62,"")</f>
        <v/>
      </c>
      <c r="H86" s="1958" t="str">
        <f>IF(H62&lt;&gt;"", " - "&amp;H62,"")</f>
        <v/>
      </c>
      <c r="I86" s="107"/>
      <c r="K86" s="4695"/>
      <c r="L86" s="2227"/>
      <c r="M86" s="2227"/>
      <c r="N86" s="2227"/>
      <c r="O86" s="2227"/>
      <c r="P86" s="2227"/>
      <c r="Q86" s="2227"/>
      <c r="R86" s="2227"/>
      <c r="S86" s="2227"/>
      <c r="T86" s="2227"/>
      <c r="U86" s="2227"/>
      <c r="V86" s="2227"/>
      <c r="W86" s="2227"/>
      <c r="X86" s="2227"/>
      <c r="Y86" s="2227"/>
      <c r="AA86" s="5273"/>
    </row>
    <row r="87" spans="1:32" s="1958" customFormat="1" hidden="1">
      <c r="D87" s="1958" t="str">
        <f>IF(D63&lt;&gt;""," - "&amp;D63,"")</f>
        <v/>
      </c>
      <c r="E87" s="1958" t="str">
        <f>IF(E63&lt;&gt;""," - "&amp;E63,"")</f>
        <v/>
      </c>
      <c r="F87" s="1958" t="str">
        <f>IF(F63&lt;&gt;""," - "&amp;F63,"")</f>
        <v/>
      </c>
      <c r="G87" s="1958" t="str">
        <f>IF(G63&lt;&gt;""," - "&amp;G63,"")</f>
        <v/>
      </c>
      <c r="H87" s="1958" t="str">
        <f>IF(H63&lt;&gt;""," - "&amp;H63,"")</f>
        <v/>
      </c>
      <c r="I87" s="107"/>
      <c r="J87"/>
      <c r="K87" s="4695"/>
      <c r="L87" s="2227"/>
      <c r="M87" s="2227"/>
      <c r="N87" s="2227"/>
      <c r="O87" s="2227"/>
      <c r="P87" s="2227"/>
      <c r="Q87" s="2227"/>
      <c r="R87" s="2227"/>
      <c r="S87" s="2227"/>
      <c r="T87" s="2227"/>
      <c r="U87" s="2227"/>
      <c r="V87" s="2227"/>
      <c r="W87" s="2227"/>
      <c r="X87" s="2227"/>
      <c r="Y87" s="2227"/>
      <c r="AA87" s="5273"/>
    </row>
    <row r="88" spans="1:32" s="1958" customFormat="1" ht="13.5" hidden="1" thickBot="1">
      <c r="D88" s="2228" t="str">
        <f>IF(D64="","",D85&amp;D86&amp;D87)</f>
        <v/>
      </c>
      <c r="E88" s="2228" t="str">
        <f>IF(E64="","",E85&amp;E86&amp;E87)</f>
        <v/>
      </c>
      <c r="F88" s="2228" t="str">
        <f>IF(F64="","",F85&amp;F86&amp;F87)</f>
        <v/>
      </c>
      <c r="G88" s="2228" t="str">
        <f>IF(G64="","",G85&amp;G86&amp;G87)</f>
        <v/>
      </c>
      <c r="H88" s="2228" t="str">
        <f>IF(H64="","",H85&amp;H86&amp;H87)</f>
        <v/>
      </c>
      <c r="I88" s="107"/>
      <c r="J88"/>
      <c r="K88" s="4695"/>
      <c r="L88" s="2227"/>
      <c r="M88" s="2227"/>
      <c r="N88" s="2227"/>
      <c r="O88" s="2227"/>
      <c r="P88" s="2227"/>
      <c r="Q88" s="2227"/>
      <c r="R88" s="2227"/>
      <c r="S88" s="2227"/>
      <c r="T88" s="2227"/>
      <c r="U88" s="2227"/>
      <c r="V88" s="2227"/>
      <c r="W88" s="2227"/>
      <c r="X88" s="2227"/>
      <c r="Y88" s="2227"/>
      <c r="AA88" s="5273"/>
    </row>
    <row r="89" spans="1:32" ht="42" customHeight="1" thickTop="1" thickBot="1">
      <c r="A89" s="785"/>
      <c r="B89" s="5395"/>
      <c r="C89" s="1927" t="str">
        <f>IF(Name_1st_Yours="","Enter your name(s) on the"&amp;CHAR(10)&amp;"sheet labeled '1040'",Names)</f>
        <v>Enter your name(s) on the
sheet labeled '1040'</v>
      </c>
      <c r="D89" s="1455" t="s">
        <v>382</v>
      </c>
      <c r="E89" s="1455" t="s">
        <v>383</v>
      </c>
      <c r="F89" s="1455" t="s">
        <v>384</v>
      </c>
      <c r="G89" s="1455" t="s">
        <v>385</v>
      </c>
      <c r="H89" s="1455" t="s">
        <v>248</v>
      </c>
      <c r="I89" s="72" t="s">
        <v>250</v>
      </c>
      <c r="J89" s="325"/>
    </row>
    <row r="90" spans="1:32">
      <c r="A90" s="780"/>
      <c r="B90" s="1775"/>
      <c r="C90" s="1783" t="s">
        <v>320</v>
      </c>
      <c r="D90" s="1937"/>
      <c r="E90" s="1938"/>
      <c r="F90" s="1938"/>
      <c r="G90" s="1938"/>
      <c r="H90" s="2816"/>
      <c r="I90" s="2247"/>
      <c r="J90" s="780"/>
    </row>
    <row r="91" spans="1:32">
      <c r="A91" s="780"/>
      <c r="B91" s="1776"/>
      <c r="C91" s="1784" t="s">
        <v>321</v>
      </c>
      <c r="D91" s="1966"/>
      <c r="E91" s="1967"/>
      <c r="F91" s="1967"/>
      <c r="G91" s="1967"/>
      <c r="H91" s="3115"/>
      <c r="I91" s="2027"/>
      <c r="J91" s="780"/>
    </row>
    <row r="92" spans="1:32" ht="13.5" thickBot="1">
      <c r="A92" s="780"/>
      <c r="B92" s="1777"/>
      <c r="C92" s="1785" t="s">
        <v>322</v>
      </c>
      <c r="D92" s="1969"/>
      <c r="E92" s="1970"/>
      <c r="F92" s="1970"/>
      <c r="G92" s="1970"/>
      <c r="H92" s="3116"/>
      <c r="I92" s="2027">
        <f>SUM(ForeignTaxPaid_INT,ForeignTaxPaid_DIV)</f>
        <v>0</v>
      </c>
      <c r="J92" s="780"/>
    </row>
    <row r="93" spans="1:32" ht="13.5" customHeight="1">
      <c r="A93" s="780"/>
      <c r="B93" s="1781" t="s">
        <v>363</v>
      </c>
      <c r="C93" s="1778" t="s">
        <v>364</v>
      </c>
      <c r="D93" s="1940"/>
      <c r="E93" s="1941"/>
      <c r="F93" s="1941"/>
      <c r="G93" s="1941"/>
      <c r="H93" s="6221">
        <f>ROUND(SUM(AB6:AF6,AB35:AF35,AB64:AF64,AB93:AE93),2)</f>
        <v>0</v>
      </c>
      <c r="I93" s="1884" t="str">
        <f>IF(I113,"Error: All qualified dividends must be included in","Sch. B, Line 5")</f>
        <v>Sch. B, Line 5</v>
      </c>
      <c r="J93" s="780"/>
      <c r="Z93" s="962"/>
      <c r="AA93" s="3275" t="str">
        <f t="shared" ref="AA93:AA112" si="22">B93</f>
        <v>1a</v>
      </c>
      <c r="AB93" s="4">
        <f t="shared" ref="AB93:AE94" si="23">ROUND(D93,2)</f>
        <v>0</v>
      </c>
      <c r="AC93" s="4">
        <f t="shared" si="23"/>
        <v>0</v>
      </c>
      <c r="AD93" s="4">
        <f t="shared" si="23"/>
        <v>0</v>
      </c>
      <c r="AE93" s="4">
        <f t="shared" si="23"/>
        <v>0</v>
      </c>
      <c r="AF93" s="4"/>
    </row>
    <row r="94" spans="1:32" ht="13.5" customHeight="1">
      <c r="A94" s="780"/>
      <c r="B94" s="1782" t="s">
        <v>365</v>
      </c>
      <c r="C94" s="1779" t="s">
        <v>366</v>
      </c>
      <c r="D94" s="1942"/>
      <c r="E94" s="1943"/>
      <c r="F94" s="1943"/>
      <c r="G94" s="1943"/>
      <c r="H94" s="6222">
        <f>ROUND(SUM(AB7:AF7,AB36:AF36,AB65:AF65,AB94:AE94),0)</f>
        <v>0</v>
      </c>
      <c r="I94" s="1884" t="str">
        <f>IF(I113,"the Total ordinary dividend amount.","Form 1040, Line 3a and 3b")</f>
        <v>Form 1040, Line 3a and 3b</v>
      </c>
      <c r="J94" s="780"/>
      <c r="Z94" s="962"/>
      <c r="AA94" s="3275" t="str">
        <f t="shared" si="22"/>
        <v>1b</v>
      </c>
      <c r="AB94" s="4">
        <f t="shared" si="23"/>
        <v>0</v>
      </c>
      <c r="AC94" s="4">
        <f t="shared" si="23"/>
        <v>0</v>
      </c>
      <c r="AD94" s="4">
        <f t="shared" si="23"/>
        <v>0</v>
      </c>
      <c r="AE94" s="4">
        <f t="shared" si="23"/>
        <v>0</v>
      </c>
      <c r="AF94" s="4"/>
    </row>
    <row r="95" spans="1:32" ht="13.5" customHeight="1">
      <c r="A95" s="780"/>
      <c r="B95" s="1782" t="s">
        <v>367</v>
      </c>
      <c r="C95" s="1779" t="s">
        <v>368</v>
      </c>
      <c r="D95" s="1942"/>
      <c r="E95" s="1943"/>
      <c r="F95" s="1943"/>
      <c r="G95" s="1943"/>
      <c r="H95" s="6222">
        <f t="shared" ref="H95:H103" si="24">SUM(AB8:AF8,AB37:AF37,AB66:AF66,AB95:AE95)</f>
        <v>0</v>
      </c>
      <c r="I95" s="1884" t="s">
        <v>386</v>
      </c>
      <c r="J95" s="780"/>
      <c r="Z95" s="962"/>
      <c r="AA95" s="3275" t="str">
        <f t="shared" si="22"/>
        <v>2a</v>
      </c>
      <c r="AB95" s="4">
        <f t="shared" ref="AB95:AE96" si="25">ROUND(D95,0)</f>
        <v>0</v>
      </c>
      <c r="AC95" s="4">
        <f t="shared" si="25"/>
        <v>0</v>
      </c>
      <c r="AD95" s="4">
        <f t="shared" si="25"/>
        <v>0</v>
      </c>
      <c r="AE95" s="4">
        <f t="shared" si="25"/>
        <v>0</v>
      </c>
      <c r="AF95" s="4"/>
    </row>
    <row r="96" spans="1:32" ht="13.5" customHeight="1">
      <c r="A96" s="780"/>
      <c r="B96" s="786" t="s">
        <v>369</v>
      </c>
      <c r="C96" s="787" t="s">
        <v>370</v>
      </c>
      <c r="D96" s="1942"/>
      <c r="E96" s="1943"/>
      <c r="F96" s="1943"/>
      <c r="G96" s="1943"/>
      <c r="H96" s="4692">
        <f t="shared" si="24"/>
        <v>0</v>
      </c>
      <c r="I96" s="1884"/>
      <c r="J96" s="780"/>
      <c r="AA96" s="3275" t="str">
        <f t="shared" si="22"/>
        <v>2b</v>
      </c>
      <c r="AB96" s="4">
        <f t="shared" si="25"/>
        <v>0</v>
      </c>
      <c r="AC96" s="4">
        <f t="shared" si="25"/>
        <v>0</v>
      </c>
      <c r="AD96" s="4">
        <f t="shared" si="25"/>
        <v>0</v>
      </c>
      <c r="AE96" s="4">
        <f t="shared" si="25"/>
        <v>0</v>
      </c>
      <c r="AF96" s="4"/>
    </row>
    <row r="97" spans="1:32" ht="26.25" customHeight="1">
      <c r="A97" s="780"/>
      <c r="B97" s="788" t="s">
        <v>371</v>
      </c>
      <c r="C97" s="1780" t="s">
        <v>372</v>
      </c>
      <c r="D97" s="1942"/>
      <c r="E97" s="1943"/>
      <c r="F97" s="1943"/>
      <c r="G97" s="1943"/>
      <c r="H97" s="4692">
        <f t="shared" si="24"/>
        <v>0</v>
      </c>
      <c r="I97" s="1659"/>
      <c r="J97" s="780"/>
      <c r="AA97" s="3275" t="str">
        <f t="shared" si="22"/>
        <v>2c</v>
      </c>
      <c r="AB97" s="4">
        <f t="shared" ref="AB97:AE98" si="26">ROUND(D97,2)</f>
        <v>0</v>
      </c>
      <c r="AC97" s="4">
        <f t="shared" si="26"/>
        <v>0</v>
      </c>
      <c r="AD97" s="4">
        <f t="shared" si="26"/>
        <v>0</v>
      </c>
      <c r="AE97" s="4">
        <f t="shared" si="26"/>
        <v>0</v>
      </c>
      <c r="AF97" s="4"/>
    </row>
    <row r="98" spans="1:32">
      <c r="A98" s="780"/>
      <c r="B98" s="1782" t="s">
        <v>373</v>
      </c>
      <c r="C98" s="1779" t="s">
        <v>374</v>
      </c>
      <c r="D98" s="1942"/>
      <c r="E98" s="1943"/>
      <c r="F98" s="1943"/>
      <c r="G98" s="1943"/>
      <c r="H98" s="4694">
        <f t="shared" si="24"/>
        <v>0</v>
      </c>
      <c r="I98" s="1884" t="s">
        <v>387</v>
      </c>
      <c r="J98" s="780"/>
      <c r="Z98" s="962"/>
      <c r="AA98" s="3275" t="str">
        <f t="shared" si="22"/>
        <v>2d</v>
      </c>
      <c r="AB98" s="4">
        <f t="shared" si="26"/>
        <v>0</v>
      </c>
      <c r="AC98" s="4">
        <f t="shared" si="26"/>
        <v>0</v>
      </c>
      <c r="AD98" s="4">
        <f t="shared" si="26"/>
        <v>0</v>
      </c>
      <c r="AE98" s="4">
        <f t="shared" si="26"/>
        <v>0</v>
      </c>
      <c r="AF98" s="4"/>
    </row>
    <row r="99" spans="1:32">
      <c r="A99" s="780"/>
      <c r="B99" s="786">
        <v>3</v>
      </c>
      <c r="C99" s="787" t="s">
        <v>375</v>
      </c>
      <c r="D99" s="1942"/>
      <c r="E99" s="1943"/>
      <c r="F99" s="1943"/>
      <c r="G99" s="1943"/>
      <c r="H99" s="4692">
        <f t="shared" si="24"/>
        <v>0</v>
      </c>
      <c r="I99" s="1884"/>
      <c r="J99" s="780"/>
      <c r="AA99" s="3275">
        <f t="shared" si="22"/>
        <v>3</v>
      </c>
      <c r="AB99" s="4">
        <f>ROUND(D99,0)</f>
        <v>0</v>
      </c>
      <c r="AC99" s="4">
        <f>ROUND(E99,0)</f>
        <v>0</v>
      </c>
      <c r="AD99" s="4">
        <f>ROUND(F99,0)</f>
        <v>0</v>
      </c>
      <c r="AE99" s="4">
        <f>ROUND(G99,0)</f>
        <v>0</v>
      </c>
      <c r="AF99" s="4"/>
    </row>
    <row r="100" spans="1:32">
      <c r="A100" s="780"/>
      <c r="B100" s="1782">
        <v>4</v>
      </c>
      <c r="C100" s="1779" t="s">
        <v>255</v>
      </c>
      <c r="D100" s="1942"/>
      <c r="E100" s="1943"/>
      <c r="F100" s="1943"/>
      <c r="G100" s="1943"/>
      <c r="H100" s="4694">
        <f t="shared" si="24"/>
        <v>0</v>
      </c>
      <c r="I100" s="1884" t="s">
        <v>388</v>
      </c>
      <c r="J100" s="780"/>
      <c r="Z100" s="962"/>
      <c r="AA100" s="3275">
        <f t="shared" si="22"/>
        <v>4</v>
      </c>
      <c r="AB100" s="4">
        <f t="shared" ref="AB100:AE101" si="27">ROUND(D100,2)</f>
        <v>0</v>
      </c>
      <c r="AC100" s="4">
        <f t="shared" si="27"/>
        <v>0</v>
      </c>
      <c r="AD100" s="4">
        <f t="shared" si="27"/>
        <v>0</v>
      </c>
      <c r="AE100" s="4">
        <f t="shared" si="27"/>
        <v>0</v>
      </c>
      <c r="AF100" s="4"/>
    </row>
    <row r="101" spans="1:32">
      <c r="A101" s="780"/>
      <c r="B101" s="1782">
        <v>5</v>
      </c>
      <c r="C101" s="1779" t="s">
        <v>376</v>
      </c>
      <c r="D101" s="1942"/>
      <c r="E101" s="1943"/>
      <c r="F101" s="1943"/>
      <c r="G101" s="1943"/>
      <c r="H101" s="4694">
        <f t="shared" si="24"/>
        <v>0</v>
      </c>
      <c r="I101" s="1884" t="s">
        <v>389</v>
      </c>
      <c r="J101" s="780"/>
      <c r="Z101" s="962"/>
      <c r="AA101" s="3275">
        <f t="shared" si="22"/>
        <v>5</v>
      </c>
      <c r="AB101" s="4">
        <f t="shared" si="27"/>
        <v>0</v>
      </c>
      <c r="AC101" s="4">
        <f t="shared" si="27"/>
        <v>0</v>
      </c>
      <c r="AD101" s="4">
        <f t="shared" si="27"/>
        <v>0</v>
      </c>
      <c r="AE101" s="4">
        <f t="shared" si="27"/>
        <v>0</v>
      </c>
      <c r="AF101" s="4"/>
    </row>
    <row r="102" spans="1:32">
      <c r="A102" s="780"/>
      <c r="B102" s="786">
        <v>6</v>
      </c>
      <c r="C102" s="787" t="s">
        <v>329</v>
      </c>
      <c r="D102" s="1942"/>
      <c r="E102" s="1943"/>
      <c r="F102" s="1943"/>
      <c r="G102" s="1943"/>
      <c r="H102" s="4692">
        <f t="shared" si="24"/>
        <v>0</v>
      </c>
      <c r="I102" s="1884"/>
      <c r="J102" s="780"/>
      <c r="AA102" s="3275">
        <f t="shared" si="22"/>
        <v>6</v>
      </c>
      <c r="AB102" s="4">
        <f>ROUND(D102,0)</f>
        <v>0</v>
      </c>
      <c r="AC102" s="4">
        <f>ROUND(E102,0)</f>
        <v>0</v>
      </c>
      <c r="AD102" s="4">
        <f>ROUND(F102,0)</f>
        <v>0</v>
      </c>
      <c r="AE102" s="4">
        <f>ROUND(G102,0)</f>
        <v>0</v>
      </c>
      <c r="AF102" s="4"/>
    </row>
    <row r="103" spans="1:32">
      <c r="A103" s="780"/>
      <c r="B103" s="1782">
        <v>7</v>
      </c>
      <c r="C103" s="1779" t="s">
        <v>330</v>
      </c>
      <c r="D103" s="1942"/>
      <c r="E103" s="1943"/>
      <c r="F103" s="1943"/>
      <c r="G103" s="1943"/>
      <c r="H103" s="4694">
        <f t="shared" si="24"/>
        <v>0</v>
      </c>
      <c r="I103" s="1885" t="s">
        <v>390</v>
      </c>
      <c r="J103" s="780"/>
      <c r="AA103" s="3275">
        <f t="shared" si="22"/>
        <v>7</v>
      </c>
      <c r="AB103" s="4">
        <f>ROUND(D103,2)</f>
        <v>0</v>
      </c>
      <c r="AC103" s="4">
        <f>ROUND(E103,2)</f>
        <v>0</v>
      </c>
      <c r="AD103" s="4">
        <f>ROUND(F103,2)</f>
        <v>0</v>
      </c>
      <c r="AE103" s="4">
        <f>ROUND(G103,2)</f>
        <v>0</v>
      </c>
      <c r="AF103" s="4"/>
    </row>
    <row r="104" spans="1:32">
      <c r="A104" s="780"/>
      <c r="B104" s="786">
        <v>8</v>
      </c>
      <c r="C104" s="787" t="s">
        <v>331</v>
      </c>
      <c r="D104" s="1942"/>
      <c r="E104" s="1943"/>
      <c r="F104" s="1943"/>
      <c r="G104" s="1943"/>
      <c r="H104" s="4693" t="str">
        <f>" - - - -"</f>
        <v xml:space="preserve"> - - - -</v>
      </c>
      <c r="I104" s="2817" t="str">
        <f>IF(ForeignTaxPaid_DIV&gt;0,"Check Form 1116, Foreign Tax Credit","")</f>
        <v/>
      </c>
      <c r="J104" s="780"/>
      <c r="AA104" s="3275">
        <f t="shared" si="22"/>
        <v>8</v>
      </c>
      <c r="AB104" s="4"/>
      <c r="AC104" s="4"/>
      <c r="AD104" s="4"/>
      <c r="AE104" s="4"/>
      <c r="AF104" s="4"/>
    </row>
    <row r="105" spans="1:32">
      <c r="A105" s="780"/>
      <c r="B105" s="786">
        <v>9</v>
      </c>
      <c r="C105" s="787" t="s">
        <v>377</v>
      </c>
      <c r="D105" s="1942"/>
      <c r="E105" s="1943"/>
      <c r="F105" s="1943"/>
      <c r="G105" s="1943"/>
      <c r="H105" s="4692">
        <f>SUM(AB18:AF18,AB47:AF47,AB76:AF76,AB105:AE105)</f>
        <v>0</v>
      </c>
      <c r="I105" s="2246"/>
      <c r="J105" s="780"/>
      <c r="AA105" s="3275">
        <f t="shared" si="22"/>
        <v>9</v>
      </c>
      <c r="AB105" s="4">
        <f t="shared" ref="AB105:AE106" si="28">ROUND(D105,0)</f>
        <v>0</v>
      </c>
      <c r="AC105" s="4">
        <f t="shared" si="28"/>
        <v>0</v>
      </c>
      <c r="AD105" s="4">
        <f t="shared" si="28"/>
        <v>0</v>
      </c>
      <c r="AE105" s="4">
        <f t="shared" si="28"/>
        <v>0</v>
      </c>
      <c r="AF105" s="4"/>
    </row>
    <row r="106" spans="1:32">
      <c r="A106" s="780"/>
      <c r="B106" s="786">
        <v>10</v>
      </c>
      <c r="C106" s="787" t="s">
        <v>378</v>
      </c>
      <c r="D106" s="1942"/>
      <c r="E106" s="1943"/>
      <c r="F106" s="1943"/>
      <c r="G106" s="1943"/>
      <c r="H106" s="4692">
        <f>SUM(AB19:AF19,AB48:AF48,AB77:AF77,AB106:AE106)</f>
        <v>0</v>
      </c>
      <c r="I106" s="1884"/>
      <c r="J106" s="780"/>
      <c r="AA106" s="3275">
        <f t="shared" si="22"/>
        <v>10</v>
      </c>
      <c r="AB106" s="4">
        <f t="shared" si="28"/>
        <v>0</v>
      </c>
      <c r="AC106" s="4">
        <f t="shared" si="28"/>
        <v>0</v>
      </c>
      <c r="AD106" s="4">
        <f t="shared" si="28"/>
        <v>0</v>
      </c>
      <c r="AE106" s="4">
        <f t="shared" si="28"/>
        <v>0</v>
      </c>
      <c r="AF106" s="4"/>
    </row>
    <row r="107" spans="1:32">
      <c r="A107" s="780"/>
      <c r="B107" s="786">
        <v>11</v>
      </c>
      <c r="C107" s="787" t="s">
        <v>379</v>
      </c>
      <c r="D107" s="1942"/>
      <c r="E107" s="1943"/>
      <c r="F107" s="1943"/>
      <c r="G107" s="1943"/>
      <c r="H107" s="4693" t="str">
        <f>" - - - -"</f>
        <v xml:space="preserve"> - - - -</v>
      </c>
      <c r="I107" s="107"/>
      <c r="J107" s="325"/>
      <c r="Z107" s="2036"/>
      <c r="AA107" s="3275">
        <f t="shared" si="22"/>
        <v>11</v>
      </c>
      <c r="AB107" s="4">
        <f>ROUND(D107,2)</f>
        <v>0</v>
      </c>
      <c r="AC107" s="4">
        <f>ROUND(E107,2)</f>
        <v>0</v>
      </c>
      <c r="AD107" s="4">
        <f>ROUND(F107,2)</f>
        <v>0</v>
      </c>
      <c r="AE107" s="4">
        <f>ROUND(G107,2)</f>
        <v>0</v>
      </c>
      <c r="AF107" s="4"/>
    </row>
    <row r="108" spans="1:32">
      <c r="A108" s="780"/>
      <c r="B108" s="1782">
        <v>12</v>
      </c>
      <c r="C108" s="1779" t="s">
        <v>380</v>
      </c>
      <c r="D108" s="1942"/>
      <c r="E108" s="1943"/>
      <c r="F108" s="1943"/>
      <c r="G108" s="1943"/>
      <c r="H108" s="4694">
        <f>SUM(AB21:AF21,AB50:AF50,AB79:AF79,AB108:AE108)</f>
        <v>0</v>
      </c>
      <c r="I108" s="1884" t="s">
        <v>359</v>
      </c>
      <c r="J108" s="780"/>
      <c r="Z108" s="962"/>
      <c r="AA108" s="3275">
        <f t="shared" si="22"/>
        <v>12</v>
      </c>
      <c r="AB108" s="4">
        <f t="shared" ref="AB108:AE109" si="29">ROUND(D108,2)</f>
        <v>0</v>
      </c>
      <c r="AC108" s="4">
        <f t="shared" si="29"/>
        <v>0</v>
      </c>
      <c r="AD108" s="4">
        <f t="shared" si="29"/>
        <v>0</v>
      </c>
      <c r="AE108" s="4">
        <f t="shared" si="29"/>
        <v>0</v>
      </c>
      <c r="AF108" s="4"/>
    </row>
    <row r="109" spans="1:32">
      <c r="A109" s="780"/>
      <c r="B109" s="1782">
        <v>13</v>
      </c>
      <c r="C109" s="1779" t="s">
        <v>381</v>
      </c>
      <c r="D109" s="1942"/>
      <c r="E109" s="1943"/>
      <c r="F109" s="1943"/>
      <c r="G109" s="1943"/>
      <c r="H109" s="4694">
        <f>SUM(AB22:AF22,AB51:AF51,AB80:AF80,AB109:AE109)</f>
        <v>0</v>
      </c>
      <c r="I109" s="1884" t="s">
        <v>360</v>
      </c>
      <c r="J109" s="780"/>
      <c r="Z109" s="962"/>
      <c r="AA109" s="3275">
        <f t="shared" si="22"/>
        <v>13</v>
      </c>
      <c r="AB109" s="4">
        <f t="shared" si="29"/>
        <v>0</v>
      </c>
      <c r="AC109" s="4">
        <f t="shared" si="29"/>
        <v>0</v>
      </c>
      <c r="AD109" s="4">
        <f t="shared" si="29"/>
        <v>0</v>
      </c>
      <c r="AE109" s="4">
        <f t="shared" si="29"/>
        <v>0</v>
      </c>
      <c r="AF109" s="4"/>
    </row>
    <row r="110" spans="1:32">
      <c r="A110" s="780"/>
      <c r="B110" s="786">
        <v>14</v>
      </c>
      <c r="C110" s="787" t="s">
        <v>339</v>
      </c>
      <c r="D110" s="1928"/>
      <c r="E110" s="1929"/>
      <c r="F110" s="1929"/>
      <c r="G110" s="1929"/>
      <c r="H110" s="4693" t="str">
        <f>" - - - -"</f>
        <v xml:space="preserve"> - - - -</v>
      </c>
      <c r="I110" s="1884"/>
      <c r="J110" s="780"/>
      <c r="AA110" s="3275">
        <f t="shared" si="22"/>
        <v>14</v>
      </c>
      <c r="AB110" s="4"/>
      <c r="AC110" s="4"/>
      <c r="AD110" s="4"/>
      <c r="AE110" s="4"/>
      <c r="AF110" s="4"/>
    </row>
    <row r="111" spans="1:32">
      <c r="A111" s="780"/>
      <c r="B111" s="786">
        <v>15</v>
      </c>
      <c r="C111" s="787" t="s">
        <v>340</v>
      </c>
      <c r="D111" s="1930"/>
      <c r="E111" s="1931"/>
      <c r="F111" s="1931"/>
      <c r="G111" s="1931"/>
      <c r="H111" s="4693" t="str">
        <f>" - - - -"</f>
        <v xml:space="preserve"> - - - -</v>
      </c>
      <c r="I111" s="1884"/>
      <c r="J111" s="780"/>
      <c r="AA111" s="3275">
        <f t="shared" si="22"/>
        <v>15</v>
      </c>
      <c r="AB111" s="4"/>
      <c r="AC111" s="4"/>
      <c r="AD111" s="4"/>
      <c r="AE111" s="4"/>
      <c r="AF111" s="4"/>
    </row>
    <row r="112" spans="1:32" ht="13.5" thickBot="1">
      <c r="A112" s="780"/>
      <c r="B112" s="2655">
        <v>16</v>
      </c>
      <c r="C112" s="1787" t="s">
        <v>341</v>
      </c>
      <c r="D112" s="1952"/>
      <c r="E112" s="1953"/>
      <c r="F112" s="1953"/>
      <c r="G112" s="1953"/>
      <c r="H112" s="5274">
        <f>SUM(AB25:AF25,AB54:AF54,AB83:AF83,AB112:AE112)</f>
        <v>0</v>
      </c>
      <c r="I112" s="1884" t="s">
        <v>361</v>
      </c>
      <c r="J112" s="780"/>
      <c r="Z112" s="962"/>
      <c r="AA112" s="3275">
        <f t="shared" si="22"/>
        <v>16</v>
      </c>
      <c r="AB112" s="4">
        <f>ROUND(D112,2)</f>
        <v>0</v>
      </c>
      <c r="AC112" s="4">
        <f>ROUND(E112,2)</f>
        <v>0</v>
      </c>
      <c r="AD112" s="4">
        <f>ROUND(F112,2)</f>
        <v>0</v>
      </c>
      <c r="AE112" s="4">
        <f>ROUND(G112,2)</f>
        <v>0</v>
      </c>
      <c r="AF112" s="4"/>
    </row>
    <row r="113" spans="1:27" ht="17.25" customHeight="1">
      <c r="A113" s="22"/>
      <c r="B113" s="1906" t="s">
        <v>342</v>
      </c>
      <c r="C113" s="22"/>
      <c r="D113" s="1745" t="b">
        <f>D94&gt;D93</f>
        <v>0</v>
      </c>
      <c r="E113" s="1745" t="b">
        <f>E94&gt;E93</f>
        <v>0</v>
      </c>
      <c r="F113" s="1745" t="b">
        <f>F94&gt;F93</f>
        <v>0</v>
      </c>
      <c r="G113" s="1745" t="b">
        <f>G94&gt;G93</f>
        <v>0</v>
      </c>
      <c r="H113" s="805"/>
      <c r="I113" s="3396" t="b">
        <f>OR(D113:G113)</f>
        <v>0</v>
      </c>
      <c r="J113" s="780"/>
    </row>
    <row r="114" spans="1:27" s="1958" customFormat="1">
      <c r="D114" s="1958" t="str">
        <f>IF(D90&lt;&gt;"",D90,"")</f>
        <v/>
      </c>
      <c r="E114" s="1958" t="str">
        <f>IF(E90&lt;&gt;"",E90,"")</f>
        <v/>
      </c>
      <c r="F114" s="1958" t="str">
        <f>IF(F90&lt;&gt;"",F90,"")</f>
        <v/>
      </c>
      <c r="G114" s="1958" t="str">
        <f>IF(G90&lt;&gt;"",G90,"")</f>
        <v/>
      </c>
      <c r="J114"/>
      <c r="K114" s="4695"/>
      <c r="L114" s="2227"/>
      <c r="M114" s="2227"/>
      <c r="N114" s="2227"/>
      <c r="O114" s="2227"/>
      <c r="P114" s="2227"/>
      <c r="Q114" s="2227"/>
      <c r="R114" s="2227"/>
      <c r="S114" s="2227"/>
      <c r="T114" s="2227"/>
      <c r="U114" s="2227"/>
      <c r="V114" s="2227"/>
      <c r="W114" s="2227"/>
      <c r="X114" s="2227"/>
      <c r="Y114" s="2036"/>
      <c r="AA114" s="5273"/>
    </row>
    <row r="115" spans="1:27" s="1958" customFormat="1">
      <c r="D115" s="1958" t="str">
        <f>IF(D91&lt;&gt;"", " - "&amp;D91,"")</f>
        <v/>
      </c>
      <c r="E115" s="1958" t="str">
        <f>IF(E91&lt;&gt;"", " - "&amp;E91,"")</f>
        <v/>
      </c>
      <c r="F115" s="1958" t="str">
        <f>IF(F91&lt;&gt;"", " - "&amp;F91,"")</f>
        <v/>
      </c>
      <c r="G115" s="1958" t="str">
        <f>IF(G91&lt;&gt;"", " - "&amp;G91,"")</f>
        <v/>
      </c>
      <c r="J115"/>
      <c r="K115" s="4695"/>
      <c r="L115" s="2227"/>
      <c r="M115" s="2227"/>
      <c r="N115" s="2227"/>
      <c r="O115" s="2227"/>
      <c r="P115" s="2227"/>
      <c r="Q115" s="2227"/>
      <c r="R115" s="2227"/>
      <c r="S115" s="2227"/>
      <c r="T115" s="2227"/>
      <c r="U115" s="2227"/>
      <c r="V115" s="2227"/>
      <c r="W115" s="2227"/>
      <c r="X115" s="2227"/>
      <c r="Y115" s="2036"/>
      <c r="AA115" s="5273"/>
    </row>
    <row r="116" spans="1:27" s="1958" customFormat="1">
      <c r="D116" s="1958" t="str">
        <f>IF(D92&lt;&gt;""," - "&amp;D92,"")</f>
        <v/>
      </c>
      <c r="E116" s="1958" t="str">
        <f>IF(E92&lt;&gt;""," - "&amp;E92,"")</f>
        <v/>
      </c>
      <c r="F116" s="1958" t="str">
        <f>IF(F92&lt;&gt;""," - "&amp;F92,"")</f>
        <v/>
      </c>
      <c r="G116" s="1958" t="str">
        <f>IF(G92&lt;&gt;""," - "&amp;G92,"")</f>
        <v/>
      </c>
      <c r="J116"/>
      <c r="K116" s="4695"/>
      <c r="L116" s="2227"/>
      <c r="M116" s="2227"/>
      <c r="N116" s="2227"/>
      <c r="O116" s="2227"/>
      <c r="P116" s="2227"/>
      <c r="Q116" s="2227"/>
      <c r="R116" s="2227"/>
      <c r="S116" s="2227"/>
      <c r="T116" s="2227"/>
      <c r="U116" s="2227"/>
      <c r="V116" s="2227"/>
      <c r="W116" s="2227"/>
      <c r="X116" s="2227"/>
      <c r="Y116" s="2036"/>
      <c r="AA116" s="5273"/>
    </row>
    <row r="117" spans="1:27" s="1958" customFormat="1" ht="13.5" thickBot="1">
      <c r="D117" s="2228" t="str">
        <f>IF(D93="","",D114&amp;D115&amp;D116)</f>
        <v/>
      </c>
      <c r="E117" s="2228" t="str">
        <f>IF(E93="","",E114&amp;E115&amp;E116)</f>
        <v/>
      </c>
      <c r="F117" s="2228" t="str">
        <f>IF(F93="","",F114&amp;F115&amp;F116)</f>
        <v/>
      </c>
      <c r="G117" s="2228" t="str">
        <f>IF(G93="","",G114&amp;G115&amp;G116)</f>
        <v/>
      </c>
      <c r="H117" s="4867"/>
      <c r="J117"/>
      <c r="K117" s="4695"/>
      <c r="L117" s="2227"/>
      <c r="M117" s="2227"/>
      <c r="N117" s="2227"/>
      <c r="O117" s="2227"/>
      <c r="P117" s="2227"/>
      <c r="Q117" s="2227"/>
      <c r="R117" s="2227"/>
      <c r="S117" s="2227"/>
      <c r="T117" s="2227"/>
      <c r="U117" s="2227"/>
      <c r="V117" s="2227"/>
      <c r="W117" s="2227"/>
      <c r="X117" s="2227"/>
      <c r="Y117" s="2036"/>
      <c r="AA117" s="5273"/>
    </row>
    <row r="118" spans="1:27" ht="13.5" thickTop="1">
      <c r="A118" s="2322"/>
      <c r="G118" s="3275" t="s">
        <v>391</v>
      </c>
      <c r="H118" s="4">
        <f>SUM(ROUND('1099-INT'!I65,2),ROUND('1099-DIV'!H93,2))</f>
        <v>0</v>
      </c>
      <c r="I118" s="962" t="str">
        <f>"Sch. B required if &gt;"&amp;TEXT(H119,"$0,000")&amp;"."</f>
        <v>Sch. B required if &gt;$1,500.</v>
      </c>
    </row>
    <row r="119" spans="1:27">
      <c r="H119" s="1213">
        <v>1500</v>
      </c>
      <c r="I119" s="3276" t="b">
        <f>H118&gt;H119</f>
        <v>0</v>
      </c>
    </row>
    <row r="121" spans="1:27" ht="13.5" thickBot="1"/>
    <row r="122" spans="1:27">
      <c r="C122" s="3199"/>
    </row>
    <row r="123" spans="1:27">
      <c r="C123" s="3195" t="s">
        <v>46</v>
      </c>
    </row>
    <row r="124" spans="1:27" ht="13.5" thickBot="1">
      <c r="C124" s="3200"/>
    </row>
  </sheetData>
  <sheetProtection algorithmName="SHA-512" hashValue="NlHxHT4n1YM/NAO3DvYiSyUhT4VYBxbk/zt3d0jLLKMIwtOdfPYyzJFuWaJU+WK+xSUSEpFbyDAFwMqDNPQ8bQ==" saltValue="TRfhyjhtPSRwuZtA0ucgSA==" spinCount="100000" sheet="1" objects="1" scenarios="1"/>
  <conditionalFormatting sqref="D8:D20">
    <cfRule type="expression" dxfId="3266" priority="8">
      <formula>IF(NoColor,1,0)</formula>
    </cfRule>
  </conditionalFormatting>
  <conditionalFormatting sqref="D90:G112">
    <cfRule type="expression" dxfId="3265" priority="2">
      <formula>IF(NoColor,1,0)</formula>
    </cfRule>
  </conditionalFormatting>
  <conditionalFormatting sqref="D93:G94">
    <cfRule type="expression" dxfId="3264" priority="15">
      <formula>D$113</formula>
    </cfRule>
  </conditionalFormatting>
  <conditionalFormatting sqref="D2:H7">
    <cfRule type="expression" dxfId="3263" priority="55">
      <formula>IF(NoColor,1,0)</formula>
    </cfRule>
  </conditionalFormatting>
  <conditionalFormatting sqref="D6:H7">
    <cfRule type="expression" dxfId="3262" priority="27">
      <formula>D$26</formula>
    </cfRule>
  </conditionalFormatting>
  <conditionalFormatting sqref="D21:H25">
    <cfRule type="expression" dxfId="3261" priority="39">
      <formula>IF(NoColor,1,0)</formula>
    </cfRule>
  </conditionalFormatting>
  <conditionalFormatting sqref="D31:H54">
    <cfRule type="expression" dxfId="3260" priority="6">
      <formula>IF(NoColor,1,0)</formula>
    </cfRule>
  </conditionalFormatting>
  <conditionalFormatting sqref="D35:H36">
    <cfRule type="expression" dxfId="3259" priority="23">
      <formula>D$55</formula>
    </cfRule>
  </conditionalFormatting>
  <conditionalFormatting sqref="D60:H83">
    <cfRule type="expression" dxfId="3258" priority="4">
      <formula>IF(NoColor,1,0)</formula>
    </cfRule>
  </conditionalFormatting>
  <conditionalFormatting sqref="D64:H65">
    <cfRule type="expression" dxfId="3257" priority="19">
      <formula>D$84</formula>
    </cfRule>
  </conditionalFormatting>
  <conditionalFormatting sqref="D89:H89">
    <cfRule type="expression" dxfId="3256" priority="30">
      <formula>IF(NoColor,1,0)</formula>
    </cfRule>
  </conditionalFormatting>
  <conditionalFormatting sqref="E6:H20">
    <cfRule type="expression" dxfId="3255" priority="9">
      <formula>IF(NoColor,1,0)</formula>
    </cfRule>
  </conditionalFormatting>
  <conditionalFormatting sqref="H90:H112">
    <cfRule type="expression" dxfId="3254" priority="1">
      <formula>NoColor</formula>
    </cfRule>
  </conditionalFormatting>
  <conditionalFormatting sqref="I93:I94">
    <cfRule type="expression" dxfId="3253" priority="13">
      <formula>I$113</formula>
    </cfRule>
  </conditionalFormatting>
  <hyperlinks>
    <hyperlink ref="C123" location="'Table of Contents'!A1" display="Table of Contents" xr:uid="{00000000-0004-0000-0500-000000000000}"/>
  </hyperlinks>
  <pageMargins left="0.75" right="0.25" top="0.36" bottom="0.28999999999999998" header="0.36" footer="0.21"/>
  <pageSetup scale="57" fitToHeight="0" orientation="landscape" r:id="rId1"/>
  <rowBreaks count="1" manualBreakCount="1">
    <brk id="55"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44"/>
  <sheetViews>
    <sheetView zoomScaleNormal="100" zoomScaleSheetLayoutView="100" workbookViewId="0">
      <pane ySplit="1" topLeftCell="A2" activePane="bottomLeft" state="frozen"/>
      <selection pane="bottomLeft"/>
    </sheetView>
  </sheetViews>
  <sheetFormatPr defaultRowHeight="12.75"/>
  <cols>
    <col min="1" max="1" width="2.5703125" customWidth="1"/>
    <col min="2" max="2" width="4.42578125" customWidth="1"/>
    <col min="3" max="3" width="45.7109375" customWidth="1"/>
    <col min="4" max="9" width="19.85546875" customWidth="1"/>
    <col min="10" max="10" width="46.42578125" customWidth="1"/>
    <col min="11" max="11" width="5.5703125" customWidth="1"/>
    <col min="12" max="26" width="9.140625" style="3215"/>
  </cols>
  <sheetData>
    <row r="1" spans="1:26" ht="42" customHeight="1" thickBot="1">
      <c r="A1" s="784"/>
      <c r="B1" s="1922" t="s">
        <v>392</v>
      </c>
      <c r="C1" s="5392"/>
      <c r="D1" s="5393"/>
      <c r="E1" s="4127" t="str">
        <f>IF(FALSE,"After Form 1040 and Schedule 1 are complete,"&amp;CHAR(10)&amp;" be sure to review 'Sch. 1 Line 8 WS', line 1.",IF(FALSE,"'Sch. 1 Line 8 WS', line 1, has been Updated.",""))</f>
        <v/>
      </c>
      <c r="F1" s="5393"/>
      <c r="G1" s="5393"/>
      <c r="H1" s="5393"/>
      <c r="I1" s="5393"/>
      <c r="J1" s="5393"/>
      <c r="K1" s="1997"/>
      <c r="L1" s="2035" t="s">
        <v>241</v>
      </c>
      <c r="M1" s="2036"/>
      <c r="N1" s="2036"/>
      <c r="O1" s="2036"/>
      <c r="P1" s="2036"/>
      <c r="Q1" s="2036"/>
      <c r="R1" s="2036"/>
      <c r="S1" s="2036"/>
      <c r="T1" s="2036"/>
      <c r="U1" s="2036"/>
      <c r="V1" s="2036"/>
      <c r="W1" s="2036"/>
      <c r="X1" s="2036"/>
      <c r="Y1" s="2036"/>
      <c r="Z1" s="2036"/>
    </row>
    <row r="2" spans="1:26" ht="42" customHeight="1" thickTop="1" thickBot="1">
      <c r="A2" s="785"/>
      <c r="B2" s="5395"/>
      <c r="C2" s="1927" t="str">
        <f>IF(Name_1st_Yours="","Enter your name on the"&amp;CHAR(10)&amp;"sheet labeled '1040'",NameYours)</f>
        <v>Enter your name on the
sheet labeled '1040'</v>
      </c>
      <c r="D2" s="1455" t="s">
        <v>314</v>
      </c>
      <c r="E2" s="1455" t="s">
        <v>315</v>
      </c>
      <c r="F2" s="1455" t="s">
        <v>316</v>
      </c>
      <c r="G2" s="1455" t="s">
        <v>317</v>
      </c>
      <c r="H2" s="1455" t="s">
        <v>318</v>
      </c>
      <c r="I2" s="1455" t="s">
        <v>393</v>
      </c>
      <c r="J2" s="1882" t="s">
        <v>250</v>
      </c>
      <c r="K2" s="325"/>
      <c r="L2" s="2036"/>
      <c r="M2" s="2036"/>
      <c r="N2" s="2036"/>
      <c r="O2" s="2036"/>
      <c r="P2" s="2036"/>
      <c r="Q2" s="2036"/>
      <c r="R2" s="2036"/>
      <c r="S2" s="2036"/>
      <c r="T2" s="2036"/>
      <c r="U2" s="2036"/>
      <c r="V2" s="2036"/>
      <c r="W2" s="2036"/>
      <c r="X2" s="2036"/>
      <c r="Y2" s="2036"/>
      <c r="Z2" s="2036"/>
    </row>
    <row r="3" spans="1:26" ht="12.75" customHeight="1">
      <c r="A3" s="780"/>
      <c r="B3" s="1775"/>
      <c r="C3" s="1783" t="s">
        <v>320</v>
      </c>
      <c r="D3" s="1937"/>
      <c r="E3" s="1938"/>
      <c r="F3" s="1938"/>
      <c r="G3" s="1938"/>
      <c r="H3" s="1938"/>
      <c r="I3" s="2816"/>
      <c r="J3" s="107"/>
      <c r="K3" s="325"/>
      <c r="L3" s="2036"/>
      <c r="M3" s="2036"/>
      <c r="N3" s="2036"/>
      <c r="O3" s="2036"/>
      <c r="P3" s="2036"/>
      <c r="Q3" s="2036"/>
      <c r="R3" s="2036"/>
      <c r="S3" s="2036"/>
      <c r="T3" s="2036"/>
      <c r="U3" s="2036"/>
      <c r="V3" s="2036"/>
      <c r="W3" s="2036"/>
      <c r="X3" s="2036"/>
      <c r="Y3" s="2036"/>
      <c r="Z3" s="2036"/>
    </row>
    <row r="4" spans="1:26">
      <c r="A4" s="780"/>
      <c r="B4" s="1776"/>
      <c r="C4" s="1784" t="s">
        <v>394</v>
      </c>
      <c r="D4" s="1966"/>
      <c r="E4" s="1967"/>
      <c r="F4" s="1967"/>
      <c r="G4" s="1967"/>
      <c r="H4" s="1967"/>
      <c r="I4" s="3115"/>
      <c r="J4" s="107"/>
      <c r="K4" s="325"/>
      <c r="L4" s="2036"/>
      <c r="M4" s="2036"/>
      <c r="N4" s="2036"/>
      <c r="O4" s="2036"/>
      <c r="P4" s="2036"/>
      <c r="Q4" s="2036"/>
      <c r="R4" s="2036"/>
      <c r="S4" s="2036"/>
      <c r="T4" s="2036"/>
      <c r="U4" s="2036"/>
      <c r="V4" s="2036"/>
      <c r="W4" s="2036"/>
      <c r="X4" s="2036"/>
      <c r="Y4" s="2036"/>
      <c r="Z4" s="2036"/>
    </row>
    <row r="5" spans="1:26" ht="13.5" thickBot="1">
      <c r="A5" s="780"/>
      <c r="B5" s="1777"/>
      <c r="C5" s="1785" t="s">
        <v>322</v>
      </c>
      <c r="D5" s="1969"/>
      <c r="E5" s="1970"/>
      <c r="F5" s="1970"/>
      <c r="G5" s="1970"/>
      <c r="H5" s="1970"/>
      <c r="I5" s="3116"/>
      <c r="J5" s="107"/>
      <c r="K5" s="325"/>
      <c r="L5" s="2036"/>
      <c r="M5" s="2036"/>
      <c r="N5" s="2036"/>
      <c r="O5" s="2036"/>
      <c r="P5" s="2036"/>
      <c r="Q5" s="2036"/>
      <c r="R5" s="2036"/>
      <c r="S5" s="2036"/>
      <c r="T5" s="2036"/>
      <c r="U5" s="2036"/>
      <c r="V5" s="2036"/>
      <c r="W5" s="2036"/>
      <c r="X5" s="2036"/>
      <c r="Y5" s="2036"/>
      <c r="Z5" s="2036"/>
    </row>
    <row r="6" spans="1:26" ht="13.5" customHeight="1">
      <c r="A6" s="780"/>
      <c r="B6" s="3130" t="s">
        <v>252</v>
      </c>
      <c r="C6" s="1778" t="s">
        <v>395</v>
      </c>
      <c r="D6" s="1940"/>
      <c r="E6" s="1941"/>
      <c r="F6" s="1941"/>
      <c r="G6" s="1941"/>
      <c r="H6" s="1941"/>
      <c r="I6" s="2225">
        <f>ROUND(SUM(D6:H6),0)</f>
        <v>0</v>
      </c>
      <c r="J6" s="4122" t="s">
        <v>396</v>
      </c>
      <c r="K6" s="325"/>
      <c r="L6" s="2036"/>
      <c r="M6" s="2036"/>
      <c r="N6" s="2036"/>
      <c r="O6" s="2036"/>
      <c r="P6" s="2036"/>
      <c r="Q6" s="2036"/>
      <c r="R6" s="2036"/>
      <c r="S6" s="2036"/>
      <c r="T6" s="2036"/>
      <c r="U6" s="2036"/>
      <c r="V6" s="2036"/>
      <c r="W6" s="2036"/>
      <c r="X6" s="2036"/>
      <c r="Y6" s="2036"/>
      <c r="Z6" s="2036"/>
    </row>
    <row r="7" spans="1:26" ht="13.5" customHeight="1">
      <c r="A7" s="780"/>
      <c r="B7" s="942" t="s">
        <v>254</v>
      </c>
      <c r="C7" s="1779" t="s">
        <v>397</v>
      </c>
      <c r="D7" s="1942"/>
      <c r="E7" s="1943"/>
      <c r="F7" s="1943"/>
      <c r="G7" s="1943"/>
      <c r="H7" s="1943"/>
      <c r="I7" s="2226">
        <f>ROUND(SUM(D7:H7),0)</f>
        <v>0</v>
      </c>
      <c r="J7" s="3039" t="str">
        <f>IF(Needs_SALT,"  See sheet labeled","   'Sch. 1, Line 1 (SALT)', line 1   [State &amp; local tax]")</f>
        <v xml:space="preserve">   'Sch. 1, Line 1 (SALT)', line 1   [State &amp; local tax]</v>
      </c>
      <c r="K7" s="325"/>
      <c r="L7" s="2036"/>
      <c r="M7" s="2036"/>
      <c r="N7" s="2036"/>
      <c r="O7" s="2036"/>
      <c r="P7" s="2036"/>
      <c r="Q7" s="2036"/>
      <c r="R7" s="2036"/>
      <c r="S7" s="2036"/>
      <c r="T7" s="2036"/>
      <c r="U7" s="2036"/>
      <c r="V7" s="2036"/>
      <c r="W7" s="2036"/>
      <c r="X7" s="2036"/>
      <c r="Y7" s="2036"/>
      <c r="Z7" s="2036"/>
    </row>
    <row r="8" spans="1:26" ht="13.5" customHeight="1">
      <c r="A8" s="780"/>
      <c r="B8" s="3131" t="s">
        <v>256</v>
      </c>
      <c r="C8" s="1780" t="s">
        <v>398</v>
      </c>
      <c r="D8" s="3135"/>
      <c r="E8" s="3136"/>
      <c r="F8" s="3136"/>
      <c r="G8" s="3136"/>
      <c r="H8" s="3136"/>
      <c r="I8" s="3137" t="s">
        <v>399</v>
      </c>
      <c r="J8" s="2246" t="str">
        <f>IF(Needs_SALT,"'Sch. 1, Line 1 (SALT)'. (State &amp; Local Tax)","")</f>
        <v/>
      </c>
      <c r="K8" s="325"/>
      <c r="L8" s="2036"/>
      <c r="M8" s="2036"/>
      <c r="N8" s="2036"/>
      <c r="O8" s="2036"/>
      <c r="P8" s="2036"/>
      <c r="Q8" s="2036"/>
      <c r="R8" s="2036"/>
      <c r="S8" s="2036"/>
      <c r="T8" s="2036"/>
      <c r="U8" s="2036"/>
      <c r="V8" s="2036"/>
      <c r="W8" s="2036"/>
      <c r="X8" s="2036"/>
      <c r="Y8" s="2036"/>
      <c r="Z8" s="2036"/>
    </row>
    <row r="9" spans="1:26" ht="13.5" customHeight="1">
      <c r="A9" s="780"/>
      <c r="B9" s="942">
        <v>4</v>
      </c>
      <c r="C9" s="1779" t="s">
        <v>255</v>
      </c>
      <c r="D9" s="1942"/>
      <c r="E9" s="1943"/>
      <c r="F9" s="1943"/>
      <c r="G9" s="1943"/>
      <c r="H9" s="1943"/>
      <c r="I9" s="2226">
        <f>ROUND(SUM(D9:H9),0)</f>
        <v>0</v>
      </c>
      <c r="J9" s="3914"/>
      <c r="K9" s="325"/>
      <c r="L9" s="2036"/>
      <c r="M9" s="2036"/>
      <c r="N9" s="2036"/>
      <c r="O9" s="2036"/>
      <c r="P9" s="2036"/>
      <c r="Q9" s="2036"/>
      <c r="R9" s="2036"/>
      <c r="S9" s="2036"/>
      <c r="T9" s="2036"/>
      <c r="U9" s="2036"/>
      <c r="V9" s="2036"/>
      <c r="W9" s="2036"/>
      <c r="X9" s="2036"/>
      <c r="Y9" s="2036"/>
      <c r="Z9" s="2036"/>
    </row>
    <row r="10" spans="1:26">
      <c r="A10" s="780"/>
      <c r="B10" s="942" t="s">
        <v>261</v>
      </c>
      <c r="C10" s="1779" t="s">
        <v>400</v>
      </c>
      <c r="D10" s="1942"/>
      <c r="E10" s="1943"/>
      <c r="F10" s="1943"/>
      <c r="G10" s="1943"/>
      <c r="H10" s="1943"/>
      <c r="I10" s="2226">
        <f>ROUND(SUM(D10:H10),0)</f>
        <v>0</v>
      </c>
      <c r="J10" s="107"/>
      <c r="K10" s="325"/>
      <c r="L10" s="2036"/>
      <c r="M10" s="2036"/>
      <c r="N10" s="2036"/>
      <c r="O10" s="2036"/>
      <c r="P10" s="2036"/>
      <c r="Q10" s="2036"/>
      <c r="R10" s="2036"/>
      <c r="S10" s="2036"/>
      <c r="T10" s="2036"/>
      <c r="U10" s="2036"/>
      <c r="V10" s="2036"/>
      <c r="W10" s="2036"/>
      <c r="X10" s="2036"/>
      <c r="Y10" s="2036"/>
      <c r="Z10" s="2036"/>
    </row>
    <row r="11" spans="1:26">
      <c r="B11" s="2668" t="s">
        <v>263</v>
      </c>
      <c r="C11" s="3217" t="s">
        <v>401</v>
      </c>
      <c r="D11" s="1942"/>
      <c r="E11" s="1943"/>
      <c r="F11" s="1943"/>
      <c r="G11" s="1943"/>
      <c r="H11" s="1943"/>
      <c r="I11" s="2226">
        <f>ROUND(SUM(D11:H11),0)</f>
        <v>0</v>
      </c>
      <c r="J11" s="107"/>
      <c r="K11" s="325"/>
      <c r="L11" s="2036"/>
      <c r="M11" s="2036"/>
      <c r="N11" s="2036"/>
      <c r="O11" s="2036"/>
      <c r="P11" s="2036"/>
      <c r="Q11" s="2036"/>
      <c r="R11" s="2036"/>
      <c r="S11" s="2036"/>
      <c r="T11" s="2036"/>
      <c r="U11" s="2036"/>
      <c r="V11" s="2036"/>
      <c r="W11" s="2036"/>
      <c r="X11" s="2036"/>
      <c r="Y11" s="2036"/>
      <c r="Z11" s="2036"/>
    </row>
    <row r="12" spans="1:26" s="3215" customFormat="1">
      <c r="A12"/>
      <c r="B12" s="2668" t="s">
        <v>402</v>
      </c>
      <c r="C12" s="3217" t="s">
        <v>403</v>
      </c>
      <c r="D12" s="1942"/>
      <c r="E12" s="1943"/>
      <c r="F12" s="1943"/>
      <c r="G12" s="1943"/>
      <c r="H12" s="1943"/>
      <c r="I12" s="2226">
        <f>ROUND(SUM(D12:H12),0)</f>
        <v>0</v>
      </c>
      <c r="J12" s="107"/>
      <c r="K12" s="325"/>
      <c r="L12" s="2036"/>
      <c r="M12" s="2036"/>
      <c r="N12" s="2036"/>
      <c r="O12" s="2036"/>
      <c r="P12" s="2036"/>
      <c r="Q12" s="2036"/>
      <c r="R12" s="2036"/>
      <c r="S12" s="2036"/>
      <c r="T12" s="2036"/>
      <c r="U12" s="2036"/>
      <c r="V12" s="2036"/>
      <c r="W12" s="2036"/>
      <c r="X12" s="2036"/>
      <c r="Y12" s="2036"/>
      <c r="Z12" s="2036"/>
    </row>
    <row r="13" spans="1:26" s="3215" customFormat="1">
      <c r="A13"/>
      <c r="B13" s="2668" t="s">
        <v>404</v>
      </c>
      <c r="C13" s="3217" t="s">
        <v>405</v>
      </c>
      <c r="D13" s="1942"/>
      <c r="E13" s="1943"/>
      <c r="F13" s="1943"/>
      <c r="G13" s="1943"/>
      <c r="H13" s="1943"/>
      <c r="I13" s="2226">
        <f>ROUND(SUM(D13:H13),0)</f>
        <v>0</v>
      </c>
      <c r="J13" s="3396" t="b">
        <f>AND(D13="",E13="",F13="",G13="",I13="")</f>
        <v>0</v>
      </c>
      <c r="K13" s="325"/>
      <c r="L13" s="2036"/>
      <c r="M13" s="2036"/>
      <c r="N13" s="2036"/>
      <c r="O13" s="2036"/>
      <c r="P13" s="2036"/>
      <c r="Q13" s="2036"/>
      <c r="R13" s="2036"/>
      <c r="S13" s="2036"/>
      <c r="T13" s="2036"/>
      <c r="U13" s="2036"/>
      <c r="V13" s="2036"/>
      <c r="W13" s="2036"/>
      <c r="X13" s="2036"/>
      <c r="Y13" s="2036"/>
      <c r="Z13" s="2036"/>
    </row>
    <row r="14" spans="1:26" s="3215" customFormat="1">
      <c r="A14"/>
      <c r="B14" s="3218" t="s">
        <v>268</v>
      </c>
      <c r="C14" s="3219" t="s">
        <v>406</v>
      </c>
      <c r="D14" s="2277"/>
      <c r="E14" s="2278"/>
      <c r="F14" s="2278"/>
      <c r="G14" s="2278"/>
      <c r="H14" s="2278"/>
      <c r="I14" s="2273"/>
      <c r="J14" s="107"/>
      <c r="K14" s="325"/>
      <c r="L14" s="2036"/>
      <c r="M14" s="2036"/>
      <c r="N14" s="2036"/>
      <c r="O14" s="2036"/>
      <c r="P14" s="2036"/>
      <c r="Q14" s="2036"/>
      <c r="R14" s="2036"/>
      <c r="S14" s="2036"/>
      <c r="T14" s="2036"/>
      <c r="U14" s="2036"/>
      <c r="V14" s="2036"/>
      <c r="W14" s="2036"/>
      <c r="X14" s="2036"/>
      <c r="Y14" s="2036"/>
      <c r="Z14" s="2036"/>
    </row>
    <row r="15" spans="1:26" s="3215" customFormat="1">
      <c r="A15"/>
      <c r="B15" s="2668" t="s">
        <v>407</v>
      </c>
      <c r="C15" s="3217" t="s">
        <v>408</v>
      </c>
      <c r="D15" s="1942"/>
      <c r="E15" s="1943"/>
      <c r="F15" s="1943"/>
      <c r="G15" s="1943"/>
      <c r="H15" s="1943"/>
      <c r="I15" s="2226">
        <f>ROUND(SUM(D15:H15),0)</f>
        <v>0</v>
      </c>
      <c r="J15" s="3396" t="b">
        <f>AND(D15="",E15="",F15="",G15="",I15="")</f>
        <v>0</v>
      </c>
      <c r="K15" s="325"/>
      <c r="L15" s="2036"/>
      <c r="M15" s="2036"/>
      <c r="N15" s="2036"/>
      <c r="O15" s="2036"/>
      <c r="P15" s="2036"/>
      <c r="Q15" s="2036"/>
      <c r="R15" s="2036"/>
      <c r="S15" s="2036"/>
      <c r="T15" s="2036"/>
      <c r="U15" s="2036"/>
      <c r="V15" s="2036"/>
      <c r="W15" s="2036"/>
      <c r="X15" s="2036"/>
      <c r="Y15" s="2036"/>
      <c r="Z15" s="2036"/>
    </row>
    <row r="16" spans="1:26" s="3215" customFormat="1">
      <c r="A16"/>
      <c r="B16" s="3218" t="s">
        <v>409</v>
      </c>
      <c r="C16" s="3219" t="s">
        <v>339</v>
      </c>
      <c r="D16" s="1928"/>
      <c r="E16" s="1929"/>
      <c r="F16" s="1929"/>
      <c r="G16" s="1929"/>
      <c r="H16" s="1929"/>
      <c r="I16" s="2226"/>
      <c r="J16" s="107"/>
      <c r="K16" s="325"/>
      <c r="L16" s="2036"/>
      <c r="M16" s="2036"/>
      <c r="N16" s="2036"/>
      <c r="O16" s="2036"/>
      <c r="P16" s="2036"/>
      <c r="Q16" s="2036"/>
      <c r="R16" s="2036"/>
      <c r="S16" s="2036"/>
      <c r="T16" s="2036"/>
      <c r="U16" s="2036"/>
      <c r="V16" s="2036"/>
      <c r="W16" s="2036"/>
      <c r="X16" s="2036"/>
      <c r="Y16" s="2036"/>
      <c r="Z16" s="2036"/>
    </row>
    <row r="17" spans="1:26" s="3215" customFormat="1" ht="15">
      <c r="A17"/>
      <c r="B17" s="3218" t="s">
        <v>410</v>
      </c>
      <c r="C17" s="3219" t="s">
        <v>340</v>
      </c>
      <c r="D17" s="1930"/>
      <c r="E17" s="1931"/>
      <c r="F17" s="1931"/>
      <c r="G17" s="1931"/>
      <c r="H17" s="1931"/>
      <c r="I17" s="2226"/>
      <c r="J17" s="4125"/>
      <c r="K17" s="325"/>
      <c r="L17" s="2036"/>
      <c r="M17" s="2036"/>
      <c r="N17" s="2036"/>
      <c r="O17" s="2036"/>
      <c r="P17" s="2036"/>
      <c r="Q17" s="2036"/>
      <c r="R17" s="2036"/>
      <c r="S17" s="2036"/>
      <c r="T17" s="2036"/>
      <c r="U17" s="2036"/>
      <c r="V17" s="2036"/>
      <c r="W17" s="2036"/>
      <c r="X17" s="2036"/>
      <c r="Y17" s="2036"/>
      <c r="Z17" s="2036"/>
    </row>
    <row r="18" spans="1:26" ht="13.5" customHeight="1" thickBot="1">
      <c r="A18" s="780"/>
      <c r="B18" s="3132">
        <v>11</v>
      </c>
      <c r="C18" s="1787" t="s">
        <v>411</v>
      </c>
      <c r="D18" s="1952"/>
      <c r="E18" s="1953"/>
      <c r="F18" s="1953"/>
      <c r="G18" s="1953"/>
      <c r="H18" s="1953"/>
      <c r="I18" s="3134">
        <f>ROUND(SUM(D18:H18),0)</f>
        <v>0</v>
      </c>
      <c r="J18" s="4638"/>
      <c r="K18" s="325"/>
      <c r="L18" s="2036"/>
      <c r="M18" s="2036"/>
      <c r="N18" s="2036"/>
      <c r="O18" s="2036"/>
      <c r="P18" s="2036"/>
      <c r="Q18" s="2036"/>
      <c r="R18" s="2036"/>
      <c r="S18" s="2036"/>
      <c r="T18" s="2036"/>
      <c r="U18" s="2036"/>
      <c r="V18" s="2036"/>
      <c r="W18" s="2036"/>
      <c r="X18" s="2036"/>
      <c r="Y18" s="2036"/>
      <c r="Z18" s="2036"/>
    </row>
    <row r="19" spans="1:26" ht="17.25" customHeight="1">
      <c r="A19" s="780"/>
      <c r="B19" s="1906" t="s">
        <v>342</v>
      </c>
      <c r="C19" s="780"/>
      <c r="D19" s="780"/>
      <c r="E19" s="780"/>
      <c r="F19" s="780"/>
      <c r="G19" s="780"/>
      <c r="H19" s="780"/>
      <c r="I19" s="780"/>
      <c r="J19" s="4638"/>
      <c r="K19" s="325"/>
      <c r="L19" s="2036"/>
      <c r="M19" s="2036"/>
      <c r="N19" s="2036"/>
      <c r="O19" s="2036"/>
      <c r="P19" s="2036"/>
      <c r="Q19" s="2036"/>
      <c r="R19" s="2036"/>
      <c r="S19" s="2036"/>
      <c r="T19" s="2036"/>
      <c r="U19" s="2036"/>
      <c r="V19" s="2036"/>
      <c r="W19" s="2036"/>
      <c r="X19" s="2036"/>
      <c r="Y19" s="2036"/>
      <c r="Z19" s="2036"/>
    </row>
    <row r="20" spans="1:26" s="1958" customFormat="1" ht="13.5" customHeight="1" thickBot="1">
      <c r="A20" s="3203"/>
      <c r="B20" s="3203"/>
      <c r="C20" s="3203"/>
      <c r="D20" s="3203"/>
      <c r="E20" s="3203"/>
      <c r="F20" s="3203"/>
      <c r="G20" s="3203"/>
      <c r="H20" s="3203"/>
      <c r="I20" s="3203" t="str">
        <f>IF(I3&lt;&gt;"",I3,"")</f>
        <v/>
      </c>
      <c r="J20" s="4638"/>
      <c r="K20" s="325"/>
      <c r="L20" s="2227"/>
      <c r="M20" s="2227"/>
      <c r="N20" s="2227"/>
      <c r="O20" s="2227"/>
      <c r="P20" s="2227"/>
      <c r="Q20" s="2227"/>
      <c r="R20" s="2227"/>
      <c r="S20" s="2227"/>
      <c r="T20" s="2227"/>
      <c r="U20" s="2227"/>
      <c r="V20" s="2227"/>
      <c r="W20" s="2227"/>
      <c r="X20" s="2227"/>
      <c r="Y20" s="2227"/>
      <c r="Z20" s="2227"/>
    </row>
    <row r="21" spans="1:26" ht="42" customHeight="1" thickTop="1" thickBot="1">
      <c r="A21" s="785"/>
      <c r="B21" s="5395"/>
      <c r="C21" s="1927" t="str">
        <f>IF(Name_1st_Sp="","Enter your spouse's name on"&amp;CHAR(10)&amp;"the sheet labeled '1040'",NameSpouse)</f>
        <v>Enter your spouse's name on
the sheet labeled '1040'</v>
      </c>
      <c r="D21" s="1455" t="s">
        <v>314</v>
      </c>
      <c r="E21" s="1455" t="s">
        <v>315</v>
      </c>
      <c r="F21" s="1455" t="s">
        <v>316</v>
      </c>
      <c r="G21" s="1455" t="s">
        <v>317</v>
      </c>
      <c r="H21" s="1455" t="s">
        <v>412</v>
      </c>
      <c r="I21" s="1455" t="s">
        <v>248</v>
      </c>
      <c r="J21" s="1882" t="s">
        <v>250</v>
      </c>
      <c r="K21" s="325"/>
      <c r="L21" s="2036"/>
      <c r="M21" s="2036"/>
      <c r="N21" s="2036"/>
      <c r="O21" s="2036"/>
      <c r="P21" s="2036"/>
      <c r="Q21" s="2036"/>
      <c r="R21" s="2036"/>
      <c r="S21" s="2036"/>
      <c r="T21" s="2036"/>
      <c r="U21" s="2036"/>
      <c r="V21" s="2036"/>
      <c r="W21" s="2036"/>
      <c r="X21" s="2036"/>
      <c r="Y21" s="2036"/>
      <c r="Z21" s="2036"/>
    </row>
    <row r="22" spans="1:26">
      <c r="A22" s="780"/>
      <c r="B22" s="1775"/>
      <c r="C22" s="1783" t="s">
        <v>320</v>
      </c>
      <c r="D22" s="1937"/>
      <c r="E22" s="1938"/>
      <c r="F22" s="1938"/>
      <c r="G22" s="1938"/>
      <c r="H22" s="2816"/>
      <c r="I22" s="2816"/>
      <c r="J22" s="2247"/>
      <c r="K22" s="780"/>
      <c r="L22" s="2036"/>
      <c r="M22" s="2036"/>
      <c r="N22" s="2036"/>
      <c r="O22" s="2036"/>
      <c r="P22" s="2036"/>
      <c r="Q22" s="2036"/>
      <c r="R22" s="2036"/>
      <c r="S22" s="2036"/>
      <c r="T22" s="2036"/>
      <c r="U22" s="2036"/>
      <c r="V22" s="2036"/>
      <c r="W22" s="2036"/>
      <c r="X22" s="2036"/>
      <c r="Y22" s="2036"/>
      <c r="Z22" s="3216"/>
    </row>
    <row r="23" spans="1:26">
      <c r="A23" s="780"/>
      <c r="B23" s="1776"/>
      <c r="C23" s="1784" t="s">
        <v>321</v>
      </c>
      <c r="D23" s="1966"/>
      <c r="E23" s="1967"/>
      <c r="F23" s="1967"/>
      <c r="G23" s="1967"/>
      <c r="H23" s="3115"/>
      <c r="I23" s="3115"/>
      <c r="J23" s="2027"/>
      <c r="K23" s="780"/>
      <c r="L23" s="2036"/>
      <c r="M23" s="2036"/>
      <c r="N23" s="2036"/>
      <c r="O23" s="2036"/>
      <c r="P23" s="2036"/>
      <c r="Q23" s="2036"/>
      <c r="R23" s="2036"/>
      <c r="S23" s="2036"/>
      <c r="T23" s="2036"/>
      <c r="U23" s="2036"/>
      <c r="V23" s="2036"/>
      <c r="W23" s="2036"/>
      <c r="X23" s="2036"/>
      <c r="Y23" s="2036"/>
      <c r="Z23" s="3216"/>
    </row>
    <row r="24" spans="1:26" ht="13.5" thickBot="1">
      <c r="A24" s="780"/>
      <c r="B24" s="1777"/>
      <c r="C24" s="1785" t="s">
        <v>322</v>
      </c>
      <c r="D24" s="1969"/>
      <c r="E24" s="1970"/>
      <c r="F24" s="1970"/>
      <c r="G24" s="1970"/>
      <c r="H24" s="3116"/>
      <c r="I24" s="3116"/>
      <c r="J24" s="2027">
        <f>SUM(ForeignTaxPaid_INT,ForeignTaxPaid_DIV)</f>
        <v>0</v>
      </c>
      <c r="K24" s="780"/>
      <c r="L24" s="2036"/>
      <c r="M24" s="2036"/>
      <c r="N24" s="2036"/>
      <c r="O24" s="2036"/>
      <c r="P24" s="2036"/>
      <c r="Q24" s="2036"/>
      <c r="R24" s="2036"/>
      <c r="S24" s="2036"/>
      <c r="T24" s="2036"/>
      <c r="U24" s="2036"/>
      <c r="V24" s="2036"/>
      <c r="W24" s="2036"/>
      <c r="X24" s="2036"/>
      <c r="Y24" s="2036"/>
      <c r="Z24" s="3216"/>
    </row>
    <row r="25" spans="1:26" ht="13.5" customHeight="1">
      <c r="A25" s="780"/>
      <c r="B25" s="3130" t="s">
        <v>252</v>
      </c>
      <c r="C25" s="1778" t="s">
        <v>395</v>
      </c>
      <c r="D25" s="1940"/>
      <c r="E25" s="1941"/>
      <c r="F25" s="1941"/>
      <c r="G25" s="1941"/>
      <c r="H25" s="2225">
        <f>ROUND(SUM(D25:G25),0)</f>
        <v>0</v>
      </c>
      <c r="I25" s="2225">
        <f>SUM(UCE_You,UCE_Spouse)</f>
        <v>0</v>
      </c>
      <c r="J25" s="4123" t="s">
        <v>413</v>
      </c>
      <c r="K25" s="780"/>
      <c r="L25" s="2036"/>
      <c r="M25" s="2036"/>
      <c r="N25" s="2036"/>
      <c r="O25" s="2036"/>
      <c r="P25" s="2036"/>
      <c r="Q25" s="2036"/>
      <c r="R25" s="2036"/>
      <c r="S25" s="2036"/>
      <c r="T25" s="2036"/>
      <c r="U25" s="2036"/>
      <c r="V25" s="2036"/>
      <c r="W25" s="2036"/>
      <c r="X25" s="2036"/>
      <c r="Y25" s="2036"/>
      <c r="Z25" s="3216"/>
    </row>
    <row r="26" spans="1:26" ht="13.5" customHeight="1">
      <c r="A26" s="780"/>
      <c r="B26" s="942" t="s">
        <v>254</v>
      </c>
      <c r="C26" s="1779" t="s">
        <v>397</v>
      </c>
      <c r="D26" s="1942"/>
      <c r="E26" s="1943"/>
      <c r="F26" s="1943"/>
      <c r="G26" s="1943"/>
      <c r="H26" s="2226">
        <f>ROUND(SUM(D26:G26),0)</f>
        <v>0</v>
      </c>
      <c r="I26" s="2226">
        <f>SUM(I7,H26)</f>
        <v>0</v>
      </c>
      <c r="J26" s="3039" t="str">
        <f>IF(Needs_SALT,"  See sheet labeled","   'Sch. 1, Line 1 (SALT)', line 1   [State &amp; local tax]")</f>
        <v xml:space="preserve">   'Sch. 1, Line 1 (SALT)', line 1   [State &amp; local tax]</v>
      </c>
      <c r="K26" s="780"/>
      <c r="L26" s="2036"/>
      <c r="M26" s="2036"/>
      <c r="N26" s="2036"/>
      <c r="O26" s="2036"/>
      <c r="P26" s="2036"/>
      <c r="Q26" s="2036"/>
      <c r="R26" s="2036"/>
      <c r="S26" s="2036"/>
      <c r="T26" s="2036"/>
      <c r="U26" s="2036"/>
      <c r="V26" s="2036"/>
      <c r="W26" s="2036"/>
      <c r="X26" s="2036"/>
      <c r="Y26" s="2036"/>
      <c r="Z26" s="3216"/>
    </row>
    <row r="27" spans="1:26" ht="13.5" customHeight="1">
      <c r="A27" s="780"/>
      <c r="B27" s="3131" t="s">
        <v>256</v>
      </c>
      <c r="C27" s="1780" t="s">
        <v>398</v>
      </c>
      <c r="D27" s="1928"/>
      <c r="E27" s="1929"/>
      <c r="F27" s="1929"/>
      <c r="G27" s="1929"/>
      <c r="H27" s="3137" t="s">
        <v>399</v>
      </c>
      <c r="I27" s="3137" t="s">
        <v>399</v>
      </c>
      <c r="J27" s="2246" t="str">
        <f>IF(Needs_SALT,"      'Sch. 1, Line 1 (SALT)'. (State &amp; Local Tax)","")</f>
        <v/>
      </c>
      <c r="K27" s="780"/>
      <c r="L27" s="2036"/>
      <c r="M27" s="2036"/>
      <c r="N27" s="2036"/>
      <c r="O27" s="2036"/>
      <c r="P27" s="2036"/>
      <c r="Q27" s="2036"/>
      <c r="R27" s="2036"/>
      <c r="S27" s="2036"/>
      <c r="T27" s="2036"/>
      <c r="U27" s="2036"/>
      <c r="V27" s="2036"/>
      <c r="W27" s="2036"/>
      <c r="X27" s="2036"/>
      <c r="Y27" s="2036"/>
      <c r="Z27" s="3216"/>
    </row>
    <row r="28" spans="1:26" ht="13.5" customHeight="1">
      <c r="A28" s="780"/>
      <c r="B28" s="942">
        <v>4</v>
      </c>
      <c r="C28" s="1779" t="s">
        <v>255</v>
      </c>
      <c r="D28" s="1942"/>
      <c r="E28" s="1943"/>
      <c r="F28" s="1943"/>
      <c r="G28" s="1943"/>
      <c r="H28" s="2226">
        <f>ROUND(SUM(D28:G28),0)</f>
        <v>0</v>
      </c>
      <c r="I28" s="2226">
        <f>SUM(I9,H28)</f>
        <v>0</v>
      </c>
      <c r="J28" s="1884" t="s">
        <v>388</v>
      </c>
      <c r="K28" s="780"/>
      <c r="L28" s="2036"/>
      <c r="M28" s="2036"/>
      <c r="N28" s="2036"/>
      <c r="O28" s="2036"/>
      <c r="P28" s="2036"/>
      <c r="Q28" s="2036"/>
      <c r="R28" s="2036"/>
      <c r="S28" s="2036"/>
      <c r="T28" s="2036"/>
      <c r="U28" s="2036"/>
      <c r="V28" s="2036"/>
      <c r="W28" s="2036"/>
      <c r="X28" s="2036"/>
      <c r="Y28" s="2036"/>
      <c r="Z28" s="3216"/>
    </row>
    <row r="29" spans="1:26" ht="26.25" customHeight="1">
      <c r="A29" s="780"/>
      <c r="B29" s="942" t="s">
        <v>261</v>
      </c>
      <c r="C29" s="1779" t="s">
        <v>400</v>
      </c>
      <c r="D29" s="1942"/>
      <c r="E29" s="1943"/>
      <c r="F29" s="1943"/>
      <c r="G29" s="1943"/>
      <c r="H29" s="2226">
        <f>ROUND(SUM(D29:G29),0)</f>
        <v>0</v>
      </c>
      <c r="I29" s="2226">
        <f>SUM(I10,H29)</f>
        <v>0</v>
      </c>
      <c r="J29" s="1884" t="s">
        <v>414</v>
      </c>
      <c r="K29" s="780"/>
      <c r="L29" s="2036"/>
      <c r="M29" s="2036"/>
      <c r="N29" s="2036"/>
      <c r="O29" s="2036"/>
      <c r="P29" s="2036"/>
      <c r="Q29" s="2036"/>
      <c r="R29" s="2036"/>
      <c r="S29" s="2036"/>
      <c r="T29" s="2036"/>
      <c r="U29" s="2036"/>
      <c r="V29" s="2036"/>
      <c r="W29" s="2036"/>
      <c r="X29" s="2036"/>
      <c r="Y29" s="2036"/>
      <c r="Z29" s="3216"/>
    </row>
    <row r="30" spans="1:26">
      <c r="A30" s="780"/>
      <c r="B30" s="942" t="s">
        <v>263</v>
      </c>
      <c r="C30" s="1779" t="s">
        <v>401</v>
      </c>
      <c r="D30" s="1942"/>
      <c r="E30" s="1943"/>
      <c r="F30" s="1943"/>
      <c r="G30" s="1943"/>
      <c r="H30" s="2226">
        <f>ROUND(SUM(D30:G30),0)</f>
        <v>0</v>
      </c>
      <c r="I30" s="2226">
        <f>SUM(I11,H30)</f>
        <v>0</v>
      </c>
      <c r="J30" s="1884" t="s">
        <v>415</v>
      </c>
      <c r="K30" s="780"/>
      <c r="L30" s="2036"/>
      <c r="M30" s="2036"/>
      <c r="N30" s="2036"/>
      <c r="O30" s="2036"/>
      <c r="P30" s="2036"/>
      <c r="Q30" s="2036"/>
      <c r="R30" s="2036"/>
      <c r="S30" s="2036"/>
      <c r="T30" s="2036"/>
      <c r="U30" s="2036"/>
      <c r="V30" s="2036"/>
      <c r="W30" s="2036"/>
      <c r="X30" s="2036"/>
      <c r="Y30" s="2036"/>
      <c r="Z30" s="3216"/>
    </row>
    <row r="31" spans="1:26">
      <c r="A31" s="780"/>
      <c r="B31" s="942" t="s">
        <v>402</v>
      </c>
      <c r="C31" s="1779" t="s">
        <v>403</v>
      </c>
      <c r="D31" s="1942"/>
      <c r="E31" s="1943"/>
      <c r="F31" s="1943"/>
      <c r="G31" s="1943"/>
      <c r="H31" s="2226">
        <f>ROUND(SUM(D31:G31),0)</f>
        <v>0</v>
      </c>
      <c r="I31" s="2226">
        <f>SUM(I12,H31)</f>
        <v>0</v>
      </c>
      <c r="J31" s="1884" t="s">
        <v>416</v>
      </c>
      <c r="K31" s="780"/>
      <c r="L31" s="2036"/>
      <c r="M31" s="2036"/>
      <c r="N31" s="2036"/>
      <c r="O31" s="2036"/>
      <c r="P31" s="2036"/>
      <c r="Q31" s="2036"/>
      <c r="R31" s="2036"/>
      <c r="S31" s="2036"/>
      <c r="T31" s="2036"/>
      <c r="U31" s="2036"/>
      <c r="V31" s="2036"/>
      <c r="W31" s="2036"/>
      <c r="X31" s="2036"/>
      <c r="Y31" s="2036"/>
      <c r="Z31" s="3216"/>
    </row>
    <row r="32" spans="1:26">
      <c r="A32" s="780"/>
      <c r="B32" s="942" t="s">
        <v>404</v>
      </c>
      <c r="C32" s="1779" t="s">
        <v>405</v>
      </c>
      <c r="D32" s="1942"/>
      <c r="E32" s="1943"/>
      <c r="F32" s="1943"/>
      <c r="G32" s="1943"/>
      <c r="H32" s="2226">
        <f>ROUND(SUM(D32:G32),0)</f>
        <v>0</v>
      </c>
      <c r="I32" s="2226">
        <f>SUM(I13,H32)</f>
        <v>0</v>
      </c>
      <c r="J32" s="1884" t="s">
        <v>417</v>
      </c>
      <c r="K32" s="780"/>
      <c r="L32" s="2036"/>
      <c r="M32" s="2036"/>
      <c r="N32" s="2036"/>
      <c r="O32" s="2036"/>
      <c r="P32" s="2036"/>
      <c r="Q32" s="2036"/>
      <c r="R32" s="2036"/>
      <c r="S32" s="2036"/>
      <c r="T32" s="2036"/>
      <c r="U32" s="2036"/>
      <c r="V32" s="2036"/>
      <c r="W32" s="2036"/>
      <c r="X32" s="2036"/>
      <c r="Y32" s="2036"/>
      <c r="Z32" s="3216"/>
    </row>
    <row r="33" spans="1:26">
      <c r="A33" s="780"/>
      <c r="B33" s="3131" t="s">
        <v>268</v>
      </c>
      <c r="C33" s="1780" t="s">
        <v>406</v>
      </c>
      <c r="D33" s="2272"/>
      <c r="E33" s="2273"/>
      <c r="F33" s="2273"/>
      <c r="G33" s="2273"/>
      <c r="H33" s="2273"/>
      <c r="I33" s="2273"/>
      <c r="J33" s="3658" t="b">
        <f>AND(J13,D31="",E31="",F31="",G31="")</f>
        <v>0</v>
      </c>
      <c r="K33" s="780"/>
      <c r="L33" s="2036"/>
      <c r="M33" s="2036"/>
      <c r="N33" s="2036"/>
      <c r="O33" s="2036"/>
      <c r="P33" s="2036"/>
      <c r="Q33" s="2036"/>
      <c r="R33" s="2036"/>
      <c r="S33" s="2036"/>
      <c r="T33" s="2036"/>
      <c r="U33" s="2036"/>
      <c r="V33" s="2036"/>
      <c r="W33" s="2036"/>
      <c r="X33" s="2036"/>
      <c r="Y33" s="2036"/>
      <c r="Z33" s="3216"/>
    </row>
    <row r="34" spans="1:26">
      <c r="A34" s="780"/>
      <c r="B34" s="942" t="s">
        <v>407</v>
      </c>
      <c r="C34" s="1779" t="s">
        <v>408</v>
      </c>
      <c r="D34" s="1942"/>
      <c r="E34" s="1943"/>
      <c r="F34" s="1943"/>
      <c r="G34" s="1943"/>
      <c r="H34" s="2226">
        <f>ROUND(SUM(D34:G34),0)</f>
        <v>0</v>
      </c>
      <c r="I34" s="2226">
        <f>SUM(I15,H34)</f>
        <v>0</v>
      </c>
      <c r="J34" s="1884" t="s">
        <v>417</v>
      </c>
      <c r="K34" s="780"/>
      <c r="L34" s="2036"/>
      <c r="M34" s="2036"/>
      <c r="N34" s="2036"/>
      <c r="O34" s="2036"/>
      <c r="P34" s="2036"/>
      <c r="Q34" s="2036"/>
      <c r="R34" s="2036"/>
      <c r="S34" s="2036"/>
      <c r="T34" s="2036"/>
      <c r="U34" s="2036"/>
      <c r="V34" s="2036"/>
      <c r="W34" s="2036"/>
      <c r="X34" s="2036"/>
      <c r="Y34" s="2036"/>
      <c r="Z34" s="3216"/>
    </row>
    <row r="35" spans="1:26">
      <c r="A35" s="780"/>
      <c r="B35" s="3131" t="s">
        <v>409</v>
      </c>
      <c r="C35" s="1780" t="s">
        <v>339</v>
      </c>
      <c r="D35" s="1928"/>
      <c r="E35" s="1929"/>
      <c r="F35" s="1929"/>
      <c r="G35" s="1929"/>
      <c r="H35" s="2226"/>
      <c r="I35" s="2226"/>
      <c r="J35" s="3658" t="b">
        <f>AND(J15,D33="",E33="",F33="",G33="")</f>
        <v>0</v>
      </c>
      <c r="K35" s="780"/>
      <c r="L35" s="2036"/>
      <c r="M35" s="2036"/>
      <c r="N35" s="2036"/>
      <c r="O35" s="2036"/>
      <c r="P35" s="2036"/>
      <c r="Q35" s="2036"/>
      <c r="R35" s="2036"/>
      <c r="S35" s="2036"/>
      <c r="T35" s="2036"/>
      <c r="U35" s="2036"/>
      <c r="V35" s="2036"/>
      <c r="W35" s="2036"/>
      <c r="X35" s="2036"/>
      <c r="Y35" s="2036"/>
      <c r="Z35" s="3216"/>
    </row>
    <row r="36" spans="1:26">
      <c r="A36" s="780"/>
      <c r="B36" s="3131" t="s">
        <v>410</v>
      </c>
      <c r="C36" s="1780" t="s">
        <v>340</v>
      </c>
      <c r="D36" s="1930"/>
      <c r="E36" s="1931"/>
      <c r="F36" s="1931"/>
      <c r="G36" s="1931"/>
      <c r="H36" s="2226"/>
      <c r="I36" s="2226"/>
      <c r="J36" s="3133"/>
      <c r="K36" s="780"/>
      <c r="L36" s="2036"/>
      <c r="M36" s="2036"/>
      <c r="N36" s="2036"/>
      <c r="O36" s="2036"/>
      <c r="P36" s="2036"/>
      <c r="Q36" s="2036"/>
      <c r="R36" s="2036"/>
      <c r="S36" s="2036"/>
      <c r="T36" s="2036"/>
      <c r="U36" s="2036"/>
      <c r="V36" s="2036"/>
      <c r="W36" s="2036"/>
      <c r="X36" s="2036"/>
      <c r="Y36" s="2036"/>
      <c r="Z36" s="3216"/>
    </row>
    <row r="37" spans="1:26" ht="13.5" thickBot="1">
      <c r="A37" s="780"/>
      <c r="B37" s="3132">
        <v>11</v>
      </c>
      <c r="C37" s="1787" t="s">
        <v>411</v>
      </c>
      <c r="D37" s="1952"/>
      <c r="E37" s="1953"/>
      <c r="F37" s="1953"/>
      <c r="G37" s="1953"/>
      <c r="H37" s="3134">
        <f>ROUND(SUM(D37:G37),0)</f>
        <v>0</v>
      </c>
      <c r="I37" s="3134">
        <f>SUM(I18,H37)</f>
        <v>0</v>
      </c>
      <c r="J37" s="1884" t="s">
        <v>418</v>
      </c>
      <c r="K37" s="780"/>
      <c r="L37" s="2036"/>
      <c r="M37" s="2036"/>
      <c r="N37" s="2036"/>
      <c r="O37" s="2036"/>
      <c r="P37" s="2036"/>
      <c r="Q37" s="2036"/>
      <c r="R37" s="2036"/>
      <c r="S37" s="2036"/>
      <c r="T37" s="2036"/>
      <c r="U37" s="2036"/>
      <c r="V37" s="2036"/>
      <c r="W37" s="2036"/>
      <c r="X37" s="2036"/>
      <c r="Y37" s="2036"/>
      <c r="Z37" s="3216"/>
    </row>
    <row r="38" spans="1:26" ht="17.25" customHeight="1" thickBot="1">
      <c r="A38" s="22"/>
      <c r="B38" s="1906" t="s">
        <v>342</v>
      </c>
      <c r="C38" s="22"/>
      <c r="D38" s="22"/>
      <c r="E38" s="22"/>
      <c r="F38" s="22"/>
      <c r="G38" s="22"/>
      <c r="H38" s="22"/>
      <c r="I38" s="22"/>
      <c r="J38" s="22"/>
      <c r="K38" s="780"/>
      <c r="L38" s="2036"/>
      <c r="M38" s="2036"/>
      <c r="N38" s="2036"/>
      <c r="O38" s="2036"/>
      <c r="P38" s="2036"/>
      <c r="Q38" s="2036"/>
      <c r="R38" s="2036"/>
      <c r="S38" s="2036"/>
      <c r="T38" s="2036"/>
      <c r="U38" s="2036"/>
      <c r="V38" s="2036"/>
      <c r="W38" s="2036"/>
      <c r="X38" s="2036"/>
      <c r="Y38" s="2036"/>
      <c r="Z38" s="3216"/>
    </row>
    <row r="39" spans="1:26" ht="13.5" thickTop="1">
      <c r="A39" s="2322"/>
      <c r="Z39"/>
    </row>
    <row r="40" spans="1:26">
      <c r="Z40"/>
    </row>
    <row r="41" spans="1:26" ht="13.5" thickBot="1">
      <c r="Z41"/>
    </row>
    <row r="42" spans="1:26">
      <c r="C42" s="3199"/>
      <c r="Z42"/>
    </row>
    <row r="43" spans="1:26">
      <c r="C43" s="3195" t="s">
        <v>46</v>
      </c>
    </row>
    <row r="44" spans="1:26" ht="13.5" thickBot="1">
      <c r="C44" s="3200"/>
    </row>
  </sheetData>
  <sheetProtection algorithmName="SHA-512" hashValue="cFMXX8uQCGTEtKNxzv/8+kWH4QTLIn2SDc71mjvCkZr07lP6mQN30IqJFpbBIqjyJ1sDUpXcUDP7VC8KotlVXg==" saltValue="6G3Jy2RQGvRbSESDt0+mSg==" spinCount="100000" sheet="1" objects="1" scenarios="1"/>
  <conditionalFormatting sqref="D21:G37">
    <cfRule type="expression" dxfId="3252" priority="19">
      <formula>IF(NoColor,1,0)</formula>
    </cfRule>
  </conditionalFormatting>
  <conditionalFormatting sqref="D2:H18">
    <cfRule type="expression" dxfId="3251" priority="11">
      <formula>IF(NoColor,1,0)</formula>
    </cfRule>
  </conditionalFormatting>
  <conditionalFormatting sqref="H21:I21">
    <cfRule type="expression" dxfId="3250" priority="14">
      <formula>IF(NoColor,1,0)</formula>
    </cfRule>
  </conditionalFormatting>
  <conditionalFormatting sqref="H22:I32">
    <cfRule type="expression" dxfId="3249" priority="3">
      <formula>NoColor</formula>
    </cfRule>
  </conditionalFormatting>
  <conditionalFormatting sqref="H33:I33">
    <cfRule type="expression" dxfId="3248" priority="10">
      <formula>IF(NoColor,1,0)</formula>
    </cfRule>
  </conditionalFormatting>
  <conditionalFormatting sqref="H34:I37">
    <cfRule type="expression" dxfId="3247" priority="13">
      <formula>NoColor</formula>
    </cfRule>
  </conditionalFormatting>
  <conditionalFormatting sqref="I2">
    <cfRule type="expression" dxfId="3246" priority="9">
      <formula>IF(NoColor,1,0)</formula>
    </cfRule>
  </conditionalFormatting>
  <conditionalFormatting sqref="I3:I13">
    <cfRule type="expression" dxfId="3245" priority="5">
      <formula>NoColor</formula>
    </cfRule>
  </conditionalFormatting>
  <conditionalFormatting sqref="I14">
    <cfRule type="expression" dxfId="3244" priority="6">
      <formula>IF(NoColor,1,0)</formula>
    </cfRule>
  </conditionalFormatting>
  <conditionalFormatting sqref="I15:I18">
    <cfRule type="expression" dxfId="3243" priority="8">
      <formula>NoColor</formula>
    </cfRule>
  </conditionalFormatting>
  <conditionalFormatting sqref="J7">
    <cfRule type="expression" dxfId="3242" priority="17">
      <formula>Needs_SALT</formula>
    </cfRule>
  </conditionalFormatting>
  <conditionalFormatting sqref="J17">
    <cfRule type="expression" dxfId="3241" priority="4066">
      <formula>AND(#REF!,OR(#REF!="""",#REF!=""""))</formula>
    </cfRule>
  </conditionalFormatting>
  <conditionalFormatting sqref="J18 J20">
    <cfRule type="expression" dxfId="3240" priority="2">
      <formula>"AND('Sch. 1 Line 8 WS'!AP2,'Sch. 1 Line 8 WS'!AI7="""")"</formula>
    </cfRule>
  </conditionalFormatting>
  <conditionalFormatting sqref="J26">
    <cfRule type="expression" dxfId="3239" priority="23">
      <formula>Needs_SALT</formula>
    </cfRule>
  </conditionalFormatting>
  <hyperlinks>
    <hyperlink ref="C43" location="'Table of Contents'!A1" display="Table of Contents" xr:uid="{00000000-0004-0000-0600-000000000000}"/>
  </hyperlinks>
  <pageMargins left="0.75" right="0.25" top="0.36" bottom="0.28999999999999998" header="0.36" footer="0.21"/>
  <pageSetup scale="58"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72"/>
  <sheetViews>
    <sheetView zoomScaleNormal="100" workbookViewId="0"/>
  </sheetViews>
  <sheetFormatPr defaultRowHeight="12.75"/>
  <cols>
    <col min="1" max="1" width="3" customWidth="1"/>
    <col min="2" max="2" width="5.7109375" customWidth="1"/>
    <col min="15" max="15" width="3.28515625" customWidth="1"/>
  </cols>
  <sheetData>
    <row r="1" spans="1:15" ht="13.5" thickBot="1">
      <c r="A1" s="2240"/>
      <c r="B1" s="2240"/>
      <c r="C1" s="2240"/>
      <c r="D1" s="2240"/>
      <c r="E1" s="2240"/>
      <c r="F1" s="2240"/>
      <c r="G1" s="2240"/>
      <c r="H1" s="2240"/>
      <c r="I1" s="2240"/>
      <c r="J1" s="2240"/>
      <c r="K1" s="2240"/>
      <c r="L1" s="2240"/>
      <c r="M1" s="2240"/>
      <c r="N1" s="2240"/>
      <c r="O1" s="2240"/>
    </row>
    <row r="2" spans="1:15" ht="13.5" thickTop="1">
      <c r="A2" s="2240"/>
      <c r="B2" s="2233"/>
      <c r="C2" s="785"/>
      <c r="D2" s="785"/>
      <c r="E2" s="785"/>
      <c r="F2" s="785"/>
      <c r="G2" s="785"/>
      <c r="H2" s="785"/>
      <c r="I2" s="785"/>
      <c r="J2" s="785"/>
      <c r="K2" s="785"/>
      <c r="L2" s="785"/>
      <c r="M2" s="785"/>
      <c r="N2" s="2234"/>
      <c r="O2" s="2240"/>
    </row>
    <row r="3" spans="1:15">
      <c r="A3" s="2240"/>
      <c r="B3" s="2235"/>
      <c r="C3" s="1015" t="s">
        <v>419</v>
      </c>
      <c r="D3" s="780"/>
      <c r="E3" s="780"/>
      <c r="F3" s="780"/>
      <c r="G3" s="780"/>
      <c r="H3" s="780"/>
      <c r="I3" s="780"/>
      <c r="J3" s="780"/>
      <c r="K3" s="780"/>
      <c r="L3" s="780"/>
      <c r="M3" s="780"/>
      <c r="N3" s="2236"/>
      <c r="O3" s="2240"/>
    </row>
    <row r="4" spans="1:15">
      <c r="A4" s="2240"/>
      <c r="B4" s="2235"/>
      <c r="C4" s="780"/>
      <c r="D4" s="780"/>
      <c r="E4" s="780"/>
      <c r="F4" s="780"/>
      <c r="G4" s="780"/>
      <c r="H4" s="780"/>
      <c r="I4" s="780"/>
      <c r="J4" s="780"/>
      <c r="K4" s="780"/>
      <c r="L4" s="780"/>
      <c r="M4" s="780"/>
      <c r="N4" s="2236"/>
      <c r="O4" s="2240"/>
    </row>
    <row r="5" spans="1:15">
      <c r="A5" s="2240"/>
      <c r="B5" s="2235"/>
      <c r="C5" s="1009" t="s">
        <v>420</v>
      </c>
      <c r="D5" s="780"/>
      <c r="E5" s="780"/>
      <c r="F5" s="780"/>
      <c r="G5" s="780"/>
      <c r="H5" s="780"/>
      <c r="I5" s="780"/>
      <c r="J5" s="780"/>
      <c r="K5" s="780"/>
      <c r="L5" s="780"/>
      <c r="M5" s="780"/>
      <c r="N5" s="2236"/>
      <c r="O5" s="2240"/>
    </row>
    <row r="6" spans="1:15">
      <c r="A6" s="2240"/>
      <c r="B6" s="2235"/>
      <c r="C6" s="780"/>
      <c r="D6" s="780"/>
      <c r="E6" s="780"/>
      <c r="F6" s="780"/>
      <c r="G6" s="780"/>
      <c r="H6" s="780"/>
      <c r="I6" s="780"/>
      <c r="J6" s="780"/>
      <c r="K6" s="780"/>
      <c r="L6" s="780"/>
      <c r="M6" s="780"/>
      <c r="N6" s="2236"/>
      <c r="O6" s="2240"/>
    </row>
    <row r="7" spans="1:15">
      <c r="A7" s="2240"/>
      <c r="B7" s="2235"/>
      <c r="C7" s="1015" t="s">
        <v>421</v>
      </c>
      <c r="D7" s="2241" t="s">
        <v>5731</v>
      </c>
      <c r="E7" s="780"/>
      <c r="F7" s="780"/>
      <c r="G7" s="780"/>
      <c r="H7" s="780"/>
      <c r="I7" s="780"/>
      <c r="J7" s="780"/>
      <c r="K7" s="780"/>
      <c r="L7" s="780"/>
      <c r="M7" s="780"/>
      <c r="N7" s="2236"/>
      <c r="O7" s="2240"/>
    </row>
    <row r="8" spans="1:15">
      <c r="A8" s="2240"/>
      <c r="B8" s="2235"/>
      <c r="C8" s="780"/>
      <c r="D8" s="1009"/>
      <c r="E8" s="780"/>
      <c r="F8" s="780"/>
      <c r="G8" s="780"/>
      <c r="H8" s="780"/>
      <c r="I8" s="780"/>
      <c r="J8" s="780"/>
      <c r="K8" s="780"/>
      <c r="L8" s="780"/>
      <c r="M8" s="780"/>
      <c r="N8" s="2236"/>
      <c r="O8" s="2240"/>
    </row>
    <row r="9" spans="1:15">
      <c r="A9" s="2240"/>
      <c r="B9" s="2235"/>
      <c r="C9" s="1015" t="s">
        <v>5732</v>
      </c>
      <c r="D9" s="780"/>
      <c r="E9" s="780"/>
      <c r="F9" s="780"/>
      <c r="G9" s="780"/>
      <c r="H9" s="780"/>
      <c r="I9" s="780"/>
      <c r="J9" s="780"/>
      <c r="K9" s="780"/>
      <c r="L9" s="780"/>
      <c r="M9" s="780"/>
      <c r="N9" s="2236"/>
      <c r="O9" s="2240"/>
    </row>
    <row r="10" spans="1:15">
      <c r="A10" s="2240"/>
      <c r="B10" s="2235"/>
      <c r="C10" s="2242" t="s">
        <v>422</v>
      </c>
      <c r="D10" s="780"/>
      <c r="E10" s="780"/>
      <c r="F10" s="780"/>
      <c r="G10" s="780"/>
      <c r="H10" s="780"/>
      <c r="I10" s="780"/>
      <c r="J10" s="780"/>
      <c r="K10" s="780"/>
      <c r="L10" s="780"/>
      <c r="M10" s="780"/>
      <c r="N10" s="2236"/>
      <c r="O10" s="2240"/>
    </row>
    <row r="11" spans="1:15">
      <c r="A11" s="2240"/>
      <c r="B11" s="2235"/>
      <c r="C11" s="780"/>
      <c r="D11" s="780"/>
      <c r="E11" s="780"/>
      <c r="F11" s="780"/>
      <c r="G11" s="780"/>
      <c r="H11" s="780"/>
      <c r="I11" s="780"/>
      <c r="J11" s="780"/>
      <c r="K11" s="780"/>
      <c r="L11" s="780"/>
      <c r="M11" s="780"/>
      <c r="N11" s="2236"/>
      <c r="O11" s="2240"/>
    </row>
    <row r="12" spans="1:15">
      <c r="A12" s="2240"/>
      <c r="B12" s="2235"/>
      <c r="C12" s="780"/>
      <c r="D12" s="780"/>
      <c r="E12" s="780"/>
      <c r="F12" s="780"/>
      <c r="G12" s="780"/>
      <c r="H12" s="780"/>
      <c r="I12" s="780"/>
      <c r="J12" s="780"/>
      <c r="K12" s="780"/>
      <c r="L12" s="780"/>
      <c r="M12" s="780"/>
      <c r="N12" s="2236"/>
      <c r="O12" s="2240"/>
    </row>
    <row r="13" spans="1:15">
      <c r="A13" s="2240"/>
      <c r="B13" s="2235"/>
      <c r="C13" s="780"/>
      <c r="D13" s="780"/>
      <c r="E13" s="780"/>
      <c r="F13" s="780"/>
      <c r="G13" s="780"/>
      <c r="H13" s="780"/>
      <c r="I13" s="780"/>
      <c r="J13" s="780"/>
      <c r="K13" s="780"/>
      <c r="L13" s="780"/>
      <c r="M13" s="780"/>
      <c r="N13" s="2236"/>
      <c r="O13" s="2240"/>
    </row>
    <row r="14" spans="1:15">
      <c r="A14" s="2240"/>
      <c r="B14" s="2235"/>
      <c r="C14" s="780"/>
      <c r="D14" s="780"/>
      <c r="E14" s="780"/>
      <c r="F14" s="780"/>
      <c r="G14" s="780"/>
      <c r="H14" s="780"/>
      <c r="I14" s="780"/>
      <c r="J14" s="780"/>
      <c r="K14" s="780"/>
      <c r="L14" s="780"/>
      <c r="M14" s="780"/>
      <c r="N14" s="2236"/>
      <c r="O14" s="2240"/>
    </row>
    <row r="15" spans="1:15">
      <c r="A15" s="2240"/>
      <c r="B15" s="2235"/>
      <c r="C15" s="780"/>
      <c r="D15" s="780"/>
      <c r="E15" s="780"/>
      <c r="F15" s="780"/>
      <c r="G15" s="780"/>
      <c r="H15" s="780"/>
      <c r="I15" s="780"/>
      <c r="J15" s="780"/>
      <c r="K15" s="780"/>
      <c r="L15" s="780"/>
      <c r="M15" s="780"/>
      <c r="N15" s="2236"/>
      <c r="O15" s="2240"/>
    </row>
    <row r="16" spans="1:15">
      <c r="A16" s="2240"/>
      <c r="B16" s="2235"/>
      <c r="C16" s="780"/>
      <c r="D16" s="780"/>
      <c r="E16" s="780"/>
      <c r="F16" s="780"/>
      <c r="G16" s="780"/>
      <c r="H16" s="780"/>
      <c r="I16" s="780"/>
      <c r="J16" s="780"/>
      <c r="K16" s="780"/>
      <c r="L16" s="780"/>
      <c r="M16" s="780"/>
      <c r="N16" s="2236"/>
      <c r="O16" s="2240"/>
    </row>
    <row r="17" spans="1:15">
      <c r="A17" s="2240"/>
      <c r="B17" s="2235"/>
      <c r="C17" s="780"/>
      <c r="D17" s="780"/>
      <c r="E17" s="780"/>
      <c r="F17" s="780"/>
      <c r="G17" s="780"/>
      <c r="H17" s="780"/>
      <c r="I17" s="780"/>
      <c r="J17" s="780"/>
      <c r="K17" s="780"/>
      <c r="L17" s="780"/>
      <c r="M17" s="780"/>
      <c r="N17" s="2236"/>
      <c r="O17" s="2240"/>
    </row>
    <row r="18" spans="1:15">
      <c r="A18" s="2240"/>
      <c r="B18" s="2235"/>
      <c r="C18" s="780"/>
      <c r="D18" s="780"/>
      <c r="E18" s="780"/>
      <c r="F18" s="780"/>
      <c r="G18" s="780"/>
      <c r="H18" s="780"/>
      <c r="I18" s="780"/>
      <c r="J18" s="780"/>
      <c r="K18" s="780"/>
      <c r="L18" s="780"/>
      <c r="M18" s="780"/>
      <c r="N18" s="2236"/>
      <c r="O18" s="2240"/>
    </row>
    <row r="19" spans="1:15">
      <c r="A19" s="2240"/>
      <c r="B19" s="2235"/>
      <c r="C19" s="780"/>
      <c r="D19" s="780"/>
      <c r="E19" s="780"/>
      <c r="F19" s="780"/>
      <c r="G19" s="780"/>
      <c r="H19" s="780"/>
      <c r="I19" s="780"/>
      <c r="J19" s="780"/>
      <c r="K19" s="780"/>
      <c r="L19" s="780"/>
      <c r="M19" s="780"/>
      <c r="N19" s="2236"/>
      <c r="O19" s="2240"/>
    </row>
    <row r="20" spans="1:15">
      <c r="A20" s="2240"/>
      <c r="B20" s="2235"/>
      <c r="C20" s="780"/>
      <c r="D20" s="780"/>
      <c r="E20" s="780"/>
      <c r="F20" s="780"/>
      <c r="G20" s="780"/>
      <c r="H20" s="780"/>
      <c r="I20" s="780"/>
      <c r="J20" s="780"/>
      <c r="K20" s="780"/>
      <c r="L20" s="780"/>
      <c r="M20" s="780"/>
      <c r="N20" s="2236"/>
      <c r="O20" s="2240"/>
    </row>
    <row r="21" spans="1:15">
      <c r="A21" s="2240"/>
      <c r="B21" s="2235"/>
      <c r="C21" s="780"/>
      <c r="D21" s="780"/>
      <c r="E21" s="780"/>
      <c r="F21" s="780"/>
      <c r="G21" s="780"/>
      <c r="H21" s="780"/>
      <c r="I21" s="780"/>
      <c r="J21" s="780"/>
      <c r="K21" s="780"/>
      <c r="L21" s="780"/>
      <c r="M21" s="780"/>
      <c r="N21" s="2236"/>
      <c r="O21" s="2240"/>
    </row>
    <row r="22" spans="1:15">
      <c r="A22" s="2240"/>
      <c r="B22" s="2235"/>
      <c r="C22" s="780"/>
      <c r="D22" s="780"/>
      <c r="E22" s="780"/>
      <c r="F22" s="780"/>
      <c r="G22" s="780"/>
      <c r="H22" s="780"/>
      <c r="I22" s="780"/>
      <c r="J22" s="780"/>
      <c r="K22" s="780"/>
      <c r="L22" s="780"/>
      <c r="M22" s="780"/>
      <c r="N22" s="2236"/>
      <c r="O22" s="2240"/>
    </row>
    <row r="23" spans="1:15">
      <c r="A23" s="2240"/>
      <c r="B23" s="2235"/>
      <c r="C23" s="780"/>
      <c r="D23" s="780"/>
      <c r="E23" s="780"/>
      <c r="F23" s="780"/>
      <c r="G23" s="780"/>
      <c r="H23" s="780"/>
      <c r="I23" s="780"/>
      <c r="J23" s="780"/>
      <c r="K23" s="780"/>
      <c r="L23" s="780"/>
      <c r="M23" s="780"/>
      <c r="N23" s="2236"/>
      <c r="O23" s="2240"/>
    </row>
    <row r="24" spans="1:15">
      <c r="A24" s="2240"/>
      <c r="B24" s="2235"/>
      <c r="C24" s="780"/>
      <c r="D24" s="780"/>
      <c r="E24" s="780"/>
      <c r="F24" s="780"/>
      <c r="G24" s="780"/>
      <c r="H24" s="780"/>
      <c r="I24" s="780"/>
      <c r="J24" s="780"/>
      <c r="K24" s="780"/>
      <c r="L24" s="780"/>
      <c r="M24" s="780"/>
      <c r="N24" s="2236"/>
      <c r="O24" s="2240"/>
    </row>
    <row r="25" spans="1:15">
      <c r="A25" s="2240"/>
      <c r="B25" s="2235"/>
      <c r="C25" s="780"/>
      <c r="D25" s="780"/>
      <c r="E25" s="780"/>
      <c r="F25" s="780"/>
      <c r="G25" s="780"/>
      <c r="H25" s="780"/>
      <c r="I25" s="780"/>
      <c r="J25" s="780"/>
      <c r="K25" s="780"/>
      <c r="L25" s="780"/>
      <c r="M25" s="780"/>
      <c r="N25" s="2236"/>
      <c r="O25" s="2240"/>
    </row>
    <row r="26" spans="1:15">
      <c r="A26" s="2240"/>
      <c r="B26" s="2235"/>
      <c r="C26" s="780"/>
      <c r="D26" s="780"/>
      <c r="E26" s="780"/>
      <c r="F26" s="780"/>
      <c r="G26" s="780"/>
      <c r="H26" s="780"/>
      <c r="I26" s="780"/>
      <c r="J26" s="780"/>
      <c r="K26" s="780"/>
      <c r="L26" s="780"/>
      <c r="M26" s="780"/>
      <c r="N26" s="2236"/>
      <c r="O26" s="2240"/>
    </row>
    <row r="27" spans="1:15">
      <c r="A27" s="2240"/>
      <c r="B27" s="2235"/>
      <c r="C27" s="780"/>
      <c r="D27" s="780"/>
      <c r="E27" s="780"/>
      <c r="F27" s="780"/>
      <c r="G27" s="780"/>
      <c r="H27" s="780"/>
      <c r="I27" s="780"/>
      <c r="J27" s="780"/>
      <c r="K27" s="780"/>
      <c r="L27" s="780"/>
      <c r="M27" s="780"/>
      <c r="N27" s="2236"/>
      <c r="O27" s="2240"/>
    </row>
    <row r="28" spans="1:15">
      <c r="A28" s="2240"/>
      <c r="B28" s="2235"/>
      <c r="C28" s="780"/>
      <c r="D28" s="780"/>
      <c r="E28" s="780"/>
      <c r="F28" s="780"/>
      <c r="G28" s="780"/>
      <c r="H28" s="780"/>
      <c r="I28" s="780"/>
      <c r="J28" s="780"/>
      <c r="K28" s="780"/>
      <c r="L28" s="780"/>
      <c r="M28" s="780"/>
      <c r="N28" s="2236"/>
      <c r="O28" s="2240"/>
    </row>
    <row r="29" spans="1:15">
      <c r="A29" s="2240"/>
      <c r="B29" s="2235"/>
      <c r="C29" s="780"/>
      <c r="D29" s="780"/>
      <c r="E29" s="780"/>
      <c r="F29" s="780"/>
      <c r="G29" s="780"/>
      <c r="H29" s="780"/>
      <c r="I29" s="780"/>
      <c r="J29" s="780"/>
      <c r="K29" s="780"/>
      <c r="L29" s="780"/>
      <c r="M29" s="780"/>
      <c r="N29" s="2236"/>
      <c r="O29" s="2240"/>
    </row>
    <row r="30" spans="1:15">
      <c r="A30" s="2240"/>
      <c r="B30" s="2235"/>
      <c r="C30" s="780"/>
      <c r="D30" s="780"/>
      <c r="E30" s="780"/>
      <c r="F30" s="780"/>
      <c r="G30" s="780"/>
      <c r="H30" s="780"/>
      <c r="I30" s="780"/>
      <c r="J30" s="780"/>
      <c r="K30" s="780"/>
      <c r="L30" s="780"/>
      <c r="M30" s="780"/>
      <c r="N30" s="2236"/>
      <c r="O30" s="2240"/>
    </row>
    <row r="31" spans="1:15">
      <c r="A31" s="2240"/>
      <c r="B31" s="2235"/>
      <c r="C31" s="780"/>
      <c r="D31" s="780"/>
      <c r="E31" s="780"/>
      <c r="F31" s="780"/>
      <c r="G31" s="780"/>
      <c r="H31" s="780"/>
      <c r="I31" s="780"/>
      <c r="J31" s="780"/>
      <c r="K31" s="780"/>
      <c r="L31" s="780"/>
      <c r="M31" s="780"/>
      <c r="N31" s="2236"/>
      <c r="O31" s="2240"/>
    </row>
    <row r="32" spans="1:15">
      <c r="A32" s="2240"/>
      <c r="B32" s="2235"/>
      <c r="C32" s="780"/>
      <c r="D32" s="780"/>
      <c r="E32" s="780"/>
      <c r="F32" s="780"/>
      <c r="G32" s="780"/>
      <c r="H32" s="780"/>
      <c r="I32" s="780"/>
      <c r="J32" s="780"/>
      <c r="K32" s="780"/>
      <c r="L32" s="780"/>
      <c r="M32" s="780"/>
      <c r="N32" s="2236"/>
      <c r="O32" s="2240"/>
    </row>
    <row r="33" spans="1:15">
      <c r="A33" s="2240"/>
      <c r="B33" s="2235"/>
      <c r="C33" s="780"/>
      <c r="D33" s="780"/>
      <c r="E33" s="780"/>
      <c r="F33" s="780"/>
      <c r="G33" s="780"/>
      <c r="H33" s="780"/>
      <c r="I33" s="780"/>
      <c r="J33" s="780"/>
      <c r="K33" s="780"/>
      <c r="L33" s="780"/>
      <c r="M33" s="780"/>
      <c r="N33" s="2236"/>
      <c r="O33" s="2240"/>
    </row>
    <row r="34" spans="1:15">
      <c r="A34" s="2240"/>
      <c r="B34" s="2235"/>
      <c r="C34" s="780"/>
      <c r="D34" s="780"/>
      <c r="E34" s="780"/>
      <c r="F34" s="780"/>
      <c r="G34" s="780"/>
      <c r="H34" s="780"/>
      <c r="I34" s="780"/>
      <c r="J34" s="780"/>
      <c r="K34" s="780"/>
      <c r="L34" s="780"/>
      <c r="M34" s="780"/>
      <c r="N34" s="2236"/>
      <c r="O34" s="2240"/>
    </row>
    <row r="35" spans="1:15">
      <c r="A35" s="2240"/>
      <c r="B35" s="2235"/>
      <c r="C35" s="780"/>
      <c r="D35" s="780"/>
      <c r="E35" s="780"/>
      <c r="F35" s="780"/>
      <c r="G35" s="780"/>
      <c r="H35" s="780"/>
      <c r="I35" s="780"/>
      <c r="J35" s="780"/>
      <c r="K35" s="780"/>
      <c r="L35" s="780"/>
      <c r="M35" s="780"/>
      <c r="N35" s="2236"/>
      <c r="O35" s="2240"/>
    </row>
    <row r="36" spans="1:15">
      <c r="A36" s="2240"/>
      <c r="B36" s="2235"/>
      <c r="C36" s="780"/>
      <c r="D36" s="780"/>
      <c r="E36" s="780"/>
      <c r="F36" s="780"/>
      <c r="G36" s="780"/>
      <c r="H36" s="780"/>
      <c r="I36" s="780"/>
      <c r="J36" s="780"/>
      <c r="K36" s="780"/>
      <c r="L36" s="780"/>
      <c r="M36" s="780"/>
      <c r="N36" s="2236"/>
      <c r="O36" s="2240"/>
    </row>
    <row r="37" spans="1:15">
      <c r="A37" s="2240"/>
      <c r="B37" s="2235"/>
      <c r="C37" s="780"/>
      <c r="D37" s="780"/>
      <c r="E37" s="780"/>
      <c r="F37" s="780"/>
      <c r="G37" s="780"/>
      <c r="H37" s="780"/>
      <c r="I37" s="780"/>
      <c r="J37" s="780"/>
      <c r="K37" s="780"/>
      <c r="L37" s="780"/>
      <c r="M37" s="780"/>
      <c r="N37" s="2236"/>
      <c r="O37" s="2240"/>
    </row>
    <row r="38" spans="1:15">
      <c r="A38" s="2240"/>
      <c r="B38" s="2235"/>
      <c r="C38" s="780"/>
      <c r="D38" s="780"/>
      <c r="E38" s="780"/>
      <c r="F38" s="780"/>
      <c r="G38" s="780"/>
      <c r="H38" s="780"/>
      <c r="I38" s="780"/>
      <c r="J38" s="780"/>
      <c r="K38" s="780"/>
      <c r="L38" s="780"/>
      <c r="M38" s="780"/>
      <c r="N38" s="2236"/>
      <c r="O38" s="2240"/>
    </row>
    <row r="39" spans="1:15">
      <c r="A39" s="2240"/>
      <c r="B39" s="2235"/>
      <c r="C39" s="780"/>
      <c r="D39" s="780"/>
      <c r="E39" s="780"/>
      <c r="F39" s="780"/>
      <c r="G39" s="780"/>
      <c r="H39" s="780"/>
      <c r="I39" s="780"/>
      <c r="J39" s="780"/>
      <c r="K39" s="780"/>
      <c r="L39" s="780"/>
      <c r="M39" s="780"/>
      <c r="N39" s="2236"/>
      <c r="O39" s="2240"/>
    </row>
    <row r="40" spans="1:15" ht="13.5" thickBot="1">
      <c r="A40" s="2240"/>
      <c r="B40" s="2237"/>
      <c r="C40" s="2238"/>
      <c r="D40" s="2238"/>
      <c r="E40" s="2238"/>
      <c r="F40" s="2238"/>
      <c r="G40" s="2238"/>
      <c r="H40" s="2238"/>
      <c r="I40" s="2238"/>
      <c r="J40" s="2238"/>
      <c r="K40" s="2238"/>
      <c r="L40" s="2238"/>
      <c r="M40" s="2238"/>
      <c r="N40" s="2239"/>
      <c r="O40" s="2240"/>
    </row>
    <row r="41" spans="1:15" ht="21.75" customHeight="1" thickTop="1">
      <c r="A41" s="2240"/>
      <c r="B41" s="2240"/>
      <c r="C41" s="2240"/>
      <c r="D41" s="2240"/>
      <c r="E41" s="2240"/>
      <c r="F41" s="2240"/>
      <c r="G41" s="2240"/>
      <c r="H41" s="2240"/>
      <c r="I41" s="2240"/>
      <c r="J41" s="2240"/>
      <c r="K41" s="2240"/>
      <c r="L41" s="2240"/>
      <c r="M41" s="2240"/>
      <c r="N41" s="2240"/>
      <c r="O41" s="2240"/>
    </row>
    <row r="42" spans="1:15">
      <c r="A42" s="2240"/>
      <c r="B42" s="2240"/>
      <c r="C42" s="2240"/>
      <c r="D42" s="2240"/>
      <c r="E42" s="2240"/>
      <c r="F42" s="2240"/>
      <c r="G42" s="2240"/>
      <c r="H42" s="2240"/>
      <c r="I42" s="2240"/>
      <c r="J42" s="2240"/>
      <c r="K42" s="2240"/>
      <c r="L42" s="2240"/>
      <c r="M42" s="2240"/>
      <c r="N42" s="2240"/>
      <c r="O42" s="2240"/>
    </row>
    <row r="43" spans="1:15">
      <c r="A43" s="2240"/>
      <c r="B43" s="2240"/>
      <c r="C43" s="2240"/>
      <c r="D43" s="2240"/>
      <c r="E43" s="2240"/>
      <c r="F43" s="2240"/>
      <c r="G43" s="2240"/>
      <c r="H43" s="2240"/>
      <c r="I43" s="2240"/>
      <c r="J43" s="2240"/>
      <c r="K43" s="2240"/>
      <c r="L43" s="2240"/>
      <c r="M43" s="2240"/>
      <c r="N43" s="2240"/>
      <c r="O43" s="2240"/>
    </row>
    <row r="44" spans="1:15">
      <c r="A44" s="2240"/>
      <c r="B44" s="2240"/>
      <c r="C44" s="2240"/>
      <c r="D44" s="2240"/>
      <c r="E44" s="2240"/>
      <c r="F44" s="2240"/>
      <c r="G44" s="2240"/>
      <c r="H44" s="2240"/>
      <c r="I44" s="2240"/>
      <c r="J44" s="2240"/>
      <c r="K44" s="2240"/>
      <c r="L44" s="2240"/>
      <c r="M44" s="2240"/>
      <c r="N44" s="2240"/>
      <c r="O44" s="2240"/>
    </row>
    <row r="45" spans="1:15">
      <c r="A45" s="2240"/>
      <c r="B45" s="2240"/>
      <c r="C45" s="2240"/>
      <c r="D45" s="2240"/>
      <c r="E45" s="2240"/>
      <c r="F45" s="2240"/>
      <c r="G45" s="2240"/>
      <c r="H45" s="2240"/>
      <c r="I45" s="2240"/>
      <c r="J45" s="2240"/>
      <c r="K45" s="2240"/>
      <c r="L45" s="2240"/>
      <c r="M45" s="2240"/>
      <c r="N45" s="2240"/>
      <c r="O45" s="2240"/>
    </row>
    <row r="46" spans="1:15">
      <c r="A46" s="2240"/>
      <c r="B46" s="2240"/>
      <c r="C46" s="2240"/>
      <c r="D46" s="2240"/>
      <c r="E46" s="2240"/>
      <c r="F46" s="2240"/>
      <c r="G46" s="2240"/>
      <c r="H46" s="2240"/>
      <c r="I46" s="2240"/>
      <c r="J46" s="2240"/>
      <c r="K46" s="2240"/>
      <c r="L46" s="2240"/>
      <c r="M46" s="2240"/>
      <c r="N46" s="2240"/>
      <c r="O46" s="2240"/>
    </row>
    <row r="47" spans="1:15">
      <c r="A47" s="2240"/>
      <c r="B47" s="2240"/>
      <c r="C47" s="2240"/>
      <c r="D47" s="2240"/>
      <c r="E47" s="2240"/>
      <c r="F47" s="2240"/>
      <c r="G47" s="2240"/>
      <c r="H47" s="2240"/>
      <c r="I47" s="2240"/>
      <c r="J47" s="2240"/>
      <c r="K47" s="2240"/>
      <c r="L47" s="2240"/>
      <c r="M47" s="2240"/>
      <c r="N47" s="2240"/>
      <c r="O47" s="2240"/>
    </row>
    <row r="48" spans="1:15">
      <c r="A48" s="2240"/>
      <c r="B48" s="2240"/>
      <c r="C48" s="2240"/>
      <c r="D48" s="2240"/>
      <c r="E48" s="2240"/>
      <c r="F48" s="2240"/>
      <c r="G48" s="2240"/>
      <c r="H48" s="2240"/>
      <c r="I48" s="2240"/>
      <c r="J48" s="2240"/>
      <c r="K48" s="2240"/>
      <c r="L48" s="2240"/>
      <c r="M48" s="2240"/>
      <c r="N48" s="2240"/>
      <c r="O48" s="2240"/>
    </row>
    <row r="49" spans="1:15">
      <c r="A49" s="2240"/>
      <c r="B49" s="2240"/>
      <c r="C49" s="2240"/>
      <c r="D49" s="2240"/>
      <c r="E49" s="2240"/>
      <c r="F49" s="2240"/>
      <c r="G49" s="2240"/>
      <c r="H49" s="2240"/>
      <c r="I49" s="2240"/>
      <c r="J49" s="2240"/>
      <c r="K49" s="2240"/>
      <c r="L49" s="2240"/>
      <c r="M49" s="2240"/>
      <c r="N49" s="2240"/>
      <c r="O49" s="2240"/>
    </row>
    <row r="50" spans="1:15">
      <c r="A50" s="2240"/>
      <c r="B50" s="2240"/>
      <c r="C50" s="2240"/>
      <c r="D50" s="2240"/>
      <c r="E50" s="2240"/>
      <c r="F50" s="2240"/>
      <c r="G50" s="2240"/>
      <c r="H50" s="2240"/>
      <c r="I50" s="2240"/>
      <c r="J50" s="2240"/>
      <c r="K50" s="2240"/>
      <c r="L50" s="2240"/>
      <c r="M50" s="2240"/>
      <c r="N50" s="2240"/>
      <c r="O50" s="2240"/>
    </row>
    <row r="51" spans="1:15">
      <c r="A51" s="2240"/>
      <c r="B51" s="2240"/>
      <c r="C51" s="2240"/>
      <c r="D51" s="2240"/>
      <c r="E51" s="2240"/>
      <c r="F51" s="2240"/>
      <c r="G51" s="2240"/>
      <c r="H51" s="2240"/>
      <c r="I51" s="2240"/>
      <c r="J51" s="2240"/>
      <c r="K51" s="2240"/>
      <c r="L51" s="2240"/>
      <c r="M51" s="2240"/>
      <c r="N51" s="2240"/>
      <c r="O51" s="2240"/>
    </row>
    <row r="52" spans="1:15">
      <c r="A52" s="2240"/>
      <c r="B52" s="2240"/>
      <c r="C52" s="2240"/>
      <c r="D52" s="2240"/>
      <c r="E52" s="2240"/>
      <c r="F52" s="2240"/>
      <c r="G52" s="2240"/>
      <c r="H52" s="2240"/>
      <c r="I52" s="2240"/>
      <c r="J52" s="2240"/>
      <c r="K52" s="2240"/>
      <c r="L52" s="2240"/>
      <c r="M52" s="2240"/>
      <c r="N52" s="2240"/>
      <c r="O52" s="2240"/>
    </row>
    <row r="53" spans="1:15">
      <c r="A53" s="2240"/>
      <c r="B53" s="2240"/>
      <c r="C53" s="2240"/>
      <c r="D53" s="2240"/>
      <c r="E53" s="2240"/>
      <c r="F53" s="2240"/>
      <c r="G53" s="2240"/>
      <c r="H53" s="2240"/>
      <c r="I53" s="2240"/>
      <c r="J53" s="2240"/>
      <c r="K53" s="2240"/>
      <c r="L53" s="2240"/>
      <c r="M53" s="2240"/>
      <c r="N53" s="2240"/>
      <c r="O53" s="2240"/>
    </row>
    <row r="54" spans="1:15">
      <c r="A54" s="2240"/>
      <c r="B54" s="2240"/>
      <c r="C54" s="2240"/>
      <c r="D54" s="2240"/>
      <c r="E54" s="2240"/>
      <c r="F54" s="2240"/>
      <c r="G54" s="2240"/>
      <c r="H54" s="2240"/>
      <c r="I54" s="2240"/>
      <c r="J54" s="2240"/>
      <c r="K54" s="2240"/>
      <c r="L54" s="2240"/>
      <c r="M54" s="2240"/>
      <c r="N54" s="2240"/>
      <c r="O54" s="2240"/>
    </row>
    <row r="55" spans="1:15">
      <c r="A55" s="2240"/>
      <c r="B55" s="2240"/>
      <c r="C55" s="2240"/>
      <c r="D55" s="2240"/>
      <c r="E55" s="2240"/>
      <c r="F55" s="2240"/>
      <c r="G55" s="2240"/>
      <c r="H55" s="2240"/>
      <c r="I55" s="2240"/>
      <c r="J55" s="2240"/>
      <c r="K55" s="2240"/>
      <c r="L55" s="2240"/>
      <c r="M55" s="2240"/>
      <c r="N55" s="2240"/>
      <c r="O55" s="2240"/>
    </row>
    <row r="56" spans="1:15">
      <c r="A56" s="2240"/>
      <c r="B56" s="2240"/>
      <c r="C56" s="2240"/>
      <c r="D56" s="2240"/>
      <c r="E56" s="2240"/>
      <c r="F56" s="2240"/>
      <c r="G56" s="2240"/>
      <c r="H56" s="2240"/>
      <c r="I56" s="2240"/>
      <c r="J56" s="2240"/>
      <c r="K56" s="2240"/>
      <c r="L56" s="2240"/>
      <c r="M56" s="2240"/>
      <c r="N56" s="2240"/>
      <c r="O56" s="2240"/>
    </row>
    <row r="57" spans="1:15">
      <c r="A57" s="2240"/>
      <c r="B57" s="2240"/>
      <c r="C57" s="2240"/>
      <c r="D57" s="2240"/>
      <c r="E57" s="2240"/>
      <c r="F57" s="2240"/>
      <c r="G57" s="2240"/>
      <c r="H57" s="2240"/>
      <c r="I57" s="2240"/>
      <c r="J57" s="2240"/>
      <c r="K57" s="2240"/>
      <c r="L57" s="2240"/>
      <c r="M57" s="2240"/>
      <c r="N57" s="2240"/>
      <c r="O57" s="2240"/>
    </row>
    <row r="58" spans="1:15">
      <c r="A58" s="2240"/>
      <c r="B58" s="2240"/>
      <c r="C58" s="2240"/>
      <c r="D58" s="2240"/>
      <c r="E58" s="2240"/>
      <c r="F58" s="2240"/>
      <c r="G58" s="2240"/>
      <c r="H58" s="2240"/>
      <c r="I58" s="2240"/>
      <c r="J58" s="2240"/>
      <c r="K58" s="2240"/>
      <c r="L58" s="2240"/>
      <c r="M58" s="2240"/>
      <c r="N58" s="2240"/>
      <c r="O58" s="2240"/>
    </row>
    <row r="59" spans="1:15">
      <c r="A59" s="2240"/>
      <c r="B59" s="2240"/>
      <c r="C59" s="2240"/>
      <c r="D59" s="2240"/>
      <c r="E59" s="2240"/>
      <c r="F59" s="2240"/>
      <c r="G59" s="2240"/>
      <c r="H59" s="2240"/>
      <c r="I59" s="2240"/>
      <c r="J59" s="2240"/>
      <c r="K59" s="2240"/>
      <c r="L59" s="2240"/>
      <c r="M59" s="2240"/>
      <c r="N59" s="2240"/>
      <c r="O59" s="2240"/>
    </row>
    <row r="60" spans="1:15">
      <c r="A60" s="2240"/>
      <c r="B60" s="2240"/>
      <c r="C60" s="2240"/>
      <c r="D60" s="2240"/>
      <c r="E60" s="2240"/>
      <c r="F60" s="2240"/>
      <c r="G60" s="2240"/>
      <c r="H60" s="2240"/>
      <c r="I60" s="2240"/>
      <c r="J60" s="2240"/>
      <c r="K60" s="2240"/>
      <c r="L60" s="2240"/>
      <c r="M60" s="2240"/>
      <c r="N60" s="2240"/>
      <c r="O60" s="2240"/>
    </row>
    <row r="61" spans="1:15">
      <c r="A61" s="2240"/>
      <c r="B61" s="2240"/>
      <c r="C61" s="2240"/>
      <c r="D61" s="2240"/>
      <c r="E61" s="2240"/>
      <c r="F61" s="2240"/>
      <c r="G61" s="2240"/>
      <c r="H61" s="2240"/>
      <c r="I61" s="2240"/>
      <c r="J61" s="2240"/>
      <c r="K61" s="2240"/>
      <c r="L61" s="2240"/>
      <c r="M61" s="2240"/>
      <c r="N61" s="2240"/>
      <c r="O61" s="2240"/>
    </row>
    <row r="62" spans="1:15">
      <c r="A62" s="2240"/>
      <c r="B62" s="2240"/>
      <c r="C62" s="2240"/>
      <c r="D62" s="2240"/>
      <c r="E62" s="2240"/>
      <c r="F62" s="2240"/>
      <c r="G62" s="2240"/>
      <c r="H62" s="2240"/>
      <c r="I62" s="2240"/>
      <c r="J62" s="2240"/>
      <c r="K62" s="2240"/>
      <c r="L62" s="2240"/>
      <c r="M62" s="2240"/>
      <c r="N62" s="2240"/>
      <c r="O62" s="2240"/>
    </row>
    <row r="63" spans="1:15">
      <c r="A63" s="2240"/>
      <c r="B63" s="2240"/>
      <c r="C63" s="2240"/>
      <c r="D63" s="2240"/>
      <c r="E63" s="2240"/>
      <c r="F63" s="2240"/>
      <c r="G63" s="2240"/>
      <c r="H63" s="2240"/>
      <c r="I63" s="2240"/>
      <c r="J63" s="2240"/>
      <c r="K63" s="2240"/>
      <c r="L63" s="2240"/>
      <c r="M63" s="2240"/>
      <c r="N63" s="2240"/>
      <c r="O63" s="2240"/>
    </row>
    <row r="64" spans="1:15">
      <c r="A64" s="2240"/>
      <c r="B64" s="2240"/>
      <c r="C64" s="2240"/>
      <c r="D64" s="2240"/>
      <c r="E64" s="2240"/>
      <c r="F64" s="2240"/>
      <c r="G64" s="2240"/>
      <c r="H64" s="2240"/>
      <c r="I64" s="2240"/>
      <c r="J64" s="2240"/>
      <c r="K64" s="2240"/>
      <c r="L64" s="2240"/>
      <c r="M64" s="2240"/>
      <c r="N64" s="2240"/>
      <c r="O64" s="2240"/>
    </row>
    <row r="65" spans="1:15">
      <c r="A65" s="2240"/>
      <c r="B65" s="2240"/>
      <c r="C65" s="2240"/>
      <c r="D65" s="2240"/>
      <c r="E65" s="2240"/>
      <c r="F65" s="2240"/>
      <c r="G65" s="2240"/>
      <c r="H65" s="2240"/>
      <c r="I65" s="2240"/>
      <c r="J65" s="2240"/>
      <c r="K65" s="2240"/>
      <c r="L65" s="2240"/>
      <c r="M65" s="2240"/>
      <c r="N65" s="2240"/>
      <c r="O65" s="2240"/>
    </row>
    <row r="66" spans="1:15">
      <c r="A66" s="2240"/>
      <c r="B66" s="2240"/>
      <c r="C66" s="2240"/>
      <c r="D66" s="2240"/>
      <c r="E66" s="2240"/>
      <c r="F66" s="2240"/>
      <c r="G66" s="2240"/>
      <c r="H66" s="2240"/>
      <c r="I66" s="2240"/>
      <c r="J66" s="2240"/>
      <c r="K66" s="2240"/>
      <c r="L66" s="2240"/>
      <c r="M66" s="2240"/>
      <c r="N66" s="2240"/>
      <c r="O66" s="2240"/>
    </row>
    <row r="67" spans="1:15">
      <c r="A67" s="2240"/>
      <c r="B67" s="2240"/>
      <c r="C67" s="2240"/>
      <c r="D67" s="2240"/>
      <c r="E67" s="2240"/>
      <c r="F67" s="2240"/>
      <c r="G67" s="2240"/>
      <c r="H67" s="2240"/>
      <c r="I67" s="2240"/>
      <c r="J67" s="2240"/>
      <c r="K67" s="2240"/>
      <c r="L67" s="2240"/>
      <c r="M67" s="2240"/>
      <c r="N67" s="2240"/>
      <c r="O67" s="2240"/>
    </row>
    <row r="68" spans="1:15" ht="20.25" customHeight="1">
      <c r="A68" s="2240"/>
      <c r="B68" s="2240"/>
      <c r="C68" s="2240"/>
      <c r="D68" s="2240"/>
      <c r="E68" s="2240"/>
      <c r="F68" s="2240"/>
      <c r="G68" s="2240"/>
      <c r="H68" s="2240"/>
      <c r="I68" s="2240"/>
      <c r="J68" s="2240"/>
      <c r="K68" s="2240"/>
      <c r="L68" s="2240"/>
      <c r="M68" s="2240"/>
      <c r="N68" s="2240"/>
      <c r="O68" s="2240"/>
    </row>
    <row r="69" spans="1:15" ht="18" customHeight="1" thickBot="1"/>
    <row r="70" spans="1:15">
      <c r="C70" s="6262" t="s">
        <v>46</v>
      </c>
      <c r="D70" s="6263"/>
    </row>
    <row r="71" spans="1:15">
      <c r="C71" s="6264"/>
      <c r="D71" s="6265"/>
    </row>
    <row r="72" spans="1:15" ht="13.5" thickBot="1">
      <c r="C72" s="6266"/>
      <c r="D72" s="6267"/>
    </row>
  </sheetData>
  <sheetProtection algorithmName="SHA-512" hashValue="/bn4BOdgOxNtKJ3gQLcDrf9JX4ZT1rLEUx5IfYGR2rJJWEx30Ukymb2JOsCKmrF8xRkRV7sLf5K6yvtwXJQZkA==" saltValue="naFZZstAfAasDj5aKjQV9g==" spinCount="100000" sheet="1" objects="1" scenarios="1"/>
  <mergeCells count="1">
    <mergeCell ref="C70:D72"/>
  </mergeCells>
  <hyperlinks>
    <hyperlink ref="C10" r:id="rId1" xr:uid="{00000000-0004-0000-0700-000000000000}"/>
    <hyperlink ref="C70" location="'Table of Contents'!A1" display="Table of Contents" xr:uid="{00000000-0004-0000-0700-000001000000}"/>
  </hyperlinks>
  <pageMargins left="0.75" right="0.25" top="0.36" bottom="0.28999999999999998" header="0.36" footer="0.21"/>
  <pageSetup scale="84" fitToHeight="0"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pageSetUpPr fitToPage="1"/>
  </sheetPr>
  <dimension ref="A1:BG87"/>
  <sheetViews>
    <sheetView zoomScaleNormal="100" zoomScaleSheetLayoutView="100" workbookViewId="0">
      <pane ySplit="1" topLeftCell="A2" activePane="bottomLeft" state="frozen"/>
      <selection pane="bottomLeft"/>
    </sheetView>
  </sheetViews>
  <sheetFormatPr defaultRowHeight="12.75"/>
  <cols>
    <col min="1" max="1" width="2.5703125" customWidth="1"/>
    <col min="2" max="2" width="4.42578125" customWidth="1"/>
    <col min="3" max="3" width="44" customWidth="1"/>
    <col min="4" max="12" width="13.140625" customWidth="1"/>
    <col min="13" max="13" width="13.42578125" customWidth="1"/>
    <col min="14" max="15" width="12.42578125" customWidth="1"/>
    <col min="16" max="16" width="6.7109375" customWidth="1"/>
    <col min="17" max="25" width="9.140625" hidden="1" customWidth="1"/>
    <col min="26" max="26" width="6.42578125" hidden="1" customWidth="1"/>
    <col min="27" max="35" width="9.140625" hidden="1" customWidth="1"/>
    <col min="36" max="36" width="6.42578125" hidden="1" customWidth="1"/>
    <col min="37" max="45" width="9.140625" hidden="1" customWidth="1"/>
    <col min="46" max="46" width="9.140625" customWidth="1"/>
    <col min="47" max="59" width="9.140625" style="2038"/>
  </cols>
  <sheetData>
    <row r="1" spans="1:59" s="1921" customFormat="1" ht="36.75" customHeight="1" thickBot="1">
      <c r="A1" s="286"/>
      <c r="B1" s="1924" t="s">
        <v>423</v>
      </c>
      <c r="C1" s="1917"/>
      <c r="D1" s="1918"/>
      <c r="E1" s="1918"/>
      <c r="F1" s="1918"/>
      <c r="G1" s="1918"/>
      <c r="H1" s="1918"/>
      <c r="I1" s="1918"/>
      <c r="J1" s="1918"/>
      <c r="K1" s="1918"/>
      <c r="L1" s="1918"/>
      <c r="M1" s="1918"/>
      <c r="N1" s="1918"/>
      <c r="O1" s="1918"/>
      <c r="P1" s="1919"/>
      <c r="Q1" s="1920"/>
      <c r="R1" s="1920"/>
      <c r="S1" s="1920"/>
      <c r="T1" s="1920"/>
      <c r="U1" s="1920"/>
      <c r="V1" s="1920"/>
      <c r="W1" s="1920"/>
      <c r="X1" s="1920"/>
      <c r="Y1" s="1920"/>
      <c r="Z1" s="1919"/>
      <c r="AA1" s="1920"/>
      <c r="AB1" s="1920"/>
      <c r="AC1" s="1920"/>
      <c r="AD1" s="1920"/>
      <c r="AE1" s="1920"/>
      <c r="AF1" s="1920"/>
      <c r="AG1" s="1920"/>
      <c r="AH1" s="1920"/>
      <c r="AI1" s="1920"/>
      <c r="AJ1" s="1919"/>
      <c r="AK1" s="1920"/>
      <c r="AL1" s="1920"/>
      <c r="AM1" s="1920"/>
      <c r="AN1" s="1920"/>
      <c r="AO1" s="1920"/>
      <c r="AP1" s="1920"/>
      <c r="AQ1" s="1920"/>
      <c r="AR1" s="1920"/>
      <c r="AS1" s="1920"/>
      <c r="AT1" s="1920"/>
      <c r="AU1" s="2037" t="s">
        <v>241</v>
      </c>
      <c r="AV1" s="2043"/>
      <c r="AW1" s="2043"/>
      <c r="AX1" s="2043"/>
      <c r="AY1" s="2043"/>
      <c r="AZ1" s="2043"/>
      <c r="BA1" s="2043"/>
      <c r="BB1" s="2043"/>
      <c r="BC1" s="2043"/>
      <c r="BD1" s="2043"/>
      <c r="BE1" s="2043"/>
      <c r="BF1" s="2043"/>
      <c r="BG1" s="2043"/>
    </row>
    <row r="2" spans="1:59" ht="41.25" customHeight="1" thickTop="1" thickBot="1">
      <c r="A2" s="785"/>
      <c r="B2" s="5395"/>
      <c r="C2" s="1927" t="str">
        <f>IF(Name_1st_Yours="","Enter your name on the"&amp;CHAR(10)&amp;"sheet labeled '1040'",NameYours)</f>
        <v>Enter your name on the
sheet labeled '1040'</v>
      </c>
      <c r="D2" s="1455" t="s">
        <v>424</v>
      </c>
      <c r="E2" s="1455" t="s">
        <v>315</v>
      </c>
      <c r="F2" s="1455" t="s">
        <v>316</v>
      </c>
      <c r="G2" s="1455" t="s">
        <v>317</v>
      </c>
      <c r="H2" s="1455" t="s">
        <v>318</v>
      </c>
      <c r="I2" s="1455" t="s">
        <v>343</v>
      </c>
      <c r="J2" s="1455" t="s">
        <v>344</v>
      </c>
      <c r="K2" s="1455" t="s">
        <v>345</v>
      </c>
      <c r="L2" s="1455" t="s">
        <v>346</v>
      </c>
      <c r="M2" s="2329" t="s">
        <v>425</v>
      </c>
      <c r="N2" s="1997" t="s">
        <v>426</v>
      </c>
      <c r="O2" s="1997" t="s">
        <v>427</v>
      </c>
      <c r="P2" s="72"/>
      <c r="Q2" s="240"/>
      <c r="R2" s="240"/>
      <c r="S2" s="240"/>
      <c r="T2" s="240"/>
      <c r="U2" s="3954" t="s">
        <v>428</v>
      </c>
      <c r="V2" s="240"/>
      <c r="W2" s="240"/>
      <c r="X2" s="240"/>
      <c r="Y2" s="240"/>
      <c r="Z2" s="72"/>
      <c r="AA2" s="240"/>
      <c r="AB2" s="240"/>
      <c r="AC2" s="240"/>
      <c r="AD2" s="240"/>
      <c r="AE2" s="3954" t="s">
        <v>429</v>
      </c>
      <c r="AF2" s="240"/>
      <c r="AG2" s="240"/>
      <c r="AH2" s="240"/>
      <c r="AI2" s="240"/>
      <c r="AJ2" s="72"/>
      <c r="AK2" s="240"/>
      <c r="AL2" s="240"/>
      <c r="AM2" s="240"/>
      <c r="AN2" s="240"/>
      <c r="AO2" s="3954" t="s">
        <v>430</v>
      </c>
      <c r="AP2" s="240"/>
      <c r="AQ2" s="240"/>
      <c r="AR2" s="240"/>
      <c r="AS2" s="240"/>
      <c r="AT2" s="240"/>
    </row>
    <row r="3" spans="1:59" ht="13.5" thickBot="1">
      <c r="A3" s="780"/>
      <c r="B3" s="781"/>
      <c r="C3" s="782" t="s">
        <v>431</v>
      </c>
      <c r="D3" s="1456"/>
      <c r="E3" s="1456"/>
      <c r="F3" s="1456"/>
      <c r="G3" s="1748"/>
      <c r="H3" s="1748"/>
      <c r="I3" s="1748"/>
      <c r="J3" s="1748"/>
      <c r="K3" s="1748"/>
      <c r="L3" s="1748"/>
      <c r="M3" s="4682" t="s">
        <v>428</v>
      </c>
      <c r="N3" s="4682" t="s">
        <v>429</v>
      </c>
      <c r="O3" s="4682" t="s">
        <v>430</v>
      </c>
      <c r="P3" s="2028"/>
      <c r="Q3" s="39" t="b">
        <f t="shared" ref="Q3:Y3" si="0">NOT(AND(ISERROR(FIND("IRA",D3,1)),ISERROR(FIND("ira",D3,1))))</f>
        <v>0</v>
      </c>
      <c r="R3" s="39" t="b">
        <f t="shared" si="0"/>
        <v>0</v>
      </c>
      <c r="S3" s="39" t="b">
        <f t="shared" si="0"/>
        <v>0</v>
      </c>
      <c r="T3" s="39" t="b">
        <f t="shared" si="0"/>
        <v>0</v>
      </c>
      <c r="U3" s="39" t="b">
        <f t="shared" si="0"/>
        <v>0</v>
      </c>
      <c r="V3" s="39" t="b">
        <f t="shared" si="0"/>
        <v>0</v>
      </c>
      <c r="W3" s="39" t="b">
        <f t="shared" si="0"/>
        <v>0</v>
      </c>
      <c r="X3" s="39" t="b">
        <f t="shared" si="0"/>
        <v>0</v>
      </c>
      <c r="Y3" s="2022" t="b">
        <f t="shared" si="0"/>
        <v>0</v>
      </c>
      <c r="Z3" s="107"/>
      <c r="AA3" s="39" t="b">
        <f t="shared" ref="AA3:AI3" si="1">NOT(AND(ISERROR(FIND("P/A",D3,1)),ISERROR(FIND("p/a",D3,1))))</f>
        <v>0</v>
      </c>
      <c r="AB3" s="39" t="b">
        <f t="shared" si="1"/>
        <v>0</v>
      </c>
      <c r="AC3" s="39" t="b">
        <f t="shared" si="1"/>
        <v>0</v>
      </c>
      <c r="AD3" s="39" t="b">
        <f t="shared" si="1"/>
        <v>0</v>
      </c>
      <c r="AE3" s="39" t="b">
        <f t="shared" si="1"/>
        <v>0</v>
      </c>
      <c r="AF3" s="39" t="b">
        <f t="shared" si="1"/>
        <v>0</v>
      </c>
      <c r="AG3" s="39" t="b">
        <f t="shared" si="1"/>
        <v>0</v>
      </c>
      <c r="AH3" s="39" t="b">
        <f t="shared" si="1"/>
        <v>0</v>
      </c>
      <c r="AI3" s="39" t="b">
        <f t="shared" si="1"/>
        <v>0</v>
      </c>
      <c r="AJ3" s="107"/>
      <c r="AK3" s="39" t="b">
        <f>NOT(AND(ISERROR(FIND("CONV",D3,1)),ISERROR(FIND("conv",D3,1))))</f>
        <v>0</v>
      </c>
      <c r="AL3" s="39" t="b">
        <f t="shared" ref="AL3:AS3" si="2">NOT(AND(ISERROR(FIND("CONV",E3,1)),ISERROR(FIND("conv",E3,1))))</f>
        <v>0</v>
      </c>
      <c r="AM3" s="39" t="b">
        <f t="shared" si="2"/>
        <v>0</v>
      </c>
      <c r="AN3" s="39" t="b">
        <f t="shared" si="2"/>
        <v>0</v>
      </c>
      <c r="AO3" s="39" t="b">
        <f t="shared" si="2"/>
        <v>0</v>
      </c>
      <c r="AP3" s="39" t="b">
        <f t="shared" si="2"/>
        <v>0</v>
      </c>
      <c r="AQ3" s="39" t="b">
        <f t="shared" si="2"/>
        <v>0</v>
      </c>
      <c r="AR3" s="39" t="b">
        <f t="shared" si="2"/>
        <v>0</v>
      </c>
      <c r="AS3" s="39" t="b">
        <f t="shared" si="2"/>
        <v>0</v>
      </c>
      <c r="AT3" s="39"/>
    </row>
    <row r="4" spans="1:59" ht="13.5" customHeight="1">
      <c r="A4" s="780"/>
      <c r="B4" s="1781">
        <v>1</v>
      </c>
      <c r="C4" s="1778" t="s">
        <v>432</v>
      </c>
      <c r="D4" s="1940"/>
      <c r="E4" s="1941"/>
      <c r="F4" s="1941"/>
      <c r="G4" s="1941"/>
      <c r="H4" s="1941"/>
      <c r="I4" s="1941"/>
      <c r="J4" s="1941"/>
      <c r="K4" s="1941"/>
      <c r="L4" s="2024"/>
      <c r="M4" s="4683">
        <f>SUM(Q4:Y4)</f>
        <v>0</v>
      </c>
      <c r="N4" s="4683">
        <f>SUM(AA4:AI4)</f>
        <v>0</v>
      </c>
      <c r="O4" s="4683">
        <f>SUM(AK4:AS4)</f>
        <v>0</v>
      </c>
      <c r="P4" s="3914"/>
      <c r="Q4" s="4678">
        <f t="shared" ref="Q4:Y4" si="3">IF(Q$3,ROUND(D4,0),0)</f>
        <v>0</v>
      </c>
      <c r="R4" s="4678">
        <f t="shared" si="3"/>
        <v>0</v>
      </c>
      <c r="S4" s="4678">
        <f t="shared" si="3"/>
        <v>0</v>
      </c>
      <c r="T4" s="4678">
        <f t="shared" si="3"/>
        <v>0</v>
      </c>
      <c r="U4" s="4678">
        <f t="shared" si="3"/>
        <v>0</v>
      </c>
      <c r="V4" s="4678">
        <f t="shared" si="3"/>
        <v>0</v>
      </c>
      <c r="W4" s="4678">
        <f t="shared" si="3"/>
        <v>0</v>
      </c>
      <c r="X4" s="4678">
        <f t="shared" si="3"/>
        <v>0</v>
      </c>
      <c r="Y4" s="4678">
        <f t="shared" si="3"/>
        <v>0</v>
      </c>
      <c r="Z4" s="3914"/>
      <c r="AA4" s="4678">
        <f>IF(AA$3,ROUND(D4,0),0)</f>
        <v>0</v>
      </c>
      <c r="AB4" s="4678">
        <f>IF(AB$3,ROUND(E4,0),0)</f>
        <v>0</v>
      </c>
      <c r="AC4" s="4678">
        <f t="shared" ref="AC4:AI5" si="4">IF(AC$3,ROUND(F4,0),0)</f>
        <v>0</v>
      </c>
      <c r="AD4" s="4678">
        <f t="shared" si="4"/>
        <v>0</v>
      </c>
      <c r="AE4" s="4678">
        <f t="shared" si="4"/>
        <v>0</v>
      </c>
      <c r="AF4" s="4678">
        <f t="shared" si="4"/>
        <v>0</v>
      </c>
      <c r="AG4" s="4678">
        <f t="shared" si="4"/>
        <v>0</v>
      </c>
      <c r="AH4" s="4678">
        <f t="shared" si="4"/>
        <v>0</v>
      </c>
      <c r="AI4" s="4678">
        <f t="shared" si="4"/>
        <v>0</v>
      </c>
      <c r="AJ4" s="3914"/>
      <c r="AK4" s="4678">
        <f>IF(AK$3,ROUND(D4,0),0)</f>
        <v>0</v>
      </c>
      <c r="AL4" s="4678">
        <f t="shared" ref="AL4:AS4" si="5">IF(AL$3,ROUND(E4,0),0)</f>
        <v>0</v>
      </c>
      <c r="AM4" s="4678">
        <f t="shared" si="5"/>
        <v>0</v>
      </c>
      <c r="AN4" s="4678">
        <f t="shared" si="5"/>
        <v>0</v>
      </c>
      <c r="AO4" s="4678">
        <f t="shared" si="5"/>
        <v>0</v>
      </c>
      <c r="AP4" s="4678">
        <f t="shared" si="5"/>
        <v>0</v>
      </c>
      <c r="AQ4" s="4678">
        <f t="shared" si="5"/>
        <v>0</v>
      </c>
      <c r="AR4" s="4678">
        <f t="shared" si="5"/>
        <v>0</v>
      </c>
      <c r="AS4" s="4678">
        <f t="shared" si="5"/>
        <v>0</v>
      </c>
      <c r="AT4" s="118"/>
    </row>
    <row r="5" spans="1:59" ht="13.5" customHeight="1">
      <c r="A5" s="780"/>
      <c r="B5" s="1782" t="s">
        <v>367</v>
      </c>
      <c r="C5" s="1779" t="s">
        <v>433</v>
      </c>
      <c r="D5" s="1942"/>
      <c r="E5" s="1943"/>
      <c r="F5" s="1943"/>
      <c r="G5" s="1943"/>
      <c r="H5" s="1943"/>
      <c r="I5" s="1943"/>
      <c r="J5" s="1943"/>
      <c r="K5" s="1943"/>
      <c r="L5" s="1945"/>
      <c r="M5" s="4680">
        <f>SUM(Q5:Y5)</f>
        <v>0</v>
      </c>
      <c r="N5" s="4680">
        <f>SUM(AA5:AI5)</f>
        <v>0</v>
      </c>
      <c r="O5" s="790" t="str">
        <f>IF(SUM(D5:L5)&gt;0,"See note.","- - - -")</f>
        <v>- - - -</v>
      </c>
      <c r="P5" s="3914"/>
      <c r="Q5" s="4678">
        <f t="shared" ref="Q5:Y24" si="6">IF(Q$3,ROUND(D5,0),0)</f>
        <v>0</v>
      </c>
      <c r="R5" s="4678">
        <f t="shared" si="6"/>
        <v>0</v>
      </c>
      <c r="S5" s="4678">
        <f t="shared" si="6"/>
        <v>0</v>
      </c>
      <c r="T5" s="4678">
        <f t="shared" si="6"/>
        <v>0</v>
      </c>
      <c r="U5" s="4678">
        <f t="shared" si="6"/>
        <v>0</v>
      </c>
      <c r="V5" s="4678">
        <f t="shared" si="6"/>
        <v>0</v>
      </c>
      <c r="W5" s="4678">
        <f t="shared" si="6"/>
        <v>0</v>
      </c>
      <c r="X5" s="4678">
        <f t="shared" si="6"/>
        <v>0</v>
      </c>
      <c r="Y5" s="4678">
        <f t="shared" si="6"/>
        <v>0</v>
      </c>
      <c r="Z5" s="3914"/>
      <c r="AA5" s="4678">
        <f t="shared" ref="AA5:AI24" si="7">IF(AA$3,ROUND(D5,0),0)</f>
        <v>0</v>
      </c>
      <c r="AB5" s="4678">
        <f t="shared" si="7"/>
        <v>0</v>
      </c>
      <c r="AC5" s="4678">
        <f t="shared" si="4"/>
        <v>0</v>
      </c>
      <c r="AD5" s="4678">
        <f t="shared" si="4"/>
        <v>0</v>
      </c>
      <c r="AE5" s="4678">
        <f t="shared" si="4"/>
        <v>0</v>
      </c>
      <c r="AF5" s="4678">
        <f t="shared" si="4"/>
        <v>0</v>
      </c>
      <c r="AG5" s="4678">
        <f t="shared" si="4"/>
        <v>0</v>
      </c>
      <c r="AH5" s="4678">
        <f t="shared" si="4"/>
        <v>0</v>
      </c>
      <c r="AI5" s="4678">
        <f t="shared" si="4"/>
        <v>0</v>
      </c>
      <c r="AJ5" s="3914"/>
      <c r="AK5" s="4678" t="str">
        <f>"---"</f>
        <v>---</v>
      </c>
      <c r="AL5" s="4678" t="str">
        <f t="shared" ref="AL5:AS5" si="8">"---"</f>
        <v>---</v>
      </c>
      <c r="AM5" s="4678" t="str">
        <f t="shared" si="8"/>
        <v>---</v>
      </c>
      <c r="AN5" s="4678" t="str">
        <f t="shared" si="8"/>
        <v>---</v>
      </c>
      <c r="AO5" s="4678" t="str">
        <f t="shared" si="8"/>
        <v>---</v>
      </c>
      <c r="AP5" s="4678" t="str">
        <f t="shared" si="8"/>
        <v>---</v>
      </c>
      <c r="AQ5" s="4678" t="str">
        <f t="shared" si="8"/>
        <v>---</v>
      </c>
      <c r="AR5" s="4678" t="str">
        <f t="shared" si="8"/>
        <v>---</v>
      </c>
      <c r="AS5" s="4678" t="str">
        <f t="shared" si="8"/>
        <v>---</v>
      </c>
      <c r="AT5" s="118"/>
    </row>
    <row r="6" spans="1:59" ht="13.5" customHeight="1">
      <c r="A6" s="780"/>
      <c r="B6" s="786" t="s">
        <v>369</v>
      </c>
      <c r="C6" s="787" t="s">
        <v>434</v>
      </c>
      <c r="D6" s="1942"/>
      <c r="E6" s="1943"/>
      <c r="F6" s="1943"/>
      <c r="G6" s="1944"/>
      <c r="H6" s="1944"/>
      <c r="I6" s="1944"/>
      <c r="J6" s="1944"/>
      <c r="K6" s="1944"/>
      <c r="L6" s="1945"/>
      <c r="M6" s="790" t="str">
        <f>" - - - -"</f>
        <v xml:space="preserve"> - - - -</v>
      </c>
      <c r="N6" s="790" t="str">
        <f>" - - - -"</f>
        <v xml:space="preserve"> - - - -</v>
      </c>
      <c r="O6" s="790" t="str">
        <f>" - - - -"</f>
        <v xml:space="preserve"> - - - -</v>
      </c>
      <c r="P6" s="3914"/>
      <c r="Q6" s="4678"/>
      <c r="R6" s="4678"/>
      <c r="S6" s="4678"/>
      <c r="T6" s="4678"/>
      <c r="U6" s="4678"/>
      <c r="V6" s="4678"/>
      <c r="W6" s="4678"/>
      <c r="X6" s="4678"/>
      <c r="Y6" s="4678"/>
      <c r="Z6" s="3914"/>
      <c r="AA6" s="4678"/>
      <c r="AB6" s="4678"/>
      <c r="AC6" s="4678"/>
      <c r="AD6" s="4678"/>
      <c r="AE6" s="4678"/>
      <c r="AF6" s="4678"/>
      <c r="AG6" s="4678"/>
      <c r="AH6" s="4678"/>
      <c r="AI6" s="4678"/>
      <c r="AJ6" s="3914"/>
      <c r="AK6" s="4678"/>
      <c r="AL6" s="4678"/>
      <c r="AM6" s="4678"/>
      <c r="AN6" s="4678"/>
      <c r="AO6" s="4678"/>
      <c r="AP6" s="4678"/>
      <c r="AQ6" s="4678"/>
      <c r="AR6" s="4678"/>
      <c r="AS6" s="4678"/>
      <c r="AT6" s="118"/>
    </row>
    <row r="7" spans="1:59" ht="13.5" customHeight="1">
      <c r="A7" s="780"/>
      <c r="B7" s="786">
        <v>3</v>
      </c>
      <c r="C7" s="787" t="s">
        <v>435</v>
      </c>
      <c r="D7" s="1942"/>
      <c r="E7" s="1943"/>
      <c r="F7" s="1943"/>
      <c r="G7" s="1944"/>
      <c r="H7" s="1944"/>
      <c r="I7" s="1944"/>
      <c r="J7" s="1944"/>
      <c r="K7" s="1944"/>
      <c r="L7" s="1945"/>
      <c r="M7" s="4680">
        <f>SUM(Q7:Y7)</f>
        <v>0</v>
      </c>
      <c r="N7" s="4680">
        <f>SUM(AA7:AI7)</f>
        <v>0</v>
      </c>
      <c r="O7" s="4680">
        <f>SUM(AK7:AS7)</f>
        <v>0</v>
      </c>
      <c r="P7" s="3914"/>
      <c r="Q7" s="4678">
        <f t="shared" si="6"/>
        <v>0</v>
      </c>
      <c r="R7" s="4678">
        <f t="shared" si="6"/>
        <v>0</v>
      </c>
      <c r="S7" s="4678">
        <f t="shared" si="6"/>
        <v>0</v>
      </c>
      <c r="T7" s="4678">
        <f t="shared" si="6"/>
        <v>0</v>
      </c>
      <c r="U7" s="4678">
        <f t="shared" si="6"/>
        <v>0</v>
      </c>
      <c r="V7" s="4678">
        <f t="shared" si="6"/>
        <v>0</v>
      </c>
      <c r="W7" s="4678">
        <f t="shared" si="6"/>
        <v>0</v>
      </c>
      <c r="X7" s="4678">
        <f t="shared" si="6"/>
        <v>0</v>
      </c>
      <c r="Y7" s="4678">
        <f t="shared" si="6"/>
        <v>0</v>
      </c>
      <c r="Z7" s="3914"/>
      <c r="AA7" s="4678">
        <f t="shared" si="7"/>
        <v>0</v>
      </c>
      <c r="AB7" s="4678">
        <f t="shared" si="7"/>
        <v>0</v>
      </c>
      <c r="AC7" s="4678">
        <f t="shared" si="7"/>
        <v>0</v>
      </c>
      <c r="AD7" s="4678">
        <f t="shared" si="7"/>
        <v>0</v>
      </c>
      <c r="AE7" s="4678">
        <f t="shared" si="7"/>
        <v>0</v>
      </c>
      <c r="AF7" s="4678">
        <f t="shared" si="7"/>
        <v>0</v>
      </c>
      <c r="AG7" s="4678">
        <f t="shared" si="7"/>
        <v>0</v>
      </c>
      <c r="AH7" s="4678">
        <f t="shared" si="7"/>
        <v>0</v>
      </c>
      <c r="AI7" s="4678">
        <f t="shared" si="7"/>
        <v>0</v>
      </c>
      <c r="AJ7" s="3914"/>
      <c r="AK7" s="4678">
        <f t="shared" ref="AK7:AS12" si="9">IF(AK$3,ROUND(D7,0),0)</f>
        <v>0</v>
      </c>
      <c r="AL7" s="4678">
        <f t="shared" si="9"/>
        <v>0</v>
      </c>
      <c r="AM7" s="4678">
        <f t="shared" si="9"/>
        <v>0</v>
      </c>
      <c r="AN7" s="4678">
        <f t="shared" si="9"/>
        <v>0</v>
      </c>
      <c r="AO7" s="4678">
        <f t="shared" si="9"/>
        <v>0</v>
      </c>
      <c r="AP7" s="4678">
        <f t="shared" si="9"/>
        <v>0</v>
      </c>
      <c r="AQ7" s="4678">
        <f t="shared" si="9"/>
        <v>0</v>
      </c>
      <c r="AR7" s="4678">
        <f t="shared" si="9"/>
        <v>0</v>
      </c>
      <c r="AS7" s="4678">
        <f t="shared" si="9"/>
        <v>0</v>
      </c>
      <c r="AT7" s="118"/>
    </row>
    <row r="8" spans="1:59" ht="13.5" customHeight="1">
      <c r="A8" s="780"/>
      <c r="B8" s="1782">
        <v>4</v>
      </c>
      <c r="C8" s="1779" t="s">
        <v>255</v>
      </c>
      <c r="D8" s="1942"/>
      <c r="E8" s="1943"/>
      <c r="F8" s="1943"/>
      <c r="G8" s="1944"/>
      <c r="H8" s="1944"/>
      <c r="I8" s="1944"/>
      <c r="J8" s="1944"/>
      <c r="K8" s="1944"/>
      <c r="L8" s="1945"/>
      <c r="M8" s="4680">
        <f>SUM(Q8:Y8)</f>
        <v>0</v>
      </c>
      <c r="N8" s="4680">
        <f>SUM(AA8:AI8)</f>
        <v>0</v>
      </c>
      <c r="O8" s="4680">
        <f>SUM(AK8:AS8)</f>
        <v>0</v>
      </c>
      <c r="P8" s="3914"/>
      <c r="Q8" s="4678">
        <f t="shared" si="6"/>
        <v>0</v>
      </c>
      <c r="R8" s="4678">
        <f t="shared" si="6"/>
        <v>0</v>
      </c>
      <c r="S8" s="4678">
        <f t="shared" si="6"/>
        <v>0</v>
      </c>
      <c r="T8" s="4678">
        <f t="shared" si="6"/>
        <v>0</v>
      </c>
      <c r="U8" s="4678">
        <f t="shared" si="6"/>
        <v>0</v>
      </c>
      <c r="V8" s="4678">
        <f t="shared" si="6"/>
        <v>0</v>
      </c>
      <c r="W8" s="4678">
        <f t="shared" si="6"/>
        <v>0</v>
      </c>
      <c r="X8" s="4678">
        <f t="shared" si="6"/>
        <v>0</v>
      </c>
      <c r="Y8" s="4678">
        <f t="shared" si="6"/>
        <v>0</v>
      </c>
      <c r="Z8" s="3914"/>
      <c r="AA8" s="4678">
        <f t="shared" si="7"/>
        <v>0</v>
      </c>
      <c r="AB8" s="4678">
        <f t="shared" si="7"/>
        <v>0</v>
      </c>
      <c r="AC8" s="4678">
        <f t="shared" si="7"/>
        <v>0</v>
      </c>
      <c r="AD8" s="4678">
        <f t="shared" si="7"/>
        <v>0</v>
      </c>
      <c r="AE8" s="4678">
        <f t="shared" si="7"/>
        <v>0</v>
      </c>
      <c r="AF8" s="4678">
        <f t="shared" si="7"/>
        <v>0</v>
      </c>
      <c r="AG8" s="4678">
        <f t="shared" si="7"/>
        <v>0</v>
      </c>
      <c r="AH8" s="4678">
        <f t="shared" si="7"/>
        <v>0</v>
      </c>
      <c r="AI8" s="4678">
        <f t="shared" si="7"/>
        <v>0</v>
      </c>
      <c r="AJ8" s="3914"/>
      <c r="AK8" s="4678">
        <f t="shared" si="9"/>
        <v>0</v>
      </c>
      <c r="AL8" s="4678">
        <f t="shared" si="9"/>
        <v>0</v>
      </c>
      <c r="AM8" s="4678">
        <f t="shared" si="9"/>
        <v>0</v>
      </c>
      <c r="AN8" s="4678">
        <f t="shared" si="9"/>
        <v>0</v>
      </c>
      <c r="AO8" s="4678">
        <f t="shared" si="9"/>
        <v>0</v>
      </c>
      <c r="AP8" s="4678">
        <f t="shared" si="9"/>
        <v>0</v>
      </c>
      <c r="AQ8" s="4678">
        <f t="shared" si="9"/>
        <v>0</v>
      </c>
      <c r="AR8" s="4678">
        <f t="shared" si="9"/>
        <v>0</v>
      </c>
      <c r="AS8" s="4678">
        <f t="shared" si="9"/>
        <v>0</v>
      </c>
      <c r="AT8" s="118"/>
    </row>
    <row r="9" spans="1:59" ht="27" customHeight="1">
      <c r="A9" s="780"/>
      <c r="B9" s="788">
        <v>5</v>
      </c>
      <c r="C9" s="789" t="s">
        <v>436</v>
      </c>
      <c r="D9" s="1942"/>
      <c r="E9" s="1943"/>
      <c r="F9" s="1943"/>
      <c r="G9" s="1943"/>
      <c r="H9" s="1943"/>
      <c r="I9" s="1943"/>
      <c r="J9" s="1943"/>
      <c r="K9" s="1943"/>
      <c r="L9" s="1945"/>
      <c r="M9" s="4680">
        <f>SUM(Q9:Y9)</f>
        <v>0</v>
      </c>
      <c r="N9" s="4680">
        <f>SUM(AA9:AI9)</f>
        <v>0</v>
      </c>
      <c r="O9" s="4680">
        <f>SUM(AK9:AS9)</f>
        <v>0</v>
      </c>
      <c r="P9" s="107"/>
      <c r="Q9" s="4678">
        <f t="shared" si="6"/>
        <v>0</v>
      </c>
      <c r="R9" s="4678">
        <f t="shared" si="6"/>
        <v>0</v>
      </c>
      <c r="S9" s="4678">
        <f t="shared" si="6"/>
        <v>0</v>
      </c>
      <c r="T9" s="4678">
        <f t="shared" si="6"/>
        <v>0</v>
      </c>
      <c r="U9" s="4678">
        <f t="shared" si="6"/>
        <v>0</v>
      </c>
      <c r="V9" s="4678">
        <f t="shared" si="6"/>
        <v>0</v>
      </c>
      <c r="W9" s="4678">
        <f t="shared" si="6"/>
        <v>0</v>
      </c>
      <c r="X9" s="4678">
        <f t="shared" si="6"/>
        <v>0</v>
      </c>
      <c r="Y9" s="4678">
        <f t="shared" si="6"/>
        <v>0</v>
      </c>
      <c r="Z9" s="107"/>
      <c r="AA9" s="4678">
        <f t="shared" si="7"/>
        <v>0</v>
      </c>
      <c r="AB9" s="4678">
        <f t="shared" si="7"/>
        <v>0</v>
      </c>
      <c r="AC9" s="4678">
        <f t="shared" si="7"/>
        <v>0</v>
      </c>
      <c r="AD9" s="4678">
        <f t="shared" si="7"/>
        <v>0</v>
      </c>
      <c r="AE9" s="4678">
        <f t="shared" si="7"/>
        <v>0</v>
      </c>
      <c r="AF9" s="4678">
        <f t="shared" si="7"/>
        <v>0</v>
      </c>
      <c r="AG9" s="4678">
        <f t="shared" si="7"/>
        <v>0</v>
      </c>
      <c r="AH9" s="4678">
        <f t="shared" si="7"/>
        <v>0</v>
      </c>
      <c r="AI9" s="4678">
        <f t="shared" si="7"/>
        <v>0</v>
      </c>
      <c r="AJ9" s="107"/>
      <c r="AK9" s="4678">
        <f t="shared" si="9"/>
        <v>0</v>
      </c>
      <c r="AL9" s="4678">
        <f t="shared" si="9"/>
        <v>0</v>
      </c>
      <c r="AM9" s="4678">
        <f t="shared" si="9"/>
        <v>0</v>
      </c>
      <c r="AN9" s="4678">
        <f t="shared" si="9"/>
        <v>0</v>
      </c>
      <c r="AO9" s="4678">
        <f t="shared" si="9"/>
        <v>0</v>
      </c>
      <c r="AP9" s="4678">
        <f t="shared" si="9"/>
        <v>0</v>
      </c>
      <c r="AQ9" s="4678">
        <f t="shared" si="9"/>
        <v>0</v>
      </c>
      <c r="AR9" s="4678">
        <f t="shared" si="9"/>
        <v>0</v>
      </c>
      <c r="AS9" s="4678">
        <f t="shared" si="9"/>
        <v>0</v>
      </c>
      <c r="AT9" s="118"/>
    </row>
    <row r="10" spans="1:59">
      <c r="A10" s="780"/>
      <c r="B10" s="786">
        <v>6</v>
      </c>
      <c r="C10" s="787" t="s">
        <v>437</v>
      </c>
      <c r="D10" s="1942"/>
      <c r="E10" s="1943"/>
      <c r="F10" s="1943"/>
      <c r="G10" s="1944"/>
      <c r="H10" s="1944"/>
      <c r="I10" s="1944"/>
      <c r="J10" s="1944"/>
      <c r="K10" s="1944"/>
      <c r="L10" s="1945"/>
      <c r="M10" s="4680">
        <f>SUM(Q10:Y10)</f>
        <v>0</v>
      </c>
      <c r="N10" s="4680">
        <f>SUM(AA10:AI10)</f>
        <v>0</v>
      </c>
      <c r="O10" s="4680">
        <f>SUM(AK10:AS10)</f>
        <v>0</v>
      </c>
      <c r="P10" s="107"/>
      <c r="Q10" s="4678">
        <f t="shared" si="6"/>
        <v>0</v>
      </c>
      <c r="R10" s="4678">
        <f t="shared" si="6"/>
        <v>0</v>
      </c>
      <c r="S10" s="4678">
        <f t="shared" si="6"/>
        <v>0</v>
      </c>
      <c r="T10" s="4678">
        <f t="shared" si="6"/>
        <v>0</v>
      </c>
      <c r="U10" s="4678">
        <f t="shared" si="6"/>
        <v>0</v>
      </c>
      <c r="V10" s="4678">
        <f t="shared" si="6"/>
        <v>0</v>
      </c>
      <c r="W10" s="4678">
        <f t="shared" si="6"/>
        <v>0</v>
      </c>
      <c r="X10" s="4678">
        <f t="shared" si="6"/>
        <v>0</v>
      </c>
      <c r="Y10" s="4678">
        <f t="shared" si="6"/>
        <v>0</v>
      </c>
      <c r="Z10" s="107"/>
      <c r="AA10" s="4678">
        <f t="shared" si="7"/>
        <v>0</v>
      </c>
      <c r="AB10" s="4678">
        <f t="shared" si="7"/>
        <v>0</v>
      </c>
      <c r="AC10" s="4678">
        <f t="shared" si="7"/>
        <v>0</v>
      </c>
      <c r="AD10" s="4678">
        <f t="shared" si="7"/>
        <v>0</v>
      </c>
      <c r="AE10" s="4678">
        <f t="shared" si="7"/>
        <v>0</v>
      </c>
      <c r="AF10" s="4678">
        <f t="shared" si="7"/>
        <v>0</v>
      </c>
      <c r="AG10" s="4678">
        <f t="shared" si="7"/>
        <v>0</v>
      </c>
      <c r="AH10" s="4678">
        <f t="shared" si="7"/>
        <v>0</v>
      </c>
      <c r="AI10" s="4678">
        <f t="shared" si="7"/>
        <v>0</v>
      </c>
      <c r="AJ10" s="107"/>
      <c r="AK10" s="4678">
        <f t="shared" si="9"/>
        <v>0</v>
      </c>
      <c r="AL10" s="4678">
        <f t="shared" si="9"/>
        <v>0</v>
      </c>
      <c r="AM10" s="4678">
        <f t="shared" si="9"/>
        <v>0</v>
      </c>
      <c r="AN10" s="4678">
        <f t="shared" si="9"/>
        <v>0</v>
      </c>
      <c r="AO10" s="4678">
        <f t="shared" si="9"/>
        <v>0</v>
      </c>
      <c r="AP10" s="4678">
        <f t="shared" si="9"/>
        <v>0</v>
      </c>
      <c r="AQ10" s="4678">
        <f t="shared" si="9"/>
        <v>0</v>
      </c>
      <c r="AR10" s="4678">
        <f t="shared" si="9"/>
        <v>0</v>
      </c>
      <c r="AS10" s="4678">
        <f t="shared" si="9"/>
        <v>0</v>
      </c>
      <c r="AT10" s="118"/>
    </row>
    <row r="11" spans="1:59">
      <c r="A11" s="780"/>
      <c r="B11" s="786">
        <v>7</v>
      </c>
      <c r="C11" s="787" t="s">
        <v>438</v>
      </c>
      <c r="D11" s="2277"/>
      <c r="E11" s="2278"/>
      <c r="F11" s="2278"/>
      <c r="G11" s="2279"/>
      <c r="H11" s="2279"/>
      <c r="I11" s="2279"/>
      <c r="J11" s="2279"/>
      <c r="K11" s="2279"/>
      <c r="L11" s="2280"/>
      <c r="M11" s="1956" t="str">
        <f>" - - - -"</f>
        <v xml:space="preserve"> - - - -</v>
      </c>
      <c r="N11" s="1956" t="str">
        <f>" - - - -"</f>
        <v xml:space="preserve"> - - - -</v>
      </c>
      <c r="O11" s="1956" t="str">
        <f>" - - - -"</f>
        <v xml:space="preserve"> - - - -</v>
      </c>
      <c r="P11" s="107"/>
      <c r="Q11" s="4678"/>
      <c r="R11" s="4678"/>
      <c r="S11" s="4678"/>
      <c r="T11" s="4678"/>
      <c r="U11" s="4678"/>
      <c r="V11" s="4678"/>
      <c r="W11" s="4678"/>
      <c r="X11" s="4678"/>
      <c r="Y11" s="4678"/>
      <c r="Z11" s="107"/>
      <c r="AA11" s="4678"/>
      <c r="AB11" s="4678"/>
      <c r="AC11" s="4678"/>
      <c r="AD11" s="4678"/>
      <c r="AE11" s="4678"/>
      <c r="AF11" s="4678"/>
      <c r="AG11" s="4678"/>
      <c r="AH11" s="4678"/>
      <c r="AI11" s="4678"/>
      <c r="AJ11" s="107"/>
      <c r="AK11" s="4678">
        <f t="shared" si="9"/>
        <v>0</v>
      </c>
      <c r="AL11" s="4678">
        <f t="shared" si="9"/>
        <v>0</v>
      </c>
      <c r="AM11" s="4678">
        <f t="shared" si="9"/>
        <v>0</v>
      </c>
      <c r="AN11" s="4678">
        <f t="shared" si="9"/>
        <v>0</v>
      </c>
      <c r="AO11" s="4678">
        <f t="shared" si="9"/>
        <v>0</v>
      </c>
      <c r="AP11" s="4678">
        <f t="shared" si="9"/>
        <v>0</v>
      </c>
      <c r="AQ11" s="4678">
        <f t="shared" si="9"/>
        <v>0</v>
      </c>
      <c r="AR11" s="4678">
        <f t="shared" si="9"/>
        <v>0</v>
      </c>
      <c r="AS11" s="4678">
        <f t="shared" si="9"/>
        <v>0</v>
      </c>
      <c r="AT11" s="118"/>
    </row>
    <row r="12" spans="1:59">
      <c r="A12" s="780"/>
      <c r="B12" s="786">
        <v>8</v>
      </c>
      <c r="C12" s="787" t="s">
        <v>283</v>
      </c>
      <c r="D12" s="1942"/>
      <c r="E12" s="1943"/>
      <c r="F12" s="1943"/>
      <c r="G12" s="1944"/>
      <c r="H12" s="1944"/>
      <c r="I12" s="1944"/>
      <c r="J12" s="1944"/>
      <c r="K12" s="1944"/>
      <c r="L12" s="1945"/>
      <c r="M12" s="4680">
        <f>SUM(Q12:Y12)</f>
        <v>0</v>
      </c>
      <c r="N12" s="4680">
        <f t="shared" ref="N12:N19" si="10">SUM(AA12:AI12)</f>
        <v>0</v>
      </c>
      <c r="O12" s="4680">
        <f t="shared" ref="O12:O19" si="11">SUM(AK12:AS12)</f>
        <v>0</v>
      </c>
      <c r="P12" s="107"/>
      <c r="Q12" s="4678">
        <f t="shared" si="6"/>
        <v>0</v>
      </c>
      <c r="R12" s="4678">
        <f t="shared" si="6"/>
        <v>0</v>
      </c>
      <c r="S12" s="4678">
        <f t="shared" si="6"/>
        <v>0</v>
      </c>
      <c r="T12" s="4678">
        <f t="shared" si="6"/>
        <v>0</v>
      </c>
      <c r="U12" s="4678">
        <f t="shared" si="6"/>
        <v>0</v>
      </c>
      <c r="V12" s="4678">
        <f t="shared" si="6"/>
        <v>0</v>
      </c>
      <c r="W12" s="4678">
        <f t="shared" si="6"/>
        <v>0</v>
      </c>
      <c r="X12" s="4678">
        <f t="shared" si="6"/>
        <v>0</v>
      </c>
      <c r="Y12" s="4678">
        <f t="shared" si="6"/>
        <v>0</v>
      </c>
      <c r="Z12" s="107"/>
      <c r="AA12" s="4678">
        <f t="shared" si="7"/>
        <v>0</v>
      </c>
      <c r="AB12" s="4678">
        <f t="shared" si="7"/>
        <v>0</v>
      </c>
      <c r="AC12" s="4678">
        <f t="shared" si="7"/>
        <v>0</v>
      </c>
      <c r="AD12" s="4678">
        <f t="shared" si="7"/>
        <v>0</v>
      </c>
      <c r="AE12" s="4678">
        <f t="shared" si="7"/>
        <v>0</v>
      </c>
      <c r="AF12" s="4678">
        <f t="shared" si="7"/>
        <v>0</v>
      </c>
      <c r="AG12" s="4678">
        <f t="shared" si="7"/>
        <v>0</v>
      </c>
      <c r="AH12" s="4678">
        <f t="shared" si="7"/>
        <v>0</v>
      </c>
      <c r="AI12" s="4678">
        <f t="shared" si="7"/>
        <v>0</v>
      </c>
      <c r="AJ12" s="107"/>
      <c r="AK12" s="4678">
        <f t="shared" si="9"/>
        <v>0</v>
      </c>
      <c r="AL12" s="4678">
        <f t="shared" si="9"/>
        <v>0</v>
      </c>
      <c r="AM12" s="4678">
        <f t="shared" si="9"/>
        <v>0</v>
      </c>
      <c r="AN12" s="4678">
        <f t="shared" si="9"/>
        <v>0</v>
      </c>
      <c r="AO12" s="4678">
        <f t="shared" si="9"/>
        <v>0</v>
      </c>
      <c r="AP12" s="4678">
        <f t="shared" si="9"/>
        <v>0</v>
      </c>
      <c r="AQ12" s="4678">
        <f t="shared" si="9"/>
        <v>0</v>
      </c>
      <c r="AR12" s="4678">
        <f t="shared" si="9"/>
        <v>0</v>
      </c>
      <c r="AS12" s="4678">
        <f t="shared" si="9"/>
        <v>0</v>
      </c>
      <c r="AT12" s="118"/>
      <c r="AV12" s="2044"/>
    </row>
    <row r="13" spans="1:59">
      <c r="A13" s="780"/>
      <c r="B13" s="786" t="s">
        <v>439</v>
      </c>
      <c r="C13" s="787" t="s">
        <v>440</v>
      </c>
      <c r="D13" s="1948"/>
      <c r="E13" s="1949"/>
      <c r="F13" s="1949"/>
      <c r="G13" s="1950"/>
      <c r="H13" s="1950"/>
      <c r="I13" s="1950"/>
      <c r="J13" s="1950"/>
      <c r="K13" s="1950"/>
      <c r="L13" s="1951"/>
      <c r="M13" s="1957">
        <f>SUM(Q13:Y13)</f>
        <v>0</v>
      </c>
      <c r="N13" s="1957">
        <f t="shared" si="10"/>
        <v>0</v>
      </c>
      <c r="O13" s="1957">
        <f t="shared" si="11"/>
        <v>0</v>
      </c>
      <c r="P13" s="107"/>
      <c r="Q13" s="4679">
        <f t="shared" ref="Q13:Y13" si="12">IF(Q3,D13,0)</f>
        <v>0</v>
      </c>
      <c r="R13" s="4679">
        <f t="shared" si="12"/>
        <v>0</v>
      </c>
      <c r="S13" s="4679">
        <f t="shared" si="12"/>
        <v>0</v>
      </c>
      <c r="T13" s="4679">
        <f t="shared" si="12"/>
        <v>0</v>
      </c>
      <c r="U13" s="4679">
        <f t="shared" si="12"/>
        <v>0</v>
      </c>
      <c r="V13" s="4679">
        <f t="shared" si="12"/>
        <v>0</v>
      </c>
      <c r="W13" s="4679">
        <f t="shared" si="12"/>
        <v>0</v>
      </c>
      <c r="X13" s="4679">
        <f t="shared" si="12"/>
        <v>0</v>
      </c>
      <c r="Y13" s="4679">
        <f t="shared" si="12"/>
        <v>0</v>
      </c>
      <c r="Z13" s="107"/>
      <c r="AA13" s="4679">
        <f t="shared" ref="AA13:AI13" si="13">IF(AA3,D13,0)</f>
        <v>0</v>
      </c>
      <c r="AB13" s="4679">
        <f t="shared" si="13"/>
        <v>0</v>
      </c>
      <c r="AC13" s="4679">
        <f t="shared" si="13"/>
        <v>0</v>
      </c>
      <c r="AD13" s="4679">
        <f t="shared" si="13"/>
        <v>0</v>
      </c>
      <c r="AE13" s="4679">
        <f t="shared" si="13"/>
        <v>0</v>
      </c>
      <c r="AF13" s="4679">
        <f t="shared" si="13"/>
        <v>0</v>
      </c>
      <c r="AG13" s="4679">
        <f t="shared" si="13"/>
        <v>0</v>
      </c>
      <c r="AH13" s="4679">
        <f t="shared" si="13"/>
        <v>0</v>
      </c>
      <c r="AI13" s="4679">
        <f t="shared" si="13"/>
        <v>0</v>
      </c>
      <c r="AJ13" s="107"/>
      <c r="AK13" s="4679">
        <f t="shared" ref="AK13:AS13" si="14">IF(AK3,D13,0)</f>
        <v>0</v>
      </c>
      <c r="AL13" s="4679">
        <f t="shared" si="14"/>
        <v>0</v>
      </c>
      <c r="AM13" s="4679">
        <f t="shared" si="14"/>
        <v>0</v>
      </c>
      <c r="AN13" s="4679">
        <f t="shared" si="14"/>
        <v>0</v>
      </c>
      <c r="AO13" s="4679">
        <f t="shared" si="14"/>
        <v>0</v>
      </c>
      <c r="AP13" s="4679">
        <f t="shared" si="14"/>
        <v>0</v>
      </c>
      <c r="AQ13" s="4679">
        <f t="shared" si="14"/>
        <v>0</v>
      </c>
      <c r="AR13" s="4679">
        <f t="shared" si="14"/>
        <v>0</v>
      </c>
      <c r="AS13" s="4679">
        <f t="shared" si="14"/>
        <v>0</v>
      </c>
      <c r="AT13" s="4833"/>
    </row>
    <row r="14" spans="1:59">
      <c r="A14" s="780"/>
      <c r="B14" s="786" t="s">
        <v>441</v>
      </c>
      <c r="C14" s="787" t="s">
        <v>442</v>
      </c>
      <c r="D14" s="1942"/>
      <c r="E14" s="1943"/>
      <c r="F14" s="1943"/>
      <c r="G14" s="1944"/>
      <c r="H14" s="1944"/>
      <c r="I14" s="1944"/>
      <c r="J14" s="1944"/>
      <c r="K14" s="1944"/>
      <c r="L14" s="1945"/>
      <c r="M14" s="4680">
        <f t="shared" ref="M14:M19" si="15">SUM(Q14:Y14)</f>
        <v>0</v>
      </c>
      <c r="N14" s="4680">
        <f t="shared" si="10"/>
        <v>0</v>
      </c>
      <c r="O14" s="4680">
        <f t="shared" si="11"/>
        <v>0</v>
      </c>
      <c r="P14" s="107"/>
      <c r="Q14" s="4678">
        <f t="shared" si="6"/>
        <v>0</v>
      </c>
      <c r="R14" s="4678">
        <f t="shared" si="6"/>
        <v>0</v>
      </c>
      <c r="S14" s="4678">
        <f t="shared" si="6"/>
        <v>0</v>
      </c>
      <c r="T14" s="4678">
        <f t="shared" si="6"/>
        <v>0</v>
      </c>
      <c r="U14" s="4678">
        <f t="shared" si="6"/>
        <v>0</v>
      </c>
      <c r="V14" s="4678">
        <f t="shared" si="6"/>
        <v>0</v>
      </c>
      <c r="W14" s="4678">
        <f t="shared" si="6"/>
        <v>0</v>
      </c>
      <c r="X14" s="4678">
        <f t="shared" si="6"/>
        <v>0</v>
      </c>
      <c r="Y14" s="4678">
        <f t="shared" si="6"/>
        <v>0</v>
      </c>
      <c r="Z14" s="107"/>
      <c r="AA14" s="4678">
        <f t="shared" si="7"/>
        <v>0</v>
      </c>
      <c r="AB14" s="4678">
        <f t="shared" si="7"/>
        <v>0</v>
      </c>
      <c r="AC14" s="4678">
        <f t="shared" si="7"/>
        <v>0</v>
      </c>
      <c r="AD14" s="4678">
        <f t="shared" si="7"/>
        <v>0</v>
      </c>
      <c r="AE14" s="4678">
        <f t="shared" si="7"/>
        <v>0</v>
      </c>
      <c r="AF14" s="4678">
        <f t="shared" si="7"/>
        <v>0</v>
      </c>
      <c r="AG14" s="4678">
        <f t="shared" si="7"/>
        <v>0</v>
      </c>
      <c r="AH14" s="4678">
        <f t="shared" si="7"/>
        <v>0</v>
      </c>
      <c r="AI14" s="4678">
        <f t="shared" si="7"/>
        <v>0</v>
      </c>
      <c r="AJ14" s="107"/>
      <c r="AK14" s="4678">
        <f t="shared" ref="AK14:AS24" si="16">IF(AK$3,ROUND(D14,0),0)</f>
        <v>0</v>
      </c>
      <c r="AL14" s="4678">
        <f t="shared" si="16"/>
        <v>0</v>
      </c>
      <c r="AM14" s="4678">
        <f t="shared" si="16"/>
        <v>0</v>
      </c>
      <c r="AN14" s="4678">
        <f t="shared" si="16"/>
        <v>0</v>
      </c>
      <c r="AO14" s="4678">
        <f t="shared" si="16"/>
        <v>0</v>
      </c>
      <c r="AP14" s="4678">
        <f t="shared" si="16"/>
        <v>0</v>
      </c>
      <c r="AQ14" s="4678">
        <f t="shared" si="16"/>
        <v>0</v>
      </c>
      <c r="AR14" s="4678">
        <f t="shared" si="16"/>
        <v>0</v>
      </c>
      <c r="AS14" s="4678">
        <f t="shared" si="16"/>
        <v>0</v>
      </c>
      <c r="AT14" s="118"/>
      <c r="AV14" s="2044"/>
    </row>
    <row r="15" spans="1:59">
      <c r="A15" s="780"/>
      <c r="B15" s="786">
        <v>10</v>
      </c>
      <c r="C15" s="787" t="s">
        <v>443</v>
      </c>
      <c r="D15" s="1942"/>
      <c r="E15" s="1943"/>
      <c r="F15" s="1943"/>
      <c r="G15" s="1944"/>
      <c r="H15" s="1944"/>
      <c r="I15" s="1944"/>
      <c r="J15" s="1944"/>
      <c r="K15" s="1944"/>
      <c r="L15" s="1945"/>
      <c r="M15" s="4680">
        <f t="shared" si="15"/>
        <v>0</v>
      </c>
      <c r="N15" s="4680">
        <f t="shared" si="10"/>
        <v>0</v>
      </c>
      <c r="O15" s="4680">
        <f t="shared" si="11"/>
        <v>0</v>
      </c>
      <c r="P15" s="107"/>
      <c r="Q15" s="4678">
        <f t="shared" si="6"/>
        <v>0</v>
      </c>
      <c r="R15" s="4678">
        <f t="shared" si="6"/>
        <v>0</v>
      </c>
      <c r="S15" s="4678">
        <f t="shared" si="6"/>
        <v>0</v>
      </c>
      <c r="T15" s="4678">
        <f t="shared" si="6"/>
        <v>0</v>
      </c>
      <c r="U15" s="4678">
        <f t="shared" si="6"/>
        <v>0</v>
      </c>
      <c r="V15" s="4678">
        <f t="shared" si="6"/>
        <v>0</v>
      </c>
      <c r="W15" s="4678">
        <f t="shared" si="6"/>
        <v>0</v>
      </c>
      <c r="X15" s="4678">
        <f t="shared" si="6"/>
        <v>0</v>
      </c>
      <c r="Y15" s="4678">
        <f t="shared" si="6"/>
        <v>0</v>
      </c>
      <c r="Z15" s="107"/>
      <c r="AA15" s="4678">
        <f t="shared" si="7"/>
        <v>0</v>
      </c>
      <c r="AB15" s="4678">
        <f t="shared" si="7"/>
        <v>0</v>
      </c>
      <c r="AC15" s="4678">
        <f t="shared" si="7"/>
        <v>0</v>
      </c>
      <c r="AD15" s="4678">
        <f t="shared" si="7"/>
        <v>0</v>
      </c>
      <c r="AE15" s="4678">
        <f t="shared" si="7"/>
        <v>0</v>
      </c>
      <c r="AF15" s="4678">
        <f t="shared" si="7"/>
        <v>0</v>
      </c>
      <c r="AG15" s="4678">
        <f t="shared" si="7"/>
        <v>0</v>
      </c>
      <c r="AH15" s="4678">
        <f t="shared" si="7"/>
        <v>0</v>
      </c>
      <c r="AI15" s="4678">
        <f t="shared" si="7"/>
        <v>0</v>
      </c>
      <c r="AJ15" s="107"/>
      <c r="AK15" s="4678">
        <f t="shared" si="16"/>
        <v>0</v>
      </c>
      <c r="AL15" s="4678">
        <f t="shared" si="16"/>
        <v>0</v>
      </c>
      <c r="AM15" s="4678">
        <f t="shared" si="16"/>
        <v>0</v>
      </c>
      <c r="AN15" s="4678">
        <f t="shared" si="16"/>
        <v>0</v>
      </c>
      <c r="AO15" s="4678">
        <f t="shared" si="16"/>
        <v>0</v>
      </c>
      <c r="AP15" s="4678">
        <f t="shared" si="16"/>
        <v>0</v>
      </c>
      <c r="AQ15" s="4678">
        <f t="shared" si="16"/>
        <v>0</v>
      </c>
      <c r="AR15" s="4678">
        <f t="shared" si="16"/>
        <v>0</v>
      </c>
      <c r="AS15" s="4678">
        <f t="shared" si="16"/>
        <v>0</v>
      </c>
      <c r="AT15" s="118"/>
    </row>
    <row r="16" spans="1:59">
      <c r="A16" s="780"/>
      <c r="B16" s="786">
        <v>11</v>
      </c>
      <c r="C16" s="787" t="s">
        <v>444</v>
      </c>
      <c r="D16" s="1942"/>
      <c r="E16" s="1943"/>
      <c r="F16" s="1943"/>
      <c r="G16" s="1944"/>
      <c r="H16" s="1944"/>
      <c r="I16" s="1944"/>
      <c r="J16" s="1944"/>
      <c r="K16" s="1944"/>
      <c r="L16" s="1945"/>
      <c r="M16" s="4680">
        <f t="shared" si="15"/>
        <v>0</v>
      </c>
      <c r="N16" s="4680">
        <f t="shared" si="10"/>
        <v>0</v>
      </c>
      <c r="O16" s="4680">
        <f t="shared" si="11"/>
        <v>0</v>
      </c>
      <c r="P16" s="107"/>
      <c r="Q16" s="4678">
        <f t="shared" si="6"/>
        <v>0</v>
      </c>
      <c r="R16" s="4678">
        <f t="shared" si="6"/>
        <v>0</v>
      </c>
      <c r="S16" s="4678">
        <f t="shared" si="6"/>
        <v>0</v>
      </c>
      <c r="T16" s="4678">
        <f t="shared" si="6"/>
        <v>0</v>
      </c>
      <c r="U16" s="4678">
        <f t="shared" si="6"/>
        <v>0</v>
      </c>
      <c r="V16" s="4678">
        <f t="shared" si="6"/>
        <v>0</v>
      </c>
      <c r="W16" s="4678">
        <f t="shared" si="6"/>
        <v>0</v>
      </c>
      <c r="X16" s="4678">
        <f t="shared" si="6"/>
        <v>0</v>
      </c>
      <c r="Y16" s="4678">
        <f t="shared" si="6"/>
        <v>0</v>
      </c>
      <c r="Z16" s="107"/>
      <c r="AA16" s="4678">
        <f t="shared" si="7"/>
        <v>0</v>
      </c>
      <c r="AB16" s="4678">
        <f t="shared" si="7"/>
        <v>0</v>
      </c>
      <c r="AC16" s="4678">
        <f t="shared" si="7"/>
        <v>0</v>
      </c>
      <c r="AD16" s="4678">
        <f t="shared" si="7"/>
        <v>0</v>
      </c>
      <c r="AE16" s="4678">
        <f t="shared" si="7"/>
        <v>0</v>
      </c>
      <c r="AF16" s="4678">
        <f t="shared" si="7"/>
        <v>0</v>
      </c>
      <c r="AG16" s="4678">
        <f t="shared" si="7"/>
        <v>0</v>
      </c>
      <c r="AH16" s="4678">
        <f t="shared" si="7"/>
        <v>0</v>
      </c>
      <c r="AI16" s="4678">
        <f t="shared" si="7"/>
        <v>0</v>
      </c>
      <c r="AJ16" s="107"/>
      <c r="AK16" s="4678">
        <f t="shared" si="16"/>
        <v>0</v>
      </c>
      <c r="AL16" s="4678">
        <f t="shared" si="16"/>
        <v>0</v>
      </c>
      <c r="AM16" s="4678">
        <f t="shared" si="16"/>
        <v>0</v>
      </c>
      <c r="AN16" s="4678">
        <f t="shared" si="16"/>
        <v>0</v>
      </c>
      <c r="AO16" s="4678">
        <f t="shared" si="16"/>
        <v>0</v>
      </c>
      <c r="AP16" s="4678">
        <f t="shared" si="16"/>
        <v>0</v>
      </c>
      <c r="AQ16" s="4678">
        <f t="shared" si="16"/>
        <v>0</v>
      </c>
      <c r="AR16" s="4678">
        <f t="shared" si="16"/>
        <v>0</v>
      </c>
      <c r="AS16" s="4678">
        <f t="shared" si="16"/>
        <v>0</v>
      </c>
      <c r="AT16" s="118"/>
    </row>
    <row r="17" spans="1:46">
      <c r="A17" s="780"/>
      <c r="B17" s="786">
        <v>12</v>
      </c>
      <c r="C17" s="787" t="s">
        <v>379</v>
      </c>
      <c r="D17" s="1942"/>
      <c r="E17" s="1943"/>
      <c r="F17" s="1943"/>
      <c r="G17" s="1944"/>
      <c r="H17" s="1944"/>
      <c r="I17" s="1944"/>
      <c r="J17" s="1944"/>
      <c r="K17" s="1944"/>
      <c r="L17" s="1945"/>
      <c r="M17" s="1956" t="str">
        <f t="shared" ref="M17:O18" si="17">" - - - -"</f>
        <v xml:space="preserve"> - - - -</v>
      </c>
      <c r="N17" s="1956" t="str">
        <f t="shared" si="17"/>
        <v xml:space="preserve"> - - - -</v>
      </c>
      <c r="O17" s="1956" t="str">
        <f t="shared" si="17"/>
        <v xml:space="preserve"> - - - -</v>
      </c>
      <c r="P17" s="107"/>
      <c r="Q17" s="4678">
        <f t="shared" si="6"/>
        <v>0</v>
      </c>
      <c r="R17" s="4678">
        <f t="shared" si="6"/>
        <v>0</v>
      </c>
      <c r="S17" s="4678">
        <f t="shared" si="6"/>
        <v>0</v>
      </c>
      <c r="T17" s="4678">
        <f t="shared" si="6"/>
        <v>0</v>
      </c>
      <c r="U17" s="4678">
        <f t="shared" si="6"/>
        <v>0</v>
      </c>
      <c r="V17" s="4678">
        <f t="shared" si="6"/>
        <v>0</v>
      </c>
      <c r="W17" s="4678">
        <f t="shared" si="6"/>
        <v>0</v>
      </c>
      <c r="X17" s="4678">
        <f t="shared" si="6"/>
        <v>0</v>
      </c>
      <c r="Y17" s="4678">
        <f t="shared" si="6"/>
        <v>0</v>
      </c>
      <c r="Z17" s="107"/>
      <c r="AA17" s="4678">
        <f t="shared" si="7"/>
        <v>0</v>
      </c>
      <c r="AB17" s="4678">
        <f t="shared" si="7"/>
        <v>0</v>
      </c>
      <c r="AC17" s="4678">
        <f t="shared" si="7"/>
        <v>0</v>
      </c>
      <c r="AD17" s="4678">
        <f t="shared" si="7"/>
        <v>0</v>
      </c>
      <c r="AE17" s="4678">
        <f t="shared" si="7"/>
        <v>0</v>
      </c>
      <c r="AF17" s="4678">
        <f t="shared" si="7"/>
        <v>0</v>
      </c>
      <c r="AG17" s="4678">
        <f t="shared" si="7"/>
        <v>0</v>
      </c>
      <c r="AH17" s="4678">
        <f t="shared" si="7"/>
        <v>0</v>
      </c>
      <c r="AI17" s="4678">
        <f t="shared" si="7"/>
        <v>0</v>
      </c>
      <c r="AJ17" s="107"/>
      <c r="AK17" s="4678">
        <f t="shared" si="16"/>
        <v>0</v>
      </c>
      <c r="AL17" s="4678">
        <f t="shared" si="16"/>
        <v>0</v>
      </c>
      <c r="AM17" s="4678">
        <f t="shared" si="16"/>
        <v>0</v>
      </c>
      <c r="AN17" s="4678">
        <f t="shared" si="16"/>
        <v>0</v>
      </c>
      <c r="AO17" s="4678">
        <f t="shared" si="16"/>
        <v>0</v>
      </c>
      <c r="AP17" s="4678">
        <f t="shared" si="16"/>
        <v>0</v>
      </c>
      <c r="AQ17" s="4678">
        <f t="shared" si="16"/>
        <v>0</v>
      </c>
      <c r="AR17" s="4678">
        <f t="shared" si="16"/>
        <v>0</v>
      </c>
      <c r="AS17" s="4678">
        <f t="shared" si="16"/>
        <v>0</v>
      </c>
      <c r="AT17" s="118"/>
    </row>
    <row r="18" spans="1:46">
      <c r="A18" s="780"/>
      <c r="B18" s="786">
        <v>13</v>
      </c>
      <c r="C18" s="787" t="s">
        <v>445</v>
      </c>
      <c r="D18" s="1942"/>
      <c r="E18" s="1943"/>
      <c r="F18" s="1943"/>
      <c r="G18" s="1944"/>
      <c r="H18" s="1944"/>
      <c r="I18" s="1944"/>
      <c r="J18" s="1944"/>
      <c r="K18" s="1944"/>
      <c r="L18" s="1945"/>
      <c r="M18" s="1956" t="str">
        <f t="shared" si="17"/>
        <v xml:space="preserve"> - - - -</v>
      </c>
      <c r="N18" s="1956" t="str">
        <f t="shared" si="17"/>
        <v xml:space="preserve"> - - - -</v>
      </c>
      <c r="O18" s="1956" t="str">
        <f t="shared" si="17"/>
        <v xml:space="preserve"> - - - -</v>
      </c>
      <c r="P18" s="107"/>
      <c r="Q18" s="4678">
        <f t="shared" si="6"/>
        <v>0</v>
      </c>
      <c r="R18" s="4678">
        <f t="shared" si="6"/>
        <v>0</v>
      </c>
      <c r="S18" s="4678">
        <f t="shared" si="6"/>
        <v>0</v>
      </c>
      <c r="T18" s="4678">
        <f t="shared" si="6"/>
        <v>0</v>
      </c>
      <c r="U18" s="4678">
        <f t="shared" si="6"/>
        <v>0</v>
      </c>
      <c r="V18" s="4678">
        <f t="shared" si="6"/>
        <v>0</v>
      </c>
      <c r="W18" s="4678">
        <f t="shared" si="6"/>
        <v>0</v>
      </c>
      <c r="X18" s="4678">
        <f t="shared" si="6"/>
        <v>0</v>
      </c>
      <c r="Y18" s="4678">
        <f t="shared" si="6"/>
        <v>0</v>
      </c>
      <c r="Z18" s="107"/>
      <c r="AA18" s="4678">
        <f t="shared" si="7"/>
        <v>0</v>
      </c>
      <c r="AB18" s="4678">
        <f t="shared" si="7"/>
        <v>0</v>
      </c>
      <c r="AC18" s="4678">
        <f t="shared" si="7"/>
        <v>0</v>
      </c>
      <c r="AD18" s="4678">
        <f t="shared" si="7"/>
        <v>0</v>
      </c>
      <c r="AE18" s="4678">
        <f t="shared" si="7"/>
        <v>0</v>
      </c>
      <c r="AF18" s="4678">
        <f t="shared" si="7"/>
        <v>0</v>
      </c>
      <c r="AG18" s="4678">
        <f t="shared" si="7"/>
        <v>0</v>
      </c>
      <c r="AH18" s="4678">
        <f t="shared" si="7"/>
        <v>0</v>
      </c>
      <c r="AI18" s="4678">
        <f t="shared" si="7"/>
        <v>0</v>
      </c>
      <c r="AJ18" s="107"/>
      <c r="AK18" s="4678">
        <f t="shared" si="16"/>
        <v>0</v>
      </c>
      <c r="AL18" s="4678">
        <f t="shared" si="16"/>
        <v>0</v>
      </c>
      <c r="AM18" s="4678">
        <f t="shared" si="16"/>
        <v>0</v>
      </c>
      <c r="AN18" s="4678">
        <f t="shared" si="16"/>
        <v>0</v>
      </c>
      <c r="AO18" s="4678">
        <f t="shared" si="16"/>
        <v>0</v>
      </c>
      <c r="AP18" s="4678">
        <f t="shared" si="16"/>
        <v>0</v>
      </c>
      <c r="AQ18" s="4678">
        <f t="shared" si="16"/>
        <v>0</v>
      </c>
      <c r="AR18" s="4678">
        <f t="shared" si="16"/>
        <v>0</v>
      </c>
      <c r="AS18" s="4678">
        <f t="shared" si="16"/>
        <v>0</v>
      </c>
      <c r="AT18" s="118"/>
    </row>
    <row r="19" spans="1:46">
      <c r="A19" s="780"/>
      <c r="B19" s="1782">
        <v>14</v>
      </c>
      <c r="C19" s="1779" t="s">
        <v>341</v>
      </c>
      <c r="D19" s="1942"/>
      <c r="E19" s="1943"/>
      <c r="F19" s="1943"/>
      <c r="G19" s="1944"/>
      <c r="H19" s="1944"/>
      <c r="I19" s="1944"/>
      <c r="J19" s="1944"/>
      <c r="K19" s="1944"/>
      <c r="L19" s="1945"/>
      <c r="M19" s="4680">
        <f t="shared" si="15"/>
        <v>0</v>
      </c>
      <c r="N19" s="4680">
        <f t="shared" si="10"/>
        <v>0</v>
      </c>
      <c r="O19" s="4680">
        <f t="shared" si="11"/>
        <v>0</v>
      </c>
      <c r="P19" s="107"/>
      <c r="Q19" s="4678">
        <f t="shared" si="6"/>
        <v>0</v>
      </c>
      <c r="R19" s="4678">
        <f t="shared" si="6"/>
        <v>0</v>
      </c>
      <c r="S19" s="4678">
        <f t="shared" si="6"/>
        <v>0</v>
      </c>
      <c r="T19" s="4678">
        <f t="shared" si="6"/>
        <v>0</v>
      </c>
      <c r="U19" s="4678">
        <f t="shared" si="6"/>
        <v>0</v>
      </c>
      <c r="V19" s="4678">
        <f t="shared" si="6"/>
        <v>0</v>
      </c>
      <c r="W19" s="4678">
        <f t="shared" si="6"/>
        <v>0</v>
      </c>
      <c r="X19" s="4678">
        <f t="shared" si="6"/>
        <v>0</v>
      </c>
      <c r="Y19" s="4678">
        <f t="shared" si="6"/>
        <v>0</v>
      </c>
      <c r="Z19" s="107"/>
      <c r="AA19" s="4678">
        <f t="shared" si="7"/>
        <v>0</v>
      </c>
      <c r="AB19" s="4678">
        <f t="shared" si="7"/>
        <v>0</v>
      </c>
      <c r="AC19" s="4678">
        <f t="shared" si="7"/>
        <v>0</v>
      </c>
      <c r="AD19" s="4678">
        <f t="shared" si="7"/>
        <v>0</v>
      </c>
      <c r="AE19" s="4678">
        <f t="shared" si="7"/>
        <v>0</v>
      </c>
      <c r="AF19" s="4678">
        <f t="shared" si="7"/>
        <v>0</v>
      </c>
      <c r="AG19" s="4678">
        <f t="shared" si="7"/>
        <v>0</v>
      </c>
      <c r="AH19" s="4678">
        <f t="shared" si="7"/>
        <v>0</v>
      </c>
      <c r="AI19" s="4678">
        <f t="shared" si="7"/>
        <v>0</v>
      </c>
      <c r="AJ19" s="107"/>
      <c r="AK19" s="4678">
        <f t="shared" si="16"/>
        <v>0</v>
      </c>
      <c r="AL19" s="4678">
        <f t="shared" si="16"/>
        <v>0</v>
      </c>
      <c r="AM19" s="4678">
        <f t="shared" si="16"/>
        <v>0</v>
      </c>
      <c r="AN19" s="4678">
        <f t="shared" si="16"/>
        <v>0</v>
      </c>
      <c r="AO19" s="4678">
        <f t="shared" si="16"/>
        <v>0</v>
      </c>
      <c r="AP19" s="4678">
        <f t="shared" si="16"/>
        <v>0</v>
      </c>
      <c r="AQ19" s="4678">
        <f t="shared" si="16"/>
        <v>0</v>
      </c>
      <c r="AR19" s="4678">
        <f t="shared" si="16"/>
        <v>0</v>
      </c>
      <c r="AS19" s="4678">
        <f t="shared" si="16"/>
        <v>0</v>
      </c>
      <c r="AT19" s="118"/>
    </row>
    <row r="20" spans="1:46">
      <c r="A20" s="780"/>
      <c r="B20" s="786">
        <v>15</v>
      </c>
      <c r="C20" s="787" t="s">
        <v>446</v>
      </c>
      <c r="D20" s="1930"/>
      <c r="E20" s="1931"/>
      <c r="F20" s="1931"/>
      <c r="G20" s="1932"/>
      <c r="H20" s="1932"/>
      <c r="I20" s="1932"/>
      <c r="J20" s="1932"/>
      <c r="K20" s="1932"/>
      <c r="L20" s="1933"/>
      <c r="M20" s="1956" t="str">
        <f>" - - - -"</f>
        <v xml:space="preserve"> - - - -</v>
      </c>
      <c r="N20" s="1956" t="str">
        <f>" - - - -"</f>
        <v xml:space="preserve"> - - - -</v>
      </c>
      <c r="O20" s="1956" t="str">
        <f>" - - - -"</f>
        <v xml:space="preserve"> - - - -</v>
      </c>
      <c r="P20" s="107"/>
      <c r="Q20" s="4678"/>
      <c r="R20" s="4678"/>
      <c r="S20" s="4678"/>
      <c r="T20" s="4678"/>
      <c r="U20" s="4678"/>
      <c r="V20" s="4678"/>
      <c r="W20" s="4678"/>
      <c r="X20" s="4678"/>
      <c r="Y20" s="4678"/>
      <c r="Z20" s="107"/>
      <c r="AA20" s="4678"/>
      <c r="AB20" s="4678"/>
      <c r="AC20" s="4678"/>
      <c r="AD20" s="4678"/>
      <c r="AE20" s="4678"/>
      <c r="AF20" s="4678"/>
      <c r="AG20" s="4678"/>
      <c r="AH20" s="4678"/>
      <c r="AI20" s="4678"/>
      <c r="AJ20" s="107"/>
      <c r="AK20" s="4678"/>
      <c r="AL20" s="4678"/>
      <c r="AM20" s="4678"/>
      <c r="AN20" s="4678"/>
      <c r="AO20" s="4678"/>
      <c r="AP20" s="4678"/>
      <c r="AQ20" s="4678"/>
      <c r="AR20" s="4678"/>
      <c r="AS20" s="4678"/>
      <c r="AT20" s="118"/>
    </row>
    <row r="21" spans="1:46">
      <c r="A21" s="780"/>
      <c r="B21" s="786">
        <v>16</v>
      </c>
      <c r="C21" s="787" t="s">
        <v>447</v>
      </c>
      <c r="D21" s="1942"/>
      <c r="E21" s="1943"/>
      <c r="F21" s="1943"/>
      <c r="G21" s="1944"/>
      <c r="H21" s="1944"/>
      <c r="I21" s="1944"/>
      <c r="J21" s="1944"/>
      <c r="K21" s="1944"/>
      <c r="L21" s="1945"/>
      <c r="M21" s="4680">
        <f>SUM(Q21:Y21)</f>
        <v>0</v>
      </c>
      <c r="N21" s="4680">
        <f>SUM(AA21:AI21)</f>
        <v>0</v>
      </c>
      <c r="O21" s="4680">
        <f>SUM(AK21:AS21)</f>
        <v>0</v>
      </c>
      <c r="P21" s="107"/>
      <c r="Q21" s="4678">
        <f t="shared" si="6"/>
        <v>0</v>
      </c>
      <c r="R21" s="4678">
        <f t="shared" si="6"/>
        <v>0</v>
      </c>
      <c r="S21" s="4678">
        <f t="shared" si="6"/>
        <v>0</v>
      </c>
      <c r="T21" s="4678">
        <f t="shared" si="6"/>
        <v>0</v>
      </c>
      <c r="U21" s="4678">
        <f t="shared" si="6"/>
        <v>0</v>
      </c>
      <c r="V21" s="4678">
        <f t="shared" si="6"/>
        <v>0</v>
      </c>
      <c r="W21" s="4678">
        <f t="shared" si="6"/>
        <v>0</v>
      </c>
      <c r="X21" s="4678">
        <f t="shared" si="6"/>
        <v>0</v>
      </c>
      <c r="Y21" s="4678">
        <f t="shared" si="6"/>
        <v>0</v>
      </c>
      <c r="Z21" s="107"/>
      <c r="AA21" s="4678">
        <f t="shared" si="7"/>
        <v>0</v>
      </c>
      <c r="AB21" s="4678">
        <f t="shared" si="7"/>
        <v>0</v>
      </c>
      <c r="AC21" s="4678">
        <f t="shared" si="7"/>
        <v>0</v>
      </c>
      <c r="AD21" s="4678">
        <f t="shared" si="7"/>
        <v>0</v>
      </c>
      <c r="AE21" s="4678">
        <f t="shared" si="7"/>
        <v>0</v>
      </c>
      <c r="AF21" s="4678">
        <f t="shared" si="7"/>
        <v>0</v>
      </c>
      <c r="AG21" s="4678">
        <f t="shared" si="7"/>
        <v>0</v>
      </c>
      <c r="AH21" s="4678">
        <f t="shared" si="7"/>
        <v>0</v>
      </c>
      <c r="AI21" s="4678">
        <f t="shared" si="7"/>
        <v>0</v>
      </c>
      <c r="AJ21" s="107"/>
      <c r="AK21" s="4678">
        <f t="shared" si="16"/>
        <v>0</v>
      </c>
      <c r="AL21" s="4678">
        <f t="shared" si="16"/>
        <v>0</v>
      </c>
      <c r="AM21" s="4678">
        <f t="shared" si="16"/>
        <v>0</v>
      </c>
      <c r="AN21" s="4678">
        <f t="shared" si="16"/>
        <v>0</v>
      </c>
      <c r="AO21" s="4678">
        <f t="shared" si="16"/>
        <v>0</v>
      </c>
      <c r="AP21" s="4678">
        <f t="shared" si="16"/>
        <v>0</v>
      </c>
      <c r="AQ21" s="4678">
        <f t="shared" si="16"/>
        <v>0</v>
      </c>
      <c r="AR21" s="4678">
        <f t="shared" si="16"/>
        <v>0</v>
      </c>
      <c r="AS21" s="4678">
        <f t="shared" si="16"/>
        <v>0</v>
      </c>
      <c r="AT21" s="118"/>
    </row>
    <row r="22" spans="1:46">
      <c r="A22" s="780"/>
      <c r="B22" s="1782">
        <v>17</v>
      </c>
      <c r="C22" s="1779" t="s">
        <v>448</v>
      </c>
      <c r="D22" s="1942"/>
      <c r="E22" s="1943"/>
      <c r="F22" s="1943"/>
      <c r="G22" s="1944"/>
      <c r="H22" s="1944"/>
      <c r="I22" s="1944"/>
      <c r="J22" s="1944"/>
      <c r="K22" s="1944"/>
      <c r="L22" s="1945"/>
      <c r="M22" s="4680">
        <f>SUM(Q22:Y22)</f>
        <v>0</v>
      </c>
      <c r="N22" s="4680">
        <f>SUM(AA22:AI22)</f>
        <v>0</v>
      </c>
      <c r="O22" s="4680">
        <f>SUM(AK22:AS22)</f>
        <v>0</v>
      </c>
      <c r="P22" s="107"/>
      <c r="Q22" s="4678">
        <f t="shared" si="6"/>
        <v>0</v>
      </c>
      <c r="R22" s="4678">
        <f t="shared" si="6"/>
        <v>0</v>
      </c>
      <c r="S22" s="4678">
        <f t="shared" si="6"/>
        <v>0</v>
      </c>
      <c r="T22" s="4678">
        <f t="shared" si="6"/>
        <v>0</v>
      </c>
      <c r="U22" s="4678">
        <f t="shared" si="6"/>
        <v>0</v>
      </c>
      <c r="V22" s="4678">
        <f t="shared" si="6"/>
        <v>0</v>
      </c>
      <c r="W22" s="4678">
        <f t="shared" si="6"/>
        <v>0</v>
      </c>
      <c r="X22" s="4678">
        <f t="shared" si="6"/>
        <v>0</v>
      </c>
      <c r="Y22" s="4678">
        <f t="shared" si="6"/>
        <v>0</v>
      </c>
      <c r="Z22" s="107"/>
      <c r="AA22" s="4678">
        <f t="shared" si="7"/>
        <v>0</v>
      </c>
      <c r="AB22" s="4678">
        <f t="shared" si="7"/>
        <v>0</v>
      </c>
      <c r="AC22" s="4678">
        <f t="shared" si="7"/>
        <v>0</v>
      </c>
      <c r="AD22" s="4678">
        <f t="shared" si="7"/>
        <v>0</v>
      </c>
      <c r="AE22" s="4678">
        <f t="shared" si="7"/>
        <v>0</v>
      </c>
      <c r="AF22" s="4678">
        <f t="shared" si="7"/>
        <v>0</v>
      </c>
      <c r="AG22" s="4678">
        <f t="shared" si="7"/>
        <v>0</v>
      </c>
      <c r="AH22" s="4678">
        <f t="shared" si="7"/>
        <v>0</v>
      </c>
      <c r="AI22" s="4678">
        <f t="shared" si="7"/>
        <v>0</v>
      </c>
      <c r="AJ22" s="107"/>
      <c r="AK22" s="4678">
        <f t="shared" si="16"/>
        <v>0</v>
      </c>
      <c r="AL22" s="4678">
        <f t="shared" si="16"/>
        <v>0</v>
      </c>
      <c r="AM22" s="4678">
        <f t="shared" si="16"/>
        <v>0</v>
      </c>
      <c r="AN22" s="4678">
        <f t="shared" si="16"/>
        <v>0</v>
      </c>
      <c r="AO22" s="4678">
        <f t="shared" si="16"/>
        <v>0</v>
      </c>
      <c r="AP22" s="4678">
        <f t="shared" si="16"/>
        <v>0</v>
      </c>
      <c r="AQ22" s="4678">
        <f t="shared" si="16"/>
        <v>0</v>
      </c>
      <c r="AR22" s="4678">
        <f t="shared" si="16"/>
        <v>0</v>
      </c>
      <c r="AS22" s="4678">
        <f t="shared" si="16"/>
        <v>0</v>
      </c>
      <c r="AT22" s="118"/>
    </row>
    <row r="23" spans="1:46">
      <c r="A23" s="780"/>
      <c r="B23" s="786">
        <v>18</v>
      </c>
      <c r="C23" s="787" t="s">
        <v>449</v>
      </c>
      <c r="D23" s="4645" t="b">
        <f>OR(D3="CONV",D3="conv")</f>
        <v>0</v>
      </c>
      <c r="E23" s="4646" t="b">
        <f>OR(E3="CONV",E3="conv")</f>
        <v>0</v>
      </c>
      <c r="F23" s="4646" t="b">
        <f t="shared" ref="F23:L23" si="18">OR(F3="CONV",F3="conv")</f>
        <v>0</v>
      </c>
      <c r="G23" s="4646" t="b">
        <f t="shared" si="18"/>
        <v>0</v>
      </c>
      <c r="H23" s="4646" t="b">
        <f t="shared" si="18"/>
        <v>0</v>
      </c>
      <c r="I23" s="4646" t="b">
        <f t="shared" si="18"/>
        <v>0</v>
      </c>
      <c r="J23" s="4646" t="b">
        <f t="shared" si="18"/>
        <v>0</v>
      </c>
      <c r="K23" s="4646" t="b">
        <f t="shared" si="18"/>
        <v>0</v>
      </c>
      <c r="L23" s="4646" t="b">
        <f t="shared" si="18"/>
        <v>0</v>
      </c>
      <c r="M23" s="1956" t="str">
        <f>" - - - -"</f>
        <v xml:space="preserve"> - - - -</v>
      </c>
      <c r="N23" s="1956" t="str">
        <f>" - - - -"</f>
        <v xml:space="preserve"> - - - -</v>
      </c>
      <c r="O23" s="1956" t="str">
        <f>" - - - -"</f>
        <v xml:space="preserve"> - - - -</v>
      </c>
      <c r="P23" s="107"/>
      <c r="Q23" s="4678"/>
      <c r="R23" s="4678"/>
      <c r="S23" s="4678"/>
      <c r="T23" s="4678"/>
      <c r="U23" s="4678"/>
      <c r="V23" s="4678"/>
      <c r="W23" s="4678"/>
      <c r="X23" s="4678"/>
      <c r="Y23" s="4678"/>
      <c r="Z23" s="107"/>
      <c r="AA23" s="4678"/>
      <c r="AB23" s="4678"/>
      <c r="AC23" s="4678"/>
      <c r="AD23" s="4678"/>
      <c r="AE23" s="4678"/>
      <c r="AF23" s="4678"/>
      <c r="AG23" s="4678"/>
      <c r="AH23" s="4678"/>
      <c r="AI23" s="4678"/>
      <c r="AJ23" s="107"/>
      <c r="AK23" s="4678"/>
      <c r="AL23" s="4678"/>
      <c r="AM23" s="4678"/>
      <c r="AN23" s="4678"/>
      <c r="AO23" s="4678"/>
      <c r="AP23" s="4678"/>
      <c r="AQ23" s="4678"/>
      <c r="AR23" s="4678"/>
      <c r="AS23" s="4678"/>
      <c r="AT23" s="118"/>
    </row>
    <row r="24" spans="1:46" ht="13.5" thickBot="1">
      <c r="A24" s="780"/>
      <c r="B24" s="791">
        <v>19</v>
      </c>
      <c r="C24" s="2029" t="s">
        <v>450</v>
      </c>
      <c r="D24" s="1952"/>
      <c r="E24" s="1953"/>
      <c r="F24" s="1953"/>
      <c r="G24" s="1954"/>
      <c r="H24" s="1954"/>
      <c r="I24" s="1954"/>
      <c r="J24" s="1954"/>
      <c r="K24" s="1954"/>
      <c r="L24" s="1955"/>
      <c r="M24" s="4681">
        <f>SUM(Q24:Y24)</f>
        <v>0</v>
      </c>
      <c r="N24" s="4681">
        <f>SUM(AA24:AI24)</f>
        <v>0</v>
      </c>
      <c r="O24" s="4681">
        <f>SUM(AK24:AS24)</f>
        <v>0</v>
      </c>
      <c r="P24" s="107"/>
      <c r="Q24" s="4678">
        <f t="shared" si="6"/>
        <v>0</v>
      </c>
      <c r="R24" s="4678">
        <f t="shared" si="6"/>
        <v>0</v>
      </c>
      <c r="S24" s="4678">
        <f t="shared" si="6"/>
        <v>0</v>
      </c>
      <c r="T24" s="4678">
        <f t="shared" si="6"/>
        <v>0</v>
      </c>
      <c r="U24" s="4678">
        <f t="shared" si="6"/>
        <v>0</v>
      </c>
      <c r="V24" s="4678">
        <f t="shared" si="6"/>
        <v>0</v>
      </c>
      <c r="W24" s="4678">
        <f t="shared" si="6"/>
        <v>0</v>
      </c>
      <c r="X24" s="4678">
        <f t="shared" si="6"/>
        <v>0</v>
      </c>
      <c r="Y24" s="4678">
        <f t="shared" si="6"/>
        <v>0</v>
      </c>
      <c r="Z24" s="107"/>
      <c r="AA24" s="4678">
        <f t="shared" si="7"/>
        <v>0</v>
      </c>
      <c r="AB24" s="4678">
        <f t="shared" si="7"/>
        <v>0</v>
      </c>
      <c r="AC24" s="4678">
        <f t="shared" si="7"/>
        <v>0</v>
      </c>
      <c r="AD24" s="4678">
        <f t="shared" si="7"/>
        <v>0</v>
      </c>
      <c r="AE24" s="4678">
        <f t="shared" si="7"/>
        <v>0</v>
      </c>
      <c r="AF24" s="4678">
        <f t="shared" si="7"/>
        <v>0</v>
      </c>
      <c r="AG24" s="4678">
        <f t="shared" si="7"/>
        <v>0</v>
      </c>
      <c r="AH24" s="4678">
        <f t="shared" si="7"/>
        <v>0</v>
      </c>
      <c r="AI24" s="4678">
        <f t="shared" si="7"/>
        <v>0</v>
      </c>
      <c r="AJ24" s="107"/>
      <c r="AK24" s="4678">
        <f t="shared" si="16"/>
        <v>0</v>
      </c>
      <c r="AL24" s="4678">
        <f t="shared" si="16"/>
        <v>0</v>
      </c>
      <c r="AM24" s="4678">
        <f t="shared" si="16"/>
        <v>0</v>
      </c>
      <c r="AN24" s="4678">
        <f t="shared" si="16"/>
        <v>0</v>
      </c>
      <c r="AO24" s="4678">
        <f t="shared" si="16"/>
        <v>0</v>
      </c>
      <c r="AP24" s="4678">
        <f t="shared" si="16"/>
        <v>0</v>
      </c>
      <c r="AQ24" s="4678">
        <f t="shared" si="16"/>
        <v>0</v>
      </c>
      <c r="AR24" s="4678">
        <f t="shared" si="16"/>
        <v>0</v>
      </c>
      <c r="AS24" s="4678">
        <f t="shared" si="16"/>
        <v>0</v>
      </c>
      <c r="AT24" s="118"/>
    </row>
    <row r="25" spans="1:46" ht="17.25" customHeight="1" thickBot="1">
      <c r="A25" s="780"/>
      <c r="B25" s="2281" t="s">
        <v>265</v>
      </c>
      <c r="C25" s="2282"/>
      <c r="D25" s="4647" t="b">
        <f>OR(D23:L23)</f>
        <v>0</v>
      </c>
      <c r="E25" s="780"/>
      <c r="F25" s="780"/>
      <c r="G25" s="780"/>
      <c r="H25" s="4644" t="str">
        <f>IF(D25,"For IRA conversions, leave line 2a blank and complete "&amp;CHAR(10)&amp;"Form 8606.","")</f>
        <v/>
      </c>
      <c r="I25" s="780"/>
      <c r="J25" s="780"/>
      <c r="K25" s="780"/>
      <c r="L25" s="780"/>
      <c r="M25" s="780"/>
      <c r="N25" s="780"/>
      <c r="O25" s="780"/>
      <c r="P25" s="800"/>
      <c r="Q25" s="118"/>
      <c r="R25" s="118"/>
      <c r="S25" s="118"/>
      <c r="T25" s="118"/>
      <c r="U25" s="118"/>
      <c r="V25" s="118"/>
      <c r="W25" s="118"/>
      <c r="X25" s="118"/>
      <c r="Y25" s="118"/>
      <c r="Z25" s="800"/>
      <c r="AA25" s="118"/>
      <c r="AB25" s="118"/>
      <c r="AC25" s="118"/>
      <c r="AD25" s="118"/>
      <c r="AE25" s="118"/>
      <c r="AF25" s="118"/>
      <c r="AG25" s="118"/>
      <c r="AH25" s="118"/>
      <c r="AI25" s="118"/>
      <c r="AJ25" s="800"/>
      <c r="AK25" s="118"/>
      <c r="AL25" s="118"/>
      <c r="AM25" s="118"/>
      <c r="AN25" s="118"/>
      <c r="AO25" s="118"/>
      <c r="AP25" s="118"/>
      <c r="AQ25" s="118"/>
      <c r="AR25" s="118"/>
      <c r="AS25" s="118"/>
      <c r="AT25" s="118"/>
    </row>
    <row r="26" spans="1:46" ht="17.25" hidden="1" customHeight="1">
      <c r="A26" s="780"/>
      <c r="B26" s="2281"/>
      <c r="C26" s="2282"/>
      <c r="D26" s="2276" t="str">
        <f t="shared" ref="D26:L26" si="19">IF(OR(LEFT(D11,1)="D",LEFT(D11,1)="d"),D5,"")</f>
        <v/>
      </c>
      <c r="E26" s="2276" t="str">
        <f t="shared" si="19"/>
        <v/>
      </c>
      <c r="F26" s="2276" t="str">
        <f t="shared" si="19"/>
        <v/>
      </c>
      <c r="G26" s="2276" t="str">
        <f t="shared" si="19"/>
        <v/>
      </c>
      <c r="H26" s="2276" t="str">
        <f t="shared" si="19"/>
        <v/>
      </c>
      <c r="I26" s="2276" t="str">
        <f t="shared" si="19"/>
        <v/>
      </c>
      <c r="J26" s="2276" t="str">
        <f t="shared" si="19"/>
        <v/>
      </c>
      <c r="K26" s="2276" t="str">
        <f t="shared" si="19"/>
        <v/>
      </c>
      <c r="L26" s="2276" t="str">
        <f t="shared" si="19"/>
        <v/>
      </c>
      <c r="M26" s="780"/>
      <c r="N26" s="2276">
        <f>SUM(D26:L26)</f>
        <v>0</v>
      </c>
      <c r="O26" s="2276">
        <f>SUM(E26:M26)</f>
        <v>0</v>
      </c>
      <c r="P26" s="800"/>
      <c r="Q26" s="118"/>
      <c r="R26" s="118"/>
      <c r="S26" s="118"/>
      <c r="T26" s="118"/>
      <c r="U26" s="118"/>
      <c r="V26" s="118"/>
      <c r="W26" s="118"/>
      <c r="X26" s="118"/>
      <c r="Y26" s="118"/>
      <c r="Z26" s="800"/>
      <c r="AA26" s="118"/>
      <c r="AB26" s="118"/>
      <c r="AC26" s="118"/>
      <c r="AD26" s="118"/>
      <c r="AE26" s="118"/>
      <c r="AF26" s="118"/>
      <c r="AG26" s="118"/>
      <c r="AH26" s="118"/>
      <c r="AI26" s="118"/>
      <c r="AJ26" s="800"/>
      <c r="AK26" s="118"/>
      <c r="AL26" s="118"/>
      <c r="AM26" s="118"/>
      <c r="AN26" s="118"/>
      <c r="AO26" s="118"/>
      <c r="AP26" s="118"/>
      <c r="AQ26" s="118"/>
      <c r="AR26" s="118"/>
      <c r="AS26" s="118"/>
      <c r="AT26" s="118"/>
    </row>
    <row r="27" spans="1:46" ht="17.25" hidden="1" customHeight="1" thickBot="1">
      <c r="A27" s="780"/>
      <c r="B27" s="2281"/>
      <c r="C27" s="2282"/>
      <c r="D27" s="2276" t="str">
        <f>IF(OR(LEFT(D11,1)="D",LEFT(D11,1)="d"),SUM(D19,D22),"")</f>
        <v/>
      </c>
      <c r="E27" s="2276" t="str">
        <f t="shared" ref="E27:L27" si="20">IF(OR(LEFT(E11,1)="D",LEFT(E11,1)="d"),SUM(E19,E22),"")</f>
        <v/>
      </c>
      <c r="F27" s="2276" t="str">
        <f t="shared" si="20"/>
        <v/>
      </c>
      <c r="G27" s="2276" t="str">
        <f t="shared" si="20"/>
        <v/>
      </c>
      <c r="H27" s="2276" t="str">
        <f t="shared" si="20"/>
        <v/>
      </c>
      <c r="I27" s="2276" t="str">
        <f t="shared" si="20"/>
        <v/>
      </c>
      <c r="J27" s="2276" t="str">
        <f t="shared" si="20"/>
        <v/>
      </c>
      <c r="K27" s="2276" t="str">
        <f t="shared" si="20"/>
        <v/>
      </c>
      <c r="L27" s="2276" t="str">
        <f t="shared" si="20"/>
        <v/>
      </c>
      <c r="M27" s="780"/>
      <c r="N27" s="2276">
        <f>SUM(D27:L27)</f>
        <v>0</v>
      </c>
      <c r="O27" s="2276">
        <f>SUM(E27:M27)</f>
        <v>0</v>
      </c>
      <c r="P27" s="800"/>
      <c r="Q27" s="118"/>
      <c r="R27" s="118"/>
      <c r="S27" s="118"/>
      <c r="T27" s="118"/>
      <c r="U27" s="118"/>
      <c r="V27" s="118"/>
      <c r="W27" s="118"/>
      <c r="X27" s="118"/>
      <c r="Y27" s="118"/>
      <c r="Z27" s="800"/>
      <c r="AA27" s="118"/>
      <c r="AB27" s="118"/>
      <c r="AC27" s="118"/>
      <c r="AD27" s="118"/>
      <c r="AE27" s="118"/>
      <c r="AF27" s="118"/>
      <c r="AG27" s="118"/>
      <c r="AH27" s="118"/>
      <c r="AI27" s="118"/>
      <c r="AJ27" s="800"/>
      <c r="AK27" s="118"/>
      <c r="AL27" s="118"/>
      <c r="AM27" s="118"/>
      <c r="AN27" s="118"/>
      <c r="AO27" s="118"/>
      <c r="AP27" s="118"/>
      <c r="AQ27" s="118"/>
      <c r="AR27" s="118"/>
      <c r="AS27" s="118"/>
      <c r="AT27" s="118"/>
    </row>
    <row r="28" spans="1:46" ht="42" customHeight="1" thickTop="1">
      <c r="A28" s="1913"/>
      <c r="B28" s="1925" t="s">
        <v>423</v>
      </c>
      <c r="C28" s="5408"/>
      <c r="D28" s="5409"/>
      <c r="E28" s="1914"/>
      <c r="F28" s="5409"/>
      <c r="G28" s="5409"/>
      <c r="H28" s="5409"/>
      <c r="I28" s="1915"/>
      <c r="J28" s="1915"/>
      <c r="K28" s="1916"/>
      <c r="L28" s="1916"/>
      <c r="M28" s="1916"/>
      <c r="N28" s="1916"/>
      <c r="O28" s="1916"/>
    </row>
    <row r="29" spans="1:46" ht="48" customHeight="1" thickBot="1">
      <c r="A29" s="780"/>
      <c r="B29" s="5371"/>
      <c r="C29" s="1927" t="str">
        <f>IF(Name_1st_Sp="","Enter your spouse's name on the"&amp;CHAR(10)&amp;"sheet labeled '1040'",NameSpouse)</f>
        <v>Enter your spouse's name on the
sheet labeled '1040'</v>
      </c>
      <c r="D29" s="1455" t="s">
        <v>314</v>
      </c>
      <c r="E29" s="1455" t="s">
        <v>315</v>
      </c>
      <c r="F29" s="1455" t="s">
        <v>316</v>
      </c>
      <c r="G29" s="1455" t="s">
        <v>317</v>
      </c>
      <c r="H29" s="1455" t="s">
        <v>318</v>
      </c>
      <c r="I29" s="1455" t="s">
        <v>343</v>
      </c>
      <c r="J29" s="1455" t="s">
        <v>344</v>
      </c>
      <c r="K29" s="1455" t="s">
        <v>345</v>
      </c>
      <c r="L29" s="1455" t="s">
        <v>346</v>
      </c>
      <c r="M29" s="2329" t="s">
        <v>425</v>
      </c>
      <c r="N29" s="1997" t="s">
        <v>426</v>
      </c>
      <c r="O29" s="1997" t="s">
        <v>451</v>
      </c>
      <c r="P29" s="72"/>
      <c r="Q29" s="240"/>
      <c r="R29" s="240"/>
      <c r="S29" s="240"/>
      <c r="T29" s="240"/>
      <c r="U29" s="240"/>
      <c r="V29" s="240"/>
      <c r="W29" s="240"/>
      <c r="X29" s="240"/>
      <c r="Y29" s="240"/>
      <c r="Z29" s="72"/>
      <c r="AA29" s="240"/>
      <c r="AB29" s="240"/>
      <c r="AC29" s="240"/>
      <c r="AD29" s="240"/>
      <c r="AE29" s="240"/>
      <c r="AF29" s="240"/>
      <c r="AG29" s="240"/>
      <c r="AH29" s="240"/>
      <c r="AI29" s="240"/>
      <c r="AJ29" s="72"/>
      <c r="AK29" s="240"/>
      <c r="AL29" s="240"/>
      <c r="AM29" s="240"/>
      <c r="AN29" s="240"/>
      <c r="AO29" s="240"/>
      <c r="AP29" s="240"/>
      <c r="AQ29" s="240"/>
      <c r="AR29" s="240"/>
      <c r="AS29" s="240"/>
      <c r="AT29" s="240"/>
    </row>
    <row r="30" spans="1:46" ht="13.5" thickBot="1">
      <c r="A30" s="780"/>
      <c r="B30" s="781"/>
      <c r="C30" s="782" t="s">
        <v>431</v>
      </c>
      <c r="D30" s="1456"/>
      <c r="E30" s="1748"/>
      <c r="F30" s="1748"/>
      <c r="G30" s="3956"/>
      <c r="H30" s="3956"/>
      <c r="I30" s="3956"/>
      <c r="J30" s="3956"/>
      <c r="K30" s="3956"/>
      <c r="L30" s="3956"/>
      <c r="M30" s="5410" t="s">
        <v>428</v>
      </c>
      <c r="N30" s="3955" t="s">
        <v>429</v>
      </c>
      <c r="O30" s="3955" t="s">
        <v>430</v>
      </c>
      <c r="P30" s="22"/>
      <c r="Q30" s="39" t="b">
        <f t="shared" ref="Q30:Y30" si="21">NOT(AND(ISERROR(FIND("IRA",D30,1)),ISERROR(FIND("ira",D30,1))))</f>
        <v>0</v>
      </c>
      <c r="R30" s="39" t="b">
        <f t="shared" si="21"/>
        <v>0</v>
      </c>
      <c r="S30" s="39" t="b">
        <f t="shared" si="21"/>
        <v>0</v>
      </c>
      <c r="T30" s="39" t="b">
        <f t="shared" si="21"/>
        <v>0</v>
      </c>
      <c r="U30" s="39" t="b">
        <f t="shared" si="21"/>
        <v>0</v>
      </c>
      <c r="V30" s="39" t="b">
        <f t="shared" si="21"/>
        <v>0</v>
      </c>
      <c r="W30" s="39" t="b">
        <f t="shared" si="21"/>
        <v>0</v>
      </c>
      <c r="X30" s="39" t="b">
        <f t="shared" si="21"/>
        <v>0</v>
      </c>
      <c r="Y30" s="39" t="b">
        <f t="shared" si="21"/>
        <v>0</v>
      </c>
      <c r="Z30" s="22"/>
      <c r="AA30" s="39" t="b">
        <f t="shared" ref="AA30:AI30" si="22">NOT(AND(ISERROR(FIND("P/A",D30,1)),ISERROR(FIND("p/a",D30,1))))</f>
        <v>0</v>
      </c>
      <c r="AB30" s="39" t="b">
        <f t="shared" si="22"/>
        <v>0</v>
      </c>
      <c r="AC30" s="39" t="b">
        <f t="shared" si="22"/>
        <v>0</v>
      </c>
      <c r="AD30" s="39" t="b">
        <f t="shared" si="22"/>
        <v>0</v>
      </c>
      <c r="AE30" s="39" t="b">
        <f t="shared" si="22"/>
        <v>0</v>
      </c>
      <c r="AF30" s="39" t="b">
        <f t="shared" si="22"/>
        <v>0</v>
      </c>
      <c r="AG30" s="39" t="b">
        <f t="shared" si="22"/>
        <v>0</v>
      </c>
      <c r="AH30" s="39" t="b">
        <f t="shared" si="22"/>
        <v>0</v>
      </c>
      <c r="AI30" s="39" t="b">
        <f t="shared" si="22"/>
        <v>0</v>
      </c>
      <c r="AJ30" s="22"/>
      <c r="AK30" s="39" t="b">
        <f t="shared" ref="AK30:AS30" si="23">NOT(AND(ISERROR(FIND("CONV",D30,1)),ISERROR(FIND("conv",D30,1))))</f>
        <v>0</v>
      </c>
      <c r="AL30" s="39" t="b">
        <f t="shared" si="23"/>
        <v>0</v>
      </c>
      <c r="AM30" s="39" t="b">
        <f t="shared" si="23"/>
        <v>0</v>
      </c>
      <c r="AN30" s="39" t="b">
        <f t="shared" si="23"/>
        <v>0</v>
      </c>
      <c r="AO30" s="39" t="b">
        <f t="shared" si="23"/>
        <v>0</v>
      </c>
      <c r="AP30" s="39" t="b">
        <f t="shared" si="23"/>
        <v>0</v>
      </c>
      <c r="AQ30" s="39" t="b">
        <f t="shared" si="23"/>
        <v>0</v>
      </c>
      <c r="AR30" s="39" t="b">
        <f t="shared" si="23"/>
        <v>0</v>
      </c>
      <c r="AS30" s="39" t="b">
        <f t="shared" si="23"/>
        <v>0</v>
      </c>
      <c r="AT30" s="39"/>
    </row>
    <row r="31" spans="1:46" ht="13.5" customHeight="1">
      <c r="A31" s="780"/>
      <c r="B31" s="1781">
        <v>1</v>
      </c>
      <c r="C31" s="1778" t="s">
        <v>432</v>
      </c>
      <c r="D31" s="1940"/>
      <c r="E31" s="1941"/>
      <c r="F31" s="1941"/>
      <c r="G31" s="1941"/>
      <c r="H31" s="1941"/>
      <c r="I31" s="1941"/>
      <c r="J31" s="1941"/>
      <c r="K31" s="1941"/>
      <c r="L31" s="1941"/>
      <c r="M31" s="4683">
        <f>SUM(Q31:Y31)</f>
        <v>0</v>
      </c>
      <c r="N31" s="4683">
        <f>SUM(AA31:AI31)</f>
        <v>0</v>
      </c>
      <c r="O31" s="4683">
        <f>SUM(AK31:AS31)</f>
        <v>0</v>
      </c>
      <c r="P31" s="23"/>
      <c r="Q31" s="4678">
        <f>IF(Q$30,ROUND(D31,0),0)</f>
        <v>0</v>
      </c>
      <c r="R31" s="4678">
        <f t="shared" ref="R31:Y32" si="24">IF(R$30,ROUND(E31,0),0)</f>
        <v>0</v>
      </c>
      <c r="S31" s="4678">
        <f t="shared" si="24"/>
        <v>0</v>
      </c>
      <c r="T31" s="4678">
        <f t="shared" si="24"/>
        <v>0</v>
      </c>
      <c r="U31" s="4678">
        <f t="shared" si="24"/>
        <v>0</v>
      </c>
      <c r="V31" s="4678">
        <f t="shared" si="24"/>
        <v>0</v>
      </c>
      <c r="W31" s="4678">
        <f t="shared" si="24"/>
        <v>0</v>
      </c>
      <c r="X31" s="4678">
        <f t="shared" si="24"/>
        <v>0</v>
      </c>
      <c r="Y31" s="4678">
        <f t="shared" si="24"/>
        <v>0</v>
      </c>
      <c r="Z31" s="3914"/>
      <c r="AA31" s="4678">
        <f>IF(AA$30,ROUND(D31,0),0)</f>
        <v>0</v>
      </c>
      <c r="AB31" s="4678">
        <f t="shared" ref="AB31:AI32" si="25">IF(AB$30,ROUND(E31,0),0)</f>
        <v>0</v>
      </c>
      <c r="AC31" s="4678">
        <f t="shared" si="25"/>
        <v>0</v>
      </c>
      <c r="AD31" s="4678">
        <f t="shared" si="25"/>
        <v>0</v>
      </c>
      <c r="AE31" s="4678">
        <f t="shared" si="25"/>
        <v>0</v>
      </c>
      <c r="AF31" s="4678">
        <f t="shared" si="25"/>
        <v>0</v>
      </c>
      <c r="AG31" s="4678">
        <f t="shared" si="25"/>
        <v>0</v>
      </c>
      <c r="AH31" s="4678">
        <f t="shared" si="25"/>
        <v>0</v>
      </c>
      <c r="AI31" s="4678">
        <f t="shared" si="25"/>
        <v>0</v>
      </c>
      <c r="AJ31" s="3914"/>
      <c r="AK31" s="4678">
        <f>IF(AK$30,ROUND(D31,0),0)</f>
        <v>0</v>
      </c>
      <c r="AL31" s="4678">
        <f t="shared" ref="AL31:AS31" si="26">IF(AL$30,ROUND(E31,0),0)</f>
        <v>0</v>
      </c>
      <c r="AM31" s="4678">
        <f t="shared" si="26"/>
        <v>0</v>
      </c>
      <c r="AN31" s="4678">
        <f t="shared" si="26"/>
        <v>0</v>
      </c>
      <c r="AO31" s="4678">
        <f t="shared" si="26"/>
        <v>0</v>
      </c>
      <c r="AP31" s="4678">
        <f t="shared" si="26"/>
        <v>0</v>
      </c>
      <c r="AQ31" s="4678">
        <f t="shared" si="26"/>
        <v>0</v>
      </c>
      <c r="AR31" s="4678">
        <f t="shared" si="26"/>
        <v>0</v>
      </c>
      <c r="AS31" s="4678">
        <f t="shared" si="26"/>
        <v>0</v>
      </c>
      <c r="AT31" s="118"/>
    </row>
    <row r="32" spans="1:46" ht="13.5" customHeight="1">
      <c r="A32" s="780"/>
      <c r="B32" s="1782" t="s">
        <v>367</v>
      </c>
      <c r="C32" s="1779" t="s">
        <v>433</v>
      </c>
      <c r="D32" s="1942"/>
      <c r="E32" s="1943"/>
      <c r="F32" s="1943"/>
      <c r="G32" s="1943"/>
      <c r="H32" s="1943"/>
      <c r="I32" s="1943"/>
      <c r="J32" s="1943"/>
      <c r="K32" s="1943"/>
      <c r="L32" s="1945"/>
      <c r="M32" s="4680">
        <f>SUM(Q32:Y32)</f>
        <v>0</v>
      </c>
      <c r="N32" s="4680">
        <f>SUM(AA32:AI32)</f>
        <v>0</v>
      </c>
      <c r="O32" s="790" t="str">
        <f>IF(SUM(D32:L32)&gt;0,"See note.","- - - -")</f>
        <v>- - - -</v>
      </c>
      <c r="P32" s="23"/>
      <c r="Q32" s="4678">
        <f t="shared" ref="Q32:Y39" si="27">IF(Q$30,ROUND(D32,0),0)</f>
        <v>0</v>
      </c>
      <c r="R32" s="4678">
        <f t="shared" si="24"/>
        <v>0</v>
      </c>
      <c r="S32" s="4678">
        <f t="shared" si="24"/>
        <v>0</v>
      </c>
      <c r="T32" s="4678">
        <f t="shared" si="24"/>
        <v>0</v>
      </c>
      <c r="U32" s="4678">
        <f t="shared" si="24"/>
        <v>0</v>
      </c>
      <c r="V32" s="4678">
        <f t="shared" si="24"/>
        <v>0</v>
      </c>
      <c r="W32" s="4678">
        <f t="shared" si="24"/>
        <v>0</v>
      </c>
      <c r="X32" s="4678">
        <f t="shared" si="24"/>
        <v>0</v>
      </c>
      <c r="Y32" s="4678">
        <f t="shared" si="24"/>
        <v>0</v>
      </c>
      <c r="Z32" s="3914"/>
      <c r="AA32" s="4678">
        <f t="shared" ref="AA32:AI39" si="28">IF(AA$30,ROUND(D32,0),0)</f>
        <v>0</v>
      </c>
      <c r="AB32" s="4678">
        <f t="shared" si="25"/>
        <v>0</v>
      </c>
      <c r="AC32" s="4678">
        <f t="shared" si="25"/>
        <v>0</v>
      </c>
      <c r="AD32" s="4678">
        <f t="shared" si="25"/>
        <v>0</v>
      </c>
      <c r="AE32" s="4678">
        <f t="shared" si="25"/>
        <v>0</v>
      </c>
      <c r="AF32" s="4678">
        <f t="shared" si="25"/>
        <v>0</v>
      </c>
      <c r="AG32" s="4678">
        <f t="shared" si="25"/>
        <v>0</v>
      </c>
      <c r="AH32" s="4678">
        <f t="shared" si="25"/>
        <v>0</v>
      </c>
      <c r="AI32" s="4678">
        <f t="shared" si="25"/>
        <v>0</v>
      </c>
      <c r="AJ32" s="3914"/>
      <c r="AK32" s="4678" t="str">
        <f>"---"</f>
        <v>---</v>
      </c>
      <c r="AL32" s="4678" t="str">
        <f t="shared" ref="AL32:AS32" si="29">"---"</f>
        <v>---</v>
      </c>
      <c r="AM32" s="4678" t="str">
        <f t="shared" si="29"/>
        <v>---</v>
      </c>
      <c r="AN32" s="4678" t="str">
        <f t="shared" si="29"/>
        <v>---</v>
      </c>
      <c r="AO32" s="4678" t="str">
        <f t="shared" si="29"/>
        <v>---</v>
      </c>
      <c r="AP32" s="4678" t="str">
        <f t="shared" si="29"/>
        <v>---</v>
      </c>
      <c r="AQ32" s="4678" t="str">
        <f t="shared" si="29"/>
        <v>---</v>
      </c>
      <c r="AR32" s="4678" t="str">
        <f t="shared" si="29"/>
        <v>---</v>
      </c>
      <c r="AS32" s="4678" t="str">
        <f t="shared" si="29"/>
        <v>---</v>
      </c>
      <c r="AT32" s="118"/>
    </row>
    <row r="33" spans="1:46" ht="13.5" customHeight="1">
      <c r="A33" s="780"/>
      <c r="B33" s="786" t="s">
        <v>369</v>
      </c>
      <c r="C33" s="787" t="s">
        <v>434</v>
      </c>
      <c r="D33" s="1942"/>
      <c r="E33" s="1943"/>
      <c r="F33" s="1943"/>
      <c r="G33" s="1944"/>
      <c r="H33" s="1944"/>
      <c r="I33" s="1944"/>
      <c r="J33" s="1944"/>
      <c r="K33" s="1944"/>
      <c r="L33" s="1945"/>
      <c r="M33" s="790" t="str">
        <f>" - - - -"</f>
        <v xml:space="preserve"> - - - -</v>
      </c>
      <c r="N33" s="790" t="str">
        <f>" - - - -"</f>
        <v xml:space="preserve"> - - - -</v>
      </c>
      <c r="O33" s="790" t="str">
        <f>" - - - -"</f>
        <v xml:space="preserve"> - - - -</v>
      </c>
      <c r="P33" s="3914"/>
      <c r="Q33" s="4678"/>
      <c r="R33" s="4678"/>
      <c r="S33" s="4678"/>
      <c r="T33" s="4678"/>
      <c r="U33" s="4678"/>
      <c r="V33" s="4678"/>
      <c r="W33" s="4678"/>
      <c r="X33" s="4678"/>
      <c r="Y33" s="4678"/>
      <c r="Z33" s="3914"/>
      <c r="AA33" s="4678"/>
      <c r="AB33" s="4678"/>
      <c r="AC33" s="4678"/>
      <c r="AD33" s="4678"/>
      <c r="AE33" s="4678"/>
      <c r="AF33" s="4678"/>
      <c r="AG33" s="4678"/>
      <c r="AH33" s="4678"/>
      <c r="AI33" s="4678"/>
      <c r="AJ33" s="3914"/>
      <c r="AK33" s="4678"/>
      <c r="AL33" s="4678"/>
      <c r="AM33" s="4678"/>
      <c r="AN33" s="4678"/>
      <c r="AO33" s="4678"/>
      <c r="AP33" s="4678"/>
      <c r="AQ33" s="4678"/>
      <c r="AR33" s="4678"/>
      <c r="AS33" s="4678"/>
      <c r="AT33" s="118"/>
    </row>
    <row r="34" spans="1:46" ht="13.5" customHeight="1">
      <c r="A34" s="780"/>
      <c r="B34" s="786">
        <v>3</v>
      </c>
      <c r="C34" s="787" t="s">
        <v>452</v>
      </c>
      <c r="D34" s="1942"/>
      <c r="E34" s="1943"/>
      <c r="F34" s="1943"/>
      <c r="G34" s="1944"/>
      <c r="H34" s="1944"/>
      <c r="I34" s="1944"/>
      <c r="J34" s="1944"/>
      <c r="K34" s="1944"/>
      <c r="L34" s="1945"/>
      <c r="M34" s="4680">
        <f>SUM(Q34:Y34)</f>
        <v>0</v>
      </c>
      <c r="N34" s="4680">
        <f>SUM(AA34:AI34)</f>
        <v>0</v>
      </c>
      <c r="O34" s="4680">
        <f>SUM(AK34:AS34)</f>
        <v>0</v>
      </c>
      <c r="P34" s="23"/>
      <c r="Q34" s="4678">
        <f t="shared" si="27"/>
        <v>0</v>
      </c>
      <c r="R34" s="4678">
        <f t="shared" si="27"/>
        <v>0</v>
      </c>
      <c r="S34" s="4678">
        <f t="shared" si="27"/>
        <v>0</v>
      </c>
      <c r="T34" s="4678">
        <f t="shared" si="27"/>
        <v>0</v>
      </c>
      <c r="U34" s="4678">
        <f t="shared" si="27"/>
        <v>0</v>
      </c>
      <c r="V34" s="4678">
        <f t="shared" si="27"/>
        <v>0</v>
      </c>
      <c r="W34" s="4678">
        <f t="shared" si="27"/>
        <v>0</v>
      </c>
      <c r="X34" s="4678">
        <f t="shared" si="27"/>
        <v>0</v>
      </c>
      <c r="Y34" s="4678">
        <f t="shared" si="27"/>
        <v>0</v>
      </c>
      <c r="Z34" s="3914"/>
      <c r="AA34" s="4678">
        <f t="shared" si="28"/>
        <v>0</v>
      </c>
      <c r="AB34" s="4678">
        <f t="shared" si="28"/>
        <v>0</v>
      </c>
      <c r="AC34" s="4678">
        <f t="shared" si="28"/>
        <v>0</v>
      </c>
      <c r="AD34" s="4678">
        <f t="shared" si="28"/>
        <v>0</v>
      </c>
      <c r="AE34" s="4678">
        <f t="shared" si="28"/>
        <v>0</v>
      </c>
      <c r="AF34" s="4678">
        <f t="shared" si="28"/>
        <v>0</v>
      </c>
      <c r="AG34" s="4678">
        <f t="shared" si="28"/>
        <v>0</v>
      </c>
      <c r="AH34" s="4678">
        <f t="shared" si="28"/>
        <v>0</v>
      </c>
      <c r="AI34" s="4678">
        <f t="shared" si="28"/>
        <v>0</v>
      </c>
      <c r="AJ34" s="3914"/>
      <c r="AK34" s="4678">
        <f t="shared" ref="AK34:AS39" si="30">IF(AK$30,ROUND(D34,0),0)</f>
        <v>0</v>
      </c>
      <c r="AL34" s="4678">
        <f t="shared" si="30"/>
        <v>0</v>
      </c>
      <c r="AM34" s="4678">
        <f t="shared" si="30"/>
        <v>0</v>
      </c>
      <c r="AN34" s="4678">
        <f t="shared" si="30"/>
        <v>0</v>
      </c>
      <c r="AO34" s="4678">
        <f t="shared" si="30"/>
        <v>0</v>
      </c>
      <c r="AP34" s="4678">
        <f t="shared" si="30"/>
        <v>0</v>
      </c>
      <c r="AQ34" s="4678">
        <f t="shared" si="30"/>
        <v>0</v>
      </c>
      <c r="AR34" s="4678">
        <f t="shared" si="30"/>
        <v>0</v>
      </c>
      <c r="AS34" s="4678">
        <f t="shared" si="30"/>
        <v>0</v>
      </c>
      <c r="AT34" s="118"/>
    </row>
    <row r="35" spans="1:46" ht="13.5" customHeight="1">
      <c r="A35" s="780"/>
      <c r="B35" s="1782">
        <v>4</v>
      </c>
      <c r="C35" s="1779" t="s">
        <v>255</v>
      </c>
      <c r="D35" s="1942"/>
      <c r="E35" s="1943"/>
      <c r="F35" s="1943"/>
      <c r="G35" s="1944"/>
      <c r="H35" s="1944"/>
      <c r="I35" s="1944"/>
      <c r="J35" s="1944"/>
      <c r="K35" s="1944"/>
      <c r="L35" s="1945"/>
      <c r="M35" s="4680">
        <f>SUM(Q35:Y35)</f>
        <v>0</v>
      </c>
      <c r="N35" s="4680">
        <f>SUM(AA35:AI35)</f>
        <v>0</v>
      </c>
      <c r="O35" s="4680">
        <f>SUM(AK35:AS35)</f>
        <v>0</v>
      </c>
      <c r="P35" s="23"/>
      <c r="Q35" s="4678">
        <f t="shared" si="27"/>
        <v>0</v>
      </c>
      <c r="R35" s="4678">
        <f t="shared" si="27"/>
        <v>0</v>
      </c>
      <c r="S35" s="4678">
        <f t="shared" si="27"/>
        <v>0</v>
      </c>
      <c r="T35" s="4678">
        <f t="shared" si="27"/>
        <v>0</v>
      </c>
      <c r="U35" s="4678">
        <f t="shared" si="27"/>
        <v>0</v>
      </c>
      <c r="V35" s="4678">
        <f t="shared" si="27"/>
        <v>0</v>
      </c>
      <c r="W35" s="4678">
        <f t="shared" si="27"/>
        <v>0</v>
      </c>
      <c r="X35" s="4678">
        <f t="shared" si="27"/>
        <v>0</v>
      </c>
      <c r="Y35" s="4678">
        <f t="shared" si="27"/>
        <v>0</v>
      </c>
      <c r="Z35" s="3914"/>
      <c r="AA35" s="4678">
        <f t="shared" si="28"/>
        <v>0</v>
      </c>
      <c r="AB35" s="4678">
        <f t="shared" si="28"/>
        <v>0</v>
      </c>
      <c r="AC35" s="4678">
        <f t="shared" si="28"/>
        <v>0</v>
      </c>
      <c r="AD35" s="4678">
        <f t="shared" si="28"/>
        <v>0</v>
      </c>
      <c r="AE35" s="4678">
        <f t="shared" si="28"/>
        <v>0</v>
      </c>
      <c r="AF35" s="4678">
        <f t="shared" si="28"/>
        <v>0</v>
      </c>
      <c r="AG35" s="4678">
        <f t="shared" si="28"/>
        <v>0</v>
      </c>
      <c r="AH35" s="4678">
        <f t="shared" si="28"/>
        <v>0</v>
      </c>
      <c r="AI35" s="4678">
        <f t="shared" si="28"/>
        <v>0</v>
      </c>
      <c r="AJ35" s="3914"/>
      <c r="AK35" s="4678">
        <f t="shared" si="30"/>
        <v>0</v>
      </c>
      <c r="AL35" s="4678">
        <f t="shared" si="30"/>
        <v>0</v>
      </c>
      <c r="AM35" s="4678">
        <f t="shared" si="30"/>
        <v>0</v>
      </c>
      <c r="AN35" s="4678">
        <f t="shared" si="30"/>
        <v>0</v>
      </c>
      <c r="AO35" s="4678">
        <f t="shared" si="30"/>
        <v>0</v>
      </c>
      <c r="AP35" s="4678">
        <f t="shared" si="30"/>
        <v>0</v>
      </c>
      <c r="AQ35" s="4678">
        <f t="shared" si="30"/>
        <v>0</v>
      </c>
      <c r="AR35" s="4678">
        <f t="shared" si="30"/>
        <v>0</v>
      </c>
      <c r="AS35" s="4678">
        <f t="shared" si="30"/>
        <v>0</v>
      </c>
      <c r="AT35" s="118"/>
    </row>
    <row r="36" spans="1:46" ht="26.25" customHeight="1">
      <c r="A36" s="780"/>
      <c r="B36" s="788">
        <v>5</v>
      </c>
      <c r="C36" s="789" t="s">
        <v>436</v>
      </c>
      <c r="D36" s="1942"/>
      <c r="E36" s="1943"/>
      <c r="F36" s="1943"/>
      <c r="G36" s="1943"/>
      <c r="H36" s="1943"/>
      <c r="I36" s="1943"/>
      <c r="J36" s="1943"/>
      <c r="K36" s="1943"/>
      <c r="L36" s="1945"/>
      <c r="M36" s="4680">
        <f>SUM(Q36:Y36)</f>
        <v>0</v>
      </c>
      <c r="N36" s="4680">
        <f>SUM(AA36:AI36)</f>
        <v>0</v>
      </c>
      <c r="O36" s="4680">
        <f>SUM(AK36:AS36)</f>
        <v>0</v>
      </c>
      <c r="P36" s="22"/>
      <c r="Q36" s="4678">
        <f t="shared" si="27"/>
        <v>0</v>
      </c>
      <c r="R36" s="4678">
        <f t="shared" si="27"/>
        <v>0</v>
      </c>
      <c r="S36" s="4678">
        <f t="shared" si="27"/>
        <v>0</v>
      </c>
      <c r="T36" s="4678">
        <f t="shared" si="27"/>
        <v>0</v>
      </c>
      <c r="U36" s="4678">
        <f t="shared" si="27"/>
        <v>0</v>
      </c>
      <c r="V36" s="4678">
        <f t="shared" si="27"/>
        <v>0</v>
      </c>
      <c r="W36" s="4678">
        <f t="shared" si="27"/>
        <v>0</v>
      </c>
      <c r="X36" s="4678">
        <f t="shared" si="27"/>
        <v>0</v>
      </c>
      <c r="Y36" s="4678">
        <f t="shared" si="27"/>
        <v>0</v>
      </c>
      <c r="Z36" s="107"/>
      <c r="AA36" s="4678">
        <f t="shared" si="28"/>
        <v>0</v>
      </c>
      <c r="AB36" s="4678">
        <f t="shared" si="28"/>
        <v>0</v>
      </c>
      <c r="AC36" s="4678">
        <f t="shared" si="28"/>
        <v>0</v>
      </c>
      <c r="AD36" s="4678">
        <f t="shared" si="28"/>
        <v>0</v>
      </c>
      <c r="AE36" s="4678">
        <f t="shared" si="28"/>
        <v>0</v>
      </c>
      <c r="AF36" s="4678">
        <f t="shared" si="28"/>
        <v>0</v>
      </c>
      <c r="AG36" s="4678">
        <f t="shared" si="28"/>
        <v>0</v>
      </c>
      <c r="AH36" s="4678">
        <f t="shared" si="28"/>
        <v>0</v>
      </c>
      <c r="AI36" s="4678">
        <f t="shared" si="28"/>
        <v>0</v>
      </c>
      <c r="AJ36" s="107"/>
      <c r="AK36" s="4678">
        <f t="shared" si="30"/>
        <v>0</v>
      </c>
      <c r="AL36" s="4678">
        <f t="shared" si="30"/>
        <v>0</v>
      </c>
      <c r="AM36" s="4678">
        <f t="shared" si="30"/>
        <v>0</v>
      </c>
      <c r="AN36" s="4678">
        <f t="shared" si="30"/>
        <v>0</v>
      </c>
      <c r="AO36" s="4678">
        <f t="shared" si="30"/>
        <v>0</v>
      </c>
      <c r="AP36" s="4678">
        <f t="shared" si="30"/>
        <v>0</v>
      </c>
      <c r="AQ36" s="4678">
        <f t="shared" si="30"/>
        <v>0</v>
      </c>
      <c r="AR36" s="4678">
        <f t="shared" si="30"/>
        <v>0</v>
      </c>
      <c r="AS36" s="4678">
        <f t="shared" si="30"/>
        <v>0</v>
      </c>
      <c r="AT36" s="118"/>
    </row>
    <row r="37" spans="1:46">
      <c r="A37" s="780"/>
      <c r="B37" s="786">
        <v>6</v>
      </c>
      <c r="C37" s="787" t="s">
        <v>437</v>
      </c>
      <c r="D37" s="1942"/>
      <c r="E37" s="1943"/>
      <c r="F37" s="1943"/>
      <c r="G37" s="1944"/>
      <c r="H37" s="1944"/>
      <c r="I37" s="1944"/>
      <c r="J37" s="1944"/>
      <c r="K37" s="1944"/>
      <c r="L37" s="1945"/>
      <c r="M37" s="4680">
        <f>SUM(Q37:Y37)</f>
        <v>0</v>
      </c>
      <c r="N37" s="4680">
        <f>SUM(AA37:AI37)</f>
        <v>0</v>
      </c>
      <c r="O37" s="4680">
        <f>SUM(AK37:AS37)</f>
        <v>0</v>
      </c>
      <c r="P37" s="22"/>
      <c r="Q37" s="4678">
        <f t="shared" si="27"/>
        <v>0</v>
      </c>
      <c r="R37" s="4678">
        <f t="shared" si="27"/>
        <v>0</v>
      </c>
      <c r="S37" s="4678">
        <f t="shared" si="27"/>
        <v>0</v>
      </c>
      <c r="T37" s="4678">
        <f t="shared" si="27"/>
        <v>0</v>
      </c>
      <c r="U37" s="4678">
        <f t="shared" si="27"/>
        <v>0</v>
      </c>
      <c r="V37" s="4678">
        <f t="shared" si="27"/>
        <v>0</v>
      </c>
      <c r="W37" s="4678">
        <f t="shared" si="27"/>
        <v>0</v>
      </c>
      <c r="X37" s="4678">
        <f t="shared" si="27"/>
        <v>0</v>
      </c>
      <c r="Y37" s="4678">
        <f t="shared" si="27"/>
        <v>0</v>
      </c>
      <c r="Z37" s="107"/>
      <c r="AA37" s="4678">
        <f t="shared" si="28"/>
        <v>0</v>
      </c>
      <c r="AB37" s="4678">
        <f t="shared" si="28"/>
        <v>0</v>
      </c>
      <c r="AC37" s="4678">
        <f t="shared" si="28"/>
        <v>0</v>
      </c>
      <c r="AD37" s="4678">
        <f t="shared" si="28"/>
        <v>0</v>
      </c>
      <c r="AE37" s="4678">
        <f t="shared" si="28"/>
        <v>0</v>
      </c>
      <c r="AF37" s="4678">
        <f t="shared" si="28"/>
        <v>0</v>
      </c>
      <c r="AG37" s="4678">
        <f t="shared" si="28"/>
        <v>0</v>
      </c>
      <c r="AH37" s="4678">
        <f t="shared" si="28"/>
        <v>0</v>
      </c>
      <c r="AI37" s="4678">
        <f t="shared" si="28"/>
        <v>0</v>
      </c>
      <c r="AJ37" s="107"/>
      <c r="AK37" s="4678">
        <f t="shared" si="30"/>
        <v>0</v>
      </c>
      <c r="AL37" s="4678">
        <f t="shared" si="30"/>
        <v>0</v>
      </c>
      <c r="AM37" s="4678">
        <f t="shared" si="30"/>
        <v>0</v>
      </c>
      <c r="AN37" s="4678">
        <f t="shared" si="30"/>
        <v>0</v>
      </c>
      <c r="AO37" s="4678">
        <f t="shared" si="30"/>
        <v>0</v>
      </c>
      <c r="AP37" s="4678">
        <f t="shared" si="30"/>
        <v>0</v>
      </c>
      <c r="AQ37" s="4678">
        <f t="shared" si="30"/>
        <v>0</v>
      </c>
      <c r="AR37" s="4678">
        <f t="shared" si="30"/>
        <v>0</v>
      </c>
      <c r="AS37" s="4678">
        <f t="shared" si="30"/>
        <v>0</v>
      </c>
      <c r="AT37" s="118"/>
    </row>
    <row r="38" spans="1:46">
      <c r="A38" s="780"/>
      <c r="B38" s="786">
        <v>7</v>
      </c>
      <c r="C38" s="787" t="s">
        <v>438</v>
      </c>
      <c r="D38" s="2277"/>
      <c r="E38" s="2278"/>
      <c r="F38" s="2278"/>
      <c r="G38" s="2279"/>
      <c r="H38" s="2279"/>
      <c r="I38" s="2279"/>
      <c r="J38" s="2279"/>
      <c r="K38" s="2279"/>
      <c r="L38" s="2280"/>
      <c r="M38" s="1956" t="str">
        <f>" - - - -"</f>
        <v xml:space="preserve"> - - - -</v>
      </c>
      <c r="N38" s="1956" t="str">
        <f>" - - - -"</f>
        <v xml:space="preserve"> - - - -</v>
      </c>
      <c r="O38" s="1956" t="str">
        <f>" - - - -"</f>
        <v xml:space="preserve"> - - - -</v>
      </c>
      <c r="P38" s="107"/>
      <c r="Q38" s="4678"/>
      <c r="R38" s="4678"/>
      <c r="S38" s="4678"/>
      <c r="T38" s="4678"/>
      <c r="U38" s="4678"/>
      <c r="V38" s="4678"/>
      <c r="W38" s="4678"/>
      <c r="X38" s="4678"/>
      <c r="Y38" s="4678"/>
      <c r="Z38" s="107"/>
      <c r="AA38" s="4678"/>
      <c r="AB38" s="4678"/>
      <c r="AC38" s="4678"/>
      <c r="AD38" s="4678"/>
      <c r="AE38" s="4678"/>
      <c r="AF38" s="4678"/>
      <c r="AG38" s="4678"/>
      <c r="AH38" s="4678"/>
      <c r="AI38" s="4678"/>
      <c r="AJ38" s="107"/>
      <c r="AK38" s="4678"/>
      <c r="AL38" s="4678"/>
      <c r="AM38" s="4678"/>
      <c r="AN38" s="4678"/>
      <c r="AO38" s="4678"/>
      <c r="AP38" s="4678"/>
      <c r="AQ38" s="4678"/>
      <c r="AR38" s="4678"/>
      <c r="AS38" s="4678"/>
      <c r="AT38" s="118"/>
    </row>
    <row r="39" spans="1:46">
      <c r="A39" s="780"/>
      <c r="B39" s="786">
        <v>8</v>
      </c>
      <c r="C39" s="787" t="s">
        <v>283</v>
      </c>
      <c r="D39" s="1942"/>
      <c r="E39" s="1943"/>
      <c r="F39" s="1943"/>
      <c r="G39" s="1944"/>
      <c r="H39" s="1944"/>
      <c r="I39" s="1944"/>
      <c r="J39" s="1944"/>
      <c r="K39" s="1944"/>
      <c r="L39" s="1945"/>
      <c r="M39" s="4680">
        <f>SUM(Q39:Y39)</f>
        <v>0</v>
      </c>
      <c r="N39" s="4680">
        <f t="shared" ref="N39:N46" si="31">SUM(AA39:AI39)</f>
        <v>0</v>
      </c>
      <c r="O39" s="4680">
        <f t="shared" ref="O39:O46" si="32">SUM(AK39:AS39)</f>
        <v>0</v>
      </c>
      <c r="P39" s="22"/>
      <c r="Q39" s="4678">
        <f t="shared" si="27"/>
        <v>0</v>
      </c>
      <c r="R39" s="4678">
        <f t="shared" si="27"/>
        <v>0</v>
      </c>
      <c r="S39" s="4678">
        <f t="shared" si="27"/>
        <v>0</v>
      </c>
      <c r="T39" s="4678">
        <f t="shared" si="27"/>
        <v>0</v>
      </c>
      <c r="U39" s="4678">
        <f t="shared" si="27"/>
        <v>0</v>
      </c>
      <c r="V39" s="4678">
        <f t="shared" si="27"/>
        <v>0</v>
      </c>
      <c r="W39" s="4678">
        <f t="shared" si="27"/>
        <v>0</v>
      </c>
      <c r="X39" s="4678">
        <f t="shared" si="27"/>
        <v>0</v>
      </c>
      <c r="Y39" s="4678">
        <f t="shared" si="27"/>
        <v>0</v>
      </c>
      <c r="Z39" s="107"/>
      <c r="AA39" s="4678">
        <f t="shared" si="28"/>
        <v>0</v>
      </c>
      <c r="AB39" s="4678">
        <f t="shared" si="28"/>
        <v>0</v>
      </c>
      <c r="AC39" s="4678">
        <f t="shared" si="28"/>
        <v>0</v>
      </c>
      <c r="AD39" s="4678">
        <f t="shared" si="28"/>
        <v>0</v>
      </c>
      <c r="AE39" s="4678">
        <f t="shared" si="28"/>
        <v>0</v>
      </c>
      <c r="AF39" s="4678">
        <f t="shared" si="28"/>
        <v>0</v>
      </c>
      <c r="AG39" s="4678">
        <f t="shared" si="28"/>
        <v>0</v>
      </c>
      <c r="AH39" s="4678">
        <f t="shared" si="28"/>
        <v>0</v>
      </c>
      <c r="AI39" s="4678">
        <f t="shared" si="28"/>
        <v>0</v>
      </c>
      <c r="AJ39" s="107"/>
      <c r="AK39" s="4678">
        <f t="shared" si="30"/>
        <v>0</v>
      </c>
      <c r="AL39" s="4678">
        <f t="shared" si="30"/>
        <v>0</v>
      </c>
      <c r="AM39" s="4678">
        <f t="shared" si="30"/>
        <v>0</v>
      </c>
      <c r="AN39" s="4678">
        <f t="shared" si="30"/>
        <v>0</v>
      </c>
      <c r="AO39" s="4678">
        <f t="shared" si="30"/>
        <v>0</v>
      </c>
      <c r="AP39" s="4678">
        <f t="shared" si="30"/>
        <v>0</v>
      </c>
      <c r="AQ39" s="4678">
        <f t="shared" si="30"/>
        <v>0</v>
      </c>
      <c r="AR39" s="4678">
        <f t="shared" si="30"/>
        <v>0</v>
      </c>
      <c r="AS39" s="4678">
        <f t="shared" si="30"/>
        <v>0</v>
      </c>
      <c r="AT39" s="118"/>
    </row>
    <row r="40" spans="1:46">
      <c r="A40" s="780"/>
      <c r="B40" s="786" t="s">
        <v>439</v>
      </c>
      <c r="C40" s="787" t="s">
        <v>440</v>
      </c>
      <c r="D40" s="1948"/>
      <c r="E40" s="1949"/>
      <c r="F40" s="1949"/>
      <c r="G40" s="1950"/>
      <c r="H40" s="1950"/>
      <c r="I40" s="1950"/>
      <c r="J40" s="1950"/>
      <c r="K40" s="1950"/>
      <c r="L40" s="1951"/>
      <c r="M40" s="1957">
        <f>SUM(Q40:Y40)</f>
        <v>0</v>
      </c>
      <c r="N40" s="1957">
        <f t="shared" si="31"/>
        <v>0</v>
      </c>
      <c r="O40" s="1957">
        <f t="shared" si="32"/>
        <v>0</v>
      </c>
      <c r="P40" s="22"/>
      <c r="Q40" s="4679">
        <f t="shared" ref="Q40:Y40" si="33">IF(Q30,D40,0)</f>
        <v>0</v>
      </c>
      <c r="R40" s="4679">
        <f t="shared" si="33"/>
        <v>0</v>
      </c>
      <c r="S40" s="4679">
        <f t="shared" si="33"/>
        <v>0</v>
      </c>
      <c r="T40" s="4679">
        <f t="shared" si="33"/>
        <v>0</v>
      </c>
      <c r="U40" s="4679">
        <f t="shared" si="33"/>
        <v>0</v>
      </c>
      <c r="V40" s="4679">
        <f t="shared" si="33"/>
        <v>0</v>
      </c>
      <c r="W40" s="4679">
        <f t="shared" si="33"/>
        <v>0</v>
      </c>
      <c r="X40" s="4679">
        <f t="shared" si="33"/>
        <v>0</v>
      </c>
      <c r="Y40" s="4679">
        <f t="shared" si="33"/>
        <v>0</v>
      </c>
      <c r="Z40" s="107"/>
      <c r="AA40" s="4679">
        <f t="shared" ref="AA40:AI40" si="34">IF(AA30,D40,0)</f>
        <v>0</v>
      </c>
      <c r="AB40" s="4679">
        <f t="shared" si="34"/>
        <v>0</v>
      </c>
      <c r="AC40" s="4679">
        <f t="shared" si="34"/>
        <v>0</v>
      </c>
      <c r="AD40" s="4679">
        <f t="shared" si="34"/>
        <v>0</v>
      </c>
      <c r="AE40" s="4679">
        <f t="shared" si="34"/>
        <v>0</v>
      </c>
      <c r="AF40" s="4679">
        <f t="shared" si="34"/>
        <v>0</v>
      </c>
      <c r="AG40" s="4679">
        <f t="shared" si="34"/>
        <v>0</v>
      </c>
      <c r="AH40" s="4679">
        <f t="shared" si="34"/>
        <v>0</v>
      </c>
      <c r="AI40" s="4679">
        <f t="shared" si="34"/>
        <v>0</v>
      </c>
      <c r="AJ40" s="107"/>
      <c r="AK40" s="4679">
        <f t="shared" ref="AK40:AS40" si="35">IF(AK30,D40,0)</f>
        <v>0</v>
      </c>
      <c r="AL40" s="4679">
        <f t="shared" si="35"/>
        <v>0</v>
      </c>
      <c r="AM40" s="4679">
        <f t="shared" si="35"/>
        <v>0</v>
      </c>
      <c r="AN40" s="4679">
        <f t="shared" si="35"/>
        <v>0</v>
      </c>
      <c r="AO40" s="4679">
        <f t="shared" si="35"/>
        <v>0</v>
      </c>
      <c r="AP40" s="4679">
        <f t="shared" si="35"/>
        <v>0</v>
      </c>
      <c r="AQ40" s="4679">
        <f t="shared" si="35"/>
        <v>0</v>
      </c>
      <c r="AR40" s="4679">
        <f t="shared" si="35"/>
        <v>0</v>
      </c>
      <c r="AS40" s="4679">
        <f t="shared" si="35"/>
        <v>0</v>
      </c>
      <c r="AT40" s="4833"/>
    </row>
    <row r="41" spans="1:46">
      <c r="A41" s="780"/>
      <c r="B41" s="786" t="s">
        <v>441</v>
      </c>
      <c r="C41" s="787" t="s">
        <v>442</v>
      </c>
      <c r="D41" s="1942"/>
      <c r="E41" s="1943"/>
      <c r="F41" s="1943"/>
      <c r="G41" s="1944"/>
      <c r="H41" s="1944"/>
      <c r="I41" s="1944"/>
      <c r="J41" s="1944"/>
      <c r="K41" s="1944"/>
      <c r="L41" s="1945"/>
      <c r="M41" s="4680">
        <f t="shared" ref="M41:M46" si="36">SUM(Q41:Y41)</f>
        <v>0</v>
      </c>
      <c r="N41" s="4680">
        <f t="shared" si="31"/>
        <v>0</v>
      </c>
      <c r="O41" s="4680">
        <f t="shared" si="32"/>
        <v>0</v>
      </c>
      <c r="P41" s="22"/>
      <c r="Q41" s="4678">
        <f t="shared" ref="Q41:Y51" si="37">IF(Q$30,ROUND(D41,0),0)</f>
        <v>0</v>
      </c>
      <c r="R41" s="4678">
        <f t="shared" si="37"/>
        <v>0</v>
      </c>
      <c r="S41" s="4678">
        <f t="shared" si="37"/>
        <v>0</v>
      </c>
      <c r="T41" s="4678">
        <f t="shared" si="37"/>
        <v>0</v>
      </c>
      <c r="U41" s="4678">
        <f t="shared" si="37"/>
        <v>0</v>
      </c>
      <c r="V41" s="4678">
        <f t="shared" si="37"/>
        <v>0</v>
      </c>
      <c r="W41" s="4678">
        <f t="shared" si="37"/>
        <v>0</v>
      </c>
      <c r="X41" s="4678">
        <f t="shared" si="37"/>
        <v>0</v>
      </c>
      <c r="Y41" s="4678">
        <f t="shared" si="37"/>
        <v>0</v>
      </c>
      <c r="Z41" s="107"/>
      <c r="AA41" s="4678">
        <f t="shared" ref="AA41:AI51" si="38">IF(AA$30,ROUND(D41,0),0)</f>
        <v>0</v>
      </c>
      <c r="AB41" s="4678">
        <f t="shared" si="38"/>
        <v>0</v>
      </c>
      <c r="AC41" s="4678">
        <f t="shared" si="38"/>
        <v>0</v>
      </c>
      <c r="AD41" s="4678">
        <f t="shared" si="38"/>
        <v>0</v>
      </c>
      <c r="AE41" s="4678">
        <f t="shared" si="38"/>
        <v>0</v>
      </c>
      <c r="AF41" s="4678">
        <f t="shared" si="38"/>
        <v>0</v>
      </c>
      <c r="AG41" s="4678">
        <f t="shared" si="38"/>
        <v>0</v>
      </c>
      <c r="AH41" s="4678">
        <f t="shared" si="38"/>
        <v>0</v>
      </c>
      <c r="AI41" s="4678">
        <f t="shared" si="38"/>
        <v>0</v>
      </c>
      <c r="AJ41" s="107"/>
      <c r="AK41" s="4678">
        <f t="shared" ref="AK41:AS51" si="39">IF(AK$30,ROUND(D41,0),0)</f>
        <v>0</v>
      </c>
      <c r="AL41" s="4678">
        <f t="shared" si="39"/>
        <v>0</v>
      </c>
      <c r="AM41" s="4678">
        <f t="shared" si="39"/>
        <v>0</v>
      </c>
      <c r="AN41" s="4678">
        <f t="shared" si="39"/>
        <v>0</v>
      </c>
      <c r="AO41" s="4678">
        <f t="shared" si="39"/>
        <v>0</v>
      </c>
      <c r="AP41" s="4678">
        <f t="shared" si="39"/>
        <v>0</v>
      </c>
      <c r="AQ41" s="4678">
        <f t="shared" si="39"/>
        <v>0</v>
      </c>
      <c r="AR41" s="4678">
        <f t="shared" si="39"/>
        <v>0</v>
      </c>
      <c r="AS41" s="4678">
        <f t="shared" si="39"/>
        <v>0</v>
      </c>
      <c r="AT41" s="118"/>
    </row>
    <row r="42" spans="1:46">
      <c r="A42" s="780"/>
      <c r="B42" s="786">
        <v>10</v>
      </c>
      <c r="C42" s="787" t="s">
        <v>443</v>
      </c>
      <c r="D42" s="1942"/>
      <c r="E42" s="1943"/>
      <c r="F42" s="1943"/>
      <c r="G42" s="1944"/>
      <c r="H42" s="1944"/>
      <c r="I42" s="1944"/>
      <c r="J42" s="1944"/>
      <c r="K42" s="1944"/>
      <c r="L42" s="1945"/>
      <c r="M42" s="4680">
        <f t="shared" si="36"/>
        <v>0</v>
      </c>
      <c r="N42" s="4680">
        <f t="shared" si="31"/>
        <v>0</v>
      </c>
      <c r="O42" s="4680">
        <f t="shared" si="32"/>
        <v>0</v>
      </c>
      <c r="P42" s="107"/>
      <c r="Q42" s="4678">
        <f t="shared" si="37"/>
        <v>0</v>
      </c>
      <c r="R42" s="4678">
        <f t="shared" si="37"/>
        <v>0</v>
      </c>
      <c r="S42" s="4678">
        <f t="shared" si="37"/>
        <v>0</v>
      </c>
      <c r="T42" s="4678">
        <f t="shared" si="37"/>
        <v>0</v>
      </c>
      <c r="U42" s="4678">
        <f t="shared" si="37"/>
        <v>0</v>
      </c>
      <c r="V42" s="4678">
        <f t="shared" si="37"/>
        <v>0</v>
      </c>
      <c r="W42" s="4678">
        <f t="shared" si="37"/>
        <v>0</v>
      </c>
      <c r="X42" s="4678">
        <f t="shared" si="37"/>
        <v>0</v>
      </c>
      <c r="Y42" s="4678">
        <f t="shared" si="37"/>
        <v>0</v>
      </c>
      <c r="Z42" s="107"/>
      <c r="AA42" s="4678">
        <f t="shared" si="38"/>
        <v>0</v>
      </c>
      <c r="AB42" s="4678">
        <f t="shared" si="38"/>
        <v>0</v>
      </c>
      <c r="AC42" s="4678">
        <f t="shared" si="38"/>
        <v>0</v>
      </c>
      <c r="AD42" s="4678">
        <f t="shared" si="38"/>
        <v>0</v>
      </c>
      <c r="AE42" s="4678">
        <f t="shared" si="38"/>
        <v>0</v>
      </c>
      <c r="AF42" s="4678">
        <f t="shared" si="38"/>
        <v>0</v>
      </c>
      <c r="AG42" s="4678">
        <f t="shared" si="38"/>
        <v>0</v>
      </c>
      <c r="AH42" s="4678">
        <f t="shared" si="38"/>
        <v>0</v>
      </c>
      <c r="AI42" s="4678">
        <f t="shared" si="38"/>
        <v>0</v>
      </c>
      <c r="AJ42" s="107"/>
      <c r="AK42" s="4678">
        <f t="shared" si="39"/>
        <v>0</v>
      </c>
      <c r="AL42" s="4678">
        <f t="shared" si="39"/>
        <v>0</v>
      </c>
      <c r="AM42" s="4678">
        <f t="shared" si="39"/>
        <v>0</v>
      </c>
      <c r="AN42" s="4678">
        <f t="shared" si="39"/>
        <v>0</v>
      </c>
      <c r="AO42" s="4678">
        <f t="shared" si="39"/>
        <v>0</v>
      </c>
      <c r="AP42" s="4678">
        <f t="shared" si="39"/>
        <v>0</v>
      </c>
      <c r="AQ42" s="4678">
        <f t="shared" si="39"/>
        <v>0</v>
      </c>
      <c r="AR42" s="4678">
        <f t="shared" si="39"/>
        <v>0</v>
      </c>
      <c r="AS42" s="4678">
        <f t="shared" si="39"/>
        <v>0</v>
      </c>
      <c r="AT42" s="118"/>
    </row>
    <row r="43" spans="1:46">
      <c r="A43" s="780"/>
      <c r="B43" s="786">
        <v>11</v>
      </c>
      <c r="C43" s="787" t="s">
        <v>444</v>
      </c>
      <c r="D43" s="1942"/>
      <c r="E43" s="1943"/>
      <c r="F43" s="1943"/>
      <c r="G43" s="1944"/>
      <c r="H43" s="1944"/>
      <c r="I43" s="1944"/>
      <c r="J43" s="1944"/>
      <c r="K43" s="1944"/>
      <c r="L43" s="1945"/>
      <c r="M43" s="4680">
        <f t="shared" si="36"/>
        <v>0</v>
      </c>
      <c r="N43" s="4680">
        <f t="shared" si="31"/>
        <v>0</v>
      </c>
      <c r="O43" s="4680">
        <f t="shared" si="32"/>
        <v>0</v>
      </c>
      <c r="P43" s="107"/>
      <c r="Q43" s="4678">
        <f t="shared" si="37"/>
        <v>0</v>
      </c>
      <c r="R43" s="4678">
        <f t="shared" si="37"/>
        <v>0</v>
      </c>
      <c r="S43" s="4678">
        <f t="shared" si="37"/>
        <v>0</v>
      </c>
      <c r="T43" s="4678">
        <f t="shared" si="37"/>
        <v>0</v>
      </c>
      <c r="U43" s="4678">
        <f t="shared" si="37"/>
        <v>0</v>
      </c>
      <c r="V43" s="4678">
        <f t="shared" si="37"/>
        <v>0</v>
      </c>
      <c r="W43" s="4678">
        <f t="shared" si="37"/>
        <v>0</v>
      </c>
      <c r="X43" s="4678">
        <f t="shared" si="37"/>
        <v>0</v>
      </c>
      <c r="Y43" s="4678">
        <f t="shared" si="37"/>
        <v>0</v>
      </c>
      <c r="Z43" s="107"/>
      <c r="AA43" s="4678">
        <f t="shared" si="38"/>
        <v>0</v>
      </c>
      <c r="AB43" s="4678">
        <f t="shared" si="38"/>
        <v>0</v>
      </c>
      <c r="AC43" s="4678">
        <f t="shared" si="38"/>
        <v>0</v>
      </c>
      <c r="AD43" s="4678">
        <f t="shared" si="38"/>
        <v>0</v>
      </c>
      <c r="AE43" s="4678">
        <f t="shared" si="38"/>
        <v>0</v>
      </c>
      <c r="AF43" s="4678">
        <f t="shared" si="38"/>
        <v>0</v>
      </c>
      <c r="AG43" s="4678">
        <f t="shared" si="38"/>
        <v>0</v>
      </c>
      <c r="AH43" s="4678">
        <f t="shared" si="38"/>
        <v>0</v>
      </c>
      <c r="AI43" s="4678">
        <f t="shared" si="38"/>
        <v>0</v>
      </c>
      <c r="AJ43" s="107"/>
      <c r="AK43" s="4678">
        <f t="shared" si="39"/>
        <v>0</v>
      </c>
      <c r="AL43" s="4678">
        <f t="shared" si="39"/>
        <v>0</v>
      </c>
      <c r="AM43" s="4678">
        <f t="shared" si="39"/>
        <v>0</v>
      </c>
      <c r="AN43" s="4678">
        <f t="shared" si="39"/>
        <v>0</v>
      </c>
      <c r="AO43" s="4678">
        <f t="shared" si="39"/>
        <v>0</v>
      </c>
      <c r="AP43" s="4678">
        <f t="shared" si="39"/>
        <v>0</v>
      </c>
      <c r="AQ43" s="4678">
        <f t="shared" si="39"/>
        <v>0</v>
      </c>
      <c r="AR43" s="4678">
        <f t="shared" si="39"/>
        <v>0</v>
      </c>
      <c r="AS43" s="4678">
        <f t="shared" si="39"/>
        <v>0</v>
      </c>
      <c r="AT43" s="118"/>
    </row>
    <row r="44" spans="1:46">
      <c r="A44" s="780"/>
      <c r="B44" s="786">
        <v>12</v>
      </c>
      <c r="C44" s="787" t="s">
        <v>379</v>
      </c>
      <c r="D44" s="1942"/>
      <c r="E44" s="1943"/>
      <c r="F44" s="1943"/>
      <c r="G44" s="1944"/>
      <c r="H44" s="1944"/>
      <c r="I44" s="1944"/>
      <c r="J44" s="1944"/>
      <c r="K44" s="1944"/>
      <c r="L44" s="1945"/>
      <c r="M44" s="1956" t="str">
        <f t="shared" ref="M44:O45" si="40">" - - - -"</f>
        <v xml:space="preserve"> - - - -</v>
      </c>
      <c r="N44" s="1956" t="str">
        <f t="shared" si="40"/>
        <v xml:space="preserve"> - - - -</v>
      </c>
      <c r="O44" s="1956" t="str">
        <f t="shared" si="40"/>
        <v xml:space="preserve"> - - - -</v>
      </c>
      <c r="P44" s="107"/>
      <c r="Q44" s="4678">
        <f t="shared" si="37"/>
        <v>0</v>
      </c>
      <c r="R44" s="4678">
        <f t="shared" si="37"/>
        <v>0</v>
      </c>
      <c r="S44" s="4678">
        <f t="shared" si="37"/>
        <v>0</v>
      </c>
      <c r="T44" s="4678">
        <f t="shared" si="37"/>
        <v>0</v>
      </c>
      <c r="U44" s="4678">
        <f t="shared" si="37"/>
        <v>0</v>
      </c>
      <c r="V44" s="4678">
        <f t="shared" si="37"/>
        <v>0</v>
      </c>
      <c r="W44" s="4678">
        <f t="shared" si="37"/>
        <v>0</v>
      </c>
      <c r="X44" s="4678">
        <f t="shared" si="37"/>
        <v>0</v>
      </c>
      <c r="Y44" s="4678">
        <f t="shared" si="37"/>
        <v>0</v>
      </c>
      <c r="Z44" s="107"/>
      <c r="AA44" s="4678">
        <f t="shared" si="38"/>
        <v>0</v>
      </c>
      <c r="AB44" s="4678">
        <f t="shared" si="38"/>
        <v>0</v>
      </c>
      <c r="AC44" s="4678">
        <f t="shared" si="38"/>
        <v>0</v>
      </c>
      <c r="AD44" s="4678">
        <f t="shared" si="38"/>
        <v>0</v>
      </c>
      <c r="AE44" s="4678">
        <f t="shared" si="38"/>
        <v>0</v>
      </c>
      <c r="AF44" s="4678">
        <f t="shared" si="38"/>
        <v>0</v>
      </c>
      <c r="AG44" s="4678">
        <f t="shared" si="38"/>
        <v>0</v>
      </c>
      <c r="AH44" s="4678">
        <f t="shared" si="38"/>
        <v>0</v>
      </c>
      <c r="AI44" s="4678">
        <f t="shared" si="38"/>
        <v>0</v>
      </c>
      <c r="AJ44" s="107"/>
      <c r="AK44" s="4678">
        <f t="shared" si="39"/>
        <v>0</v>
      </c>
      <c r="AL44" s="4678">
        <f t="shared" si="39"/>
        <v>0</v>
      </c>
      <c r="AM44" s="4678">
        <f t="shared" si="39"/>
        <v>0</v>
      </c>
      <c r="AN44" s="4678">
        <f t="shared" si="39"/>
        <v>0</v>
      </c>
      <c r="AO44" s="4678">
        <f t="shared" si="39"/>
        <v>0</v>
      </c>
      <c r="AP44" s="4678">
        <f t="shared" si="39"/>
        <v>0</v>
      </c>
      <c r="AQ44" s="4678">
        <f t="shared" si="39"/>
        <v>0</v>
      </c>
      <c r="AR44" s="4678">
        <f t="shared" si="39"/>
        <v>0</v>
      </c>
      <c r="AS44" s="4678">
        <f t="shared" si="39"/>
        <v>0</v>
      </c>
      <c r="AT44" s="118"/>
    </row>
    <row r="45" spans="1:46">
      <c r="A45" s="780"/>
      <c r="B45" s="786">
        <v>13</v>
      </c>
      <c r="C45" s="787" t="s">
        <v>445</v>
      </c>
      <c r="D45" s="1942"/>
      <c r="E45" s="1943"/>
      <c r="F45" s="1943"/>
      <c r="G45" s="1944"/>
      <c r="H45" s="1944"/>
      <c r="I45" s="1944"/>
      <c r="J45" s="1944"/>
      <c r="K45" s="1944"/>
      <c r="L45" s="1945"/>
      <c r="M45" s="1956" t="str">
        <f t="shared" si="40"/>
        <v xml:space="preserve"> - - - -</v>
      </c>
      <c r="N45" s="1956" t="str">
        <f t="shared" si="40"/>
        <v xml:space="preserve"> - - - -</v>
      </c>
      <c r="O45" s="1956" t="str">
        <f t="shared" si="40"/>
        <v xml:space="preserve"> - - - -</v>
      </c>
      <c r="P45" s="107"/>
      <c r="Q45" s="4678">
        <f t="shared" si="37"/>
        <v>0</v>
      </c>
      <c r="R45" s="4678">
        <f t="shared" si="37"/>
        <v>0</v>
      </c>
      <c r="S45" s="4678">
        <f t="shared" si="37"/>
        <v>0</v>
      </c>
      <c r="T45" s="4678">
        <f t="shared" si="37"/>
        <v>0</v>
      </c>
      <c r="U45" s="4678">
        <f t="shared" si="37"/>
        <v>0</v>
      </c>
      <c r="V45" s="4678">
        <f t="shared" si="37"/>
        <v>0</v>
      </c>
      <c r="W45" s="4678">
        <f t="shared" si="37"/>
        <v>0</v>
      </c>
      <c r="X45" s="4678">
        <f t="shared" si="37"/>
        <v>0</v>
      </c>
      <c r="Y45" s="4678">
        <f t="shared" si="37"/>
        <v>0</v>
      </c>
      <c r="Z45" s="107"/>
      <c r="AA45" s="4678">
        <f t="shared" si="38"/>
        <v>0</v>
      </c>
      <c r="AB45" s="4678">
        <f t="shared" si="38"/>
        <v>0</v>
      </c>
      <c r="AC45" s="4678">
        <f t="shared" si="38"/>
        <v>0</v>
      </c>
      <c r="AD45" s="4678">
        <f t="shared" si="38"/>
        <v>0</v>
      </c>
      <c r="AE45" s="4678">
        <f t="shared" si="38"/>
        <v>0</v>
      </c>
      <c r="AF45" s="4678">
        <f t="shared" si="38"/>
        <v>0</v>
      </c>
      <c r="AG45" s="4678">
        <f t="shared" si="38"/>
        <v>0</v>
      </c>
      <c r="AH45" s="4678">
        <f t="shared" si="38"/>
        <v>0</v>
      </c>
      <c r="AI45" s="4678">
        <f t="shared" si="38"/>
        <v>0</v>
      </c>
      <c r="AJ45" s="107"/>
      <c r="AK45" s="4678">
        <f t="shared" si="39"/>
        <v>0</v>
      </c>
      <c r="AL45" s="4678">
        <f t="shared" si="39"/>
        <v>0</v>
      </c>
      <c r="AM45" s="4678">
        <f t="shared" si="39"/>
        <v>0</v>
      </c>
      <c r="AN45" s="4678">
        <f t="shared" si="39"/>
        <v>0</v>
      </c>
      <c r="AO45" s="4678">
        <f t="shared" si="39"/>
        <v>0</v>
      </c>
      <c r="AP45" s="4678">
        <f t="shared" si="39"/>
        <v>0</v>
      </c>
      <c r="AQ45" s="4678">
        <f t="shared" si="39"/>
        <v>0</v>
      </c>
      <c r="AR45" s="4678">
        <f t="shared" si="39"/>
        <v>0</v>
      </c>
      <c r="AS45" s="4678">
        <f t="shared" si="39"/>
        <v>0</v>
      </c>
      <c r="AT45" s="118"/>
    </row>
    <row r="46" spans="1:46">
      <c r="A46" s="780"/>
      <c r="B46" s="1782">
        <v>14</v>
      </c>
      <c r="C46" s="1779" t="s">
        <v>341</v>
      </c>
      <c r="D46" s="1942"/>
      <c r="E46" s="1943"/>
      <c r="F46" s="1943"/>
      <c r="G46" s="1944"/>
      <c r="H46" s="1944"/>
      <c r="I46" s="1944"/>
      <c r="J46" s="1944"/>
      <c r="K46" s="1944"/>
      <c r="L46" s="1945"/>
      <c r="M46" s="4680">
        <f t="shared" si="36"/>
        <v>0</v>
      </c>
      <c r="N46" s="4680">
        <f t="shared" si="31"/>
        <v>0</v>
      </c>
      <c r="O46" s="4680">
        <f t="shared" si="32"/>
        <v>0</v>
      </c>
      <c r="P46" s="22"/>
      <c r="Q46" s="4678">
        <f t="shared" si="37"/>
        <v>0</v>
      </c>
      <c r="R46" s="4678">
        <f t="shared" si="37"/>
        <v>0</v>
      </c>
      <c r="S46" s="4678">
        <f t="shared" si="37"/>
        <v>0</v>
      </c>
      <c r="T46" s="4678">
        <f t="shared" si="37"/>
        <v>0</v>
      </c>
      <c r="U46" s="4678">
        <f t="shared" si="37"/>
        <v>0</v>
      </c>
      <c r="V46" s="4678">
        <f t="shared" si="37"/>
        <v>0</v>
      </c>
      <c r="W46" s="4678">
        <f t="shared" si="37"/>
        <v>0</v>
      </c>
      <c r="X46" s="4678">
        <f t="shared" si="37"/>
        <v>0</v>
      </c>
      <c r="Y46" s="4678">
        <f t="shared" si="37"/>
        <v>0</v>
      </c>
      <c r="Z46" s="107"/>
      <c r="AA46" s="4678">
        <f t="shared" si="38"/>
        <v>0</v>
      </c>
      <c r="AB46" s="4678">
        <f t="shared" si="38"/>
        <v>0</v>
      </c>
      <c r="AC46" s="4678">
        <f t="shared" si="38"/>
        <v>0</v>
      </c>
      <c r="AD46" s="4678">
        <f t="shared" si="38"/>
        <v>0</v>
      </c>
      <c r="AE46" s="4678">
        <f t="shared" si="38"/>
        <v>0</v>
      </c>
      <c r="AF46" s="4678">
        <f t="shared" si="38"/>
        <v>0</v>
      </c>
      <c r="AG46" s="4678">
        <f t="shared" si="38"/>
        <v>0</v>
      </c>
      <c r="AH46" s="4678">
        <f t="shared" si="38"/>
        <v>0</v>
      </c>
      <c r="AI46" s="4678">
        <f t="shared" si="38"/>
        <v>0</v>
      </c>
      <c r="AJ46" s="107"/>
      <c r="AK46" s="4678">
        <f t="shared" si="39"/>
        <v>0</v>
      </c>
      <c r="AL46" s="4678">
        <f t="shared" si="39"/>
        <v>0</v>
      </c>
      <c r="AM46" s="4678">
        <f t="shared" si="39"/>
        <v>0</v>
      </c>
      <c r="AN46" s="4678">
        <f t="shared" si="39"/>
        <v>0</v>
      </c>
      <c r="AO46" s="4678">
        <f t="shared" si="39"/>
        <v>0</v>
      </c>
      <c r="AP46" s="4678">
        <f t="shared" si="39"/>
        <v>0</v>
      </c>
      <c r="AQ46" s="4678">
        <f t="shared" si="39"/>
        <v>0</v>
      </c>
      <c r="AR46" s="4678">
        <f t="shared" si="39"/>
        <v>0</v>
      </c>
      <c r="AS46" s="4678">
        <f t="shared" si="39"/>
        <v>0</v>
      </c>
      <c r="AT46" s="118"/>
    </row>
    <row r="47" spans="1:46">
      <c r="A47" s="780"/>
      <c r="B47" s="786">
        <v>15</v>
      </c>
      <c r="C47" s="787" t="s">
        <v>446</v>
      </c>
      <c r="D47" s="1930"/>
      <c r="E47" s="1931"/>
      <c r="F47" s="1931"/>
      <c r="G47" s="1932"/>
      <c r="H47" s="1932"/>
      <c r="I47" s="1932"/>
      <c r="J47" s="1932"/>
      <c r="K47" s="1932"/>
      <c r="L47" s="1933"/>
      <c r="M47" s="1956" t="str">
        <f>" - - - -"</f>
        <v xml:space="preserve"> - - - -</v>
      </c>
      <c r="N47" s="1956" t="str">
        <f>" - - - -"</f>
        <v xml:space="preserve"> - - - -</v>
      </c>
      <c r="O47" s="1956" t="str">
        <f>" - - - -"</f>
        <v xml:space="preserve"> - - - -</v>
      </c>
      <c r="P47" s="22"/>
      <c r="Q47" s="4678"/>
      <c r="R47" s="4678"/>
      <c r="S47" s="4678"/>
      <c r="T47" s="4678"/>
      <c r="U47" s="4678"/>
      <c r="V47" s="4678"/>
      <c r="W47" s="4678"/>
      <c r="X47" s="4678"/>
      <c r="Y47" s="4678"/>
      <c r="Z47" s="107"/>
      <c r="AA47" s="4678"/>
      <c r="AB47" s="4678"/>
      <c r="AC47" s="4678"/>
      <c r="AD47" s="4678"/>
      <c r="AE47" s="4678"/>
      <c r="AF47" s="4678"/>
      <c r="AG47" s="4678"/>
      <c r="AH47" s="4678"/>
      <c r="AI47" s="4678"/>
      <c r="AJ47" s="107"/>
      <c r="AK47" s="4678"/>
      <c r="AL47" s="4678"/>
      <c r="AM47" s="4678"/>
      <c r="AN47" s="4678"/>
      <c r="AO47" s="4678"/>
      <c r="AP47" s="4678"/>
      <c r="AQ47" s="4678"/>
      <c r="AR47" s="4678"/>
      <c r="AS47" s="4678"/>
      <c r="AT47" s="118"/>
    </row>
    <row r="48" spans="1:46">
      <c r="A48" s="780"/>
      <c r="B48" s="786">
        <v>16</v>
      </c>
      <c r="C48" s="787" t="s">
        <v>447</v>
      </c>
      <c r="D48" s="1942"/>
      <c r="E48" s="1943"/>
      <c r="F48" s="1943"/>
      <c r="G48" s="1944"/>
      <c r="H48" s="1944"/>
      <c r="I48" s="1944"/>
      <c r="J48" s="1944"/>
      <c r="K48" s="1944"/>
      <c r="L48" s="1945"/>
      <c r="M48" s="4680">
        <f>SUM(Q48:Y48)</f>
        <v>0</v>
      </c>
      <c r="N48" s="4680">
        <f>SUM(AA48:AI48)</f>
        <v>0</v>
      </c>
      <c r="O48" s="4680">
        <f>SUM(AK48:AS48)</f>
        <v>0</v>
      </c>
      <c r="P48" s="22"/>
      <c r="Q48" s="4678">
        <f t="shared" si="37"/>
        <v>0</v>
      </c>
      <c r="R48" s="4678">
        <f t="shared" si="37"/>
        <v>0</v>
      </c>
      <c r="S48" s="4678">
        <f t="shared" si="37"/>
        <v>0</v>
      </c>
      <c r="T48" s="4678">
        <f t="shared" si="37"/>
        <v>0</v>
      </c>
      <c r="U48" s="4678">
        <f t="shared" si="37"/>
        <v>0</v>
      </c>
      <c r="V48" s="4678">
        <f t="shared" si="37"/>
        <v>0</v>
      </c>
      <c r="W48" s="4678">
        <f t="shared" si="37"/>
        <v>0</v>
      </c>
      <c r="X48" s="4678">
        <f t="shared" si="37"/>
        <v>0</v>
      </c>
      <c r="Y48" s="4678">
        <f t="shared" si="37"/>
        <v>0</v>
      </c>
      <c r="Z48" s="107"/>
      <c r="AA48" s="4678">
        <f t="shared" si="38"/>
        <v>0</v>
      </c>
      <c r="AB48" s="4678">
        <f t="shared" si="38"/>
        <v>0</v>
      </c>
      <c r="AC48" s="4678">
        <f t="shared" si="38"/>
        <v>0</v>
      </c>
      <c r="AD48" s="4678">
        <f t="shared" si="38"/>
        <v>0</v>
      </c>
      <c r="AE48" s="4678">
        <f t="shared" si="38"/>
        <v>0</v>
      </c>
      <c r="AF48" s="4678">
        <f t="shared" si="38"/>
        <v>0</v>
      </c>
      <c r="AG48" s="4678">
        <f t="shared" si="38"/>
        <v>0</v>
      </c>
      <c r="AH48" s="4678">
        <f t="shared" si="38"/>
        <v>0</v>
      </c>
      <c r="AI48" s="4678">
        <f t="shared" si="38"/>
        <v>0</v>
      </c>
      <c r="AJ48" s="107"/>
      <c r="AK48" s="4678">
        <f t="shared" si="39"/>
        <v>0</v>
      </c>
      <c r="AL48" s="4678">
        <f t="shared" si="39"/>
        <v>0</v>
      </c>
      <c r="AM48" s="4678">
        <f t="shared" si="39"/>
        <v>0</v>
      </c>
      <c r="AN48" s="4678">
        <f t="shared" si="39"/>
        <v>0</v>
      </c>
      <c r="AO48" s="4678">
        <f t="shared" si="39"/>
        <v>0</v>
      </c>
      <c r="AP48" s="4678">
        <f t="shared" si="39"/>
        <v>0</v>
      </c>
      <c r="AQ48" s="4678">
        <f t="shared" si="39"/>
        <v>0</v>
      </c>
      <c r="AR48" s="4678">
        <f t="shared" si="39"/>
        <v>0</v>
      </c>
      <c r="AS48" s="4678">
        <f t="shared" si="39"/>
        <v>0</v>
      </c>
      <c r="AT48" s="118"/>
    </row>
    <row r="49" spans="1:59">
      <c r="A49" s="780"/>
      <c r="B49" s="1782">
        <v>17</v>
      </c>
      <c r="C49" s="1779" t="s">
        <v>448</v>
      </c>
      <c r="D49" s="1942"/>
      <c r="E49" s="1943"/>
      <c r="F49" s="1943"/>
      <c r="G49" s="1944"/>
      <c r="H49" s="1944"/>
      <c r="I49" s="1944"/>
      <c r="J49" s="1944"/>
      <c r="K49" s="1944"/>
      <c r="L49" s="1945"/>
      <c r="M49" s="4680">
        <f>SUM(Q49:Y49)</f>
        <v>0</v>
      </c>
      <c r="N49" s="4680">
        <f>SUM(AA49:AI49)</f>
        <v>0</v>
      </c>
      <c r="O49" s="4680">
        <f>SUM(AK49:AS49)</f>
        <v>0</v>
      </c>
      <c r="P49" s="22"/>
      <c r="Q49" s="4678">
        <f t="shared" si="37"/>
        <v>0</v>
      </c>
      <c r="R49" s="4678">
        <f t="shared" si="37"/>
        <v>0</v>
      </c>
      <c r="S49" s="4678">
        <f t="shared" si="37"/>
        <v>0</v>
      </c>
      <c r="T49" s="4678">
        <f t="shared" si="37"/>
        <v>0</v>
      </c>
      <c r="U49" s="4678">
        <f t="shared" si="37"/>
        <v>0</v>
      </c>
      <c r="V49" s="4678">
        <f t="shared" si="37"/>
        <v>0</v>
      </c>
      <c r="W49" s="4678">
        <f t="shared" si="37"/>
        <v>0</v>
      </c>
      <c r="X49" s="4678">
        <f t="shared" si="37"/>
        <v>0</v>
      </c>
      <c r="Y49" s="4678">
        <f t="shared" si="37"/>
        <v>0</v>
      </c>
      <c r="Z49" s="107"/>
      <c r="AA49" s="4678">
        <f t="shared" si="38"/>
        <v>0</v>
      </c>
      <c r="AB49" s="4678">
        <f t="shared" si="38"/>
        <v>0</v>
      </c>
      <c r="AC49" s="4678">
        <f t="shared" si="38"/>
        <v>0</v>
      </c>
      <c r="AD49" s="4678">
        <f t="shared" si="38"/>
        <v>0</v>
      </c>
      <c r="AE49" s="4678">
        <f t="shared" si="38"/>
        <v>0</v>
      </c>
      <c r="AF49" s="4678">
        <f t="shared" si="38"/>
        <v>0</v>
      </c>
      <c r="AG49" s="4678">
        <f t="shared" si="38"/>
        <v>0</v>
      </c>
      <c r="AH49" s="4678">
        <f t="shared" si="38"/>
        <v>0</v>
      </c>
      <c r="AI49" s="4678">
        <f t="shared" si="38"/>
        <v>0</v>
      </c>
      <c r="AJ49" s="107"/>
      <c r="AK49" s="4678">
        <f t="shared" si="39"/>
        <v>0</v>
      </c>
      <c r="AL49" s="4678">
        <f t="shared" si="39"/>
        <v>0</v>
      </c>
      <c r="AM49" s="4678">
        <f t="shared" si="39"/>
        <v>0</v>
      </c>
      <c r="AN49" s="4678">
        <f t="shared" si="39"/>
        <v>0</v>
      </c>
      <c r="AO49" s="4678">
        <f t="shared" si="39"/>
        <v>0</v>
      </c>
      <c r="AP49" s="4678">
        <f t="shared" si="39"/>
        <v>0</v>
      </c>
      <c r="AQ49" s="4678">
        <f t="shared" si="39"/>
        <v>0</v>
      </c>
      <c r="AR49" s="4678">
        <f t="shared" si="39"/>
        <v>0</v>
      </c>
      <c r="AS49" s="4678">
        <f t="shared" si="39"/>
        <v>0</v>
      </c>
      <c r="AT49" s="118"/>
    </row>
    <row r="50" spans="1:59">
      <c r="A50" s="780"/>
      <c r="B50" s="786">
        <v>18</v>
      </c>
      <c r="C50" s="787" t="s">
        <v>449</v>
      </c>
      <c r="D50" s="4645" t="b">
        <f>OR(D30="CONV",D30="conv")</f>
        <v>0</v>
      </c>
      <c r="E50" s="4646" t="b">
        <f>OR(E30="CONV",E30="conv")</f>
        <v>0</v>
      </c>
      <c r="F50" s="4646" t="b">
        <f t="shared" ref="F50:L50" si="41">OR(F30="CONV",F30="conv")</f>
        <v>0</v>
      </c>
      <c r="G50" s="4646" t="b">
        <f t="shared" si="41"/>
        <v>0</v>
      </c>
      <c r="H50" s="4646" t="b">
        <f t="shared" si="41"/>
        <v>0</v>
      </c>
      <c r="I50" s="4646" t="b">
        <f t="shared" si="41"/>
        <v>0</v>
      </c>
      <c r="J50" s="4646" t="b">
        <f t="shared" si="41"/>
        <v>0</v>
      </c>
      <c r="K50" s="4646" t="b">
        <f t="shared" si="41"/>
        <v>0</v>
      </c>
      <c r="L50" s="4646" t="b">
        <f t="shared" si="41"/>
        <v>0</v>
      </c>
      <c r="M50" s="1956" t="str">
        <f>" - - - -"</f>
        <v xml:space="preserve"> - - - -</v>
      </c>
      <c r="N50" s="1956" t="str">
        <f>" - - - -"</f>
        <v xml:space="preserve"> - - - -</v>
      </c>
      <c r="O50" s="1956" t="str">
        <f>" - - - -"</f>
        <v xml:space="preserve"> - - - -</v>
      </c>
      <c r="P50" s="22"/>
      <c r="Q50" s="4678">
        <f t="shared" si="37"/>
        <v>0</v>
      </c>
      <c r="R50" s="4678">
        <f t="shared" si="37"/>
        <v>0</v>
      </c>
      <c r="S50" s="4678">
        <f t="shared" si="37"/>
        <v>0</v>
      </c>
      <c r="T50" s="4678">
        <f t="shared" si="37"/>
        <v>0</v>
      </c>
      <c r="U50" s="4678">
        <f t="shared" si="37"/>
        <v>0</v>
      </c>
      <c r="V50" s="4678">
        <f t="shared" si="37"/>
        <v>0</v>
      </c>
      <c r="W50" s="4678">
        <f t="shared" si="37"/>
        <v>0</v>
      </c>
      <c r="X50" s="4678">
        <f t="shared" si="37"/>
        <v>0</v>
      </c>
      <c r="Y50" s="4678">
        <f t="shared" si="37"/>
        <v>0</v>
      </c>
      <c r="Z50" s="107"/>
      <c r="AA50" s="4678"/>
      <c r="AB50" s="4678"/>
      <c r="AC50" s="4678"/>
      <c r="AD50" s="4678"/>
      <c r="AE50" s="4678"/>
      <c r="AF50" s="4678"/>
      <c r="AG50" s="4678"/>
      <c r="AH50" s="4678"/>
      <c r="AI50" s="4678"/>
      <c r="AJ50" s="107"/>
      <c r="AK50" s="4678"/>
      <c r="AL50" s="4678"/>
      <c r="AM50" s="4678"/>
      <c r="AN50" s="4678"/>
      <c r="AO50" s="4678"/>
      <c r="AP50" s="4678"/>
      <c r="AQ50" s="4678"/>
      <c r="AR50" s="4678"/>
      <c r="AS50" s="4678"/>
      <c r="AT50" s="118"/>
    </row>
    <row r="51" spans="1:59" ht="13.5" thickBot="1">
      <c r="A51" s="780"/>
      <c r="B51" s="791">
        <v>19</v>
      </c>
      <c r="C51" s="2029" t="s">
        <v>450</v>
      </c>
      <c r="D51" s="1952"/>
      <c r="E51" s="1953"/>
      <c r="F51" s="1953"/>
      <c r="G51" s="1954"/>
      <c r="H51" s="1954"/>
      <c r="I51" s="1954"/>
      <c r="J51" s="1954"/>
      <c r="K51" s="1954"/>
      <c r="L51" s="1955"/>
      <c r="M51" s="4681">
        <f>SUM(Q51:Y51)</f>
        <v>0</v>
      </c>
      <c r="N51" s="4681">
        <f>SUM(AA51:AI51)</f>
        <v>0</v>
      </c>
      <c r="O51" s="4681">
        <f>SUM(AK51:AS51)</f>
        <v>0</v>
      </c>
      <c r="P51" s="22"/>
      <c r="Q51" s="4678">
        <f t="shared" si="37"/>
        <v>0</v>
      </c>
      <c r="R51" s="4678">
        <f t="shared" si="37"/>
        <v>0</v>
      </c>
      <c r="S51" s="4678">
        <f t="shared" si="37"/>
        <v>0</v>
      </c>
      <c r="T51" s="4678">
        <f t="shared" si="37"/>
        <v>0</v>
      </c>
      <c r="U51" s="4678">
        <f t="shared" si="37"/>
        <v>0</v>
      </c>
      <c r="V51" s="4678">
        <f t="shared" si="37"/>
        <v>0</v>
      </c>
      <c r="W51" s="4678">
        <f t="shared" si="37"/>
        <v>0</v>
      </c>
      <c r="X51" s="4678">
        <f t="shared" si="37"/>
        <v>0</v>
      </c>
      <c r="Y51" s="4678">
        <f t="shared" si="37"/>
        <v>0</v>
      </c>
      <c r="Z51" s="107"/>
      <c r="AA51" s="4678">
        <f t="shared" si="38"/>
        <v>0</v>
      </c>
      <c r="AB51" s="4678">
        <f t="shared" si="38"/>
        <v>0</v>
      </c>
      <c r="AC51" s="4678">
        <f t="shared" si="38"/>
        <v>0</v>
      </c>
      <c r="AD51" s="4678">
        <f t="shared" si="38"/>
        <v>0</v>
      </c>
      <c r="AE51" s="4678">
        <f t="shared" si="38"/>
        <v>0</v>
      </c>
      <c r="AF51" s="4678">
        <f t="shared" si="38"/>
        <v>0</v>
      </c>
      <c r="AG51" s="4678">
        <f t="shared" si="38"/>
        <v>0</v>
      </c>
      <c r="AH51" s="4678">
        <f t="shared" si="38"/>
        <v>0</v>
      </c>
      <c r="AI51" s="4678">
        <f t="shared" si="38"/>
        <v>0</v>
      </c>
      <c r="AJ51" s="107"/>
      <c r="AK51" s="4678">
        <f t="shared" si="39"/>
        <v>0</v>
      </c>
      <c r="AL51" s="4678">
        <f t="shared" si="39"/>
        <v>0</v>
      </c>
      <c r="AM51" s="4678">
        <f t="shared" si="39"/>
        <v>0</v>
      </c>
      <c r="AN51" s="4678">
        <f t="shared" si="39"/>
        <v>0</v>
      </c>
      <c r="AO51" s="4678">
        <f t="shared" si="39"/>
        <v>0</v>
      </c>
      <c r="AP51" s="4678">
        <f t="shared" si="39"/>
        <v>0</v>
      </c>
      <c r="AQ51" s="4678">
        <f t="shared" si="39"/>
        <v>0</v>
      </c>
      <c r="AR51" s="4678">
        <f t="shared" si="39"/>
        <v>0</v>
      </c>
      <c r="AS51" s="4678">
        <f t="shared" si="39"/>
        <v>0</v>
      </c>
      <c r="AT51" s="118"/>
    </row>
    <row r="52" spans="1:59" s="392" customFormat="1" ht="17.25" customHeight="1" thickBot="1">
      <c r="A52" s="1855"/>
      <c r="B52" s="1911" t="s">
        <v>265</v>
      </c>
      <c r="C52" s="1912"/>
      <c r="D52" s="4647" t="b">
        <f>OR(D50:L50)</f>
        <v>0</v>
      </c>
      <c r="E52" s="5411"/>
      <c r="F52" s="5411"/>
      <c r="G52" s="5411"/>
      <c r="H52" s="4644" t="str">
        <f>IF(D52,"For IRA conversions, leave line 2a blank and complete "&amp;CHAR(10)&amp;"Form 8606.","")</f>
        <v/>
      </c>
      <c r="I52" s="5411"/>
      <c r="J52" s="5411"/>
      <c r="K52" s="5411"/>
      <c r="L52" s="5411"/>
      <c r="M52" s="5411"/>
      <c r="N52" s="5412"/>
      <c r="O52" s="5412"/>
      <c r="P52" s="86"/>
      <c r="Q52" s="5413"/>
      <c r="R52" s="5413"/>
      <c r="S52" s="5413"/>
      <c r="T52" s="5413"/>
      <c r="U52" s="5413"/>
      <c r="V52" s="5413"/>
      <c r="W52" s="5413"/>
      <c r="X52" s="5413"/>
      <c r="Y52" s="5413"/>
      <c r="Z52" s="86"/>
      <c r="AA52" s="5413"/>
      <c r="AB52" s="5413"/>
      <c r="AC52" s="5413"/>
      <c r="AD52" s="5413"/>
      <c r="AE52" s="5413"/>
      <c r="AF52" s="5413"/>
      <c r="AG52" s="5413"/>
      <c r="AH52" s="5413"/>
      <c r="AI52" s="5413"/>
      <c r="AJ52" s="86"/>
      <c r="AK52" s="5413"/>
      <c r="AL52" s="5413"/>
      <c r="AM52" s="5413"/>
      <c r="AN52" s="5413"/>
      <c r="AO52" s="5413"/>
      <c r="AP52" s="5413"/>
      <c r="AQ52" s="5413"/>
      <c r="AR52" s="5413"/>
      <c r="AS52" s="5413"/>
      <c r="AT52" s="5413"/>
      <c r="AU52" s="2038"/>
      <c r="AV52" s="2038"/>
      <c r="AW52" s="2038"/>
      <c r="AX52" s="2038"/>
      <c r="AY52" s="2038"/>
      <c r="AZ52" s="2038"/>
      <c r="BA52" s="2042"/>
      <c r="BB52" s="2042"/>
      <c r="BC52" s="2042"/>
      <c r="BD52" s="2042"/>
      <c r="BE52" s="2042"/>
      <c r="BF52" s="2042"/>
      <c r="BG52" s="2042"/>
    </row>
    <row r="53" spans="1:59" ht="17.25" hidden="1" customHeight="1">
      <c r="A53" s="780"/>
      <c r="B53" s="2281"/>
      <c r="C53" s="2282"/>
      <c r="D53" s="2276" t="str">
        <f>IF(OR(LEFT(D38,1)="D",LEFT(D38,1)="d"),D32,"")</f>
        <v/>
      </c>
      <c r="E53" s="2276" t="str">
        <f t="shared" ref="E53:L53" si="42">IF(OR(LEFT(E38,1)="D",LEFT(E38,1)="d"),E32,"")</f>
        <v/>
      </c>
      <c r="F53" s="2276" t="str">
        <f t="shared" si="42"/>
        <v/>
      </c>
      <c r="G53" s="2276" t="str">
        <f t="shared" si="42"/>
        <v/>
      </c>
      <c r="H53" s="2276" t="str">
        <f t="shared" si="42"/>
        <v/>
      </c>
      <c r="I53" s="2276" t="str">
        <f t="shared" si="42"/>
        <v/>
      </c>
      <c r="J53" s="2276" t="str">
        <f t="shared" si="42"/>
        <v/>
      </c>
      <c r="K53" s="2276" t="str">
        <f t="shared" si="42"/>
        <v/>
      </c>
      <c r="L53" s="2276" t="str">
        <f t="shared" si="42"/>
        <v/>
      </c>
      <c r="M53" s="780"/>
      <c r="N53" s="2276">
        <f>SUM(D53:L53)</f>
        <v>0</v>
      </c>
      <c r="O53" s="2276">
        <f>SUM(E53:M53)</f>
        <v>0</v>
      </c>
      <c r="P53" s="800"/>
      <c r="Q53" s="118"/>
      <c r="R53" s="118"/>
      <c r="S53" s="118"/>
      <c r="T53" s="118"/>
      <c r="U53" s="118"/>
      <c r="V53" s="118"/>
      <c r="W53" s="118"/>
      <c r="X53" s="118"/>
      <c r="Y53" s="118"/>
      <c r="Z53" s="800"/>
      <c r="AA53" s="118"/>
      <c r="AB53" s="118"/>
      <c r="AC53" s="118"/>
      <c r="AD53" s="118"/>
      <c r="AE53" s="118"/>
      <c r="AF53" s="118"/>
      <c r="AG53" s="118"/>
      <c r="AH53" s="118"/>
      <c r="AI53" s="118"/>
      <c r="AJ53" s="800"/>
      <c r="AK53" s="118"/>
      <c r="AL53" s="118"/>
      <c r="AM53" s="118"/>
      <c r="AN53" s="118"/>
      <c r="AO53" s="118"/>
      <c r="AP53" s="118"/>
      <c r="AQ53" s="118"/>
      <c r="AR53" s="118"/>
      <c r="AS53" s="118"/>
      <c r="AT53" s="118"/>
    </row>
    <row r="54" spans="1:59" ht="17.25" hidden="1" customHeight="1" thickBot="1">
      <c r="A54" s="780"/>
      <c r="B54" s="2281"/>
      <c r="C54" s="2282"/>
      <c r="D54" s="2276" t="str">
        <f>IF(OR(LEFT(D38,1)="D",LEFT(D38,1)="d"),SUM(D46,D49),"")</f>
        <v/>
      </c>
      <c r="E54" s="2276" t="str">
        <f t="shared" ref="E54:L54" si="43">IF(OR(LEFT(E38,1)="D",LEFT(E38,1)="d"),SUM(E46,E49),"")</f>
        <v/>
      </c>
      <c r="F54" s="2276" t="str">
        <f t="shared" si="43"/>
        <v/>
      </c>
      <c r="G54" s="2276" t="str">
        <f t="shared" si="43"/>
        <v/>
      </c>
      <c r="H54" s="2276" t="str">
        <f t="shared" si="43"/>
        <v/>
      </c>
      <c r="I54" s="2276" t="str">
        <f t="shared" si="43"/>
        <v/>
      </c>
      <c r="J54" s="2276" t="str">
        <f t="shared" si="43"/>
        <v/>
      </c>
      <c r="K54" s="2276" t="str">
        <f t="shared" si="43"/>
        <v/>
      </c>
      <c r="L54" s="2276" t="str">
        <f t="shared" si="43"/>
        <v/>
      </c>
      <c r="M54" s="2283"/>
      <c r="N54" s="2276">
        <f>SUM(D54:L54)</f>
        <v>0</v>
      </c>
      <c r="O54" s="2276">
        <f>SUM(E54:M54)</f>
        <v>0</v>
      </c>
      <c r="P54" s="800"/>
      <c r="Q54" s="118"/>
      <c r="R54" s="118"/>
      <c r="S54" s="118"/>
      <c r="T54" s="118"/>
      <c r="U54" s="118"/>
      <c r="V54" s="118"/>
      <c r="W54" s="118"/>
      <c r="X54" s="118"/>
      <c r="Y54" s="118"/>
      <c r="Z54" s="800"/>
      <c r="AA54" s="118"/>
      <c r="AB54" s="118"/>
      <c r="AC54" s="118"/>
      <c r="AD54" s="118"/>
      <c r="AE54" s="118"/>
      <c r="AF54" s="118"/>
      <c r="AG54" s="118"/>
      <c r="AH54" s="118"/>
      <c r="AI54" s="118"/>
      <c r="AJ54" s="800"/>
      <c r="AK54" s="118"/>
      <c r="AL54" s="118"/>
      <c r="AM54" s="118"/>
      <c r="AN54" s="118"/>
      <c r="AO54" s="118"/>
      <c r="AP54" s="118"/>
      <c r="AQ54" s="118"/>
      <c r="AR54" s="118"/>
      <c r="AS54" s="118"/>
      <c r="AT54" s="118"/>
    </row>
    <row r="55" spans="1:59" ht="42" customHeight="1" thickTop="1" thickBot="1">
      <c r="A55" s="1913"/>
      <c r="B55" s="1925" t="s">
        <v>423</v>
      </c>
      <c r="C55" s="5408"/>
      <c r="D55" s="5409"/>
      <c r="E55" s="1914"/>
      <c r="F55" s="5409"/>
      <c r="G55" s="5409"/>
      <c r="H55" s="5409"/>
      <c r="I55" s="1915"/>
      <c r="J55" s="1915"/>
      <c r="K55" s="1916"/>
      <c r="L55" s="1916"/>
      <c r="M55" s="1916"/>
      <c r="N55" s="1916"/>
      <c r="O55" s="1916"/>
    </row>
    <row r="56" spans="1:59" ht="49.5" customHeight="1" thickTop="1" thickBot="1">
      <c r="A56" s="780"/>
      <c r="B56" s="5414"/>
      <c r="C56" s="5414" t="s">
        <v>453</v>
      </c>
      <c r="D56" s="5415" t="s">
        <v>454</v>
      </c>
      <c r="E56" s="1997" t="s">
        <v>455</v>
      </c>
      <c r="F56" s="1997" t="s">
        <v>451</v>
      </c>
      <c r="G56" s="1997"/>
      <c r="H56" s="1997"/>
      <c r="I56" s="1997"/>
      <c r="J56" s="1997"/>
      <c r="K56" s="1997"/>
      <c r="L56" s="1997"/>
      <c r="M56" s="1997"/>
      <c r="N56" s="1997"/>
      <c r="O56" s="1997"/>
      <c r="P56" s="1997"/>
      <c r="Q56" s="72"/>
      <c r="R56" s="240"/>
      <c r="S56" s="240"/>
      <c r="T56" s="240"/>
      <c r="U56" s="240"/>
      <c r="V56" s="240"/>
      <c r="W56" s="240"/>
      <c r="X56" s="240"/>
      <c r="Y56" s="240"/>
      <c r="Z56" s="1997"/>
      <c r="AA56" s="72"/>
      <c r="AB56" s="240"/>
      <c r="AC56" s="240"/>
      <c r="AD56" s="240"/>
      <c r="AE56" s="240"/>
      <c r="AF56" s="240"/>
      <c r="AG56" s="240"/>
      <c r="AH56" s="240"/>
      <c r="AI56" s="240"/>
      <c r="AJ56" s="1997"/>
      <c r="AK56" s="72"/>
      <c r="AL56" s="240"/>
      <c r="AM56" s="240"/>
      <c r="AN56" s="240"/>
      <c r="AO56" s="240"/>
      <c r="AP56" s="240"/>
      <c r="AQ56" s="240"/>
      <c r="AR56" s="240"/>
      <c r="AS56" s="240"/>
      <c r="AT56" s="240"/>
    </row>
    <row r="57" spans="1:59" ht="13.5" thickBot="1">
      <c r="A57" s="780"/>
      <c r="B57" s="781"/>
      <c r="C57" s="783"/>
      <c r="D57" s="5416" t="s">
        <v>428</v>
      </c>
      <c r="E57" s="5417" t="s">
        <v>429</v>
      </c>
      <c r="F57" s="3957" t="s">
        <v>430</v>
      </c>
      <c r="G57" s="1964" t="s">
        <v>250</v>
      </c>
      <c r="H57" s="107"/>
      <c r="I57" s="1997"/>
      <c r="J57" s="2792" t="s">
        <v>456</v>
      </c>
      <c r="K57" s="280"/>
      <c r="L57" s="107"/>
      <c r="M57" s="22"/>
      <c r="N57" s="311"/>
      <c r="O57" s="311"/>
      <c r="P57" s="22"/>
      <c r="Q57" s="22"/>
      <c r="R57" s="39"/>
      <c r="S57" s="39"/>
      <c r="T57" s="39"/>
      <c r="U57" s="39"/>
      <c r="V57" s="39"/>
      <c r="W57" s="39"/>
      <c r="X57" s="39"/>
      <c r="Y57" s="39"/>
      <c r="Z57" s="22"/>
      <c r="AA57" s="22"/>
      <c r="AB57" s="39"/>
      <c r="AC57" s="39"/>
      <c r="AD57" s="39"/>
      <c r="AE57" s="39"/>
      <c r="AF57" s="39"/>
      <c r="AG57" s="39"/>
      <c r="AH57" s="39"/>
      <c r="AI57" s="39"/>
      <c r="AJ57" s="22"/>
      <c r="AK57" s="22"/>
      <c r="AL57" s="39"/>
      <c r="AM57" s="39"/>
      <c r="AN57" s="39"/>
      <c r="AO57" s="39"/>
      <c r="AP57" s="39"/>
      <c r="AQ57" s="39"/>
      <c r="AR57" s="39"/>
      <c r="AS57" s="39"/>
      <c r="AT57" s="39"/>
    </row>
    <row r="58" spans="1:59" ht="13.5" customHeight="1">
      <c r="A58" s="780"/>
      <c r="B58" s="1781">
        <v>1</v>
      </c>
      <c r="C58" s="1778" t="s">
        <v>432</v>
      </c>
      <c r="D58" s="5418">
        <f>SUM(M4,M31)</f>
        <v>0</v>
      </c>
      <c r="E58" s="5418">
        <f>SUM(N4,N31)</f>
        <v>0</v>
      </c>
      <c r="F58" s="5418">
        <f>SUM(O4,O31)</f>
        <v>0</v>
      </c>
      <c r="G58" s="2030" t="s">
        <v>457</v>
      </c>
      <c r="H58" s="3914"/>
      <c r="I58" s="945">
        <f>IF(E58=0,0,ROUND(E58,0))</f>
        <v>0</v>
      </c>
      <c r="J58" s="2792" t="s">
        <v>458</v>
      </c>
      <c r="K58" s="280"/>
      <c r="L58" s="3914"/>
      <c r="M58" s="3914"/>
      <c r="N58" s="5419"/>
      <c r="O58" s="5419"/>
      <c r="P58" s="23"/>
      <c r="Q58" s="23"/>
      <c r="R58" s="118"/>
      <c r="S58" s="118"/>
      <c r="T58" s="118"/>
      <c r="U58" s="118"/>
      <c r="V58" s="118"/>
      <c r="W58" s="118"/>
      <c r="X58" s="118"/>
      <c r="Y58" s="118"/>
      <c r="Z58" s="23"/>
      <c r="AA58" s="23"/>
      <c r="AB58" s="118"/>
      <c r="AC58" s="118"/>
      <c r="AD58" s="118"/>
      <c r="AE58" s="118"/>
      <c r="AF58" s="118"/>
      <c r="AG58" s="118"/>
      <c r="AH58" s="118"/>
      <c r="AI58" s="118"/>
      <c r="AJ58" s="23"/>
      <c r="AK58" s="23"/>
      <c r="AL58" s="118"/>
      <c r="AM58" s="118"/>
      <c r="AN58" s="118"/>
      <c r="AO58" s="118"/>
      <c r="AP58" s="118"/>
      <c r="AQ58" s="118"/>
      <c r="AR58" s="118"/>
      <c r="AS58" s="118"/>
      <c r="AT58" s="118"/>
    </row>
    <row r="59" spans="1:59" ht="13.5" customHeight="1">
      <c r="A59" s="780"/>
      <c r="B59" s="1782" t="s">
        <v>367</v>
      </c>
      <c r="C59" s="1779" t="s">
        <v>433</v>
      </c>
      <c r="D59" s="5420">
        <f>SUM(IRA_Taxable_You,IRA_Taxable_Spouse)</f>
        <v>0</v>
      </c>
      <c r="E59" s="5420">
        <f>SUM(PA_Taxable_You,PA_Taxable_Spouse)</f>
        <v>0</v>
      </c>
      <c r="F59" s="790" t="str">
        <f>" - - - -"</f>
        <v xml:space="preserve"> - - - -</v>
      </c>
      <c r="G59" s="2030" t="s">
        <v>459</v>
      </c>
      <c r="H59" s="3914"/>
      <c r="I59" s="37"/>
      <c r="J59" s="2792" t="s">
        <v>460</v>
      </c>
      <c r="K59" s="280"/>
      <c r="L59" s="3914"/>
      <c r="M59" s="3914"/>
      <c r="N59" s="5419"/>
      <c r="O59" s="5419"/>
      <c r="P59" s="23"/>
      <c r="Q59" s="23"/>
      <c r="R59" s="118"/>
      <c r="S59" s="118"/>
      <c r="T59" s="118"/>
      <c r="U59" s="118"/>
      <c r="V59" s="118"/>
      <c r="W59" s="118"/>
      <c r="X59" s="118"/>
      <c r="Y59" s="118"/>
      <c r="Z59" s="23"/>
      <c r="AA59" s="23"/>
      <c r="AB59" s="118"/>
      <c r="AC59" s="118"/>
      <c r="AD59" s="118"/>
      <c r="AE59" s="118"/>
      <c r="AF59" s="118"/>
      <c r="AG59" s="118"/>
      <c r="AH59" s="118"/>
      <c r="AI59" s="118"/>
      <c r="AJ59" s="23"/>
      <c r="AK59" s="23"/>
      <c r="AL59" s="118"/>
      <c r="AM59" s="118"/>
      <c r="AN59" s="118"/>
      <c r="AO59" s="118"/>
      <c r="AP59" s="118"/>
      <c r="AQ59" s="118"/>
      <c r="AR59" s="118"/>
      <c r="AS59" s="118"/>
      <c r="AT59" s="118"/>
    </row>
    <row r="60" spans="1:59" ht="13.5" customHeight="1">
      <c r="A60" s="780"/>
      <c r="B60" s="786" t="s">
        <v>369</v>
      </c>
      <c r="C60" s="787" t="s">
        <v>434</v>
      </c>
      <c r="D60" s="790" t="str">
        <f>" - - - -"</f>
        <v xml:space="preserve"> - - - -</v>
      </c>
      <c r="E60" s="790" t="str">
        <f>" - - - -"</f>
        <v xml:space="preserve"> - - - -</v>
      </c>
      <c r="F60" s="790" t="str">
        <f>" - - - -"</f>
        <v xml:space="preserve"> - - - -</v>
      </c>
      <c r="G60" s="3914"/>
      <c r="H60" s="3914"/>
      <c r="I60" s="3914"/>
      <c r="J60" s="2792" t="s">
        <v>461</v>
      </c>
      <c r="K60" s="3914"/>
      <c r="L60" s="3914"/>
      <c r="M60" s="3914"/>
      <c r="N60" s="3914"/>
      <c r="O60" s="3914"/>
      <c r="P60" s="3914"/>
      <c r="Q60" s="23"/>
      <c r="R60" s="118"/>
      <c r="S60" s="118"/>
      <c r="T60" s="118"/>
      <c r="U60" s="118"/>
      <c r="V60" s="118"/>
      <c r="W60" s="118"/>
      <c r="X60" s="118"/>
      <c r="Y60" s="118"/>
      <c r="Z60" s="3914"/>
      <c r="AA60" s="23"/>
      <c r="AB60" s="118"/>
      <c r="AC60" s="118"/>
      <c r="AD60" s="118"/>
      <c r="AE60" s="118"/>
      <c r="AF60" s="118"/>
      <c r="AG60" s="118"/>
      <c r="AH60" s="118"/>
      <c r="AI60" s="118"/>
      <c r="AJ60" s="3914"/>
      <c r="AK60" s="23"/>
      <c r="AL60" s="118"/>
      <c r="AM60" s="118"/>
      <c r="AN60" s="118"/>
      <c r="AO60" s="118"/>
      <c r="AP60" s="118"/>
      <c r="AQ60" s="118"/>
      <c r="AR60" s="118"/>
      <c r="AS60" s="118"/>
      <c r="AT60" s="118"/>
    </row>
    <row r="61" spans="1:59" ht="13.5" customHeight="1">
      <c r="A61" s="780"/>
      <c r="B61" s="786">
        <v>3</v>
      </c>
      <c r="C61" s="787" t="s">
        <v>452</v>
      </c>
      <c r="D61" s="4684">
        <f t="shared" ref="D61:F64" si="44">SUM(M7,M34)</f>
        <v>0</v>
      </c>
      <c r="E61" s="4684">
        <f t="shared" si="44"/>
        <v>0</v>
      </c>
      <c r="F61" s="4684">
        <f t="shared" si="44"/>
        <v>0</v>
      </c>
      <c r="G61" s="2031"/>
      <c r="H61" s="3914"/>
      <c r="I61" s="37"/>
      <c r="J61" s="2792" t="s">
        <v>462</v>
      </c>
      <c r="K61" s="1965"/>
      <c r="L61" s="3914"/>
      <c r="M61" s="3914"/>
      <c r="N61" s="5419"/>
      <c r="O61" s="5419"/>
      <c r="P61" s="23"/>
      <c r="Q61" s="23"/>
      <c r="R61" s="118"/>
      <c r="S61" s="118"/>
      <c r="T61" s="118"/>
      <c r="U61" s="118"/>
      <c r="V61" s="118"/>
      <c r="W61" s="118"/>
      <c r="X61" s="118"/>
      <c r="Y61" s="118"/>
      <c r="Z61" s="23"/>
      <c r="AA61" s="23"/>
      <c r="AB61" s="118"/>
      <c r="AC61" s="118"/>
      <c r="AD61" s="118"/>
      <c r="AE61" s="118"/>
      <c r="AF61" s="118"/>
      <c r="AG61" s="118"/>
      <c r="AH61" s="118"/>
      <c r="AI61" s="118"/>
      <c r="AJ61" s="23"/>
      <c r="AK61" s="23"/>
      <c r="AL61" s="118"/>
      <c r="AM61" s="118"/>
      <c r="AN61" s="118"/>
      <c r="AO61" s="118"/>
      <c r="AP61" s="118"/>
      <c r="AQ61" s="118"/>
      <c r="AR61" s="118"/>
      <c r="AS61" s="118"/>
      <c r="AT61" s="118"/>
    </row>
    <row r="62" spans="1:59" ht="13.5" customHeight="1">
      <c r="A62" s="780"/>
      <c r="B62" s="1782">
        <v>4</v>
      </c>
      <c r="C62" s="1779" t="s">
        <v>255</v>
      </c>
      <c r="D62" s="5420">
        <f t="shared" si="44"/>
        <v>0</v>
      </c>
      <c r="E62" s="5420">
        <f t="shared" si="44"/>
        <v>0</v>
      </c>
      <c r="F62" s="5420">
        <f t="shared" si="44"/>
        <v>0</v>
      </c>
      <c r="G62" s="2030" t="s">
        <v>388</v>
      </c>
      <c r="H62" s="3914"/>
      <c r="I62" s="37"/>
      <c r="J62" s="2792" t="s">
        <v>463</v>
      </c>
      <c r="K62" s="3914"/>
      <c r="L62" s="3914"/>
      <c r="M62" s="3914"/>
      <c r="N62" s="5419"/>
      <c r="O62" s="5419"/>
      <c r="P62" s="23"/>
      <c r="Q62" s="23"/>
      <c r="R62" s="118"/>
      <c r="S62" s="118"/>
      <c r="T62" s="118"/>
      <c r="U62" s="118"/>
      <c r="V62" s="118"/>
      <c r="W62" s="118"/>
      <c r="X62" s="118"/>
      <c r="Y62" s="118"/>
      <c r="Z62" s="23"/>
      <c r="AA62" s="23"/>
      <c r="AB62" s="118"/>
      <c r="AC62" s="118"/>
      <c r="AD62" s="118"/>
      <c r="AE62" s="118"/>
      <c r="AF62" s="118"/>
      <c r="AG62" s="118"/>
      <c r="AH62" s="118"/>
      <c r="AI62" s="118"/>
      <c r="AJ62" s="23"/>
      <c r="AK62" s="23"/>
      <c r="AL62" s="118"/>
      <c r="AM62" s="118"/>
      <c r="AN62" s="118"/>
      <c r="AO62" s="118"/>
      <c r="AP62" s="118"/>
      <c r="AQ62" s="118"/>
      <c r="AR62" s="118"/>
      <c r="AS62" s="118"/>
      <c r="AT62" s="118"/>
    </row>
    <row r="63" spans="1:59" ht="26.25" customHeight="1">
      <c r="A63" s="780"/>
      <c r="B63" s="788">
        <v>5</v>
      </c>
      <c r="C63" s="789" t="s">
        <v>436</v>
      </c>
      <c r="D63" s="4684">
        <f t="shared" si="44"/>
        <v>0</v>
      </c>
      <c r="E63" s="4684">
        <f t="shared" si="44"/>
        <v>0</v>
      </c>
      <c r="F63" s="4684">
        <f t="shared" si="44"/>
        <v>0</v>
      </c>
      <c r="G63" s="2031"/>
      <c r="H63" s="107"/>
      <c r="I63" s="37"/>
      <c r="J63" s="1883"/>
      <c r="K63" s="107"/>
      <c r="L63" s="107"/>
      <c r="M63" s="3914"/>
      <c r="N63" s="311"/>
      <c r="O63" s="311"/>
      <c r="P63" s="22"/>
      <c r="Q63" s="22"/>
      <c r="R63" s="39"/>
      <c r="S63" s="39"/>
      <c r="T63" s="39"/>
      <c r="U63" s="39"/>
      <c r="V63" s="39"/>
      <c r="W63" s="39"/>
      <c r="X63" s="39"/>
      <c r="Y63" s="39"/>
      <c r="Z63" s="22"/>
      <c r="AA63" s="22"/>
      <c r="AB63" s="39"/>
      <c r="AC63" s="39"/>
      <c r="AD63" s="39"/>
      <c r="AE63" s="39"/>
      <c r="AF63" s="39"/>
      <c r="AG63" s="39"/>
      <c r="AH63" s="39"/>
      <c r="AI63" s="39"/>
      <c r="AJ63" s="22"/>
      <c r="AK63" s="22"/>
      <c r="AL63" s="39"/>
      <c r="AM63" s="39"/>
      <c r="AN63" s="39"/>
      <c r="AO63" s="39"/>
      <c r="AP63" s="39"/>
      <c r="AQ63" s="39"/>
      <c r="AR63" s="39"/>
      <c r="AS63" s="39"/>
      <c r="AT63" s="39"/>
    </row>
    <row r="64" spans="1:59">
      <c r="A64" s="780"/>
      <c r="B64" s="786">
        <v>6</v>
      </c>
      <c r="C64" s="787" t="s">
        <v>437</v>
      </c>
      <c r="D64" s="4684">
        <f t="shared" si="44"/>
        <v>0</v>
      </c>
      <c r="E64" s="4684">
        <f t="shared" si="44"/>
        <v>0</v>
      </c>
      <c r="F64" s="4684">
        <f t="shared" si="44"/>
        <v>0</v>
      </c>
      <c r="G64" s="2032"/>
      <c r="H64" s="107"/>
      <c r="I64" s="37"/>
      <c r="J64" s="2792" t="s">
        <v>464</v>
      </c>
      <c r="K64" s="107"/>
      <c r="L64" s="107"/>
      <c r="M64" s="3914"/>
      <c r="N64" s="2033"/>
      <c r="O64" s="2033"/>
      <c r="P64" s="13"/>
      <c r="Q64" s="22"/>
      <c r="R64" s="39"/>
      <c r="S64" s="39"/>
      <c r="T64" s="39"/>
      <c r="U64" s="39"/>
      <c r="V64" s="39"/>
      <c r="W64" s="39"/>
      <c r="X64" s="39"/>
      <c r="Y64" s="39"/>
      <c r="Z64" s="13"/>
      <c r="AA64" s="22"/>
      <c r="AB64" s="39"/>
      <c r="AC64" s="39"/>
      <c r="AD64" s="39"/>
      <c r="AE64" s="39"/>
      <c r="AF64" s="39"/>
      <c r="AG64" s="39"/>
      <c r="AH64" s="39"/>
      <c r="AI64" s="39"/>
      <c r="AJ64" s="13"/>
      <c r="AK64" s="22"/>
      <c r="AL64" s="39"/>
      <c r="AM64" s="39"/>
      <c r="AN64" s="39"/>
      <c r="AO64" s="39"/>
      <c r="AP64" s="39"/>
      <c r="AQ64" s="39"/>
      <c r="AR64" s="39"/>
      <c r="AS64" s="39"/>
      <c r="AT64" s="39"/>
    </row>
    <row r="65" spans="1:46">
      <c r="A65" s="780"/>
      <c r="B65" s="786">
        <v>7</v>
      </c>
      <c r="C65" s="787" t="s">
        <v>465</v>
      </c>
      <c r="D65" s="790" t="str">
        <f>" - - - -"</f>
        <v xml:space="preserve"> - - - -</v>
      </c>
      <c r="E65" s="5420">
        <f>SUM(N26,N53)</f>
        <v>0</v>
      </c>
      <c r="F65" s="790" t="str">
        <f>" - - - -"</f>
        <v xml:space="preserve"> - - - -</v>
      </c>
      <c r="G65" s="2284" t="s">
        <v>466</v>
      </c>
      <c r="H65" s="107"/>
      <c r="I65" s="37"/>
      <c r="J65" s="2792" t="s">
        <v>467</v>
      </c>
      <c r="K65" s="107"/>
      <c r="L65" s="107"/>
      <c r="M65" s="3914"/>
      <c r="N65" s="311"/>
      <c r="O65" s="311"/>
      <c r="P65" s="22"/>
      <c r="Q65" s="22"/>
      <c r="R65" s="39"/>
      <c r="S65" s="39"/>
      <c r="T65" s="39"/>
      <c r="U65" s="39"/>
      <c r="V65" s="39"/>
      <c r="W65" s="39"/>
      <c r="X65" s="39"/>
      <c r="Y65" s="39"/>
      <c r="Z65" s="22"/>
      <c r="AA65" s="22"/>
      <c r="AB65" s="39"/>
      <c r="AC65" s="39"/>
      <c r="AD65" s="39"/>
      <c r="AE65" s="39"/>
      <c r="AF65" s="39"/>
      <c r="AG65" s="39"/>
      <c r="AH65" s="39"/>
      <c r="AI65" s="39"/>
      <c r="AJ65" s="22"/>
      <c r="AK65" s="22"/>
      <c r="AL65" s="39"/>
      <c r="AM65" s="39"/>
      <c r="AN65" s="39"/>
      <c r="AO65" s="39"/>
      <c r="AP65" s="39"/>
      <c r="AQ65" s="39"/>
      <c r="AR65" s="39"/>
      <c r="AS65" s="39"/>
      <c r="AT65" s="39"/>
    </row>
    <row r="66" spans="1:46">
      <c r="A66" s="780"/>
      <c r="B66" s="786">
        <v>8</v>
      </c>
      <c r="C66" s="787" t="s">
        <v>283</v>
      </c>
      <c r="D66" s="790" t="str">
        <f>" - - - -"</f>
        <v xml:space="preserve"> - - - -</v>
      </c>
      <c r="E66" s="790" t="str">
        <f>" - - - -"</f>
        <v xml:space="preserve"> - - - -</v>
      </c>
      <c r="F66" s="790" t="str">
        <f>" - - - -"</f>
        <v xml:space="preserve"> - - - -</v>
      </c>
      <c r="G66" s="2284"/>
      <c r="H66" s="107"/>
      <c r="I66" s="37"/>
      <c r="J66" s="2792" t="s">
        <v>468</v>
      </c>
      <c r="K66" s="107"/>
      <c r="L66" s="107"/>
      <c r="M66" s="3914"/>
      <c r="N66" s="311"/>
      <c r="O66" s="311"/>
      <c r="P66" s="22"/>
      <c r="Q66" s="22"/>
      <c r="R66" s="39"/>
      <c r="S66" s="39"/>
      <c r="T66" s="39"/>
      <c r="U66" s="39"/>
      <c r="V66" s="39"/>
      <c r="W66" s="39"/>
      <c r="X66" s="39"/>
      <c r="Y66" s="39"/>
      <c r="Z66" s="22"/>
      <c r="AA66" s="22"/>
      <c r="AB66" s="39"/>
      <c r="AC66" s="39"/>
      <c r="AD66" s="39"/>
      <c r="AE66" s="39"/>
      <c r="AF66" s="39"/>
      <c r="AG66" s="39"/>
      <c r="AH66" s="39"/>
      <c r="AI66" s="39"/>
      <c r="AJ66" s="22"/>
      <c r="AK66" s="22"/>
      <c r="AL66" s="39"/>
      <c r="AM66" s="39"/>
      <c r="AN66" s="39"/>
      <c r="AO66" s="39"/>
      <c r="AP66" s="39"/>
      <c r="AQ66" s="39"/>
      <c r="AR66" s="39"/>
      <c r="AS66" s="39"/>
      <c r="AT66" s="39"/>
    </row>
    <row r="67" spans="1:46">
      <c r="A67" s="780"/>
      <c r="B67" s="786" t="s">
        <v>439</v>
      </c>
      <c r="C67" s="787" t="s">
        <v>469</v>
      </c>
      <c r="D67" s="2034">
        <f t="shared" ref="D67:F70" si="45">SUM(M13,M40)</f>
        <v>0</v>
      </c>
      <c r="E67" s="2034">
        <f t="shared" si="45"/>
        <v>0</v>
      </c>
      <c r="F67" s="2034">
        <f t="shared" si="45"/>
        <v>0</v>
      </c>
      <c r="G67" s="2028"/>
      <c r="H67" s="107"/>
      <c r="I67" s="37"/>
      <c r="J67" s="2792" t="s">
        <v>470</v>
      </c>
      <c r="K67" s="107"/>
      <c r="L67" s="107"/>
      <c r="M67" s="3914"/>
      <c r="N67" s="311"/>
      <c r="O67" s="311"/>
      <c r="P67" s="22"/>
      <c r="Q67" s="22"/>
      <c r="R67" s="39"/>
      <c r="S67" s="39"/>
      <c r="T67" s="39"/>
      <c r="U67" s="39"/>
      <c r="V67" s="39"/>
      <c r="W67" s="39"/>
      <c r="X67" s="39"/>
      <c r="Y67" s="39"/>
      <c r="Z67" s="22"/>
      <c r="AA67" s="22"/>
      <c r="AB67" s="39"/>
      <c r="AC67" s="39"/>
      <c r="AD67" s="39"/>
      <c r="AE67" s="39"/>
      <c r="AF67" s="39"/>
      <c r="AG67" s="39"/>
      <c r="AH67" s="39"/>
      <c r="AI67" s="39"/>
      <c r="AJ67" s="22"/>
      <c r="AK67" s="22"/>
      <c r="AL67" s="39"/>
      <c r="AM67" s="39"/>
      <c r="AN67" s="39"/>
      <c r="AO67" s="39"/>
      <c r="AP67" s="39"/>
      <c r="AQ67" s="39"/>
      <c r="AR67" s="39"/>
      <c r="AS67" s="39"/>
      <c r="AT67" s="39"/>
    </row>
    <row r="68" spans="1:46">
      <c r="A68" s="780"/>
      <c r="B68" s="786" t="s">
        <v>441</v>
      </c>
      <c r="C68" s="787" t="s">
        <v>442</v>
      </c>
      <c r="D68" s="4684">
        <f t="shared" si="45"/>
        <v>0</v>
      </c>
      <c r="E68" s="4684">
        <f t="shared" si="45"/>
        <v>0</v>
      </c>
      <c r="F68" s="4684">
        <f t="shared" si="45"/>
        <v>0</v>
      </c>
      <c r="G68" s="2028"/>
      <c r="H68" s="107"/>
      <c r="I68" s="37"/>
      <c r="J68" s="2792" t="s">
        <v>471</v>
      </c>
      <c r="K68" s="107"/>
      <c r="L68" s="107"/>
      <c r="M68" s="3914"/>
      <c r="N68" s="311"/>
      <c r="O68" s="311"/>
      <c r="P68" s="22"/>
      <c r="Q68" s="22"/>
      <c r="R68" s="39"/>
      <c r="S68" s="39"/>
      <c r="T68" s="39"/>
      <c r="U68" s="39"/>
      <c r="V68" s="39"/>
      <c r="W68" s="39"/>
      <c r="X68" s="39"/>
      <c r="Y68" s="39"/>
      <c r="Z68" s="22"/>
      <c r="AA68" s="22"/>
      <c r="AB68" s="39"/>
      <c r="AC68" s="39"/>
      <c r="AD68" s="39"/>
      <c r="AE68" s="39"/>
      <c r="AF68" s="39"/>
      <c r="AG68" s="39"/>
      <c r="AH68" s="39"/>
      <c r="AI68" s="39"/>
      <c r="AJ68" s="22"/>
      <c r="AK68" s="22"/>
      <c r="AL68" s="39"/>
      <c r="AM68" s="39"/>
      <c r="AN68" s="39"/>
      <c r="AO68" s="39"/>
      <c r="AP68" s="39"/>
      <c r="AQ68" s="39"/>
      <c r="AR68" s="39"/>
      <c r="AS68" s="39"/>
      <c r="AT68" s="39"/>
    </row>
    <row r="69" spans="1:46">
      <c r="A69" s="780"/>
      <c r="B69" s="786">
        <v>10</v>
      </c>
      <c r="C69" s="787" t="s">
        <v>443</v>
      </c>
      <c r="D69" s="4684">
        <f t="shared" si="45"/>
        <v>0</v>
      </c>
      <c r="E69" s="4684">
        <f t="shared" si="45"/>
        <v>0</v>
      </c>
      <c r="F69" s="4684">
        <f t="shared" si="45"/>
        <v>0</v>
      </c>
      <c r="G69" s="107"/>
      <c r="H69" s="3914"/>
      <c r="I69" s="37"/>
      <c r="J69" s="2792" t="s">
        <v>472</v>
      </c>
      <c r="K69" s="3914"/>
      <c r="L69" s="3914"/>
      <c r="M69" s="3914"/>
      <c r="N69" s="5419"/>
      <c r="O69" s="5419"/>
      <c r="P69" s="23"/>
      <c r="Z69" s="23"/>
      <c r="AJ69" s="23"/>
    </row>
    <row r="70" spans="1:46">
      <c r="A70" s="780"/>
      <c r="B70" s="786">
        <v>11</v>
      </c>
      <c r="C70" s="787" t="s">
        <v>444</v>
      </c>
      <c r="D70" s="4684">
        <f t="shared" si="45"/>
        <v>0</v>
      </c>
      <c r="E70" s="4684">
        <f t="shared" si="45"/>
        <v>0</v>
      </c>
      <c r="F70" s="4684">
        <f t="shared" si="45"/>
        <v>0</v>
      </c>
      <c r="G70" s="107"/>
      <c r="H70" s="3914"/>
      <c r="I70" s="37"/>
      <c r="J70" s="1883"/>
      <c r="K70" s="3914"/>
      <c r="L70" s="3914"/>
      <c r="M70" s="3914"/>
      <c r="N70" s="5419"/>
      <c r="O70" s="5419"/>
      <c r="P70" s="23"/>
      <c r="Z70" s="23"/>
      <c r="AJ70" s="23"/>
    </row>
    <row r="71" spans="1:46">
      <c r="A71" s="780"/>
      <c r="B71" s="786">
        <v>12</v>
      </c>
      <c r="C71" s="787" t="s">
        <v>379</v>
      </c>
      <c r="D71" s="790" t="str">
        <f t="shared" ref="D71:F72" si="46">" - - - -"</f>
        <v xml:space="preserve"> - - - -</v>
      </c>
      <c r="E71" s="790" t="str">
        <f t="shared" si="46"/>
        <v xml:space="preserve"> - - - -</v>
      </c>
      <c r="F71" s="790" t="str">
        <f t="shared" si="46"/>
        <v xml:space="preserve"> - - - -</v>
      </c>
      <c r="G71" s="107"/>
      <c r="H71" s="3914"/>
      <c r="I71" s="37"/>
      <c r="J71" s="1883"/>
      <c r="K71" s="3914"/>
      <c r="L71" s="3914"/>
      <c r="M71" s="3914"/>
      <c r="N71" s="5419"/>
      <c r="O71" s="5419"/>
      <c r="P71" s="23"/>
      <c r="Z71" s="23"/>
      <c r="AJ71" s="23"/>
    </row>
    <row r="72" spans="1:46">
      <c r="A72" s="780"/>
      <c r="B72" s="786">
        <v>13</v>
      </c>
      <c r="C72" s="787" t="s">
        <v>445</v>
      </c>
      <c r="D72" s="790" t="str">
        <f t="shared" si="46"/>
        <v xml:space="preserve"> - - - -</v>
      </c>
      <c r="E72" s="790" t="str">
        <f t="shared" si="46"/>
        <v xml:space="preserve"> - - - -</v>
      </c>
      <c r="F72" s="790" t="str">
        <f t="shared" si="46"/>
        <v xml:space="preserve"> - - - -</v>
      </c>
      <c r="G72" s="107"/>
      <c r="H72" s="3914"/>
      <c r="I72" s="37"/>
      <c r="J72" s="1883"/>
      <c r="K72" s="3914"/>
      <c r="L72" s="3914"/>
      <c r="M72" s="3914"/>
      <c r="N72" s="5419"/>
      <c r="O72" s="5419"/>
      <c r="P72" s="23"/>
      <c r="Z72" s="23"/>
      <c r="AJ72" s="23"/>
    </row>
    <row r="73" spans="1:46">
      <c r="A73" s="780"/>
      <c r="B73" s="1782">
        <v>14</v>
      </c>
      <c r="C73" s="1779" t="s">
        <v>341</v>
      </c>
      <c r="D73" s="5420">
        <f>SUM(M19,M46)</f>
        <v>0</v>
      </c>
      <c r="E73" s="5420">
        <f>SUM(N19,N46)</f>
        <v>0</v>
      </c>
      <c r="F73" s="5420">
        <f>SUM(O19,O46)</f>
        <v>0</v>
      </c>
      <c r="G73" s="2030" t="s">
        <v>418</v>
      </c>
      <c r="H73" s="107"/>
      <c r="I73" s="37"/>
      <c r="J73" s="2792" t="s">
        <v>473</v>
      </c>
      <c r="K73" s="107"/>
      <c r="L73" s="107"/>
      <c r="M73" s="3914"/>
      <c r="N73" s="311"/>
      <c r="O73" s="311"/>
      <c r="P73" s="22"/>
      <c r="Q73" s="22"/>
      <c r="R73" s="39"/>
      <c r="S73" s="39"/>
      <c r="T73" s="39"/>
      <c r="U73" s="39"/>
      <c r="V73" s="39"/>
      <c r="W73" s="39"/>
      <c r="X73" s="39"/>
      <c r="Y73" s="39"/>
      <c r="Z73" s="22"/>
      <c r="AA73" s="22"/>
      <c r="AB73" s="39"/>
      <c r="AC73" s="39"/>
      <c r="AD73" s="39"/>
      <c r="AE73" s="39"/>
      <c r="AF73" s="39"/>
      <c r="AG73" s="39"/>
      <c r="AH73" s="39"/>
      <c r="AI73" s="39"/>
      <c r="AJ73" s="22"/>
      <c r="AK73" s="22"/>
      <c r="AL73" s="39"/>
      <c r="AM73" s="39"/>
      <c r="AN73" s="39"/>
      <c r="AO73" s="39"/>
      <c r="AP73" s="39"/>
      <c r="AQ73" s="39"/>
      <c r="AR73" s="39"/>
      <c r="AS73" s="39"/>
      <c r="AT73" s="39"/>
    </row>
    <row r="74" spans="1:46">
      <c r="A74" s="780"/>
      <c r="B74" s="786">
        <v>15</v>
      </c>
      <c r="C74" s="787" t="s">
        <v>446</v>
      </c>
      <c r="D74" s="790" t="str">
        <f>" - - - -"</f>
        <v xml:space="preserve"> - - - -</v>
      </c>
      <c r="E74" s="790" t="str">
        <f>" - - - -"</f>
        <v xml:space="preserve"> - - - -</v>
      </c>
      <c r="F74" s="790" t="str">
        <f>" - - - -"</f>
        <v xml:space="preserve"> - - - -</v>
      </c>
      <c r="G74" s="2028"/>
      <c r="H74" s="107"/>
      <c r="I74" s="37"/>
      <c r="J74" s="2792" t="s">
        <v>474</v>
      </c>
      <c r="K74" s="107"/>
      <c r="L74" s="107"/>
      <c r="M74" s="3914"/>
      <c r="N74" s="311"/>
      <c r="O74" s="311"/>
      <c r="P74" s="22"/>
      <c r="Q74" s="22"/>
      <c r="R74" s="39"/>
      <c r="S74" s="39"/>
      <c r="T74" s="39"/>
      <c r="U74" s="39"/>
      <c r="V74" s="39"/>
      <c r="W74" s="39"/>
      <c r="X74" s="39"/>
      <c r="Y74" s="39"/>
      <c r="Z74" s="22"/>
      <c r="AA74" s="22"/>
      <c r="AB74" s="39"/>
      <c r="AC74" s="39"/>
      <c r="AD74" s="39"/>
      <c r="AE74" s="39"/>
      <c r="AF74" s="39"/>
      <c r="AG74" s="39"/>
      <c r="AH74" s="39"/>
      <c r="AI74" s="39"/>
      <c r="AJ74" s="22"/>
      <c r="AK74" s="22"/>
      <c r="AL74" s="39"/>
      <c r="AM74" s="39"/>
      <c r="AN74" s="39"/>
      <c r="AO74" s="39"/>
      <c r="AP74" s="39"/>
      <c r="AQ74" s="39"/>
      <c r="AR74" s="39"/>
      <c r="AS74" s="39"/>
      <c r="AT74" s="39"/>
    </row>
    <row r="75" spans="1:46">
      <c r="A75" s="780"/>
      <c r="B75" s="786">
        <v>16</v>
      </c>
      <c r="C75" s="787" t="s">
        <v>447</v>
      </c>
      <c r="D75" s="4684">
        <f t="shared" ref="D75:F76" si="47">SUM(M21,M48)</f>
        <v>0</v>
      </c>
      <c r="E75" s="4684">
        <f t="shared" si="47"/>
        <v>0</v>
      </c>
      <c r="F75" s="4684">
        <f t="shared" si="47"/>
        <v>0</v>
      </c>
      <c r="G75" s="2028"/>
      <c r="H75" s="107"/>
      <c r="I75" s="37"/>
      <c r="J75" s="5359"/>
      <c r="K75" s="107"/>
      <c r="L75" s="107"/>
      <c r="M75" s="22"/>
      <c r="N75" s="311"/>
      <c r="O75" s="311"/>
      <c r="P75" s="22"/>
      <c r="Q75" s="22"/>
      <c r="R75" s="39"/>
      <c r="S75" s="39"/>
      <c r="T75" s="39"/>
      <c r="U75" s="39"/>
      <c r="V75" s="39"/>
      <c r="W75" s="39"/>
      <c r="X75" s="39"/>
      <c r="Y75" s="39"/>
      <c r="Z75" s="22"/>
      <c r="AA75" s="22"/>
      <c r="AB75" s="39"/>
      <c r="AC75" s="39"/>
      <c r="AD75" s="39"/>
      <c r="AE75" s="39"/>
      <c r="AF75" s="39"/>
      <c r="AG75" s="39"/>
      <c r="AH75" s="39"/>
      <c r="AI75" s="39"/>
      <c r="AJ75" s="22"/>
      <c r="AK75" s="22"/>
      <c r="AL75" s="39"/>
      <c r="AM75" s="39"/>
      <c r="AN75" s="39"/>
      <c r="AO75" s="39"/>
      <c r="AP75" s="39"/>
      <c r="AQ75" s="39"/>
      <c r="AR75" s="39"/>
      <c r="AS75" s="39"/>
      <c r="AT75" s="39"/>
    </row>
    <row r="76" spans="1:46">
      <c r="A76" s="780"/>
      <c r="B76" s="1782">
        <v>17</v>
      </c>
      <c r="C76" s="1779" t="s">
        <v>448</v>
      </c>
      <c r="D76" s="5420">
        <f t="shared" si="47"/>
        <v>0</v>
      </c>
      <c r="E76" s="5420">
        <f t="shared" si="47"/>
        <v>0</v>
      </c>
      <c r="F76" s="5420">
        <f t="shared" si="47"/>
        <v>0</v>
      </c>
      <c r="G76" s="2030" t="s">
        <v>418</v>
      </c>
      <c r="H76" s="107"/>
      <c r="I76" s="37"/>
      <c r="J76" s="5359"/>
      <c r="K76" s="107"/>
      <c r="L76" s="107"/>
      <c r="M76" s="22"/>
      <c r="N76" s="311"/>
      <c r="O76" s="311"/>
      <c r="P76" s="22"/>
      <c r="Q76" s="22"/>
      <c r="R76" s="39"/>
      <c r="S76" s="39"/>
      <c r="T76" s="39"/>
      <c r="U76" s="39"/>
      <c r="V76" s="39"/>
      <c r="W76" s="39"/>
      <c r="X76" s="39"/>
      <c r="Y76" s="39"/>
      <c r="Z76" s="22"/>
      <c r="AA76" s="22"/>
      <c r="AB76" s="39"/>
      <c r="AC76" s="39"/>
      <c r="AD76" s="39"/>
      <c r="AE76" s="39"/>
      <c r="AF76" s="39"/>
      <c r="AG76" s="39"/>
      <c r="AH76" s="39"/>
      <c r="AI76" s="39"/>
      <c r="AJ76" s="22"/>
      <c r="AK76" s="22"/>
      <c r="AL76" s="39"/>
      <c r="AM76" s="39"/>
      <c r="AN76" s="39"/>
      <c r="AO76" s="39"/>
      <c r="AP76" s="39"/>
      <c r="AQ76" s="39"/>
      <c r="AR76" s="39"/>
      <c r="AS76" s="39"/>
      <c r="AT76" s="39"/>
    </row>
    <row r="77" spans="1:46">
      <c r="A77" s="780"/>
      <c r="B77" s="786">
        <v>18</v>
      </c>
      <c r="C77" s="3589" t="s">
        <v>475</v>
      </c>
      <c r="D77" s="4685" t="str">
        <f>" - - - -"</f>
        <v xml:space="preserve"> - - - -</v>
      </c>
      <c r="E77" s="4686">
        <f>ROUND(SUM(N27,N54),0)</f>
        <v>0</v>
      </c>
      <c r="F77" s="4686">
        <f>ROUND(SUM(O27,O54),0)</f>
        <v>0</v>
      </c>
      <c r="G77" s="2284"/>
      <c r="H77" s="107"/>
      <c r="I77" s="37"/>
      <c r="J77" s="5359"/>
      <c r="K77" s="107"/>
      <c r="L77" s="107"/>
      <c r="M77" s="22"/>
      <c r="N77" s="311"/>
      <c r="O77" s="311"/>
      <c r="P77" s="22"/>
      <c r="Q77" s="22"/>
      <c r="R77" s="39"/>
      <c r="S77" s="39"/>
      <c r="T77" s="39"/>
      <c r="U77" s="39"/>
      <c r="V77" s="39"/>
      <c r="W77" s="39"/>
      <c r="X77" s="39"/>
      <c r="Y77" s="39"/>
      <c r="Z77" s="22"/>
      <c r="AA77" s="22"/>
      <c r="AB77" s="39"/>
      <c r="AC77" s="39"/>
      <c r="AD77" s="39"/>
      <c r="AE77" s="39"/>
      <c r="AF77" s="39"/>
      <c r="AG77" s="39"/>
      <c r="AH77" s="39"/>
      <c r="AI77" s="39"/>
      <c r="AJ77" s="22"/>
      <c r="AK77" s="22"/>
      <c r="AL77" s="39"/>
      <c r="AM77" s="39"/>
      <c r="AN77" s="39"/>
      <c r="AO77" s="39"/>
      <c r="AP77" s="39"/>
      <c r="AQ77" s="39"/>
      <c r="AR77" s="39"/>
      <c r="AS77" s="39"/>
      <c r="AT77" s="39"/>
    </row>
    <row r="78" spans="1:46" ht="13.5" thickBot="1">
      <c r="A78" s="780"/>
      <c r="B78" s="791">
        <v>19</v>
      </c>
      <c r="C78" s="2029" t="s">
        <v>450</v>
      </c>
      <c r="D78" s="4687">
        <f>SUM(M24,M51)</f>
        <v>0</v>
      </c>
      <c r="E78" s="4687">
        <f>SUM(N24,N51)</f>
        <v>0</v>
      </c>
      <c r="F78" s="4687">
        <f>SUM(O24,O51)</f>
        <v>0</v>
      </c>
      <c r="G78" s="2028"/>
      <c r="H78" s="107"/>
      <c r="I78" s="37"/>
      <c r="J78" s="3914"/>
      <c r="K78" s="107"/>
      <c r="L78" s="107"/>
      <c r="M78" s="22"/>
      <c r="N78" s="311"/>
      <c r="O78" s="311"/>
      <c r="P78" s="22"/>
      <c r="Q78" s="22"/>
      <c r="R78" s="39"/>
      <c r="S78" s="39"/>
      <c r="T78" s="39"/>
      <c r="U78" s="39"/>
      <c r="V78" s="39"/>
      <c r="W78" s="39"/>
      <c r="X78" s="39"/>
      <c r="Y78" s="39"/>
      <c r="Z78" s="22"/>
      <c r="AA78" s="22"/>
      <c r="AB78" s="39"/>
      <c r="AC78" s="39"/>
      <c r="AD78" s="39"/>
      <c r="AE78" s="39"/>
      <c r="AF78" s="39"/>
      <c r="AG78" s="39"/>
      <c r="AH78" s="39"/>
      <c r="AI78" s="39"/>
      <c r="AJ78" s="22"/>
      <c r="AK78" s="22"/>
      <c r="AL78" s="39"/>
      <c r="AM78" s="39"/>
      <c r="AN78" s="39"/>
      <c r="AO78" s="39"/>
      <c r="AP78" s="39"/>
      <c r="AQ78" s="39"/>
      <c r="AR78" s="39"/>
      <c r="AS78" s="39"/>
      <c r="AT78" s="39"/>
    </row>
    <row r="79" spans="1:46">
      <c r="A79" s="780"/>
      <c r="B79" s="2282" t="s">
        <v>265</v>
      </c>
      <c r="C79" s="780"/>
      <c r="D79" s="780"/>
      <c r="E79" s="780"/>
      <c r="F79" s="780"/>
      <c r="G79" s="780"/>
      <c r="H79" s="780"/>
      <c r="I79" s="780"/>
      <c r="J79" s="780"/>
      <c r="K79" s="780"/>
      <c r="L79" s="780"/>
      <c r="M79" s="780"/>
      <c r="N79" s="780"/>
      <c r="O79" s="780"/>
      <c r="P79" s="780"/>
      <c r="Z79" s="780"/>
      <c r="AJ79" s="780"/>
    </row>
    <row r="82" spans="3:8">
      <c r="H82" s="1958"/>
    </row>
    <row r="84" spans="3:8" ht="13.5" thickBot="1"/>
    <row r="85" spans="3:8">
      <c r="C85" s="3199"/>
    </row>
    <row r="86" spans="3:8">
      <c r="C86" s="3195" t="s">
        <v>46</v>
      </c>
    </row>
    <row r="87" spans="3:8" ht="13.5" thickBot="1">
      <c r="C87" s="3200"/>
    </row>
  </sheetData>
  <sheetProtection password="F07E" sheet="1" objects="1" scenarios="1" formatColumns="0"/>
  <phoneticPr fontId="36" type="noConversion"/>
  <conditionalFormatting sqref="D2:L24">
    <cfRule type="expression" dxfId="3238" priority="8">
      <formula>IF(NoColor,1,0)</formula>
    </cfRule>
  </conditionalFormatting>
  <conditionalFormatting sqref="D29:L51">
    <cfRule type="expression" dxfId="3237" priority="1">
      <formula>IF(NoColor,1,0)</formula>
    </cfRule>
  </conditionalFormatting>
  <hyperlinks>
    <hyperlink ref="C86" location="'Table of Contents'!A1" display="Table of Contents" xr:uid="{00000000-0004-0000-0800-000000000000}"/>
  </hyperlinks>
  <pageMargins left="0.75" right="0.25" top="0.36" bottom="0.28999999999999998" header="0.36" footer="0.21"/>
  <pageSetup scale="60" fitToHeight="0" orientation="landscape" r:id="rId1"/>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95"/>
  <sheetViews>
    <sheetView zoomScaleNormal="100" workbookViewId="0"/>
  </sheetViews>
  <sheetFormatPr defaultColWidth="9.140625" defaultRowHeight="14.25"/>
  <cols>
    <col min="1" max="1" width="8.7109375" style="5271" customWidth="1"/>
    <col min="2" max="2" width="5" style="5272" customWidth="1"/>
    <col min="3" max="3" width="5.42578125" style="5233" customWidth="1"/>
    <col min="4" max="4" width="3.28515625" style="5233" customWidth="1"/>
    <col min="5" max="5" width="3.85546875" style="5233" customWidth="1"/>
    <col min="6" max="6" width="4" style="5233" customWidth="1"/>
    <col min="7" max="7" width="13.7109375" style="5233" customWidth="1"/>
    <col min="8" max="11" width="9.140625" style="5233"/>
    <col min="12" max="12" width="4.7109375" style="5233" customWidth="1"/>
    <col min="13" max="14" width="9.140625" style="5233"/>
    <col min="15" max="15" width="6.28515625" style="5233" customWidth="1"/>
    <col min="16" max="16" width="5" style="5233" customWidth="1"/>
    <col min="17" max="19" width="9.140625" style="5233"/>
    <col min="20" max="20" width="15.140625" style="5233" customWidth="1"/>
    <col min="21" max="16384" width="9.140625" style="5233"/>
  </cols>
  <sheetData>
    <row r="1" spans="1:26">
      <c r="A1" s="5230"/>
      <c r="B1" s="5231"/>
      <c r="C1" s="5232"/>
      <c r="D1" s="5232"/>
      <c r="E1" s="5232"/>
      <c r="F1" s="5232"/>
      <c r="G1" s="5232"/>
      <c r="H1" s="5232"/>
      <c r="I1" s="5232"/>
      <c r="J1" s="5232"/>
      <c r="K1" s="5232"/>
      <c r="L1" s="5232"/>
      <c r="M1" s="5232"/>
      <c r="N1" s="5232"/>
      <c r="O1" s="5232"/>
      <c r="P1" s="5232"/>
      <c r="Q1" s="5232"/>
      <c r="R1" s="5232"/>
      <c r="S1" s="5232"/>
      <c r="T1" s="5232"/>
      <c r="U1" s="5232"/>
      <c r="V1" s="5232"/>
      <c r="W1" s="5232"/>
      <c r="X1" s="5232"/>
      <c r="Y1" s="5232"/>
      <c r="Z1" s="5232"/>
    </row>
    <row r="2" spans="1:26" ht="20.25">
      <c r="A2" s="5234"/>
      <c r="B2" s="5235"/>
      <c r="C2" s="5236"/>
      <c r="D2" s="5237"/>
      <c r="E2" s="5237"/>
      <c r="F2" s="5237"/>
      <c r="G2" s="5237"/>
      <c r="H2" s="5237"/>
      <c r="I2" s="5237"/>
      <c r="J2" s="5237"/>
      <c r="K2" s="5237"/>
      <c r="L2" s="5237"/>
      <c r="M2" s="5237"/>
      <c r="N2" s="5237"/>
      <c r="O2" s="5237"/>
      <c r="P2" s="5237"/>
      <c r="Q2" s="5237"/>
      <c r="R2" s="5237"/>
      <c r="S2" s="5237"/>
      <c r="T2" s="5237"/>
      <c r="U2" s="5237"/>
      <c r="V2" s="5237"/>
      <c r="W2" s="5237"/>
      <c r="X2" s="5238"/>
      <c r="Y2" s="5232"/>
      <c r="Z2" s="5232"/>
    </row>
    <row r="3" spans="1:26" ht="23.25">
      <c r="A3" s="5234"/>
      <c r="B3" s="5239"/>
      <c r="C3" s="5240" t="s">
        <v>476</v>
      </c>
      <c r="D3" s="5241"/>
      <c r="E3" s="5241"/>
      <c r="F3" s="5241"/>
      <c r="G3" s="5241"/>
      <c r="H3" s="5241"/>
      <c r="I3" s="5241"/>
      <c r="J3" s="5242" t="s">
        <v>477</v>
      </c>
      <c r="K3" s="5243"/>
      <c r="L3" s="5241"/>
      <c r="M3" s="5241"/>
      <c r="N3" s="5241"/>
      <c r="O3" s="5241"/>
      <c r="P3" s="5241"/>
      <c r="Q3" s="5241"/>
      <c r="R3" s="5241"/>
      <c r="S3" s="5241"/>
      <c r="T3" s="5241"/>
      <c r="U3" s="5241"/>
      <c r="V3" s="5241"/>
      <c r="W3" s="5241"/>
      <c r="X3" s="5244"/>
      <c r="Y3" s="5232"/>
      <c r="Z3" s="5232"/>
    </row>
    <row r="4" spans="1:26" ht="20.25">
      <c r="A4" s="5234"/>
      <c r="B4" s="5239"/>
      <c r="C4" s="5240" t="s">
        <v>478</v>
      </c>
      <c r="D4" s="5241"/>
      <c r="E4" s="5241"/>
      <c r="F4" s="5241"/>
      <c r="G4" s="5241"/>
      <c r="H4" s="5241"/>
      <c r="I4" s="5241"/>
      <c r="J4" s="5245"/>
      <c r="K4" s="5243"/>
      <c r="L4" s="5241"/>
      <c r="M4" s="5241"/>
      <c r="N4" s="5241"/>
      <c r="O4" s="5241"/>
      <c r="P4" s="5241"/>
      <c r="Q4" s="5241"/>
      <c r="R4" s="5241"/>
      <c r="S4" s="5241"/>
      <c r="T4" s="5241"/>
      <c r="U4" s="5241"/>
      <c r="V4" s="5241"/>
      <c r="W4" s="5241"/>
      <c r="X4" s="5244"/>
      <c r="Y4" s="5232"/>
      <c r="Z4" s="5232"/>
    </row>
    <row r="5" spans="1:26" ht="15">
      <c r="A5" s="5234"/>
      <c r="B5" s="5239"/>
      <c r="C5" s="5241"/>
      <c r="D5" s="5241"/>
      <c r="E5" s="5241"/>
      <c r="F5" s="5241"/>
      <c r="G5" s="5246"/>
      <c r="H5" s="5241"/>
      <c r="I5" s="5241"/>
      <c r="J5" s="5241"/>
      <c r="K5" s="5241"/>
      <c r="L5" s="5241"/>
      <c r="M5" s="5241"/>
      <c r="N5" s="5241"/>
      <c r="O5" s="5241"/>
      <c r="P5" s="5241"/>
      <c r="Q5" s="5241"/>
      <c r="R5" s="5241"/>
      <c r="S5" s="5241"/>
      <c r="T5" s="5241"/>
      <c r="U5" s="5241"/>
      <c r="V5" s="5241"/>
      <c r="W5" s="5241"/>
      <c r="X5" s="5244"/>
      <c r="Y5" s="5232"/>
      <c r="Z5" s="5232"/>
    </row>
    <row r="6" spans="1:26" ht="15">
      <c r="A6" s="5234"/>
      <c r="B6" s="5239"/>
      <c r="C6" s="5246" t="s">
        <v>479</v>
      </c>
      <c r="D6" s="5241"/>
      <c r="E6" s="5241"/>
      <c r="F6" s="5241"/>
      <c r="G6" s="5246"/>
      <c r="H6" s="5241"/>
      <c r="I6" s="5241"/>
      <c r="J6" s="5241"/>
      <c r="K6" s="5241"/>
      <c r="L6" s="5241"/>
      <c r="M6" s="5241"/>
      <c r="N6" s="5241"/>
      <c r="O6" s="5241"/>
      <c r="P6" s="5241"/>
      <c r="Q6" s="5241"/>
      <c r="R6" s="5241"/>
      <c r="S6" s="5241"/>
      <c r="T6" s="5241"/>
      <c r="U6" s="5241"/>
      <c r="V6" s="5241"/>
      <c r="W6" s="5241"/>
      <c r="X6" s="5244"/>
      <c r="Y6" s="5232"/>
      <c r="Z6" s="5232"/>
    </row>
    <row r="7" spans="1:26" ht="15">
      <c r="A7" s="5234"/>
      <c r="B7" s="5239"/>
      <c r="C7" s="5246" t="s">
        <v>480</v>
      </c>
      <c r="D7" s="5241"/>
      <c r="E7" s="5241"/>
      <c r="F7" s="5241"/>
      <c r="G7" s="5246"/>
      <c r="H7" s="5241"/>
      <c r="I7" s="5241"/>
      <c r="J7" s="5241"/>
      <c r="K7" s="5241"/>
      <c r="L7" s="5241"/>
      <c r="M7" s="5241"/>
      <c r="N7" s="5241"/>
      <c r="O7" s="5241"/>
      <c r="P7" s="5241"/>
      <c r="Q7" s="5241"/>
      <c r="R7" s="5241"/>
      <c r="S7" s="5241"/>
      <c r="T7" s="5241"/>
      <c r="U7" s="5241"/>
      <c r="V7" s="5241"/>
      <c r="W7" s="5241"/>
      <c r="X7" s="5244"/>
      <c r="Y7" s="5232"/>
      <c r="Z7" s="5232"/>
    </row>
    <row r="8" spans="1:26" ht="15">
      <c r="A8" s="5234"/>
      <c r="B8" s="5239"/>
      <c r="C8" s="5241"/>
      <c r="D8" s="5241"/>
      <c r="E8" s="5241"/>
      <c r="F8" s="5241"/>
      <c r="G8" s="5246"/>
      <c r="H8" s="5241"/>
      <c r="I8" s="5241"/>
      <c r="J8" s="5241"/>
      <c r="K8" s="5241"/>
      <c r="L8" s="5241"/>
      <c r="M8" s="5241"/>
      <c r="N8" s="5241"/>
      <c r="O8" s="5241"/>
      <c r="P8" s="5241"/>
      <c r="Q8" s="5241"/>
      <c r="R8" s="5241"/>
      <c r="S8" s="5241"/>
      <c r="T8" s="5241"/>
      <c r="U8" s="5241"/>
      <c r="V8" s="5241"/>
      <c r="W8" s="5241"/>
      <c r="X8" s="5244"/>
      <c r="Y8" s="5232"/>
      <c r="Z8" s="5232"/>
    </row>
    <row r="9" spans="1:26" s="5250" customFormat="1" ht="31.5" customHeight="1">
      <c r="A9" s="5230" t="b">
        <f>OR(A13,A27,A46,A64)</f>
        <v>0</v>
      </c>
      <c r="B9" s="5247"/>
      <c r="C9" s="6268" t="str">
        <f>IF(OR(A34,A35),K27&amp;"   AND   "&amp;Q32,IF(A27,K27&amp;"   AND   "&amp;Q27,IF(AND(A49,NOT(A27)),P46&amp;" AND "&amp;L49&amp;"   AND   "&amp;H50,IF(A48,P46&amp;" AND "&amp;L48&amp;"   AND   "&amp;H50,IF(A18,H13&amp;"   AND   "&amp;K18&amp;" "&amp;G20,IF(AND(A19,NOT(A27)),H13&amp;"   AND   "&amp;K19&amp;".  "&amp;G20,IF(A66,S64&amp;"   AND   "&amp;Q66&amp;"   AND   "&amp;H69,IF(A9,"See below.","Except as provided next, leave line 4a blank  AND  enter the total distribution (from Form 1099-R, box 1) on line 4b."))))))))</f>
        <v>Except as provided next, leave line 4a blank  AND  enter the total distribution (from Form 1099-R, box 1) on line 4b.</v>
      </c>
      <c r="D9" s="6269"/>
      <c r="E9" s="6269"/>
      <c r="F9" s="6269"/>
      <c r="G9" s="6269"/>
      <c r="H9" s="6269"/>
      <c r="I9" s="6269"/>
      <c r="J9" s="6269"/>
      <c r="K9" s="6269"/>
      <c r="L9" s="6269"/>
      <c r="M9" s="6269"/>
      <c r="N9" s="6269"/>
      <c r="O9" s="6269"/>
      <c r="P9" s="6269"/>
      <c r="Q9" s="6269"/>
      <c r="R9" s="6269"/>
      <c r="S9" s="6269"/>
      <c r="T9" s="6269"/>
      <c r="U9" s="6269"/>
      <c r="V9" s="6269"/>
      <c r="W9" s="6270"/>
      <c r="X9" s="5248"/>
      <c r="Y9" s="5249"/>
      <c r="Z9" s="5249"/>
    </row>
    <row r="10" spans="1:26" ht="15">
      <c r="A10" s="5230"/>
      <c r="B10" s="5239"/>
      <c r="C10" s="5241"/>
      <c r="D10" s="5241"/>
      <c r="E10" s="5241"/>
      <c r="F10" s="5241"/>
      <c r="G10" s="5246"/>
      <c r="H10" s="5241"/>
      <c r="I10" s="5241"/>
      <c r="J10" s="5241"/>
      <c r="K10" s="5241"/>
      <c r="L10" s="5241"/>
      <c r="M10" s="5241"/>
      <c r="N10" s="5241"/>
      <c r="O10" s="5241"/>
      <c r="P10" s="5241"/>
      <c r="Q10" s="5241"/>
      <c r="R10" s="5241"/>
      <c r="S10" s="5241"/>
      <c r="T10" s="5241"/>
      <c r="U10" s="5241"/>
      <c r="V10" s="5241"/>
      <c r="W10" s="5241"/>
      <c r="X10" s="5244"/>
      <c r="Y10" s="5249"/>
      <c r="Z10" s="5249"/>
    </row>
    <row r="11" spans="1:26" ht="18.75">
      <c r="A11" s="5230"/>
      <c r="B11" s="5239"/>
      <c r="C11" s="6046" t="s">
        <v>1856</v>
      </c>
      <c r="D11" s="6047" t="s">
        <v>5721</v>
      </c>
      <c r="E11" s="5241"/>
      <c r="F11" s="5241"/>
      <c r="G11" s="5246"/>
      <c r="H11" s="5241"/>
      <c r="I11" s="5241"/>
      <c r="J11" s="5241"/>
      <c r="K11" s="5241"/>
      <c r="L11" s="5241"/>
      <c r="M11" s="5241"/>
      <c r="N11" s="5241"/>
      <c r="O11" s="5241"/>
      <c r="P11" s="5241"/>
      <c r="Q11" s="5241"/>
      <c r="R11" s="5241"/>
      <c r="S11" s="5241"/>
      <c r="T11" s="5241"/>
      <c r="U11" s="5241"/>
      <c r="V11" s="5241"/>
      <c r="W11" s="5241"/>
      <c r="X11" s="5244"/>
      <c r="Y11" s="5249"/>
      <c r="Z11" s="5249"/>
    </row>
    <row r="12" spans="1:26" ht="15">
      <c r="A12" s="5230"/>
      <c r="B12" s="5239"/>
      <c r="C12" s="5241"/>
      <c r="D12" s="5241"/>
      <c r="E12" s="5241"/>
      <c r="F12" s="5241"/>
      <c r="G12" s="5246"/>
      <c r="H12" s="5241"/>
      <c r="I12" s="5241"/>
      <c r="J12" s="5241"/>
      <c r="K12" s="5241"/>
      <c r="L12" s="5241"/>
      <c r="M12" s="5241"/>
      <c r="N12" s="5241"/>
      <c r="O12" s="5241"/>
      <c r="P12" s="5241"/>
      <c r="Q12" s="5241"/>
      <c r="R12" s="5241"/>
      <c r="S12" s="5241"/>
      <c r="T12" s="5241"/>
      <c r="U12" s="5241"/>
      <c r="V12" s="5241"/>
      <c r="W12" s="5241"/>
      <c r="X12" s="5244"/>
      <c r="Y12" s="5232"/>
      <c r="Z12" s="5232"/>
    </row>
    <row r="13" spans="1:26" ht="15.75">
      <c r="A13" s="5230" t="b">
        <f>OR(A18,AND((A19),NOT(A27)))</f>
        <v>0</v>
      </c>
      <c r="B13" s="5239"/>
      <c r="C13" s="5241"/>
      <c r="D13" s="5251" t="str">
        <f>IF(A13,"X","")</f>
        <v/>
      </c>
      <c r="E13" s="5241"/>
      <c r="F13" s="5241"/>
      <c r="G13" s="5252" t="s">
        <v>481</v>
      </c>
      <c r="H13" s="5253" t="s">
        <v>482</v>
      </c>
      <c r="I13" s="5241"/>
      <c r="J13" s="5241"/>
      <c r="K13" s="5241"/>
      <c r="L13" s="5246" t="s">
        <v>483</v>
      </c>
      <c r="M13" s="5241"/>
      <c r="N13" s="5241"/>
      <c r="O13" s="5241"/>
      <c r="P13" s="5241"/>
      <c r="Q13" s="5241"/>
      <c r="R13" s="5241"/>
      <c r="S13" s="5241"/>
      <c r="T13" s="5241"/>
      <c r="U13" s="5241"/>
      <c r="V13" s="5241"/>
      <c r="W13" s="5241"/>
      <c r="X13" s="5244"/>
      <c r="Y13" s="5232"/>
      <c r="Z13" s="5232"/>
    </row>
    <row r="14" spans="1:26" ht="15.75">
      <c r="A14" s="5230"/>
      <c r="B14" s="5254"/>
      <c r="C14" s="5255"/>
      <c r="D14" s="5241"/>
      <c r="E14" s="5241"/>
      <c r="F14" s="5241"/>
      <c r="G14" s="5246" t="s">
        <v>484</v>
      </c>
      <c r="H14" s="5241"/>
      <c r="I14" s="5241"/>
      <c r="J14" s="5241"/>
      <c r="K14" s="5241"/>
      <c r="L14" s="5241"/>
      <c r="M14" s="5241"/>
      <c r="N14" s="5241"/>
      <c r="O14" s="5241"/>
      <c r="P14" s="5241"/>
      <c r="Q14" s="5241"/>
      <c r="R14" s="5241"/>
      <c r="S14" s="5241"/>
      <c r="T14" s="5241"/>
      <c r="U14" s="5241"/>
      <c r="V14" s="5241"/>
      <c r="W14" s="5241"/>
      <c r="X14" s="5244"/>
      <c r="Y14" s="5232"/>
      <c r="Z14" s="5232"/>
    </row>
    <row r="15" spans="1:26" ht="15.75">
      <c r="A15" s="5230"/>
      <c r="B15" s="5254"/>
      <c r="C15" s="5255"/>
      <c r="D15" s="5241"/>
      <c r="E15" s="5241"/>
      <c r="F15" s="5241"/>
      <c r="G15" s="5256"/>
      <c r="H15" s="5257" t="s">
        <v>485</v>
      </c>
      <c r="I15" s="5241"/>
      <c r="J15" s="5241"/>
      <c r="K15" s="5241"/>
      <c r="L15" s="5241"/>
      <c r="M15" s="5241"/>
      <c r="N15" s="5241"/>
      <c r="O15" s="5241"/>
      <c r="P15" s="5241"/>
      <c r="Q15" s="5241"/>
      <c r="R15" s="5241"/>
      <c r="S15" s="5241"/>
      <c r="T15" s="5241"/>
      <c r="U15" s="5241"/>
      <c r="V15" s="5241"/>
      <c r="W15" s="5241"/>
      <c r="X15" s="5244"/>
      <c r="Y15" s="5232"/>
      <c r="Z15" s="5232"/>
    </row>
    <row r="16" spans="1:26" ht="15.75">
      <c r="A16" s="5230"/>
      <c r="B16" s="5254"/>
      <c r="C16" s="5255"/>
      <c r="D16" s="5241"/>
      <c r="E16" s="5241"/>
      <c r="F16" s="5241"/>
      <c r="G16" s="5257"/>
      <c r="H16" s="5257" t="s">
        <v>486</v>
      </c>
      <c r="I16" s="5241"/>
      <c r="J16" s="5241"/>
      <c r="K16" s="5241"/>
      <c r="L16" s="5241"/>
      <c r="M16" s="5241"/>
      <c r="N16" s="5241"/>
      <c r="O16" s="5241"/>
      <c r="P16" s="5241"/>
      <c r="Q16" s="5241"/>
      <c r="R16" s="5241"/>
      <c r="S16" s="5241"/>
      <c r="T16" s="5241"/>
      <c r="U16" s="5241"/>
      <c r="V16" s="5241"/>
      <c r="W16" s="5241"/>
      <c r="X16" s="5244"/>
      <c r="Y16" s="5232"/>
      <c r="Z16" s="5232"/>
    </row>
    <row r="17" spans="1:26" ht="15">
      <c r="A17" s="5230"/>
      <c r="B17" s="5239"/>
      <c r="C17" s="5241"/>
      <c r="D17" s="5241"/>
      <c r="E17" s="5241"/>
      <c r="F17" s="5241"/>
      <c r="G17" s="5246"/>
      <c r="H17" s="5241"/>
      <c r="I17" s="5241"/>
      <c r="J17" s="5241"/>
      <c r="K17" s="5241"/>
      <c r="L17" s="5241"/>
      <c r="M17" s="5241"/>
      <c r="N17" s="5241"/>
      <c r="O17" s="5241"/>
      <c r="P17" s="5241"/>
      <c r="Q17" s="5241"/>
      <c r="R17" s="5241"/>
      <c r="S17" s="5241"/>
      <c r="T17" s="5241"/>
      <c r="U17" s="5241"/>
      <c r="V17" s="5241"/>
      <c r="W17" s="5241"/>
      <c r="X17" s="5244"/>
      <c r="Y17" s="5232"/>
      <c r="Z17" s="5232"/>
    </row>
    <row r="18" spans="1:26" ht="15.75">
      <c r="A18" s="5230" t="b">
        <f>F18&lt;&gt;""</f>
        <v>0</v>
      </c>
      <c r="B18" s="5254"/>
      <c r="C18" s="5255"/>
      <c r="D18" s="5241"/>
      <c r="E18" s="5241"/>
      <c r="F18" s="5258"/>
      <c r="G18" s="5259" t="s">
        <v>487</v>
      </c>
      <c r="H18" s="5253"/>
      <c r="I18" s="5253"/>
      <c r="J18" s="5253"/>
      <c r="K18" s="5253" t="s">
        <v>488</v>
      </c>
      <c r="L18" s="5241"/>
      <c r="M18" s="5241"/>
      <c r="N18" s="5241"/>
      <c r="O18" s="5241"/>
      <c r="P18" s="5241"/>
      <c r="Q18" s="5241"/>
      <c r="R18" s="5241"/>
      <c r="S18" s="5241"/>
      <c r="T18" s="5241"/>
      <c r="U18" s="5241"/>
      <c r="V18" s="5241"/>
      <c r="W18" s="5241"/>
      <c r="X18" s="5244"/>
      <c r="Y18" s="5232"/>
      <c r="Z18" s="5232"/>
    </row>
    <row r="19" spans="1:26" ht="15.75">
      <c r="A19" s="5230" t="b">
        <f>F19&lt;&gt;""</f>
        <v>0</v>
      </c>
      <c r="B19" s="5254"/>
      <c r="C19" s="5255"/>
      <c r="D19" s="5241"/>
      <c r="E19" s="5241"/>
      <c r="F19" s="5258"/>
      <c r="G19" s="5259" t="s">
        <v>489</v>
      </c>
      <c r="H19" s="5253"/>
      <c r="I19" s="5253"/>
      <c r="J19" s="5253"/>
      <c r="K19" s="5253" t="s">
        <v>490</v>
      </c>
      <c r="L19" s="5241"/>
      <c r="M19" s="5241"/>
      <c r="N19" s="5241"/>
      <c r="O19" s="5241"/>
      <c r="P19" s="5246" t="s">
        <v>5723</v>
      </c>
      <c r="Q19" s="5241"/>
      <c r="R19" s="5241"/>
      <c r="S19" s="5241"/>
      <c r="T19" s="5241"/>
      <c r="U19" s="5241"/>
      <c r="V19" s="5241"/>
      <c r="W19" s="5241"/>
      <c r="X19" s="5244"/>
      <c r="Y19" s="5232"/>
      <c r="Z19" s="5232"/>
    </row>
    <row r="20" spans="1:26" ht="20.25" customHeight="1">
      <c r="A20" s="5230"/>
      <c r="B20" s="5239"/>
      <c r="C20" s="5241"/>
      <c r="D20" s="5241"/>
      <c r="E20" s="5241"/>
      <c r="F20" s="5241"/>
      <c r="G20" s="5259" t="s">
        <v>491</v>
      </c>
      <c r="H20" s="5253"/>
      <c r="I20" s="5253"/>
      <c r="J20" s="5253"/>
      <c r="K20" s="5253"/>
      <c r="L20" s="5241"/>
      <c r="M20" s="5241"/>
      <c r="N20" s="5241"/>
      <c r="O20" s="5241"/>
      <c r="P20" s="5241"/>
      <c r="Q20" s="5241"/>
      <c r="R20" s="5241"/>
      <c r="S20" s="5241"/>
      <c r="T20" s="5241"/>
      <c r="U20" s="5241"/>
      <c r="V20" s="5241"/>
      <c r="W20" s="5241"/>
      <c r="X20" s="5244"/>
      <c r="Y20" s="5232"/>
      <c r="Z20" s="5232"/>
    </row>
    <row r="21" spans="1:26" ht="27.75" customHeight="1">
      <c r="A21" s="5230"/>
      <c r="B21" s="5239"/>
      <c r="C21" s="5241"/>
      <c r="D21" s="5241"/>
      <c r="E21" s="5241"/>
      <c r="F21" s="5241"/>
      <c r="G21" s="5259"/>
      <c r="H21" s="5253"/>
      <c r="I21" s="5253"/>
      <c r="J21" s="5253"/>
      <c r="K21" s="5253"/>
      <c r="L21" s="5241"/>
      <c r="M21" s="5241"/>
      <c r="N21" s="5241"/>
      <c r="O21" s="5241"/>
      <c r="P21" s="5241"/>
      <c r="Q21" s="5241"/>
      <c r="R21" s="5241"/>
      <c r="S21" s="5241"/>
      <c r="T21" s="5241"/>
      <c r="U21" s="5241"/>
      <c r="V21" s="5241"/>
      <c r="W21" s="5241"/>
      <c r="X21" s="5244"/>
      <c r="Y21" s="5232"/>
      <c r="Z21" s="5232"/>
    </row>
    <row r="22" spans="1:26" ht="15">
      <c r="A22" s="5230"/>
      <c r="B22" s="5239"/>
      <c r="C22" s="5241"/>
      <c r="D22" s="5241"/>
      <c r="E22" s="5241"/>
      <c r="F22" s="5241"/>
      <c r="G22" s="5246" t="s">
        <v>492</v>
      </c>
      <c r="H22" s="5253"/>
      <c r="I22" s="5253"/>
      <c r="J22" s="5253"/>
      <c r="K22" s="5253"/>
      <c r="L22" s="5241"/>
      <c r="M22" s="5241"/>
      <c r="N22" s="5241"/>
      <c r="O22" s="5241"/>
      <c r="P22" s="5241"/>
      <c r="Q22" s="5241"/>
      <c r="R22" s="5241"/>
      <c r="S22" s="5241"/>
      <c r="T22" s="5241"/>
      <c r="U22" s="5241"/>
      <c r="V22" s="5241"/>
      <c r="W22" s="5241"/>
      <c r="X22" s="5244"/>
      <c r="Y22" s="5232"/>
      <c r="Z22" s="5232"/>
    </row>
    <row r="23" spans="1:26" ht="15">
      <c r="A23" s="5230"/>
      <c r="B23" s="5239"/>
      <c r="C23" s="5241"/>
      <c r="D23" s="5241"/>
      <c r="E23" s="5241"/>
      <c r="F23" s="5241"/>
      <c r="G23" s="5246"/>
      <c r="H23" s="5253"/>
      <c r="I23" s="5253"/>
      <c r="J23" s="5253"/>
      <c r="K23" s="5253"/>
      <c r="L23" s="5241"/>
      <c r="M23" s="5241"/>
      <c r="N23" s="5241"/>
      <c r="O23" s="5241"/>
      <c r="P23" s="5241"/>
      <c r="Q23" s="5241"/>
      <c r="R23" s="5241"/>
      <c r="S23" s="5241"/>
      <c r="T23" s="5241"/>
      <c r="U23" s="5241"/>
      <c r="V23" s="5241"/>
      <c r="W23" s="5241"/>
      <c r="X23" s="5244"/>
      <c r="Y23" s="5232"/>
      <c r="Z23" s="5232"/>
    </row>
    <row r="24" spans="1:26" ht="15">
      <c r="A24" s="5230"/>
      <c r="B24" s="5239"/>
      <c r="C24" s="5241"/>
      <c r="D24" s="5241"/>
      <c r="E24" s="5241"/>
      <c r="F24" s="5241"/>
      <c r="G24" s="5246" t="str">
        <f>"If you rolled over the distribution into a qualified plan or you made the rollover in "&amp;TaxYear+1&amp;", include a statement explaining what you did. "</f>
        <v xml:space="preserve">If you rolled over the distribution into a qualified plan or you made the rollover in 2024, include a statement explaining what you did. </v>
      </c>
      <c r="H24" s="5253"/>
      <c r="I24" s="5253"/>
      <c r="J24" s="5253"/>
      <c r="K24" s="5253"/>
      <c r="L24" s="5241"/>
      <c r="M24" s="5241"/>
      <c r="N24" s="5241"/>
      <c r="O24" s="5241"/>
      <c r="P24" s="5241"/>
      <c r="Q24" s="5241"/>
      <c r="R24" s="5241"/>
      <c r="S24" s="5241"/>
      <c r="T24" s="5241"/>
      <c r="U24" s="5241"/>
      <c r="V24" s="5241"/>
      <c r="W24" s="5241"/>
      <c r="X24" s="5244"/>
      <c r="Y24" s="5232"/>
      <c r="Z24" s="5232"/>
    </row>
    <row r="25" spans="1:26" ht="15">
      <c r="A25" s="5230"/>
      <c r="B25" s="5239"/>
      <c r="C25" s="5241"/>
      <c r="D25" s="5241"/>
      <c r="E25" s="5241"/>
      <c r="F25" s="5241"/>
      <c r="G25" s="5246"/>
      <c r="H25" s="5253"/>
      <c r="I25" s="5253"/>
      <c r="J25" s="5253"/>
      <c r="K25" s="5253"/>
      <c r="L25" s="5241"/>
      <c r="M25" s="5241"/>
      <c r="N25" s="5241"/>
      <c r="O25" s="5241"/>
      <c r="P25" s="5241"/>
      <c r="Q25" s="5241"/>
      <c r="R25" s="5241"/>
      <c r="S25" s="5241"/>
      <c r="T25" s="5241"/>
      <c r="U25" s="5241"/>
      <c r="V25" s="5241"/>
      <c r="W25" s="5241"/>
      <c r="X25" s="5244"/>
      <c r="Y25" s="5232"/>
      <c r="Z25" s="5232"/>
    </row>
    <row r="26" spans="1:26" ht="15">
      <c r="A26" s="5230"/>
      <c r="B26" s="5239"/>
      <c r="C26" s="5241"/>
      <c r="D26" s="5241"/>
      <c r="E26" s="5241"/>
      <c r="F26" s="5241"/>
      <c r="G26" s="5246"/>
      <c r="H26" s="5253"/>
      <c r="I26" s="5253"/>
      <c r="J26" s="5253"/>
      <c r="K26" s="5253"/>
      <c r="L26" s="5241"/>
      <c r="M26" s="5241"/>
      <c r="N26" s="5241"/>
      <c r="O26" s="5241"/>
      <c r="P26" s="5241"/>
      <c r="Q26" s="5241"/>
      <c r="R26" s="5241"/>
      <c r="S26" s="5241"/>
      <c r="T26" s="5241"/>
      <c r="U26" s="5241"/>
      <c r="V26" s="5241"/>
      <c r="W26" s="5241"/>
      <c r="X26" s="5244"/>
      <c r="Y26" s="5232"/>
      <c r="Z26" s="5232"/>
    </row>
    <row r="27" spans="1:26" ht="15.75">
      <c r="A27" s="5230" t="b">
        <f>OR(A29,A32,A34,A35,A37,A39,A41,A43)</f>
        <v>0</v>
      </c>
      <c r="B27" s="5254"/>
      <c r="C27" s="5255"/>
      <c r="D27" s="5251" t="str">
        <f>IF(A27,"X","")</f>
        <v/>
      </c>
      <c r="E27" s="5241"/>
      <c r="F27" s="5241"/>
      <c r="G27" s="5252" t="s">
        <v>493</v>
      </c>
      <c r="H27" s="5260" t="s">
        <v>494</v>
      </c>
      <c r="I27" s="5253"/>
      <c r="J27" s="5253"/>
      <c r="K27" s="5253" t="str">
        <f>IF(A27,"Enter the total distribution on line 4a","enter the total distribution on line 4a")</f>
        <v>enter the total distribution on line 4a</v>
      </c>
      <c r="L27" s="5241"/>
      <c r="M27" s="5241"/>
      <c r="N27" s="5241"/>
      <c r="O27" s="5261"/>
      <c r="P27" s="5253" t="s">
        <v>495</v>
      </c>
      <c r="Q27" s="5260" t="s">
        <v>496</v>
      </c>
      <c r="R27" s="5241"/>
      <c r="S27" s="5241"/>
      <c r="T27" s="5241"/>
      <c r="U27" s="5241"/>
      <c r="V27" s="5241"/>
      <c r="W27" s="5241"/>
      <c r="X27" s="5244"/>
      <c r="Y27" s="5232"/>
      <c r="Z27" s="5232"/>
    </row>
    <row r="28" spans="1:26" ht="15.75">
      <c r="A28" s="5230" t="b">
        <f>AND(OR(A29,A32,A37,A39,A41,A43),NOT(A34),NOT(A35))</f>
        <v>0</v>
      </c>
      <c r="B28" s="5239"/>
      <c r="C28" s="5241"/>
      <c r="D28" s="5241"/>
      <c r="E28" s="5241"/>
      <c r="F28" s="5241"/>
      <c r="G28" s="5262"/>
      <c r="H28" s="5253"/>
      <c r="I28" s="5253"/>
      <c r="J28" s="5253"/>
      <c r="K28" s="5253"/>
      <c r="L28" s="5241"/>
      <c r="M28" s="5241"/>
      <c r="N28" s="5241"/>
      <c r="O28" s="5241"/>
      <c r="P28" s="5241"/>
      <c r="Q28" s="5241"/>
      <c r="R28" s="5241"/>
      <c r="S28" s="5241"/>
      <c r="T28" s="5241"/>
      <c r="U28" s="5241"/>
      <c r="V28" s="5241"/>
      <c r="W28" s="5241"/>
      <c r="X28" s="5244"/>
      <c r="Y28" s="5232"/>
      <c r="Z28" s="5232"/>
    </row>
    <row r="29" spans="1:26" ht="15.75">
      <c r="A29" s="5230" t="b">
        <f>E29&lt;&gt;""</f>
        <v>0</v>
      </c>
      <c r="B29" s="5254"/>
      <c r="C29" s="5255"/>
      <c r="D29" s="5241"/>
      <c r="E29" s="5258"/>
      <c r="F29" s="5241"/>
      <c r="G29" s="5263" t="s">
        <v>167</v>
      </c>
      <c r="H29" s="5264" t="str">
        <f>"You received a distribution from an IRA (other than a Roth IRA) and you made nondeductible contributions to any of your traditional or SEP IRAs for "&amp;TaxYear&amp;" or an earlier year. "</f>
        <v xml:space="preserve">You received a distribution from an IRA (other than a Roth IRA) and you made nondeductible contributions to any of your traditional or SEP IRAs for 2023 or an earlier year. </v>
      </c>
      <c r="I29" s="5253"/>
      <c r="J29" s="5253"/>
      <c r="K29" s="5253"/>
      <c r="L29" s="5241"/>
      <c r="M29" s="5241"/>
      <c r="N29" s="5241"/>
      <c r="O29" s="5241"/>
      <c r="P29" s="5241"/>
      <c r="Q29" s="5241"/>
      <c r="R29" s="5241"/>
      <c r="S29" s="5241"/>
      <c r="T29" s="5241"/>
      <c r="U29" s="5241"/>
      <c r="V29" s="5241"/>
      <c r="W29" s="5241"/>
      <c r="X29" s="5244"/>
      <c r="Y29" s="5232"/>
      <c r="Z29" s="5232"/>
    </row>
    <row r="30" spans="1:26" ht="15">
      <c r="A30" s="5230"/>
      <c r="B30" s="5239"/>
      <c r="C30" s="5241"/>
      <c r="D30" s="5241"/>
      <c r="E30" s="5241"/>
      <c r="F30" s="5241"/>
      <c r="G30" s="5259"/>
      <c r="H30" s="5253" t="str">
        <f>"If you made nondeductible contributions to these IRAs for "&amp;TaxYear&amp;", also see Pub. 590-A and Pub. 590-B."</f>
        <v>If you made nondeductible contributions to these IRAs for 2023, also see Pub. 590-A and Pub. 590-B.</v>
      </c>
      <c r="I30" s="5253"/>
      <c r="J30" s="5253"/>
      <c r="K30" s="5253"/>
      <c r="L30" s="5241"/>
      <c r="M30" s="5241"/>
      <c r="N30" s="5241"/>
      <c r="O30" s="5241"/>
      <c r="P30" s="5241"/>
      <c r="Q30" s="5241"/>
      <c r="R30" s="5241"/>
      <c r="S30" s="5241"/>
      <c r="T30" s="5241"/>
      <c r="U30" s="5241"/>
      <c r="V30" s="5241"/>
      <c r="W30" s="5241"/>
      <c r="X30" s="5244"/>
      <c r="Y30" s="5232"/>
      <c r="Z30" s="5232"/>
    </row>
    <row r="31" spans="1:26" ht="15">
      <c r="A31" s="5230"/>
      <c r="B31" s="5239"/>
      <c r="C31" s="5241"/>
      <c r="D31" s="5241"/>
      <c r="E31" s="5241"/>
      <c r="F31" s="5241"/>
      <c r="G31" s="5259"/>
      <c r="H31" s="5253"/>
      <c r="I31" s="5253"/>
      <c r="J31" s="5253"/>
      <c r="K31" s="5253"/>
      <c r="L31" s="5241"/>
      <c r="M31" s="5241"/>
      <c r="N31" s="5241"/>
      <c r="O31" s="5241"/>
      <c r="P31" s="5241"/>
      <c r="Q31" s="5241"/>
      <c r="R31" s="5241"/>
      <c r="S31" s="5241"/>
      <c r="T31" s="5241"/>
      <c r="U31" s="5241"/>
      <c r="V31" s="5241"/>
      <c r="W31" s="5241"/>
      <c r="X31" s="5244"/>
      <c r="Y31" s="5232"/>
      <c r="Z31" s="5232"/>
    </row>
    <row r="32" spans="1:26" ht="15.75">
      <c r="A32" s="5230" t="b">
        <f>E32&lt;&gt;""</f>
        <v>0</v>
      </c>
      <c r="B32" s="5254"/>
      <c r="C32" s="5255"/>
      <c r="D32" s="5241"/>
      <c r="E32" s="5258"/>
      <c r="F32" s="5241"/>
      <c r="G32" s="5263" t="s">
        <v>171</v>
      </c>
      <c r="H32" s="5264" t="s">
        <v>497</v>
      </c>
      <c r="I32" s="5253"/>
      <c r="J32" s="5241"/>
      <c r="K32" s="5241"/>
      <c r="L32" s="5241"/>
      <c r="M32" s="5241"/>
      <c r="N32" s="5241"/>
      <c r="O32" s="5241"/>
      <c r="P32" s="5241"/>
      <c r="Q32" s="5246" t="s">
        <v>498</v>
      </c>
      <c r="R32" s="5246"/>
      <c r="S32" s="5241"/>
      <c r="T32" s="5241"/>
      <c r="U32" s="5241"/>
      <c r="V32" s="5241"/>
      <c r="W32" s="5241"/>
      <c r="X32" s="5244"/>
      <c r="Y32" s="5232"/>
      <c r="Z32" s="5232"/>
    </row>
    <row r="33" spans="1:26" ht="15">
      <c r="A33" s="5230"/>
      <c r="B33" s="5239"/>
      <c r="C33" s="5241"/>
      <c r="D33" s="5241"/>
      <c r="E33" s="5241"/>
      <c r="F33" s="5241"/>
      <c r="G33" s="5259"/>
      <c r="H33" s="5253"/>
      <c r="I33" s="5253"/>
      <c r="J33" s="5253"/>
      <c r="K33" s="5253"/>
      <c r="L33" s="5241"/>
      <c r="M33" s="5241"/>
      <c r="N33" s="5241"/>
      <c r="O33" s="5241"/>
      <c r="P33" s="5241"/>
      <c r="Q33" s="5241"/>
      <c r="R33" s="5241"/>
      <c r="S33" s="5241"/>
      <c r="T33" s="5241"/>
      <c r="U33" s="5241"/>
      <c r="V33" s="5241"/>
      <c r="W33" s="5241"/>
      <c r="X33" s="5244"/>
      <c r="Y33" s="5232"/>
      <c r="Z33" s="5232"/>
    </row>
    <row r="34" spans="1:26" ht="15.75">
      <c r="A34" s="5230" t="b">
        <f>F34&lt;&gt;""</f>
        <v>0</v>
      </c>
      <c r="B34" s="5254"/>
      <c r="C34" s="5255"/>
      <c r="D34" s="5241"/>
      <c r="E34" s="5241"/>
      <c r="F34" s="5258"/>
      <c r="G34" s="5265"/>
      <c r="H34" s="5264" t="s">
        <v>499</v>
      </c>
      <c r="I34" s="5253"/>
      <c r="J34" s="5253"/>
      <c r="K34" s="5253"/>
      <c r="L34" s="5241"/>
      <c r="M34" s="5241"/>
      <c r="N34" s="5241"/>
      <c r="O34" s="5241"/>
      <c r="P34" s="5241"/>
      <c r="Q34" s="5241"/>
      <c r="R34" s="5241"/>
      <c r="S34" s="5241"/>
      <c r="T34" s="5241"/>
      <c r="U34" s="5241"/>
      <c r="V34" s="5241"/>
      <c r="W34" s="5241"/>
      <c r="X34" s="5244"/>
      <c r="Y34" s="5232"/>
      <c r="Z34" s="5232"/>
    </row>
    <row r="35" spans="1:26" ht="15.75">
      <c r="A35" s="5230" t="b">
        <f>F35&lt;&gt;""</f>
        <v>0</v>
      </c>
      <c r="B35" s="5254"/>
      <c r="C35" s="5255"/>
      <c r="D35" s="5241"/>
      <c r="E35" s="5241"/>
      <c r="F35" s="5258"/>
      <c r="G35" s="5241"/>
      <c r="H35" s="5264" t="s">
        <v>500</v>
      </c>
      <c r="I35" s="5253"/>
      <c r="J35" s="5253"/>
      <c r="K35" s="5253"/>
      <c r="L35" s="5253"/>
      <c r="M35" s="5241"/>
      <c r="N35" s="5241"/>
      <c r="O35" s="5241"/>
      <c r="P35" s="5241"/>
      <c r="Q35" s="5241"/>
      <c r="R35" s="5241"/>
      <c r="S35" s="5241"/>
      <c r="T35" s="5241"/>
      <c r="U35" s="5241"/>
      <c r="V35" s="5241"/>
      <c r="W35" s="5241"/>
      <c r="X35" s="5244"/>
      <c r="Y35" s="5232"/>
      <c r="Z35" s="5232"/>
    </row>
    <row r="36" spans="1:26" ht="15">
      <c r="A36" s="5230"/>
      <c r="B36" s="5239"/>
      <c r="C36" s="5241"/>
      <c r="D36" s="5241"/>
      <c r="E36" s="5241"/>
      <c r="F36" s="5241"/>
      <c r="G36" s="5259"/>
      <c r="H36" s="5253"/>
      <c r="I36" s="5253"/>
      <c r="J36" s="5253"/>
      <c r="K36" s="5253"/>
      <c r="L36" s="5241"/>
      <c r="M36" s="5241"/>
      <c r="N36" s="5241"/>
      <c r="O36" s="5241"/>
      <c r="P36" s="5241"/>
      <c r="Q36" s="5241"/>
      <c r="R36" s="5241"/>
      <c r="S36" s="5241"/>
      <c r="T36" s="5241"/>
      <c r="U36" s="5241"/>
      <c r="V36" s="5241"/>
      <c r="W36" s="5241"/>
      <c r="X36" s="5244"/>
      <c r="Y36" s="5232"/>
      <c r="Z36" s="5232"/>
    </row>
    <row r="37" spans="1:26" ht="15.75">
      <c r="A37" s="5230" t="b">
        <f>E37&lt;&gt;""</f>
        <v>0</v>
      </c>
      <c r="B37" s="5254"/>
      <c r="C37" s="5255"/>
      <c r="D37" s="5241"/>
      <c r="E37" s="5258"/>
      <c r="F37" s="5241"/>
      <c r="G37" s="5263" t="s">
        <v>177</v>
      </c>
      <c r="H37" s="5259" t="str">
        <f>"You converted part or all of a traditional, SEP, or SIMPLE IRA to a Roth IRA in "&amp;TaxYear&amp;"."</f>
        <v>You converted part or all of a traditional, SEP, or SIMPLE IRA to a Roth IRA in 2023.</v>
      </c>
      <c r="I37" s="5253"/>
      <c r="J37" s="5253"/>
      <c r="K37" s="5253"/>
      <c r="L37" s="5241"/>
      <c r="M37" s="5241"/>
      <c r="N37" s="5241"/>
      <c r="O37" s="5241"/>
      <c r="P37" s="5241"/>
      <c r="Q37" s="5241"/>
      <c r="R37" s="5241"/>
      <c r="S37" s="5241"/>
      <c r="T37" s="5241"/>
      <c r="U37" s="5241"/>
      <c r="V37" s="5241"/>
      <c r="W37" s="5241"/>
      <c r="X37" s="5244"/>
      <c r="Y37" s="5232"/>
      <c r="Z37" s="5232"/>
    </row>
    <row r="38" spans="1:26" ht="15">
      <c r="A38" s="5230"/>
      <c r="B38" s="5239"/>
      <c r="C38" s="5241"/>
      <c r="D38" s="5241"/>
      <c r="E38" s="5241"/>
      <c r="F38" s="5241"/>
      <c r="G38" s="5259"/>
      <c r="H38" s="5253"/>
      <c r="I38" s="5253"/>
      <c r="J38" s="5253"/>
      <c r="K38" s="5253"/>
      <c r="L38" s="5241"/>
      <c r="M38" s="5241"/>
      <c r="N38" s="5241"/>
      <c r="O38" s="5241"/>
      <c r="P38" s="5241"/>
      <c r="Q38" s="5241"/>
      <c r="R38" s="5241"/>
      <c r="S38" s="5241"/>
      <c r="T38" s="5241"/>
      <c r="U38" s="5241"/>
      <c r="V38" s="5241"/>
      <c r="W38" s="5241"/>
      <c r="X38" s="5244"/>
      <c r="Y38" s="5232"/>
      <c r="Z38" s="5232"/>
    </row>
    <row r="39" spans="1:26" ht="15.75">
      <c r="A39" s="5230" t="b">
        <f>E39&lt;&gt;""</f>
        <v>0</v>
      </c>
      <c r="B39" s="5254"/>
      <c r="C39" s="5255"/>
      <c r="D39" s="5241"/>
      <c r="E39" s="5258"/>
      <c r="F39" s="5241"/>
      <c r="G39" s="5263" t="s">
        <v>182</v>
      </c>
      <c r="H39" s="5259" t="str">
        <f>"You had a "&amp;TaxYear-1&amp;" or "&amp;TaxYear&amp;" IRA contribution returned to you, with the related earnings or less any loss, by the due date (including extensions) of your tax return for that year."</f>
        <v>You had a 2022 or 2023 IRA contribution returned to you, with the related earnings or less any loss, by the due date (including extensions) of your tax return for that year.</v>
      </c>
      <c r="I39" s="5259"/>
      <c r="J39" s="5253"/>
      <c r="K39" s="5253"/>
      <c r="L39" s="5241"/>
      <c r="M39" s="5241"/>
      <c r="N39" s="5241"/>
      <c r="O39" s="5241"/>
      <c r="P39" s="5241"/>
      <c r="Q39" s="5241"/>
      <c r="R39" s="5241"/>
      <c r="S39" s="5241"/>
      <c r="T39" s="5241"/>
      <c r="U39" s="5241"/>
      <c r="V39" s="5241"/>
      <c r="W39" s="5241"/>
      <c r="X39" s="5244"/>
      <c r="Y39" s="5232"/>
      <c r="Z39" s="5232"/>
    </row>
    <row r="40" spans="1:26" ht="15">
      <c r="A40" s="5230"/>
      <c r="B40" s="5239"/>
      <c r="C40" s="5241"/>
      <c r="D40" s="5241"/>
      <c r="E40" s="5241"/>
      <c r="F40" s="5241"/>
      <c r="G40" s="5263"/>
      <c r="H40" s="5259"/>
      <c r="I40" s="5259"/>
      <c r="J40" s="5253"/>
      <c r="K40" s="5253"/>
      <c r="L40" s="5241"/>
      <c r="M40" s="5241"/>
      <c r="N40" s="5241"/>
      <c r="O40" s="5241"/>
      <c r="P40" s="5241"/>
      <c r="Q40" s="5241"/>
      <c r="R40" s="5241"/>
      <c r="S40" s="5241"/>
      <c r="T40" s="5241"/>
      <c r="U40" s="5241"/>
      <c r="V40" s="5241"/>
      <c r="W40" s="5241"/>
      <c r="X40" s="5244"/>
      <c r="Y40" s="5232"/>
      <c r="Z40" s="5232"/>
    </row>
    <row r="41" spans="1:26" ht="15.75">
      <c r="A41" s="5230" t="b">
        <f>E41&lt;&gt;""</f>
        <v>0</v>
      </c>
      <c r="B41" s="5254"/>
      <c r="C41" s="5255"/>
      <c r="D41" s="5241"/>
      <c r="E41" s="5258"/>
      <c r="F41" s="5241"/>
      <c r="G41" s="5263" t="s">
        <v>198</v>
      </c>
      <c r="H41" s="5259" t="str">
        <f>"You made excess contributions to your IRA for an earlier year and had them returned to you in "&amp;TaxYear&amp;"."</f>
        <v>You made excess contributions to your IRA for an earlier year and had them returned to you in 2023.</v>
      </c>
      <c r="I41" s="5259"/>
      <c r="J41" s="5253"/>
      <c r="K41" s="5253"/>
      <c r="L41" s="5241"/>
      <c r="M41" s="5241"/>
      <c r="N41" s="5241"/>
      <c r="O41" s="5241"/>
      <c r="P41" s="5241"/>
      <c r="Q41" s="5241"/>
      <c r="R41" s="5241"/>
      <c r="S41" s="5241"/>
      <c r="T41" s="5241"/>
      <c r="U41" s="5241"/>
      <c r="V41" s="5241"/>
      <c r="W41" s="5241"/>
      <c r="X41" s="5244"/>
      <c r="Y41" s="5232"/>
      <c r="Z41" s="5232"/>
    </row>
    <row r="42" spans="1:26" ht="15">
      <c r="A42" s="5230"/>
      <c r="B42" s="5239"/>
      <c r="C42" s="5241"/>
      <c r="D42" s="5241"/>
      <c r="E42" s="5241"/>
      <c r="F42" s="5241"/>
      <c r="G42" s="5263"/>
      <c r="H42" s="5259"/>
      <c r="I42" s="5259"/>
      <c r="J42" s="5253"/>
      <c r="K42" s="5253"/>
      <c r="L42" s="5241"/>
      <c r="M42" s="5241"/>
      <c r="N42" s="5241"/>
      <c r="O42" s="5241"/>
      <c r="P42" s="5241"/>
      <c r="Q42" s="5241"/>
      <c r="R42" s="5241"/>
      <c r="S42" s="5241"/>
      <c r="T42" s="5241"/>
      <c r="U42" s="5241"/>
      <c r="V42" s="5241"/>
      <c r="W42" s="5241"/>
      <c r="X42" s="5244"/>
      <c r="Y42" s="5232"/>
      <c r="Z42" s="5232"/>
    </row>
    <row r="43" spans="1:26" ht="15.75">
      <c r="A43" s="5230" t="b">
        <f>E43&lt;&gt;""</f>
        <v>0</v>
      </c>
      <c r="B43" s="5254"/>
      <c r="C43" s="5255"/>
      <c r="D43" s="5241"/>
      <c r="E43" s="5258"/>
      <c r="F43" s="5241"/>
      <c r="G43" s="5263" t="s">
        <v>202</v>
      </c>
      <c r="H43" s="5259" t="s">
        <v>501</v>
      </c>
      <c r="I43" s="5259"/>
      <c r="J43" s="5253"/>
      <c r="K43" s="5253"/>
      <c r="L43" s="5241"/>
      <c r="M43" s="5241"/>
      <c r="N43" s="5241"/>
      <c r="O43" s="5241"/>
      <c r="P43" s="5241"/>
      <c r="Q43" s="5241"/>
      <c r="R43" s="5241"/>
      <c r="S43" s="5241"/>
      <c r="T43" s="5241"/>
      <c r="U43" s="5241"/>
      <c r="V43" s="5241"/>
      <c r="W43" s="5241"/>
      <c r="X43" s="5244"/>
      <c r="Y43" s="5232"/>
      <c r="Z43" s="5232"/>
    </row>
    <row r="44" spans="1:26" ht="15">
      <c r="A44" s="5230"/>
      <c r="B44" s="5239"/>
      <c r="C44" s="5241"/>
      <c r="D44" s="5241"/>
      <c r="E44" s="5241"/>
      <c r="F44" s="5241"/>
      <c r="G44" s="5263"/>
      <c r="H44" s="5259"/>
      <c r="I44" s="5259"/>
      <c r="J44" s="5253"/>
      <c r="K44" s="5253"/>
      <c r="L44" s="5241"/>
      <c r="M44" s="5241"/>
      <c r="N44" s="5241"/>
      <c r="O44" s="5241"/>
      <c r="P44" s="5241"/>
      <c r="Q44" s="5241"/>
      <c r="R44" s="5241"/>
      <c r="S44" s="5241"/>
      <c r="T44" s="5241"/>
      <c r="U44" s="5241"/>
      <c r="V44" s="5241"/>
      <c r="W44" s="5241"/>
      <c r="X44" s="5244"/>
      <c r="Y44" s="5232"/>
      <c r="Z44" s="5232"/>
    </row>
    <row r="45" spans="1:26" ht="15">
      <c r="A45" s="5230"/>
      <c r="B45" s="5239"/>
      <c r="C45" s="5241"/>
      <c r="D45" s="5241"/>
      <c r="E45" s="5241"/>
      <c r="F45" s="5241"/>
      <c r="G45" s="5263"/>
      <c r="H45" s="5259"/>
      <c r="I45" s="5259"/>
      <c r="J45" s="5253"/>
      <c r="K45" s="5253"/>
      <c r="L45" s="5241"/>
      <c r="M45" s="5241"/>
      <c r="N45" s="5241"/>
      <c r="O45" s="5241"/>
      <c r="P45" s="5241"/>
      <c r="Q45" s="5241"/>
      <c r="R45" s="5241"/>
      <c r="S45" s="5241"/>
      <c r="T45" s="5241"/>
      <c r="U45" s="5241"/>
      <c r="V45" s="5241"/>
      <c r="W45" s="5241"/>
      <c r="X45" s="5244"/>
      <c r="Y45" s="5232"/>
      <c r="Z45" s="5232"/>
    </row>
    <row r="46" spans="1:26" ht="15.75">
      <c r="A46" s="5230" t="b">
        <f>OR(A48,AND(A49,NOT(A27)))</f>
        <v>0</v>
      </c>
      <c r="B46" s="5239"/>
      <c r="C46" s="5241"/>
      <c r="D46" s="5251" t="str">
        <f>IF(A46,"X","")</f>
        <v/>
      </c>
      <c r="E46" s="5241"/>
      <c r="F46" s="5241"/>
      <c r="G46" s="5252" t="s">
        <v>502</v>
      </c>
      <c r="H46" s="5259" t="s">
        <v>503</v>
      </c>
      <c r="I46" s="5259"/>
      <c r="J46" s="5241"/>
      <c r="K46" s="5241"/>
      <c r="L46" s="5241"/>
      <c r="M46" s="5241"/>
      <c r="N46" s="5241"/>
      <c r="O46" s="5241"/>
      <c r="P46" s="5264" t="str">
        <f>IF(IRA_QCD," Enter the total distribution on line 4a","enter the total distribution on line 4a.")</f>
        <v>enter the total distribution on line 4a.</v>
      </c>
      <c r="Q46" s="5241"/>
      <c r="R46" s="5241"/>
      <c r="S46" s="5241"/>
      <c r="T46" s="5241"/>
      <c r="U46" s="5241"/>
      <c r="V46" s="5241"/>
      <c r="W46" s="5241"/>
      <c r="X46" s="5244"/>
      <c r="Y46" s="5232"/>
      <c r="Z46" s="5232"/>
    </row>
    <row r="47" spans="1:26" ht="15">
      <c r="A47" s="5230"/>
      <c r="B47" s="5239"/>
      <c r="C47" s="5241"/>
      <c r="D47" s="5241"/>
      <c r="E47" s="5241"/>
      <c r="F47" s="5241"/>
      <c r="G47" s="5253"/>
      <c r="H47" s="5241"/>
      <c r="I47" s="5241"/>
      <c r="J47" s="5241"/>
      <c r="K47" s="5241"/>
      <c r="L47" s="5241"/>
      <c r="M47" s="5241"/>
      <c r="N47" s="5241"/>
      <c r="O47" s="5241"/>
      <c r="P47" s="5241"/>
      <c r="Q47" s="5241"/>
      <c r="R47" s="5241"/>
      <c r="S47" s="5241"/>
      <c r="T47" s="5241"/>
      <c r="U47" s="5241"/>
      <c r="V47" s="5241"/>
      <c r="W47" s="5241"/>
      <c r="X47" s="5244"/>
      <c r="Y47" s="5232"/>
      <c r="Z47" s="5232"/>
    </row>
    <row r="48" spans="1:26" ht="15.75">
      <c r="A48" s="5230" t="b">
        <f>F48&lt;&gt;""</f>
        <v>0</v>
      </c>
      <c r="B48" s="5254"/>
      <c r="C48" s="5255"/>
      <c r="D48" s="5241"/>
      <c r="E48" s="5241"/>
      <c r="F48" s="5258"/>
      <c r="G48" s="5263" t="s">
        <v>167</v>
      </c>
      <c r="H48" s="5264" t="s">
        <v>504</v>
      </c>
      <c r="I48" s="5241"/>
      <c r="J48" s="5241"/>
      <c r="K48" s="5241"/>
      <c r="L48" s="5266" t="str">
        <f>IF(A48,"enter -0- on line 4b","enter -0- on line 4b.")</f>
        <v>enter -0- on line 4b.</v>
      </c>
      <c r="M48" s="5241"/>
      <c r="N48" s="5241"/>
      <c r="O48" s="5241"/>
      <c r="P48" s="5241"/>
      <c r="Q48" s="5241"/>
      <c r="R48" s="5241"/>
      <c r="S48" s="5241"/>
      <c r="T48" s="5241"/>
      <c r="U48" s="5241"/>
      <c r="V48" s="5241"/>
      <c r="W48" s="5241"/>
      <c r="X48" s="5244"/>
      <c r="Y48" s="5232"/>
      <c r="Z48" s="5232"/>
    </row>
    <row r="49" spans="1:26" ht="15.75">
      <c r="A49" s="5230" t="b">
        <f>F49&lt;&gt;""</f>
        <v>0</v>
      </c>
      <c r="B49" s="5254"/>
      <c r="C49" s="5255"/>
      <c r="D49" s="5241"/>
      <c r="E49" s="5241"/>
      <c r="F49" s="5258"/>
      <c r="G49" s="5263" t="s">
        <v>171</v>
      </c>
      <c r="H49" s="5264" t="s">
        <v>505</v>
      </c>
      <c r="I49" s="5241"/>
      <c r="J49" s="5241"/>
      <c r="K49" s="5241"/>
      <c r="L49" s="5264" t="s">
        <v>506</v>
      </c>
      <c r="M49" s="5241"/>
      <c r="N49" s="5241"/>
      <c r="O49" s="5241"/>
      <c r="P49" s="5241"/>
      <c r="Q49" s="5241"/>
      <c r="R49" s="5246" t="s">
        <v>5722</v>
      </c>
      <c r="S49" s="5241"/>
      <c r="T49" s="5241"/>
      <c r="U49" s="5241"/>
      <c r="V49" s="5241"/>
      <c r="W49" s="5241"/>
      <c r="X49" s="5244"/>
      <c r="Y49" s="5232"/>
      <c r="Z49" s="5232"/>
    </row>
    <row r="50" spans="1:26" ht="15">
      <c r="A50" s="5230"/>
      <c r="B50" s="5239"/>
      <c r="C50" s="5241"/>
      <c r="D50" s="5241"/>
      <c r="E50" s="5241"/>
      <c r="F50" s="5241"/>
      <c r="G50" s="5263"/>
      <c r="H50" s="5264" t="str">
        <f>IF(AND(IRA_QCD,NOT(A27)),"enter “QCD” next to line 4b.","Enter “QCD” next to line 4b.")</f>
        <v>Enter “QCD” next to line 4b.</v>
      </c>
      <c r="I50" s="5241"/>
      <c r="J50" s="5241"/>
      <c r="K50" s="5241"/>
      <c r="L50" s="5241"/>
      <c r="M50" s="5241"/>
      <c r="N50" s="5241"/>
      <c r="O50" s="5241"/>
      <c r="P50" s="5241"/>
      <c r="Q50" s="5241"/>
      <c r="R50" s="5241"/>
      <c r="S50" s="5241"/>
      <c r="T50" s="5241"/>
      <c r="U50" s="5241"/>
      <c r="V50" s="5241"/>
      <c r="W50" s="5241"/>
      <c r="X50" s="5244"/>
      <c r="Y50" s="5232"/>
      <c r="Z50" s="5232"/>
    </row>
    <row r="51" spans="1:26" ht="15">
      <c r="A51" s="5230"/>
      <c r="B51" s="5239"/>
      <c r="C51" s="5241"/>
      <c r="D51" s="5241"/>
      <c r="E51" s="5241"/>
      <c r="F51" s="5241"/>
      <c r="G51" s="5241"/>
      <c r="H51" s="5253"/>
      <c r="I51" s="5241"/>
      <c r="J51" s="5241"/>
      <c r="K51" s="5241"/>
      <c r="L51" s="5241"/>
      <c r="M51" s="5241"/>
      <c r="N51" s="5241"/>
      <c r="O51" s="5241"/>
      <c r="P51" s="5241"/>
      <c r="Q51" s="5241"/>
      <c r="R51" s="5241"/>
      <c r="S51" s="5241"/>
      <c r="T51" s="5241"/>
      <c r="U51" s="5241"/>
      <c r="V51" s="5241"/>
      <c r="W51" s="5241"/>
      <c r="X51" s="5244"/>
      <c r="Y51" s="5232"/>
      <c r="Z51" s="5232"/>
    </row>
    <row r="52" spans="1:26" ht="15">
      <c r="A52" s="5230"/>
      <c r="B52" s="5239"/>
      <c r="C52" s="5241"/>
      <c r="D52" s="5241"/>
      <c r="E52" s="5241"/>
      <c r="F52" s="5241"/>
      <c r="G52" s="5241"/>
      <c r="H52" s="5264" t="s">
        <v>507</v>
      </c>
      <c r="I52" s="5241"/>
      <c r="J52" s="5241"/>
      <c r="K52" s="5241"/>
      <c r="L52" s="5241"/>
      <c r="M52" s="5241"/>
      <c r="N52" s="5241"/>
      <c r="O52" s="5241"/>
      <c r="P52" s="5241"/>
      <c r="Q52" s="5241"/>
      <c r="R52" s="5241"/>
      <c r="S52" s="5241"/>
      <c r="T52" s="5241"/>
      <c r="U52" s="5241"/>
      <c r="V52" s="5241"/>
      <c r="W52" s="5241"/>
      <c r="X52" s="5244"/>
      <c r="Y52" s="5232"/>
      <c r="Z52" s="5232"/>
    </row>
    <row r="53" spans="1:26" ht="15">
      <c r="A53" s="5230"/>
      <c r="B53" s="5239"/>
      <c r="C53" s="5241"/>
      <c r="D53" s="5241"/>
      <c r="E53" s="5241"/>
      <c r="F53" s="5241"/>
      <c r="G53" s="5241"/>
      <c r="H53" s="5264" t="s">
        <v>508</v>
      </c>
      <c r="I53" s="5241"/>
      <c r="J53" s="5241"/>
      <c r="K53" s="5241"/>
      <c r="L53" s="5241"/>
      <c r="M53" s="5241"/>
      <c r="N53" s="5241"/>
      <c r="O53" s="5241"/>
      <c r="P53" s="5241"/>
      <c r="Q53" s="5241"/>
      <c r="R53" s="5241"/>
      <c r="S53" s="5241"/>
      <c r="T53" s="5241"/>
      <c r="U53" s="5241"/>
      <c r="V53" s="5241"/>
      <c r="W53" s="5241"/>
      <c r="X53" s="5244"/>
      <c r="Y53" s="5232"/>
      <c r="Z53" s="5232"/>
    </row>
    <row r="54" spans="1:26" ht="15">
      <c r="A54" s="5230"/>
      <c r="B54" s="5239"/>
      <c r="C54" s="5241"/>
      <c r="D54" s="5241"/>
      <c r="E54" s="5241"/>
      <c r="F54" s="5241"/>
      <c r="G54" s="5241"/>
      <c r="H54" s="5264"/>
      <c r="I54" s="5241"/>
      <c r="J54" s="5241"/>
      <c r="K54" s="5241"/>
      <c r="L54" s="5241"/>
      <c r="M54" s="5241"/>
      <c r="N54" s="5241"/>
      <c r="O54" s="5241"/>
      <c r="P54" s="5241"/>
      <c r="Q54" s="5241"/>
      <c r="R54" s="5241"/>
      <c r="S54" s="5241"/>
      <c r="T54" s="5241"/>
      <c r="U54" s="5241"/>
      <c r="V54" s="5241"/>
      <c r="W54" s="5241"/>
      <c r="X54" s="5244"/>
      <c r="Y54" s="5232"/>
      <c r="Z54" s="5232"/>
    </row>
    <row r="55" spans="1:26" ht="15">
      <c r="A55" s="5230"/>
      <c r="B55" s="5239"/>
      <c r="C55" s="5241"/>
      <c r="D55" s="5241"/>
      <c r="E55" s="5241"/>
      <c r="F55" s="5241"/>
      <c r="G55" s="5241"/>
      <c r="H55" s="5253" t="s">
        <v>5724</v>
      </c>
      <c r="I55" s="5241"/>
      <c r="J55" s="5241"/>
      <c r="K55" s="5241"/>
      <c r="L55" s="5241"/>
      <c r="M55" s="5241"/>
      <c r="N55" s="5241"/>
      <c r="O55" s="5241"/>
      <c r="P55" s="5241"/>
      <c r="Q55" s="5241"/>
      <c r="R55" s="5241"/>
      <c r="S55" s="5241"/>
      <c r="T55" s="5241"/>
      <c r="U55" s="5241"/>
      <c r="V55" s="5241"/>
      <c r="W55" s="5241"/>
      <c r="X55" s="5244"/>
      <c r="Y55" s="5232"/>
      <c r="Z55" s="5232"/>
    </row>
    <row r="56" spans="1:26" ht="15">
      <c r="A56" s="5230"/>
      <c r="B56" s="5239"/>
      <c r="C56" s="5241"/>
      <c r="D56" s="5241"/>
      <c r="E56" s="5241"/>
      <c r="F56" s="5241"/>
      <c r="G56" s="5241"/>
      <c r="H56" s="5253" t="s">
        <v>5725</v>
      </c>
      <c r="I56" s="5241"/>
      <c r="J56" s="5241"/>
      <c r="K56" s="5241"/>
      <c r="L56" s="5241"/>
      <c r="M56" s="5241"/>
      <c r="N56" s="5241"/>
      <c r="O56" s="5241"/>
      <c r="P56" s="5241"/>
      <c r="Q56" s="5241"/>
      <c r="R56" s="5241"/>
      <c r="S56" s="5241"/>
      <c r="T56" s="5241"/>
      <c r="U56" s="5241"/>
      <c r="V56" s="5241"/>
      <c r="W56" s="5241"/>
      <c r="X56" s="5244"/>
      <c r="Y56" s="5232"/>
      <c r="Z56" s="5232"/>
    </row>
    <row r="57" spans="1:26" ht="15">
      <c r="A57" s="5230"/>
      <c r="B57" s="5239"/>
      <c r="C57" s="5241"/>
      <c r="D57" s="5241"/>
      <c r="E57" s="5241"/>
      <c r="F57" s="5241"/>
      <c r="G57" s="5241"/>
      <c r="H57" s="5253"/>
      <c r="I57" s="5241"/>
      <c r="J57" s="5241"/>
      <c r="K57" s="5241"/>
      <c r="L57" s="5241"/>
      <c r="M57" s="5241"/>
      <c r="N57" s="5241"/>
      <c r="O57" s="5241"/>
      <c r="P57" s="5241"/>
      <c r="Q57" s="5241"/>
      <c r="R57" s="5241"/>
      <c r="S57" s="5241"/>
      <c r="T57" s="5241"/>
      <c r="U57" s="5241"/>
      <c r="V57" s="5241"/>
      <c r="W57" s="5241"/>
      <c r="X57" s="5244"/>
      <c r="Y57" s="5232"/>
      <c r="Z57" s="5232"/>
    </row>
    <row r="58" spans="1:26" ht="15">
      <c r="A58" s="5230"/>
      <c r="B58" s="5239"/>
      <c r="C58" s="5241"/>
      <c r="D58" s="5241"/>
      <c r="E58" s="5241"/>
      <c r="F58" s="5241"/>
      <c r="G58" s="5241"/>
      <c r="H58" s="5253" t="s">
        <v>509</v>
      </c>
      <c r="I58" s="5241"/>
      <c r="J58" s="5241"/>
      <c r="K58" s="5241"/>
      <c r="L58" s="5241"/>
      <c r="M58" s="5241"/>
      <c r="N58" s="5241"/>
      <c r="O58" s="5241"/>
      <c r="P58" s="5241"/>
      <c r="Q58" s="5241"/>
      <c r="R58" s="5241"/>
      <c r="S58" s="5241"/>
      <c r="T58" s="5241"/>
      <c r="U58" s="5241"/>
      <c r="V58" s="5241"/>
      <c r="W58" s="5241"/>
      <c r="X58" s="5244"/>
      <c r="Y58" s="5232"/>
      <c r="Z58" s="5232"/>
    </row>
    <row r="59" spans="1:26" ht="15">
      <c r="A59" s="5230"/>
      <c r="B59" s="5239"/>
      <c r="C59" s="5241"/>
      <c r="D59" s="5241"/>
      <c r="E59" s="5241"/>
      <c r="F59" s="5241"/>
      <c r="G59" s="5241"/>
      <c r="H59" s="5253"/>
      <c r="I59" s="5241"/>
      <c r="J59" s="5241"/>
      <c r="K59" s="5241"/>
      <c r="L59" s="5241"/>
      <c r="M59" s="5241"/>
      <c r="N59" s="5241"/>
      <c r="O59" s="5241"/>
      <c r="P59" s="5241"/>
      <c r="Q59" s="5241"/>
      <c r="R59" s="5241"/>
      <c r="S59" s="5241"/>
      <c r="T59" s="5241"/>
      <c r="U59" s="5241"/>
      <c r="V59" s="5241"/>
      <c r="W59" s="5241"/>
      <c r="X59" s="5244"/>
      <c r="Y59" s="5232"/>
      <c r="Z59" s="5232"/>
    </row>
    <row r="60" spans="1:26" ht="15">
      <c r="A60" s="5230"/>
      <c r="B60" s="5239"/>
      <c r="C60" s="5241"/>
      <c r="D60" s="5241"/>
      <c r="E60" s="5241"/>
      <c r="F60" s="5241"/>
      <c r="G60" s="5241"/>
      <c r="H60" s="5253" t="s">
        <v>510</v>
      </c>
      <c r="I60" s="5241"/>
      <c r="J60" s="5241"/>
      <c r="K60" s="5241"/>
      <c r="L60" s="5241"/>
      <c r="M60" s="5241"/>
      <c r="N60" s="5241"/>
      <c r="O60" s="5241"/>
      <c r="P60" s="5241"/>
      <c r="Q60" s="5241"/>
      <c r="R60" s="5241"/>
      <c r="S60" s="5241"/>
      <c r="T60" s="5241"/>
      <c r="U60" s="5241"/>
      <c r="V60" s="5241"/>
      <c r="W60" s="5241"/>
      <c r="X60" s="5244"/>
      <c r="Y60" s="5232"/>
      <c r="Z60" s="5232"/>
    </row>
    <row r="61" spans="1:26" ht="15.75">
      <c r="A61" s="5230"/>
      <c r="B61" s="5239"/>
      <c r="C61" s="5241"/>
      <c r="D61" s="5241"/>
      <c r="E61" s="5241"/>
      <c r="F61" s="5241"/>
      <c r="G61" s="6049" t="s">
        <v>5727</v>
      </c>
      <c r="H61" s="6048" t="s">
        <v>511</v>
      </c>
      <c r="I61" s="5241"/>
      <c r="J61" s="5241"/>
      <c r="K61" s="5241"/>
      <c r="L61" s="5241"/>
      <c r="M61" s="5241"/>
      <c r="N61" s="5241"/>
      <c r="O61" s="5241"/>
      <c r="P61" s="5241"/>
      <c r="Q61" s="5241"/>
      <c r="R61" s="5241"/>
      <c r="S61" s="5241"/>
      <c r="T61" s="5241"/>
      <c r="U61" s="5241"/>
      <c r="V61" s="5241"/>
      <c r="W61" s="5241"/>
      <c r="X61" s="5244"/>
      <c r="Y61" s="5232"/>
      <c r="Z61" s="5232"/>
    </row>
    <row r="62" spans="1:26" ht="15">
      <c r="A62" s="5230"/>
      <c r="B62" s="5239"/>
      <c r="C62" s="5241"/>
      <c r="D62" s="5241"/>
      <c r="E62" s="5241"/>
      <c r="F62" s="5241"/>
      <c r="G62" s="5253"/>
      <c r="H62" s="5241"/>
      <c r="I62" s="5241"/>
      <c r="J62" s="5241"/>
      <c r="K62" s="5241"/>
      <c r="L62" s="5241"/>
      <c r="M62" s="5241"/>
      <c r="N62" s="5241"/>
      <c r="O62" s="5241"/>
      <c r="P62" s="5241"/>
      <c r="Q62" s="5241"/>
      <c r="R62" s="5241"/>
      <c r="S62" s="5241"/>
      <c r="T62" s="5241"/>
      <c r="U62" s="5241"/>
      <c r="V62" s="5241"/>
      <c r="W62" s="5241"/>
      <c r="X62" s="5244"/>
      <c r="Y62" s="5232"/>
      <c r="Z62" s="5232"/>
    </row>
    <row r="63" spans="1:26" ht="15">
      <c r="A63" s="5230"/>
      <c r="B63" s="5239"/>
      <c r="C63" s="5241"/>
      <c r="D63" s="5241"/>
      <c r="E63" s="5241"/>
      <c r="F63" s="5241"/>
      <c r="G63" s="5253"/>
      <c r="H63" s="5241"/>
      <c r="I63" s="5241"/>
      <c r="J63" s="5241"/>
      <c r="K63" s="5241"/>
      <c r="L63" s="5241"/>
      <c r="M63" s="5241"/>
      <c r="N63" s="5241"/>
      <c r="O63" s="5241"/>
      <c r="P63" s="5241"/>
      <c r="Q63" s="5241"/>
      <c r="R63" s="5241"/>
      <c r="S63" s="5241"/>
      <c r="T63" s="5241"/>
      <c r="U63" s="5241"/>
      <c r="V63" s="5241"/>
      <c r="W63" s="5241"/>
      <c r="X63" s="5244"/>
      <c r="Y63" s="5232"/>
      <c r="Z63" s="5232"/>
    </row>
    <row r="64" spans="1:26" ht="15.75">
      <c r="A64" s="5230" t="b">
        <f>OR(A66,AND(A67,NOT(A27)))</f>
        <v>0</v>
      </c>
      <c r="B64" s="5239"/>
      <c r="C64" s="5241"/>
      <c r="D64" s="5251" t="str">
        <f>IF(A64,"X","")</f>
        <v/>
      </c>
      <c r="E64" s="5241"/>
      <c r="F64" s="5241"/>
      <c r="G64" s="5252" t="s">
        <v>512</v>
      </c>
      <c r="H64" s="5253" t="s">
        <v>513</v>
      </c>
      <c r="I64" s="5241"/>
      <c r="J64" s="5241"/>
      <c r="K64" s="5241"/>
      <c r="L64" s="5241"/>
      <c r="M64" s="5241"/>
      <c r="N64" s="5241"/>
      <c r="O64" s="5241"/>
      <c r="P64" s="5241"/>
      <c r="Q64" s="5241"/>
      <c r="R64" s="5253"/>
      <c r="S64" s="5253" t="str">
        <f>IF(AND(IRA_HFD,NOT(A27)),"Enter the total distribution on line 4a","enter the total distribution on line 4a.")</f>
        <v>enter the total distribution on line 4a.</v>
      </c>
      <c r="T64" s="5241"/>
      <c r="U64" s="5241"/>
      <c r="V64" s="5241"/>
      <c r="W64" s="5241"/>
      <c r="X64" s="5244"/>
      <c r="Y64" s="5232"/>
      <c r="Z64" s="5232"/>
    </row>
    <row r="65" spans="1:26" ht="15.75">
      <c r="A65" s="5230"/>
      <c r="B65" s="5239"/>
      <c r="C65" s="5241"/>
      <c r="D65" s="5241"/>
      <c r="E65" s="5241"/>
      <c r="F65" s="5241"/>
      <c r="G65" s="5252"/>
      <c r="H65" s="5253"/>
      <c r="I65" s="5241"/>
      <c r="J65" s="5241"/>
      <c r="K65" s="5241"/>
      <c r="L65" s="5241"/>
      <c r="M65" s="5241"/>
      <c r="N65" s="5241"/>
      <c r="O65" s="5241"/>
      <c r="P65" s="5241"/>
      <c r="Q65" s="5241"/>
      <c r="R65" s="5241"/>
      <c r="S65" s="5241"/>
      <c r="T65" s="5241"/>
      <c r="U65" s="5241"/>
      <c r="V65" s="5241"/>
      <c r="W65" s="5241"/>
      <c r="X65" s="5244"/>
      <c r="Y65" s="5232"/>
      <c r="Z65" s="5232"/>
    </row>
    <row r="66" spans="1:26" ht="15.75">
      <c r="A66" s="5230" t="b">
        <f>F66&lt;&gt;""</f>
        <v>0</v>
      </c>
      <c r="B66" s="5254"/>
      <c r="C66" s="5255"/>
      <c r="D66" s="5241"/>
      <c r="E66" s="5241"/>
      <c r="F66" s="5258"/>
      <c r="G66" s="5263" t="s">
        <v>167</v>
      </c>
      <c r="H66" s="5253" t="s">
        <v>514</v>
      </c>
      <c r="I66" s="5241"/>
      <c r="J66" s="5241"/>
      <c r="K66" s="5241"/>
      <c r="L66" s="5241"/>
      <c r="M66" s="5241"/>
      <c r="N66" s="5241"/>
      <c r="O66" s="5241"/>
      <c r="P66" s="5253"/>
      <c r="Q66" s="5253" t="str">
        <f>IF(AND(IRA_HFD,NOT(A27)),"enter -0- on line 4b","enter -0- on line 4b.")</f>
        <v>enter -0- on line 4b.</v>
      </c>
      <c r="R66" s="5241"/>
      <c r="S66" s="5241"/>
      <c r="T66" s="5241"/>
      <c r="U66" s="5241"/>
      <c r="V66" s="5241"/>
      <c r="W66" s="5241"/>
      <c r="X66" s="5244"/>
      <c r="Y66" s="5232"/>
      <c r="Z66" s="5232"/>
    </row>
    <row r="67" spans="1:26" ht="15.75">
      <c r="A67" s="5230" t="b">
        <f>F67&lt;&gt;""</f>
        <v>0</v>
      </c>
      <c r="B67" s="5254"/>
      <c r="C67" s="5255"/>
      <c r="D67" s="5241"/>
      <c r="E67" s="5241"/>
      <c r="F67" s="5258"/>
      <c r="G67" s="5263" t="s">
        <v>171</v>
      </c>
      <c r="H67" s="5253" t="s">
        <v>515</v>
      </c>
      <c r="I67" s="5241"/>
      <c r="J67" s="5241"/>
      <c r="K67" s="5241"/>
      <c r="L67" s="5241"/>
      <c r="M67" s="5241"/>
      <c r="N67" s="5241"/>
      <c r="O67" s="5241"/>
      <c r="P67" s="5241"/>
      <c r="Q67" s="5253"/>
      <c r="R67" s="5241"/>
      <c r="S67" s="5241"/>
      <c r="T67" s="5241"/>
      <c r="U67" s="5241"/>
      <c r="V67" s="5241"/>
      <c r="W67" s="5241"/>
      <c r="X67" s="5244"/>
      <c r="Y67" s="5232"/>
      <c r="Z67" s="5232"/>
    </row>
    <row r="68" spans="1:26" ht="15">
      <c r="A68" s="5234"/>
      <c r="B68" s="5239"/>
      <c r="C68" s="5241"/>
      <c r="D68" s="5241"/>
      <c r="E68" s="5241"/>
      <c r="F68" s="5241"/>
      <c r="G68" s="5263"/>
      <c r="H68" s="5253" t="s">
        <v>516</v>
      </c>
      <c r="I68" s="5241"/>
      <c r="J68" s="5241"/>
      <c r="K68" s="5241"/>
      <c r="L68" s="5241"/>
      <c r="M68" s="5253" t="s">
        <v>5726</v>
      </c>
      <c r="N68" s="5241"/>
      <c r="O68" s="5241"/>
      <c r="P68" s="5241"/>
      <c r="Q68" s="5253"/>
      <c r="R68" s="5241"/>
      <c r="S68" s="5241"/>
      <c r="T68" s="5241"/>
      <c r="U68" s="5241"/>
      <c r="V68" s="5241"/>
      <c r="W68" s="5241"/>
      <c r="X68" s="5244"/>
      <c r="Y68" s="5232"/>
      <c r="Z68" s="5232"/>
    </row>
    <row r="69" spans="1:26" ht="15">
      <c r="A69" s="5234"/>
      <c r="B69" s="5239"/>
      <c r="C69" s="5241"/>
      <c r="D69" s="5241"/>
      <c r="E69" s="5241"/>
      <c r="F69" s="5241"/>
      <c r="G69" s="5263"/>
      <c r="H69" s="5253" t="str">
        <f>IF(AND(IRA_HFD,NOT(A27)),"enter “HFD” next to line 4b.","Enter “HFD” next to line 4b.")</f>
        <v>Enter “HFD” next to line 4b.</v>
      </c>
      <c r="I69" s="5241"/>
      <c r="J69" s="5241"/>
      <c r="K69" s="5241"/>
      <c r="L69" s="5241"/>
      <c r="M69" s="5241"/>
      <c r="N69" s="5241"/>
      <c r="O69" s="5241"/>
      <c r="P69" s="5241"/>
      <c r="Q69" s="5241"/>
      <c r="R69" s="5241"/>
      <c r="S69" s="5241"/>
      <c r="T69" s="5241"/>
      <c r="U69" s="5241"/>
      <c r="V69" s="5241"/>
      <c r="W69" s="5241"/>
      <c r="X69" s="5244"/>
      <c r="Y69" s="5232"/>
      <c r="Z69" s="5232"/>
    </row>
    <row r="70" spans="1:26" ht="15">
      <c r="A70" s="5234"/>
      <c r="B70" s="5239"/>
      <c r="C70" s="5241"/>
      <c r="D70" s="5241"/>
      <c r="E70" s="5241"/>
      <c r="F70" s="5241"/>
      <c r="G70" s="5263"/>
      <c r="H70" s="5253"/>
      <c r="I70" s="5241"/>
      <c r="J70" s="5241"/>
      <c r="K70" s="5241"/>
      <c r="L70" s="5241"/>
      <c r="M70" s="5241"/>
      <c r="N70" s="5241"/>
      <c r="O70" s="5241"/>
      <c r="P70" s="5241"/>
      <c r="Q70" s="5241"/>
      <c r="R70" s="5241"/>
      <c r="S70" s="5241"/>
      <c r="T70" s="5241"/>
      <c r="U70" s="5241"/>
      <c r="V70" s="5241"/>
      <c r="W70" s="5241"/>
      <c r="X70" s="5244"/>
      <c r="Y70" s="5232"/>
      <c r="Z70" s="5232"/>
    </row>
    <row r="71" spans="1:26" ht="15">
      <c r="A71" s="5234"/>
      <c r="B71" s="5239"/>
      <c r="C71" s="5241"/>
      <c r="D71" s="5241"/>
      <c r="E71" s="5241"/>
      <c r="F71" s="5241"/>
      <c r="G71" s="5253"/>
      <c r="H71" s="5253" t="s">
        <v>517</v>
      </c>
      <c r="I71" s="5241"/>
      <c r="J71" s="5241"/>
      <c r="K71" s="5241"/>
      <c r="L71" s="5241"/>
      <c r="M71" s="5241"/>
      <c r="N71" s="5241"/>
      <c r="O71" s="5241"/>
      <c r="P71" s="5241"/>
      <c r="Q71" s="5241"/>
      <c r="R71" s="5241"/>
      <c r="S71" s="5241"/>
      <c r="T71" s="5241"/>
      <c r="U71" s="5241"/>
      <c r="V71" s="5241"/>
      <c r="W71" s="5241"/>
      <c r="X71" s="5244"/>
      <c r="Y71" s="5232"/>
      <c r="Z71" s="5232"/>
    </row>
    <row r="72" spans="1:26" ht="15">
      <c r="A72" s="5234"/>
      <c r="B72" s="5239"/>
      <c r="C72" s="5241"/>
      <c r="D72" s="5241"/>
      <c r="E72" s="5241"/>
      <c r="F72" s="5241"/>
      <c r="G72" s="5253"/>
      <c r="H72" s="5253" t="s">
        <v>518</v>
      </c>
      <c r="I72" s="5241"/>
      <c r="J72" s="5241"/>
      <c r="K72" s="5241"/>
      <c r="L72" s="5241"/>
      <c r="M72" s="5241"/>
      <c r="N72" s="5241"/>
      <c r="O72" s="5241"/>
      <c r="P72" s="5241"/>
      <c r="Q72" s="5241"/>
      <c r="R72" s="5241"/>
      <c r="S72" s="5241"/>
      <c r="T72" s="5241"/>
      <c r="U72" s="5241"/>
      <c r="V72" s="5241"/>
      <c r="W72" s="5241"/>
      <c r="X72" s="5244"/>
      <c r="Y72" s="5232"/>
      <c r="Z72" s="5232"/>
    </row>
    <row r="73" spans="1:26" ht="15">
      <c r="A73" s="5234"/>
      <c r="B73" s="5239"/>
      <c r="C73" s="5241"/>
      <c r="D73" s="5241"/>
      <c r="E73" s="5241"/>
      <c r="F73" s="5241"/>
      <c r="G73" s="5253"/>
      <c r="H73" s="5253" t="s">
        <v>519</v>
      </c>
      <c r="I73" s="5241"/>
      <c r="J73" s="5241"/>
      <c r="K73" s="5241"/>
      <c r="L73" s="5241"/>
      <c r="M73" s="5241"/>
      <c r="N73" s="5241"/>
      <c r="O73" s="5241"/>
      <c r="P73" s="5241"/>
      <c r="Q73" s="5241"/>
      <c r="R73" s="5241"/>
      <c r="S73" s="5241"/>
      <c r="T73" s="5241"/>
      <c r="U73" s="5241"/>
      <c r="V73" s="5241"/>
      <c r="W73" s="5241"/>
      <c r="X73" s="5244"/>
      <c r="Y73" s="5232"/>
      <c r="Z73" s="5232"/>
    </row>
    <row r="74" spans="1:26" ht="15">
      <c r="A74" s="5234"/>
      <c r="B74" s="5239"/>
      <c r="C74" s="5241"/>
      <c r="D74" s="5241"/>
      <c r="E74" s="5241"/>
      <c r="F74" s="5241"/>
      <c r="G74" s="5253"/>
      <c r="H74" s="5253" t="s">
        <v>520</v>
      </c>
      <c r="I74" s="5241"/>
      <c r="J74" s="5241"/>
      <c r="K74" s="5241"/>
      <c r="L74" s="5241"/>
      <c r="M74" s="5241"/>
      <c r="N74" s="5241"/>
      <c r="O74" s="5241"/>
      <c r="P74" s="5241"/>
      <c r="Q74" s="5241"/>
      <c r="R74" s="5241"/>
      <c r="S74" s="5241"/>
      <c r="T74" s="5241"/>
      <c r="U74" s="5241"/>
      <c r="V74" s="5241"/>
      <c r="W74" s="5241"/>
      <c r="X74" s="5244"/>
      <c r="Y74" s="5232"/>
      <c r="Z74" s="5232"/>
    </row>
    <row r="75" spans="1:26" ht="15">
      <c r="A75" s="5234"/>
      <c r="B75" s="5239"/>
      <c r="C75" s="5241"/>
      <c r="D75" s="5241"/>
      <c r="E75" s="5241"/>
      <c r="F75" s="5241"/>
      <c r="G75" s="5253"/>
      <c r="H75" s="5253"/>
      <c r="I75" s="5241"/>
      <c r="J75" s="5241"/>
      <c r="K75" s="5241"/>
      <c r="L75" s="5241"/>
      <c r="M75" s="5241"/>
      <c r="N75" s="5241"/>
      <c r="O75" s="5241"/>
      <c r="P75" s="5241"/>
      <c r="Q75" s="5241"/>
      <c r="R75" s="5241"/>
      <c r="S75" s="5241"/>
      <c r="T75" s="5241"/>
      <c r="U75" s="5241"/>
      <c r="V75" s="5241"/>
      <c r="W75" s="5241"/>
      <c r="X75" s="5244"/>
      <c r="Y75" s="5232"/>
      <c r="Z75" s="5232"/>
    </row>
    <row r="76" spans="1:26" ht="15">
      <c r="A76" s="5230"/>
      <c r="B76" s="5239"/>
      <c r="C76" s="5241"/>
      <c r="D76" s="5241"/>
      <c r="E76" s="5241"/>
      <c r="F76" s="5241"/>
      <c r="G76" s="6049" t="s">
        <v>521</v>
      </c>
      <c r="H76" s="5267" t="s">
        <v>522</v>
      </c>
      <c r="I76" s="5241"/>
      <c r="J76" s="5241"/>
      <c r="K76" s="5241"/>
      <c r="L76" s="5241"/>
      <c r="M76" s="5241"/>
      <c r="N76" s="5241"/>
      <c r="O76" s="5241"/>
      <c r="P76" s="5241"/>
      <c r="Q76" s="5241"/>
      <c r="R76" s="5241"/>
      <c r="S76" s="5241"/>
      <c r="T76" s="5241"/>
      <c r="U76" s="5241"/>
      <c r="V76" s="5241"/>
      <c r="W76" s="5241"/>
      <c r="X76" s="5244"/>
      <c r="Y76" s="5232"/>
      <c r="Z76" s="5232"/>
    </row>
    <row r="77" spans="1:26" ht="15">
      <c r="A77" s="5230"/>
      <c r="B77" s="5239"/>
      <c r="C77" s="5241"/>
      <c r="D77" s="5241"/>
      <c r="E77" s="5241"/>
      <c r="F77" s="5241"/>
      <c r="G77" s="5241"/>
      <c r="H77" s="5267" t="s">
        <v>523</v>
      </c>
      <c r="I77" s="5241"/>
      <c r="J77" s="5241"/>
      <c r="K77" s="5241"/>
      <c r="L77" s="5241"/>
      <c r="M77" s="5241"/>
      <c r="N77" s="5241"/>
      <c r="O77" s="5241"/>
      <c r="P77" s="5241"/>
      <c r="Q77" s="5241"/>
      <c r="R77" s="5241"/>
      <c r="S77" s="5241"/>
      <c r="T77" s="5241"/>
      <c r="U77" s="5241"/>
      <c r="V77" s="5241"/>
      <c r="W77" s="5241"/>
      <c r="X77" s="5244"/>
      <c r="Y77" s="5232"/>
      <c r="Z77" s="5232"/>
    </row>
    <row r="78" spans="1:26" ht="15">
      <c r="A78" s="5230"/>
      <c r="B78" s="5239"/>
      <c r="C78" s="5241"/>
      <c r="D78" s="5241"/>
      <c r="E78" s="5241"/>
      <c r="F78" s="5241"/>
      <c r="G78" s="5241"/>
      <c r="H78" s="5267" t="s">
        <v>524</v>
      </c>
      <c r="I78" s="5241"/>
      <c r="J78" s="5241"/>
      <c r="K78" s="5241"/>
      <c r="L78" s="5241"/>
      <c r="M78" s="5241"/>
      <c r="N78" s="5241"/>
      <c r="O78" s="5241"/>
      <c r="P78" s="5241"/>
      <c r="Q78" s="5241"/>
      <c r="R78" s="5241"/>
      <c r="S78" s="5241"/>
      <c r="T78" s="5241"/>
      <c r="U78" s="5241"/>
      <c r="V78" s="5241"/>
      <c r="W78" s="5241"/>
      <c r="X78" s="5244"/>
      <c r="Y78" s="5232"/>
      <c r="Z78" s="5232"/>
    </row>
    <row r="79" spans="1:26" ht="15">
      <c r="A79" s="5230"/>
      <c r="B79" s="5239"/>
      <c r="C79" s="5241"/>
      <c r="D79" s="5241"/>
      <c r="E79" s="5241"/>
      <c r="F79" s="5241"/>
      <c r="G79" s="5253"/>
      <c r="H79" s="5253"/>
      <c r="I79" s="5241"/>
      <c r="J79" s="5241"/>
      <c r="K79" s="5241"/>
      <c r="L79" s="5241"/>
      <c r="M79" s="5241"/>
      <c r="N79" s="5241"/>
      <c r="O79" s="5241"/>
      <c r="P79" s="5241"/>
      <c r="Q79" s="5241"/>
      <c r="R79" s="5241"/>
      <c r="S79" s="5241"/>
      <c r="T79" s="5241"/>
      <c r="U79" s="5241"/>
      <c r="V79" s="5241"/>
      <c r="W79" s="5241"/>
      <c r="X79" s="5244"/>
      <c r="Y79" s="5232"/>
      <c r="Z79" s="5232"/>
    </row>
    <row r="80" spans="1:26" ht="15">
      <c r="A80" s="5230"/>
      <c r="B80" s="5239"/>
      <c r="C80" s="5241"/>
      <c r="D80" s="5241"/>
      <c r="E80" s="5241"/>
      <c r="F80" s="5241"/>
      <c r="G80" s="5253" t="s">
        <v>525</v>
      </c>
      <c r="H80" s="5253"/>
      <c r="I80" s="5253"/>
      <c r="J80" s="5253"/>
      <c r="K80" s="5253"/>
      <c r="L80" s="5253"/>
      <c r="M80" s="5253"/>
      <c r="N80" s="5253"/>
      <c r="O80" s="5253"/>
      <c r="P80" s="5253"/>
      <c r="Q80" s="5253"/>
      <c r="R80" s="5253"/>
      <c r="S80" s="5253"/>
      <c r="T80" s="5253"/>
      <c r="U80" s="5253"/>
      <c r="V80" s="5253"/>
      <c r="W80" s="5253"/>
      <c r="X80" s="5244"/>
      <c r="Y80" s="5232"/>
      <c r="Z80" s="5232"/>
    </row>
    <row r="81" spans="1:26" ht="15">
      <c r="A81" s="5230"/>
      <c r="B81" s="5239"/>
      <c r="C81" s="5241"/>
      <c r="D81" s="5241"/>
      <c r="E81" s="5241"/>
      <c r="F81" s="5241"/>
      <c r="G81" s="5253" t="s">
        <v>5728</v>
      </c>
      <c r="H81" s="5253"/>
      <c r="I81" s="5253"/>
      <c r="J81" s="5253"/>
      <c r="K81" s="5253"/>
      <c r="L81" s="5253"/>
      <c r="M81" s="5253"/>
      <c r="N81" s="5253"/>
      <c r="O81" s="5253"/>
      <c r="P81" s="5253"/>
      <c r="Q81" s="5253"/>
      <c r="R81" s="5253"/>
      <c r="S81" s="5253"/>
      <c r="T81" s="5253"/>
      <c r="U81" s="5253"/>
      <c r="V81" s="5253"/>
      <c r="W81" s="5253"/>
      <c r="X81" s="5244"/>
      <c r="Y81" s="5232"/>
      <c r="Z81" s="5232"/>
    </row>
    <row r="82" spans="1:26" ht="15">
      <c r="A82" s="5230"/>
      <c r="B82" s="5239"/>
      <c r="C82" s="5241"/>
      <c r="D82" s="5241"/>
      <c r="E82" s="5241"/>
      <c r="F82" s="5241"/>
      <c r="G82" s="5253"/>
      <c r="H82" s="5253"/>
      <c r="I82" s="5253"/>
      <c r="J82" s="5253"/>
      <c r="K82" s="5253"/>
      <c r="L82" s="5253"/>
      <c r="M82" s="5253"/>
      <c r="N82" s="5253"/>
      <c r="O82" s="5253"/>
      <c r="P82" s="5253"/>
      <c r="Q82" s="5253"/>
      <c r="R82" s="5253"/>
      <c r="S82" s="5253"/>
      <c r="T82" s="5253"/>
      <c r="U82" s="5253"/>
      <c r="V82" s="5253"/>
      <c r="W82" s="5253"/>
      <c r="X82" s="5244"/>
      <c r="Y82" s="5232"/>
      <c r="Z82" s="5232"/>
    </row>
    <row r="83" spans="1:26" ht="15">
      <c r="A83" s="5230"/>
      <c r="B83" s="5239"/>
      <c r="C83" s="5241"/>
      <c r="D83" s="5241"/>
      <c r="E83" s="5241"/>
      <c r="F83" s="5241"/>
      <c r="G83" s="5253" t="s">
        <v>526</v>
      </c>
      <c r="H83" s="5253"/>
      <c r="I83" s="5241"/>
      <c r="J83" s="5241"/>
      <c r="K83" s="5241"/>
      <c r="L83" s="5241"/>
      <c r="M83" s="5241"/>
      <c r="N83" s="5241"/>
      <c r="O83" s="5241"/>
      <c r="P83" s="5241"/>
      <c r="Q83" s="5241"/>
      <c r="R83" s="5241"/>
      <c r="S83" s="5241"/>
      <c r="T83" s="5241"/>
      <c r="U83" s="5241"/>
      <c r="V83" s="5241"/>
      <c r="W83" s="5241"/>
      <c r="X83" s="5244"/>
      <c r="Y83" s="5232"/>
      <c r="Z83" s="5232"/>
    </row>
    <row r="84" spans="1:26" ht="15">
      <c r="A84" s="5230"/>
      <c r="B84" s="5239"/>
      <c r="C84" s="5241"/>
      <c r="D84" s="5241"/>
      <c r="E84" s="5241"/>
      <c r="F84" s="5241"/>
      <c r="G84" s="5253" t="s">
        <v>527</v>
      </c>
      <c r="H84" s="5253"/>
      <c r="I84" s="5241"/>
      <c r="J84" s="5241"/>
      <c r="K84" s="5241"/>
      <c r="L84" s="5241"/>
      <c r="M84" s="5241"/>
      <c r="N84" s="5241"/>
      <c r="O84" s="5241"/>
      <c r="P84" s="5241"/>
      <c r="Q84" s="5241"/>
      <c r="R84" s="5241"/>
      <c r="S84" s="5241"/>
      <c r="T84" s="5241"/>
      <c r="U84" s="5241"/>
      <c r="V84" s="5241"/>
      <c r="W84" s="5241"/>
      <c r="X84" s="5244"/>
      <c r="Y84" s="5232"/>
      <c r="Z84" s="5232"/>
    </row>
    <row r="85" spans="1:26" ht="15">
      <c r="A85" s="5230"/>
      <c r="B85" s="5239"/>
      <c r="C85" s="5241"/>
      <c r="D85" s="5241"/>
      <c r="E85" s="5241"/>
      <c r="F85" s="5241"/>
      <c r="G85" s="5253"/>
      <c r="H85" s="5241"/>
      <c r="I85" s="5241"/>
      <c r="J85" s="5241"/>
      <c r="K85" s="5241"/>
      <c r="L85" s="5241"/>
      <c r="M85" s="5241"/>
      <c r="N85" s="5241"/>
      <c r="O85" s="5241"/>
      <c r="P85" s="5241"/>
      <c r="Q85" s="5241"/>
      <c r="R85" s="5241"/>
      <c r="S85" s="5241"/>
      <c r="T85" s="5241"/>
      <c r="U85" s="5241"/>
      <c r="V85" s="5241"/>
      <c r="W85" s="5241"/>
      <c r="X85" s="5244"/>
      <c r="Y85" s="5232"/>
      <c r="Z85" s="5232"/>
    </row>
    <row r="86" spans="1:26" ht="18">
      <c r="A86" s="5230"/>
      <c r="B86" s="5239"/>
      <c r="C86" s="6046" t="s">
        <v>1856</v>
      </c>
      <c r="D86" s="5267" t="str">
        <f>"You must start receiving at least a minimum amount from your traditional IRA by April 1 of the year following the year you reach age 72 (age 73 if you reach age 72 in "&amp;TaxYear&amp;")."</f>
        <v>You must start receiving at least a minimum amount from your traditional IRA by April 1 of the year following the year you reach age 72 (age 73 if you reach age 72 in 2023).</v>
      </c>
      <c r="E86" s="5241"/>
      <c r="F86" s="5241"/>
      <c r="G86" s="5246"/>
      <c r="H86" s="5241"/>
      <c r="I86" s="5241"/>
      <c r="J86" s="5241"/>
      <c r="K86" s="5241"/>
      <c r="L86" s="5241"/>
      <c r="M86" s="5241"/>
      <c r="N86" s="5241"/>
      <c r="O86" s="5241"/>
      <c r="P86" s="5241"/>
      <c r="Q86" s="5241"/>
      <c r="R86" s="5241"/>
      <c r="S86" s="5241"/>
      <c r="T86" s="5241"/>
      <c r="U86" s="5241"/>
      <c r="V86" s="5241"/>
      <c r="W86" s="5241"/>
      <c r="X86" s="5244"/>
      <c r="Y86" s="5249"/>
      <c r="Z86" s="5249"/>
    </row>
    <row r="87" spans="1:26" ht="15">
      <c r="A87" s="5230"/>
      <c r="B87" s="5239"/>
      <c r="C87" s="5241"/>
      <c r="D87" s="5267" t="s">
        <v>5729</v>
      </c>
      <c r="E87" s="5241"/>
      <c r="F87" s="5241"/>
      <c r="G87" s="5246"/>
      <c r="H87" s="5241"/>
      <c r="I87" s="5241"/>
      <c r="J87" s="5241"/>
      <c r="K87" s="5241"/>
      <c r="L87" s="5241"/>
      <c r="M87" s="5241"/>
      <c r="N87" s="5241"/>
      <c r="O87" s="5241"/>
      <c r="P87" s="5241"/>
      <c r="Q87" s="5241"/>
      <c r="R87" s="5241"/>
      <c r="S87" s="5241"/>
      <c r="T87" s="5241"/>
      <c r="U87" s="5241"/>
      <c r="V87" s="5241"/>
      <c r="W87" s="5241"/>
      <c r="X87" s="5244"/>
      <c r="Y87" s="5232"/>
      <c r="Z87" s="5232"/>
    </row>
    <row r="88" spans="1:26" ht="15">
      <c r="A88" s="5230"/>
      <c r="B88" s="5239"/>
      <c r="C88" s="5241"/>
      <c r="D88" s="5267" t="s">
        <v>5730</v>
      </c>
      <c r="E88" s="5241"/>
      <c r="F88" s="5241"/>
      <c r="G88" s="5246"/>
      <c r="H88" s="5241"/>
      <c r="I88" s="5241"/>
      <c r="J88" s="5241"/>
      <c r="K88" s="5241"/>
      <c r="L88" s="5241"/>
      <c r="M88" s="5241"/>
      <c r="N88" s="5241"/>
      <c r="O88" s="5241"/>
      <c r="P88" s="5241"/>
      <c r="Q88" s="5241"/>
      <c r="R88" s="5241"/>
      <c r="S88" s="5241"/>
      <c r="T88" s="5241"/>
      <c r="U88" s="5241"/>
      <c r="V88" s="5241"/>
      <c r="W88" s="5241"/>
      <c r="X88" s="5244"/>
      <c r="Y88" s="5232"/>
      <c r="Z88" s="5232"/>
    </row>
    <row r="89" spans="1:26" ht="15">
      <c r="A89" s="5230"/>
      <c r="B89" s="5239"/>
      <c r="C89" s="5241"/>
      <c r="D89" s="5241"/>
      <c r="E89" s="5241"/>
      <c r="F89" s="5241"/>
      <c r="G89" s="5246"/>
      <c r="H89" s="5241"/>
      <c r="I89" s="5241"/>
      <c r="J89" s="5241"/>
      <c r="K89" s="5241"/>
      <c r="L89" s="5241"/>
      <c r="M89" s="5241"/>
      <c r="N89" s="5241"/>
      <c r="O89" s="5241"/>
      <c r="P89" s="5241"/>
      <c r="Q89" s="5241"/>
      <c r="R89" s="5241"/>
      <c r="S89" s="5241"/>
      <c r="T89" s="5241"/>
      <c r="U89" s="5241"/>
      <c r="V89" s="5241"/>
      <c r="W89" s="5241"/>
      <c r="X89" s="5244"/>
      <c r="Y89" s="5232"/>
      <c r="Z89" s="5232"/>
    </row>
    <row r="90" spans="1:26" ht="15.75">
      <c r="A90" s="5230"/>
      <c r="B90" s="5239"/>
      <c r="C90" s="6049"/>
      <c r="D90" s="6050" t="s">
        <v>521</v>
      </c>
      <c r="E90" s="5267" t="s">
        <v>528</v>
      </c>
      <c r="F90" s="6049"/>
      <c r="G90" s="5267"/>
      <c r="H90" s="5253"/>
      <c r="I90" s="5241"/>
      <c r="J90" s="5241"/>
      <c r="K90" s="5241"/>
      <c r="L90" s="5241"/>
      <c r="M90" s="5241"/>
      <c r="N90" s="5241"/>
      <c r="O90" s="5241"/>
      <c r="P90" s="5241"/>
      <c r="Q90" s="5241"/>
      <c r="R90" s="5241"/>
      <c r="S90" s="5241"/>
      <c r="T90" s="5241"/>
      <c r="U90" s="5241"/>
      <c r="V90" s="5241"/>
      <c r="W90" s="5241"/>
      <c r="X90" s="5244"/>
      <c r="Y90" s="5232"/>
      <c r="Z90" s="5232"/>
    </row>
    <row r="91" spans="1:26">
      <c r="A91" s="5230"/>
      <c r="B91" s="5239"/>
      <c r="C91" s="5241"/>
      <c r="D91" s="5241"/>
      <c r="E91" s="5241"/>
      <c r="F91" s="5241"/>
      <c r="G91" s="5241"/>
      <c r="H91" s="5241"/>
      <c r="I91" s="5241"/>
      <c r="J91" s="5241"/>
      <c r="K91" s="5241"/>
      <c r="L91" s="5241"/>
      <c r="M91" s="5241"/>
      <c r="N91" s="5241"/>
      <c r="O91" s="5241"/>
      <c r="P91" s="5241"/>
      <c r="Q91" s="5241"/>
      <c r="R91" s="5241"/>
      <c r="S91" s="5241"/>
      <c r="T91" s="5241"/>
      <c r="U91" s="5241"/>
      <c r="V91" s="5241"/>
      <c r="W91" s="5241"/>
      <c r="X91" s="5244"/>
      <c r="Y91" s="5232"/>
      <c r="Z91" s="5232"/>
    </row>
    <row r="92" spans="1:26" ht="15">
      <c r="A92" s="5230"/>
      <c r="B92" s="5239"/>
      <c r="C92" s="5241"/>
      <c r="D92" s="5241"/>
      <c r="E92" s="5241"/>
      <c r="F92" s="5241"/>
      <c r="G92" s="5253" t="s">
        <v>529</v>
      </c>
      <c r="H92" s="5241"/>
      <c r="I92" s="5241"/>
      <c r="J92" s="5241"/>
      <c r="K92" s="5241"/>
      <c r="L92" s="5241"/>
      <c r="M92" s="5241"/>
      <c r="N92" s="5241"/>
      <c r="O92" s="5241"/>
      <c r="P92" s="5241"/>
      <c r="Q92" s="5241"/>
      <c r="R92" s="5241"/>
      <c r="S92" s="5241"/>
      <c r="T92" s="5241"/>
      <c r="U92" s="5241"/>
      <c r="V92" s="5241"/>
      <c r="W92" s="5241"/>
      <c r="X92" s="5244"/>
      <c r="Y92" s="5232"/>
      <c r="Z92" s="5232"/>
    </row>
    <row r="93" spans="1:26">
      <c r="A93" s="5230"/>
      <c r="B93" s="5268"/>
      <c r="C93" s="5269"/>
      <c r="D93" s="5269"/>
      <c r="E93" s="5269"/>
      <c r="F93" s="5269"/>
      <c r="G93" s="5269"/>
      <c r="H93" s="5269"/>
      <c r="I93" s="5269"/>
      <c r="J93" s="5269"/>
      <c r="K93" s="5269"/>
      <c r="L93" s="5269"/>
      <c r="M93" s="5269"/>
      <c r="N93" s="5269"/>
      <c r="O93" s="5269"/>
      <c r="P93" s="5269"/>
      <c r="Q93" s="5269"/>
      <c r="R93" s="5269"/>
      <c r="S93" s="5269"/>
      <c r="T93" s="5269"/>
      <c r="U93" s="5269"/>
      <c r="V93" s="5269"/>
      <c r="W93" s="5269"/>
      <c r="X93" s="5270"/>
      <c r="Y93" s="5232"/>
      <c r="Z93" s="5232"/>
    </row>
    <row r="94" spans="1:26">
      <c r="A94" s="5230"/>
      <c r="B94" s="5231"/>
      <c r="C94" s="5232"/>
      <c r="D94" s="5232"/>
      <c r="E94" s="5232"/>
      <c r="F94" s="5232"/>
      <c r="G94" s="5232"/>
      <c r="H94" s="5232"/>
      <c r="I94" s="5232"/>
      <c r="J94" s="5232"/>
      <c r="K94" s="5232"/>
      <c r="L94" s="5232"/>
      <c r="M94" s="5232"/>
      <c r="N94" s="5232"/>
      <c r="O94" s="5232"/>
      <c r="P94" s="5232"/>
      <c r="Q94" s="5232"/>
      <c r="R94" s="5232"/>
      <c r="S94" s="5232"/>
      <c r="T94" s="5232"/>
      <c r="U94" s="5232"/>
      <c r="V94" s="5232"/>
      <c r="W94" s="5232"/>
      <c r="X94" s="5232"/>
      <c r="Y94" s="5232"/>
      <c r="Z94" s="5232"/>
    </row>
    <row r="95" spans="1:26">
      <c r="Y95" s="5232"/>
      <c r="Z95" s="5232"/>
    </row>
  </sheetData>
  <sheetProtection algorithmName="SHA-512" hashValue="r+Dhn8Dlk+ahccsWoVo3cPyKTgOvqlVTFF3o+NECj2nH3nGXUhmkIfVNxQ4JY/2JYsLk2nqvdyyRli/ZFR0gcA==" saltValue="ghpFfzEE+hiapw5pBhJMVw==" spinCount="100000" sheet="1" objects="1" scenarios="1"/>
  <mergeCells count="1">
    <mergeCell ref="C9:W9"/>
  </mergeCells>
  <conditionalFormatting sqref="B2:X93">
    <cfRule type="expression" dxfId="3236" priority="1">
      <formula>NoColor</formula>
    </cfRule>
  </conditionalFormatting>
  <conditionalFormatting sqref="C9">
    <cfRule type="expression" dxfId="3235" priority="22">
      <formula>NOT($A$9)</formula>
    </cfRule>
  </conditionalFormatting>
  <conditionalFormatting sqref="G20">
    <cfRule type="expression" dxfId="3234" priority="12">
      <formula>$A$13</formula>
    </cfRule>
  </conditionalFormatting>
  <conditionalFormatting sqref="H13">
    <cfRule type="expression" dxfId="3233" priority="11">
      <formula>$A$13</formula>
    </cfRule>
  </conditionalFormatting>
  <conditionalFormatting sqref="H50">
    <cfRule type="expression" dxfId="3232" priority="19">
      <formula>AND($A$46,NOT($A$27))</formula>
    </cfRule>
  </conditionalFormatting>
  <conditionalFormatting sqref="H68">
    <cfRule type="expression" dxfId="3231" priority="8">
      <formula>AND($A$67,NOT($A$27))</formula>
    </cfRule>
  </conditionalFormatting>
  <conditionalFormatting sqref="H69">
    <cfRule type="expression" dxfId="3230" priority="15">
      <formula>$A$64</formula>
    </cfRule>
  </conditionalFormatting>
  <conditionalFormatting sqref="K18">
    <cfRule type="expression" dxfId="3229" priority="6">
      <formula>$A$18</formula>
    </cfRule>
  </conditionalFormatting>
  <conditionalFormatting sqref="K19">
    <cfRule type="expression" dxfId="3228" priority="7">
      <formula>AND($A$19,NOT($A$27))</formula>
    </cfRule>
  </conditionalFormatting>
  <conditionalFormatting sqref="K27">
    <cfRule type="expression" dxfId="3227" priority="13">
      <formula>$A$27</formula>
    </cfRule>
  </conditionalFormatting>
  <conditionalFormatting sqref="L48">
    <cfRule type="expression" dxfId="3226" priority="20">
      <formula>AND($A$48,NOT($A$27))</formula>
    </cfRule>
  </conditionalFormatting>
  <conditionalFormatting sqref="L49">
    <cfRule type="expression" dxfId="3225" priority="18">
      <formula>AND($A$49,NOT($A$27))</formula>
    </cfRule>
  </conditionalFormatting>
  <conditionalFormatting sqref="M32">
    <cfRule type="expression" dxfId="3224" priority="23">
      <formula>OR($A$34,$A$35)</formula>
    </cfRule>
  </conditionalFormatting>
  <conditionalFormatting sqref="M68">
    <cfRule type="expression" dxfId="3223" priority="2">
      <formula>AND($A$67,$A$27)</formula>
    </cfRule>
  </conditionalFormatting>
  <conditionalFormatting sqref="P19">
    <cfRule type="expression" dxfId="3222" priority="5">
      <formula>AND($A$19,$A$27)</formula>
    </cfRule>
  </conditionalFormatting>
  <conditionalFormatting sqref="P46">
    <cfRule type="expression" dxfId="3221" priority="21">
      <formula>AND($A$46,NOT($A$27))</formula>
    </cfRule>
  </conditionalFormatting>
  <conditionalFormatting sqref="P66:Q66">
    <cfRule type="expression" dxfId="3220" priority="16">
      <formula>$A$66</formula>
    </cfRule>
  </conditionalFormatting>
  <conditionalFormatting sqref="Q27">
    <cfRule type="expression" dxfId="3219" priority="10">
      <formula>$A$28</formula>
    </cfRule>
  </conditionalFormatting>
  <conditionalFormatting sqref="Q32">
    <cfRule type="expression" dxfId="3218" priority="3">
      <formula>OR($A$34,$A$35)</formula>
    </cfRule>
  </conditionalFormatting>
  <conditionalFormatting sqref="Q67">
    <cfRule type="expression" dxfId="3217" priority="14">
      <formula>$A$67</formula>
    </cfRule>
  </conditionalFormatting>
  <conditionalFormatting sqref="R49">
    <cfRule type="expression" dxfId="3216" priority="4">
      <formula>AND($A$49,$A$27)</formula>
    </cfRule>
  </conditionalFormatting>
  <conditionalFormatting sqref="R64:S64">
    <cfRule type="expression" dxfId="3215" priority="17">
      <formula>$A$64</formula>
    </cfRule>
  </conditionalFormatting>
  <pageMargins left="0.75" right="0.25" top="0.36" bottom="0.28999999999999998" header="0.36" footer="0.21"/>
  <pageSetup scale="5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pageSetUpPr fitToPage="1"/>
  </sheetPr>
  <dimension ref="A1:X43"/>
  <sheetViews>
    <sheetView zoomScaleNormal="100" zoomScaleSheetLayoutView="100" workbookViewId="0">
      <pane ySplit="1" topLeftCell="A2" activePane="bottomLeft" state="frozen"/>
      <selection pane="bottomLeft"/>
    </sheetView>
  </sheetViews>
  <sheetFormatPr defaultColWidth="9.140625" defaultRowHeight="12.75"/>
  <cols>
    <col min="1" max="1" width="2.5703125" style="22" customWidth="1"/>
    <col min="2" max="2" width="4.42578125" style="36" customWidth="1"/>
    <col min="3" max="3" width="37.5703125" style="22" customWidth="1"/>
    <col min="4" max="4" width="15.42578125" style="22" customWidth="1"/>
    <col min="5" max="5" width="33.42578125" style="22" customWidth="1"/>
    <col min="6" max="6" width="3.85546875" style="22" customWidth="1"/>
    <col min="7" max="7" width="12.7109375" style="22" customWidth="1"/>
    <col min="8" max="8" width="3.7109375" style="22" customWidth="1"/>
    <col min="9" max="9" width="12.7109375" style="22" customWidth="1"/>
    <col min="10" max="10" width="2" style="22" customWidth="1"/>
    <col min="11" max="11" width="2.42578125" style="22" customWidth="1"/>
    <col min="12" max="12" width="13.42578125" style="22" customWidth="1"/>
    <col min="13" max="13" width="33.28515625" style="22" customWidth="1"/>
    <col min="14" max="24" width="9.140625" style="2038"/>
    <col min="25" max="16384" width="9.140625" style="39"/>
  </cols>
  <sheetData>
    <row r="1" spans="2:24" s="648" customFormat="1" ht="36.75" customHeight="1" thickBot="1">
      <c r="B1" s="2650" t="s">
        <v>530</v>
      </c>
      <c r="N1" s="2040" t="s">
        <v>241</v>
      </c>
      <c r="O1" s="2041"/>
      <c r="P1" s="2041"/>
      <c r="Q1" s="2041"/>
      <c r="R1" s="2041"/>
      <c r="S1" s="2041"/>
      <c r="T1" s="2041"/>
      <c r="U1" s="2041"/>
      <c r="V1" s="2041"/>
      <c r="W1" s="2041"/>
      <c r="X1" s="2041"/>
    </row>
    <row r="2" spans="2:24" ht="41.25" customHeight="1" thickBot="1">
      <c r="B2" s="5421">
        <v>1</v>
      </c>
      <c r="C2" s="1926" t="str">
        <f>IF(Name_1st_Yours="","Enter your name on sheet labeled '1040'",NameYours)</f>
        <v>Enter your name on sheet labeled '1040'</v>
      </c>
      <c r="D2" s="5422"/>
      <c r="E2" s="3809"/>
    </row>
    <row r="3" spans="2:24" ht="13.5" customHeight="1">
      <c r="B3" s="1781">
        <v>3</v>
      </c>
      <c r="C3" s="5423" t="str">
        <f>"Benefits Paid in "&amp;TaxYear</f>
        <v>Benefits Paid in 2023</v>
      </c>
      <c r="D3" s="1647"/>
      <c r="E3" s="3809"/>
    </row>
    <row r="4" spans="2:24" ht="13.5" customHeight="1">
      <c r="B4" s="1782">
        <v>4</v>
      </c>
      <c r="C4" s="5424" t="str">
        <f>"Benefits Repaid in "&amp;TaxYear</f>
        <v>Benefits Repaid in 2023</v>
      </c>
      <c r="D4" s="5425"/>
      <c r="E4" s="3809"/>
    </row>
    <row r="5" spans="2:24" ht="13.5" customHeight="1">
      <c r="B5" s="1782">
        <v>5</v>
      </c>
      <c r="C5" s="5424" t="str">
        <f>"Net Benefits for "&amp;TaxYear&amp;" (Box 3 minus Box 4)"</f>
        <v>Net Benefits for 2023 (Box 3 minus Box 4)</v>
      </c>
      <c r="D5" s="5426">
        <f>SUM(D3,-D4)</f>
        <v>0</v>
      </c>
      <c r="E5" s="4089" t="s">
        <v>531</v>
      </c>
    </row>
    <row r="6" spans="2:24" ht="15.75" thickBot="1">
      <c r="B6" s="2655">
        <v>6</v>
      </c>
      <c r="C6" s="308" t="s">
        <v>532</v>
      </c>
      <c r="D6" s="5427"/>
      <c r="E6" s="4089" t="s">
        <v>533</v>
      </c>
      <c r="G6" s="4019">
        <f>ROUND(D6,0)</f>
        <v>0</v>
      </c>
    </row>
    <row r="7" spans="2:24" ht="48" customHeight="1" thickBot="1">
      <c r="B7" s="5428">
        <v>1</v>
      </c>
      <c r="C7" s="1927" t="str">
        <f>IF(Name_1st_Sp="","Enter your spouse's name on the sheet labeled '1040'",NameSpouse)</f>
        <v>Enter your spouse's name on the sheet labeled '1040'</v>
      </c>
      <c r="D7" s="1997"/>
      <c r="E7" s="3809"/>
    </row>
    <row r="8" spans="2:24" ht="13.5" customHeight="1">
      <c r="B8" s="1781">
        <v>3</v>
      </c>
      <c r="C8" s="5423" t="str">
        <f>"Benefits Paid in "&amp;TaxYear</f>
        <v>Benefits Paid in 2023</v>
      </c>
      <c r="D8" s="1647"/>
      <c r="E8" s="3809"/>
    </row>
    <row r="9" spans="2:24" ht="13.5" customHeight="1">
      <c r="B9" s="1782">
        <v>4</v>
      </c>
      <c r="C9" s="5424" t="str">
        <f>"Benefits Repaid in "&amp;TaxYear</f>
        <v>Benefits Repaid in 2023</v>
      </c>
      <c r="D9" s="5425"/>
      <c r="E9" s="3809"/>
    </row>
    <row r="10" spans="2:24" ht="13.5" customHeight="1">
      <c r="B10" s="1782">
        <v>5</v>
      </c>
      <c r="C10" s="5424" t="str">
        <f>"Net Benefits for "&amp;TaxYear&amp;" (Box 3 minus Box 4)"</f>
        <v>Net Benefits for 2023 (Box 3 minus Box 4)</v>
      </c>
      <c r="D10" s="5426">
        <f>SUM(D8,-D9)</f>
        <v>0</v>
      </c>
      <c r="E10" s="4089" t="s">
        <v>531</v>
      </c>
    </row>
    <row r="11" spans="2:24" ht="15.75" thickBot="1">
      <c r="B11" s="2655">
        <v>6</v>
      </c>
      <c r="C11" s="308" t="s">
        <v>532</v>
      </c>
      <c r="D11" s="5427"/>
      <c r="E11" s="4089" t="s">
        <v>533</v>
      </c>
      <c r="G11" s="4019">
        <f>ROUND(D11,0)</f>
        <v>0</v>
      </c>
    </row>
    <row r="12" spans="2:24" ht="13.5" thickBot="1">
      <c r="B12" s="2139"/>
    </row>
    <row r="13" spans="2:24" ht="22.5" customHeight="1">
      <c r="B13" s="1781"/>
      <c r="C13" s="3247" t="s">
        <v>534</v>
      </c>
      <c r="D13" s="651"/>
      <c r="E13" s="651"/>
      <c r="F13" s="30"/>
      <c r="G13" s="652"/>
      <c r="H13" s="30"/>
      <c r="I13" s="652" t="s">
        <v>535</v>
      </c>
      <c r="J13" s="82"/>
    </row>
    <row r="14" spans="2:24" ht="16.5" thickBot="1">
      <c r="B14" s="1782"/>
      <c r="C14" s="28" t="s">
        <v>536</v>
      </c>
      <c r="D14" s="360"/>
      <c r="E14" s="360"/>
      <c r="F14" s="34"/>
      <c r="G14" s="5429"/>
      <c r="H14" s="34"/>
      <c r="I14" s="5429" t="s">
        <v>537</v>
      </c>
      <c r="J14" s="83"/>
    </row>
    <row r="15" spans="2:24" ht="24" customHeight="1">
      <c r="B15" s="1782"/>
      <c r="C15" s="3246" t="s">
        <v>538</v>
      </c>
      <c r="J15" s="83"/>
    </row>
    <row r="16" spans="2:24" ht="8.25" customHeight="1">
      <c r="B16" s="1782"/>
      <c r="J16" s="83"/>
    </row>
    <row r="17" spans="1:24" s="649" customFormat="1" ht="134.44999999999999" customHeight="1">
      <c r="A17" s="86"/>
      <c r="B17" s="5430"/>
      <c r="C17" s="653"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2023, you probably will
not have to file a federal income tax
return. See IRS Pub. 501,
Exemptions, Standard Deduction,
and Filing Information, or your tax
return instructions to find out if you
have to file a return.</v>
      </c>
      <c r="D17" s="6275"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2023. Fill in lines A through E.
Do not use the worksheet below if any of the following apply to you; instead, go directly to IRS Pub. 915, Social Security and Equivalent Railroad Retirement Benefits.
o  You received Form RRB-1099, Form SSA-1042S, or Form RRB-1042S.</v>
      </c>
      <c r="E17" s="6275"/>
      <c r="F17" s="563"/>
      <c r="G17" s="6276" t="s">
        <v>539</v>
      </c>
      <c r="H17" s="6276"/>
      <c r="I17" s="6276"/>
      <c r="J17" s="471"/>
      <c r="K17" s="86"/>
      <c r="L17" s="5431" t="s">
        <v>540</v>
      </c>
      <c r="M17" s="86"/>
      <c r="N17" s="2042"/>
      <c r="O17" s="2042"/>
      <c r="P17" s="2042"/>
      <c r="Q17" s="2042"/>
      <c r="R17" s="2042"/>
      <c r="S17" s="2042"/>
      <c r="T17" s="2042"/>
      <c r="U17" s="2042"/>
      <c r="V17" s="2042"/>
      <c r="W17" s="2042"/>
      <c r="X17" s="2042"/>
    </row>
    <row r="18" spans="1:24" s="1998" customFormat="1" ht="20.100000000000001" customHeight="1">
      <c r="A18" s="103"/>
      <c r="B18" s="5432"/>
      <c r="C18" s="2645" t="s">
        <v>541</v>
      </c>
      <c r="D18" s="2645"/>
      <c r="E18" s="2645"/>
      <c r="F18" s="103"/>
      <c r="G18" s="103"/>
      <c r="H18" s="103"/>
      <c r="I18" s="103"/>
      <c r="J18" s="2646"/>
      <c r="K18" s="103"/>
      <c r="L18" s="261"/>
      <c r="M18" s="103"/>
      <c r="N18" s="2045"/>
      <c r="O18" s="2045"/>
      <c r="P18" s="2045"/>
      <c r="Q18" s="2045"/>
      <c r="R18" s="2045"/>
      <c r="S18" s="2045"/>
      <c r="T18" s="2045"/>
      <c r="U18" s="2045"/>
      <c r="V18" s="2045"/>
      <c r="W18" s="2045"/>
      <c r="X18" s="2045"/>
    </row>
    <row r="19" spans="1:24">
      <c r="B19" s="1782" t="s">
        <v>542</v>
      </c>
      <c r="C19" s="1009" t="s">
        <v>543</v>
      </c>
      <c r="D19" s="808"/>
      <c r="E19" s="808"/>
      <c r="J19" s="83"/>
      <c r="L19" s="260"/>
    </row>
    <row r="20" spans="1:24">
      <c r="B20" s="1782"/>
      <c r="C20" s="1009" t="str">
        <f>"full amount of any lump-sum benefit payments received in "&amp;TaxYear&amp;", for "&amp;TaxYear&amp;" and"</f>
        <v>full amount of any lump-sum benefit payments received in 2023, for 2023 and</v>
      </c>
      <c r="D20" s="808"/>
      <c r="E20" s="808"/>
      <c r="J20" s="83"/>
      <c r="L20" s="260"/>
      <c r="M20" s="23" t="s">
        <v>544</v>
      </c>
    </row>
    <row r="21" spans="1:24">
      <c r="B21" s="1782"/>
      <c r="C21" s="892" t="s">
        <v>545</v>
      </c>
      <c r="D21" s="1128" t="s">
        <v>546</v>
      </c>
      <c r="E21" s="1128" t="s">
        <v>546</v>
      </c>
      <c r="F21" s="37" t="s">
        <v>542</v>
      </c>
      <c r="G21" s="598">
        <f>IF(L21&lt;&gt;"",ROUND(L21,0),ROUND(SUM(D5,D10),0))</f>
        <v>0</v>
      </c>
      <c r="I21" s="805">
        <v>0.5</v>
      </c>
      <c r="J21" s="83"/>
      <c r="L21" s="654"/>
      <c r="M21" s="23" t="s">
        <v>547</v>
      </c>
    </row>
    <row r="22" spans="1:24" ht="12.75" customHeight="1">
      <c r="B22" s="1782" t="s">
        <v>548</v>
      </c>
      <c r="C22" s="61" t="str">
        <f>"Multiply  line  A  by  "&amp;TEXT(I21,"0%")&amp;" ("&amp;TEXT(I21,"0.00")&amp;")"</f>
        <v>Multiply  line  A  by  50% (0.50)</v>
      </c>
      <c r="G22" s="2139" t="s">
        <v>549</v>
      </c>
      <c r="H22" s="37" t="s">
        <v>548</v>
      </c>
      <c r="I22" s="598">
        <f>ROUND(G21*I21,0)</f>
        <v>0</v>
      </c>
      <c r="J22" s="83"/>
      <c r="L22" s="3490"/>
    </row>
    <row r="23" spans="1:24" s="650" customFormat="1" ht="37.5" customHeight="1">
      <c r="A23" s="656"/>
      <c r="B23" s="5430" t="s">
        <v>550</v>
      </c>
      <c r="C23" s="6271" t="s">
        <v>551</v>
      </c>
      <c r="D23" s="6272"/>
      <c r="E23" s="6272"/>
      <c r="F23" s="6272"/>
      <c r="G23" s="6272"/>
      <c r="H23" s="37"/>
      <c r="I23" s="3190"/>
      <c r="J23" s="655"/>
      <c r="K23" s="656"/>
      <c r="L23" s="3491"/>
      <c r="M23" s="2651"/>
      <c r="N23" s="2042"/>
      <c r="O23" s="2042"/>
      <c r="P23" s="2042"/>
      <c r="Q23" s="2042"/>
      <c r="R23" s="2042"/>
      <c r="S23" s="2042"/>
      <c r="T23" s="2042"/>
      <c r="U23" s="2042"/>
      <c r="V23" s="2042"/>
      <c r="W23" s="2042"/>
      <c r="X23" s="2042"/>
    </row>
    <row r="24" spans="1:24" s="650" customFormat="1">
      <c r="A24" s="656"/>
      <c r="B24" s="5430"/>
      <c r="C24" s="6271" t="s">
        <v>552</v>
      </c>
      <c r="D24" s="6272"/>
      <c r="E24" s="6272"/>
      <c r="F24" s="6272"/>
      <c r="G24" s="6272"/>
      <c r="H24" s="37" t="s">
        <v>550</v>
      </c>
      <c r="I24" s="3191">
        <f>IF(L24&lt;&gt;"",ROUND(L24,0),M24)</f>
        <v>0</v>
      </c>
      <c r="J24" s="655"/>
      <c r="K24" s="656"/>
      <c r="L24" s="654"/>
      <c r="M24" s="2651">
        <f>SUM(Wages,TaxableInterest,OrdinaryDividends,IRA_Taxable,PA_Taxable,CapitalGains,Additional_Income)</f>
        <v>0</v>
      </c>
      <c r="N24" s="3652"/>
      <c r="O24" s="2042"/>
      <c r="P24" s="2042"/>
      <c r="Q24" s="2042"/>
      <c r="R24" s="2042"/>
      <c r="S24" s="2042"/>
      <c r="T24" s="2042"/>
      <c r="U24" s="2042"/>
      <c r="V24" s="2042"/>
      <c r="W24" s="2042"/>
      <c r="X24" s="2042"/>
    </row>
    <row r="25" spans="1:24">
      <c r="B25" s="5430" t="s">
        <v>553</v>
      </c>
      <c r="C25" s="22" t="s">
        <v>554</v>
      </c>
      <c r="G25" s="2139" t="s">
        <v>555</v>
      </c>
      <c r="H25" s="37" t="s">
        <v>553</v>
      </c>
      <c r="I25" s="3192">
        <f>IF(L25&lt;&gt;"",ROUND(L25,0),TaxExemptInt)</f>
        <v>0</v>
      </c>
      <c r="J25" s="83"/>
      <c r="L25" s="654"/>
    </row>
    <row r="26" spans="1:24">
      <c r="B26" s="1782" t="s">
        <v>556</v>
      </c>
      <c r="C26" s="61" t="s">
        <v>557</v>
      </c>
      <c r="G26" s="2139" t="s">
        <v>558</v>
      </c>
      <c r="H26" s="37" t="s">
        <v>556</v>
      </c>
      <c r="I26" s="3193">
        <f>SUM(I22,I24,I25)</f>
        <v>0</v>
      </c>
      <c r="J26" s="83"/>
      <c r="L26" s="260"/>
      <c r="M26" s="943">
        <v>32000</v>
      </c>
    </row>
    <row r="27" spans="1:24">
      <c r="B27" s="1782"/>
      <c r="C27" s="38"/>
      <c r="D27" s="38"/>
      <c r="E27" s="38"/>
      <c r="F27" s="38"/>
      <c r="G27" s="38"/>
      <c r="H27" s="38"/>
      <c r="I27" s="38"/>
      <c r="J27" s="83"/>
      <c r="L27" s="260"/>
      <c r="M27" s="943">
        <v>25000</v>
      </c>
    </row>
    <row r="28" spans="1:24">
      <c r="B28" s="1782"/>
      <c r="C28" s="13" t="s">
        <v>559</v>
      </c>
      <c r="I28" s="46" t="b">
        <f>AND(M28&lt;&gt;0,I26&gt;M28)</f>
        <v>0</v>
      </c>
      <c r="J28" s="83"/>
      <c r="L28" s="260"/>
      <c r="M28" s="943">
        <f>IF(OR(File_Single&lt;&gt;"",File_Head&lt;&gt;""),M27,IF(File_Marr_Joint&lt;&gt;"",M26,IF(AND(File_Marr_Sep&lt;&gt;"",LivedApart),M27,0)))</f>
        <v>0</v>
      </c>
    </row>
    <row r="29" spans="1:24" ht="54" customHeight="1">
      <c r="B29" s="1782"/>
      <c r="C29" s="2647" t="str">
        <f>"Part of your social security
benefits may be taxable if, for "&amp;TaxYear&amp;", 
item 1, 2, or 3 below applies to you:"</f>
        <v>Part of your social security
benefits may be taxable if, for 2023, 
item 1, 2, or 3 below applies to you:</v>
      </c>
      <c r="D29" s="6277" t="s">
        <v>560</v>
      </c>
      <c r="E29" s="6278"/>
      <c r="F29" s="808"/>
      <c r="G29" s="6277" t="s">
        <v>561</v>
      </c>
      <c r="H29" s="6277"/>
      <c r="I29" s="6277"/>
      <c r="J29" s="83"/>
      <c r="L29" s="260"/>
    </row>
    <row r="30" spans="1:24" ht="50.25" customHeight="1">
      <c r="B30" s="1782"/>
      <c r="C30" s="2647" t="str">
        <f>"1. You were single, a head of
household, or a qualifying widow(er)
and line E above is more than
"&amp;TEXT(M27,"$0,000")&amp;"."</f>
        <v>1. You were single, a head of
household, or a qualifying widow(er)
and line E above is more than
$25,000.</v>
      </c>
      <c r="D30" s="6279" t="s">
        <v>562</v>
      </c>
      <c r="E30" s="6279"/>
      <c r="F30" s="808"/>
      <c r="G30" s="6281" t="s">
        <v>563</v>
      </c>
      <c r="H30" s="6281"/>
      <c r="I30" s="6281"/>
      <c r="J30" s="83"/>
      <c r="L30" s="260"/>
    </row>
    <row r="31" spans="1:24" s="649" customFormat="1" ht="109.5" customHeight="1">
      <c r="A31" s="86"/>
      <c r="B31" s="5430"/>
      <c r="C31" s="2647"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2023).</v>
      </c>
      <c r="D31" s="6279"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2023, enter “D” to the right of the word “benefits” on Form 1040, line 6a.</v>
      </c>
      <c r="E31" s="6279"/>
      <c r="F31" s="808"/>
      <c r="G31" s="6277"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2023 federal income tax return instructions, or visit IRS.gov and enter 'social security income' in the search box. 
Go to www.irs.gov/Forms to view, download, or print all of the forms and publications you may need.</v>
      </c>
      <c r="H31" s="6277"/>
      <c r="I31" s="6277"/>
      <c r="J31" s="471"/>
      <c r="K31" s="86"/>
      <c r="L31" s="260"/>
      <c r="M31" s="86"/>
      <c r="N31" s="2042"/>
      <c r="O31" s="2042"/>
      <c r="P31" s="2042"/>
      <c r="Q31" s="2042"/>
      <c r="R31" s="2042"/>
      <c r="S31" s="2042"/>
      <c r="T31" s="2042"/>
      <c r="U31" s="2042"/>
      <c r="V31" s="2042"/>
      <c r="W31" s="2042"/>
      <c r="X31" s="2042"/>
    </row>
    <row r="32" spans="1:24" s="649" customFormat="1" ht="74.25" customHeight="1">
      <c r="A32" s="86"/>
      <c r="B32" s="2137"/>
      <c r="C32" s="2648"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2023 federal
income tax return instructions.</v>
      </c>
      <c r="D32" s="6279"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2023 that were for a prior year, see IRS Pub. 915, Social Security and Equivalent</v>
      </c>
      <c r="E32" s="6279"/>
      <c r="F32" s="2647"/>
      <c r="G32" s="6280"/>
      <c r="H32" s="6280"/>
      <c r="I32" s="6280"/>
      <c r="J32" s="471"/>
      <c r="K32" s="86"/>
      <c r="L32" s="260"/>
      <c r="M32" s="86"/>
      <c r="N32" s="2042"/>
      <c r="O32" s="2042"/>
      <c r="P32" s="2042"/>
      <c r="Q32" s="2042"/>
      <c r="R32" s="2042"/>
      <c r="S32" s="2042"/>
      <c r="T32" s="2042"/>
      <c r="U32" s="2042"/>
      <c r="V32" s="2042"/>
      <c r="W32" s="2042"/>
      <c r="X32" s="2042"/>
    </row>
    <row r="33" spans="1:24" s="649" customFormat="1" ht="16.5" customHeight="1" thickBot="1">
      <c r="A33" s="86"/>
      <c r="B33" s="2137"/>
      <c r="C33" s="2939"/>
      <c r="D33" s="2940" t="s">
        <v>564</v>
      </c>
      <c r="E33" s="2941"/>
      <c r="F33" s="2942"/>
      <c r="G33" s="2943"/>
      <c r="H33" s="2943"/>
      <c r="I33" s="2943"/>
      <c r="J33" s="471"/>
      <c r="K33" s="86"/>
      <c r="L33" s="260"/>
      <c r="M33" s="86"/>
      <c r="N33" s="2042"/>
      <c r="O33" s="2042"/>
      <c r="P33" s="2042"/>
      <c r="Q33" s="2042"/>
      <c r="R33" s="2042"/>
      <c r="S33" s="2042"/>
      <c r="T33" s="2042"/>
      <c r="U33" s="2042"/>
      <c r="V33" s="2042"/>
      <c r="W33" s="2042"/>
      <c r="X33" s="2042"/>
    </row>
    <row r="34" spans="1:24" s="649" customFormat="1" ht="24" customHeight="1" thickBot="1">
      <c r="A34" s="86"/>
      <c r="B34" s="2138"/>
      <c r="C34" s="2944" t="s">
        <v>565</v>
      </c>
      <c r="D34" s="6273"/>
      <c r="E34" s="6273"/>
      <c r="F34" s="6274"/>
      <c r="G34" s="6274"/>
      <c r="H34" s="2649"/>
      <c r="I34" s="2945" t="s">
        <v>566</v>
      </c>
      <c r="J34" s="663"/>
      <c r="K34" s="86"/>
      <c r="L34" s="260"/>
      <c r="M34" s="86"/>
      <c r="N34" s="2042"/>
      <c r="O34" s="2042"/>
      <c r="P34" s="2042"/>
      <c r="Q34" s="2042"/>
      <c r="R34" s="2042"/>
      <c r="S34" s="2042"/>
      <c r="T34" s="2042"/>
      <c r="U34" s="2042"/>
      <c r="V34" s="2042"/>
      <c r="W34" s="2042"/>
      <c r="X34" s="2042"/>
    </row>
    <row r="37" spans="1:24" ht="13.5" thickBot="1">
      <c r="B37" s="2139"/>
    </row>
    <row r="38" spans="1:24">
      <c r="B38" s="2139"/>
      <c r="C38" s="3199"/>
    </row>
    <row r="39" spans="1:24">
      <c r="B39" s="2139"/>
      <c r="C39" s="3195" t="s">
        <v>46</v>
      </c>
    </row>
    <row r="40" spans="1:24" ht="13.5" thickBot="1">
      <c r="B40" s="2139"/>
      <c r="C40" s="3200"/>
    </row>
    <row r="43" spans="1:24">
      <c r="B43" s="2139"/>
      <c r="C43" s="656"/>
    </row>
  </sheetData>
  <sheetProtection algorithmName="SHA-512" hashValue="Cd853RI7A7MMIj7p0C8CANGEz5khgIQHzdqNAEVirffe2Yr13+q/+tknFCdg5XEy2643HHzcx63yr1GAAjxyIg==" saltValue="/nrG6DcKL/thFvMQR8kOEg=="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3214" priority="14" stopIfTrue="1">
      <formula>I28</formula>
    </cfRule>
  </conditionalFormatting>
  <conditionalFormatting sqref="D3:D4">
    <cfRule type="expression" dxfId="3213" priority="13">
      <formula>IF(NoColor,1,0)</formula>
    </cfRule>
  </conditionalFormatting>
  <conditionalFormatting sqref="D3:D6">
    <cfRule type="expression" dxfId="3212" priority="4">
      <formula>NoColor</formula>
    </cfRule>
  </conditionalFormatting>
  <conditionalFormatting sqref="D6">
    <cfRule type="expression" dxfId="3211" priority="10">
      <formula>IF(NoColor,1,0)</formula>
    </cfRule>
  </conditionalFormatting>
  <conditionalFormatting sqref="D8:D9">
    <cfRule type="expression" dxfId="3210" priority="3">
      <formula>IF(NoColor,1,0)</formula>
    </cfRule>
  </conditionalFormatting>
  <conditionalFormatting sqref="D8:D11">
    <cfRule type="expression" dxfId="3209" priority="1">
      <formula>NoColor</formula>
    </cfRule>
  </conditionalFormatting>
  <conditionalFormatting sqref="D11">
    <cfRule type="expression" dxfId="3208" priority="2">
      <formula>IF(NoColor,1,0)</formula>
    </cfRule>
  </conditionalFormatting>
  <hyperlinks>
    <hyperlink ref="C39" location="'Table of Contents'!A1" display="Table of Contents" xr:uid="{00000000-0004-0000-0A00-000000000000}"/>
  </hyperlinks>
  <pageMargins left="0.75" right="0.25" top="0.36" bottom="0.28999999999999998" header="0.36" footer="0.21"/>
  <pageSetup scale="74"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008000"/>
    <pageSetUpPr fitToPage="1"/>
  </sheetPr>
  <dimension ref="A1:BV160"/>
  <sheetViews>
    <sheetView zoomScaleNormal="100" zoomScaleSheetLayoutView="100" workbookViewId="0"/>
  </sheetViews>
  <sheetFormatPr defaultRowHeight="12.75"/>
  <cols>
    <col min="1" max="1" width="3" customWidth="1"/>
    <col min="2" max="2" width="2.5703125" customWidth="1"/>
    <col min="3" max="3" width="11.28515625" customWidth="1"/>
    <col min="4" max="4" width="3" customWidth="1"/>
    <col min="5" max="5" width="1.140625" customWidth="1"/>
    <col min="6" max="6" width="3.5703125" customWidth="1"/>
    <col min="7" max="7" width="2.85546875" customWidth="1"/>
    <col min="8" max="8" width="2.5703125" customWidth="1"/>
    <col min="9" max="9" width="9" customWidth="1"/>
    <col min="10" max="10" width="4.140625" customWidth="1"/>
    <col min="11" max="11" width="3.5703125" customWidth="1"/>
    <col min="12" max="12" width="4.7109375" customWidth="1"/>
    <col min="13" max="13" width="3.140625" customWidth="1"/>
    <col min="14" max="14" width="2.7109375" customWidth="1"/>
    <col min="15" max="16" width="3.85546875" customWidth="1"/>
    <col min="17" max="17" width="3.5703125" customWidth="1"/>
    <col min="18" max="18" width="2.7109375" customWidth="1"/>
    <col min="19" max="19" width="2.85546875" customWidth="1"/>
    <col min="20" max="20" width="5.42578125" customWidth="1"/>
    <col min="21" max="21" width="3.5703125" customWidth="1"/>
    <col min="22" max="22" width="4.28515625" customWidth="1"/>
    <col min="23" max="23" width="3.42578125" customWidth="1"/>
    <col min="24" max="24" width="2.85546875" customWidth="1"/>
    <col min="25" max="25" width="4.140625" customWidth="1"/>
    <col min="26" max="26" width="6.28515625" customWidth="1"/>
    <col min="27" max="27" width="3" customWidth="1"/>
    <col min="28" max="28" width="3.7109375" customWidth="1"/>
    <col min="29" max="29" width="4.5703125" customWidth="1"/>
    <col min="30" max="30" width="3.28515625" customWidth="1"/>
    <col min="31" max="32" width="3" customWidth="1"/>
    <col min="33" max="33" width="3.5703125" customWidth="1"/>
    <col min="34" max="34" width="4.42578125" customWidth="1"/>
    <col min="35" max="35" width="4" customWidth="1"/>
    <col min="36" max="36" width="2.85546875" customWidth="1"/>
    <col min="37" max="37" width="13" customWidth="1"/>
    <col min="38" max="38" width="2.85546875" customWidth="1"/>
    <col min="39" max="39" width="10.85546875" customWidth="1"/>
    <col min="40" max="42" width="15.85546875" customWidth="1"/>
    <col min="43" max="43" width="8.140625" customWidth="1"/>
    <col min="44" max="44" width="10.85546875" customWidth="1"/>
    <col min="45" max="45" width="11" customWidth="1"/>
    <col min="46" max="46" width="9.28515625" customWidth="1"/>
    <col min="47" max="47" width="9.42578125" customWidth="1"/>
    <col min="48" max="50" width="9.28515625" hidden="1" customWidth="1"/>
    <col min="51" max="51" width="11.5703125" hidden="1" customWidth="1"/>
    <col min="52" max="52" width="13.85546875" hidden="1" customWidth="1"/>
    <col min="53" max="53" width="17.7109375" hidden="1" customWidth="1"/>
    <col min="54" max="60" width="11.5703125" hidden="1" customWidth="1"/>
    <col min="61" max="61" width="4.28515625" customWidth="1"/>
    <col min="62" max="62" width="13.140625" style="2691" customWidth="1"/>
    <col min="63" max="74" width="9.140625" style="2690"/>
  </cols>
  <sheetData>
    <row r="1" spans="1:74" ht="15" customHeight="1">
      <c r="A1" s="394"/>
      <c r="B1" s="394"/>
      <c r="C1" s="1429">
        <f>RevDateTime</f>
        <v>45363.902777777781</v>
      </c>
      <c r="D1" s="1429"/>
      <c r="E1" s="1429"/>
      <c r="F1" s="65"/>
      <c r="G1" s="66"/>
      <c r="H1" s="543" t="s">
        <v>567</v>
      </c>
      <c r="I1" s="544"/>
      <c r="J1" s="544"/>
      <c r="K1" s="544"/>
      <c r="L1" s="544"/>
      <c r="M1" s="544"/>
      <c r="N1" s="544"/>
      <c r="O1" s="544"/>
      <c r="P1" s="544"/>
      <c r="Q1" s="544"/>
      <c r="R1" s="545"/>
      <c r="S1" s="545"/>
      <c r="T1" s="545"/>
      <c r="U1" s="545"/>
      <c r="V1" s="546"/>
      <c r="W1" s="546"/>
      <c r="X1" s="546"/>
      <c r="Y1" s="546"/>
      <c r="Z1" s="546"/>
      <c r="AA1" s="65"/>
      <c r="AB1" s="65"/>
      <c r="AC1" s="65"/>
      <c r="AD1" s="68"/>
      <c r="AE1" s="68"/>
      <c r="AF1" s="68"/>
      <c r="AG1" s="68"/>
      <c r="AH1" s="68"/>
      <c r="AI1" s="69"/>
      <c r="AJ1" s="70"/>
      <c r="AK1" s="2425">
        <f>IF(File_Single&lt;&gt;"",1,0)</f>
        <v>0</v>
      </c>
      <c r="AL1" s="808"/>
      <c r="AM1" s="808"/>
      <c r="AN1" s="808"/>
      <c r="AO1" s="808"/>
      <c r="AP1" s="808"/>
      <c r="AQ1" s="808"/>
      <c r="AR1" s="808"/>
      <c r="AS1" s="808"/>
      <c r="AT1" s="808"/>
      <c r="AU1" s="808"/>
      <c r="AV1" s="808"/>
      <c r="AW1" s="808"/>
      <c r="AX1" s="808"/>
      <c r="AY1" s="1579"/>
      <c r="AZ1" s="1579"/>
      <c r="BA1" s="1579"/>
      <c r="BB1" s="808"/>
      <c r="BC1" s="808"/>
      <c r="BD1" s="808"/>
      <c r="BE1" s="808"/>
      <c r="BF1" s="808"/>
      <c r="BG1" s="808"/>
      <c r="BH1" s="780"/>
      <c r="BI1" s="780"/>
      <c r="BJ1" s="2723" t="s">
        <v>241</v>
      </c>
      <c r="BK1" s="2038"/>
      <c r="BL1" s="2038"/>
      <c r="BM1" s="2038"/>
      <c r="BN1" s="2038"/>
      <c r="BO1" s="2038"/>
      <c r="BP1" s="2038"/>
      <c r="BQ1" s="2038"/>
      <c r="BR1" s="2038"/>
      <c r="BS1" s="2038"/>
      <c r="BT1" s="2038"/>
      <c r="BU1" s="2038"/>
      <c r="BV1" s="2038"/>
    </row>
    <row r="2" spans="1:74" ht="15.75" customHeight="1" thickBot="1">
      <c r="A2" s="394"/>
      <c r="B2" s="394"/>
      <c r="C2" s="1112">
        <f>RevDateTime</f>
        <v>45363.902777777781</v>
      </c>
      <c r="D2" s="1112"/>
      <c r="E2" s="1112"/>
      <c r="F2" s="65"/>
      <c r="G2" s="66"/>
      <c r="H2" s="6465" t="s">
        <v>568</v>
      </c>
      <c r="I2" s="6466"/>
      <c r="J2" s="6466"/>
      <c r="K2" s="6466"/>
      <c r="L2" s="6466"/>
      <c r="M2" s="6466"/>
      <c r="N2" s="6466"/>
      <c r="O2" s="6466"/>
      <c r="P2" s="6466"/>
      <c r="Q2" s="6466"/>
      <c r="R2" s="545"/>
      <c r="S2" s="545"/>
      <c r="T2" s="545"/>
      <c r="U2" s="193"/>
      <c r="V2" s="67"/>
      <c r="W2" s="67"/>
      <c r="X2" s="67"/>
      <c r="Y2" s="67"/>
      <c r="Z2" s="344"/>
      <c r="AA2" s="410"/>
      <c r="AB2" s="410"/>
      <c r="AC2" s="410"/>
      <c r="AD2" s="410"/>
      <c r="AE2" s="410"/>
      <c r="AF2" s="410"/>
      <c r="AG2" s="410"/>
      <c r="AH2" s="410"/>
      <c r="AI2" s="69" t="s">
        <v>569</v>
      </c>
      <c r="AJ2" s="410"/>
      <c r="AK2" s="2425">
        <f>IF(File_Marr_Joint&lt;&gt;"",1,0)</f>
        <v>0</v>
      </c>
      <c r="AL2" s="2564"/>
      <c r="AM2" s="2920" t="s">
        <v>570</v>
      </c>
      <c r="AN2" s="2570"/>
      <c r="AO2" s="2570"/>
      <c r="AP2" s="2570"/>
      <c r="AQ2" s="1754" t="b">
        <f>(AL2&lt;&gt;"")</f>
        <v>0</v>
      </c>
      <c r="AR2" s="2570"/>
      <c r="AS2" s="2570"/>
      <c r="AT2" s="2570"/>
      <c r="AU2" s="2570"/>
      <c r="AV2" s="2570"/>
      <c r="AW2" s="2570"/>
      <c r="AX2" s="2570"/>
      <c r="AY2" s="2569">
        <f>DATEVALUE("1-JAN-"&amp;TaxYear)</f>
        <v>44927</v>
      </c>
      <c r="AZ2" s="892" t="b">
        <f>IF(BB2&gt;365,TRUE,FALSE)</f>
        <v>0</v>
      </c>
      <c r="BA2" s="2569">
        <f>DATEVALUE("1-JAN-"&amp;TaxYear+1)-1</f>
        <v>45291</v>
      </c>
      <c r="BB2" s="892">
        <f>EndOfTaxYear+1-BeginningOfTaxYear</f>
        <v>365</v>
      </c>
      <c r="BC2" s="808"/>
      <c r="BD2" s="1579" t="s">
        <v>571</v>
      </c>
      <c r="BE2" s="1579" t="s">
        <v>572</v>
      </c>
      <c r="BF2" s="1579" t="s">
        <v>573</v>
      </c>
      <c r="BG2" s="1579" t="s">
        <v>574</v>
      </c>
      <c r="BH2" s="1579" t="s">
        <v>575</v>
      </c>
      <c r="BI2" s="780"/>
      <c r="BJ2" s="2724" t="s">
        <v>251</v>
      </c>
      <c r="BK2" s="2038"/>
      <c r="BL2" s="2038"/>
      <c r="BM2" s="2038"/>
      <c r="BN2" s="2038"/>
      <c r="BO2" s="2038"/>
      <c r="BP2" s="2038"/>
      <c r="BQ2" s="2038"/>
      <c r="BR2" s="2038"/>
      <c r="BS2" s="2038"/>
      <c r="BT2" s="2038"/>
      <c r="BU2" s="2038"/>
      <c r="BV2" s="2038"/>
    </row>
    <row r="3" spans="1:74" ht="16.5" customHeight="1">
      <c r="A3" s="394"/>
      <c r="B3" s="6474" t="s">
        <v>50</v>
      </c>
      <c r="C3" s="6476" t="s">
        <v>77</v>
      </c>
      <c r="D3" s="6476"/>
      <c r="E3" s="5311"/>
      <c r="F3" s="4281"/>
      <c r="G3" s="4281" t="str">
        <f>IF(FilingStatusError,"Please check only ONE filing status box.","Department of the Treasury––Internal Revenue Service")</f>
        <v>Department of the Treasury––Internal Revenue Service</v>
      </c>
      <c r="H3" s="4281"/>
      <c r="I3" s="4272"/>
      <c r="J3" s="4272"/>
      <c r="K3" s="4272"/>
      <c r="L3" s="4272"/>
      <c r="M3" s="4272"/>
      <c r="N3" s="4272"/>
      <c r="O3" s="4272"/>
      <c r="P3" s="4272"/>
      <c r="Q3" s="4282"/>
      <c r="R3" s="4282"/>
      <c r="S3" s="6489">
        <v>2023</v>
      </c>
      <c r="T3" s="6490"/>
      <c r="U3" s="6490"/>
      <c r="V3" s="6491"/>
      <c r="W3" s="6502"/>
      <c r="X3" s="6503"/>
      <c r="Y3" s="6503"/>
      <c r="Z3" s="6504"/>
      <c r="AA3" s="6478"/>
      <c r="AB3" s="6479"/>
      <c r="AC3" s="6479"/>
      <c r="AD3" s="6479"/>
      <c r="AE3" s="6479"/>
      <c r="AF3" s="6479"/>
      <c r="AG3" s="6479"/>
      <c r="AH3" s="6479"/>
      <c r="AI3" s="6479"/>
      <c r="AJ3" s="433"/>
      <c r="AK3" s="2425">
        <f>IF(File_Marr_Sep&lt;&gt;"",1,0)</f>
        <v>0</v>
      </c>
      <c r="AL3" s="2564"/>
      <c r="AM3" s="2920" t="s">
        <v>5486</v>
      </c>
      <c r="AN3" s="900"/>
      <c r="AO3" s="900"/>
      <c r="AP3" s="2569"/>
      <c r="AQ3" s="1754" t="b">
        <f>(AL3&lt;&gt;"")</f>
        <v>0</v>
      </c>
      <c r="AR3" s="808"/>
      <c r="AS3" s="808"/>
      <c r="AT3" s="808"/>
      <c r="AU3" s="808"/>
      <c r="AV3" s="808"/>
      <c r="AW3" s="808"/>
      <c r="AX3" s="808"/>
      <c r="AY3" s="808"/>
      <c r="AZ3" s="808"/>
      <c r="BA3" s="808"/>
      <c r="BB3" s="808"/>
      <c r="BC3" s="808"/>
      <c r="BD3" s="1829" t="b">
        <f>IF(ISERROR(FIND("ALASKA",State)),FALSE,TRUE)</f>
        <v>0</v>
      </c>
      <c r="BE3" s="1830" t="b">
        <f>IF(ISERROR(FIND("HAWAII",State)),FALSE,TRUE)</f>
        <v>0</v>
      </c>
      <c r="BF3" s="1830" t="b">
        <f>IF(ISERROR(FIND("MAINE",State)),FALSE,TRUE)</f>
        <v>0</v>
      </c>
      <c r="BG3" s="1830" t="b">
        <f>IF(ISERROR(FIND("MASSACHUSETTS",State)),FALSE,TRUE)</f>
        <v>0</v>
      </c>
      <c r="BH3" s="1830" t="b">
        <f>IF(ISERROR(FIND("DISTRICT",State)),FALSE,TRUE)</f>
        <v>0</v>
      </c>
      <c r="BI3" s="780"/>
      <c r="BJ3" s="2725"/>
      <c r="BK3" s="2038"/>
      <c r="BL3" s="2038"/>
      <c r="BM3" s="2038"/>
      <c r="BN3" s="2038"/>
      <c r="BO3" s="2038"/>
      <c r="BP3" s="2038"/>
      <c r="BQ3" s="2038"/>
      <c r="BR3" s="2038"/>
      <c r="BS3" s="2038"/>
      <c r="BT3" s="2038"/>
      <c r="BU3" s="2038"/>
      <c r="BV3" s="2038"/>
    </row>
    <row r="4" spans="1:74" ht="21" customHeight="1" thickBot="1">
      <c r="A4" s="394"/>
      <c r="B4" s="6475"/>
      <c r="C4" s="6477"/>
      <c r="D4" s="6477"/>
      <c r="E4" s="5312"/>
      <c r="F4" s="6506" t="str">
        <f>IF(NumFileStatusBoxes=0,"Check one FILING STATUS box.","U.S. Individual Income Tax Return")</f>
        <v>Check one FILING STATUS box.</v>
      </c>
      <c r="G4" s="6507"/>
      <c r="H4" s="6507"/>
      <c r="I4" s="6507"/>
      <c r="J4" s="6507"/>
      <c r="K4" s="6507"/>
      <c r="L4" s="6507"/>
      <c r="M4" s="6507"/>
      <c r="N4" s="6507"/>
      <c r="O4" s="6507"/>
      <c r="P4" s="6507"/>
      <c r="Q4" s="6507"/>
      <c r="R4" s="6508"/>
      <c r="S4" s="6492"/>
      <c r="T4" s="6493"/>
      <c r="U4" s="6493"/>
      <c r="V4" s="6494"/>
      <c r="W4" s="6486" t="s">
        <v>576</v>
      </c>
      <c r="X4" s="6487"/>
      <c r="Y4" s="6487"/>
      <c r="Z4" s="6488"/>
      <c r="AA4" s="6484" t="str">
        <f>IF(FilingStatusError,"Check only ONE filing status block","IRS Use Only—Do not write or staple in this space.")</f>
        <v>IRS Use Only—Do not write or staple in this space.</v>
      </c>
      <c r="AB4" s="6485"/>
      <c r="AC4" s="6485"/>
      <c r="AD4" s="6485"/>
      <c r="AE4" s="6485"/>
      <c r="AF4" s="6485"/>
      <c r="AG4" s="6485"/>
      <c r="AH4" s="6485"/>
      <c r="AI4" s="6485"/>
      <c r="AJ4" s="434"/>
      <c r="AK4" s="2425">
        <f>IF(File_Head&lt;&gt;"",1,0)</f>
        <v>0</v>
      </c>
      <c r="AL4" s="2565" t="s">
        <v>577</v>
      </c>
      <c r="AM4" s="2566"/>
      <c r="AN4" s="2567"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Filing status not indicated.</v>
      </c>
      <c r="AO4" s="2475"/>
      <c r="AP4" s="808"/>
      <c r="AQ4" s="808"/>
      <c r="AR4" s="808"/>
      <c r="AS4" s="808"/>
      <c r="AT4" s="808"/>
      <c r="AU4" s="808"/>
      <c r="AV4" s="808"/>
      <c r="AW4" s="808"/>
      <c r="AX4" s="808"/>
      <c r="AY4" s="808"/>
      <c r="AZ4" s="808"/>
      <c r="BA4" s="808"/>
      <c r="BB4" s="808"/>
      <c r="BC4" s="808"/>
      <c r="BD4" s="1831" t="b">
        <f>IF(ISERROR(FIND("AK",State)),FALSE,TRUE)</f>
        <v>0</v>
      </c>
      <c r="BE4" s="1832" t="b">
        <f>IF(ISERROR(FIND("HI",State)),FALSE,TRUE)</f>
        <v>0</v>
      </c>
      <c r="BF4" s="1832" t="b">
        <f>IF(ISERROR(FIND("ME",State)),FALSE,TRUE)</f>
        <v>0</v>
      </c>
      <c r="BG4" s="1832" t="b">
        <f>IF(ISERROR(FIND("MA",State)),FALSE,TRUE)</f>
        <v>0</v>
      </c>
      <c r="BH4" s="1832" t="b">
        <f>IF(ISERROR(FIND("DC",State)),FALSE,TRUE)</f>
        <v>0</v>
      </c>
      <c r="BI4" s="780"/>
      <c r="BJ4" s="2725"/>
      <c r="BK4" s="2038"/>
      <c r="BL4" s="2038"/>
      <c r="BM4" s="2038"/>
      <c r="BN4" s="2038"/>
      <c r="BO4" s="2038"/>
      <c r="BP4" s="2038"/>
      <c r="BQ4" s="2038"/>
      <c r="BR4" s="2038"/>
      <c r="BS4" s="2038"/>
      <c r="BT4" s="2038"/>
      <c r="BU4" s="2038"/>
      <c r="BV4" s="2038"/>
    </row>
    <row r="5" spans="1:74" ht="18.75" customHeight="1" thickTop="1">
      <c r="A5" s="394"/>
      <c r="B5" s="5869" t="str">
        <f>"For the year Jan. 1–Dec. 31, "&amp;TaxYear&amp;", or other tax year beginning"</f>
        <v>For the year Jan. 1–Dec. 31, 2023, or other tax year beginning</v>
      </c>
      <c r="C5" s="5866"/>
      <c r="D5" s="5867"/>
      <c r="E5" s="5867"/>
      <c r="F5" s="5868"/>
      <c r="G5" s="5865"/>
      <c r="H5" s="5867"/>
      <c r="I5" s="5866"/>
      <c r="J5" s="5866"/>
      <c r="K5" s="5866"/>
      <c r="L5" s="5867"/>
      <c r="M5" s="5866"/>
      <c r="N5" s="6516"/>
      <c r="O5" s="6516"/>
      <c r="P5" s="6516"/>
      <c r="Q5" s="6516"/>
      <c r="R5" s="6516"/>
      <c r="S5" s="6516"/>
      <c r="T5" s="5869" t="str">
        <f>", "&amp;TaxYear&amp;", ending "</f>
        <v xml:space="preserve">, 2023, ending </v>
      </c>
      <c r="U5" s="5867"/>
      <c r="V5" s="5867"/>
      <c r="W5" s="6516"/>
      <c r="X5" s="6516"/>
      <c r="Y5" s="6516"/>
      <c r="Z5" s="6516"/>
      <c r="AA5" s="6513" t="s">
        <v>4332</v>
      </c>
      <c r="AB5" s="6514"/>
      <c r="AC5" s="6515"/>
      <c r="AD5" s="6515"/>
      <c r="AE5" s="6515"/>
      <c r="AF5" s="6515"/>
      <c r="AG5" s="6515"/>
      <c r="AH5" s="6515"/>
      <c r="AI5" s="6515"/>
      <c r="AJ5" s="66"/>
      <c r="AK5" s="2425"/>
      <c r="AL5" s="2425"/>
      <c r="AM5" s="2425"/>
      <c r="AN5" s="2425"/>
      <c r="AO5" s="2425"/>
      <c r="AP5" s="2425"/>
      <c r="AQ5" s="808"/>
      <c r="AR5" s="808"/>
      <c r="AS5" s="808"/>
      <c r="AT5" s="808"/>
      <c r="AU5" s="808"/>
      <c r="AV5" s="808"/>
      <c r="AW5" s="808"/>
      <c r="AX5" s="808"/>
      <c r="AY5" s="808"/>
      <c r="AZ5" s="808"/>
      <c r="BA5" s="808"/>
      <c r="BB5" s="808"/>
      <c r="BC5" s="808"/>
      <c r="BD5" s="1831"/>
      <c r="BE5" s="1832"/>
      <c r="BF5" s="1832"/>
      <c r="BG5" s="1832"/>
      <c r="BH5" s="1832"/>
      <c r="BI5" s="780"/>
      <c r="BJ5" s="2725"/>
      <c r="BK5" s="2038"/>
      <c r="BL5" s="2038"/>
      <c r="BM5" s="2038"/>
      <c r="BN5" s="2038"/>
      <c r="BO5" s="2038"/>
      <c r="BP5" s="2038"/>
      <c r="BQ5" s="2038"/>
      <c r="BR5" s="2038"/>
      <c r="BS5" s="2038"/>
      <c r="BT5" s="2038"/>
      <c r="BU5" s="2038"/>
      <c r="BV5" s="2038"/>
    </row>
    <row r="6" spans="1:74" ht="18.75" customHeight="1">
      <c r="A6" s="394"/>
      <c r="B6" s="22"/>
      <c r="C6" s="51" t="s">
        <v>585</v>
      </c>
      <c r="D6" s="29"/>
      <c r="E6" s="29"/>
      <c r="F6" s="5433"/>
      <c r="G6" s="22"/>
      <c r="H6" s="29"/>
      <c r="I6" s="51"/>
      <c r="J6" s="51"/>
      <c r="K6" s="51"/>
      <c r="L6" s="29"/>
      <c r="M6" s="51"/>
      <c r="N6" s="3688" t="str">
        <f>IF(AND(File_Marr_Sep&lt;&gt;"",OR(NOT(LivedApartAnswered),L24="")),"Please answer questions at right regarding your spouse.","   Last name")</f>
        <v xml:space="preserve">   Last name</v>
      </c>
      <c r="O6" s="51"/>
      <c r="P6" s="51"/>
      <c r="Q6" s="29"/>
      <c r="R6" s="51"/>
      <c r="S6" s="51"/>
      <c r="T6" s="51"/>
      <c r="U6" s="29"/>
      <c r="V6" s="29"/>
      <c r="W6" s="29"/>
      <c r="X6" s="51"/>
      <c r="Y6" s="51"/>
      <c r="Z6" s="51"/>
      <c r="AA6" s="6467" t="s">
        <v>586</v>
      </c>
      <c r="AB6" s="6468"/>
      <c r="AC6" s="6469"/>
      <c r="AD6" s="6469"/>
      <c r="AE6" s="6469"/>
      <c r="AF6" s="6469"/>
      <c r="AG6" s="6469"/>
      <c r="AH6" s="6469"/>
      <c r="AI6" s="6469"/>
      <c r="AJ6" s="66"/>
      <c r="AK6" s="2425"/>
      <c r="AL6" s="2425"/>
      <c r="AM6" s="2425"/>
      <c r="AN6" s="2425"/>
      <c r="AO6" s="2425"/>
      <c r="AP6" s="2425"/>
      <c r="AQ6" s="808"/>
      <c r="AR6" s="808"/>
      <c r="AS6" s="808"/>
      <c r="AT6" s="808"/>
      <c r="AU6" s="808"/>
      <c r="AV6" s="808"/>
      <c r="AW6" s="808"/>
      <c r="AX6" s="808"/>
      <c r="AY6" s="808"/>
      <c r="AZ6" s="808"/>
      <c r="BA6" s="808"/>
      <c r="BB6" s="808"/>
      <c r="BC6" s="808"/>
      <c r="BD6" s="1831"/>
      <c r="BE6" s="1832"/>
      <c r="BF6" s="1832"/>
      <c r="BG6" s="1832"/>
      <c r="BH6" s="1832"/>
      <c r="BI6" s="780"/>
      <c r="BJ6" s="2725"/>
      <c r="BK6" s="2038"/>
      <c r="BL6" s="2038"/>
      <c r="BM6" s="2038"/>
      <c r="BN6" s="2038"/>
      <c r="BO6" s="2038"/>
      <c r="BP6" s="2038"/>
      <c r="BQ6" s="2038"/>
      <c r="BR6" s="2038"/>
      <c r="BS6" s="2038"/>
      <c r="BT6" s="2038"/>
      <c r="BU6" s="2038"/>
      <c r="BV6" s="2038"/>
    </row>
    <row r="7" spans="1:74" ht="18.75" customHeight="1">
      <c r="A7" s="394"/>
      <c r="B7" s="6625"/>
      <c r="C7" s="6625"/>
      <c r="D7" s="6625"/>
      <c r="E7" s="6625"/>
      <c r="F7" s="6626"/>
      <c r="G7" s="6626"/>
      <c r="H7" s="6626"/>
      <c r="I7" s="6626"/>
      <c r="J7" s="6626"/>
      <c r="K7" s="6626"/>
      <c r="L7" s="6627"/>
      <c r="M7" s="6628"/>
      <c r="N7" s="6495"/>
      <c r="O7" s="6496"/>
      <c r="P7" s="6496"/>
      <c r="Q7" s="6496"/>
      <c r="R7" s="6496"/>
      <c r="S7" s="6496"/>
      <c r="T7" s="6496"/>
      <c r="U7" s="6496"/>
      <c r="V7" s="6496"/>
      <c r="W7" s="6496"/>
      <c r="X7" s="6496"/>
      <c r="Y7" s="6496"/>
      <c r="Z7" s="6497"/>
      <c r="AA7" s="6498">
        <v>1010001</v>
      </c>
      <c r="AB7" s="6499"/>
      <c r="AC7" s="6499"/>
      <c r="AD7" s="6499"/>
      <c r="AE7" s="6499"/>
      <c r="AF7" s="6499"/>
      <c r="AG7" s="6499"/>
      <c r="AH7" s="6499"/>
      <c r="AI7" s="6499"/>
      <c r="AJ7" s="43"/>
      <c r="AK7" s="2425">
        <f>IF(File_Qual_Widow&lt;&gt;"",1,0)</f>
        <v>0</v>
      </c>
      <c r="AL7" s="2561"/>
      <c r="AM7" s="5842" t="str">
        <f>IF(File_Marr_Sep&lt;&gt;""," Yes.","")</f>
        <v/>
      </c>
      <c r="AN7" s="5842" t="str">
        <f>IF(File_Marr_Sep&lt;&gt;"","Did you live apart from your spouse for all of "&amp;TEXT(TaxYear,"0")&amp;"?","")</f>
        <v/>
      </c>
      <c r="AO7" s="808"/>
      <c r="AP7" s="808"/>
      <c r="AQ7" s="900"/>
      <c r="AR7" s="900" t="b">
        <f>AND(File_Marr_Sep&lt;&gt;"",OR(AL7&lt;&gt;"",AL8&lt;&gt;""),NOT(AND(AL7&lt;&gt;"",AL8&lt;&gt;"")))</f>
        <v>0</v>
      </c>
      <c r="AS7" s="808"/>
      <c r="AT7" s="808"/>
      <c r="AU7" s="808"/>
      <c r="AV7" s="808"/>
      <c r="AW7" s="808"/>
      <c r="AX7" s="808"/>
      <c r="AY7" s="808"/>
      <c r="AZ7" s="808"/>
      <c r="BA7" s="808"/>
      <c r="BB7" s="808"/>
      <c r="BC7" s="808"/>
      <c r="BD7" s="1833" t="b">
        <f>IF(ISERROR(FIND("Alaska",State)),FALSE,TRUE)</f>
        <v>0</v>
      </c>
      <c r="BE7" s="1834" t="b">
        <f>IF(ISERROR(FIND("Hawaii",State)),FALSE,TRUE)</f>
        <v>0</v>
      </c>
      <c r="BF7" s="1834" t="b">
        <f>IF(ISERROR(FIND("Maine",State)),FALSE,TRUE)</f>
        <v>0</v>
      </c>
      <c r="BG7" s="1834" t="b">
        <f>IF(ISERROR(FIND("Massachusetts",State)),FALSE,TRUE)</f>
        <v>0</v>
      </c>
      <c r="BH7" s="1834" t="b">
        <f>IF(ISERROR(FIND("D.C.",State)),FALSE,TRUE)</f>
        <v>0</v>
      </c>
      <c r="BI7" s="780"/>
      <c r="BJ7" s="2725"/>
      <c r="BK7" s="2038"/>
      <c r="BL7" s="2038"/>
      <c r="BM7" s="2038"/>
      <c r="BN7" s="2038"/>
      <c r="BO7" s="2038"/>
      <c r="BP7" s="2038"/>
      <c r="BQ7" s="2038"/>
      <c r="BR7" s="2038"/>
      <c r="BS7" s="2038"/>
      <c r="BT7" s="2038"/>
      <c r="BU7" s="2038"/>
      <c r="BV7" s="2038"/>
    </row>
    <row r="8" spans="1:74" ht="14.25" customHeight="1" thickBot="1">
      <c r="A8" s="394"/>
      <c r="B8" s="701"/>
      <c r="C8" s="3244" t="s">
        <v>589</v>
      </c>
      <c r="D8" s="35"/>
      <c r="E8" s="35"/>
      <c r="F8" s="5434"/>
      <c r="G8" s="49"/>
      <c r="H8" s="35"/>
      <c r="I8" s="35"/>
      <c r="J8" s="35"/>
      <c r="K8" s="35"/>
      <c r="L8" s="35"/>
      <c r="M8" s="263"/>
      <c r="N8" s="3689" t="s">
        <v>590</v>
      </c>
      <c r="O8" s="35"/>
      <c r="P8" s="35"/>
      <c r="Q8" s="35"/>
      <c r="R8" s="35"/>
      <c r="S8" s="35"/>
      <c r="T8" s="35"/>
      <c r="U8" s="35"/>
      <c r="V8" s="35"/>
      <c r="W8" s="35"/>
      <c r="X8" s="35"/>
      <c r="Y8" s="35"/>
      <c r="Z8" s="263"/>
      <c r="AA8" s="6654" t="str">
        <f>IF(AND(File_Marr_Sep&lt;&gt;"",SS_Spouse=""),"Enter spouse's Soc. Sec. number","Spouse's social security number")</f>
        <v>Spouse's social security number</v>
      </c>
      <c r="AB8" s="6655"/>
      <c r="AC8" s="6656"/>
      <c r="AD8" s="6656"/>
      <c r="AE8" s="6656"/>
      <c r="AF8" s="6656"/>
      <c r="AG8" s="6656"/>
      <c r="AH8" s="6656"/>
      <c r="AI8" s="6656"/>
      <c r="AJ8" s="43"/>
      <c r="AK8" s="2425">
        <f>SUM(AK1:AK7)</f>
        <v>0</v>
      </c>
      <c r="AL8" s="2561"/>
      <c r="AM8" s="5842" t="str">
        <f>IF(OR(AND(AL7&lt;&gt;"",AL8&lt;&gt;""),AND(File_Marr_Sep&lt;&gt;"",AL7="",AL8=""))," No.",IF(File_Marr_Sep&lt;&gt;""," No.",""))</f>
        <v/>
      </c>
      <c r="AN8" s="5842" t="str">
        <f>IF(OR(AND(AL7&lt;&gt;"",AL8&lt;&gt;""),AND(File_Marr_Sep&lt;&gt;"",AL7="",AL8="")),"Please check ONE box.","")</f>
        <v/>
      </c>
      <c r="AO8" s="808"/>
      <c r="AP8" s="808"/>
      <c r="AQ8" s="900"/>
      <c r="AR8" s="900" t="b">
        <f>AND(File_Marr_Sep,AL7&lt;&gt;"",AL8="")</f>
        <v>0</v>
      </c>
      <c r="AS8" s="1754" t="b">
        <f>AND(DependentYOU="",OR(File_Single&lt;&gt;"",File_Marr_Joint&lt;&gt;"",File_Marr_Sep&lt;&gt;"",File_Head&lt;&gt;"",File_Qual_Widow&lt;&gt;""))</f>
        <v>0</v>
      </c>
      <c r="AT8" s="808"/>
      <c r="AU8" s="808"/>
      <c r="AV8" s="808"/>
      <c r="AW8" s="808"/>
      <c r="AX8" s="808"/>
      <c r="AY8" s="808"/>
      <c r="AZ8" s="808"/>
      <c r="BA8" s="808"/>
      <c r="BB8" s="808"/>
      <c r="BC8" s="808"/>
      <c r="BD8" s="1835" t="b">
        <f>OR(BD3,BD4,BD7)</f>
        <v>0</v>
      </c>
      <c r="BE8" s="1836" t="b">
        <f>OR(BE3,BE4,BE7)</f>
        <v>0</v>
      </c>
      <c r="BF8" s="1836" t="b">
        <f>OR(BF3,BF4,BF7)</f>
        <v>0</v>
      </c>
      <c r="BG8" s="1836" t="b">
        <f>OR(BG3,BG4,BG7)</f>
        <v>0</v>
      </c>
      <c r="BH8" s="1836" t="b">
        <f>OR(BH3,BH4,BH7)</f>
        <v>0</v>
      </c>
      <c r="BI8" s="780"/>
      <c r="BJ8" s="2725"/>
      <c r="BK8" s="2038"/>
      <c r="BL8" s="2038"/>
      <c r="BM8" s="2038"/>
      <c r="BN8" s="2038"/>
      <c r="BO8" s="2038"/>
      <c r="BP8" s="2038"/>
      <c r="BQ8" s="2038"/>
      <c r="BR8" s="2038"/>
      <c r="BS8" s="2038"/>
      <c r="BT8" s="2038"/>
      <c r="BU8" s="2038"/>
      <c r="BV8" s="2038"/>
    </row>
    <row r="9" spans="1:74" ht="17.25" customHeight="1">
      <c r="A9" s="394"/>
      <c r="B9" s="6629"/>
      <c r="C9" s="6472"/>
      <c r="D9" s="6472"/>
      <c r="E9" s="6472"/>
      <c r="F9" s="6472"/>
      <c r="G9" s="6472"/>
      <c r="H9" s="6472"/>
      <c r="I9" s="6472"/>
      <c r="J9" s="6472"/>
      <c r="K9" s="6472"/>
      <c r="L9" s="6627"/>
      <c r="M9" s="6628"/>
      <c r="N9" s="6495"/>
      <c r="O9" s="6496"/>
      <c r="P9" s="6496"/>
      <c r="Q9" s="6496"/>
      <c r="R9" s="6496"/>
      <c r="S9" s="6496"/>
      <c r="T9" s="6496"/>
      <c r="U9" s="6496"/>
      <c r="V9" s="6496"/>
      <c r="W9" s="6496"/>
      <c r="X9" s="6496"/>
      <c r="Y9" s="6496"/>
      <c r="Z9" s="6497"/>
      <c r="AA9" s="6498">
        <v>1010002</v>
      </c>
      <c r="AB9" s="6499"/>
      <c r="AC9" s="6499"/>
      <c r="AD9" s="6499"/>
      <c r="AE9" s="6499"/>
      <c r="AF9" s="6499"/>
      <c r="AG9" s="6499"/>
      <c r="AH9" s="6499"/>
      <c r="AI9" s="6499"/>
      <c r="AJ9" s="435"/>
      <c r="AK9" s="1994" t="b">
        <f>NumFileStatusBoxes&gt;1</f>
        <v>0</v>
      </c>
      <c r="AL9" s="2561"/>
      <c r="AM9" s="6282" t="str">
        <f>IF(File_Marr_Sep&lt;&gt;"","Check here if your spouse had no income and is NOT filing a tax return.","")</f>
        <v/>
      </c>
      <c r="AN9" s="6282"/>
      <c r="AO9" s="6282"/>
      <c r="AP9" s="6282"/>
      <c r="AQ9" s="6282"/>
      <c r="AR9" s="1754" t="b">
        <f>AND(DependentSPOUSE="",File_Marr_Joint&lt;&gt;"")</f>
        <v>0</v>
      </c>
      <c r="AS9" s="808"/>
      <c r="AT9" s="808"/>
      <c r="AU9" s="808"/>
      <c r="AV9" s="808"/>
      <c r="AW9" s="892" t="str">
        <f>IF(AND(Name_1st_Yours&lt;&gt;"",Name_1st_Sp&lt;&gt;""),Name_1st_Yours&amp;" "&amp;Name_Last_Yours&amp;" &amp; "&amp;Name_1st_Sp&amp;" "&amp;Name_Last_Sp,IF(Name_Last_Yours&lt;&gt;"",Name_1st_Yours&amp;" "&amp;Name_Last_Yours,""))</f>
        <v/>
      </c>
      <c r="AX9" s="808"/>
      <c r="AY9" s="900"/>
      <c r="AZ9" s="900"/>
      <c r="BA9" s="808"/>
      <c r="BB9" s="808"/>
      <c r="BC9" s="808"/>
      <c r="BD9" s="808"/>
      <c r="BE9" s="808"/>
      <c r="BF9" s="808"/>
      <c r="BG9" s="808" t="b">
        <f>OR(BF8,BG8,BH8)</f>
        <v>0</v>
      </c>
      <c r="BH9" s="780"/>
      <c r="BI9" s="780"/>
      <c r="BJ9" s="2725"/>
      <c r="BK9" s="2038"/>
      <c r="BL9" s="2038"/>
      <c r="BM9" s="2038"/>
      <c r="BN9" s="2038"/>
      <c r="BO9" s="2038"/>
      <c r="BP9" s="2038"/>
      <c r="BQ9" s="2038"/>
      <c r="BR9" s="2038"/>
      <c r="BS9" s="2038"/>
      <c r="BT9" s="2038"/>
      <c r="BU9" s="2038"/>
      <c r="BV9" s="2038"/>
    </row>
    <row r="10" spans="1:74" ht="16.5" customHeight="1" thickBot="1">
      <c r="A10" s="394"/>
      <c r="B10" s="3244"/>
      <c r="C10" s="51" t="s">
        <v>591</v>
      </c>
      <c r="D10" s="29"/>
      <c r="E10" s="29"/>
      <c r="F10" s="5435"/>
      <c r="G10" s="22"/>
      <c r="H10" s="29"/>
      <c r="I10" s="29"/>
      <c r="J10" s="29"/>
      <c r="K10" s="29"/>
      <c r="L10" s="35"/>
      <c r="M10" s="35"/>
      <c r="N10" s="35"/>
      <c r="O10" s="35"/>
      <c r="P10" s="35"/>
      <c r="Q10" s="35"/>
      <c r="R10" s="35"/>
      <c r="S10" s="35"/>
      <c r="T10" s="35"/>
      <c r="U10" s="35"/>
      <c r="V10" s="35"/>
      <c r="W10" s="35"/>
      <c r="X10" s="3689" t="s">
        <v>592</v>
      </c>
      <c r="Y10" s="35"/>
      <c r="Z10" s="263"/>
      <c r="AA10" s="6470" t="s">
        <v>593</v>
      </c>
      <c r="AB10" s="6471"/>
      <c r="AC10" s="6471"/>
      <c r="AD10" s="6471"/>
      <c r="AE10" s="6471"/>
      <c r="AF10" s="6471"/>
      <c r="AG10" s="6471"/>
      <c r="AH10" s="6471"/>
      <c r="AI10" s="6471"/>
      <c r="AJ10" s="43"/>
      <c r="AK10" s="1754" t="b">
        <f>(NumFileStatusBoxes&gt;1)</f>
        <v>0</v>
      </c>
      <c r="AL10" s="5847"/>
      <c r="AM10" s="2746"/>
      <c r="AN10" s="5847"/>
      <c r="AO10" s="5847"/>
      <c r="AP10" s="5847"/>
      <c r="AQ10" s="5847"/>
      <c r="AR10" s="2405"/>
      <c r="AS10" s="808"/>
      <c r="AT10" s="2405"/>
      <c r="AU10" s="2405"/>
      <c r="AV10" s="5845" t="b">
        <f>IF(AND(OR(File_Single&lt;&gt;"",File_Head&lt;&gt;""),OR(sp_over_64&lt;&gt;"",sp_blind&lt;&gt;"",DependentSPOUSE&lt;&gt;"",Dual_Status_Alien&lt;&gt;"")),TRUE,FALSE)</f>
        <v>0</v>
      </c>
      <c r="AW10" s="2405"/>
      <c r="AX10" s="808"/>
      <c r="AY10" s="808"/>
      <c r="AZ10" s="900"/>
      <c r="BA10" s="900"/>
      <c r="BB10" s="808"/>
      <c r="BC10" s="808"/>
      <c r="BD10" s="808"/>
      <c r="BE10" s="808"/>
      <c r="BF10" s="808"/>
      <c r="BG10" s="2716" t="s">
        <v>587</v>
      </c>
      <c r="BH10" s="808"/>
      <c r="BI10" s="780"/>
      <c r="BJ10" s="2725"/>
      <c r="BK10" s="2038"/>
      <c r="BL10" s="2038"/>
      <c r="BM10" s="2038"/>
      <c r="BN10" s="2038"/>
      <c r="BO10" s="2038"/>
      <c r="BP10" s="2038"/>
      <c r="BQ10" s="2038"/>
      <c r="BR10" s="2038"/>
      <c r="BS10" s="2038"/>
      <c r="BT10" s="2038"/>
      <c r="BU10" s="2038"/>
      <c r="BV10" s="2038"/>
    </row>
    <row r="11" spans="1:74" ht="16.5" customHeight="1">
      <c r="A11" s="394"/>
      <c r="B11" s="6472"/>
      <c r="C11" s="6472"/>
      <c r="D11" s="6472"/>
      <c r="E11" s="6472"/>
      <c r="F11" s="6472"/>
      <c r="G11" s="6472"/>
      <c r="H11" s="6472"/>
      <c r="I11" s="6472"/>
      <c r="J11" s="6472"/>
      <c r="K11" s="6472"/>
      <c r="L11" s="6472"/>
      <c r="M11" s="6472"/>
      <c r="N11" s="6472"/>
      <c r="O11" s="6472"/>
      <c r="P11" s="6472"/>
      <c r="Q11" s="6472"/>
      <c r="R11" s="6472"/>
      <c r="S11" s="6472"/>
      <c r="T11" s="6472"/>
      <c r="U11" s="6472"/>
      <c r="V11" s="6472"/>
      <c r="W11" s="6473"/>
      <c r="X11" s="6500"/>
      <c r="Y11" s="6501"/>
      <c r="Z11" s="6327"/>
      <c r="AA11" s="6630" t="s">
        <v>594</v>
      </c>
      <c r="AB11" s="6631"/>
      <c r="AC11" s="6631"/>
      <c r="AD11" s="6631"/>
      <c r="AE11" s="6631"/>
      <c r="AF11" s="6631"/>
      <c r="AG11" s="6631"/>
      <c r="AH11" s="6631"/>
      <c r="AI11" s="6631"/>
      <c r="AJ11" s="43"/>
      <c r="AK11" s="1756" t="b">
        <f>IF(AND(OR(File_Single&lt;&gt;"",File_Head&lt;&gt;""),OR(sp_over_64&lt;&gt;"",sp_blind&lt;&gt;"")),TRUE,FALSE)</f>
        <v>0</v>
      </c>
      <c r="AL11" s="1581"/>
      <c r="AM11" s="1605" t="str">
        <f>IF(AND($AV$11,AY13,AY15),"Birthdates",IF($AV$11,"Enter your birthdate and your spouse's birthdate.",IF(AY13,"Birthdate","Enter your birthdate.")))</f>
        <v>Enter your birthdate.</v>
      </c>
      <c r="AN11" s="890"/>
      <c r="AO11" s="890"/>
      <c r="AP11" s="890"/>
      <c r="AQ11" s="891"/>
      <c r="AR11" s="2405"/>
      <c r="AS11" s="2405"/>
      <c r="AT11" s="808"/>
      <c r="AU11" s="808"/>
      <c r="AV11" s="5846" t="b">
        <f>OR(File_Marr_Joint&lt;&gt;"",File_Marr_Sep&lt;&gt;"",File_Qual_Widow&lt;&gt;"")</f>
        <v>0</v>
      </c>
      <c r="AW11" s="892" t="str">
        <f>Name_1st_Yours&amp;" "&amp;Name_Last_Yours</f>
        <v xml:space="preserve"> </v>
      </c>
      <c r="AX11" s="892"/>
      <c r="AY11" s="892" t="str">
        <f>Name_1st_Sp&amp;" "&amp;Name_Last_Sp</f>
        <v xml:space="preserve"> </v>
      </c>
      <c r="AZ11" s="892"/>
      <c r="BA11" s="900"/>
      <c r="BB11" s="808"/>
      <c r="BC11" s="808"/>
      <c r="BD11" s="808"/>
      <c r="BE11" s="808"/>
      <c r="BF11" s="808"/>
      <c r="BG11" s="892" t="s">
        <v>588</v>
      </c>
      <c r="BH11" s="780"/>
      <c r="BJ11" s="2725"/>
      <c r="BK11" s="2038"/>
      <c r="BL11" s="2038"/>
      <c r="BM11" s="2038"/>
      <c r="BN11" s="2038"/>
      <c r="BO11" s="2038"/>
      <c r="BP11" s="2038"/>
      <c r="BQ11" s="2038"/>
      <c r="BR11" s="2038"/>
      <c r="BS11" s="2038"/>
      <c r="BT11" s="2038"/>
      <c r="BU11" s="2038"/>
      <c r="BV11" s="2038"/>
    </row>
    <row r="12" spans="1:74" ht="16.5" customHeight="1" thickBot="1">
      <c r="A12" s="394"/>
      <c r="B12" s="35"/>
      <c r="C12" s="3244" t="s">
        <v>598</v>
      </c>
      <c r="D12" s="35"/>
      <c r="E12" s="35"/>
      <c r="F12" s="702"/>
      <c r="G12" s="49"/>
      <c r="H12" s="35"/>
      <c r="I12" s="35"/>
      <c r="J12" s="35"/>
      <c r="K12" s="35"/>
      <c r="L12" s="35"/>
      <c r="M12" s="35"/>
      <c r="N12" s="35"/>
      <c r="O12" s="35"/>
      <c r="P12" s="35"/>
      <c r="Q12" s="35"/>
      <c r="R12" s="35"/>
      <c r="S12" s="6638" t="s">
        <v>339</v>
      </c>
      <c r="T12" s="6639"/>
      <c r="U12" s="6639"/>
      <c r="V12" s="6640"/>
      <c r="W12" s="6638" t="s">
        <v>599</v>
      </c>
      <c r="X12" s="6639"/>
      <c r="Y12" s="6639"/>
      <c r="Z12" s="6640"/>
      <c r="AA12" s="6630"/>
      <c r="AB12" s="6631"/>
      <c r="AC12" s="6631"/>
      <c r="AD12" s="6631"/>
      <c r="AE12" s="6631"/>
      <c r="AF12" s="6631"/>
      <c r="AG12" s="6631"/>
      <c r="AH12" s="6631"/>
      <c r="AI12" s="6631"/>
      <c r="AJ12" s="43"/>
      <c r="AK12" s="1756"/>
      <c r="AL12" s="1582"/>
      <c r="AM12" s="1579"/>
      <c r="AN12" s="1579" t="s">
        <v>595</v>
      </c>
      <c r="AO12" s="1579" t="s">
        <v>596</v>
      </c>
      <c r="AP12" s="1579" t="s">
        <v>597</v>
      </c>
      <c r="AQ12" s="1314"/>
      <c r="AR12" s="808"/>
      <c r="AS12" s="808"/>
      <c r="AT12" s="808"/>
      <c r="AU12" s="808"/>
      <c r="AV12" s="1604">
        <f>IF(you_over_64&lt;&gt;"",1,0)</f>
        <v>0</v>
      </c>
      <c r="AW12" s="808"/>
      <c r="AX12" s="808"/>
      <c r="AY12" s="900"/>
      <c r="AZ12" s="900"/>
      <c r="BA12" s="808"/>
      <c r="BB12" s="808"/>
      <c r="BC12" s="808"/>
      <c r="BD12" s="808"/>
      <c r="BE12" s="808"/>
      <c r="BF12" s="808"/>
      <c r="BG12" s="808"/>
      <c r="BH12" s="808"/>
      <c r="BI12" s="780"/>
      <c r="BJ12" s="2725"/>
      <c r="BK12" s="2038"/>
      <c r="BL12" s="2038"/>
      <c r="BM12" s="2038"/>
      <c r="BN12" s="2038"/>
      <c r="BO12" s="2038"/>
      <c r="BP12" s="2038"/>
      <c r="BQ12" s="2038"/>
      <c r="BR12" s="2038"/>
      <c r="BS12" s="2038"/>
      <c r="BT12" s="2038"/>
      <c r="BU12" s="2038"/>
      <c r="BV12" s="2038"/>
    </row>
    <row r="13" spans="1:74" ht="16.5" customHeight="1" thickBot="1">
      <c r="A13" s="394"/>
      <c r="B13" s="6644"/>
      <c r="C13" s="6645"/>
      <c r="D13" s="6645"/>
      <c r="E13" s="6645"/>
      <c r="F13" s="6645"/>
      <c r="G13" s="6645"/>
      <c r="H13" s="6645"/>
      <c r="I13" s="6645"/>
      <c r="J13" s="6645"/>
      <c r="K13" s="6645"/>
      <c r="L13" s="6645"/>
      <c r="M13" s="6645"/>
      <c r="N13" s="6645"/>
      <c r="O13" s="6645"/>
      <c r="P13" s="6645"/>
      <c r="Q13" s="6645"/>
      <c r="R13" s="6646"/>
      <c r="S13" s="6641"/>
      <c r="T13" s="6642"/>
      <c r="U13" s="6642"/>
      <c r="V13" s="6643"/>
      <c r="W13" s="6641"/>
      <c r="X13" s="6642"/>
      <c r="Y13" s="6642"/>
      <c r="Z13" s="6643"/>
      <c r="AA13" s="6630"/>
      <c r="AB13" s="6631"/>
      <c r="AC13" s="6631"/>
      <c r="AD13" s="6631"/>
      <c r="AE13" s="6631"/>
      <c r="AF13" s="6631"/>
      <c r="AG13" s="6631"/>
      <c r="AH13" s="6631"/>
      <c r="AI13" s="6631"/>
      <c r="AJ13" s="43"/>
      <c r="AK13" s="1756"/>
      <c r="AL13" s="1004"/>
      <c r="AM13" s="1585" t="s">
        <v>600</v>
      </c>
      <c r="AN13" s="1584"/>
      <c r="AO13" s="1584"/>
      <c r="AP13" s="1584"/>
      <c r="AQ13" s="1583"/>
      <c r="AR13" s="808"/>
      <c r="AS13" s="808"/>
      <c r="AT13" s="808"/>
      <c r="AU13" s="808"/>
      <c r="AV13" s="1604">
        <f>IF(you_blind&lt;&gt;"",1,0)</f>
        <v>0</v>
      </c>
      <c r="AW13" s="1579"/>
      <c r="AX13" s="1579"/>
      <c r="AY13" s="892" t="b">
        <f>IF(OR(YourBirthMonth="",YourBirthDay="",YourBirthYear=""),FALSE,TRUE)</f>
        <v>0</v>
      </c>
      <c r="AZ13" s="892" t="str">
        <f>IF(OR(YourBirthMonth="",YourBirthDay="",YourBirthYear=""),"Enter your birthdate",IF(BB88,"Your birthdate appears to be in error.",IF(AY14,"For IRS purposes, you were "&amp;YourAge&amp;" years old on December 31, "&amp;TaxYear&amp;".","You were "&amp;YourAge&amp;" years old on December 31, "&amp;TaxYear&amp;".")))</f>
        <v>Enter your birthdate</v>
      </c>
      <c r="BA13" s="808"/>
      <c r="BB13" s="808"/>
      <c r="BC13" s="808"/>
      <c r="BD13" s="808"/>
      <c r="BE13" s="808"/>
      <c r="BF13" s="808"/>
      <c r="BG13" s="808"/>
      <c r="BH13" s="808"/>
      <c r="BI13" s="808"/>
      <c r="BJ13" s="2725"/>
      <c r="BK13" s="2038"/>
      <c r="BL13" s="2038"/>
      <c r="BM13" s="2038"/>
      <c r="BN13" s="2038"/>
      <c r="BO13" s="2038"/>
      <c r="BP13" s="2038"/>
      <c r="BQ13" s="2038"/>
      <c r="BR13" s="2038"/>
      <c r="BS13" s="2038"/>
      <c r="BT13" s="2038"/>
      <c r="BU13" s="2038"/>
      <c r="BV13" s="2038"/>
    </row>
    <row r="14" spans="1:74" ht="16.5" customHeight="1" thickBot="1">
      <c r="A14" s="394"/>
      <c r="B14" s="35"/>
      <c r="C14" s="51" t="s">
        <v>602</v>
      </c>
      <c r="D14" s="35"/>
      <c r="E14" s="35"/>
      <c r="F14" s="702"/>
      <c r="G14" s="49"/>
      <c r="H14" s="35"/>
      <c r="I14" s="35"/>
      <c r="J14" s="35"/>
      <c r="K14" s="35"/>
      <c r="L14" s="35"/>
      <c r="M14" s="35"/>
      <c r="N14" s="35"/>
      <c r="O14" s="3689" t="s">
        <v>603</v>
      </c>
      <c r="P14" s="35"/>
      <c r="Q14" s="35"/>
      <c r="R14" s="35"/>
      <c r="S14" s="35"/>
      <c r="T14" s="35"/>
      <c r="U14" s="35"/>
      <c r="V14" s="35"/>
      <c r="W14" s="3689" t="s">
        <v>604</v>
      </c>
      <c r="X14" s="35"/>
      <c r="Y14" s="35"/>
      <c r="Z14" s="263"/>
      <c r="AA14" s="6630"/>
      <c r="AB14" s="6631"/>
      <c r="AC14" s="6631"/>
      <c r="AD14" s="6631"/>
      <c r="AE14" s="6631"/>
      <c r="AF14" s="6631"/>
      <c r="AG14" s="6631"/>
      <c r="AH14" s="6631"/>
      <c r="AI14" s="6631"/>
      <c r="AJ14" s="43"/>
      <c r="AK14" s="1994"/>
      <c r="AL14" s="2077"/>
      <c r="AM14" s="1579"/>
      <c r="AN14" s="814" t="str">
        <f>AZ13</f>
        <v>Enter your birthdate</v>
      </c>
      <c r="AO14" s="814"/>
      <c r="AP14" s="814"/>
      <c r="AQ14" s="5436"/>
      <c r="AR14" s="808"/>
      <c r="AS14" s="808"/>
      <c r="AT14" s="808"/>
      <c r="AU14" s="808"/>
      <c r="AV14" s="1604">
        <f>IF(AND(OR(File_Marr_Joint&lt;&gt;"",MFS_Spouse_NotFiling&lt;&gt;""),sp_over_64&lt;&gt;""),1,0)</f>
        <v>0</v>
      </c>
      <c r="AW14" s="1578"/>
      <c r="AX14" s="1578"/>
      <c r="AY14" s="892" t="b">
        <f>AND(YourBirthMonth=1,YourBirthDay=1)</f>
        <v>0</v>
      </c>
      <c r="AZ14" s="900"/>
      <c r="BA14" s="808"/>
      <c r="BB14" s="808"/>
      <c r="BC14" s="808"/>
      <c r="BD14" s="808"/>
      <c r="BE14" s="808"/>
      <c r="BF14" s="808"/>
      <c r="BG14" s="808"/>
      <c r="BH14" s="808"/>
      <c r="BI14" s="808"/>
      <c r="BJ14" s="2725"/>
      <c r="BK14" s="2038"/>
      <c r="BL14" s="2038"/>
      <c r="BM14" s="2038"/>
      <c r="BN14" s="2038"/>
      <c r="BO14" s="2038"/>
      <c r="BP14" s="2038"/>
      <c r="BQ14" s="2038"/>
      <c r="BR14" s="2038"/>
      <c r="BS14" s="2038"/>
      <c r="BT14" s="2038"/>
      <c r="BU14" s="2038"/>
      <c r="BV14" s="2038"/>
    </row>
    <row r="15" spans="1:74" ht="16.5" customHeight="1" thickBot="1">
      <c r="A15" s="394"/>
      <c r="B15" s="6650"/>
      <c r="C15" s="6650"/>
      <c r="D15" s="6650"/>
      <c r="E15" s="6650"/>
      <c r="F15" s="6650"/>
      <c r="G15" s="6650"/>
      <c r="H15" s="6650"/>
      <c r="I15" s="6650"/>
      <c r="J15" s="6650"/>
      <c r="K15" s="6650"/>
      <c r="L15" s="6650"/>
      <c r="M15" s="6650"/>
      <c r="N15" s="6650"/>
      <c r="O15" s="6322"/>
      <c r="P15" s="6323"/>
      <c r="Q15" s="6323"/>
      <c r="R15" s="6323"/>
      <c r="S15" s="6323"/>
      <c r="T15" s="6323"/>
      <c r="U15" s="6323"/>
      <c r="V15" s="6324"/>
      <c r="W15" s="6322"/>
      <c r="X15" s="6323"/>
      <c r="Y15" s="6323"/>
      <c r="Z15" s="6324"/>
      <c r="AA15" s="4275"/>
      <c r="AB15" s="4231"/>
      <c r="AC15" s="4231"/>
      <c r="AD15" s="809"/>
      <c r="AE15" s="4201" t="s">
        <v>605</v>
      </c>
      <c r="AF15" s="4231"/>
      <c r="AG15" s="809"/>
      <c r="AH15" s="4201" t="s">
        <v>606</v>
      </c>
      <c r="AI15" s="4206"/>
      <c r="AJ15" s="43"/>
      <c r="AK15" s="2553"/>
      <c r="AL15" s="2720"/>
      <c r="AM15" s="1585" t="str">
        <f>IF($AV$11,"Spouse ","")</f>
        <v/>
      </c>
      <c r="AN15" s="1584"/>
      <c r="AO15" s="1584"/>
      <c r="AP15" s="1584"/>
      <c r="AQ15" s="1583"/>
      <c r="AR15" s="1579"/>
      <c r="AS15" s="808"/>
      <c r="AT15" s="1579"/>
      <c r="AU15" s="1579"/>
      <c r="AV15" s="1604">
        <f>IF(sp_blind&lt;&gt;"",1,0)</f>
        <v>0</v>
      </c>
      <c r="AW15" s="814"/>
      <c r="AX15" s="814"/>
      <c r="AY15" s="892" t="b">
        <f>AND(OR(File_Marr_Sep&lt;&gt;"",File_Marr_Joint&lt;&gt;""),SpouseBirthMonth&lt;&gt;"",SpouseBirthDay&lt;&gt;"",SpouseBirthYear&lt;&gt;"")</f>
        <v>0</v>
      </c>
      <c r="AZ15" s="892" t="str">
        <f>IF(AND(File_Marr_Sep="",File_Marr_Joint=""),"",IF(AND(OR(File_Marr_Sep&lt;&gt;"",File_Marr_Joint&lt;&gt;""),OR(SpouseBirthMonth="",SpouseBirthDay="",SpouseBirthYear="")),"Enter spouse's birthdate.",IF(BB108,"Your birthdate appears to be in error.",IF(AY18,"For IRS purposes, you were "&amp;SpouseAge&amp;" years old on December 31, "&amp;TaxYear&amp;".","Your spouse was "&amp;SpouseAge&amp;" years old on December 31, "&amp;TaxYear&amp;"."))))</f>
        <v/>
      </c>
      <c r="BA15" s="808"/>
      <c r="BB15" s="808"/>
      <c r="BC15" s="808"/>
      <c r="BD15" s="808"/>
      <c r="BE15" s="808"/>
      <c r="BF15" s="808"/>
      <c r="BG15" s="808"/>
      <c r="BH15" s="808"/>
      <c r="BI15" s="808"/>
      <c r="BJ15" s="2725"/>
      <c r="BK15" s="2038"/>
      <c r="BL15" s="2038"/>
      <c r="BM15" s="2038"/>
      <c r="BN15" s="2038"/>
      <c r="BO15" s="2038"/>
      <c r="BP15" s="2038"/>
      <c r="BQ15" s="2038"/>
      <c r="BR15" s="2038"/>
      <c r="BS15" s="2038"/>
      <c r="BT15" s="2038"/>
      <c r="BU15" s="2038"/>
      <c r="BV15" s="2038"/>
    </row>
    <row r="16" spans="1:74" ht="7.5" customHeight="1">
      <c r="A16" s="394"/>
      <c r="B16" s="6651"/>
      <c r="C16" s="6651"/>
      <c r="D16" s="6651"/>
      <c r="E16" s="6651"/>
      <c r="F16" s="6651"/>
      <c r="G16" s="6651"/>
      <c r="H16" s="6651"/>
      <c r="I16" s="6651"/>
      <c r="J16" s="6651"/>
      <c r="K16" s="6651"/>
      <c r="L16" s="6651"/>
      <c r="M16" s="6651"/>
      <c r="N16" s="6651"/>
      <c r="O16" s="6325"/>
      <c r="P16" s="6326"/>
      <c r="Q16" s="6326"/>
      <c r="R16" s="6326"/>
      <c r="S16" s="6326"/>
      <c r="T16" s="6326"/>
      <c r="U16" s="6326"/>
      <c r="V16" s="6327"/>
      <c r="W16" s="6325"/>
      <c r="X16" s="6326"/>
      <c r="Y16" s="6326"/>
      <c r="Z16" s="6327"/>
      <c r="AA16" s="4276"/>
      <c r="AB16" s="4277"/>
      <c r="AC16" s="4277"/>
      <c r="AD16" s="4279"/>
      <c r="AE16" s="4277"/>
      <c r="AF16" s="4277"/>
      <c r="AG16" s="3696"/>
      <c r="AH16" s="4277"/>
      <c r="AI16" s="4278"/>
      <c r="AJ16" s="43"/>
      <c r="AK16" s="2553"/>
      <c r="AL16" s="3255" t="str">
        <f>IF(File_Marr_Joint&lt;&gt;"","Check "&amp;CHAR(10)&amp;"if deceased","")</f>
        <v/>
      </c>
      <c r="AM16" s="5858"/>
      <c r="AN16" s="6296" t="str">
        <f>AZ15</f>
        <v/>
      </c>
      <c r="AO16" s="6296"/>
      <c r="AP16" s="6296"/>
      <c r="AQ16" s="2718"/>
      <c r="AR16" s="1578"/>
      <c r="AS16" s="808"/>
      <c r="AT16" s="1578"/>
      <c r="AU16" s="1578"/>
      <c r="AV16" s="808"/>
      <c r="AW16" s="808"/>
      <c r="AX16" s="808"/>
      <c r="AY16" s="808"/>
      <c r="AZ16" s="808"/>
      <c r="BA16" s="808"/>
      <c r="BB16" s="780"/>
      <c r="BC16" s="808"/>
      <c r="BD16" s="808"/>
      <c r="BE16" s="808"/>
      <c r="BF16" s="808"/>
      <c r="BG16" s="808"/>
      <c r="BH16" s="808"/>
      <c r="BI16" s="808"/>
      <c r="BJ16" s="2725"/>
      <c r="BK16" s="2038"/>
      <c r="BL16" s="2038"/>
      <c r="BM16" s="2038"/>
      <c r="BN16" s="2038"/>
      <c r="BO16" s="2038"/>
      <c r="BP16" s="2038"/>
      <c r="BQ16" s="2038"/>
      <c r="BR16" s="2038"/>
      <c r="BS16" s="2038"/>
      <c r="BT16" s="2038"/>
      <c r="BU16" s="2038"/>
      <c r="BV16" s="2038"/>
    </row>
    <row r="17" spans="1:74" ht="5.25" customHeight="1">
      <c r="A17" s="394"/>
      <c r="B17" s="3691"/>
      <c r="C17" s="3692"/>
      <c r="D17" s="3692"/>
      <c r="E17" s="3692"/>
      <c r="F17" s="4283"/>
      <c r="G17" s="4283"/>
      <c r="H17" s="4284"/>
      <c r="I17" s="4284"/>
      <c r="J17" s="4284"/>
      <c r="K17" s="4284"/>
      <c r="L17" s="4284"/>
      <c r="M17" s="4284"/>
      <c r="N17" s="4284"/>
      <c r="O17" s="4284"/>
      <c r="P17" s="4284"/>
      <c r="Q17" s="4284"/>
      <c r="R17" s="4284"/>
      <c r="S17" s="4284"/>
      <c r="T17" s="4284"/>
      <c r="U17" s="4284"/>
      <c r="V17" s="4284"/>
      <c r="W17" s="5844"/>
      <c r="X17" s="4284"/>
      <c r="Y17" s="4284"/>
      <c r="Z17" s="4284"/>
      <c r="AA17" s="4285"/>
      <c r="AB17" s="4285"/>
      <c r="AC17" s="4285"/>
      <c r="AD17" s="6294"/>
      <c r="AE17" s="6294"/>
      <c r="AF17" s="6294"/>
      <c r="AG17" s="6294"/>
      <c r="AH17" s="6294"/>
      <c r="AI17" s="6294"/>
      <c r="AJ17" s="434"/>
      <c r="AK17" s="3251"/>
      <c r="AL17" s="5848"/>
      <c r="AM17" s="5859"/>
      <c r="AN17" s="6297"/>
      <c r="AO17" s="6297"/>
      <c r="AP17" s="6297"/>
      <c r="AQ17" s="5852"/>
      <c r="AR17" s="814"/>
      <c r="AS17" s="808"/>
      <c r="AT17" s="814"/>
      <c r="AU17" s="814"/>
      <c r="AV17" s="808"/>
      <c r="AW17" s="808"/>
      <c r="AX17" s="808"/>
      <c r="AY17" s="808"/>
      <c r="AZ17" s="808"/>
      <c r="BA17" s="808"/>
      <c r="BB17" s="780"/>
      <c r="BC17" s="808"/>
      <c r="BD17" s="808"/>
      <c r="BE17" s="808"/>
      <c r="BF17" s="808"/>
      <c r="BG17" s="808"/>
      <c r="BH17" s="780"/>
      <c r="BI17" s="808"/>
      <c r="BJ17" s="2725"/>
      <c r="BK17" s="2038"/>
      <c r="BL17" s="2038"/>
      <c r="BM17" s="2038"/>
      <c r="BN17" s="2038"/>
      <c r="BO17" s="2038"/>
      <c r="BP17" s="2038"/>
      <c r="BQ17" s="2038"/>
      <c r="BR17" s="2038"/>
      <c r="BS17" s="2038"/>
      <c r="BT17" s="2038"/>
      <c r="BU17" s="2038"/>
      <c r="BV17" s="2038"/>
    </row>
    <row r="18" spans="1:74" ht="12.75" customHeight="1">
      <c r="A18" s="394"/>
      <c r="B18" s="6653" t="s">
        <v>5645</v>
      </c>
      <c r="C18" s="6653"/>
      <c r="D18" s="6653"/>
      <c r="E18" s="6653"/>
      <c r="F18" s="809"/>
      <c r="G18" s="4244" t="s">
        <v>579</v>
      </c>
      <c r="H18" s="4281"/>
      <c r="I18" s="4281"/>
      <c r="J18" s="4281"/>
      <c r="K18" s="4183"/>
      <c r="L18" s="4281"/>
      <c r="M18" s="4281"/>
      <c r="N18" s="4281"/>
      <c r="O18" s="4281"/>
      <c r="P18" s="4226"/>
      <c r="Q18" s="4182"/>
      <c r="R18" s="4281"/>
      <c r="S18" s="4281"/>
      <c r="T18" s="4281"/>
      <c r="U18" s="4281"/>
      <c r="V18" s="4286"/>
      <c r="W18" s="809"/>
      <c r="X18" s="4244" t="s">
        <v>582</v>
      </c>
      <c r="Y18" s="4281"/>
      <c r="Z18" s="4281"/>
      <c r="AA18" s="4281"/>
      <c r="AB18" s="4281"/>
      <c r="AC18" s="4281"/>
      <c r="AD18" s="6295"/>
      <c r="AE18" s="6295"/>
      <c r="AF18" s="6295"/>
      <c r="AG18" s="6295"/>
      <c r="AH18" s="6295"/>
      <c r="AI18" s="6295"/>
      <c r="AJ18" s="434"/>
      <c r="AK18" s="2717"/>
      <c r="AL18" s="5853"/>
      <c r="AM18" s="5855"/>
      <c r="AN18" s="5860"/>
      <c r="AO18" s="3837"/>
      <c r="AP18" s="3837"/>
      <c r="AQ18" s="5854"/>
      <c r="AR18" s="1578"/>
      <c r="AS18" s="808"/>
      <c r="AT18" s="1578"/>
      <c r="AU18" s="1578"/>
      <c r="AV18" s="1604">
        <f>IF(OR(AND(OR(File_Single&lt;&gt;"",File_Head&lt;&gt;""),OR(sp_over_64&lt;&gt;"",sp_blind&lt;&gt;"")),NumFileStatusBoxes=0),0,SUM(AV12:AV15))</f>
        <v>0</v>
      </c>
      <c r="AW18" s="1578"/>
      <c r="AX18" s="1578"/>
      <c r="AY18" s="892" t="b">
        <f>AND(SpouseBirthMonth=1,SpouseBirthDay=1)</f>
        <v>0</v>
      </c>
      <c r="AZ18" s="900"/>
      <c r="BA18" s="808"/>
      <c r="BB18" s="808"/>
      <c r="BC18" s="808"/>
      <c r="BD18" s="808"/>
      <c r="BE18" s="808"/>
      <c r="BF18" s="808"/>
      <c r="BG18" s="808"/>
      <c r="BH18" s="780"/>
      <c r="BI18" s="780"/>
      <c r="BJ18" s="2725"/>
      <c r="BK18" s="2038"/>
      <c r="BL18" s="2038"/>
      <c r="BM18" s="2038"/>
      <c r="BN18" s="2038"/>
      <c r="BO18" s="2038"/>
      <c r="BP18" s="2038"/>
      <c r="BQ18" s="2038"/>
      <c r="BR18" s="2038"/>
      <c r="BS18" s="2038"/>
      <c r="BT18" s="2038"/>
      <c r="BU18" s="2038"/>
      <c r="BV18" s="2038"/>
    </row>
    <row r="19" spans="1:74" ht="6.75" customHeight="1" thickBot="1">
      <c r="A19" s="394"/>
      <c r="B19" s="6653"/>
      <c r="C19" s="6653"/>
      <c r="D19" s="6653"/>
      <c r="E19" s="6653"/>
      <c r="F19" s="4181"/>
      <c r="G19" s="4281"/>
      <c r="H19" s="4281"/>
      <c r="I19" s="4281"/>
      <c r="J19" s="4281"/>
      <c r="K19" s="4281"/>
      <c r="L19" s="4281"/>
      <c r="M19" s="4281"/>
      <c r="N19" s="4281"/>
      <c r="O19" s="4281"/>
      <c r="P19" s="4226"/>
      <c r="Q19" s="4226"/>
      <c r="R19" s="4181"/>
      <c r="S19" s="4181"/>
      <c r="T19" s="4281"/>
      <c r="U19" s="4281"/>
      <c r="V19" s="4281"/>
      <c r="W19" s="4281"/>
      <c r="X19" s="4281"/>
      <c r="Y19" s="4281"/>
      <c r="Z19" s="4281"/>
      <c r="AA19" s="4281"/>
      <c r="AB19" s="4281"/>
      <c r="AC19" s="4281"/>
      <c r="AD19" s="4281"/>
      <c r="AE19" s="4281"/>
      <c r="AF19" s="4281"/>
      <c r="AG19" s="4281"/>
      <c r="AH19" s="4281"/>
      <c r="AI19" s="4887"/>
      <c r="AJ19" s="434"/>
      <c r="AK19" s="1604"/>
      <c r="AL19" s="5848"/>
      <c r="AM19" s="5849"/>
      <c r="AN19" s="5850"/>
      <c r="AO19" s="5851"/>
      <c r="AP19" s="5851"/>
      <c r="AQ19" s="5852"/>
      <c r="AR19" s="1580"/>
      <c r="AS19" s="808"/>
      <c r="AT19" s="1580"/>
      <c r="AU19" s="1580"/>
      <c r="AV19" s="1580"/>
      <c r="AW19" s="1580"/>
      <c r="AX19" s="1580"/>
      <c r="AY19" s="808"/>
      <c r="AZ19" s="892"/>
      <c r="BA19" s="808"/>
      <c r="BB19" s="808"/>
      <c r="BC19" s="780"/>
      <c r="BD19" s="780"/>
      <c r="BE19" s="1828"/>
      <c r="BF19" s="1828"/>
      <c r="BG19" s="1828"/>
      <c r="BH19" s="780"/>
      <c r="BI19" s="780"/>
      <c r="BJ19" s="2725"/>
      <c r="BK19" s="2038"/>
      <c r="BL19" s="2038"/>
      <c r="BM19" s="2038"/>
      <c r="BN19" s="2038"/>
      <c r="BO19" s="2038"/>
      <c r="BP19" s="2038"/>
      <c r="BQ19" s="2038"/>
      <c r="BR19" s="2038"/>
      <c r="BS19" s="2038"/>
      <c r="BT19" s="2038"/>
      <c r="BU19" s="2038"/>
      <c r="BV19" s="2038"/>
    </row>
    <row r="20" spans="1:74" ht="12.75" customHeight="1" thickBot="1">
      <c r="A20" s="394"/>
      <c r="B20" s="6279" t="s">
        <v>5646</v>
      </c>
      <c r="C20" s="6279"/>
      <c r="D20" s="6279"/>
      <c r="E20" s="981"/>
      <c r="F20" s="809"/>
      <c r="G20" s="4244" t="s">
        <v>580</v>
      </c>
      <c r="H20" s="4281"/>
      <c r="I20" s="4281"/>
      <c r="J20" s="4281"/>
      <c r="K20" s="4281"/>
      <c r="L20" s="4281"/>
      <c r="M20" s="4281"/>
      <c r="N20" s="4281"/>
      <c r="O20" s="4281"/>
      <c r="P20" s="4226"/>
      <c r="Q20" s="4226"/>
      <c r="R20" s="4181"/>
      <c r="S20" s="4181"/>
      <c r="T20" s="4281"/>
      <c r="U20" s="4281"/>
      <c r="V20" s="4281"/>
      <c r="W20" s="4281"/>
      <c r="X20" s="4281"/>
      <c r="Y20" s="4281"/>
      <c r="Z20" s="4281"/>
      <c r="AA20" s="4281"/>
      <c r="AB20" s="4281"/>
      <c r="AC20" s="4281"/>
      <c r="AD20" s="4281"/>
      <c r="AE20" s="4281"/>
      <c r="AF20" s="4281"/>
      <c r="AG20" s="4281"/>
      <c r="AH20" s="4281"/>
      <c r="AI20" s="4887"/>
      <c r="AJ20" s="434"/>
      <c r="AK20" s="1604"/>
      <c r="AL20" s="5848"/>
      <c r="AM20" s="5857" t="str">
        <f>IF(AM22,"Date of death ","")</f>
        <v/>
      </c>
      <c r="AN20" s="5987"/>
      <c r="AO20" s="5987"/>
      <c r="AP20" s="5987"/>
      <c r="AQ20" s="5852"/>
      <c r="AR20" s="1580"/>
      <c r="AS20" s="808"/>
      <c r="AT20" s="1580"/>
      <c r="AU20" s="1580"/>
      <c r="AV20" s="1580"/>
      <c r="AW20" s="1580"/>
      <c r="AX20" s="1580"/>
      <c r="AY20" s="808" t="b">
        <f>AND($AM$22,SpouseDeathYear&lt;&gt;"",SpouseDeathYear=TaxYear)</f>
        <v>0</v>
      </c>
      <c r="AZ20" s="892" t="s">
        <v>601</v>
      </c>
      <c r="BA20" s="808"/>
      <c r="BB20" s="808"/>
      <c r="BC20" s="780"/>
      <c r="BD20" s="780"/>
      <c r="BE20" s="1828"/>
      <c r="BF20" s="1828"/>
      <c r="BG20" s="1828"/>
      <c r="BH20" s="780"/>
      <c r="BI20" s="780"/>
      <c r="BJ20" s="2725"/>
      <c r="BK20" s="2038"/>
      <c r="BL20" s="2038"/>
      <c r="BM20" s="2038"/>
      <c r="BN20" s="2038"/>
      <c r="BO20" s="2038"/>
      <c r="BP20" s="2038"/>
      <c r="BQ20" s="2038"/>
      <c r="BR20" s="2038"/>
      <c r="BS20" s="2038"/>
      <c r="BT20" s="2038"/>
      <c r="BU20" s="2038"/>
      <c r="BV20" s="2038"/>
    </row>
    <row r="21" spans="1:74" ht="6" customHeight="1">
      <c r="A21" s="394"/>
      <c r="B21" s="6279"/>
      <c r="C21" s="6279"/>
      <c r="D21" s="6279"/>
      <c r="E21" s="981"/>
      <c r="F21" s="4181"/>
      <c r="G21" s="4281"/>
      <c r="H21" s="4281"/>
      <c r="I21" s="4281"/>
      <c r="J21" s="4281"/>
      <c r="K21" s="4281"/>
      <c r="L21" s="4281"/>
      <c r="M21" s="4281"/>
      <c r="N21" s="4281"/>
      <c r="O21" s="4281"/>
      <c r="P21" s="4226"/>
      <c r="Q21" s="4226"/>
      <c r="R21" s="4181"/>
      <c r="S21" s="4181"/>
      <c r="T21" s="4281"/>
      <c r="U21" s="4281"/>
      <c r="V21" s="4281"/>
      <c r="W21" s="4281"/>
      <c r="X21" s="4281"/>
      <c r="Y21" s="4281"/>
      <c r="Z21" s="4281"/>
      <c r="AA21" s="4281"/>
      <c r="AB21" s="4281"/>
      <c r="AC21" s="4281"/>
      <c r="AD21" s="4281"/>
      <c r="AE21" s="4281"/>
      <c r="AF21" s="4281"/>
      <c r="AG21" s="4281"/>
      <c r="AH21" s="4281"/>
      <c r="AI21" s="4887"/>
      <c r="AJ21" s="434"/>
      <c r="AK21" s="1604"/>
      <c r="AL21" s="5848"/>
      <c r="AM21" s="5849"/>
      <c r="AN21" s="6344" t="str">
        <f>IF(AND(SpouseDeceased&lt;&gt;"",OR(SpouseDeathMonth="",SpouseDeathDay="",SpouseDeathYear="")),"Enter date of spouse's death.",IF(AL23,"Spouse must have lived during "&amp;TaxYear&amp;" tax year.",IF(BadDeathDate,"The date of death appears to be in error.","")))</f>
        <v/>
      </c>
      <c r="AO21" s="6344"/>
      <c r="AP21" s="5851"/>
      <c r="AQ21" s="5852"/>
      <c r="AR21" s="1580"/>
      <c r="AS21" s="808"/>
      <c r="AT21" s="1580"/>
      <c r="AU21" s="1580"/>
      <c r="AV21" s="1580"/>
      <c r="AW21" s="1580"/>
      <c r="AX21" s="1580"/>
      <c r="AY21" s="808"/>
      <c r="AZ21" s="892"/>
      <c r="BA21" s="808"/>
      <c r="BB21" s="808"/>
      <c r="BC21" s="780"/>
      <c r="BD21" s="780"/>
      <c r="BE21" s="1828"/>
      <c r="BF21" s="1828"/>
      <c r="BG21" s="1828"/>
      <c r="BH21" s="780"/>
      <c r="BI21" s="780"/>
      <c r="BJ21" s="2725"/>
      <c r="BK21" s="2038"/>
      <c r="BL21" s="2038"/>
      <c r="BM21" s="2038"/>
      <c r="BN21" s="2038"/>
      <c r="BO21" s="2038"/>
      <c r="BP21" s="2038"/>
      <c r="BQ21" s="2038"/>
      <c r="BR21" s="2038"/>
      <c r="BS21" s="2038"/>
      <c r="BT21" s="2038"/>
      <c r="BU21" s="2038"/>
      <c r="BV21" s="2038"/>
    </row>
    <row r="22" spans="1:74" ht="12.75" customHeight="1" thickBot="1">
      <c r="A22" s="394"/>
      <c r="B22" s="6279"/>
      <c r="C22" s="6279"/>
      <c r="D22" s="6279"/>
      <c r="E22" s="981"/>
      <c r="F22" s="809"/>
      <c r="G22" s="4244" t="s">
        <v>581</v>
      </c>
      <c r="H22" s="4281"/>
      <c r="I22" s="4281"/>
      <c r="J22" s="4281"/>
      <c r="K22" s="4281"/>
      <c r="L22" s="4281"/>
      <c r="M22" s="4281"/>
      <c r="N22" s="4281"/>
      <c r="O22" s="4281"/>
      <c r="P22" s="4226"/>
      <c r="Q22" s="4226"/>
      <c r="R22" s="4181"/>
      <c r="S22" s="4181"/>
      <c r="T22" s="4281"/>
      <c r="U22" s="4281"/>
      <c r="V22" s="4281"/>
      <c r="W22" s="809"/>
      <c r="X22" s="4244" t="s">
        <v>5644</v>
      </c>
      <c r="Y22" s="4244"/>
      <c r="Z22" s="4244"/>
      <c r="AA22" s="4244"/>
      <c r="AB22" s="4244"/>
      <c r="AC22" s="4244"/>
      <c r="AD22" s="4244"/>
      <c r="AE22" s="4281"/>
      <c r="AF22" s="4281"/>
      <c r="AG22" s="4281"/>
      <c r="AH22" s="4281"/>
      <c r="AI22" s="4887"/>
      <c r="AJ22" s="434"/>
      <c r="AK22" s="1604"/>
      <c r="AL22" s="5848"/>
      <c r="AM22" s="5989" t="b">
        <f>AND($AL$15&lt;&gt;"",$AV$11)</f>
        <v>0</v>
      </c>
      <c r="AN22" s="6345"/>
      <c r="AO22" s="6345"/>
      <c r="AP22" s="1888"/>
      <c r="AQ22" s="5852"/>
      <c r="AR22" s="1580"/>
      <c r="AS22" s="808"/>
      <c r="AT22" s="1580"/>
      <c r="AU22" s="1580"/>
      <c r="AV22" s="1580"/>
      <c r="AW22" s="1580"/>
      <c r="AX22" s="1580"/>
      <c r="AY22" s="808"/>
      <c r="AZ22" s="892"/>
      <c r="BA22" s="808"/>
      <c r="BB22" s="808"/>
      <c r="BC22" s="780"/>
      <c r="BD22" s="780"/>
      <c r="BE22" s="1828"/>
      <c r="BF22" s="1828"/>
      <c r="BG22" s="1828"/>
      <c r="BH22" s="780"/>
      <c r="BI22" s="780"/>
      <c r="BJ22" s="2725"/>
      <c r="BK22" s="2038"/>
      <c r="BL22" s="2038"/>
      <c r="BM22" s="2038"/>
      <c r="BN22" s="2038"/>
      <c r="BO22" s="2038"/>
      <c r="BP22" s="2038"/>
      <c r="BQ22" s="2038"/>
      <c r="BR22" s="2038"/>
      <c r="BS22" s="2038"/>
      <c r="BT22" s="2038"/>
      <c r="BU22" s="2038"/>
      <c r="BV22" s="2038"/>
    </row>
    <row r="23" spans="1:74" ht="15.75" customHeight="1">
      <c r="A23" s="394"/>
      <c r="B23" s="981"/>
      <c r="C23" s="1410"/>
      <c r="D23" s="981"/>
      <c r="E23" s="981"/>
      <c r="F23" s="4181" t="s">
        <v>583</v>
      </c>
      <c r="G23" s="4281"/>
      <c r="H23" s="4281"/>
      <c r="I23" s="4281"/>
      <c r="J23" s="4281"/>
      <c r="K23" s="4281"/>
      <c r="L23" s="4281"/>
      <c r="M23" s="4281"/>
      <c r="N23" s="4281"/>
      <c r="O23" s="4281"/>
      <c r="P23" s="4226"/>
      <c r="Q23" s="4226"/>
      <c r="R23" s="4181" t="s">
        <v>5864</v>
      </c>
      <c r="S23" s="4181"/>
      <c r="T23" s="4281"/>
      <c r="U23" s="4281"/>
      <c r="V23" s="4281"/>
      <c r="W23" s="4244"/>
      <c r="X23" s="4244"/>
      <c r="Y23" s="4244"/>
      <c r="Z23" s="4244"/>
      <c r="AA23" s="4244"/>
      <c r="AB23" s="4244"/>
      <c r="AC23" s="4244"/>
      <c r="AD23" s="4281"/>
      <c r="AE23" s="4281"/>
      <c r="AF23" s="4281"/>
      <c r="AG23" s="4281"/>
      <c r="AH23" s="4281"/>
      <c r="AI23" s="4887"/>
      <c r="AJ23" s="434"/>
      <c r="AK23" s="1604"/>
      <c r="AL23" s="5988" t="b">
        <f>AND(SpouseDeceased&lt;&gt;"",SpouseDeathYear&lt;&gt;"",SpouseDeathYear&lt;TaxYear)</f>
        <v>0</v>
      </c>
      <c r="AM23" s="5988"/>
      <c r="AN23" s="5988"/>
      <c r="AO23" s="5988"/>
      <c r="AP23" s="5988"/>
      <c r="AQ23" s="5988"/>
      <c r="AR23" s="1580"/>
      <c r="AS23" s="808"/>
      <c r="AT23" s="1580"/>
      <c r="AU23" s="1580"/>
      <c r="AV23" s="1580"/>
      <c r="AW23" s="1580"/>
      <c r="AX23" s="1580"/>
      <c r="AY23" s="808"/>
      <c r="AZ23" s="892"/>
      <c r="BA23" s="808"/>
      <c r="BB23" s="808"/>
      <c r="BC23" s="780"/>
      <c r="BD23" s="780"/>
      <c r="BE23" s="1828"/>
      <c r="BF23" s="1828"/>
      <c r="BG23" s="1828"/>
      <c r="BH23" s="780"/>
      <c r="BI23" s="780"/>
      <c r="BJ23" s="2725"/>
      <c r="BK23" s="2038"/>
      <c r="BL23" s="2038"/>
      <c r="BM23" s="2038"/>
      <c r="BN23" s="2038"/>
      <c r="BO23" s="2038"/>
      <c r="BP23" s="2038"/>
      <c r="BQ23" s="2038"/>
      <c r="BR23" s="2038"/>
      <c r="BS23" s="2038"/>
      <c r="BT23" s="2038"/>
      <c r="BU23" s="2038"/>
      <c r="BV23" s="2038"/>
    </row>
    <row r="24" spans="1:74" ht="17.25" customHeight="1">
      <c r="A24" s="394"/>
      <c r="B24" s="3252"/>
      <c r="C24" s="3716"/>
      <c r="D24" s="3253"/>
      <c r="E24" s="3253"/>
      <c r="F24" s="4289" t="s">
        <v>584</v>
      </c>
      <c r="G24" s="4280"/>
      <c r="H24" s="4280"/>
      <c r="I24" s="4280"/>
      <c r="J24" s="4280"/>
      <c r="K24" s="4280"/>
      <c r="L24" s="4280"/>
      <c r="M24" s="4280"/>
      <c r="N24" s="4280"/>
      <c r="O24" s="4280"/>
      <c r="P24" s="6632"/>
      <c r="Q24" s="6632"/>
      <c r="R24" s="6632"/>
      <c r="S24" s="6632"/>
      <c r="T24" s="6632"/>
      <c r="U24" s="6632"/>
      <c r="V24" s="6632"/>
      <c r="W24" s="6632"/>
      <c r="X24" s="6632"/>
      <c r="Y24" s="6632"/>
      <c r="Z24" s="6632"/>
      <c r="AA24" s="6632"/>
      <c r="AB24" s="6632"/>
      <c r="AC24" s="6632"/>
      <c r="AD24" s="6632"/>
      <c r="AE24" s="6632"/>
      <c r="AF24" s="6632"/>
      <c r="AG24" s="6632"/>
      <c r="AH24" s="6632"/>
      <c r="AI24" s="6632"/>
      <c r="AJ24" s="434"/>
      <c r="AK24" s="1604"/>
      <c r="AL24" s="900"/>
      <c r="AM24" s="900"/>
      <c r="AN24" s="900"/>
      <c r="AO24" s="900"/>
      <c r="AP24" s="900"/>
      <c r="AQ24" s="900"/>
      <c r="AR24" s="1580"/>
      <c r="AS24" s="808"/>
      <c r="AT24" s="1580"/>
      <c r="AU24" s="1580"/>
      <c r="AV24" s="808"/>
      <c r="AW24" s="808"/>
      <c r="AX24" s="808"/>
      <c r="AY24" s="808" t="b">
        <f>AND($AM$22,OR(SpouseDeathMonth&lt;SpouseBirthMonth,AND(SpouseDeathMonth=SpouseBirthMonth,SpouseDeathDay&lt;SpouseBirthDay)))</f>
        <v>0</v>
      </c>
      <c r="AZ24" s="808"/>
      <c r="BA24" s="808"/>
      <c r="BB24" s="808"/>
      <c r="BC24" s="780"/>
      <c r="BD24" s="780"/>
      <c r="BE24" s="1828"/>
      <c r="BF24" s="1828"/>
      <c r="BG24" s="1828"/>
      <c r="BH24" s="780"/>
      <c r="BI24" s="780"/>
      <c r="BJ24" s="2725"/>
      <c r="BK24" s="2038"/>
      <c r="BL24" s="2038"/>
      <c r="BM24" s="2038"/>
      <c r="BN24" s="2038"/>
      <c r="BO24" s="2038"/>
      <c r="BP24" s="2038"/>
      <c r="BQ24" s="2038"/>
      <c r="BR24" s="2038"/>
      <c r="BS24" s="2038"/>
      <c r="BT24" s="2038"/>
      <c r="BU24" s="2038"/>
      <c r="BV24" s="2038"/>
    </row>
    <row r="25" spans="1:74" ht="9" customHeight="1">
      <c r="A25" s="394"/>
      <c r="B25" s="6509" t="s">
        <v>607</v>
      </c>
      <c r="C25" s="6510"/>
      <c r="D25" s="6510"/>
      <c r="E25" s="5301"/>
      <c r="F25" s="6635" t="str">
        <f>"At any time during "&amp;TaxYear&amp;", did you (a) receive (as a reward, award, or payment for property or service); or (b) sell, "&amp;CHAR(10)&amp;"exchange, gift, or otherwise dispose of a digital asset (or a financial interest in a digital asset)? (See instructions.)"</f>
        <v>At any time during 2023, did you (a) receive (as a reward, award, or payment for property or service); or (b) sell, 
exchange, gift, or otherwise dispose of a digital asset (or a financial interest in a digital asset)? (See instructions.)</v>
      </c>
      <c r="G25" s="6635"/>
      <c r="H25" s="6635"/>
      <c r="I25" s="6635"/>
      <c r="J25" s="6635"/>
      <c r="K25" s="6635"/>
      <c r="L25" s="6635"/>
      <c r="M25" s="6635"/>
      <c r="N25" s="6635"/>
      <c r="O25" s="6635"/>
      <c r="P25" s="6635"/>
      <c r="Q25" s="6635"/>
      <c r="R25" s="6635"/>
      <c r="S25" s="6635"/>
      <c r="T25" s="6635"/>
      <c r="U25" s="6635"/>
      <c r="V25" s="6635"/>
      <c r="W25" s="6635"/>
      <c r="X25" s="6635"/>
      <c r="Y25" s="6635"/>
      <c r="Z25" s="6635"/>
      <c r="AA25" s="6635"/>
      <c r="AB25" s="6635"/>
      <c r="AC25" s="6635"/>
      <c r="AD25" s="4228"/>
      <c r="AE25" s="4228"/>
      <c r="AF25" s="4228"/>
      <c r="AG25" s="4228"/>
      <c r="AH25" s="4228"/>
      <c r="AI25" s="4206"/>
      <c r="AJ25" s="43"/>
      <c r="AK25" s="1604"/>
      <c r="AL25" s="900"/>
      <c r="AM25" s="900"/>
      <c r="AN25" s="900"/>
      <c r="AO25" s="900"/>
      <c r="AP25" s="900"/>
      <c r="AQ25" s="900"/>
      <c r="AR25" s="1580"/>
      <c r="AS25" s="808"/>
      <c r="AT25" s="1580"/>
      <c r="AU25" s="1580"/>
      <c r="AV25" s="808"/>
      <c r="AW25" s="808"/>
      <c r="AX25" s="808"/>
      <c r="AY25" s="808"/>
      <c r="AZ25" s="808"/>
      <c r="BA25" s="808"/>
      <c r="BB25" s="780"/>
      <c r="BC25" s="780"/>
      <c r="BD25" s="780"/>
      <c r="BE25" s="1828"/>
      <c r="BF25" s="1828"/>
      <c r="BG25" s="1828"/>
      <c r="BH25" s="780"/>
      <c r="BI25" s="780"/>
      <c r="BJ25" s="2725"/>
      <c r="BK25" s="2038"/>
      <c r="BL25" s="2038"/>
      <c r="BM25" s="2038"/>
      <c r="BN25" s="2038"/>
      <c r="BO25" s="2038"/>
      <c r="BP25" s="2038"/>
      <c r="BQ25" s="2038"/>
      <c r="BR25" s="2038"/>
      <c r="BS25" s="2038"/>
      <c r="BT25" s="2038"/>
      <c r="BU25" s="2038"/>
      <c r="BV25" s="2038"/>
    </row>
    <row r="26" spans="1:74" ht="12.75" customHeight="1">
      <c r="A26" s="394"/>
      <c r="B26" s="6511"/>
      <c r="C26" s="6511"/>
      <c r="D26" s="6511"/>
      <c r="E26" s="5302"/>
      <c r="F26" s="6636"/>
      <c r="G26" s="6636"/>
      <c r="H26" s="6636"/>
      <c r="I26" s="6636"/>
      <c r="J26" s="6636"/>
      <c r="K26" s="6636"/>
      <c r="L26" s="6636"/>
      <c r="M26" s="6636"/>
      <c r="N26" s="6636"/>
      <c r="O26" s="6636"/>
      <c r="P26" s="6636"/>
      <c r="Q26" s="6636"/>
      <c r="R26" s="6636"/>
      <c r="S26" s="6636"/>
      <c r="T26" s="6636"/>
      <c r="U26" s="6636"/>
      <c r="V26" s="6636"/>
      <c r="W26" s="6636"/>
      <c r="X26" s="6636"/>
      <c r="Y26" s="6636"/>
      <c r="Z26" s="6636"/>
      <c r="AA26" s="6636"/>
      <c r="AB26" s="6636"/>
      <c r="AC26" s="6636"/>
      <c r="AD26" s="809"/>
      <c r="AE26" s="4201" t="s">
        <v>608</v>
      </c>
      <c r="AF26" s="4228"/>
      <c r="AG26" s="809"/>
      <c r="AH26" s="4201" t="s">
        <v>609</v>
      </c>
      <c r="AI26" s="4206"/>
      <c r="AJ26" s="43"/>
      <c r="AK26" s="1604"/>
      <c r="AL26" s="900"/>
      <c r="AM26" s="900"/>
      <c r="AN26" s="900"/>
      <c r="AO26" s="900"/>
      <c r="AP26" s="900"/>
      <c r="AQ26" s="900"/>
      <c r="AR26" s="1580"/>
      <c r="AS26" s="808"/>
      <c r="AT26" s="1580"/>
      <c r="AU26" s="1580"/>
      <c r="AV26" s="808"/>
      <c r="AW26" s="808"/>
      <c r="AX26" s="808"/>
      <c r="AY26" s="808"/>
      <c r="AZ26" s="808"/>
      <c r="BA26" s="808"/>
      <c r="BB26" s="780"/>
      <c r="BC26" s="780"/>
      <c r="BD26" s="780"/>
      <c r="BE26" s="1828"/>
      <c r="BF26" s="1828"/>
      <c r="BG26" s="1828"/>
      <c r="BH26" s="780"/>
      <c r="BI26" s="780"/>
      <c r="BJ26" s="2725"/>
      <c r="BK26" s="2038"/>
      <c r="BL26" s="2038"/>
      <c r="BM26" s="2038"/>
      <c r="BN26" s="2038"/>
      <c r="BO26" s="2038"/>
      <c r="BP26" s="2038"/>
      <c r="BQ26" s="2038"/>
      <c r="BR26" s="2038"/>
      <c r="BS26" s="2038"/>
      <c r="BT26" s="2038"/>
      <c r="BU26" s="2038"/>
      <c r="BV26" s="2038"/>
    </row>
    <row r="27" spans="1:74" ht="9.75" customHeight="1">
      <c r="A27" s="394"/>
      <c r="B27" s="6512"/>
      <c r="C27" s="6512"/>
      <c r="D27" s="6512"/>
      <c r="E27" s="5303"/>
      <c r="F27" s="6637"/>
      <c r="G27" s="6637"/>
      <c r="H27" s="6637"/>
      <c r="I27" s="6637"/>
      <c r="J27" s="6637"/>
      <c r="K27" s="6637"/>
      <c r="L27" s="6637"/>
      <c r="M27" s="6637"/>
      <c r="N27" s="6637"/>
      <c r="O27" s="6637"/>
      <c r="P27" s="6637"/>
      <c r="Q27" s="6637"/>
      <c r="R27" s="6637"/>
      <c r="S27" s="6637"/>
      <c r="T27" s="6637"/>
      <c r="U27" s="6637"/>
      <c r="V27" s="6637"/>
      <c r="W27" s="6637"/>
      <c r="X27" s="6637"/>
      <c r="Y27" s="6637"/>
      <c r="Z27" s="6637"/>
      <c r="AA27" s="6637"/>
      <c r="AB27" s="6637"/>
      <c r="AC27" s="6637"/>
      <c r="AD27" s="4230"/>
      <c r="AE27" s="4230"/>
      <c r="AF27" s="4274"/>
      <c r="AG27" s="4274"/>
      <c r="AH27" s="4274"/>
      <c r="AI27" s="4274"/>
      <c r="AJ27" s="43"/>
      <c r="AK27" s="1604"/>
      <c r="AL27" s="5861"/>
      <c r="AM27" s="5849"/>
      <c r="AN27" s="5850"/>
      <c r="AO27" s="5851"/>
      <c r="AP27" s="5851"/>
      <c r="AQ27" s="5862"/>
      <c r="AR27" s="1580"/>
      <c r="AS27" s="808"/>
      <c r="AT27" s="1580"/>
      <c r="AU27" s="1580"/>
      <c r="AV27" s="808"/>
      <c r="AW27" s="808"/>
      <c r="AX27" s="808"/>
      <c r="AY27" s="808"/>
      <c r="AZ27" s="808"/>
      <c r="BA27" s="808"/>
      <c r="BB27" s="780"/>
      <c r="BC27" s="780"/>
      <c r="BD27" s="780"/>
      <c r="BE27" s="1828"/>
      <c r="BF27" s="1828"/>
      <c r="BG27" s="1828"/>
      <c r="BH27" s="780"/>
      <c r="BI27" s="780"/>
      <c r="BJ27" s="2725"/>
      <c r="BK27" s="2038"/>
      <c r="BL27" s="2038"/>
      <c r="BM27" s="2038"/>
      <c r="BN27" s="2038"/>
      <c r="BO27" s="2038"/>
      <c r="BP27" s="2038"/>
      <c r="BQ27" s="2038"/>
      <c r="BR27" s="2038"/>
      <c r="BS27" s="2038"/>
      <c r="BT27" s="2038"/>
      <c r="BU27" s="2038"/>
      <c r="BV27" s="2038"/>
    </row>
    <row r="28" spans="1:74" ht="5.25" customHeight="1">
      <c r="A28" s="394"/>
      <c r="B28" s="5078"/>
      <c r="C28" s="5078"/>
      <c r="D28" s="5078"/>
      <c r="E28" s="5078"/>
      <c r="F28" s="4229"/>
      <c r="G28" s="4229"/>
      <c r="H28" s="4229"/>
      <c r="I28" s="4229"/>
      <c r="J28" s="4230"/>
      <c r="K28" s="4229"/>
      <c r="L28" s="4229"/>
      <c r="M28" s="4229"/>
      <c r="N28" s="4229"/>
      <c r="O28" s="4229"/>
      <c r="P28" s="4230"/>
      <c r="Q28" s="4229"/>
      <c r="R28" s="4229"/>
      <c r="S28" s="4229"/>
      <c r="T28" s="4229"/>
      <c r="U28" s="4229"/>
      <c r="V28" s="4229"/>
      <c r="W28" s="4229"/>
      <c r="X28" s="4229"/>
      <c r="Y28" s="4229"/>
      <c r="Z28" s="4229"/>
      <c r="AA28" s="4229"/>
      <c r="AB28" s="4229"/>
      <c r="AC28" s="4229"/>
      <c r="AD28" s="4229"/>
      <c r="AE28" s="4229"/>
      <c r="AF28" s="4231"/>
      <c r="AG28" s="4231"/>
      <c r="AH28" s="4231"/>
      <c r="AI28" s="4231"/>
      <c r="AJ28" s="43"/>
      <c r="AK28" s="1604"/>
      <c r="AL28" s="5861"/>
      <c r="AM28" s="5849"/>
      <c r="AN28" s="5850"/>
      <c r="AO28" s="5851"/>
      <c r="AP28" s="5851"/>
      <c r="AQ28" s="5862"/>
      <c r="AR28" s="1580"/>
      <c r="AS28" s="808"/>
      <c r="AT28" s="1580"/>
      <c r="AU28" s="1580"/>
      <c r="AV28" s="808"/>
      <c r="AW28" s="808"/>
      <c r="AX28" s="808"/>
      <c r="AY28" s="808"/>
      <c r="AZ28" s="808"/>
      <c r="BA28" s="808"/>
      <c r="BB28" s="780"/>
      <c r="BC28" s="780"/>
      <c r="BD28" s="780"/>
      <c r="BE28" s="1828"/>
      <c r="BF28" s="1828"/>
      <c r="BG28" s="1828"/>
      <c r="BH28" s="780"/>
      <c r="BI28" s="780"/>
      <c r="BJ28" s="2725"/>
      <c r="BK28" s="2038"/>
      <c r="BL28" s="2038"/>
      <c r="BM28" s="2038"/>
      <c r="BN28" s="2038"/>
      <c r="BO28" s="2038"/>
      <c r="BP28" s="2038"/>
      <c r="BQ28" s="2038"/>
      <c r="BR28" s="2038"/>
      <c r="BS28" s="2038"/>
      <c r="BT28" s="2038"/>
      <c r="BU28" s="2038"/>
      <c r="BV28" s="2038"/>
    </row>
    <row r="29" spans="1:74" ht="12.75" customHeight="1">
      <c r="A29" s="394"/>
      <c r="B29" s="6505" t="s">
        <v>610</v>
      </c>
      <c r="C29" s="6505"/>
      <c r="D29" s="6505"/>
      <c r="E29" s="5313"/>
      <c r="F29" s="4201" t="s">
        <v>611</v>
      </c>
      <c r="G29" s="4182"/>
      <c r="H29" s="4182"/>
      <c r="I29" s="4182"/>
      <c r="J29" s="3695"/>
      <c r="K29" s="4236" t="s">
        <v>612</v>
      </c>
      <c r="L29" s="4235"/>
      <c r="M29" s="4235"/>
      <c r="N29" s="4235"/>
      <c r="O29" s="4235"/>
      <c r="P29" s="3695"/>
      <c r="Q29" s="4237" t="s">
        <v>613</v>
      </c>
      <c r="R29" s="4235"/>
      <c r="S29" s="4235"/>
      <c r="T29" s="4235"/>
      <c r="U29" s="4235"/>
      <c r="V29" s="4235"/>
      <c r="W29" s="4235"/>
      <c r="X29" s="4235"/>
      <c r="Y29" s="4235"/>
      <c r="Z29" s="4235"/>
      <c r="AA29" s="4235"/>
      <c r="AB29" s="4235"/>
      <c r="AC29" s="4235"/>
      <c r="AD29" s="4235"/>
      <c r="AE29" s="4235"/>
      <c r="AF29" s="4235"/>
      <c r="AG29" s="4235"/>
      <c r="AH29" s="4235"/>
      <c r="AI29" s="4235"/>
      <c r="AJ29" s="43"/>
      <c r="AK29" s="2553"/>
      <c r="AL29" s="5856"/>
      <c r="AM29" s="5855"/>
      <c r="AN29" s="5860"/>
      <c r="AO29" s="3837"/>
      <c r="AP29" s="3837"/>
      <c r="AQ29" s="3837"/>
      <c r="AR29" s="808"/>
      <c r="AS29" s="808"/>
      <c r="AT29" s="808"/>
      <c r="AU29" s="808"/>
      <c r="AV29" s="808"/>
      <c r="AW29" s="808"/>
      <c r="AX29" s="808"/>
      <c r="AY29" s="800"/>
      <c r="AZ29" s="800"/>
      <c r="BA29" s="800"/>
      <c r="BB29" s="1828"/>
      <c r="BC29" s="1828"/>
      <c r="BD29" s="1828"/>
      <c r="BE29" s="1828"/>
      <c r="BF29" s="1828"/>
      <c r="BG29" s="1828"/>
      <c r="BH29" s="780"/>
      <c r="BI29" s="780"/>
      <c r="BJ29" s="2725"/>
      <c r="BK29" s="2038"/>
      <c r="BL29" s="2038"/>
      <c r="BM29" s="2038"/>
      <c r="BN29" s="2038"/>
      <c r="BO29" s="2038"/>
      <c r="BP29" s="2038"/>
      <c r="BQ29" s="2038"/>
      <c r="BR29" s="2038"/>
      <c r="BS29" s="2038"/>
      <c r="BT29" s="2038"/>
      <c r="BU29" s="2038"/>
      <c r="BV29" s="2038"/>
    </row>
    <row r="30" spans="1:74" ht="15" customHeight="1">
      <c r="A30" s="394"/>
      <c r="B30" s="6505"/>
      <c r="C30" s="6505"/>
      <c r="D30" s="6505"/>
      <c r="E30" s="5313"/>
      <c r="F30" s="4232"/>
      <c r="G30" s="809"/>
      <c r="H30" s="4233" t="s">
        <v>614</v>
      </c>
      <c r="I30" s="4234"/>
      <c r="J30" s="4235"/>
      <c r="K30" s="4235"/>
      <c r="L30" s="4235"/>
      <c r="M30" s="4235"/>
      <c r="N30" s="4235"/>
      <c r="O30" s="4235"/>
      <c r="P30" s="4235"/>
      <c r="Q30" s="4182"/>
      <c r="R30" s="4182"/>
      <c r="S30" s="4182"/>
      <c r="T30" s="4182"/>
      <c r="U30" s="4182"/>
      <c r="V30" s="4182"/>
      <c r="W30" s="4182"/>
      <c r="X30" s="6293" t="str">
        <f>IF(AND(File_Marr_Joint&lt;&gt;"",NOT($AY$15))," Enter spouse birthdate (in box at right).","")</f>
        <v/>
      </c>
      <c r="Y30" s="6293"/>
      <c r="Z30" s="6293"/>
      <c r="AA30" s="6293"/>
      <c r="AB30" s="6293"/>
      <c r="AC30" s="6293"/>
      <c r="AD30" s="6293"/>
      <c r="AE30" s="6293"/>
      <c r="AF30" s="6293"/>
      <c r="AG30" s="6293"/>
      <c r="AH30" s="6293"/>
      <c r="AI30" s="6293"/>
      <c r="AJ30" s="436"/>
      <c r="AK30" s="2551"/>
      <c r="AL30" s="5856"/>
      <c r="AM30" s="5856"/>
      <c r="AN30" s="3837"/>
      <c r="AO30" s="3837"/>
      <c r="AP30" s="3837"/>
      <c r="AQ30" s="3837"/>
      <c r="AR30" s="808"/>
      <c r="AS30" s="808"/>
      <c r="AT30" s="808"/>
      <c r="AU30" s="808"/>
      <c r="AV30" s="808"/>
      <c r="AW30" s="808"/>
      <c r="AX30" s="808"/>
      <c r="AY30" s="808"/>
      <c r="AZ30" s="800"/>
      <c r="BA30" s="800"/>
      <c r="BB30" s="800"/>
      <c r="BC30" s="780"/>
      <c r="BD30" s="780"/>
      <c r="BE30" s="1828"/>
      <c r="BF30" s="1828"/>
      <c r="BG30" s="780"/>
      <c r="BH30" s="780"/>
      <c r="BI30" s="780"/>
      <c r="BJ30" s="2725"/>
      <c r="BK30" s="2038"/>
      <c r="BL30" s="2038"/>
      <c r="BM30" s="2038"/>
      <c r="BN30" s="2038"/>
      <c r="BO30" s="2038"/>
      <c r="BP30" s="2038"/>
      <c r="BQ30" s="2038"/>
      <c r="BR30" s="2038"/>
      <c r="BS30" s="2038"/>
      <c r="BT30" s="2038"/>
      <c r="BU30" s="2038"/>
      <c r="BV30" s="2038"/>
    </row>
    <row r="31" spans="1:74" ht="6.75" customHeight="1">
      <c r="A31" s="394"/>
      <c r="B31" s="6505"/>
      <c r="C31" s="6505"/>
      <c r="D31" s="6505"/>
      <c r="E31" s="5313"/>
      <c r="F31" s="4238"/>
      <c r="G31" s="4238"/>
      <c r="H31" s="4238"/>
      <c r="I31" s="4238"/>
      <c r="J31" s="4239"/>
      <c r="K31" s="4239"/>
      <c r="L31" s="4239"/>
      <c r="M31" s="4239"/>
      <c r="N31" s="4239"/>
      <c r="O31" s="4239"/>
      <c r="P31" s="4239"/>
      <c r="Q31" s="4240"/>
      <c r="R31" s="4240"/>
      <c r="S31" s="4240"/>
      <c r="T31" s="4240"/>
      <c r="U31" s="4240"/>
      <c r="V31" s="4240"/>
      <c r="W31" s="4240"/>
      <c r="X31" s="4240"/>
      <c r="Y31" s="4240"/>
      <c r="Z31" s="4240"/>
      <c r="AA31" s="4240"/>
      <c r="AB31" s="4240"/>
      <c r="AC31" s="4240"/>
      <c r="AD31" s="4240"/>
      <c r="AE31" s="4240"/>
      <c r="AF31" s="4240"/>
      <c r="AG31" s="4240"/>
      <c r="AH31" s="4240"/>
      <c r="AI31" s="4240"/>
      <c r="AJ31" s="436"/>
      <c r="AK31" s="2551"/>
      <c r="AL31" s="780"/>
      <c r="AM31" s="780"/>
      <c r="AN31" s="780"/>
      <c r="AO31" s="780"/>
      <c r="AP31" s="780"/>
      <c r="AQ31" s="780"/>
      <c r="AR31" s="808"/>
      <c r="AS31" s="808"/>
      <c r="AT31" s="808"/>
      <c r="AU31" s="808"/>
      <c r="AV31" s="808"/>
      <c r="AW31" s="808"/>
      <c r="AX31" s="808"/>
      <c r="AY31" s="808"/>
      <c r="AZ31" s="800"/>
      <c r="BA31" s="800"/>
      <c r="BB31" s="800"/>
      <c r="BC31" s="780"/>
      <c r="BD31" s="780"/>
      <c r="BE31" s="1828"/>
      <c r="BF31" s="1828"/>
      <c r="BG31" s="780"/>
      <c r="BH31" s="780"/>
      <c r="BI31" s="780"/>
      <c r="BJ31" s="2725"/>
      <c r="BK31" s="2038"/>
      <c r="BL31" s="2038"/>
      <c r="BM31" s="2038"/>
      <c r="BN31" s="2038"/>
      <c r="BO31" s="2038"/>
      <c r="BP31" s="2038"/>
      <c r="BQ31" s="2038"/>
      <c r="BR31" s="2038"/>
      <c r="BS31" s="2038"/>
      <c r="BT31" s="2038"/>
      <c r="BU31" s="2038"/>
      <c r="BV31" s="2038"/>
    </row>
    <row r="32" spans="1:74" ht="6.75" customHeight="1">
      <c r="A32" s="394"/>
      <c r="B32" s="6505"/>
      <c r="C32" s="6505"/>
      <c r="D32" s="6505"/>
      <c r="E32" s="5313"/>
      <c r="F32" s="4241"/>
      <c r="G32" s="4241"/>
      <c r="H32" s="4241"/>
      <c r="I32" s="4241"/>
      <c r="J32" s="4242"/>
      <c r="K32" s="4242"/>
      <c r="L32" s="4242"/>
      <c r="M32" s="4242"/>
      <c r="N32" s="4242"/>
      <c r="O32" s="4242"/>
      <c r="P32" s="4242"/>
      <c r="Q32" s="4243"/>
      <c r="R32" s="4243"/>
      <c r="S32" s="4243"/>
      <c r="T32" s="4243"/>
      <c r="U32" s="4243"/>
      <c r="V32" s="4243"/>
      <c r="W32" s="4243"/>
      <c r="X32" s="4243"/>
      <c r="Y32" s="4243"/>
      <c r="Z32" s="4243"/>
      <c r="AA32" s="4243"/>
      <c r="AB32" s="4243"/>
      <c r="AC32" s="4243"/>
      <c r="AD32" s="4243"/>
      <c r="AE32" s="4243"/>
      <c r="AF32" s="4243"/>
      <c r="AG32" s="4243"/>
      <c r="AH32" s="4243"/>
      <c r="AI32" s="4243"/>
      <c r="AJ32" s="436"/>
      <c r="AK32" s="2551"/>
      <c r="AL32" s="2405"/>
      <c r="AM32" s="2405"/>
      <c r="AN32" s="2405"/>
      <c r="AO32" s="2405"/>
      <c r="AP32" s="2405"/>
      <c r="AQ32" s="2405"/>
      <c r="AR32" s="808"/>
      <c r="AS32" s="808"/>
      <c r="AT32" s="808"/>
      <c r="AU32" s="808"/>
      <c r="AV32" s="808"/>
      <c r="AW32" s="808"/>
      <c r="AX32" s="808"/>
      <c r="AY32" s="808"/>
      <c r="AZ32" s="800"/>
      <c r="BA32" s="800"/>
      <c r="BB32" s="800"/>
      <c r="BC32" s="780"/>
      <c r="BD32" s="780"/>
      <c r="BE32" s="1828"/>
      <c r="BF32" s="1828"/>
      <c r="BG32" s="780"/>
      <c r="BH32" s="780"/>
      <c r="BI32" s="780"/>
      <c r="BJ32" s="2725"/>
      <c r="BK32" s="2038"/>
      <c r="BL32" s="2038"/>
      <c r="BM32" s="2038"/>
      <c r="BN32" s="2038"/>
      <c r="BO32" s="2038"/>
      <c r="BP32" s="2038"/>
      <c r="BQ32" s="2038"/>
      <c r="BR32" s="2038"/>
      <c r="BS32" s="2038"/>
      <c r="BT32" s="2038"/>
      <c r="BU32" s="2038"/>
      <c r="BV32" s="2038"/>
    </row>
    <row r="33" spans="1:74" ht="15.75" customHeight="1">
      <c r="A33" s="394"/>
      <c r="B33" s="6652" t="s">
        <v>615</v>
      </c>
      <c r="C33" s="6652"/>
      <c r="D33" s="6652"/>
      <c r="E33" s="5316"/>
      <c r="F33" s="6633" t="s">
        <v>616</v>
      </c>
      <c r="G33" s="6634"/>
      <c r="H33" s="1665" t="str">
        <f>IF(BadBirthdate_Yours,"",IF(YourBirthDate&lt;$AZ$97,"X",""))</f>
        <v/>
      </c>
      <c r="I33" s="6647" t="str">
        <f>IF(AND(Name_1st_Yours&lt;&gt;"",NOT($AY$13))," Enter your birthdate in box at right."," Were born before January 2, "&amp;TaxYear-64)</f>
        <v xml:space="preserve"> Were born before January 2, 1959</v>
      </c>
      <c r="J33" s="6648"/>
      <c r="K33" s="6648"/>
      <c r="L33" s="6648"/>
      <c r="M33" s="6648"/>
      <c r="N33" s="6648"/>
      <c r="O33" s="6649"/>
      <c r="P33" s="809"/>
      <c r="Q33" s="5870" t="s">
        <v>617</v>
      </c>
      <c r="R33" s="4245"/>
      <c r="S33" s="4182"/>
      <c r="T33" s="4246"/>
      <c r="U33" s="4182"/>
      <c r="V33" s="4202" t="s">
        <v>618</v>
      </c>
      <c r="W33" s="1665" t="str">
        <f>IF(OR(File_Single&lt;&gt;"",File_Head&lt;&gt;"",AND(File_Marr_Sep&lt;&gt;"",MFS_Spouse_NotFiling=""),BadBirthdate_Spouse,AL23),"",IF(BH105,"X",IF(AND(SpouseDeceased&lt;&gt;"",NOT(BH105)),"",IF(AND(OR(File_Marr_Joint&lt;&gt;"",MFS_Spouse_NotFiling&lt;&gt;""),SpouseBirthDate&lt;$AZ$97),"X",""))))</f>
        <v/>
      </c>
      <c r="X33" s="5870" t="str">
        <f>" Was born before January 2, "&amp;TaxYear-64</f>
        <v xml:space="preserve"> Was born before January 2, 1959</v>
      </c>
      <c r="Y33" s="4182"/>
      <c r="Z33" s="4182"/>
      <c r="AA33" s="4182"/>
      <c r="AB33" s="4182"/>
      <c r="AC33" s="4182"/>
      <c r="AD33" s="4182"/>
      <c r="AE33" s="4246"/>
      <c r="AF33" s="809"/>
      <c r="AG33" s="5870" t="s">
        <v>619</v>
      </c>
      <c r="AH33" s="4246"/>
      <c r="AI33" s="4246"/>
      <c r="AJ33" s="436"/>
      <c r="AK33" s="2719"/>
      <c r="AL33" s="900"/>
      <c r="AM33" s="1756"/>
      <c r="AN33" s="3265"/>
      <c r="AO33" s="3265"/>
      <c r="AP33" s="808"/>
      <c r="AQ33" s="808"/>
      <c r="AR33" s="808"/>
      <c r="AS33" s="1604"/>
      <c r="AT33" s="808"/>
      <c r="AU33" s="808"/>
      <c r="AV33" s="808"/>
      <c r="AW33" s="808"/>
      <c r="AX33" s="808"/>
      <c r="AY33" s="808"/>
      <c r="AZ33" s="800"/>
      <c r="BA33" s="800"/>
      <c r="BB33" s="800"/>
      <c r="BC33" s="780"/>
      <c r="BD33" s="780"/>
      <c r="BE33" s="1828"/>
      <c r="BF33" s="1828"/>
      <c r="BG33" s="780"/>
      <c r="BH33" s="780"/>
      <c r="BI33" s="780"/>
      <c r="BJ33" s="2725"/>
      <c r="BK33" s="2038"/>
      <c r="BL33" s="2038"/>
      <c r="BM33" s="2038"/>
      <c r="BN33" s="2038"/>
      <c r="BO33" s="2038"/>
      <c r="BP33" s="2038"/>
      <c r="BQ33" s="2038"/>
      <c r="BR33" s="2038"/>
      <c r="BS33" s="2038"/>
      <c r="BT33" s="2038"/>
      <c r="BU33" s="2038"/>
      <c r="BV33" s="2038"/>
    </row>
    <row r="34" spans="1:74" ht="5.25" customHeight="1">
      <c r="A34" s="394"/>
      <c r="B34" s="3254"/>
      <c r="C34" s="3254"/>
      <c r="D34" s="3254"/>
      <c r="E34" s="3254"/>
      <c r="F34" s="4238"/>
      <c r="G34" s="4238"/>
      <c r="H34" s="4238"/>
      <c r="I34" s="4238"/>
      <c r="J34" s="4239"/>
      <c r="K34" s="4239"/>
      <c r="L34" s="4239"/>
      <c r="M34" s="4239"/>
      <c r="N34" s="4239"/>
      <c r="O34" s="4239"/>
      <c r="P34" s="4239"/>
      <c r="Q34" s="4240"/>
      <c r="R34" s="4240"/>
      <c r="S34" s="4240"/>
      <c r="T34" s="4240"/>
      <c r="U34" s="4240"/>
      <c r="V34" s="4240"/>
      <c r="W34" s="4240"/>
      <c r="X34" s="4240"/>
      <c r="Y34" s="4240"/>
      <c r="Z34" s="4240"/>
      <c r="AA34" s="4240"/>
      <c r="AB34" s="4240"/>
      <c r="AC34" s="4240"/>
      <c r="AD34" s="4240"/>
      <c r="AE34" s="4240"/>
      <c r="AF34" s="4240"/>
      <c r="AG34" s="4240"/>
      <c r="AH34" s="4240"/>
      <c r="AI34" s="4240"/>
      <c r="AJ34" s="436"/>
      <c r="AK34" s="306"/>
      <c r="AL34" s="900"/>
      <c r="AM34" s="1756"/>
      <c r="AN34" s="900"/>
      <c r="AO34" s="900"/>
      <c r="AP34" s="808"/>
      <c r="AQ34" s="808"/>
      <c r="AR34" s="808"/>
      <c r="AS34" s="1604"/>
      <c r="AT34" s="808"/>
      <c r="AU34" s="808"/>
      <c r="AV34" s="808"/>
      <c r="AW34" s="808"/>
      <c r="AX34" s="808"/>
      <c r="AY34" s="808"/>
      <c r="AZ34" s="800"/>
      <c r="BA34" s="800"/>
      <c r="BB34" s="800"/>
      <c r="BC34" s="780"/>
      <c r="BD34" s="780"/>
      <c r="BE34" s="1828"/>
      <c r="BF34" s="1828"/>
      <c r="BG34" s="780"/>
      <c r="BH34" s="780"/>
      <c r="BI34" s="780"/>
      <c r="BJ34" s="2725"/>
      <c r="BK34" s="2038"/>
      <c r="BL34" s="2038"/>
      <c r="BM34" s="2038"/>
      <c r="BN34" s="2038"/>
      <c r="BO34" s="2038"/>
      <c r="BP34" s="2038"/>
      <c r="BQ34" s="2038"/>
      <c r="BR34" s="2038"/>
      <c r="BS34" s="2038"/>
      <c r="BT34" s="2038"/>
      <c r="BU34" s="2038"/>
      <c r="BV34" s="2038"/>
    </row>
    <row r="35" spans="1:74" ht="6.75" customHeight="1">
      <c r="A35" s="394"/>
      <c r="B35" s="6332" t="s">
        <v>620</v>
      </c>
      <c r="C35" s="6332"/>
      <c r="D35" s="6332"/>
      <c r="E35" s="5314"/>
      <c r="F35" s="4241"/>
      <c r="G35" s="4241"/>
      <c r="H35" s="4241"/>
      <c r="I35" s="4241"/>
      <c r="J35" s="4242"/>
      <c r="K35" s="4242"/>
      <c r="L35" s="4242"/>
      <c r="M35" s="4247"/>
      <c r="N35" s="6544" t="s">
        <v>621</v>
      </c>
      <c r="O35" s="6545"/>
      <c r="P35" s="6545"/>
      <c r="Q35" s="6545"/>
      <c r="R35" s="6545"/>
      <c r="S35" s="6546"/>
      <c r="T35" s="6535" t="s">
        <v>622</v>
      </c>
      <c r="U35" s="6536"/>
      <c r="V35" s="6536"/>
      <c r="W35" s="6536"/>
      <c r="X35" s="6536"/>
      <c r="Y35" s="6537"/>
      <c r="Z35" s="6316" t="s">
        <v>5487</v>
      </c>
      <c r="AA35" s="6317"/>
      <c r="AB35" s="6317"/>
      <c r="AC35" s="6317"/>
      <c r="AD35" s="6317"/>
      <c r="AE35" s="6317"/>
      <c r="AF35" s="6317"/>
      <c r="AG35" s="6317"/>
      <c r="AH35" s="6317"/>
      <c r="AI35" s="6317"/>
      <c r="AJ35" s="436"/>
      <c r="AK35" s="306"/>
      <c r="AL35" s="306"/>
      <c r="AM35" s="306"/>
      <c r="AN35" s="808"/>
      <c r="AO35" s="808"/>
      <c r="AP35" s="808"/>
      <c r="AQ35" s="808"/>
      <c r="AR35" s="808"/>
      <c r="AS35" s="1604"/>
      <c r="AT35" s="808"/>
      <c r="AU35" s="808"/>
      <c r="AV35" s="808"/>
      <c r="AW35" s="808"/>
      <c r="AX35" s="808"/>
      <c r="AY35" s="808"/>
      <c r="AZ35" s="800"/>
      <c r="BA35" s="800"/>
      <c r="BB35" s="800"/>
      <c r="BC35" s="780"/>
      <c r="BD35" s="780"/>
      <c r="BE35" s="1828"/>
      <c r="BF35" s="1828"/>
      <c r="BG35" s="780"/>
      <c r="BH35" s="780"/>
      <c r="BI35" s="780"/>
      <c r="BJ35" s="2725"/>
      <c r="BK35" s="2038"/>
      <c r="BL35" s="2038"/>
      <c r="BM35" s="2038"/>
      <c r="BN35" s="2038"/>
      <c r="BO35" s="2038"/>
      <c r="BP35" s="2038"/>
      <c r="BQ35" s="2038"/>
      <c r="BR35" s="2038"/>
      <c r="BS35" s="2038"/>
      <c r="BT35" s="2038"/>
      <c r="BU35" s="2038"/>
      <c r="BV35" s="2038"/>
    </row>
    <row r="36" spans="1:74" ht="12.75" customHeight="1">
      <c r="A36" s="394"/>
      <c r="B36" s="6333"/>
      <c r="C36" s="6333"/>
      <c r="D36" s="6333"/>
      <c r="E36" s="5315"/>
      <c r="F36" s="5881" t="s">
        <v>623</v>
      </c>
      <c r="G36" s="4234"/>
      <c r="H36" s="4234"/>
      <c r="I36" s="4234"/>
      <c r="J36" s="4234"/>
      <c r="K36" s="4234"/>
      <c r="L36" s="4234"/>
      <c r="M36" s="4248"/>
      <c r="N36" s="6547"/>
      <c r="O36" s="6548"/>
      <c r="P36" s="6548"/>
      <c r="Q36" s="6548"/>
      <c r="R36" s="6548"/>
      <c r="S36" s="6549"/>
      <c r="T36" s="6538"/>
      <c r="U36" s="6539"/>
      <c r="V36" s="6539"/>
      <c r="W36" s="6539"/>
      <c r="X36" s="6539"/>
      <c r="Y36" s="6540"/>
      <c r="Z36" s="6318"/>
      <c r="AA36" s="6319"/>
      <c r="AB36" s="6319"/>
      <c r="AC36" s="6319"/>
      <c r="AD36" s="6319"/>
      <c r="AE36" s="6319"/>
      <c r="AF36" s="6319"/>
      <c r="AG36" s="6319"/>
      <c r="AH36" s="6319"/>
      <c r="AI36" s="6319"/>
      <c r="AJ36" s="436"/>
      <c r="AK36" s="2553"/>
      <c r="AL36" s="808"/>
      <c r="AM36" s="4378" t="s">
        <v>626</v>
      </c>
      <c r="AN36" s="808"/>
      <c r="AO36" s="808"/>
      <c r="AP36" s="808"/>
      <c r="AQ36" s="808"/>
      <c r="AR36" s="4104">
        <f>IF(AA38&lt;&gt;"",1,0)</f>
        <v>0</v>
      </c>
      <c r="AS36" s="1994" t="b">
        <f>(AND(F38&lt;&gt;"",AA38="",AG38=""))</f>
        <v>1</v>
      </c>
      <c r="AT36" s="4105"/>
      <c r="AU36" s="2719">
        <f>IF(AA38&lt;&gt;"",1,0)</f>
        <v>0</v>
      </c>
      <c r="AV36" s="808"/>
      <c r="AW36" s="808"/>
      <c r="AX36" s="808"/>
      <c r="AY36" s="808"/>
      <c r="AZ36" s="808"/>
      <c r="BA36" s="1579"/>
      <c r="BB36" s="808"/>
      <c r="BC36" s="780"/>
      <c r="BD36" s="780"/>
      <c r="BE36" s="780"/>
      <c r="BF36" s="1828"/>
      <c r="BG36" s="780"/>
      <c r="BH36" s="780"/>
      <c r="BI36" s="780"/>
      <c r="BJ36" s="2725"/>
      <c r="BK36" s="2038"/>
      <c r="BL36" s="2038"/>
      <c r="BM36" s="2038"/>
      <c r="BN36" s="2038"/>
      <c r="BO36" s="2038"/>
      <c r="BP36" s="2038"/>
      <c r="BQ36" s="2038"/>
      <c r="BR36" s="2038"/>
      <c r="BS36" s="2038"/>
      <c r="BT36" s="2038"/>
      <c r="BU36" s="2038"/>
      <c r="BV36" s="2038"/>
    </row>
    <row r="37" spans="1:74" ht="17.25" customHeight="1" thickBot="1">
      <c r="A37" s="394"/>
      <c r="B37" s="6364" t="s">
        <v>627</v>
      </c>
      <c r="C37" s="6364"/>
      <c r="D37" s="6364"/>
      <c r="E37" s="4316"/>
      <c r="F37" s="6368" t="s">
        <v>628</v>
      </c>
      <c r="G37" s="6368"/>
      <c r="H37" s="6368"/>
      <c r="I37" s="6368"/>
      <c r="J37" s="6368" t="s">
        <v>629</v>
      </c>
      <c r="K37" s="6368"/>
      <c r="L37" s="6368"/>
      <c r="M37" s="6369"/>
      <c r="N37" s="6550"/>
      <c r="O37" s="6551"/>
      <c r="P37" s="6551"/>
      <c r="Q37" s="6551"/>
      <c r="R37" s="6551"/>
      <c r="S37" s="6552"/>
      <c r="T37" s="6541"/>
      <c r="U37" s="6542"/>
      <c r="V37" s="6542"/>
      <c r="W37" s="6542"/>
      <c r="X37" s="6542"/>
      <c r="Y37" s="6543"/>
      <c r="Z37" s="6480" t="s">
        <v>630</v>
      </c>
      <c r="AA37" s="6481"/>
      <c r="AB37" s="6481"/>
      <c r="AC37" s="6482"/>
      <c r="AD37" s="6480" t="s">
        <v>631</v>
      </c>
      <c r="AE37" s="6483"/>
      <c r="AF37" s="6483"/>
      <c r="AG37" s="6483"/>
      <c r="AH37" s="6483"/>
      <c r="AI37" s="6483"/>
      <c r="AJ37" s="436"/>
      <c r="AK37" s="6307" t="s">
        <v>632</v>
      </c>
      <c r="AL37" s="808"/>
      <c r="AM37" s="808"/>
      <c r="AN37" s="808"/>
      <c r="AO37" s="808"/>
      <c r="AP37" s="808"/>
      <c r="AQ37" s="808"/>
      <c r="AR37" s="4104">
        <f>IF(AA39&lt;&gt;"",1,0)</f>
        <v>0</v>
      </c>
      <c r="AS37" s="1994" t="b">
        <f>(AND(F39&lt;&gt;"",AA39="",AG39=""))</f>
        <v>1</v>
      </c>
      <c r="AT37" s="3429" t="b">
        <f>OR(AS36,AS37,AS38,AS39)</f>
        <v>1</v>
      </c>
      <c r="AU37" s="2719">
        <f>IF(AA39&lt;&gt;"",1,0)</f>
        <v>0</v>
      </c>
      <c r="AV37" s="808"/>
      <c r="AW37" s="808"/>
      <c r="AX37" s="808"/>
      <c r="AY37" s="1579"/>
      <c r="AZ37" s="1579"/>
      <c r="BA37" s="1579"/>
      <c r="BB37" s="808"/>
      <c r="BC37" s="808"/>
      <c r="BD37" s="808"/>
      <c r="BE37" s="808"/>
      <c r="BF37" s="808"/>
      <c r="BG37" s="780"/>
      <c r="BH37" s="780"/>
      <c r="BI37" s="780"/>
      <c r="BJ37" s="2725"/>
      <c r="BK37" s="2038"/>
      <c r="BL37" s="2038"/>
      <c r="BM37" s="2038"/>
      <c r="BN37" s="2038"/>
      <c r="BO37" s="2038"/>
      <c r="BP37" s="2038"/>
      <c r="BQ37" s="2038"/>
      <c r="BR37" s="2038"/>
      <c r="BS37" s="2038"/>
      <c r="BT37" s="2038"/>
      <c r="BU37" s="2038"/>
      <c r="BV37" s="2038"/>
    </row>
    <row r="38" spans="1:74" ht="16.5" customHeight="1" thickBot="1">
      <c r="A38" s="394"/>
      <c r="B38" s="6364"/>
      <c r="C38" s="6364"/>
      <c r="D38" s="6364"/>
      <c r="E38" s="4316"/>
      <c r="F38" s="6553" t="str">
        <f>Dependents!E7&amp;" "&amp;Dependents!I7</f>
        <v xml:space="preserve"> </v>
      </c>
      <c r="G38" s="6553"/>
      <c r="H38" s="6553"/>
      <c r="I38" s="6553"/>
      <c r="J38" s="6553"/>
      <c r="K38" s="6553"/>
      <c r="L38" s="6553"/>
      <c r="M38" s="6554"/>
      <c r="N38" s="6365" t="str">
        <f>IF(OR(Dependents!M7="",Dependents!M7=0),"",Dependents!M7)</f>
        <v/>
      </c>
      <c r="O38" s="6366"/>
      <c r="P38" s="6366"/>
      <c r="Q38" s="6366"/>
      <c r="R38" s="6366"/>
      <c r="S38" s="6367"/>
      <c r="T38" s="6532" t="str">
        <f>IF(Dependents!S7="","",Dependents!S7)</f>
        <v/>
      </c>
      <c r="U38" s="6533"/>
      <c r="V38" s="6533"/>
      <c r="W38" s="6533"/>
      <c r="X38" s="6533"/>
      <c r="Y38" s="6534"/>
      <c r="Z38" s="5871"/>
      <c r="AA38" s="1665" t="str">
        <f>IF(Dependents!Z7="","",Dependents!Z7)</f>
        <v/>
      </c>
      <c r="AB38" s="5875"/>
      <c r="AC38" s="5876"/>
      <c r="AD38" s="5872"/>
      <c r="AE38" s="5872"/>
      <c r="AF38" s="5872"/>
      <c r="AG38" s="1665" t="str">
        <f>IF(Dependents!AF7="","",Dependents!AF7)</f>
        <v/>
      </c>
      <c r="AH38" s="5872"/>
      <c r="AI38" s="5872"/>
      <c r="AJ38" s="4643"/>
      <c r="AK38" s="6307"/>
      <c r="AL38" s="3493">
        <f>IF(AG38&lt;&gt;"",1,0)</f>
        <v>0</v>
      </c>
      <c r="AM38" s="4402">
        <f>Dependents!AQ36</f>
        <v>0</v>
      </c>
      <c r="AN38" s="4403" t="s">
        <v>633</v>
      </c>
      <c r="AO38" s="2475"/>
      <c r="AP38" s="808"/>
      <c r="AQ38" s="808"/>
      <c r="AR38" s="4104">
        <f>IF(AA40&lt;&gt;"",1,0)</f>
        <v>0</v>
      </c>
      <c r="AS38" s="1994" t="b">
        <f>(AND(F40&lt;&gt;"",AA40="",AG40=""))</f>
        <v>1</v>
      </c>
      <c r="AT38" s="2551">
        <f>IF(DependentYOU="",1,0)</f>
        <v>1</v>
      </c>
      <c r="AU38" s="2719">
        <f>IF(AA40&lt;&gt;"",1,0)</f>
        <v>0</v>
      </c>
      <c r="AV38" s="808"/>
      <c r="AW38" s="808"/>
      <c r="AX38" s="808"/>
      <c r="AY38" s="4374"/>
      <c r="AZ38" s="808"/>
      <c r="BA38" s="1461"/>
      <c r="BB38" s="800"/>
      <c r="BC38" s="808"/>
      <c r="BD38" s="808"/>
      <c r="BE38" s="808"/>
      <c r="BF38" s="808"/>
      <c r="BG38" s="808"/>
      <c r="BH38" s="780"/>
      <c r="BI38" s="1009"/>
      <c r="BJ38" s="2725"/>
      <c r="BK38" s="2038"/>
      <c r="BL38" s="2038"/>
      <c r="BM38" s="2038"/>
      <c r="BN38" s="2038"/>
      <c r="BO38" s="2038"/>
      <c r="BP38" s="2038"/>
      <c r="BQ38" s="2038"/>
      <c r="BR38" s="2038"/>
      <c r="BS38" s="2038"/>
      <c r="BT38" s="2038"/>
      <c r="BU38" s="2038"/>
      <c r="BV38" s="2038"/>
    </row>
    <row r="39" spans="1:74" ht="13.5" customHeight="1" thickBot="1">
      <c r="A39" s="394"/>
      <c r="B39" s="6364"/>
      <c r="C39" s="6364"/>
      <c r="D39" s="6364"/>
      <c r="E39" s="4316"/>
      <c r="F39" s="6553" t="str">
        <f>Dependents!E8&amp;" "&amp;Dependents!I8</f>
        <v xml:space="preserve"> </v>
      </c>
      <c r="G39" s="6553"/>
      <c r="H39" s="6553"/>
      <c r="I39" s="6553"/>
      <c r="J39" s="6553"/>
      <c r="K39" s="6553"/>
      <c r="L39" s="6553"/>
      <c r="M39" s="6554"/>
      <c r="N39" s="6365" t="str">
        <f>IF(OR(Dependents!M8="",Dependents!M8=0),"",Dependents!M8)</f>
        <v/>
      </c>
      <c r="O39" s="6366"/>
      <c r="P39" s="6366"/>
      <c r="Q39" s="6366"/>
      <c r="R39" s="6366"/>
      <c r="S39" s="6367"/>
      <c r="T39" s="6532" t="str">
        <f>IF(Dependents!S8="","",Dependents!S8)</f>
        <v/>
      </c>
      <c r="U39" s="6533"/>
      <c r="V39" s="6533"/>
      <c r="W39" s="6533"/>
      <c r="X39" s="6533"/>
      <c r="Y39" s="6534"/>
      <c r="Z39" s="5871"/>
      <c r="AA39" s="1665" t="str">
        <f>IF(Dependents!Z8="","",Dependents!Z8)</f>
        <v/>
      </c>
      <c r="AB39" s="5873"/>
      <c r="AC39" s="5874"/>
      <c r="AD39" s="5872"/>
      <c r="AE39" s="5872"/>
      <c r="AF39" s="5872"/>
      <c r="AG39" s="1665" t="str">
        <f>IF(Dependents!AF8="","",Dependents!AF8)</f>
        <v/>
      </c>
      <c r="AH39" s="5872"/>
      <c r="AI39" s="5872"/>
      <c r="AJ39" s="4643"/>
      <c r="AK39" s="6307"/>
      <c r="AL39" s="3493">
        <f>IF(AG39&lt;&gt;"",1,0)</f>
        <v>0</v>
      </c>
      <c r="AM39" s="4402">
        <f>Dependents!AQ37</f>
        <v>0</v>
      </c>
      <c r="AN39" s="3264" t="s">
        <v>634</v>
      </c>
      <c r="AO39" s="2475"/>
      <c r="AP39" s="808"/>
      <c r="AQ39" s="808"/>
      <c r="AR39" s="4104">
        <f>IF(AA41&lt;&gt;"",1,0)</f>
        <v>0</v>
      </c>
      <c r="AS39" s="1994" t="b">
        <f>(AND(F41&lt;&gt;"",AA41="",AG41=""))</f>
        <v>1</v>
      </c>
      <c r="AT39" s="2551">
        <f>IF(AND(File_Marr_Joint&lt;&gt;"",DependentSPOUSE=""),1,0)</f>
        <v>0</v>
      </c>
      <c r="AU39" s="2719">
        <f>IF(AA41&lt;&gt;"",1,0)</f>
        <v>0</v>
      </c>
      <c r="AV39" s="808"/>
      <c r="AW39" s="808"/>
      <c r="AX39" s="808"/>
      <c r="AY39" s="4374"/>
      <c r="AZ39" s="808"/>
      <c r="BA39" s="1461"/>
      <c r="BB39" s="800"/>
      <c r="BC39" s="808"/>
      <c r="BD39" s="808"/>
      <c r="BE39" s="808"/>
      <c r="BF39" s="808"/>
      <c r="BG39" s="808"/>
      <c r="BH39" s="780"/>
      <c r="BI39" s="1009"/>
      <c r="BJ39" s="2725"/>
      <c r="BK39" s="2038"/>
      <c r="BL39" s="2038"/>
      <c r="BM39" s="2038"/>
      <c r="BN39" s="2038"/>
      <c r="BO39" s="2038"/>
      <c r="BP39" s="2038"/>
      <c r="BQ39" s="2038"/>
      <c r="BR39" s="2038"/>
      <c r="BS39" s="2038"/>
      <c r="BT39" s="2038"/>
      <c r="BU39" s="2038"/>
      <c r="BV39" s="2038"/>
    </row>
    <row r="40" spans="1:74" ht="13.5" customHeight="1" thickBot="1">
      <c r="A40" s="394"/>
      <c r="B40" s="6364"/>
      <c r="C40" s="6364"/>
      <c r="D40" s="6364"/>
      <c r="E40" s="4316"/>
      <c r="F40" s="6553" t="str">
        <f>Dependents!E9&amp;" "&amp;Dependents!I9</f>
        <v xml:space="preserve"> </v>
      </c>
      <c r="G40" s="6553"/>
      <c r="H40" s="6553"/>
      <c r="I40" s="6553"/>
      <c r="J40" s="6553"/>
      <c r="K40" s="6553"/>
      <c r="L40" s="6553"/>
      <c r="M40" s="6554"/>
      <c r="N40" s="6365" t="str">
        <f>IF(OR(Dependents!M9="",Dependents!M9=0),"",Dependents!M9)</f>
        <v/>
      </c>
      <c r="O40" s="6366"/>
      <c r="P40" s="6366"/>
      <c r="Q40" s="6366"/>
      <c r="R40" s="6366"/>
      <c r="S40" s="6367"/>
      <c r="T40" s="6532" t="str">
        <f>IF(Dependents!S9="","",Dependents!S9)</f>
        <v/>
      </c>
      <c r="U40" s="6533"/>
      <c r="V40" s="6533"/>
      <c r="W40" s="6533"/>
      <c r="X40" s="6533"/>
      <c r="Y40" s="6534"/>
      <c r="Z40" s="5871"/>
      <c r="AA40" s="1665" t="str">
        <f>IF(Dependents!Z9="","",Dependents!Z9)</f>
        <v/>
      </c>
      <c r="AB40" s="5873"/>
      <c r="AC40" s="5874"/>
      <c r="AD40" s="5872"/>
      <c r="AE40" s="5872"/>
      <c r="AF40" s="5872"/>
      <c r="AG40" s="1665" t="str">
        <f>IF(Dependents!AF9="","",Dependents!AF9)</f>
        <v/>
      </c>
      <c r="AH40" s="5872"/>
      <c r="AI40" s="5872"/>
      <c r="AJ40" s="4643"/>
      <c r="AK40" s="6307"/>
      <c r="AL40" s="3493">
        <f>IF(AG40&lt;&gt;"",1,0)</f>
        <v>0</v>
      </c>
      <c r="AM40" s="808"/>
      <c r="AN40" s="808"/>
      <c r="AO40" s="4878" t="b">
        <f>OR(AN43&lt;&gt;"",AN53&lt;&gt;"",AO53&lt;&gt;"",AN54&lt;&gt;"",AO54&lt;&gt;"",AN55&lt;&gt;"",AO55&lt;&gt;"",AN56&lt;&gt;"",AO56&lt;&gt;"",AN57&lt;&gt;"",AO57&lt;&gt;"")</f>
        <v>0</v>
      </c>
      <c r="AP40" s="2700">
        <f>IF(OR(NumFileStatusBoxes=0,NumFileStatusBoxes&gt;1),0,SUM(AT38,AT39,AM38,AM39,SUM(AJ38:AJ41)))</f>
        <v>0</v>
      </c>
      <c r="AQ40" s="3266" t="s">
        <v>635</v>
      </c>
      <c r="AR40" s="896"/>
      <c r="AS40" s="896"/>
      <c r="AT40" s="896"/>
      <c r="AU40" s="808"/>
      <c r="AV40" s="808"/>
      <c r="AW40" s="808"/>
      <c r="AX40" s="808"/>
      <c r="AY40" s="4374"/>
      <c r="AZ40" s="808"/>
      <c r="BA40" s="1461"/>
      <c r="BB40" s="800"/>
      <c r="BC40" s="808"/>
      <c r="BD40" s="808"/>
      <c r="BE40" s="808"/>
      <c r="BF40" s="808"/>
      <c r="BG40" s="808"/>
      <c r="BH40" s="780"/>
      <c r="BI40" s="780"/>
      <c r="BJ40" s="2725"/>
      <c r="BK40" s="2038"/>
      <c r="BL40" s="2038"/>
      <c r="BM40" s="2038"/>
      <c r="BN40" s="2038"/>
      <c r="BO40" s="2038"/>
      <c r="BP40" s="2038"/>
      <c r="BQ40" s="2038"/>
      <c r="BR40" s="2038"/>
      <c r="BS40" s="2038"/>
      <c r="BT40" s="2038"/>
      <c r="BU40" s="2038"/>
      <c r="BV40" s="2038"/>
    </row>
    <row r="41" spans="1:74" ht="10.5" customHeight="1">
      <c r="A41" s="394"/>
      <c r="B41" s="6364" t="s">
        <v>5701</v>
      </c>
      <c r="C41" s="6364"/>
      <c r="D41" s="1665" t="str">
        <f>IF(Dependents!D10="","",Dependents!D10)</f>
        <v/>
      </c>
      <c r="E41" s="5342"/>
      <c r="F41" s="6370" t="str">
        <f>Dependents!E10&amp;" "&amp;Dependents!I10</f>
        <v xml:space="preserve"> </v>
      </c>
      <c r="G41" s="6370"/>
      <c r="H41" s="6370"/>
      <c r="I41" s="6370"/>
      <c r="J41" s="6370"/>
      <c r="K41" s="6370"/>
      <c r="L41" s="6370"/>
      <c r="M41" s="6371"/>
      <c r="N41" s="6374" t="str">
        <f>IF(OR(Dependents!M10="",Dependents!M10=0),"",Dependents!M10)</f>
        <v/>
      </c>
      <c r="O41" s="6375"/>
      <c r="P41" s="6375"/>
      <c r="Q41" s="6375"/>
      <c r="R41" s="6375"/>
      <c r="S41" s="6376"/>
      <c r="T41" s="6308" t="str">
        <f>IF(Dependents!S10="","",Dependents!S10)</f>
        <v/>
      </c>
      <c r="U41" s="6308"/>
      <c r="V41" s="6308"/>
      <c r="W41" s="6308"/>
      <c r="X41" s="6308"/>
      <c r="Y41" s="6308"/>
      <c r="Z41" s="6310"/>
      <c r="AA41" s="6308" t="str">
        <f>IF(Dependents!Z10="","",Dependents!Z10)</f>
        <v/>
      </c>
      <c r="AB41" s="6320"/>
      <c r="AC41" s="6385"/>
      <c r="AD41" s="5879"/>
      <c r="AE41" s="5879"/>
      <c r="AF41" s="5879"/>
      <c r="AG41" s="6308" t="str">
        <f>IF(Dependents!AF10="","",Dependents!AF10)</f>
        <v/>
      </c>
      <c r="AH41" s="5879"/>
      <c r="AI41" s="5879"/>
      <c r="AJ41" s="4643"/>
      <c r="AK41" s="6307"/>
      <c r="AL41" s="3493">
        <f>IF(AG41&lt;&gt;"",1,0)</f>
        <v>0</v>
      </c>
      <c r="AM41" s="808"/>
      <c r="AN41" s="6291" t="s">
        <v>637</v>
      </c>
      <c r="AO41" s="4883"/>
      <c r="AP41" s="6283" t="s">
        <v>638</v>
      </c>
      <c r="AQ41" s="6284"/>
      <c r="AR41" s="6284"/>
      <c r="AS41" s="6284"/>
      <c r="AT41" s="6285"/>
      <c r="AU41" s="808"/>
      <c r="AV41" s="808"/>
      <c r="AW41" s="808"/>
      <c r="AX41" s="808"/>
      <c r="AY41" s="4374"/>
      <c r="AZ41" s="808"/>
      <c r="BA41" s="1461"/>
      <c r="BB41" s="800"/>
      <c r="BC41" s="808"/>
      <c r="BD41" s="808"/>
      <c r="BE41" s="808"/>
      <c r="BF41" s="808"/>
      <c r="BG41" s="808"/>
      <c r="BH41" s="780"/>
      <c r="BI41" s="780"/>
      <c r="BJ41" s="2725"/>
      <c r="BK41" s="2038"/>
      <c r="BL41" s="2038"/>
      <c r="BM41" s="2038"/>
      <c r="BN41" s="2038"/>
      <c r="BO41" s="2038"/>
      <c r="BP41" s="2038"/>
      <c r="BQ41" s="2038"/>
      <c r="BR41" s="2038"/>
      <c r="BS41" s="2038"/>
      <c r="BT41" s="2038"/>
      <c r="BU41" s="2038"/>
      <c r="BV41" s="2038"/>
    </row>
    <row r="42" spans="1:74" ht="3.75" customHeight="1" thickBot="1">
      <c r="A42" s="394"/>
      <c r="B42" s="5317"/>
      <c r="C42" s="5317"/>
      <c r="D42" s="5317"/>
      <c r="E42" s="5317"/>
      <c r="F42" s="6372"/>
      <c r="G42" s="6372"/>
      <c r="H42" s="6372"/>
      <c r="I42" s="6372"/>
      <c r="J42" s="6372"/>
      <c r="K42" s="6372"/>
      <c r="L42" s="6372"/>
      <c r="M42" s="6373"/>
      <c r="N42" s="6377"/>
      <c r="O42" s="6378"/>
      <c r="P42" s="6378"/>
      <c r="Q42" s="6378"/>
      <c r="R42" s="6378"/>
      <c r="S42" s="6379"/>
      <c r="T42" s="6309"/>
      <c r="U42" s="6309"/>
      <c r="V42" s="6309"/>
      <c r="W42" s="6309"/>
      <c r="X42" s="6309"/>
      <c r="Y42" s="6309"/>
      <c r="Z42" s="6311"/>
      <c r="AA42" s="6309"/>
      <c r="AB42" s="6321"/>
      <c r="AC42" s="6386"/>
      <c r="AD42" s="5877"/>
      <c r="AE42" s="5880"/>
      <c r="AF42" s="5878"/>
      <c r="AG42" s="6309"/>
      <c r="AH42" s="5877"/>
      <c r="AI42" s="5880"/>
      <c r="AJ42" s="4643"/>
      <c r="AK42" s="5309"/>
      <c r="AL42" s="3493"/>
      <c r="AM42" s="808"/>
      <c r="AN42" s="6292"/>
      <c r="AO42" s="4883"/>
      <c r="AP42" s="6286"/>
      <c r="AQ42" s="6279"/>
      <c r="AR42" s="6279"/>
      <c r="AS42" s="6279"/>
      <c r="AT42" s="6287"/>
      <c r="AU42" s="808"/>
      <c r="AV42" s="808"/>
      <c r="AW42" s="808"/>
      <c r="AX42" s="808"/>
      <c r="AY42" s="4374"/>
      <c r="AZ42" s="808"/>
      <c r="BA42" s="1461"/>
      <c r="BB42" s="800"/>
      <c r="BC42" s="808"/>
      <c r="BD42" s="808"/>
      <c r="BE42" s="808"/>
      <c r="BF42" s="808"/>
      <c r="BG42" s="808"/>
      <c r="BH42" s="780"/>
      <c r="BI42" s="780"/>
      <c r="BJ42" s="2725"/>
      <c r="BK42" s="2038"/>
      <c r="BL42" s="2038"/>
      <c r="BM42" s="2038"/>
      <c r="BN42" s="2038"/>
      <c r="BO42" s="2038"/>
      <c r="BP42" s="2038"/>
      <c r="BQ42" s="2038"/>
      <c r="BR42" s="2038"/>
      <c r="BS42" s="2038"/>
      <c r="BT42" s="2038"/>
      <c r="BU42" s="2038"/>
      <c r="BV42" s="2038"/>
    </row>
    <row r="43" spans="1:74" ht="15" customHeight="1" thickTop="1">
      <c r="A43" s="394"/>
      <c r="B43" s="6398" t="s">
        <v>639</v>
      </c>
      <c r="C43" s="6399"/>
      <c r="D43" s="6399"/>
      <c r="E43" s="5304"/>
      <c r="F43" s="4179">
        <v>1</v>
      </c>
      <c r="G43" s="4180" t="s">
        <v>640</v>
      </c>
      <c r="H43" s="4198" t="s">
        <v>641</v>
      </c>
      <c r="I43" s="4195"/>
      <c r="J43" s="4195"/>
      <c r="K43" s="4195"/>
      <c r="L43" s="4195"/>
      <c r="M43" s="4195"/>
      <c r="N43" s="4195"/>
      <c r="O43" s="4195"/>
      <c r="P43" s="4195"/>
      <c r="Q43" s="4195"/>
      <c r="R43" s="4195"/>
      <c r="S43" s="4195"/>
      <c r="T43" s="5341"/>
      <c r="U43" s="4876"/>
      <c r="V43" s="4876"/>
      <c r="W43" s="4876"/>
      <c r="X43" s="4876"/>
      <c r="Y43" s="4876"/>
      <c r="Z43" s="4876"/>
      <c r="AA43" s="4876"/>
      <c r="AB43" s="4190" t="s">
        <v>642</v>
      </c>
      <c r="AC43" s="4227" t="s">
        <v>363</v>
      </c>
      <c r="AD43" s="6351">
        <f>IF(AN43&lt;&gt;"",ROUND(AN43,0),ROUND(W2_Wages,0))</f>
        <v>0</v>
      </c>
      <c r="AE43" s="6358"/>
      <c r="AF43" s="6358"/>
      <c r="AG43" s="6358"/>
      <c r="AH43" s="6358"/>
      <c r="AI43" s="307"/>
      <c r="AJ43" s="2670"/>
      <c r="AK43" s="1994" t="str">
        <f>IF(InmateIncome&gt;0,"PRI  "&amp;TEXT(InmateIncome,"$0"),"")</f>
        <v/>
      </c>
      <c r="AL43" s="4084" t="s">
        <v>643</v>
      </c>
      <c r="AM43" s="4085" t="b">
        <f>AND(CONV2ROTH=0,ROUND(IRA_Gross,0)=IRA_Taxable)</f>
        <v>1</v>
      </c>
      <c r="AN43" s="2266"/>
      <c r="AO43" s="4877"/>
      <c r="AP43" s="6286"/>
      <c r="AQ43" s="6279"/>
      <c r="AR43" s="6279"/>
      <c r="AS43" s="6279"/>
      <c r="AT43" s="6287"/>
      <c r="AU43" s="808"/>
      <c r="AV43" s="808"/>
      <c r="AW43" s="808"/>
      <c r="AX43" s="808"/>
      <c r="AY43" s="808"/>
      <c r="AZ43" s="808"/>
      <c r="BA43" s="808"/>
      <c r="BB43" s="808"/>
      <c r="BC43" s="808"/>
      <c r="BD43" s="808"/>
      <c r="BE43" s="808"/>
      <c r="BF43" s="808"/>
      <c r="BG43" s="808"/>
      <c r="BH43" s="780"/>
      <c r="BI43" s="780"/>
      <c r="BJ43" s="2725"/>
      <c r="BK43" s="2038"/>
      <c r="BL43" s="2038"/>
      <c r="BM43" s="2038"/>
      <c r="BN43" s="2038"/>
      <c r="BO43" s="2038"/>
      <c r="BP43" s="2038"/>
      <c r="BQ43" s="2038"/>
      <c r="BR43" s="2038"/>
      <c r="BS43" s="2038"/>
      <c r="BT43" s="2038"/>
      <c r="BU43" s="2038"/>
      <c r="BV43" s="2038"/>
    </row>
    <row r="44" spans="1:74" ht="15" customHeight="1">
      <c r="A44" s="394"/>
      <c r="B44" s="6399"/>
      <c r="C44" s="6399"/>
      <c r="D44" s="6399"/>
      <c r="E44" s="5304"/>
      <c r="F44" s="4179"/>
      <c r="G44" s="4180" t="s">
        <v>644</v>
      </c>
      <c r="H44" s="4198" t="s">
        <v>645</v>
      </c>
      <c r="I44" s="4195"/>
      <c r="J44" s="4195"/>
      <c r="K44" s="4195"/>
      <c r="L44" s="4195"/>
      <c r="M44" s="4195"/>
      <c r="N44" s="4195"/>
      <c r="O44" s="4195"/>
      <c r="P44" s="4195"/>
      <c r="Q44" s="4195"/>
      <c r="R44" s="4195"/>
      <c r="S44" s="4195"/>
      <c r="T44" s="4875"/>
      <c r="U44" s="4876"/>
      <c r="V44" s="4876"/>
      <c r="W44" s="4876"/>
      <c r="X44" s="4876"/>
      <c r="Y44" s="4876"/>
      <c r="Z44" s="4876"/>
      <c r="AA44" s="4876"/>
      <c r="AB44" s="4190" t="s">
        <v>646</v>
      </c>
      <c r="AC44" s="4227" t="s">
        <v>365</v>
      </c>
      <c r="AD44" s="6314"/>
      <c r="AE44" s="6315"/>
      <c r="AF44" s="6315"/>
      <c r="AG44" s="6315"/>
      <c r="AH44" s="6315"/>
      <c r="AI44" s="307"/>
      <c r="AJ44" s="2670"/>
      <c r="AK44" s="1994"/>
      <c r="AL44" s="4084"/>
      <c r="AM44" s="4085"/>
      <c r="AN44" s="3717"/>
      <c r="AO44" s="4877"/>
      <c r="AP44" s="6286"/>
      <c r="AQ44" s="6279"/>
      <c r="AR44" s="6279"/>
      <c r="AS44" s="6279"/>
      <c r="AT44" s="6287"/>
      <c r="AU44" s="808"/>
      <c r="AV44" s="808"/>
      <c r="AW44" s="808"/>
      <c r="AX44" s="808"/>
      <c r="AY44" s="808"/>
      <c r="AZ44" s="808"/>
      <c r="BA44" s="808"/>
      <c r="BB44" s="808"/>
      <c r="BC44" s="808"/>
      <c r="BD44" s="808"/>
      <c r="BE44" s="808"/>
      <c r="BF44" s="808"/>
      <c r="BG44" s="808"/>
      <c r="BH44" s="780"/>
      <c r="BI44" s="780"/>
      <c r="BJ44" s="2725"/>
      <c r="BK44" s="2038"/>
      <c r="BL44" s="2038"/>
      <c r="BM44" s="2038"/>
      <c r="BN44" s="2038"/>
      <c r="BO44" s="2038"/>
      <c r="BP44" s="2038"/>
      <c r="BQ44" s="2038"/>
      <c r="BR44" s="2038"/>
      <c r="BS44" s="2038"/>
      <c r="BT44" s="2038"/>
      <c r="BU44" s="2038"/>
      <c r="BV44" s="2038"/>
    </row>
    <row r="45" spans="1:74" ht="15" customHeight="1">
      <c r="A45" s="394"/>
      <c r="B45" s="6410" t="s">
        <v>647</v>
      </c>
      <c r="C45" s="6410"/>
      <c r="D45" s="4788"/>
      <c r="E45" s="4788"/>
      <c r="F45" s="4179"/>
      <c r="G45" s="4180" t="s">
        <v>648</v>
      </c>
      <c r="H45" s="4198" t="s">
        <v>649</v>
      </c>
      <c r="I45" s="4195"/>
      <c r="J45" s="4195"/>
      <c r="K45" s="4195"/>
      <c r="L45" s="4195"/>
      <c r="M45" s="4195"/>
      <c r="N45" s="4195"/>
      <c r="O45" s="4195"/>
      <c r="P45" s="4195"/>
      <c r="Q45" s="4195"/>
      <c r="R45" s="4195"/>
      <c r="S45" s="4195"/>
      <c r="T45" s="4875"/>
      <c r="U45" s="4876"/>
      <c r="V45" s="4876"/>
      <c r="W45" s="4876"/>
      <c r="X45" s="4876"/>
      <c r="Y45" s="4876"/>
      <c r="Z45" s="4876"/>
      <c r="AA45" s="4876"/>
      <c r="AB45" s="4190" t="s">
        <v>650</v>
      </c>
      <c r="AC45" s="4227" t="s">
        <v>651</v>
      </c>
      <c r="AD45" s="6314"/>
      <c r="AE45" s="6315"/>
      <c r="AF45" s="6315"/>
      <c r="AG45" s="6315"/>
      <c r="AH45" s="6315"/>
      <c r="AI45" s="307"/>
      <c r="AJ45" s="2670"/>
      <c r="AK45" s="1994"/>
      <c r="AL45" s="4084"/>
      <c r="AM45" s="4085"/>
      <c r="AN45" s="3270"/>
      <c r="AO45" s="4877"/>
      <c r="AP45" s="6286"/>
      <c r="AQ45" s="6279"/>
      <c r="AR45" s="6279"/>
      <c r="AS45" s="6279"/>
      <c r="AT45" s="6287"/>
      <c r="AU45" s="808"/>
      <c r="AV45" s="808"/>
      <c r="AW45" s="808"/>
      <c r="AX45" s="808"/>
      <c r="AY45" s="808"/>
      <c r="AZ45" s="808"/>
      <c r="BA45" s="808"/>
      <c r="BB45" s="808"/>
      <c r="BC45" s="808"/>
      <c r="BD45" s="808"/>
      <c r="BE45" s="808"/>
      <c r="BF45" s="808"/>
      <c r="BG45" s="808"/>
      <c r="BH45" s="780"/>
      <c r="BI45" s="780"/>
      <c r="BJ45" s="2725"/>
      <c r="BK45" s="2038"/>
      <c r="BL45" s="2038"/>
      <c r="BM45" s="2038"/>
      <c r="BN45" s="2038"/>
      <c r="BO45" s="2038"/>
      <c r="BP45" s="2038"/>
      <c r="BQ45" s="2038"/>
      <c r="BR45" s="2038"/>
      <c r="BS45" s="2038"/>
      <c r="BT45" s="2038"/>
      <c r="BU45" s="2038"/>
      <c r="BV45" s="2038"/>
    </row>
    <row r="46" spans="1:74" ht="15" customHeight="1">
      <c r="A46" s="394"/>
      <c r="B46" s="6410"/>
      <c r="C46" s="6410"/>
      <c r="D46" s="4788"/>
      <c r="E46" s="4788"/>
      <c r="F46" s="4179"/>
      <c r="G46" s="4180" t="s">
        <v>652</v>
      </c>
      <c r="H46" s="4198" t="s">
        <v>653</v>
      </c>
      <c r="I46" s="4195"/>
      <c r="J46" s="4195"/>
      <c r="K46" s="4195"/>
      <c r="L46" s="4195"/>
      <c r="M46" s="4195"/>
      <c r="N46" s="4195"/>
      <c r="O46" s="4195"/>
      <c r="P46" s="4195"/>
      <c r="Q46" s="4195"/>
      <c r="R46" s="4195"/>
      <c r="S46" s="4195"/>
      <c r="T46" s="4875"/>
      <c r="U46" s="4876"/>
      <c r="V46" s="4876"/>
      <c r="W46" s="4876"/>
      <c r="X46" s="4876"/>
      <c r="Y46" s="4876"/>
      <c r="Z46" s="4876"/>
      <c r="AA46" s="4876"/>
      <c r="AB46" s="4190" t="s">
        <v>654</v>
      </c>
      <c r="AC46" s="4227" t="s">
        <v>655</v>
      </c>
      <c r="AD46" s="6314"/>
      <c r="AE46" s="6315"/>
      <c r="AF46" s="6315"/>
      <c r="AG46" s="6315"/>
      <c r="AH46" s="6315"/>
      <c r="AI46" s="307"/>
      <c r="AJ46" s="2670"/>
      <c r="AK46" s="1994"/>
      <c r="AL46" s="4084"/>
      <c r="AM46" s="4085"/>
      <c r="AN46" s="3270"/>
      <c r="AO46" s="4877"/>
      <c r="AP46" s="6286"/>
      <c r="AQ46" s="6279"/>
      <c r="AR46" s="6279"/>
      <c r="AS46" s="6279"/>
      <c r="AT46" s="6287"/>
      <c r="AU46" s="808"/>
      <c r="AV46" s="808"/>
      <c r="AW46" s="808"/>
      <c r="AX46" s="808"/>
      <c r="AY46" s="808"/>
      <c r="AZ46" s="808"/>
      <c r="BA46" s="808"/>
      <c r="BB46" s="808"/>
      <c r="BC46" s="808"/>
      <c r="BD46" s="808"/>
      <c r="BE46" s="808"/>
      <c r="BF46" s="808"/>
      <c r="BG46" s="808"/>
      <c r="BH46" s="780"/>
      <c r="BI46" s="780"/>
      <c r="BJ46" s="2725"/>
      <c r="BK46" s="2038"/>
      <c r="BL46" s="2038"/>
      <c r="BM46" s="2038"/>
      <c r="BN46" s="2038"/>
      <c r="BO46" s="2038"/>
      <c r="BP46" s="2038"/>
      <c r="BQ46" s="2038"/>
      <c r="BR46" s="2038"/>
      <c r="BS46" s="2038"/>
      <c r="BT46" s="2038"/>
      <c r="BU46" s="2038"/>
      <c r="BV46" s="2038"/>
    </row>
    <row r="47" spans="1:74" ht="15" customHeight="1">
      <c r="A47" s="394"/>
      <c r="B47" s="6410"/>
      <c r="C47" s="6410"/>
      <c r="D47" s="4788"/>
      <c r="E47" s="4788"/>
      <c r="F47" s="4179"/>
      <c r="G47" s="4180" t="s">
        <v>656</v>
      </c>
      <c r="H47" s="4198" t="s">
        <v>657</v>
      </c>
      <c r="I47" s="4195"/>
      <c r="J47" s="4195"/>
      <c r="K47" s="4195"/>
      <c r="L47" s="4195"/>
      <c r="M47" s="4195"/>
      <c r="N47" s="4195"/>
      <c r="O47" s="4195"/>
      <c r="P47" s="4195"/>
      <c r="Q47" s="4195"/>
      <c r="R47" s="4195"/>
      <c r="S47" s="4195"/>
      <c r="T47" s="4875"/>
      <c r="U47" s="4876"/>
      <c r="V47" s="4876"/>
      <c r="W47" s="4876"/>
      <c r="X47" s="4876"/>
      <c r="Y47" s="4876"/>
      <c r="Z47" s="4876"/>
      <c r="AA47" s="4876"/>
      <c r="AB47" s="4190" t="s">
        <v>646</v>
      </c>
      <c r="AC47" s="4227" t="s">
        <v>658</v>
      </c>
      <c r="AD47" s="6356" t="str">
        <f>IF(AN47&lt;&gt;"",ROUND(AN47,0),Dependent_Care)</f>
        <v/>
      </c>
      <c r="AE47" s="6357"/>
      <c r="AF47" s="6357"/>
      <c r="AG47" s="6357"/>
      <c r="AH47" s="6357"/>
      <c r="AI47" s="307"/>
      <c r="AJ47" s="2670"/>
      <c r="AK47" s="1994"/>
      <c r="AL47" s="4084"/>
      <c r="AM47" s="4085"/>
      <c r="AN47" s="2266"/>
      <c r="AO47" s="4877"/>
      <c r="AP47" s="6286"/>
      <c r="AQ47" s="6279"/>
      <c r="AR47" s="6279"/>
      <c r="AS47" s="6279"/>
      <c r="AT47" s="6287"/>
      <c r="AU47" s="808"/>
      <c r="AV47" s="808"/>
      <c r="AW47" s="808"/>
      <c r="AX47" s="808"/>
      <c r="AY47" s="808"/>
      <c r="AZ47" s="808"/>
      <c r="BA47" s="808"/>
      <c r="BB47" s="808"/>
      <c r="BC47" s="808"/>
      <c r="BD47" s="808"/>
      <c r="BE47" s="808"/>
      <c r="BF47" s="808"/>
      <c r="BG47" s="808"/>
      <c r="BH47" s="780"/>
      <c r="BI47" s="780"/>
      <c r="BJ47" s="2725"/>
      <c r="BK47" s="2038"/>
      <c r="BL47" s="2038"/>
      <c r="BM47" s="2038"/>
      <c r="BN47" s="2038"/>
      <c r="BO47" s="2038"/>
      <c r="BP47" s="2038"/>
      <c r="BQ47" s="2038"/>
      <c r="BR47" s="2038"/>
      <c r="BS47" s="2038"/>
      <c r="BT47" s="2038"/>
      <c r="BU47" s="2038"/>
      <c r="BV47" s="2038"/>
    </row>
    <row r="48" spans="1:74" ht="15" customHeight="1" thickBot="1">
      <c r="A48" s="394"/>
      <c r="B48" s="6410"/>
      <c r="C48" s="6410"/>
      <c r="D48" s="4788"/>
      <c r="E48" s="4788"/>
      <c r="F48" s="4179"/>
      <c r="G48" s="4180" t="s">
        <v>659</v>
      </c>
      <c r="H48" s="4198" t="s">
        <v>660</v>
      </c>
      <c r="I48" s="4195"/>
      <c r="J48" s="4195"/>
      <c r="K48" s="4195"/>
      <c r="L48" s="4195"/>
      <c r="M48" s="4195"/>
      <c r="N48" s="4195"/>
      <c r="O48" s="4195"/>
      <c r="P48" s="4195"/>
      <c r="Q48" s="4195"/>
      <c r="R48" s="4195"/>
      <c r="S48" s="4195"/>
      <c r="T48" s="4875"/>
      <c r="U48" s="4876"/>
      <c r="V48" s="4876"/>
      <c r="W48" s="4876"/>
      <c r="X48" s="4876"/>
      <c r="Y48" s="4876"/>
      <c r="Z48" s="4876"/>
      <c r="AA48" s="4876"/>
      <c r="AB48" s="4190" t="s">
        <v>661</v>
      </c>
      <c r="AC48" s="4227" t="s">
        <v>662</v>
      </c>
      <c r="AD48" s="6314"/>
      <c r="AE48" s="6315"/>
      <c r="AF48" s="6315"/>
      <c r="AG48" s="6315"/>
      <c r="AH48" s="6315"/>
      <c r="AI48" s="307"/>
      <c r="AJ48" s="2670"/>
      <c r="AK48" s="1994"/>
      <c r="AL48" s="4084"/>
      <c r="AM48" s="4085"/>
      <c r="AN48" s="3270"/>
      <c r="AO48" s="4877"/>
      <c r="AP48" s="6288"/>
      <c r="AQ48" s="6289"/>
      <c r="AR48" s="6289"/>
      <c r="AS48" s="6289"/>
      <c r="AT48" s="6290"/>
      <c r="AU48" s="808"/>
      <c r="AV48" s="808"/>
      <c r="AW48" s="808"/>
      <c r="AX48" s="808"/>
      <c r="AY48" s="808"/>
      <c r="AZ48" s="808"/>
      <c r="BA48" s="808"/>
      <c r="BB48" s="808"/>
      <c r="BC48" s="808"/>
      <c r="BD48" s="808"/>
      <c r="BE48" s="808"/>
      <c r="BF48" s="808"/>
      <c r="BG48" s="808"/>
      <c r="BH48" s="780"/>
      <c r="BI48" s="780"/>
      <c r="BJ48" s="2725"/>
      <c r="BK48" s="2038"/>
      <c r="BL48" s="2038"/>
      <c r="BM48" s="2038"/>
      <c r="BN48" s="2038"/>
      <c r="BO48" s="2038"/>
      <c r="BP48" s="2038"/>
      <c r="BQ48" s="2038"/>
      <c r="BR48" s="2038"/>
      <c r="BS48" s="2038"/>
      <c r="BT48" s="2038"/>
      <c r="BU48" s="2038"/>
      <c r="BV48" s="2038"/>
    </row>
    <row r="49" spans="1:74" ht="15" customHeight="1">
      <c r="A49" s="394"/>
      <c r="B49" s="6410"/>
      <c r="C49" s="6410"/>
      <c r="D49" s="4788"/>
      <c r="E49" s="4788"/>
      <c r="F49" s="4179"/>
      <c r="G49" s="4180" t="s">
        <v>663</v>
      </c>
      <c r="H49" s="4198" t="s">
        <v>664</v>
      </c>
      <c r="I49" s="4195"/>
      <c r="J49" s="4195"/>
      <c r="K49" s="4195"/>
      <c r="L49" s="4195"/>
      <c r="M49" s="4195"/>
      <c r="N49" s="4195"/>
      <c r="O49" s="4195"/>
      <c r="P49" s="4195"/>
      <c r="Q49" s="4195"/>
      <c r="R49" s="4195"/>
      <c r="S49" s="4195"/>
      <c r="T49" s="4875"/>
      <c r="U49" s="4876"/>
      <c r="V49" s="4876"/>
      <c r="W49" s="4876"/>
      <c r="X49" s="4876"/>
      <c r="Y49" s="4876"/>
      <c r="Z49" s="4876"/>
      <c r="AA49" s="4876"/>
      <c r="AB49" s="4190" t="s">
        <v>665</v>
      </c>
      <c r="AC49" s="4227" t="s">
        <v>666</v>
      </c>
      <c r="AD49" s="6314"/>
      <c r="AE49" s="6315"/>
      <c r="AF49" s="6315"/>
      <c r="AG49" s="6315"/>
      <c r="AH49" s="6315"/>
      <c r="AI49" s="307"/>
      <c r="AJ49" s="2670"/>
      <c r="AK49" s="1994"/>
      <c r="AL49" s="4084"/>
      <c r="AM49" s="4085"/>
      <c r="AN49" s="3270"/>
      <c r="AO49" s="4882"/>
      <c r="AP49" s="4879"/>
      <c r="AQ49" s="4879"/>
      <c r="AR49" s="4879"/>
      <c r="AS49" s="4879"/>
      <c r="AT49" s="4879"/>
      <c r="AU49" s="808"/>
      <c r="AV49" s="808"/>
      <c r="AW49" s="808"/>
      <c r="AX49" s="808"/>
      <c r="AY49" s="808"/>
      <c r="AZ49" s="808"/>
      <c r="BA49" s="808"/>
      <c r="BB49" s="808"/>
      <c r="BC49" s="808"/>
      <c r="BD49" s="808"/>
      <c r="BE49" s="808"/>
      <c r="BF49" s="808"/>
      <c r="BG49" s="808"/>
      <c r="BH49" s="780"/>
      <c r="BI49" s="780"/>
      <c r="BJ49" s="2725"/>
      <c r="BK49" s="2038"/>
      <c r="BL49" s="2038"/>
      <c r="BM49" s="2038"/>
      <c r="BN49" s="2038"/>
      <c r="BO49" s="2038"/>
      <c r="BP49" s="2038"/>
      <c r="BQ49" s="2038"/>
      <c r="BR49" s="2038"/>
      <c r="BS49" s="2038"/>
      <c r="BT49" s="2038"/>
      <c r="BU49" s="2038"/>
      <c r="BV49" s="2038"/>
    </row>
    <row r="50" spans="1:74" ht="15" customHeight="1" thickBot="1">
      <c r="A50" s="394"/>
      <c r="B50" s="6334" t="s">
        <v>667</v>
      </c>
      <c r="C50" s="6334"/>
      <c r="D50" s="6334"/>
      <c r="E50" s="5307"/>
      <c r="F50" s="4179"/>
      <c r="G50" s="4180" t="s">
        <v>668</v>
      </c>
      <c r="H50" s="4198" t="s">
        <v>669</v>
      </c>
      <c r="I50" s="4195"/>
      <c r="J50" s="4195"/>
      <c r="K50" s="4195"/>
      <c r="L50" s="4195"/>
      <c r="M50" s="4195"/>
      <c r="N50" s="4195"/>
      <c r="O50" s="4195"/>
      <c r="P50" s="4195"/>
      <c r="Q50" s="4195"/>
      <c r="R50" s="4195"/>
      <c r="S50" s="4195"/>
      <c r="T50" s="4875"/>
      <c r="U50" s="4876"/>
      <c r="V50" s="4876"/>
      <c r="W50" s="4876"/>
      <c r="X50" s="4876"/>
      <c r="Y50" s="4876"/>
      <c r="Z50" s="4876"/>
      <c r="AA50" s="4876"/>
      <c r="AB50" s="4190" t="s">
        <v>670</v>
      </c>
      <c r="AC50" s="4223" t="s">
        <v>671</v>
      </c>
      <c r="AD50" s="6362"/>
      <c r="AE50" s="6363"/>
      <c r="AF50" s="6363"/>
      <c r="AG50" s="6363"/>
      <c r="AH50" s="6363"/>
      <c r="AI50" s="307"/>
      <c r="AJ50" s="2670"/>
      <c r="AK50" s="1994"/>
      <c r="AL50" s="4084"/>
      <c r="AM50" s="4085"/>
      <c r="AN50" s="3718"/>
      <c r="AO50" s="4882"/>
      <c r="AP50" s="1233"/>
      <c r="AQ50" s="1233"/>
      <c r="AR50" s="1233"/>
      <c r="AS50" s="1233"/>
      <c r="AT50" s="1233"/>
      <c r="AU50" s="808"/>
      <c r="AV50" s="808"/>
      <c r="AW50" s="808"/>
      <c r="AX50" s="808"/>
      <c r="AY50" s="808"/>
      <c r="AZ50" s="808"/>
      <c r="BA50" s="808"/>
      <c r="BB50" s="808"/>
      <c r="BC50" s="808"/>
      <c r="BD50" s="808"/>
      <c r="BE50" s="808"/>
      <c r="BF50" s="808"/>
      <c r="BG50" s="808"/>
      <c r="BH50" s="780"/>
      <c r="BI50" s="780"/>
      <c r="BJ50" s="2725"/>
      <c r="BK50" s="2038"/>
      <c r="BL50" s="2038"/>
      <c r="BM50" s="2038"/>
      <c r="BN50" s="2038"/>
      <c r="BO50" s="2038"/>
      <c r="BP50" s="2038"/>
      <c r="BQ50" s="2038"/>
      <c r="BR50" s="2038"/>
      <c r="BS50" s="2038"/>
      <c r="BT50" s="2038"/>
      <c r="BU50" s="2038"/>
      <c r="BV50" s="2038"/>
    </row>
    <row r="51" spans="1:74" ht="15" customHeight="1">
      <c r="A51" s="394"/>
      <c r="B51" s="6334"/>
      <c r="C51" s="6334"/>
      <c r="D51" s="6334"/>
      <c r="E51" s="5307"/>
      <c r="F51" s="4179"/>
      <c r="G51" s="4180" t="s">
        <v>672</v>
      </c>
      <c r="H51" s="4198" t="s">
        <v>673</v>
      </c>
      <c r="I51" s="4195"/>
      <c r="J51" s="4195"/>
      <c r="K51" s="4195"/>
      <c r="L51" s="4195"/>
      <c r="M51" s="4195"/>
      <c r="N51" s="4195"/>
      <c r="O51" s="4195"/>
      <c r="P51" s="4195"/>
      <c r="Q51" s="4195"/>
      <c r="R51" s="4195"/>
      <c r="S51" s="4195"/>
      <c r="T51" s="4875"/>
      <c r="U51" s="4876"/>
      <c r="V51" s="4876"/>
      <c r="W51" s="4876"/>
      <c r="X51" s="4190" t="s">
        <v>677</v>
      </c>
      <c r="Y51" s="4221" t="s">
        <v>674</v>
      </c>
      <c r="Z51" s="6353">
        <f>IF(AN51&lt;&gt;"",ROUND(AN51,0),'W-2s'!C74)</f>
        <v>0</v>
      </c>
      <c r="AA51" s="6354"/>
      <c r="AB51" s="6355"/>
      <c r="AC51" s="5347"/>
      <c r="AD51" s="4995"/>
      <c r="AE51" s="5348"/>
      <c r="AF51" s="5348"/>
      <c r="AG51" s="5348"/>
      <c r="AH51" s="5348"/>
      <c r="AI51" s="307"/>
      <c r="AJ51" s="2670"/>
      <c r="AK51" s="5832" t="str">
        <f>IF(OR(CombatPayNoTax="",CombatPayNoTax=0),"","Source: Form W-2, line 12a")</f>
        <v/>
      </c>
      <c r="AL51" s="5832"/>
      <c r="AM51" s="5833"/>
      <c r="AN51" s="2266"/>
      <c r="AO51" s="4882"/>
      <c r="AP51" s="1233"/>
      <c r="AQ51" s="1233"/>
      <c r="AR51" s="1233"/>
      <c r="AS51" s="1233"/>
      <c r="AT51" s="1233"/>
      <c r="AU51" s="808"/>
      <c r="AV51" s="808"/>
      <c r="AW51" s="808"/>
      <c r="AX51" s="808"/>
      <c r="AY51" s="808"/>
      <c r="AZ51" s="808"/>
      <c r="BA51" s="808"/>
      <c r="BB51" s="808"/>
      <c r="BC51" s="808"/>
      <c r="BD51" s="808"/>
      <c r="BE51" s="808"/>
      <c r="BF51" s="808"/>
      <c r="BG51" s="808"/>
      <c r="BH51" s="780"/>
      <c r="BI51" s="780"/>
      <c r="BJ51" s="2725"/>
      <c r="BK51" s="2038"/>
      <c r="BL51" s="2038"/>
      <c r="BM51" s="2038"/>
      <c r="BN51" s="2038"/>
      <c r="BO51" s="2038"/>
      <c r="BP51" s="2038"/>
      <c r="BQ51" s="2038"/>
      <c r="BR51" s="2038"/>
      <c r="BS51" s="2038"/>
      <c r="BT51" s="2038"/>
      <c r="BU51" s="2038"/>
      <c r="BV51" s="2038"/>
    </row>
    <row r="52" spans="1:74" ht="15" customHeight="1">
      <c r="A52" s="394"/>
      <c r="B52" s="6335"/>
      <c r="C52" s="6335"/>
      <c r="D52" s="6335"/>
      <c r="E52" s="5308"/>
      <c r="F52" s="4252"/>
      <c r="G52" s="4180" t="s">
        <v>675</v>
      </c>
      <c r="H52" s="4198" t="s">
        <v>676</v>
      </c>
      <c r="I52" s="4195"/>
      <c r="J52" s="4195"/>
      <c r="K52" s="4195"/>
      <c r="L52" s="4195"/>
      <c r="M52" s="4195"/>
      <c r="N52" s="4195"/>
      <c r="O52" s="4195"/>
      <c r="P52" s="4195"/>
      <c r="Q52" s="4195"/>
      <c r="R52" s="4195"/>
      <c r="S52" s="4195"/>
      <c r="T52" s="4875"/>
      <c r="U52" s="4876"/>
      <c r="V52" s="4876"/>
      <c r="W52" s="4876"/>
      <c r="X52" s="4876"/>
      <c r="Y52" s="4876"/>
      <c r="Z52" s="4876"/>
      <c r="AA52" s="4876"/>
      <c r="AB52" s="4190" t="s">
        <v>665</v>
      </c>
      <c r="AC52" s="4227" t="s">
        <v>678</v>
      </c>
      <c r="AD52" s="6351">
        <f>SUM(AD43, ROUND(AD44,0),ROUND(AD45,0),ROUND(AD46,0),AD47,ROUND(AD48,0),ROUND(AD49,0),ROUND(AD50,0))</f>
        <v>0</v>
      </c>
      <c r="AE52" s="6339"/>
      <c r="AF52" s="6339"/>
      <c r="AG52" s="6339"/>
      <c r="AH52" s="6339"/>
      <c r="AI52" s="307"/>
      <c r="AJ52" s="2670"/>
      <c r="AK52" s="1994"/>
      <c r="AL52" s="4084"/>
      <c r="AM52" s="4085"/>
      <c r="AN52" s="2266"/>
      <c r="AO52" s="4884" t="s">
        <v>637</v>
      </c>
      <c r="AP52" s="1233"/>
      <c r="AQ52" s="1233"/>
      <c r="AR52" s="1233"/>
      <c r="AS52" s="1233"/>
      <c r="AT52" s="1233"/>
      <c r="AU52" s="808"/>
      <c r="AV52" s="808"/>
      <c r="AW52" s="808"/>
      <c r="AX52" s="808"/>
      <c r="AY52" s="808"/>
      <c r="AZ52" s="808"/>
      <c r="BA52" s="808"/>
      <c r="BB52" s="808"/>
      <c r="BC52" s="808"/>
      <c r="BD52" s="808"/>
      <c r="BE52" s="808"/>
      <c r="BF52" s="808"/>
      <c r="BG52" s="808"/>
      <c r="BH52" s="780"/>
      <c r="BI52" s="780"/>
      <c r="BJ52" s="2725"/>
      <c r="BK52" s="2038"/>
      <c r="BL52" s="2038"/>
      <c r="BM52" s="2038"/>
      <c r="BN52" s="2038"/>
      <c r="BO52" s="2038"/>
      <c r="BP52" s="2038"/>
      <c r="BQ52" s="2038"/>
      <c r="BR52" s="2038"/>
      <c r="BS52" s="2038"/>
      <c r="BT52" s="2038"/>
      <c r="BU52" s="2038"/>
      <c r="BV52" s="2038"/>
    </row>
    <row r="53" spans="1:74" ht="15" customHeight="1">
      <c r="A53" s="394"/>
      <c r="B53" s="6400" t="s">
        <v>679</v>
      </c>
      <c r="C53" s="6401"/>
      <c r="D53" s="6401"/>
      <c r="E53" s="5305"/>
      <c r="F53" s="3703">
        <v>2</v>
      </c>
      <c r="G53" s="3704" t="s">
        <v>640</v>
      </c>
      <c r="H53" s="4198" t="s">
        <v>332</v>
      </c>
      <c r="I53" s="5437"/>
      <c r="J53" s="5437"/>
      <c r="K53" s="5437"/>
      <c r="L53" s="4190" t="s">
        <v>680</v>
      </c>
      <c r="M53" s="6380" t="str">
        <f>F53&amp;"a"</f>
        <v>2a</v>
      </c>
      <c r="N53" s="6381"/>
      <c r="O53" s="6338">
        <f>IF(AN53&lt;&gt;"",ROUND(AN53,0),SUM(TaxExemptInterest,Exempt_Interest_DIV))</f>
        <v>0</v>
      </c>
      <c r="P53" s="6339"/>
      <c r="Q53" s="6339"/>
      <c r="R53" s="6339"/>
      <c r="S53" s="6339"/>
      <c r="T53" s="4179" t="s">
        <v>644</v>
      </c>
      <c r="U53" s="4226" t="s">
        <v>681</v>
      </c>
      <c r="V53" s="4194"/>
      <c r="W53" s="4199"/>
      <c r="X53" s="4199"/>
      <c r="Y53" s="5437"/>
      <c r="Z53" s="4199"/>
      <c r="AA53" s="4199"/>
      <c r="AB53" s="4190" t="s">
        <v>699</v>
      </c>
      <c r="AC53" s="4187" t="str">
        <f>F53&amp;"b"</f>
        <v>2b</v>
      </c>
      <c r="AD53" s="6328">
        <f>IF(AO53&lt;&gt;"",ROUND(AO53,0),Interest_Inc)</f>
        <v>0</v>
      </c>
      <c r="AE53" s="6343"/>
      <c r="AF53" s="6343"/>
      <c r="AG53" s="6343"/>
      <c r="AH53" s="6343"/>
      <c r="AI53" s="5438"/>
      <c r="AJ53" s="3940"/>
      <c r="AK53" s="1994" t="str">
        <f>IF(DeferredIncomeNQ&gt;0,"DFC  "&amp;TEXT(DeferredIncomeNQ,"$0"),"")</f>
        <v/>
      </c>
      <c r="AL53" s="4084" t="s">
        <v>682</v>
      </c>
      <c r="AM53" s="4085" t="b">
        <f>ROUND(PA_Gross,0)=PA_Taxable</f>
        <v>1</v>
      </c>
      <c r="AN53" s="3426"/>
      <c r="AO53" s="4880"/>
      <c r="AP53" s="6330" t="s">
        <v>5837</v>
      </c>
      <c r="AQ53" s="6331"/>
      <c r="AR53" s="1233"/>
      <c r="AS53" s="1233"/>
      <c r="AT53" s="1233"/>
      <c r="AU53" s="808"/>
      <c r="AV53" s="808"/>
      <c r="AW53" s="808"/>
      <c r="AX53" s="808"/>
      <c r="AY53" s="808"/>
      <c r="AZ53" s="808"/>
      <c r="BA53" s="808"/>
      <c r="BB53" s="808"/>
      <c r="BC53" s="808"/>
      <c r="BD53" s="808"/>
      <c r="BE53" s="808"/>
      <c r="BF53" s="808"/>
      <c r="BG53" s="808"/>
      <c r="BH53" s="780"/>
      <c r="BI53" s="780"/>
      <c r="BJ53" s="2725"/>
      <c r="BK53" s="2038"/>
      <c r="BL53" s="2038"/>
      <c r="BM53" s="2038"/>
      <c r="BN53" s="2038"/>
      <c r="BO53" s="2038"/>
      <c r="BP53" s="2038"/>
      <c r="BQ53" s="2038"/>
      <c r="BR53" s="2038"/>
      <c r="BS53" s="2038"/>
      <c r="BT53" s="2038"/>
      <c r="BU53" s="2038"/>
      <c r="BV53" s="2038"/>
    </row>
    <row r="54" spans="1:74" ht="15" customHeight="1" thickBot="1">
      <c r="A54" s="394"/>
      <c r="B54" s="6402"/>
      <c r="C54" s="6403"/>
      <c r="D54" s="6403"/>
      <c r="E54" s="5306"/>
      <c r="F54" s="2097">
        <v>3</v>
      </c>
      <c r="G54" s="3705" t="s">
        <v>640</v>
      </c>
      <c r="H54" s="4198" t="s">
        <v>366</v>
      </c>
      <c r="I54" s="5437"/>
      <c r="J54" s="5437"/>
      <c r="K54" s="5437"/>
      <c r="L54" s="4190" t="s">
        <v>680</v>
      </c>
      <c r="M54" s="6336" t="str">
        <f>F54&amp;"a"</f>
        <v>3a</v>
      </c>
      <c r="N54" s="6337"/>
      <c r="O54" s="6338">
        <f>IF(AN54&lt;&gt;"",ROUND(AN54,0),ROUND(QualDiv_1099DIV,0))</f>
        <v>0</v>
      </c>
      <c r="P54" s="6339"/>
      <c r="Q54" s="6339"/>
      <c r="R54" s="6339"/>
      <c r="S54" s="6339"/>
      <c r="T54" s="4179" t="s">
        <v>644</v>
      </c>
      <c r="U54" s="4226" t="s">
        <v>683</v>
      </c>
      <c r="V54" s="4194"/>
      <c r="W54" s="4199"/>
      <c r="X54" s="4199"/>
      <c r="Y54" s="5437"/>
      <c r="Z54" s="4199"/>
      <c r="AA54" s="4199"/>
      <c r="AB54" s="4190" t="s">
        <v>5836</v>
      </c>
      <c r="AC54" s="4187" t="str">
        <f>F54&amp;"b"</f>
        <v>3b</v>
      </c>
      <c r="AD54" s="6351">
        <f>IF(AO54&lt;&gt;"",ROUND(AO54,0),Dividend_Inc)</f>
        <v>0</v>
      </c>
      <c r="AE54" s="6358"/>
      <c r="AF54" s="6358"/>
      <c r="AG54" s="6358"/>
      <c r="AH54" s="6358"/>
      <c r="AI54" s="5438"/>
      <c r="AJ54" s="3940"/>
      <c r="AK54" s="1994" t="str">
        <f>IF(AND(Dependent_Care&lt;&gt;"",Dependent_Care&lt;&gt;0),"DCB","")</f>
        <v/>
      </c>
      <c r="AL54" s="808"/>
      <c r="AM54" s="900" t="b">
        <f>AK55&lt;&gt;""</f>
        <v>0</v>
      </c>
      <c r="AN54" s="3426"/>
      <c r="AO54" s="4880"/>
      <c r="AP54" s="6201" t="s">
        <v>2705</v>
      </c>
      <c r="AQ54" s="1233"/>
      <c r="AR54" s="1233"/>
      <c r="AS54" s="1233"/>
      <c r="AT54" s="1233"/>
      <c r="AU54" s="1579"/>
      <c r="AV54" s="808"/>
      <c r="AW54" s="808"/>
      <c r="AX54" s="808"/>
      <c r="AY54" s="808"/>
      <c r="AZ54" s="808"/>
      <c r="BA54" s="808"/>
      <c r="BB54" s="808"/>
      <c r="BC54" s="808"/>
      <c r="BD54" s="808"/>
      <c r="BE54" s="808"/>
      <c r="BF54" s="808"/>
      <c r="BG54" s="808"/>
      <c r="BH54" s="808"/>
      <c r="BI54" s="808"/>
      <c r="BJ54" s="2725"/>
      <c r="BK54" s="2038"/>
      <c r="BL54" s="2038"/>
      <c r="BM54" s="2038"/>
      <c r="BN54" s="2038"/>
      <c r="BO54" s="2038"/>
      <c r="BP54" s="2038"/>
      <c r="BQ54" s="2038"/>
      <c r="BR54" s="2038"/>
      <c r="BS54" s="2038"/>
      <c r="BT54" s="2038"/>
      <c r="BU54" s="2038"/>
      <c r="BV54" s="2038"/>
    </row>
    <row r="55" spans="1:74" ht="13.5" customHeight="1" thickBot="1">
      <c r="A55" s="394"/>
      <c r="B55" s="2008" t="s">
        <v>685</v>
      </c>
      <c r="C55" s="3697"/>
      <c r="D55" s="3697"/>
      <c r="E55" s="5343"/>
      <c r="F55" s="4179">
        <f>F54+1</f>
        <v>4</v>
      </c>
      <c r="G55" s="4180" t="s">
        <v>640</v>
      </c>
      <c r="H55" s="4198" t="s">
        <v>686</v>
      </c>
      <c r="I55" s="5437"/>
      <c r="J55" s="5437"/>
      <c r="K55" s="5439"/>
      <c r="L55" s="4190" t="s">
        <v>680</v>
      </c>
      <c r="M55" s="6336" t="str">
        <f>F55&amp;"a"</f>
        <v>4a</v>
      </c>
      <c r="N55" s="6337"/>
      <c r="O55" s="6338" t="str">
        <f>IF(AN55&lt;&gt;"",ROUND(AN55,0),IF(AM43,"",SUM(ROUND(IRA_Gross,0),ROUND(CONV2ROTH,0))))</f>
        <v/>
      </c>
      <c r="P55" s="6339"/>
      <c r="Q55" s="6339"/>
      <c r="R55" s="6339"/>
      <c r="S55" s="6339"/>
      <c r="T55" s="4179" t="s">
        <v>644</v>
      </c>
      <c r="U55" s="4226" t="s">
        <v>433</v>
      </c>
      <c r="V55" s="4194"/>
      <c r="W55" s="4199"/>
      <c r="X55" s="4199"/>
      <c r="Y55" s="5437"/>
      <c r="Z55" s="4199"/>
      <c r="AA55" s="4199"/>
      <c r="AB55" s="4190" t="str">
        <f>IF(AND(AP55&lt;&gt;"",AJ55&lt;&gt;""),AP55&amp;"  .    Rollover",IF(AP55&lt;&gt;"",".   .   .   . "&amp;AP55&amp;" ",IF(AJ55&lt;&gt;"",".   .   .   . Rollover ",".   .   .   .   .   .   .   .   .   . ")))</f>
        <v xml:space="preserve">.   .   .   .   .   .   .   .   .   . </v>
      </c>
      <c r="AC55" s="4187" t="str">
        <f>F55&amp;"b"</f>
        <v>4b</v>
      </c>
      <c r="AD55" s="6351">
        <f>IF(AO55&lt;&gt;"",ROUND(AO55,0),ROUND(SUM(IRA_Taxable_1099R,IRAContrib_Taxable1,IRAContrib_Taxable2,IRAConvert_Taxable1,IRAConvert_Taxable2,RothIRADist_Taxable1,RothIRADist_Taxable2),0))</f>
        <v>0</v>
      </c>
      <c r="AE55" s="6358"/>
      <c r="AF55" s="6358"/>
      <c r="AG55" s="6358"/>
      <c r="AH55" s="6358"/>
      <c r="AI55" s="5438"/>
      <c r="AJ55" s="3941"/>
      <c r="AK55" s="6302"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amount.",IF(AND(IRA_Taxable&lt;&gt;0,AM43,PA_Taxable&lt;&gt;0,AM53),"Lines 4a and 5a"&amp;CHAR(10)&amp;"are blank per"&amp;CHAR(10)&amp;"IRS instructions.",IF(AND(IRA_Taxable&lt;&gt;0,AM43),"Line 4a is blank per"&amp;CHAR(10)&amp;"IRS instructions.",IF(AND(PA_Taxable&lt;&gt;0,AM53),"Line 5a is blank per"&amp;CHAR(10)&amp;"IRS instructions.",IF(AO40,"Use Sheets W-2, "&amp;CHAR(10)&amp;"1099-INT, 1099-DIV, 1099-R, and "&amp;CHAR(10)&amp;"SSA-1099 for accurate results.",""))))))</f>
        <v/>
      </c>
      <c r="AL55" s="6302"/>
      <c r="AM55" s="6303"/>
      <c r="AN55" s="3426"/>
      <c r="AO55" s="3426"/>
      <c r="AP55" s="6000"/>
      <c r="AQ55" s="1233"/>
      <c r="AR55" s="1233"/>
      <c r="AS55" s="1233"/>
      <c r="AT55" s="1233"/>
      <c r="AU55" s="1579"/>
      <c r="AV55" s="808"/>
      <c r="AW55" s="808"/>
      <c r="AX55" s="808"/>
      <c r="AY55" s="2424" t="s">
        <v>687</v>
      </c>
      <c r="AZ55" s="2423"/>
      <c r="BA55" s="1121"/>
      <c r="BB55" s="808"/>
      <c r="BC55" s="808"/>
      <c r="BD55" s="808"/>
      <c r="BE55" s="808"/>
      <c r="BF55" s="808"/>
      <c r="BG55" s="808"/>
      <c r="BH55" s="808"/>
      <c r="BI55" s="808"/>
      <c r="BJ55" s="2725"/>
      <c r="BK55" s="2038"/>
      <c r="BL55" s="2038"/>
      <c r="BM55" s="2038"/>
      <c r="BN55" s="2038"/>
      <c r="BO55" s="2038"/>
      <c r="BP55" s="2038"/>
      <c r="BQ55" s="2038"/>
      <c r="BR55" s="2038"/>
      <c r="BS55" s="2038"/>
      <c r="BT55" s="2038"/>
      <c r="BU55" s="2038"/>
      <c r="BV55" s="2038"/>
    </row>
    <row r="56" spans="1:74" ht="14.25" customHeight="1" thickBot="1">
      <c r="A56" s="394"/>
      <c r="B56" s="2008" t="s">
        <v>688</v>
      </c>
      <c r="C56" s="29"/>
      <c r="D56" s="29"/>
      <c r="E56" s="33"/>
      <c r="F56" s="4179">
        <v>5</v>
      </c>
      <c r="G56" s="4180" t="s">
        <v>640</v>
      </c>
      <c r="H56" s="4198" t="s">
        <v>689</v>
      </c>
      <c r="I56" s="5437"/>
      <c r="J56" s="5437"/>
      <c r="K56" s="5437"/>
      <c r="L56" s="4190" t="s">
        <v>690</v>
      </c>
      <c r="M56" s="6336" t="s">
        <v>682</v>
      </c>
      <c r="N56" s="6337"/>
      <c r="O56" s="6338" t="str">
        <f>IF(AN56&lt;&gt;"",ROUND(AN56,0),IF(AM53,"",ROUND(PA_Gross,0)))</f>
        <v/>
      </c>
      <c r="P56" s="6339"/>
      <c r="Q56" s="6339"/>
      <c r="R56" s="6339"/>
      <c r="S56" s="6339"/>
      <c r="T56" s="4179" t="s">
        <v>644</v>
      </c>
      <c r="U56" s="4226" t="s">
        <v>433</v>
      </c>
      <c r="V56" s="4194"/>
      <c r="W56" s="4199"/>
      <c r="X56" s="4199"/>
      <c r="Y56" s="5437"/>
      <c r="Z56" s="4199"/>
      <c r="AA56" s="4199"/>
      <c r="AB56" s="4190" t="str">
        <f>IF(AND(AP56&lt;&gt;"",AJ56&lt;&gt;""),AP56&amp;"  .    Rollover",IF(AP56&lt;&gt;"",".   .   .   . "&amp;AP56&amp;" ",IF(AJ56&lt;&gt;"",".   .   .   . Rollover ",".   .   .   .   .   .   .   .   .   . ")))</f>
        <v xml:space="preserve">.   .   .   .   .   .   .   .   .   . </v>
      </c>
      <c r="AC56" s="4187" t="str">
        <f>F56&amp;"b"</f>
        <v>5b</v>
      </c>
      <c r="AD56" s="6351">
        <f>IF(AO56&lt;&gt;"",ROUND(AO56,0),ROUND(PA_Taxable_1099R,0))</f>
        <v>0</v>
      </c>
      <c r="AE56" s="6358"/>
      <c r="AF56" s="6358"/>
      <c r="AG56" s="6358"/>
      <c r="AH56" s="6358"/>
      <c r="AI56" s="5438"/>
      <c r="AJ56" s="3941"/>
      <c r="AK56" s="6302"/>
      <c r="AL56" s="6302"/>
      <c r="AM56" s="6303"/>
      <c r="AN56" s="3426"/>
      <c r="AO56" s="3426"/>
      <c r="AP56" s="6000"/>
      <c r="AQ56" s="1233"/>
      <c r="AR56" s="1233"/>
      <c r="AS56" s="1233"/>
      <c r="AT56" s="1233"/>
      <c r="AU56" s="1579"/>
      <c r="AV56" s="808"/>
      <c r="AW56" s="808"/>
      <c r="AX56" s="808"/>
      <c r="AY56" s="1242"/>
      <c r="AZ56" s="780"/>
      <c r="BA56" s="1243"/>
      <c r="BB56" s="808"/>
      <c r="BC56" s="808"/>
      <c r="BD56" s="808"/>
      <c r="BE56" s="808"/>
      <c r="BF56" s="808"/>
      <c r="BG56" s="808"/>
      <c r="BH56" s="808"/>
      <c r="BI56" s="808"/>
      <c r="BJ56" s="2725"/>
      <c r="BK56" s="2038"/>
      <c r="BL56" s="2038"/>
      <c r="BM56" s="2038"/>
      <c r="BN56" s="2038"/>
      <c r="BO56" s="2038"/>
      <c r="BP56" s="2038"/>
      <c r="BQ56" s="2038"/>
      <c r="BR56" s="2038"/>
      <c r="BS56" s="2038"/>
      <c r="BT56" s="2038"/>
      <c r="BU56" s="2038"/>
      <c r="BV56" s="2038"/>
    </row>
    <row r="57" spans="1:74" ht="14.25" customHeight="1" thickBot="1">
      <c r="A57" s="394"/>
      <c r="B57" s="704" t="s">
        <v>691</v>
      </c>
      <c r="C57" s="29" t="s">
        <v>692</v>
      </c>
      <c r="D57" s="29"/>
      <c r="E57" s="33"/>
      <c r="F57" s="4179">
        <v>6</v>
      </c>
      <c r="G57" s="4180" t="s">
        <v>640</v>
      </c>
      <c r="H57" s="4198" t="s">
        <v>693</v>
      </c>
      <c r="I57" s="5437"/>
      <c r="J57" s="5437"/>
      <c r="K57" s="5437"/>
      <c r="L57" s="4202" t="str">
        <f>IF(LivedApart,"D   ",".   .   . ")</f>
        <v xml:space="preserve">.   .   . </v>
      </c>
      <c r="M57" s="6336" t="str">
        <f>F57&amp;"a"</f>
        <v>6a</v>
      </c>
      <c r="N57" s="6337"/>
      <c r="O57" s="6338">
        <f>IF(AN57&lt;&gt;"",ROUND(AN57,0),ROUND('Line 6ab (SS Bene)'!G14,0))</f>
        <v>0</v>
      </c>
      <c r="P57" s="6339"/>
      <c r="Q57" s="6339"/>
      <c r="R57" s="6339"/>
      <c r="S57" s="6339"/>
      <c r="T57" s="4179" t="s">
        <v>644</v>
      </c>
      <c r="U57" s="4226" t="s">
        <v>433</v>
      </c>
      <c r="V57" s="4194"/>
      <c r="W57" s="4199"/>
      <c r="X57" s="4199"/>
      <c r="Y57" s="5437"/>
      <c r="Z57" s="4199"/>
      <c r="AA57" s="4199"/>
      <c r="AB57" s="4190" t="s">
        <v>684</v>
      </c>
      <c r="AC57" s="4187" t="str">
        <f>F57&amp;"b"</f>
        <v>6b</v>
      </c>
      <c r="AD57" s="6351">
        <f>IF(AO57&lt;&gt;"",ROUND(AO57,0),IF(ISERROR(ROUND(Tax_SS_Benefits,0)),"See 'Line 5' sheet.",ROUND(Tax_SS_Benefits,0)))</f>
        <v>0</v>
      </c>
      <c r="AE57" s="6358"/>
      <c r="AF57" s="6358"/>
      <c r="AG57" s="6358"/>
      <c r="AH57" s="6358"/>
      <c r="AI57" s="5438"/>
      <c r="AJ57" s="6359" t="s">
        <v>694</v>
      </c>
      <c r="AK57" s="6302"/>
      <c r="AL57" s="6302"/>
      <c r="AM57" s="6303"/>
      <c r="AN57" s="3426"/>
      <c r="AO57" s="3426"/>
      <c r="AP57" s="1579"/>
      <c r="AQ57" s="1233"/>
      <c r="AR57" s="1233"/>
      <c r="AS57" s="1233"/>
      <c r="AT57" s="1233"/>
      <c r="AU57" s="1579"/>
      <c r="AV57" s="808"/>
      <c r="AW57" s="808"/>
      <c r="AX57" s="800"/>
      <c r="AY57" s="1242"/>
      <c r="AZ57" s="780"/>
      <c r="BA57" s="1243"/>
      <c r="BB57" s="808"/>
      <c r="BC57" s="808"/>
      <c r="BD57" s="808"/>
      <c r="BE57" s="808"/>
      <c r="BF57" s="808"/>
      <c r="BG57" s="808"/>
      <c r="BH57" s="808"/>
      <c r="BI57" s="808"/>
      <c r="BJ57" s="2725"/>
      <c r="BK57" s="2038"/>
      <c r="BL57" s="2038"/>
      <c r="BM57" s="2038"/>
      <c r="BN57" s="2038"/>
      <c r="BO57" s="2038"/>
      <c r="BP57" s="2038"/>
      <c r="BQ57" s="2038"/>
      <c r="BR57" s="2038"/>
      <c r="BS57" s="2038"/>
      <c r="BT57" s="2038"/>
      <c r="BU57" s="2038"/>
      <c r="BV57" s="2038"/>
    </row>
    <row r="58" spans="1:74" ht="14.25" customHeight="1">
      <c r="A58" s="394"/>
      <c r="B58" s="33"/>
      <c r="C58" s="29" t="s">
        <v>695</v>
      </c>
      <c r="D58" s="3262"/>
      <c r="E58" s="5344"/>
      <c r="F58" s="4179"/>
      <c r="G58" s="4180" t="s">
        <v>648</v>
      </c>
      <c r="H58" s="4198" t="s">
        <v>696</v>
      </c>
      <c r="I58" s="4195"/>
      <c r="J58" s="4195"/>
      <c r="K58" s="4195"/>
      <c r="L58" s="4195"/>
      <c r="M58" s="4195"/>
      <c r="N58" s="4195"/>
      <c r="O58" s="4195"/>
      <c r="P58" s="4195"/>
      <c r="Q58" s="4195"/>
      <c r="R58" s="4195"/>
      <c r="S58" s="4195"/>
      <c r="T58" s="4195"/>
      <c r="U58" s="4195"/>
      <c r="V58" s="4199"/>
      <c r="W58" s="4199"/>
      <c r="X58" s="4199"/>
      <c r="Y58" s="4199"/>
      <c r="Z58" s="4190" t="s">
        <v>677</v>
      </c>
      <c r="AA58" s="809"/>
      <c r="AB58" s="4190" t="s">
        <v>697</v>
      </c>
      <c r="AC58" s="4885"/>
      <c r="AD58" s="6347"/>
      <c r="AE58" s="6348"/>
      <c r="AF58" s="6348"/>
      <c r="AG58" s="6348"/>
      <c r="AH58" s="6348"/>
      <c r="AI58" s="307"/>
      <c r="AJ58" s="6360"/>
      <c r="AK58" s="6302"/>
      <c r="AL58" s="6302"/>
      <c r="AM58" s="6303"/>
      <c r="AN58" s="5199"/>
      <c r="AO58" s="4881"/>
      <c r="AP58" s="2557" t="b">
        <f>IF(OR($AN$62&lt;&gt;"",$AV$10,NumFileStatusBoxes=0,Dual_Status_Alien&lt;&gt;"",DependentYOU&lt;&gt;"",DependentSPOUSE&lt;&gt;"",ItemizedDeduct),FALSE,TRUE)</f>
        <v>0</v>
      </c>
      <c r="AQ58" s="1222">
        <f>Over_65_or_Blind</f>
        <v>0</v>
      </c>
      <c r="AR58" s="2410"/>
      <c r="AS58" s="2410"/>
      <c r="AT58" s="2411"/>
      <c r="AU58" s="2412"/>
      <c r="AV58" s="1590"/>
      <c r="AW58" s="1590"/>
      <c r="AX58" s="1590"/>
      <c r="AY58" s="2220">
        <f>IF(File_Single&lt;&gt;"",LOOKUP(Over_65_or_Blind,AP62:AP66,AQ62:AQ66),IF(OR(File_Marr_Joint&lt;&gt;"",File_Qual_Widow&lt;&gt;""),LOOKUP(Over_65_or_Blind,AP62:AP66,AR62:AR66),IF(File_Marr_Sep&lt;&gt;"",LOOKUP(Over_65_or_Blind,AP62:AP66,AS62:AS66),IF(File_Head&lt;&gt;"",LOOKUP(Over_65_or_Blind,AP62:AP66,AT62:AT66),0))))</f>
        <v>0</v>
      </c>
      <c r="AZ58" s="892" t="b">
        <f>SchA_Filed</f>
        <v>0</v>
      </c>
      <c r="BA58" s="1243" t="b">
        <f>NOT(ItemizedDeduct)</f>
        <v>1</v>
      </c>
      <c r="BB58" s="808"/>
      <c r="BC58" s="808"/>
      <c r="BD58" s="808"/>
      <c r="BE58" s="808"/>
      <c r="BF58" s="808"/>
      <c r="BG58" s="808"/>
      <c r="BH58" s="808"/>
      <c r="BI58" s="780"/>
      <c r="BJ58" s="2725"/>
      <c r="BK58" s="2038"/>
      <c r="BL58" s="2038"/>
      <c r="BM58" s="2038"/>
      <c r="BN58" s="2038"/>
      <c r="BO58" s="2038"/>
      <c r="BP58" s="2038"/>
      <c r="BQ58" s="2038"/>
      <c r="BR58" s="2038"/>
      <c r="BS58" s="2038"/>
      <c r="BT58" s="2038"/>
      <c r="BU58" s="2038"/>
      <c r="BV58" s="2038"/>
    </row>
    <row r="59" spans="1:74" ht="14.25" customHeight="1">
      <c r="A59" s="394"/>
      <c r="B59" s="33"/>
      <c r="C59" s="3697">
        <v>13850</v>
      </c>
      <c r="D59" s="29"/>
      <c r="E59" s="33"/>
      <c r="F59" s="4179">
        <v>7</v>
      </c>
      <c r="G59" s="4199"/>
      <c r="H59" s="4198" t="s">
        <v>698</v>
      </c>
      <c r="I59" s="4195"/>
      <c r="J59" s="4195"/>
      <c r="K59" s="4195"/>
      <c r="L59" s="4195"/>
      <c r="M59" s="4195"/>
      <c r="N59" s="4195"/>
      <c r="O59" s="4195"/>
      <c r="P59" s="4195"/>
      <c r="Q59" s="4195"/>
      <c r="R59" s="4195"/>
      <c r="S59" s="4195"/>
      <c r="T59" s="4195"/>
      <c r="U59" s="4195"/>
      <c r="V59" s="4199"/>
      <c r="W59" s="4199"/>
      <c r="X59" s="4199"/>
      <c r="Y59" s="4199"/>
      <c r="Z59" s="4190" t="s">
        <v>699</v>
      </c>
      <c r="AA59" s="809"/>
      <c r="AB59" s="4190" t="s">
        <v>697</v>
      </c>
      <c r="AC59" s="4221">
        <f>F59</f>
        <v>7</v>
      </c>
      <c r="AD59" s="6390" t="str">
        <f>IF(AN59&lt;&gt;"",ROUND(AN59,0),IF(SchD_NotReqd,'1099-DIV'!H95,IF('Sch. D'!A60,'Sch. D'!N58,IF('Sch. D'!A64,0,'Sch. D'!O88))))</f>
        <v/>
      </c>
      <c r="AE59" s="6391"/>
      <c r="AF59" s="6391"/>
      <c r="AG59" s="6391"/>
      <c r="AH59" s="6391"/>
      <c r="AI59" s="307"/>
      <c r="AJ59" s="6361"/>
      <c r="AK59" s="6302"/>
      <c r="AL59" s="6302"/>
      <c r="AM59" s="6303"/>
      <c r="AN59" s="2265"/>
      <c r="AO59" s="4888"/>
      <c r="AP59" s="2430" t="s">
        <v>700</v>
      </c>
      <c r="AQ59" s="2555" t="s">
        <v>701</v>
      </c>
      <c r="AR59" s="1055"/>
      <c r="AS59" s="2413"/>
      <c r="AT59" s="1364"/>
      <c r="AU59" s="2414"/>
      <c r="AV59" s="780"/>
      <c r="AW59" s="780"/>
      <c r="AX59" s="780"/>
      <c r="AY59" s="2421" t="s">
        <v>685</v>
      </c>
      <c r="AZ59" s="2422" t="s">
        <v>702</v>
      </c>
      <c r="BA59" s="1243"/>
      <c r="BB59" s="808"/>
      <c r="BC59" s="808"/>
      <c r="BD59" s="808"/>
      <c r="BE59" s="808"/>
      <c r="BF59" s="808"/>
      <c r="BG59" s="808"/>
      <c r="BH59" s="808"/>
      <c r="BI59" s="2360"/>
      <c r="BJ59" s="2725"/>
      <c r="BK59" s="2038"/>
      <c r="BL59" s="2038"/>
      <c r="BM59" s="2038"/>
      <c r="BN59" s="2038"/>
      <c r="BO59" s="2038"/>
      <c r="BP59" s="2038"/>
      <c r="BQ59" s="2038"/>
      <c r="BR59" s="2038"/>
      <c r="BS59" s="2038"/>
      <c r="BT59" s="2038"/>
      <c r="BU59" s="2038"/>
      <c r="BV59" s="2038"/>
    </row>
    <row r="60" spans="1:74" ht="15.75" customHeight="1">
      <c r="A60" s="394"/>
      <c r="B60" s="704" t="s">
        <v>691</v>
      </c>
      <c r="C60" s="29" t="s">
        <v>703</v>
      </c>
      <c r="D60" s="3262"/>
      <c r="E60" s="5344"/>
      <c r="F60" s="4179">
        <f>F59+1</f>
        <v>8</v>
      </c>
      <c r="G60" s="4180"/>
      <c r="H60" s="4198" t="s">
        <v>704</v>
      </c>
      <c r="I60" s="4195"/>
      <c r="J60" s="4195"/>
      <c r="K60" s="4195"/>
      <c r="L60" s="4195"/>
      <c r="M60" s="4195"/>
      <c r="N60" s="4195"/>
      <c r="O60" s="4195"/>
      <c r="P60" s="4195"/>
      <c r="Q60" s="4195"/>
      <c r="R60" s="4195"/>
      <c r="S60" s="4195"/>
      <c r="T60" s="4195"/>
      <c r="U60" s="4195"/>
      <c r="V60" s="4199"/>
      <c r="W60" s="4199"/>
      <c r="X60" s="4199"/>
      <c r="Y60" s="4199"/>
      <c r="Z60" s="4199"/>
      <c r="AA60" s="4199"/>
      <c r="AB60" s="4190" t="s">
        <v>705</v>
      </c>
      <c r="AC60" s="4220">
        <v>8</v>
      </c>
      <c r="AD60" s="6328">
        <f>IF(AN60&lt;&gt;"",ROUND(AN60,0),Additional_Income)</f>
        <v>0</v>
      </c>
      <c r="AE60" s="6343"/>
      <c r="AF60" s="6343"/>
      <c r="AG60" s="6343"/>
      <c r="AH60" s="6343"/>
      <c r="AI60" s="307"/>
      <c r="AJ60" s="6361"/>
      <c r="AK60" s="5829"/>
      <c r="AL60" s="5829"/>
      <c r="AM60" s="5830"/>
      <c r="AN60" s="2265"/>
      <c r="AO60" s="4888"/>
      <c r="AP60" s="2430" t="s">
        <v>706</v>
      </c>
      <c r="AQ60" s="2413"/>
      <c r="AR60" s="2413"/>
      <c r="AS60" s="2413"/>
      <c r="AT60" s="1364"/>
      <c r="AU60" s="2414"/>
      <c r="AV60" s="1590"/>
      <c r="AW60" s="1590"/>
      <c r="AX60" s="1590"/>
      <c r="AY60" s="2220">
        <f>IF(OR(Dual_Status_Alien&lt;&gt;"",ISERROR(Over_65_or_Blind)),0, IF('Line 12 (SD Depnts)'!L4,Std_Ded_Wrks_For_Dep, IF(Over_65_or_Blind&gt;0,AY58,AY62)))</f>
        <v>0</v>
      </c>
      <c r="AZ60" s="892">
        <f>Tot_Item_Deduct</f>
        <v>0</v>
      </c>
      <c r="BA60" s="1243"/>
      <c r="BB60" s="808"/>
      <c r="BC60" s="808"/>
      <c r="BD60" s="808"/>
      <c r="BE60" s="808"/>
      <c r="BF60" s="808"/>
      <c r="BG60" s="808"/>
      <c r="BH60" s="808"/>
      <c r="BI60" s="2360"/>
      <c r="BJ60" s="2725"/>
      <c r="BK60" s="2038"/>
      <c r="BL60" s="2038"/>
      <c r="BM60" s="2038"/>
      <c r="BN60" s="2038"/>
      <c r="BO60" s="2038"/>
      <c r="BP60" s="2038"/>
      <c r="BQ60" s="2038"/>
      <c r="BR60" s="2038"/>
      <c r="BS60" s="2038"/>
      <c r="BT60" s="2038"/>
      <c r="BU60" s="2038"/>
      <c r="BV60" s="2038"/>
    </row>
    <row r="61" spans="1:74" ht="14.25" customHeight="1">
      <c r="A61" s="394"/>
      <c r="B61" s="704"/>
      <c r="C61" s="29" t="s">
        <v>707</v>
      </c>
      <c r="D61" s="29"/>
      <c r="E61" s="33"/>
      <c r="F61" s="4179">
        <v>9</v>
      </c>
      <c r="G61" s="4180"/>
      <c r="H61" s="4198" t="s">
        <v>708</v>
      </c>
      <c r="I61" s="4195"/>
      <c r="J61" s="4195"/>
      <c r="K61" s="4217"/>
      <c r="L61" s="4195"/>
      <c r="M61" s="4195"/>
      <c r="N61" s="4195"/>
      <c r="O61" s="4195"/>
      <c r="P61" s="4195"/>
      <c r="Q61" s="4195"/>
      <c r="R61" s="4195"/>
      <c r="S61" s="4195"/>
      <c r="T61" s="4195"/>
      <c r="U61" s="4195"/>
      <c r="V61" s="4199"/>
      <c r="W61" s="4179"/>
      <c r="X61" s="4179"/>
      <c r="Y61" s="4179"/>
      <c r="Z61" s="4179"/>
      <c r="AA61" s="4179"/>
      <c r="AB61" s="4190" t="s">
        <v>709</v>
      </c>
      <c r="AC61" s="4220">
        <v>9</v>
      </c>
      <c r="AD61" s="6351">
        <f>IF(AN61&lt;&gt;"",ROUND(AN61,0),SUM(AD52,TaxableInterest,OrdinaryDividends,IRA_Taxable,PA_Taxable,SocSecBenefits_Taxable,CapitalGains,AD60))</f>
        <v>0</v>
      </c>
      <c r="AE61" s="6358"/>
      <c r="AF61" s="6358"/>
      <c r="AG61" s="6358"/>
      <c r="AH61" s="6358"/>
      <c r="AI61" s="307"/>
      <c r="AJ61" s="439"/>
      <c r="AK61" s="5829"/>
      <c r="AL61" s="5829"/>
      <c r="AM61" s="5830"/>
      <c r="AN61" s="2266"/>
      <c r="AO61" s="4888"/>
      <c r="AP61" s="2431" t="s">
        <v>710</v>
      </c>
      <c r="AQ61" s="1080" t="s">
        <v>14</v>
      </c>
      <c r="AR61" s="1080" t="s">
        <v>19</v>
      </c>
      <c r="AS61" s="1080" t="s">
        <v>22</v>
      </c>
      <c r="AT61" s="1080" t="s">
        <v>711</v>
      </c>
      <c r="AU61" s="5440"/>
      <c r="AV61" s="1590"/>
      <c r="AW61" s="1590"/>
      <c r="AX61" s="1590"/>
      <c r="AY61" s="2220"/>
      <c r="AZ61" s="892"/>
      <c r="BA61" s="1243"/>
      <c r="BB61" s="808"/>
      <c r="BC61" s="808"/>
      <c r="BD61" s="808"/>
      <c r="BE61" s="808"/>
      <c r="BF61" s="808"/>
      <c r="BG61" s="808"/>
      <c r="BH61" s="808"/>
      <c r="BI61" s="2360"/>
      <c r="BJ61" s="2725"/>
      <c r="BK61" s="2038"/>
      <c r="BL61" s="2038"/>
      <c r="BM61" s="2038"/>
      <c r="BN61" s="2038"/>
      <c r="BO61" s="2038"/>
      <c r="BP61" s="2038"/>
      <c r="BQ61" s="2038"/>
      <c r="BR61" s="2038"/>
      <c r="BS61" s="2038"/>
      <c r="BT61" s="2038"/>
      <c r="BU61" s="2038"/>
      <c r="BV61" s="2038"/>
    </row>
    <row r="62" spans="1:74" ht="14.25" customHeight="1">
      <c r="A62" s="394"/>
      <c r="B62" s="704"/>
      <c r="C62" s="29" t="s">
        <v>712</v>
      </c>
      <c r="D62" s="29"/>
      <c r="E62" s="33"/>
      <c r="F62" s="4179">
        <v>10</v>
      </c>
      <c r="G62" s="4180"/>
      <c r="H62" s="4198" t="s">
        <v>713</v>
      </c>
      <c r="I62" s="4195"/>
      <c r="J62" s="4195"/>
      <c r="K62" s="4217"/>
      <c r="L62" s="4195"/>
      <c r="M62" s="4195"/>
      <c r="N62" s="4195"/>
      <c r="O62" s="4195"/>
      <c r="P62" s="4195"/>
      <c r="Q62" s="4195"/>
      <c r="R62" s="4195"/>
      <c r="S62" s="4195"/>
      <c r="T62" s="4195"/>
      <c r="U62" s="4195"/>
      <c r="V62" s="4199"/>
      <c r="W62" s="4179"/>
      <c r="X62" s="4179"/>
      <c r="Y62" s="4179"/>
      <c r="Z62" s="4179"/>
      <c r="AA62" s="4179"/>
      <c r="AB62" s="4190" t="s">
        <v>714</v>
      </c>
      <c r="AC62" s="4220">
        <v>10</v>
      </c>
      <c r="AD62" s="6328">
        <f>IF(AN62&lt;&gt;"",ROUND(AN62,0),SUM(AdjustToIncome))</f>
        <v>0</v>
      </c>
      <c r="AE62" s="6343"/>
      <c r="AF62" s="6343"/>
      <c r="AG62" s="6343"/>
      <c r="AH62" s="6343"/>
      <c r="AI62" s="307"/>
      <c r="AJ62" s="439"/>
      <c r="AK62" s="4673"/>
      <c r="AL62" s="4673"/>
      <c r="AM62" s="4673"/>
      <c r="AN62" s="2265"/>
      <c r="AO62" s="4888"/>
      <c r="AP62" s="5441">
        <v>0</v>
      </c>
      <c r="AQ62" s="5442">
        <f>SD_Single</f>
        <v>13850</v>
      </c>
      <c r="AR62" s="5442">
        <f>SD_MFJW</f>
        <v>27700</v>
      </c>
      <c r="AS62" s="5442">
        <f>SD_Single</f>
        <v>13850</v>
      </c>
      <c r="AT62" s="5442">
        <f>SD_Head</f>
        <v>20800</v>
      </c>
      <c r="AU62" s="5443"/>
      <c r="AV62" s="808"/>
      <c r="AW62" s="808"/>
      <c r="AX62" s="808"/>
      <c r="AY62" s="2220">
        <f>IF(File_Single&lt;&gt;"",SD_Single,IF(OR(File_Marr_Joint&lt;&gt;"",File_Qual_Widow&lt;&gt;""),SD_MFJW,IF(File_Head&lt;&gt;"",SD_Head,IF(File_Marr_Sep&lt;&gt;"",SD_Single,0))))</f>
        <v>0</v>
      </c>
      <c r="AZ62" s="892"/>
      <c r="BA62" s="1243"/>
      <c r="BB62" s="808"/>
      <c r="BC62" s="808"/>
      <c r="BD62" s="808"/>
      <c r="BE62" s="808"/>
      <c r="BF62" s="808"/>
      <c r="BG62" s="808"/>
      <c r="BH62" s="808"/>
      <c r="BI62" s="2360"/>
      <c r="BJ62" s="2725"/>
      <c r="BK62" s="2038"/>
      <c r="BL62" s="2038"/>
      <c r="BM62" s="2038"/>
      <c r="BN62" s="2038"/>
      <c r="BO62" s="2038"/>
      <c r="BP62" s="2038"/>
      <c r="BQ62" s="2038"/>
      <c r="BR62" s="2038"/>
      <c r="BS62" s="2038"/>
      <c r="BT62" s="2038"/>
      <c r="BU62" s="2038"/>
      <c r="BV62" s="2038"/>
    </row>
    <row r="63" spans="1:74" ht="14.25" customHeight="1" thickBot="1">
      <c r="A63" s="394"/>
      <c r="B63" s="704"/>
      <c r="C63" s="3262">
        <v>27700</v>
      </c>
      <c r="D63" s="29"/>
      <c r="E63" s="2409"/>
      <c r="F63" s="4179">
        <v>11</v>
      </c>
      <c r="G63" s="4199"/>
      <c r="H63" s="4198" t="s">
        <v>715</v>
      </c>
      <c r="I63" s="4195"/>
      <c r="J63" s="4195"/>
      <c r="K63" s="4195"/>
      <c r="L63" s="4195"/>
      <c r="M63" s="4195"/>
      <c r="N63" s="4195"/>
      <c r="O63" s="4195"/>
      <c r="P63" s="4195"/>
      <c r="Q63" s="4195"/>
      <c r="R63" s="4195"/>
      <c r="S63" s="4195"/>
      <c r="T63" s="4195"/>
      <c r="U63" s="4195"/>
      <c r="V63" s="4199"/>
      <c r="W63" s="4199"/>
      <c r="X63" s="4190"/>
      <c r="Y63" s="4179"/>
      <c r="Z63" s="4179"/>
      <c r="AA63" s="4179"/>
      <c r="AB63" s="4190" t="s">
        <v>661</v>
      </c>
      <c r="AC63" s="4220">
        <v>11</v>
      </c>
      <c r="AD63" s="6351">
        <f>IF(AN63&lt;&gt;"",ROUND(AN63,0),SUM(Total_Income,-AD62))</f>
        <v>0</v>
      </c>
      <c r="AE63" s="6358"/>
      <c r="AF63" s="6358"/>
      <c r="AG63" s="6358"/>
      <c r="AH63" s="6358"/>
      <c r="AI63" s="307"/>
      <c r="AJ63" s="439"/>
      <c r="AK63" s="4889"/>
      <c r="AL63" s="4889"/>
      <c r="AM63" s="4889"/>
      <c r="AN63" s="4674"/>
      <c r="AO63" s="4888"/>
      <c r="AP63" s="5367">
        <v>1</v>
      </c>
      <c r="AQ63" s="5442">
        <f t="shared" ref="AQ63:AT64" si="0">SUM(AQ$62,$AP63*AQ$68)</f>
        <v>15700</v>
      </c>
      <c r="AR63" s="5442">
        <f t="shared" si="0"/>
        <v>29200</v>
      </c>
      <c r="AS63" s="5442">
        <f t="shared" si="0"/>
        <v>15350</v>
      </c>
      <c r="AT63" s="5442">
        <f t="shared" si="0"/>
        <v>22650</v>
      </c>
      <c r="AU63" s="1963"/>
      <c r="AV63" s="808"/>
      <c r="AW63" s="808"/>
      <c r="AX63" s="808"/>
      <c r="AY63" s="3731" t="s">
        <v>716</v>
      </c>
      <c r="AZ63" s="892"/>
      <c r="BA63" s="1243"/>
      <c r="BB63" s="808"/>
      <c r="BC63" s="808"/>
      <c r="BD63" s="808"/>
      <c r="BE63" s="808"/>
      <c r="BF63" s="808"/>
      <c r="BG63" s="808"/>
      <c r="BH63" s="808"/>
      <c r="BI63" s="2360"/>
      <c r="BJ63" s="2725"/>
      <c r="BK63" s="2038"/>
      <c r="BL63" s="2038"/>
      <c r="BM63" s="2038"/>
      <c r="BN63" s="2038"/>
      <c r="BO63" s="2038"/>
      <c r="BP63" s="2038"/>
      <c r="BQ63" s="2038"/>
      <c r="BR63" s="2038"/>
      <c r="BS63" s="2038"/>
      <c r="BT63" s="2038"/>
      <c r="BU63" s="2038"/>
      <c r="BV63" s="2038"/>
    </row>
    <row r="64" spans="1:74" ht="14.25" customHeight="1">
      <c r="A64" s="394"/>
      <c r="B64" s="704" t="s">
        <v>691</v>
      </c>
      <c r="C64" s="29" t="s">
        <v>717</v>
      </c>
      <c r="D64" s="29"/>
      <c r="E64" s="29"/>
      <c r="F64" s="3261">
        <v>12</v>
      </c>
      <c r="G64" s="4178"/>
      <c r="H64" s="4198" t="s">
        <v>718</v>
      </c>
      <c r="I64" s="4195"/>
      <c r="J64" s="4195"/>
      <c r="K64" s="4217"/>
      <c r="L64" s="4195"/>
      <c r="M64" s="4195"/>
      <c r="N64" s="4195"/>
      <c r="O64" s="4195"/>
      <c r="P64" s="4195"/>
      <c r="Q64" s="4195"/>
      <c r="R64" s="4195"/>
      <c r="S64" s="4195"/>
      <c r="T64" s="4195"/>
      <c r="U64" s="4195"/>
      <c r="V64" s="4199"/>
      <c r="W64" s="4199"/>
      <c r="X64" s="4199"/>
      <c r="Y64" s="4179"/>
      <c r="Z64" s="4179"/>
      <c r="AA64" s="4179"/>
      <c r="AB64" s="4190" t="s">
        <v>661</v>
      </c>
      <c r="AC64" s="5349">
        <v>12</v>
      </c>
      <c r="AD64" s="6351">
        <f>IF(OR(AND(Total_Income=0,Adj_Gross_Inc=0),NumFileStatusBoxes=0,NumFileStatusBoxes&gt;1,Birthday_Needed,$AV$10),0, IF(AND(NQDisasterLoss&gt;0,StdDeduct),SD_AND_NQDL,IF(ItemizedDeduct,Tot_Item_Deduct,Standard )))</f>
        <v>0</v>
      </c>
      <c r="AE64" s="6358"/>
      <c r="AF64" s="6358"/>
      <c r="AG64" s="6358"/>
      <c r="AH64" s="6358"/>
      <c r="AI64" s="307"/>
      <c r="AJ64" s="439"/>
      <c r="AK64" s="6298" t="str">
        <f>IF(AN62&lt;&gt;"","Manual Override",IF(FilingStatusError,"Filing status error.",IF(Birthday_Needed,"Birthdate(s) needed.",IF($AV$10,"Filing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Filing status not indicated.</v>
      </c>
      <c r="AL64" s="6299"/>
      <c r="AM64" s="6300"/>
      <c r="AN64" s="4675"/>
      <c r="AO64" s="4888"/>
      <c r="AP64" s="5367">
        <v>2</v>
      </c>
      <c r="AQ64" s="5442">
        <f t="shared" si="0"/>
        <v>17550</v>
      </c>
      <c r="AR64" s="5442">
        <f t="shared" si="0"/>
        <v>30700</v>
      </c>
      <c r="AS64" s="5442">
        <f t="shared" si="0"/>
        <v>16850</v>
      </c>
      <c r="AT64" s="5442">
        <f t="shared" si="0"/>
        <v>24500</v>
      </c>
      <c r="AU64" s="1963"/>
      <c r="AV64" s="1590"/>
      <c r="AW64" s="1590"/>
      <c r="AX64" s="1590"/>
      <c r="AY64" s="4048">
        <f>IF(AND(StdDeduct,NQDisasterLoss&lt;&gt;"",NQDisasterLoss&gt;0),SUM(Standard,NQDisasterLoss),Standard)</f>
        <v>0</v>
      </c>
      <c r="AZ64" s="1260"/>
      <c r="BA64" s="5444"/>
      <c r="BB64" s="808"/>
      <c r="BC64" s="808"/>
      <c r="BD64" s="808"/>
      <c r="BE64" s="808"/>
      <c r="BF64" s="808"/>
      <c r="BG64" s="808"/>
      <c r="BH64" s="808"/>
      <c r="BI64" s="2360"/>
      <c r="BJ64" s="2725"/>
      <c r="BK64" s="2038"/>
      <c r="BL64" s="2038"/>
      <c r="BM64" s="2038"/>
      <c r="BN64" s="2038"/>
      <c r="BO64" s="2038"/>
      <c r="BP64" s="2038"/>
      <c r="BQ64" s="2038"/>
      <c r="BR64" s="2038"/>
      <c r="BS64" s="2038"/>
      <c r="BT64" s="2038"/>
      <c r="BU64" s="2038"/>
      <c r="BV64" s="2038"/>
    </row>
    <row r="65" spans="1:74" ht="14.25" customHeight="1">
      <c r="A65" s="394"/>
      <c r="B65" s="704"/>
      <c r="C65" s="3262">
        <v>20800</v>
      </c>
      <c r="D65" s="29"/>
      <c r="E65" s="264"/>
      <c r="F65" s="4179">
        <v>13</v>
      </c>
      <c r="G65" s="4218"/>
      <c r="H65" s="4198" t="s">
        <v>719</v>
      </c>
      <c r="I65" s="4195"/>
      <c r="J65" s="4195"/>
      <c r="K65" s="4195"/>
      <c r="L65" s="4195"/>
      <c r="M65" s="4195"/>
      <c r="N65" s="4195"/>
      <c r="O65" s="4195"/>
      <c r="P65" s="4195"/>
      <c r="Q65" s="4195"/>
      <c r="R65" s="4195"/>
      <c r="S65" s="4195"/>
      <c r="T65" s="4195"/>
      <c r="U65" s="4195"/>
      <c r="V65" s="4195"/>
      <c r="W65" s="4195"/>
      <c r="X65" s="4190"/>
      <c r="Y65" s="4179"/>
      <c r="Z65" s="4179"/>
      <c r="AA65" s="4179"/>
      <c r="AB65" s="4190" t="str">
        <f>IF(AND(AJ65="",QBID_1040&lt;&gt;"",QBID_1040&lt;&gt;0,QBID_Income2High),"Error: See Form 8995.",".   .   .   .   .   .   .   .   .   .   .   . ")</f>
        <v xml:space="preserve">.   .   .   .   .   .   .   .   .   .   .   . </v>
      </c>
      <c r="AC65" s="4220">
        <v>13</v>
      </c>
      <c r="AD65" s="6328">
        <f>IF(AN65&lt;&gt;"",ROUND(AN65,0),IF(QBID="",0,QBID))</f>
        <v>0</v>
      </c>
      <c r="AE65" s="6329"/>
      <c r="AF65" s="6329"/>
      <c r="AG65" s="6329"/>
      <c r="AH65" s="6329"/>
      <c r="AI65" s="307"/>
      <c r="AJ65" s="4120"/>
      <c r="AK65" s="6301"/>
      <c r="AL65" s="6302"/>
      <c r="AM65" s="6303"/>
      <c r="AN65" s="2266"/>
      <c r="AO65" s="3422" t="b">
        <f>AA59&lt;&gt;""</f>
        <v>0</v>
      </c>
      <c r="AP65" s="5367">
        <v>3</v>
      </c>
      <c r="AQ65" s="5442"/>
      <c r="AR65" s="5442">
        <f>SUM(AR$62,$AP65*AR$68)</f>
        <v>32200</v>
      </c>
      <c r="AS65" s="5442">
        <f>SUM(AS$62,$AP65*AS$68)</f>
        <v>18350</v>
      </c>
      <c r="AT65" s="1824"/>
      <c r="AU65" s="1825"/>
      <c r="AV65" s="1590"/>
      <c r="AW65" s="1590"/>
      <c r="AX65" s="808"/>
      <c r="AY65" s="1232"/>
      <c r="AZ65" s="1585"/>
      <c r="BA65" s="1585"/>
      <c r="BB65" s="1585"/>
      <c r="BC65" s="1232"/>
      <c r="BD65" s="808"/>
      <c r="BE65" s="808"/>
      <c r="BF65" s="808"/>
      <c r="BG65" s="808"/>
      <c r="BH65" s="808"/>
      <c r="BI65" s="808"/>
      <c r="BJ65" s="2725"/>
      <c r="BK65" s="2038"/>
      <c r="BL65" s="2038"/>
      <c r="BM65" s="2038"/>
      <c r="BN65" s="2038"/>
      <c r="BO65" s="2038"/>
      <c r="BP65" s="2038"/>
      <c r="BQ65" s="2038"/>
      <c r="BR65" s="2038"/>
      <c r="BS65" s="2038"/>
      <c r="BT65" s="2038"/>
      <c r="BU65" s="2038"/>
      <c r="BV65" s="2038"/>
    </row>
    <row r="66" spans="1:74" ht="14.25" customHeight="1">
      <c r="A66" s="394"/>
      <c r="B66" s="704" t="s">
        <v>691</v>
      </c>
      <c r="C66" s="29" t="s">
        <v>720</v>
      </c>
      <c r="D66" s="5340"/>
      <c r="E66" s="5345"/>
      <c r="F66" s="4179">
        <v>14</v>
      </c>
      <c r="G66" s="4180"/>
      <c r="H66" s="4198" t="s">
        <v>721</v>
      </c>
      <c r="I66" s="4195"/>
      <c r="J66" s="4195"/>
      <c r="K66" s="4195"/>
      <c r="L66" s="4195"/>
      <c r="M66" s="4195"/>
      <c r="N66" s="4195"/>
      <c r="O66" s="4195"/>
      <c r="P66" s="4195"/>
      <c r="Q66" s="4195"/>
      <c r="R66" s="4198"/>
      <c r="S66" s="4195"/>
      <c r="T66" s="4195"/>
      <c r="U66" s="4195"/>
      <c r="V66" s="4222"/>
      <c r="W66" s="4222"/>
      <c r="X66" s="4199"/>
      <c r="Y66" s="4199"/>
      <c r="Z66" s="4199"/>
      <c r="AA66" s="4199"/>
      <c r="AB66" s="4190" t="s">
        <v>722</v>
      </c>
      <c r="AC66" s="4220">
        <v>14</v>
      </c>
      <c r="AD66" s="6328">
        <f>IF(AN66&lt;&gt;"",ROUND(AN66,0),SUM(AD64,QBID_1040))</f>
        <v>0</v>
      </c>
      <c r="AE66" s="6329"/>
      <c r="AF66" s="6329"/>
      <c r="AG66" s="6329"/>
      <c r="AH66" s="6329"/>
      <c r="AI66" s="307"/>
      <c r="AJ66" s="439"/>
      <c r="AK66" s="6301"/>
      <c r="AL66" s="6302"/>
      <c r="AM66" s="6303"/>
      <c r="AN66" s="2265"/>
      <c r="AO66" s="808"/>
      <c r="AP66" s="5367">
        <v>4</v>
      </c>
      <c r="AQ66" s="5442"/>
      <c r="AR66" s="5442">
        <f>SUM(AR$62,$AP66*AR$68)</f>
        <v>33700</v>
      </c>
      <c r="AS66" s="5442">
        <f>SUM(AS$62,$AP66*AS$68)</f>
        <v>19850</v>
      </c>
      <c r="AT66" s="1824"/>
      <c r="AU66" s="1825"/>
      <c r="AV66" s="808"/>
      <c r="AW66" s="808"/>
      <c r="AX66" s="808"/>
      <c r="AY66" s="808"/>
      <c r="AZ66" s="808"/>
      <c r="BA66" s="808"/>
      <c r="BB66" s="808"/>
      <c r="BC66" s="808"/>
      <c r="BD66" s="808"/>
      <c r="BE66" s="808"/>
      <c r="BF66" s="808"/>
      <c r="BG66" s="808"/>
      <c r="BH66" s="808"/>
      <c r="BI66" s="808"/>
      <c r="BJ66" s="2725"/>
      <c r="BK66" s="2038"/>
      <c r="BL66" s="2038"/>
      <c r="BM66" s="2038"/>
      <c r="BN66" s="2038"/>
      <c r="BO66" s="2038"/>
      <c r="BP66" s="2038"/>
      <c r="BQ66" s="2038"/>
      <c r="BR66" s="2038"/>
      <c r="BS66" s="2038"/>
      <c r="BT66" s="2038"/>
      <c r="BU66" s="2038"/>
      <c r="BV66" s="2038"/>
    </row>
    <row r="67" spans="1:74" ht="14.25" customHeight="1" thickBot="1">
      <c r="A67" s="394"/>
      <c r="B67" s="6585" t="s">
        <v>723</v>
      </c>
      <c r="C67" s="6586"/>
      <c r="D67" s="6586"/>
      <c r="E67" s="5310"/>
      <c r="F67" s="4179">
        <v>15</v>
      </c>
      <c r="G67" s="4180"/>
      <c r="H67" s="4890" t="s">
        <v>724</v>
      </c>
      <c r="I67" s="4195"/>
      <c r="J67" s="4195"/>
      <c r="K67" s="4890"/>
      <c r="L67" s="4195"/>
      <c r="M67" s="4198" t="s">
        <v>725</v>
      </c>
      <c r="N67" s="4195"/>
      <c r="O67" s="4195"/>
      <c r="P67" s="4195"/>
      <c r="Q67" s="4195"/>
      <c r="R67" s="4198"/>
      <c r="S67" s="4198" t="s">
        <v>726</v>
      </c>
      <c r="T67" s="4195"/>
      <c r="U67" s="4195"/>
      <c r="V67" s="4222"/>
      <c r="W67" s="4222"/>
      <c r="X67" s="4199"/>
      <c r="Y67" s="4199"/>
      <c r="Z67" s="4199"/>
      <c r="AA67" s="4199"/>
      <c r="AB67" s="4190" t="s">
        <v>699</v>
      </c>
      <c r="AC67" s="4220">
        <v>15</v>
      </c>
      <c r="AD67" s="6312">
        <f>IF(AN67&lt;&gt;"",ROUND(AN67,0),MAX(0,SUM(Adj_Gross_Inc,-TotalDeductions)))</f>
        <v>0</v>
      </c>
      <c r="AE67" s="6313"/>
      <c r="AF67" s="6313"/>
      <c r="AG67" s="6313"/>
      <c r="AH67" s="6313"/>
      <c r="AI67" s="307"/>
      <c r="AJ67" s="437"/>
      <c r="AK67" s="6304"/>
      <c r="AL67" s="6305"/>
      <c r="AM67" s="6306"/>
      <c r="AN67" s="2266"/>
      <c r="AO67" s="1234"/>
      <c r="AP67" s="5368"/>
      <c r="AQ67" s="5445"/>
      <c r="AR67" s="1826"/>
      <c r="AS67" s="1826"/>
      <c r="AT67" s="1826"/>
      <c r="AU67" s="1827"/>
      <c r="AV67" s="808"/>
      <c r="AW67" s="808"/>
      <c r="AX67" s="808"/>
      <c r="AY67" s="1232"/>
      <c r="AZ67" s="1585"/>
      <c r="BA67" s="1585"/>
      <c r="BB67" s="1585"/>
      <c r="BC67" s="1232"/>
      <c r="BD67" s="808"/>
      <c r="BE67" s="808"/>
      <c r="BF67" s="808"/>
      <c r="BG67" s="808"/>
      <c r="BH67" s="808"/>
      <c r="BI67" s="780"/>
      <c r="BJ67" s="2725"/>
      <c r="BK67" s="2038"/>
      <c r="BL67" s="2038"/>
      <c r="BM67" s="2038"/>
      <c r="BN67" s="2038"/>
      <c r="BO67" s="2038"/>
      <c r="BP67" s="2038"/>
      <c r="BQ67" s="2038"/>
      <c r="BR67" s="2038"/>
      <c r="BS67" s="2038"/>
      <c r="BT67" s="2038"/>
      <c r="BU67" s="2038"/>
      <c r="BV67" s="2038"/>
    </row>
    <row r="68" spans="1:74" ht="13.5" customHeight="1" thickBot="1">
      <c r="A68" s="394"/>
      <c r="B68" s="6620" t="s">
        <v>727</v>
      </c>
      <c r="C68" s="6621"/>
      <c r="D68" s="6622"/>
      <c r="E68" s="5346"/>
      <c r="F68" s="4891"/>
      <c r="G68" s="4892"/>
      <c r="H68" s="4893"/>
      <c r="I68" s="4893"/>
      <c r="J68" s="4893"/>
      <c r="K68" s="4893"/>
      <c r="L68" s="4893"/>
      <c r="M68" s="4893"/>
      <c r="N68" s="4893"/>
      <c r="O68" s="4893"/>
      <c r="P68" s="4893"/>
      <c r="Q68" s="4893"/>
      <c r="R68" s="4893"/>
      <c r="S68" s="4893"/>
      <c r="T68" s="4893"/>
      <c r="U68" s="4893"/>
      <c r="V68" s="4893"/>
      <c r="W68" s="4893"/>
      <c r="X68" s="4894"/>
      <c r="Y68" s="4894"/>
      <c r="Z68" s="4895"/>
      <c r="AA68" s="4893"/>
      <c r="AB68" s="4893"/>
      <c r="AC68" s="4896"/>
      <c r="AD68" s="4897"/>
      <c r="AE68" s="4897"/>
      <c r="AF68" s="4897"/>
      <c r="AG68" s="4897"/>
      <c r="AH68" s="4897"/>
      <c r="AI68" s="3913"/>
      <c r="AJ68" s="437"/>
      <c r="AK68" s="4889"/>
      <c r="AL68" s="4889"/>
      <c r="AM68" s="4889"/>
      <c r="AN68" s="3717"/>
      <c r="AO68" s="6346" t="str">
        <f>IF(AO75,"Total taxes from "&amp;CHAR(10)&amp;"line 16 (1), (2), &amp; (3) ↓   ↓   ↓","")</f>
        <v/>
      </c>
      <c r="AP68" s="5171"/>
      <c r="AQ68" s="1880">
        <v>1850</v>
      </c>
      <c r="AR68" s="1880">
        <v>1500</v>
      </c>
      <c r="AS68" s="1880">
        <v>1500</v>
      </c>
      <c r="AT68" s="1880">
        <v>1850</v>
      </c>
      <c r="AU68" s="5166"/>
      <c r="AV68" s="808"/>
      <c r="AW68" s="808"/>
      <c r="AX68" s="808"/>
      <c r="AY68" s="892"/>
      <c r="AZ68" s="892"/>
      <c r="BA68" s="892"/>
      <c r="BB68" s="808"/>
      <c r="BC68" s="808"/>
      <c r="BD68" s="808"/>
      <c r="BE68" s="808"/>
      <c r="BF68" s="808"/>
      <c r="BG68" s="808"/>
      <c r="BH68" s="808"/>
      <c r="BI68" s="780"/>
      <c r="BJ68" s="2725"/>
      <c r="BK68" s="2038"/>
      <c r="BL68" s="2038"/>
      <c r="BM68" s="2038"/>
      <c r="BN68" s="2038"/>
      <c r="BO68" s="2038"/>
      <c r="BP68" s="2038"/>
      <c r="BQ68" s="2038"/>
      <c r="BR68" s="2038"/>
      <c r="BS68" s="2038"/>
      <c r="BT68" s="2038"/>
      <c r="BU68" s="2038"/>
      <c r="BV68" s="2038"/>
    </row>
    <row r="69" spans="1:74" ht="13.5" customHeight="1">
      <c r="A69" s="394"/>
      <c r="B69" s="4201" t="s">
        <v>728</v>
      </c>
      <c r="C69" s="5446"/>
      <c r="D69" s="5446"/>
      <c r="E69" s="5446"/>
      <c r="F69" s="4202"/>
      <c r="G69" s="4203"/>
      <c r="H69" s="4204"/>
      <c r="I69" s="4204"/>
      <c r="J69" s="4204"/>
      <c r="K69" s="4204"/>
      <c r="L69" s="4204"/>
      <c r="M69" s="4204"/>
      <c r="N69" s="4204"/>
      <c r="O69" s="4204"/>
      <c r="P69" s="4204"/>
      <c r="Q69" s="4204"/>
      <c r="R69" s="4204"/>
      <c r="S69" s="4204"/>
      <c r="T69" s="4204"/>
      <c r="U69" s="4204"/>
      <c r="V69" s="4204"/>
      <c r="W69" s="4204"/>
      <c r="X69" s="4205"/>
      <c r="Y69" s="4205"/>
      <c r="Z69" s="4206" t="s">
        <v>729</v>
      </c>
      <c r="AA69" s="4204"/>
      <c r="AB69" s="4204"/>
      <c r="AC69" s="4202"/>
      <c r="AD69" s="5447"/>
      <c r="AE69" s="5447"/>
      <c r="AF69" s="5447"/>
      <c r="AG69" s="4207" t="s">
        <v>730</v>
      </c>
      <c r="AH69" s="5447"/>
      <c r="AI69" s="4208" t="str">
        <f>"("&amp;TaxYear&amp;")"</f>
        <v>(2023)</v>
      </c>
      <c r="AJ69" s="437"/>
      <c r="AK69" s="4889"/>
      <c r="AL69" s="4889"/>
      <c r="AM69" s="4889"/>
      <c r="AN69" s="3270"/>
      <c r="AO69" s="6346"/>
      <c r="AP69" s="1579"/>
      <c r="AQ69" s="1233"/>
      <c r="AR69" s="1233"/>
      <c r="AS69" s="1233"/>
      <c r="AT69" s="1233"/>
      <c r="AU69" s="1579"/>
      <c r="AV69" s="808"/>
      <c r="AW69" s="808"/>
      <c r="AX69" s="808"/>
      <c r="AY69" s="892"/>
      <c r="AZ69" s="892"/>
      <c r="BA69" s="892"/>
      <c r="BB69" s="808"/>
      <c r="BC69" s="808"/>
      <c r="BD69" s="808"/>
      <c r="BE69" s="808"/>
      <c r="BF69" s="808"/>
      <c r="BG69" s="808"/>
      <c r="BH69" s="808"/>
      <c r="BI69" s="780"/>
      <c r="BJ69" s="2725"/>
      <c r="BK69" s="2038"/>
      <c r="BL69" s="2038"/>
      <c r="BM69" s="2038"/>
      <c r="BN69" s="2038"/>
      <c r="BO69" s="2038"/>
      <c r="BP69" s="2038"/>
      <c r="BQ69" s="2038"/>
      <c r="BR69" s="2038"/>
      <c r="BS69" s="2038"/>
      <c r="BT69" s="2038"/>
      <c r="BU69" s="2038"/>
      <c r="BV69" s="2038"/>
    </row>
    <row r="70" spans="1:74" ht="16.5" thickBot="1">
      <c r="A70" s="394"/>
      <c r="B70" s="4211" t="str">
        <f>"Form 1040  ("&amp;TaxYear&amp;")"</f>
        <v>Form 1040  (2023)</v>
      </c>
      <c r="C70" s="4211"/>
      <c r="D70" s="4211"/>
      <c r="E70" s="4211"/>
      <c r="F70" s="4209"/>
      <c r="G70" s="4210"/>
      <c r="H70" s="4211"/>
      <c r="I70" s="4211"/>
      <c r="J70" s="4211"/>
      <c r="K70" s="4211"/>
      <c r="L70" s="4211"/>
      <c r="M70" s="4211"/>
      <c r="N70" s="4211"/>
      <c r="O70" s="4211"/>
      <c r="P70" s="4211"/>
      <c r="Q70" s="4212"/>
      <c r="R70" s="4212"/>
      <c r="S70" s="4212"/>
      <c r="T70" s="4212"/>
      <c r="U70" s="4211"/>
      <c r="V70" s="4211"/>
      <c r="W70" s="4211"/>
      <c r="X70" s="4211"/>
      <c r="Y70" s="4211"/>
      <c r="Z70" s="4211"/>
      <c r="AA70" s="4211"/>
      <c r="AB70" s="4211"/>
      <c r="AC70" s="4209"/>
      <c r="AD70" s="4213"/>
      <c r="AE70" s="4213"/>
      <c r="AF70" s="4213"/>
      <c r="AG70" s="4886" t="str">
        <f>IF(AND(Birthday_Needed,AV11,OR(AY87,AY107)),"Enter your birthdate and your spouse's birthdates above.",IF(AND(Birthday_Needed,AY87),"Enter your birthdate above.",""))</f>
        <v/>
      </c>
      <c r="AH70" s="4213"/>
      <c r="AI70" s="4214" t="s">
        <v>731</v>
      </c>
      <c r="AJ70" s="440"/>
      <c r="AK70" s="6"/>
      <c r="AL70" s="6"/>
      <c r="AM70" s="6"/>
      <c r="AN70" s="3270"/>
      <c r="AO70" s="6346"/>
      <c r="AP70" s="1579"/>
      <c r="AQ70" s="1233"/>
      <c r="AR70" s="1233"/>
      <c r="AS70" s="1233"/>
      <c r="AT70" s="1233"/>
      <c r="AU70" s="1579"/>
      <c r="AV70" s="2405"/>
      <c r="AW70" s="2405"/>
      <c r="AX70" s="2405"/>
      <c r="AY70" s="2405"/>
      <c r="AZ70" s="2405"/>
      <c r="BA70" s="2405"/>
      <c r="BB70" s="2405"/>
      <c r="BC70" s="2405"/>
      <c r="BD70" s="2405"/>
      <c r="BE70" s="2405"/>
      <c r="BF70" s="2405"/>
      <c r="BG70" s="2405"/>
      <c r="BH70" s="2405"/>
      <c r="BI70" s="2405"/>
      <c r="BJ70" s="2725"/>
      <c r="BK70" s="2038"/>
      <c r="BL70" s="2038"/>
      <c r="BM70" s="2038"/>
      <c r="BN70" s="2038"/>
      <c r="BO70" s="2038"/>
      <c r="BP70" s="2038"/>
      <c r="BQ70" s="2038"/>
      <c r="BR70" s="2038"/>
      <c r="BS70" s="2038"/>
      <c r="BT70" s="2038"/>
      <c r="BU70" s="2038"/>
      <c r="BV70" s="2038"/>
    </row>
    <row r="71" spans="1:74" ht="3.75" customHeight="1">
      <c r="A71" s="394"/>
      <c r="B71" s="3709"/>
      <c r="C71" s="3709"/>
      <c r="D71" s="3709"/>
      <c r="E71" s="29"/>
      <c r="F71" s="4179"/>
      <c r="G71" s="4199"/>
      <c r="H71" s="4195"/>
      <c r="I71" s="4195"/>
      <c r="J71" s="4195"/>
      <c r="K71" s="4195"/>
      <c r="L71" s="4195"/>
      <c r="M71" s="4195"/>
      <c r="N71" s="4195"/>
      <c r="O71" s="4195"/>
      <c r="P71" s="4195"/>
      <c r="Q71" s="4215"/>
      <c r="R71" s="4215"/>
      <c r="S71" s="4215"/>
      <c r="T71" s="4215"/>
      <c r="U71" s="4195"/>
      <c r="V71" s="4195"/>
      <c r="W71" s="4195"/>
      <c r="X71" s="4195"/>
      <c r="Y71" s="4216"/>
      <c r="Z71" s="4216"/>
      <c r="AA71" s="4216"/>
      <c r="AB71" s="4216"/>
      <c r="AC71" s="5448"/>
      <c r="AD71" s="6444">
        <f>IF(AN72&lt;&gt;"",ROUND(AN72,0),IF(OR(Birthday_Needed,FilingStatusError),"",  IF(FEI_Tax_Worksheet,Tax_FEI_TW,IF(CGTW,SUM(CGTW_Tax,AP72),IF(SchDTW_Used,SUM(SchDTW_Tax,AP72),SUM(BC76,AP72))))))</f>
        <v>0</v>
      </c>
      <c r="AE71" s="6445"/>
      <c r="AF71" s="6445"/>
      <c r="AG71" s="6445"/>
      <c r="AH71" s="6445"/>
      <c r="AI71" s="234"/>
      <c r="AJ71" s="440"/>
      <c r="AK71" s="6"/>
      <c r="AL71" s="6"/>
      <c r="AM71" s="6"/>
      <c r="AN71" s="3718"/>
      <c r="AO71" s="6346"/>
      <c r="AP71" s="5160"/>
      <c r="AQ71" s="5166"/>
      <c r="AR71" s="5166"/>
      <c r="AS71" s="5166"/>
      <c r="AT71" s="5166"/>
      <c r="AU71" s="5167"/>
      <c r="AV71" s="2405"/>
      <c r="AW71" s="2405"/>
      <c r="AX71" s="2405"/>
      <c r="AY71" s="2405"/>
      <c r="AZ71" s="2405"/>
      <c r="BA71" s="2405"/>
      <c r="BB71" s="2405"/>
      <c r="BC71" s="2405"/>
      <c r="BD71" s="2405"/>
      <c r="BE71" s="2405"/>
      <c r="BF71" s="2405"/>
      <c r="BG71" s="2405"/>
      <c r="BH71" s="2405"/>
      <c r="BI71" s="2405"/>
      <c r="BJ71" s="2725"/>
      <c r="BK71" s="2038"/>
      <c r="BL71" s="2038"/>
      <c r="BM71" s="2038"/>
      <c r="BN71" s="2038"/>
      <c r="BO71" s="2038"/>
      <c r="BP71" s="2038"/>
      <c r="BQ71" s="2038"/>
      <c r="BR71" s="2038"/>
      <c r="BS71" s="2038"/>
      <c r="BT71" s="2038"/>
      <c r="BU71" s="2038"/>
      <c r="BV71" s="2038"/>
    </row>
    <row r="72" spans="1:74" ht="14.25" customHeight="1" thickBot="1">
      <c r="A72" s="394"/>
      <c r="B72" s="29"/>
      <c r="C72" s="29"/>
      <c r="D72" s="29"/>
      <c r="E72" s="29"/>
      <c r="F72" s="4179">
        <v>16</v>
      </c>
      <c r="G72" s="4180"/>
      <c r="H72" s="5080" t="s">
        <v>732</v>
      </c>
      <c r="I72" s="4179"/>
      <c r="J72" s="4182"/>
      <c r="K72" s="4182"/>
      <c r="L72" s="4183"/>
      <c r="M72" s="4179"/>
      <c r="N72" s="4179"/>
      <c r="O72" s="4184"/>
      <c r="P72" s="5079"/>
      <c r="Q72" s="4184" t="s">
        <v>252</v>
      </c>
      <c r="R72" s="809"/>
      <c r="S72" s="4185"/>
      <c r="T72" s="4186" t="s">
        <v>733</v>
      </c>
      <c r="U72" s="809"/>
      <c r="V72" s="4183"/>
      <c r="W72" s="4186" t="s">
        <v>734</v>
      </c>
      <c r="X72" s="809"/>
      <c r="Y72" s="6349"/>
      <c r="Z72" s="6350"/>
      <c r="AA72" s="4184"/>
      <c r="AB72" s="4190" t="s">
        <v>690</v>
      </c>
      <c r="AC72" s="4187">
        <v>16</v>
      </c>
      <c r="AD72" s="6446"/>
      <c r="AE72" s="6447"/>
      <c r="AF72" s="6447"/>
      <c r="AG72" s="6447"/>
      <c r="AH72" s="6447"/>
      <c r="AI72" s="234"/>
      <c r="AJ72" s="438"/>
      <c r="AK72" s="5835" t="s">
        <v>735</v>
      </c>
      <c r="AL72" s="5836"/>
      <c r="AM72" s="5837"/>
      <c r="AN72" s="3428"/>
      <c r="AO72" s="5183"/>
      <c r="AP72" s="4846">
        <f>ROUND(AO72,0)</f>
        <v>0</v>
      </c>
      <c r="AQ72" s="4847"/>
      <c r="AR72" s="4847"/>
      <c r="AS72" s="4847"/>
      <c r="AT72" s="5168"/>
      <c r="AU72" s="5168"/>
      <c r="AV72" s="2405"/>
      <c r="AW72" s="2405"/>
      <c r="AX72" s="2405"/>
      <c r="AY72" s="892" t="s">
        <v>736</v>
      </c>
      <c r="AZ72" s="2264" t="s">
        <v>14</v>
      </c>
      <c r="BA72" s="2264" t="s">
        <v>737</v>
      </c>
      <c r="BB72" s="2264" t="s">
        <v>22</v>
      </c>
      <c r="BC72" s="2264" t="s">
        <v>25</v>
      </c>
      <c r="BD72" s="2405"/>
      <c r="BE72" s="2405"/>
      <c r="BF72" s="2405"/>
      <c r="BG72" s="2405"/>
      <c r="BH72" s="2405"/>
      <c r="BI72" s="2405"/>
      <c r="BJ72" s="2725"/>
      <c r="BK72" s="2038"/>
      <c r="BL72" s="2038"/>
      <c r="BM72" s="2038"/>
      <c r="BN72" s="2038"/>
      <c r="BO72" s="2038"/>
      <c r="BP72" s="2038"/>
      <c r="BQ72" s="2038"/>
      <c r="BR72" s="2038"/>
      <c r="BS72" s="2038"/>
      <c r="BT72" s="2038"/>
      <c r="BU72" s="2038"/>
      <c r="BV72" s="2038"/>
    </row>
    <row r="73" spans="1:74" ht="14.25" customHeight="1" thickTop="1" thickBot="1">
      <c r="A73" s="394"/>
      <c r="B73" s="5843" t="s">
        <v>738</v>
      </c>
      <c r="C73" s="29"/>
      <c r="D73" s="29"/>
      <c r="E73" s="29"/>
      <c r="F73" s="4179">
        <v>17</v>
      </c>
      <c r="G73" s="4180"/>
      <c r="H73" s="4181" t="s">
        <v>739</v>
      </c>
      <c r="I73" s="4179"/>
      <c r="J73" s="4182"/>
      <c r="K73" s="4182"/>
      <c r="L73" s="4182"/>
      <c r="M73" s="4179"/>
      <c r="N73" s="4179"/>
      <c r="O73" s="4184"/>
      <c r="P73" s="4184"/>
      <c r="Q73" s="4184"/>
      <c r="R73" s="4184"/>
      <c r="S73" s="4188"/>
      <c r="T73" s="4186"/>
      <c r="U73" s="4186"/>
      <c r="V73" s="4182"/>
      <c r="W73" s="4189"/>
      <c r="X73" s="4189"/>
      <c r="Y73" s="4189"/>
      <c r="Z73" s="4189"/>
      <c r="AA73" s="4184"/>
      <c r="AB73" s="4190" t="s">
        <v>740</v>
      </c>
      <c r="AC73" s="4191">
        <v>17</v>
      </c>
      <c r="AD73" s="6351">
        <f>IF(AN73&lt;&gt;"",ROUND(AN73,0),Schedule2_Tax)</f>
        <v>0</v>
      </c>
      <c r="AE73" s="6352"/>
      <c r="AF73" s="6352"/>
      <c r="AG73" s="6352"/>
      <c r="AH73" s="6352"/>
      <c r="AI73" s="234"/>
      <c r="AJ73" s="438"/>
      <c r="AK73" s="5835" t="s">
        <v>741</v>
      </c>
      <c r="AL73" s="5836"/>
      <c r="AM73" s="5837"/>
      <c r="AN73" s="2266"/>
      <c r="AO73" s="1234"/>
      <c r="AP73" s="4848" t="b">
        <f>R72&lt;&gt;""</f>
        <v>0</v>
      </c>
      <c r="AQ73" s="900"/>
      <c r="AR73" s="4848" t="b">
        <f>U72&lt;&gt;""</f>
        <v>0</v>
      </c>
      <c r="AS73" s="4848" t="b">
        <f>X72&lt;&gt;""</f>
        <v>0</v>
      </c>
      <c r="AT73" s="2405"/>
      <c r="AU73" s="2405"/>
      <c r="AV73" s="2405"/>
      <c r="AW73" s="2405"/>
      <c r="AX73" s="2405"/>
      <c r="AY73" s="5173">
        <f>Taxable_Inc</f>
        <v>0</v>
      </c>
      <c r="AZ73" s="5174">
        <f>LOOKUP(AY73,'Tax Table'!$B$2:$B$2063,'Tax Table'!$D$2:$D$2063)</f>
        <v>0</v>
      </c>
      <c r="BA73" s="5174">
        <f>LOOKUP(AY73,'Tax Table'!$B$2:$B$2063,'Tax Table'!$E$2:$E$2063)</f>
        <v>0</v>
      </c>
      <c r="BB73" s="5174">
        <f>LOOKUP(AY73,'Tax Table'!$B$2:$B$2063,'Tax Table'!$F$2:$F$2063)</f>
        <v>0</v>
      </c>
      <c r="BC73" s="5175">
        <f>LOOKUP(AY73,'Tax Table'!$B$2:$B$2063,'Tax Table'!$G$2:$G$2063)</f>
        <v>0</v>
      </c>
      <c r="BD73" s="2405"/>
      <c r="BE73" s="2405"/>
      <c r="BF73" s="2405"/>
      <c r="BG73" s="2405"/>
      <c r="BH73" s="2405"/>
      <c r="BI73" s="2405"/>
      <c r="BJ73" s="2725"/>
      <c r="BK73" s="2038"/>
      <c r="BL73" s="2038"/>
      <c r="BM73" s="2038"/>
      <c r="BN73" s="2038"/>
      <c r="BO73" s="2038"/>
      <c r="BP73" s="2038"/>
      <c r="BQ73" s="2038"/>
      <c r="BR73" s="2038"/>
      <c r="BS73" s="2038"/>
      <c r="BT73" s="2038"/>
      <c r="BU73" s="2038"/>
      <c r="BV73" s="2038"/>
    </row>
    <row r="74" spans="1:74" ht="14.25" customHeight="1" thickBot="1">
      <c r="A74" s="394"/>
      <c r="B74" s="5843" t="s">
        <v>742</v>
      </c>
      <c r="C74" s="3262"/>
      <c r="D74" s="3262"/>
      <c r="E74" s="3262"/>
      <c r="F74" s="4179">
        <v>18</v>
      </c>
      <c r="G74" s="4180"/>
      <c r="H74" s="4181" t="s">
        <v>743</v>
      </c>
      <c r="I74" s="4179"/>
      <c r="J74" s="4179"/>
      <c r="K74" s="4179"/>
      <c r="L74" s="4179"/>
      <c r="M74" s="4179"/>
      <c r="N74" s="4179"/>
      <c r="O74" s="4179"/>
      <c r="P74" s="4179"/>
      <c r="Q74" s="4179"/>
      <c r="R74" s="4179"/>
      <c r="S74" s="4179"/>
      <c r="T74" s="4179"/>
      <c r="U74" s="4179"/>
      <c r="V74" s="4179"/>
      <c r="W74" s="4179"/>
      <c r="X74" s="4179"/>
      <c r="Y74" s="4179"/>
      <c r="Z74" s="4179"/>
      <c r="AA74" s="4192"/>
      <c r="AB74" s="4190" t="s">
        <v>744</v>
      </c>
      <c r="AC74" s="4193">
        <v>18</v>
      </c>
      <c r="AD74" s="6351">
        <f>IF(AN74&lt;&gt;"",ROUND(AN74,0),SUM(Tax_SubTotal,AD73))</f>
        <v>0</v>
      </c>
      <c r="AE74" s="6352"/>
      <c r="AF74" s="6352"/>
      <c r="AG74" s="6352"/>
      <c r="AH74" s="6352"/>
      <c r="AI74" s="234"/>
      <c r="AJ74" s="438"/>
      <c r="AK74" s="6448" t="str">
        <f>IF(AN72&lt;&gt;"","Manual override",IF(FilingStatusError,"Filing status information needed or needs corrected.",IF(Birthday_Needed,"Birthdate information needed.",IF(OR(Total_Income=0,Taxable_Inc=""),"",IF(FEI_Tax_Worksheet,"FEI Tax Worksheet on "&amp;CHAR(10)&amp;"'Line 16 (QDCG Tax)'"&amp;CHAR(10)&amp;AO81,IF(CGTW,"QD &amp; CG Tax WS"&amp;CHAR(10)&amp;"'Line 16 (QDCG Tax)'"&amp;CHAR(10)&amp;AO81,IF(SchDTW_Used,"Sch. D Tax Worksheet"&amp;CHAR(10)&amp;AO81,IF(Taxable_Inc&lt;100000,"Tax Table"&amp;CHAR(10)&amp;AO81,"Tax Formula"&amp;CHAR(10)&amp;AO81))))))))</f>
        <v/>
      </c>
      <c r="AL74" s="6449"/>
      <c r="AM74" s="6450"/>
      <c r="AN74" s="2266"/>
      <c r="AO74" s="3915" t="str">
        <f>IF(R72&lt;&gt;"","Form "&amp;LEFT(T72,4),IF(U72&lt;&gt;"","Form "&amp;LEFT(W72,4),IF(AND(X72&lt;&gt;"",Y72&lt;&gt;""),"Form "&amp;Y72,"")))</f>
        <v/>
      </c>
      <c r="AP74" s="874" t="str">
        <f>IF(AP73,"&amp; Form 8814 "&amp;"","")</f>
        <v/>
      </c>
      <c r="AQ74" s="900"/>
      <c r="AR74" s="874" t="str">
        <f>IF(AR73,"&amp; Form 4972 "&amp;"","")</f>
        <v/>
      </c>
      <c r="AS74" s="874" t="str">
        <f>IF(AS73,"&amp; Form "&amp;Y72&amp;" ","")</f>
        <v/>
      </c>
      <c r="AT74" s="2405"/>
      <c r="AU74" s="2405"/>
      <c r="AV74" s="2405"/>
      <c r="AW74" s="2405"/>
      <c r="AX74" s="2405"/>
      <c r="AY74" s="5176"/>
      <c r="AZ74" s="5177" t="str">
        <f>IF(AY73&lt;SectA_a3,"---",IF(AY73&lt;=SectA_a4,ROUND((AY73*(SectA_b4/100)-SectA_d4),0),IF(AY73&lt;=SectA_a5,ROUND((AY73*(SectA_b5/100)-SectA_d5),0),IF(AY73&lt;=SectA_a6,ROUND((AY73*(SectA_b6/100)-SectA_d6),0),ROUND((AY73*(SectA_b7/100)-SectA_d7),0)))))</f>
        <v>---</v>
      </c>
      <c r="BA74" s="5177" t="str">
        <f>IF(AY73&lt;SectB_a2,"---",IF(AY73&lt;=SectB_a3,ROUND((AY73*(SectB_b3/100)-SectB_d3),0),IF(AY73&lt;=SectB_a4,ROUND((AY73*(SectB_b4/100)-SectB_d4),0),IF(AY73&lt;=SectB_a5,ROUND((AY73*(SectB_b5/100)-SectB_d5),0),IF(AY73&lt;=SectB_a6,ROUND((AY73*(SectB_b6/100)-SectB_d6),0),ROUND((AY73*(SectB_b7/100)-SectB_d7),0))))))</f>
        <v>---</v>
      </c>
      <c r="BB74" s="5177" t="str">
        <f>IF(AY73&lt;SectC_a2,"---",IF(AY73&lt;=SectC_a3,ROUND((AY73*(SectC_b3/100)-SectC_d3),0),IF(AY73&lt;=SectC_a4,ROUND((AY73*(SectC_b4/100)-SectC_d4),0),IF(AY73&lt;=SectC_a5,ROUND((AY73*(SectC_b5/100)-SectC_d5),0),ROUND((AY73*(SectC_b6/100)-SectC_d6),0)))))</f>
        <v>---</v>
      </c>
      <c r="BC74" s="5178" t="str">
        <f>IF(AY73&lt;SectD_a2,"---",IF(AY73&lt;=SectD_a3,ROUND((AY73*(SectD_b3/100)-SectD_d3),0),IF(AY73&lt;=SectD_a4,ROUND((AY73*(SectD_b4/100)-SectD_d4),0),IF(AY73&lt;=SectD_a5,ROUND((AY73*(SectD_b5/100)-SectD_d5),0),IF(AY73&lt;=SectD_a6,ROUND((AY73*(SectD_b6/100)-SectD_d6),0),ROUND((AY73*(SectD_b7/100)-SectD_d7),0))))))</f>
        <v>---</v>
      </c>
      <c r="BD74" s="2405"/>
      <c r="BE74" s="2405"/>
      <c r="BF74" s="2405"/>
      <c r="BG74" s="2405"/>
      <c r="BH74" s="2405"/>
      <c r="BI74" s="1906"/>
      <c r="BJ74" s="2725"/>
      <c r="BK74" s="2038"/>
      <c r="BL74" s="2038"/>
      <c r="BM74" s="2038"/>
      <c r="BN74" s="2038"/>
      <c r="BO74" s="2038"/>
      <c r="BP74" s="2038"/>
      <c r="BQ74" s="2038"/>
      <c r="BR74" s="2038"/>
      <c r="BS74" s="2038"/>
      <c r="BT74" s="2038"/>
      <c r="BU74" s="2038"/>
      <c r="BV74" s="2038"/>
    </row>
    <row r="75" spans="1:74" ht="12.75" customHeight="1" thickBot="1">
      <c r="A75" s="394"/>
      <c r="B75" s="3710"/>
      <c r="C75" s="29"/>
      <c r="D75" s="29"/>
      <c r="E75" s="29"/>
      <c r="F75" s="4179">
        <v>19</v>
      </c>
      <c r="G75" s="4180"/>
      <c r="H75" s="4194" t="s">
        <v>745</v>
      </c>
      <c r="I75" s="4195"/>
      <c r="J75" s="4195"/>
      <c r="K75" s="4195"/>
      <c r="L75" s="4195"/>
      <c r="M75" s="4195"/>
      <c r="N75" s="4196"/>
      <c r="O75" s="4197"/>
      <c r="P75" s="4197"/>
      <c r="Q75" s="4197"/>
      <c r="R75" s="4197"/>
      <c r="S75" s="4197"/>
      <c r="T75" s="4197"/>
      <c r="U75" s="4179"/>
      <c r="V75" s="4197"/>
      <c r="W75" s="4197"/>
      <c r="X75" s="4190"/>
      <c r="Y75" s="4179"/>
      <c r="Z75" s="4179"/>
      <c r="AA75" s="4192"/>
      <c r="AB75" s="4190" t="s">
        <v>746</v>
      </c>
      <c r="AC75" s="4191">
        <v>19</v>
      </c>
      <c r="AD75" s="6351">
        <f>IF(AN75&lt;&gt;"",ROUND(AN75,0),CTCorCOD)</f>
        <v>0</v>
      </c>
      <c r="AE75" s="6352"/>
      <c r="AF75" s="6352"/>
      <c r="AG75" s="6352"/>
      <c r="AH75" s="6352"/>
      <c r="AI75" s="307"/>
      <c r="AJ75" s="437"/>
      <c r="AK75" s="6451"/>
      <c r="AL75" s="6452"/>
      <c r="AM75" s="6453"/>
      <c r="AN75" s="2266"/>
      <c r="AO75" s="1754" t="b">
        <f>OR(R72&lt;&gt;"",U72&lt;&gt;"",X72&lt;&gt;"")</f>
        <v>0</v>
      </c>
      <c r="AP75" s="1745"/>
      <c r="AQ75" s="1745"/>
      <c r="AR75" s="1745"/>
      <c r="AS75" s="1745"/>
      <c r="AT75" s="1906"/>
      <c r="AU75" s="1906"/>
      <c r="AV75" s="2405"/>
      <c r="AW75" s="2405"/>
      <c r="AX75" s="2405"/>
      <c r="AY75" s="5179" t="str">
        <f>IF(File_Single&lt;&gt;"",AZ73,IF(File_Marr_Joint&lt;&gt;"",BA73,IF(File_Marr_Sep&lt;&gt;"", BB73,IF(File_Head&lt;&gt;"",BC73,IF(File_Qual_Widow&lt;&gt;"",BA73,"Filing status?")))))</f>
        <v>Filing status?</v>
      </c>
      <c r="AZ75" s="1585" t="str">
        <f>"&lt;100k"</f>
        <v>&lt;100k</v>
      </c>
      <c r="BA75" s="1585"/>
      <c r="BB75" s="1585"/>
      <c r="BC75" s="5180"/>
      <c r="BD75" s="2405"/>
      <c r="BE75" s="2405"/>
      <c r="BF75" s="2405"/>
      <c r="BG75" s="2405"/>
      <c r="BH75" s="2405"/>
      <c r="BI75" s="1906"/>
      <c r="BJ75" s="2725"/>
      <c r="BK75" s="2038"/>
      <c r="BL75" s="2038"/>
      <c r="BM75" s="2038"/>
      <c r="BN75" s="2038"/>
      <c r="BO75" s="2038"/>
      <c r="BP75" s="2038"/>
      <c r="BQ75" s="2038"/>
      <c r="BR75" s="2038"/>
      <c r="BS75" s="2038"/>
      <c r="BT75" s="2038"/>
      <c r="BU75" s="2038"/>
      <c r="BV75" s="2038"/>
    </row>
    <row r="76" spans="1:74" ht="12.75" customHeight="1" thickBot="1">
      <c r="A76" s="394"/>
      <c r="B76" s="29"/>
      <c r="C76" s="29"/>
      <c r="D76" s="29"/>
      <c r="E76" s="29"/>
      <c r="F76" s="4179">
        <v>20</v>
      </c>
      <c r="G76" s="4180"/>
      <c r="H76" s="4198" t="s">
        <v>747</v>
      </c>
      <c r="I76" s="4195"/>
      <c r="J76" s="4195"/>
      <c r="K76" s="4195"/>
      <c r="L76" s="4195"/>
      <c r="M76" s="4195"/>
      <c r="N76" s="4195"/>
      <c r="O76" s="4195"/>
      <c r="P76" s="4195"/>
      <c r="Q76" s="4197"/>
      <c r="R76" s="4197"/>
      <c r="S76" s="4197"/>
      <c r="T76" s="4197"/>
      <c r="U76" s="4179"/>
      <c r="V76" s="4197"/>
      <c r="W76" s="4197"/>
      <c r="X76" s="4197"/>
      <c r="Y76" s="4197"/>
      <c r="Z76" s="4197"/>
      <c r="AA76" s="4197"/>
      <c r="AB76" s="4190" t="s">
        <v>665</v>
      </c>
      <c r="AC76" s="4191">
        <v>20</v>
      </c>
      <c r="AD76" s="6351">
        <f>IF(AN76&lt;&gt;"",ROUND(AN76,0),Sch3_NonRefundCredits)</f>
        <v>0</v>
      </c>
      <c r="AE76" s="6358"/>
      <c r="AF76" s="6358"/>
      <c r="AG76" s="6358"/>
      <c r="AH76" s="6358"/>
      <c r="AI76" s="307"/>
      <c r="AJ76" s="437"/>
      <c r="AK76" s="6454"/>
      <c r="AL76" s="6455"/>
      <c r="AM76" s="6456"/>
      <c r="AN76" s="2554"/>
      <c r="AO76" s="5172"/>
      <c r="AP76" s="5168"/>
      <c r="AQ76" s="5168"/>
      <c r="AR76" s="5168"/>
      <c r="AS76" s="5168"/>
      <c r="AT76" s="5168"/>
      <c r="AU76" s="5168"/>
      <c r="AV76" s="2405"/>
      <c r="AW76" s="2405"/>
      <c r="AX76" s="2405"/>
      <c r="AY76" s="5181" t="str">
        <f>IF(File_Single&lt;&gt;"",AZ74,IF(OR(File_Marr_Joint&lt;&gt;"",File_Qual_Widow&lt;&gt;""),BA74,IF(File_Marr_Sep&lt;&gt;"", BB74,IF(File_Head&lt;&gt;"",BC74,"Filing status?"))))</f>
        <v>Filing status?</v>
      </c>
      <c r="AZ76" s="2644" t="str">
        <f>"&gt;=100k"</f>
        <v>&gt;=100k</v>
      </c>
      <c r="BA76" s="2644"/>
      <c r="BB76" s="2644" t="s">
        <v>748</v>
      </c>
      <c r="BC76" s="5182" t="str">
        <f>IF(AY73&gt;100000,AY76,AY75)</f>
        <v>Filing status?</v>
      </c>
      <c r="BD76" s="2405"/>
      <c r="BE76" s="2405"/>
      <c r="BF76" s="2405"/>
      <c r="BG76" s="2405"/>
      <c r="BH76" s="2405"/>
      <c r="BI76" s="1906"/>
      <c r="BJ76" s="2725"/>
      <c r="BK76" s="2038"/>
      <c r="BL76" s="2038"/>
      <c r="BM76" s="2038"/>
      <c r="BN76" s="2038"/>
      <c r="BO76" s="2038"/>
      <c r="BP76" s="2038"/>
      <c r="BQ76" s="2038"/>
      <c r="BR76" s="2038"/>
      <c r="BS76" s="2038"/>
      <c r="BT76" s="2038"/>
      <c r="BU76" s="2038"/>
      <c r="BV76" s="2038"/>
    </row>
    <row r="77" spans="1:74" ht="14.25" customHeight="1" thickTop="1">
      <c r="A77" s="394"/>
      <c r="B77" s="29"/>
      <c r="C77" s="29"/>
      <c r="D77" s="29"/>
      <c r="E77" s="29"/>
      <c r="F77" s="4179">
        <v>21</v>
      </c>
      <c r="G77" s="4180"/>
      <c r="H77" s="4198" t="s">
        <v>749</v>
      </c>
      <c r="I77" s="4195"/>
      <c r="J77" s="4195"/>
      <c r="K77" s="4195"/>
      <c r="L77" s="4195"/>
      <c r="M77" s="4195"/>
      <c r="N77" s="4195"/>
      <c r="O77" s="4195"/>
      <c r="P77" s="4195"/>
      <c r="Q77" s="4197"/>
      <c r="R77" s="4197"/>
      <c r="S77" s="4197"/>
      <c r="T77" s="4197"/>
      <c r="U77" s="4179"/>
      <c r="V77" s="4197"/>
      <c r="W77" s="4197"/>
      <c r="X77" s="4197"/>
      <c r="Y77" s="4197"/>
      <c r="Z77" s="4197"/>
      <c r="AA77" s="4197"/>
      <c r="AB77" s="4190" t="s">
        <v>744</v>
      </c>
      <c r="AC77" s="4191">
        <v>21</v>
      </c>
      <c r="AD77" s="6442">
        <f>IF(AN77&lt;&gt;"",ROUND(AN77,0),SUM(AD75,AD76))</f>
        <v>0</v>
      </c>
      <c r="AE77" s="6443"/>
      <c r="AF77" s="6443"/>
      <c r="AG77" s="6443"/>
      <c r="AH77" s="6443"/>
      <c r="AI77" s="307"/>
      <c r="AJ77" s="2504"/>
      <c r="AK77" s="6457" t="str">
        <f>IF(AND(AJ77="",F8960_Applicable)," Check Form 8960.",IF(F8960_Applicable,"Form 8960 checked.",""))</f>
        <v/>
      </c>
      <c r="AL77" s="6457"/>
      <c r="AM77" s="6458"/>
      <c r="AN77" s="2554"/>
      <c r="AO77" s="5172"/>
      <c r="AP77" s="2405"/>
      <c r="AQ77" s="2405"/>
      <c r="AR77" s="2405"/>
      <c r="AS77" s="2405"/>
      <c r="AT77" s="2405"/>
      <c r="AU77" s="2405"/>
      <c r="AV77" s="2405"/>
      <c r="AW77" s="2405"/>
      <c r="AX77" s="2405"/>
      <c r="AY77" s="5170"/>
      <c r="AZ77" s="5169"/>
      <c r="BA77" s="5169"/>
      <c r="BB77" s="5169"/>
      <c r="BC77" s="5170"/>
      <c r="BD77" s="2405"/>
      <c r="BE77" s="2405"/>
      <c r="BF77" s="2405"/>
      <c r="BG77" s="2405"/>
      <c r="BH77" s="2405"/>
      <c r="BI77" s="1906"/>
      <c r="BJ77" s="2725"/>
      <c r="BK77" s="2038"/>
      <c r="BL77" s="2038"/>
      <c r="BM77" s="2038"/>
      <c r="BN77" s="2038"/>
      <c r="BO77" s="2038"/>
      <c r="BP77" s="2038"/>
      <c r="BQ77" s="2038"/>
      <c r="BR77" s="2038"/>
      <c r="BS77" s="2038"/>
      <c r="BT77" s="2038"/>
      <c r="BU77" s="2038"/>
      <c r="BV77" s="2038"/>
    </row>
    <row r="78" spans="1:74" ht="14.25" customHeight="1">
      <c r="A78" s="394"/>
      <c r="B78" s="29"/>
      <c r="C78" s="3262"/>
      <c r="D78" s="3262"/>
      <c r="E78" s="3262"/>
      <c r="F78" s="4179">
        <v>22</v>
      </c>
      <c r="G78" s="4199"/>
      <c r="H78" s="4198" t="s">
        <v>750</v>
      </c>
      <c r="I78" s="4195"/>
      <c r="J78" s="4195"/>
      <c r="K78" s="4195"/>
      <c r="L78" s="4195"/>
      <c r="M78" s="4195"/>
      <c r="N78" s="4195"/>
      <c r="O78" s="4195"/>
      <c r="P78" s="4195"/>
      <c r="Q78" s="5449"/>
      <c r="R78" s="5449"/>
      <c r="S78" s="5449"/>
      <c r="T78" s="5449"/>
      <c r="U78" s="4200"/>
      <c r="V78" s="4197"/>
      <c r="W78" s="4200"/>
      <c r="X78" s="4197"/>
      <c r="Y78" s="4197"/>
      <c r="Z78" s="4197"/>
      <c r="AA78" s="4197"/>
      <c r="AB78" s="4190" t="s">
        <v>650</v>
      </c>
      <c r="AC78" s="4191">
        <f>F78</f>
        <v>22</v>
      </c>
      <c r="AD78" s="6328">
        <f>IF(AN78&lt;&gt;"",ROUND(AN78,0),MAX(0,SUM(Tax,-AD77)))</f>
        <v>0</v>
      </c>
      <c r="AE78" s="6329"/>
      <c r="AF78" s="6329"/>
      <c r="AG78" s="6329"/>
      <c r="AH78" s="6329"/>
      <c r="AI78" s="307"/>
      <c r="AJ78" s="438"/>
      <c r="AK78" s="4159"/>
      <c r="AL78" s="2185"/>
      <c r="AM78" s="814"/>
      <c r="AN78" s="2266"/>
      <c r="AO78" s="5172"/>
      <c r="AP78" s="5160"/>
      <c r="AQ78" s="5166"/>
      <c r="AR78" s="5166"/>
      <c r="AS78" s="5166"/>
      <c r="AT78" s="5166"/>
      <c r="AU78" s="5166"/>
      <c r="AV78" s="2405"/>
      <c r="AW78" s="2405"/>
      <c r="AX78" s="2405"/>
      <c r="AY78" s="5170"/>
      <c r="AZ78" s="5169"/>
      <c r="BA78" s="5169"/>
      <c r="BB78" s="5169"/>
      <c r="BC78" s="5170"/>
      <c r="BD78" s="2405"/>
      <c r="BE78" s="2405"/>
      <c r="BF78" s="2405"/>
      <c r="BG78" s="2405"/>
      <c r="BH78" s="2405"/>
      <c r="BI78" s="1906"/>
      <c r="BJ78" s="2725"/>
      <c r="BK78" s="2038"/>
      <c r="BL78" s="2038"/>
      <c r="BM78" s="2038"/>
      <c r="BN78" s="2038"/>
      <c r="BO78" s="2038"/>
      <c r="BP78" s="2038"/>
      <c r="BQ78" s="2038"/>
      <c r="BR78" s="2038"/>
      <c r="BS78" s="2038"/>
      <c r="BT78" s="2038"/>
      <c r="BU78" s="2038"/>
      <c r="BV78" s="2038"/>
    </row>
    <row r="79" spans="1:74" ht="14.25" customHeight="1">
      <c r="A79" s="394"/>
      <c r="B79" s="3710"/>
      <c r="C79" s="3262"/>
      <c r="D79" s="3262"/>
      <c r="E79" s="3262"/>
      <c r="F79" s="4179">
        <v>23</v>
      </c>
      <c r="G79" s="4180"/>
      <c r="H79" s="4198" t="s">
        <v>751</v>
      </c>
      <c r="I79" s="4195"/>
      <c r="J79" s="4195"/>
      <c r="K79" s="4195"/>
      <c r="L79" s="4195"/>
      <c r="M79" s="4195"/>
      <c r="N79" s="4195"/>
      <c r="O79" s="4195"/>
      <c r="P79" s="4195"/>
      <c r="Q79" s="4195"/>
      <c r="R79" s="4195"/>
      <c r="S79" s="4195"/>
      <c r="T79" s="4195"/>
      <c r="U79" s="4195"/>
      <c r="V79" s="4195"/>
      <c r="W79" s="4195"/>
      <c r="X79" s="4195"/>
      <c r="Y79" s="4195"/>
      <c r="Z79" s="4195"/>
      <c r="AA79" s="4195"/>
      <c r="AB79" s="4190" t="s">
        <v>752</v>
      </c>
      <c r="AC79" s="4191">
        <f>F79</f>
        <v>23</v>
      </c>
      <c r="AD79" s="6442">
        <f>IF(AN79&lt;&gt;"",ROUND(AN79,0),TotalOtherTaxes)</f>
        <v>0</v>
      </c>
      <c r="AE79" s="6443"/>
      <c r="AF79" s="6443"/>
      <c r="AG79" s="6443"/>
      <c r="AH79" s="6443"/>
      <c r="AI79" s="234"/>
      <c r="AJ79" s="2605"/>
      <c r="AK79" s="5839"/>
      <c r="AL79" s="5839"/>
      <c r="AM79" s="5840"/>
      <c r="AN79" s="2265"/>
      <c r="AO79" s="5172"/>
      <c r="AP79" s="808"/>
      <c r="AQ79" s="808"/>
      <c r="AR79" s="808"/>
      <c r="AS79" s="808"/>
      <c r="AT79" s="808"/>
      <c r="AU79" s="808"/>
      <c r="AV79" s="808"/>
      <c r="AW79" s="808"/>
      <c r="AX79" s="1590"/>
      <c r="AY79" s="1232"/>
      <c r="AZ79" s="1585"/>
      <c r="BA79" s="1585"/>
      <c r="BB79" s="1585"/>
      <c r="BC79" s="1232"/>
      <c r="BD79" s="808"/>
      <c r="BE79" s="808"/>
      <c r="BF79" s="808"/>
      <c r="BG79" s="808"/>
      <c r="BH79" s="808"/>
      <c r="BI79" s="780"/>
      <c r="BJ79" s="2725"/>
      <c r="BK79" s="2038"/>
      <c r="BL79" s="2038"/>
      <c r="BM79" s="2038"/>
      <c r="BN79" s="2038"/>
      <c r="BO79" s="2038"/>
      <c r="BP79" s="2038"/>
      <c r="BQ79" s="2038"/>
      <c r="BR79" s="2038"/>
      <c r="BS79" s="2038"/>
      <c r="BT79" s="2038"/>
      <c r="BU79" s="2038"/>
      <c r="BV79" s="2038"/>
    </row>
    <row r="80" spans="1:74" ht="14.25" customHeight="1">
      <c r="A80" s="394"/>
      <c r="B80" s="31"/>
      <c r="C80" s="4900"/>
      <c r="D80" s="4900"/>
      <c r="E80" s="4900"/>
      <c r="F80" s="4252">
        <v>24</v>
      </c>
      <c r="G80" s="4253"/>
      <c r="H80" s="4254" t="s">
        <v>753</v>
      </c>
      <c r="I80" s="4255"/>
      <c r="J80" s="4255"/>
      <c r="K80" s="4255"/>
      <c r="L80" s="4255"/>
      <c r="M80" s="4255"/>
      <c r="N80" s="4255"/>
      <c r="O80" s="4255"/>
      <c r="P80" s="4255"/>
      <c r="Q80" s="4255"/>
      <c r="R80" s="4255"/>
      <c r="S80" s="4255"/>
      <c r="T80" s="4255"/>
      <c r="U80" s="4255"/>
      <c r="V80" s="4255"/>
      <c r="W80" s="4255"/>
      <c r="X80" s="4255"/>
      <c r="Y80" s="4255"/>
      <c r="Z80" s="4255"/>
      <c r="AA80" s="4255"/>
      <c r="AB80" s="4901" t="s">
        <v>754</v>
      </c>
      <c r="AC80" s="4191">
        <f>F80</f>
        <v>24</v>
      </c>
      <c r="AD80" s="6442">
        <f>SUM(AD78,AD79)</f>
        <v>0</v>
      </c>
      <c r="AE80" s="6443"/>
      <c r="AF80" s="6443"/>
      <c r="AG80" s="6443"/>
      <c r="AH80" s="6443"/>
      <c r="AI80" s="234"/>
      <c r="AJ80" s="2605"/>
      <c r="AK80" s="4159"/>
      <c r="AL80" s="2185"/>
      <c r="AM80" s="814"/>
      <c r="AN80" s="261"/>
      <c r="AO80" s="4845"/>
      <c r="AP80" s="808"/>
      <c r="AQ80" s="808"/>
      <c r="AR80" s="808"/>
      <c r="AS80" s="808"/>
      <c r="AT80" s="808"/>
      <c r="AU80" s="808"/>
      <c r="AV80" s="1590"/>
      <c r="AW80" s="1590"/>
      <c r="AX80" s="808"/>
      <c r="AY80" s="1232"/>
      <c r="AZ80" s="1585"/>
      <c r="BA80" s="1585"/>
      <c r="BB80" s="1585"/>
      <c r="BC80" s="1232"/>
      <c r="BD80" s="808"/>
      <c r="BE80" s="808"/>
      <c r="BF80" s="808"/>
      <c r="BG80" s="808"/>
      <c r="BH80" s="808"/>
      <c r="BI80" s="780"/>
      <c r="BJ80" s="2725"/>
      <c r="BK80" s="2038"/>
      <c r="BL80" s="2038"/>
      <c r="BM80" s="2038"/>
      <c r="BN80" s="2038"/>
      <c r="BO80" s="2038"/>
      <c r="BP80" s="2038"/>
      <c r="BQ80" s="2038"/>
      <c r="BR80" s="2038"/>
      <c r="BS80" s="2038"/>
      <c r="BT80" s="2038"/>
      <c r="BU80" s="2038"/>
      <c r="BV80" s="2038"/>
    </row>
    <row r="81" spans="1:74" ht="14.25" customHeight="1">
      <c r="A81" s="394"/>
      <c r="B81" s="29"/>
      <c r="C81" s="3262"/>
      <c r="D81" s="3262"/>
      <c r="E81" s="3262"/>
      <c r="F81" s="4179">
        <v>25</v>
      </c>
      <c r="G81" s="4180"/>
      <c r="H81" s="4198" t="s">
        <v>755</v>
      </c>
      <c r="I81" s="4195"/>
      <c r="J81" s="4195"/>
      <c r="K81" s="4195"/>
      <c r="L81" s="4195"/>
      <c r="M81" s="4195"/>
      <c r="N81" s="4195"/>
      <c r="O81" s="4195"/>
      <c r="P81" s="4195"/>
      <c r="Q81" s="4195"/>
      <c r="R81" s="4195"/>
      <c r="S81" s="4195"/>
      <c r="T81" s="4195"/>
      <c r="U81" s="4195"/>
      <c r="V81" s="4195"/>
      <c r="W81" s="4195"/>
      <c r="X81" s="4195"/>
      <c r="Y81" s="4195"/>
      <c r="Z81" s="4195"/>
      <c r="AA81" s="4195"/>
      <c r="AB81" s="4190"/>
      <c r="AC81" s="4223"/>
      <c r="AD81" s="3706"/>
      <c r="AE81" s="3707"/>
      <c r="AF81" s="3707"/>
      <c r="AG81" s="3707"/>
      <c r="AH81" s="3707"/>
      <c r="AI81" s="234"/>
      <c r="AJ81" s="2605"/>
      <c r="AK81" s="4159"/>
      <c r="AL81" s="2185"/>
      <c r="AM81" s="814"/>
      <c r="AN81" s="261"/>
      <c r="AO81" s="4849" t="str">
        <f>AP74&amp;AR74&amp;AS74</f>
        <v/>
      </c>
      <c r="AP81" s="808"/>
      <c r="AQ81" s="808"/>
      <c r="AR81" s="808"/>
      <c r="AS81" s="808"/>
      <c r="AT81" s="808"/>
      <c r="AU81" s="808"/>
      <c r="AV81" s="808"/>
      <c r="AW81" s="808"/>
      <c r="AX81" s="808"/>
      <c r="AY81" s="1232"/>
      <c r="AZ81" s="1585"/>
      <c r="BA81" s="1585"/>
      <c r="BB81" s="1585"/>
      <c r="BC81" s="1232"/>
      <c r="BD81" s="808"/>
      <c r="BE81" s="808"/>
      <c r="BF81" s="808"/>
      <c r="BG81" s="808"/>
      <c r="BH81" s="808"/>
      <c r="BI81" s="780"/>
      <c r="BJ81" s="2725"/>
      <c r="BK81" s="2038"/>
      <c r="BL81" s="2038"/>
      <c r="BM81" s="2038"/>
      <c r="BN81" s="2038"/>
      <c r="BO81" s="2038"/>
      <c r="BP81" s="2038"/>
      <c r="BQ81" s="2038"/>
      <c r="BR81" s="2038"/>
      <c r="BS81" s="2038"/>
      <c r="BT81" s="2038"/>
      <c r="BU81" s="2038"/>
      <c r="BV81" s="2038"/>
    </row>
    <row r="82" spans="1:74" ht="14.25" customHeight="1" thickBot="1">
      <c r="A82" s="394"/>
      <c r="B82" s="5843" t="s">
        <v>756</v>
      </c>
      <c r="C82" s="3262"/>
      <c r="D82" s="3262"/>
      <c r="E82" s="3262"/>
      <c r="F82" s="4179"/>
      <c r="G82" s="4200" t="s">
        <v>640</v>
      </c>
      <c r="H82" s="4198" t="s">
        <v>757</v>
      </c>
      <c r="I82" s="4195"/>
      <c r="J82" s="4195"/>
      <c r="K82" s="4195"/>
      <c r="L82" s="4195"/>
      <c r="M82" s="4195"/>
      <c r="N82" s="4195"/>
      <c r="O82" s="4195"/>
      <c r="P82" s="4195"/>
      <c r="Q82" s="4195"/>
      <c r="R82" s="4195"/>
      <c r="S82" s="4195"/>
      <c r="T82" s="4195"/>
      <c r="U82" s="4195"/>
      <c r="V82" s="4195"/>
      <c r="W82" s="4195"/>
      <c r="X82" s="4190" t="s">
        <v>740</v>
      </c>
      <c r="Y82" s="4224" t="s">
        <v>758</v>
      </c>
      <c r="Z82" s="6382">
        <f>IF(AN82&lt;&gt;"",ROUND(AN82,0),W2_Tax_Withheld)</f>
        <v>0</v>
      </c>
      <c r="AA82" s="6383"/>
      <c r="AB82" s="6384"/>
      <c r="AC82" s="4223"/>
      <c r="AD82" s="3690"/>
      <c r="AE82" s="3532"/>
      <c r="AF82" s="3532"/>
      <c r="AG82" s="3532"/>
      <c r="AH82" s="3532"/>
      <c r="AI82" s="234"/>
      <c r="AJ82" s="2605"/>
      <c r="AK82" s="5838"/>
      <c r="AL82" s="5838"/>
      <c r="AM82" s="3263"/>
      <c r="AN82" s="2266"/>
      <c r="AO82" s="3427"/>
      <c r="AP82" s="808"/>
      <c r="AQ82" s="808"/>
      <c r="AR82" s="808"/>
      <c r="AS82" s="808"/>
      <c r="AT82" s="808"/>
      <c r="AU82" s="808"/>
      <c r="AV82" s="808"/>
      <c r="AW82" s="808"/>
      <c r="AX82" s="808"/>
      <c r="AY82" s="892"/>
      <c r="AZ82" s="892"/>
      <c r="BA82" s="892"/>
      <c r="BB82" s="892"/>
      <c r="BC82" s="892"/>
      <c r="BD82" s="892"/>
      <c r="BE82" s="892"/>
      <c r="BF82" s="892"/>
      <c r="BG82" s="892"/>
      <c r="BH82" s="1009"/>
      <c r="BI82" s="780"/>
      <c r="BJ82" s="2725"/>
      <c r="BK82" s="2038"/>
      <c r="BL82" s="2038"/>
      <c r="BM82" s="2038"/>
      <c r="BN82" s="2038"/>
      <c r="BO82" s="2038"/>
      <c r="BP82" s="2038"/>
      <c r="BQ82" s="2038"/>
      <c r="BR82" s="2038"/>
      <c r="BS82" s="2038"/>
      <c r="BT82" s="2038"/>
      <c r="BU82" s="2038"/>
      <c r="BV82" s="2038"/>
    </row>
    <row r="83" spans="1:74" ht="14.25" customHeight="1">
      <c r="A83" s="394"/>
      <c r="B83" s="29"/>
      <c r="C83" s="2750"/>
      <c r="D83" s="29"/>
      <c r="E83" s="29"/>
      <c r="F83" s="4179"/>
      <c r="G83" s="4200" t="s">
        <v>644</v>
      </c>
      <c r="H83" s="4198" t="s">
        <v>759</v>
      </c>
      <c r="I83" s="4195"/>
      <c r="J83" s="4195"/>
      <c r="K83" s="4195"/>
      <c r="L83" s="4195"/>
      <c r="M83" s="4195"/>
      <c r="N83" s="4195"/>
      <c r="O83" s="4195"/>
      <c r="P83" s="4195"/>
      <c r="Q83" s="4195"/>
      <c r="R83" s="4195"/>
      <c r="S83" s="4195"/>
      <c r="T83" s="4195"/>
      <c r="U83" s="4195"/>
      <c r="V83" s="4195"/>
      <c r="W83" s="4195"/>
      <c r="X83" s="4190" t="s">
        <v>740</v>
      </c>
      <c r="Y83" s="4225" t="s">
        <v>760</v>
      </c>
      <c r="Z83" s="6382">
        <f>IF(AN83&lt;&gt;"",ROUND(AN83,0),SUM(F1099INT_FedTaxWH,F1099DIV_FedTaxWH,F1099G_FedTaxWH,IRA_FedTaxWH,PA_FedTaxWH,CONV_FedTaxWH,SS_FedTaxWH_You,SS_FedTaxWH_Spouse,ROUND(AK83,0)))</f>
        <v>0</v>
      </c>
      <c r="AA83" s="6383"/>
      <c r="AB83" s="6384"/>
      <c r="AC83" s="4223"/>
      <c r="AD83" s="3690"/>
      <c r="AE83" s="3532"/>
      <c r="AF83" s="3532"/>
      <c r="AG83" s="3532"/>
      <c r="AH83" s="3532"/>
      <c r="AI83" s="234"/>
      <c r="AJ83" s="2249"/>
      <c r="AK83" s="5766"/>
      <c r="AL83" s="5986"/>
      <c r="AM83" s="3914" t="s">
        <v>761</v>
      </c>
      <c r="AN83" s="2265"/>
      <c r="AO83" s="1598"/>
      <c r="AP83" s="808"/>
      <c r="AQ83" s="808"/>
      <c r="AR83" s="808"/>
      <c r="AS83" s="808"/>
      <c r="AT83" s="808"/>
      <c r="AU83" s="808"/>
      <c r="AV83" s="808"/>
      <c r="AW83" s="808"/>
      <c r="AX83" s="808"/>
      <c r="AY83" s="2362"/>
      <c r="AZ83" s="2363"/>
      <c r="BA83" s="2363"/>
      <c r="BB83" s="2364" t="s">
        <v>762</v>
      </c>
      <c r="BC83" s="2363"/>
      <c r="BD83" s="2363"/>
      <c r="BE83" s="2365"/>
      <c r="BF83" s="2363"/>
      <c r="BG83" s="3309">
        <v>1</v>
      </c>
      <c r="BH83" s="3310" t="s">
        <v>763</v>
      </c>
      <c r="BI83" s="780"/>
      <c r="BJ83" s="2725"/>
      <c r="BK83" s="2038"/>
      <c r="BL83" s="2038"/>
      <c r="BM83" s="2038"/>
      <c r="BN83" s="2038"/>
      <c r="BO83" s="2038"/>
      <c r="BP83" s="2038"/>
      <c r="BQ83" s="2038"/>
      <c r="BR83" s="2038"/>
      <c r="BS83" s="2038"/>
      <c r="BT83" s="2038"/>
      <c r="BU83" s="2038"/>
      <c r="BV83" s="2038"/>
    </row>
    <row r="84" spans="1:74" ht="14.25" customHeight="1">
      <c r="A84" s="394"/>
      <c r="B84" s="29"/>
      <c r="C84" s="3262"/>
      <c r="D84" s="3262"/>
      <c r="E84" s="3262"/>
      <c r="F84" s="4179"/>
      <c r="G84" s="4200" t="s">
        <v>648</v>
      </c>
      <c r="H84" s="4198" t="s">
        <v>764</v>
      </c>
      <c r="I84" s="4195"/>
      <c r="J84" s="4195"/>
      <c r="K84" s="4195"/>
      <c r="L84" s="4195"/>
      <c r="M84" s="4195"/>
      <c r="N84" s="4195"/>
      <c r="O84" s="4195"/>
      <c r="P84" s="4195"/>
      <c r="Q84" s="4195"/>
      <c r="R84" s="4195"/>
      <c r="S84" s="4195"/>
      <c r="T84" s="4195"/>
      <c r="U84" s="4195"/>
      <c r="V84" s="4195"/>
      <c r="W84" s="4195"/>
      <c r="X84" s="4190" t="s">
        <v>650</v>
      </c>
      <c r="Y84" s="4225" t="s">
        <v>765</v>
      </c>
      <c r="Z84" s="6340">
        <f>IF(AN84&lt;&gt;"",ROUND(AN84,0),SUM(F8959_WH,ROUND(AK84,0)))</f>
        <v>0</v>
      </c>
      <c r="AA84" s="6341"/>
      <c r="AB84" s="6342"/>
      <c r="AC84" s="4223"/>
      <c r="AD84" s="3690"/>
      <c r="AE84" s="3532"/>
      <c r="AF84" s="3532"/>
      <c r="AG84" s="3532"/>
      <c r="AH84" s="3532"/>
      <c r="AI84" s="234"/>
      <c r="AJ84" s="2249"/>
      <c r="AK84" s="5766"/>
      <c r="AL84" s="5986"/>
      <c r="AM84" s="3914" t="s">
        <v>766</v>
      </c>
      <c r="AN84" s="2265"/>
      <c r="AO84" s="1598"/>
      <c r="AP84" s="1590"/>
      <c r="AQ84" s="1590"/>
      <c r="AR84" s="1590"/>
      <c r="AS84" s="1590"/>
      <c r="AT84" s="1590"/>
      <c r="AU84" s="1590"/>
      <c r="AV84" s="808"/>
      <c r="AW84" s="808"/>
      <c r="AX84" s="808"/>
      <c r="AY84" s="1586"/>
      <c r="AZ84" s="1587"/>
      <c r="BA84" s="1587"/>
      <c r="BB84" s="1587"/>
      <c r="BC84" s="1587"/>
      <c r="BD84" s="1587"/>
      <c r="BE84" s="1588"/>
      <c r="BF84" s="1587"/>
      <c r="BG84" s="1588">
        <v>2</v>
      </c>
      <c r="BH84" s="1589" t="s">
        <v>767</v>
      </c>
      <c r="BI84" s="780"/>
      <c r="BJ84" s="2725"/>
      <c r="BK84" s="2038"/>
      <c r="BL84" s="2038"/>
      <c r="BM84" s="2038"/>
      <c r="BN84" s="2038"/>
      <c r="BO84" s="2038"/>
      <c r="BP84" s="2038"/>
      <c r="BQ84" s="2038"/>
      <c r="BR84" s="2038"/>
      <c r="BS84" s="2038"/>
      <c r="BT84" s="2038"/>
      <c r="BU84" s="2038"/>
      <c r="BV84" s="2038"/>
    </row>
    <row r="85" spans="1:74" ht="14.25" customHeight="1">
      <c r="A85" s="394"/>
      <c r="B85" s="3710"/>
      <c r="C85" s="2750"/>
      <c r="D85" s="3262"/>
      <c r="E85" s="3262"/>
      <c r="F85" s="4179"/>
      <c r="G85" s="4200" t="s">
        <v>652</v>
      </c>
      <c r="H85" s="4198" t="s">
        <v>768</v>
      </c>
      <c r="I85" s="4195"/>
      <c r="J85" s="4195"/>
      <c r="K85" s="4195"/>
      <c r="L85" s="4195"/>
      <c r="M85" s="4195"/>
      <c r="N85" s="4195"/>
      <c r="O85" s="4195"/>
      <c r="P85" s="4195"/>
      <c r="Q85" s="4195"/>
      <c r="R85" s="4195"/>
      <c r="S85" s="4195"/>
      <c r="T85" s="4195"/>
      <c r="U85" s="4195"/>
      <c r="V85" s="4195"/>
      <c r="W85" s="4195"/>
      <c r="X85" s="4195"/>
      <c r="Y85" s="4195"/>
      <c r="Z85" s="4195"/>
      <c r="AA85" s="4195"/>
      <c r="AB85" s="4190" t="s">
        <v>769</v>
      </c>
      <c r="AC85" s="4227" t="s">
        <v>770</v>
      </c>
      <c r="AD85" s="6442">
        <f>SUM(W2_FedTaxWH,F1099_FedTaxWH,ROUND(Z84,0))</f>
        <v>0</v>
      </c>
      <c r="AE85" s="6443"/>
      <c r="AF85" s="6443"/>
      <c r="AG85" s="6443"/>
      <c r="AH85" s="6443"/>
      <c r="AI85" s="234"/>
      <c r="AJ85" s="2605"/>
      <c r="AK85" s="6623" t="str">
        <f>IF($AK$87&gt;0,"Form 8959, Line 24,","")</f>
        <v/>
      </c>
      <c r="AL85" s="6623"/>
      <c r="AM85" s="6624"/>
      <c r="AN85" s="261"/>
      <c r="AO85" s="1598"/>
      <c r="AP85" s="1590"/>
      <c r="AQ85" s="2556"/>
      <c r="AR85" s="1590"/>
      <c r="AS85" s="1590"/>
      <c r="AT85" s="1590"/>
      <c r="AU85" s="1590"/>
      <c r="AV85" s="808"/>
      <c r="AW85" s="808"/>
      <c r="AX85" s="808"/>
      <c r="AY85" s="1586"/>
      <c r="AZ85" s="1587"/>
      <c r="BA85" s="1587"/>
      <c r="BB85" s="1587"/>
      <c r="BC85" s="1587"/>
      <c r="BD85" s="1587"/>
      <c r="BE85" s="1588"/>
      <c r="BF85" s="1587"/>
      <c r="BG85" s="1588">
        <v>3</v>
      </c>
      <c r="BH85" s="1589" t="s">
        <v>771</v>
      </c>
      <c r="BI85" s="780"/>
      <c r="BJ85" s="2725"/>
      <c r="BK85" s="2038"/>
      <c r="BL85" s="2038"/>
      <c r="BM85" s="2038"/>
      <c r="BN85" s="2038"/>
      <c r="BO85" s="2038"/>
      <c r="BP85" s="2038"/>
      <c r="BQ85" s="2038"/>
      <c r="BR85" s="2038"/>
      <c r="BS85" s="2038"/>
      <c r="BT85" s="2038"/>
      <c r="BU85" s="2038"/>
      <c r="BV85" s="2038"/>
    </row>
    <row r="86" spans="1:74" ht="14.25" customHeight="1">
      <c r="A86" s="394"/>
      <c r="B86" s="6404" t="s">
        <v>772</v>
      </c>
      <c r="C86" s="6405"/>
      <c r="D86" s="2409"/>
      <c r="E86" s="29"/>
      <c r="F86" s="4179">
        <v>26</v>
      </c>
      <c r="G86" s="4180"/>
      <c r="H86" s="4198" t="str">
        <f>TaxYear&amp;" estimated tax payments and amount applied from "&amp;TaxYear-1&amp;" return"</f>
        <v>2023 estimated tax payments and amount applied from 2022 return</v>
      </c>
      <c r="I86" s="4195"/>
      <c r="J86" s="4180"/>
      <c r="K86" s="4180"/>
      <c r="L86" s="4180"/>
      <c r="M86" s="4180"/>
      <c r="N86" s="4180"/>
      <c r="O86" s="4180"/>
      <c r="P86" s="4180"/>
      <c r="Q86" s="4180"/>
      <c r="R86" s="4180"/>
      <c r="S86" s="4195"/>
      <c r="T86" s="4195"/>
      <c r="U86" s="4195"/>
      <c r="V86" s="4195"/>
      <c r="W86" s="4195"/>
      <c r="X86" s="4195"/>
      <c r="Y86" s="4195"/>
      <c r="Z86" s="4195"/>
      <c r="AA86" s="4195"/>
      <c r="AB86" s="4190" t="s">
        <v>752</v>
      </c>
      <c r="AC86" s="4227">
        <v>26</v>
      </c>
      <c r="AD86" s="6392"/>
      <c r="AE86" s="6393"/>
      <c r="AF86" s="6393"/>
      <c r="AG86" s="6393"/>
      <c r="AH86" s="6393"/>
      <c r="AI86" s="307"/>
      <c r="AJ86" s="437"/>
      <c r="AK86" s="5831" t="str">
        <f>IF($AK$87&gt;0,"&lt;&lt;&lt;     added "&amp;TEXT($AK$87,"$0")&amp;" to Line 25c.","")</f>
        <v/>
      </c>
      <c r="AL86" s="5863"/>
      <c r="AM86" s="5864"/>
      <c r="AN86" s="261"/>
      <c r="AO86" s="1598"/>
      <c r="AP86" s="808"/>
      <c r="AQ86" s="1823"/>
      <c r="AR86" s="1823"/>
      <c r="AS86" s="1823"/>
      <c r="AT86" s="1823"/>
      <c r="AU86" s="1823"/>
      <c r="AV86" s="808"/>
      <c r="AW86" s="808"/>
      <c r="AX86" s="1590"/>
      <c r="AY86" s="1586"/>
      <c r="AZ86" s="1587" t="e">
        <f>DATEVALUE(AZ88)</f>
        <v>#N/A</v>
      </c>
      <c r="BA86" s="1587"/>
      <c r="BB86" s="1587"/>
      <c r="BC86" s="1587"/>
      <c r="BD86" s="1587"/>
      <c r="BE86" s="1588"/>
      <c r="BF86" s="1587"/>
      <c r="BG86" s="1588">
        <v>4</v>
      </c>
      <c r="BH86" s="1589" t="s">
        <v>773</v>
      </c>
      <c r="BI86" s="780"/>
      <c r="BJ86" s="2725"/>
      <c r="BK86" s="2038"/>
      <c r="BL86" s="2038"/>
      <c r="BM86" s="2038"/>
      <c r="BN86" s="2038"/>
      <c r="BO86" s="2038"/>
      <c r="BP86" s="2038"/>
      <c r="BQ86" s="2038"/>
      <c r="BR86" s="2038"/>
      <c r="BS86" s="2038"/>
      <c r="BT86" s="2038"/>
      <c r="BU86" s="2038"/>
      <c r="BV86" s="2038"/>
    </row>
    <row r="87" spans="1:74" ht="14.25" customHeight="1">
      <c r="A87" s="394"/>
      <c r="B87" s="6406"/>
      <c r="C87" s="6407"/>
      <c r="D87" s="3090"/>
      <c r="E87" s="3090"/>
      <c r="F87" s="3261">
        <v>27</v>
      </c>
      <c r="G87" s="4178"/>
      <c r="H87" s="4194" t="s">
        <v>774</v>
      </c>
      <c r="I87" s="4195"/>
      <c r="J87" s="4180"/>
      <c r="K87" s="4180"/>
      <c r="L87" s="4180"/>
      <c r="M87" s="4180"/>
      <c r="N87" s="4180"/>
      <c r="O87" s="4180"/>
      <c r="P87" s="4180"/>
      <c r="Q87" s="4180"/>
      <c r="R87" s="4180"/>
      <c r="S87" s="4195"/>
      <c r="T87" s="4195"/>
      <c r="U87" s="4195"/>
      <c r="V87" s="4195"/>
      <c r="W87" s="4195"/>
      <c r="X87" s="4190" t="str">
        <f>IF(EIC_No,".   .   .   .   .   .   .   .   .   .   .   .   .   .   .   .   .  No. ",".   .   .   .   .   .   .   .   .   .   .   .   .   .   .   .   .   .")</f>
        <v>.   .   .   .   .   .   .   .   .   .   .   .   .   .   .   .   .   .</v>
      </c>
      <c r="Y87" s="4224" t="s">
        <v>775</v>
      </c>
      <c r="Z87" s="6382">
        <f>IF(AN87&lt;&gt;"",ROUND(AN87,0),EarnedIncomeCredit)</f>
        <v>0</v>
      </c>
      <c r="AA87" s="6383"/>
      <c r="AB87" s="6384"/>
      <c r="AC87" s="3267"/>
      <c r="AD87" s="6396"/>
      <c r="AE87" s="6461"/>
      <c r="AF87" s="6461"/>
      <c r="AG87" s="6461"/>
      <c r="AH87" s="6461"/>
      <c r="AI87" s="307"/>
      <c r="AJ87" s="2605"/>
      <c r="AK87" s="5841">
        <f>IF(ISERROR(F8959_WH),0,F8959_WH)</f>
        <v>0</v>
      </c>
      <c r="AL87" s="2170"/>
      <c r="AM87" s="2170"/>
      <c r="AN87" s="2266"/>
      <c r="AO87" s="1598"/>
      <c r="AP87" s="808"/>
      <c r="AQ87" s="1823"/>
      <c r="AR87" s="1823"/>
      <c r="AS87" s="1823"/>
      <c r="AT87" s="1823"/>
      <c r="AU87" s="1823"/>
      <c r="AV87" s="1590"/>
      <c r="AW87" s="1590"/>
      <c r="AX87" s="1590"/>
      <c r="AY87" s="1586" t="b">
        <f>IF(OR(YourBirthMonth="",YourBirthDay="",YourBirthYear=""),TRUE,FALSE)</f>
        <v>1</v>
      </c>
      <c r="AZ87" s="3306" t="e">
        <f>DATEVALUE(AZ88)</f>
        <v>#N/A</v>
      </c>
      <c r="BA87" s="1587" t="s">
        <v>776</v>
      </c>
      <c r="BB87" s="1587"/>
      <c r="BC87" s="1591"/>
      <c r="BD87" s="1591" t="s">
        <v>777</v>
      </c>
      <c r="BE87" s="1588" t="e">
        <f>IF(AND(YourBirthMonth=2,YourBirthDay=29),YourBirthDay-1&amp;"-"&amp;LOOKUP(YourBirthMonth,$BG$83:$BG$95,$BH$83:$BH$95)&amp;"-"&amp;(YourBirthYear+70),YourBirthDay&amp;"-"&amp;LOOKUP(YourBirthMonth,$BG$83:$BG$95,$BH$83:$BH$95)&amp;"-"&amp;(YourBirthYear+70))</f>
        <v>#N/A</v>
      </c>
      <c r="BF87" s="1587"/>
      <c r="BG87" s="1588">
        <v>5</v>
      </c>
      <c r="BH87" s="1589" t="s">
        <v>778</v>
      </c>
      <c r="BI87" s="780"/>
      <c r="BJ87" s="2725"/>
      <c r="BK87" s="2038"/>
      <c r="BL87" s="2038"/>
      <c r="BM87" s="2038"/>
      <c r="BN87" s="2038"/>
      <c r="BO87" s="2038"/>
      <c r="BP87" s="2038"/>
      <c r="BQ87" s="2038"/>
      <c r="BR87" s="2038"/>
      <c r="BS87" s="2038"/>
      <c r="BT87" s="2038"/>
      <c r="BU87" s="2038"/>
      <c r="BV87" s="2038"/>
    </row>
    <row r="88" spans="1:74" ht="14.25" customHeight="1" thickBot="1">
      <c r="A88" s="394"/>
      <c r="B88" s="6408"/>
      <c r="C88" s="6409"/>
      <c r="D88" s="264"/>
      <c r="E88" s="29"/>
      <c r="F88" s="4179">
        <v>28</v>
      </c>
      <c r="G88" s="4180"/>
      <c r="H88" s="4198" t="s">
        <v>779</v>
      </c>
      <c r="I88" s="4195"/>
      <c r="J88" s="4180"/>
      <c r="K88" s="4180"/>
      <c r="L88" s="4180"/>
      <c r="M88" s="4180"/>
      <c r="N88" s="4180"/>
      <c r="O88" s="4180"/>
      <c r="P88" s="4180"/>
      <c r="Q88" s="4180"/>
      <c r="R88" s="4180"/>
      <c r="S88" s="4195"/>
      <c r="T88" s="4195"/>
      <c r="U88" s="4195"/>
      <c r="V88" s="4195"/>
      <c r="W88" s="4195"/>
      <c r="X88" s="4190" t="s">
        <v>752</v>
      </c>
      <c r="Y88" s="4225">
        <v>28</v>
      </c>
      <c r="Z88" s="6382">
        <f>IF(AN88&lt;&gt;"",ROUND(AN88,0),AdditionalCTC)</f>
        <v>0</v>
      </c>
      <c r="AA88" s="6383"/>
      <c r="AB88" s="6384"/>
      <c r="AC88" s="3267"/>
      <c r="AD88" s="6396" t="str">
        <f>IF(AND($AJ$87="",$AM$90),"'Line 27 (EIC)'","")</f>
        <v/>
      </c>
      <c r="AE88" s="6397"/>
      <c r="AF88" s="6397"/>
      <c r="AG88" s="6397"/>
      <c r="AH88" s="6397"/>
      <c r="AI88" s="307"/>
      <c r="AJ88" s="437"/>
      <c r="AK88" s="3708"/>
      <c r="AL88" s="3263"/>
      <c r="AM88" s="3263"/>
      <c r="AN88" s="2266"/>
      <c r="AO88" s="1598"/>
      <c r="AP88" s="808"/>
      <c r="AQ88" s="1823"/>
      <c r="AR88" s="1823"/>
      <c r="AS88" s="1823"/>
      <c r="AT88" s="1823"/>
      <c r="AU88" s="1823"/>
      <c r="AV88" s="1376"/>
      <c r="AW88" s="1376"/>
      <c r="AX88" s="808"/>
      <c r="AY88" s="1592" t="e">
        <f>LOOKUP(YourBirthMonth,$BG$83:$BG$95,$BH$83:$BH$95)</f>
        <v>#N/A</v>
      </c>
      <c r="AZ88" s="1588" t="e">
        <f>YourBirthDay&amp;"-"&amp;AY88&amp;"-"&amp;YourBirthYear</f>
        <v>#N/A</v>
      </c>
      <c r="BA88" s="3151" t="b">
        <f>IF(OR(YourBirthMonth="",YourBirthDay="",YourBirthYear=""),TRUE,IF(ISERROR(AZ87),TRUE,FALSE))</f>
        <v>1</v>
      </c>
      <c r="BB88" s="1587" t="b">
        <f>IF(AND(YourBirthMonth="",YourBirthDay="",YourBirthYear=""),FALSE,IF(OR(BadBirthdate_Yours,AND(YourAge&gt;120,AND(YourBirthMonth&lt;&gt;"",YourBirthDay&lt;&gt;"",YourBirthYear&lt;&gt;""))),TRUE,FALSE))</f>
        <v>0</v>
      </c>
      <c r="BC88" s="1587"/>
      <c r="BD88" s="1593"/>
      <c r="BE88" s="1588"/>
      <c r="BF88" s="1587">
        <f>YourBirthMonth+6</f>
        <v>6</v>
      </c>
      <c r="BG88" s="1588">
        <v>6</v>
      </c>
      <c r="BH88" s="1589" t="s">
        <v>780</v>
      </c>
      <c r="BI88" s="780"/>
      <c r="BJ88" s="2725"/>
      <c r="BK88" s="2038"/>
      <c r="BL88" s="2038"/>
      <c r="BM88" s="2038"/>
      <c r="BN88" s="2038"/>
      <c r="BO88" s="2038"/>
      <c r="BP88" s="2038"/>
      <c r="BQ88" s="2038"/>
      <c r="BR88" s="2038"/>
      <c r="BS88" s="2038"/>
      <c r="BT88" s="2038"/>
      <c r="BU88" s="2038"/>
      <c r="BV88" s="2038"/>
    </row>
    <row r="89" spans="1:74" ht="14.25" customHeight="1" thickBot="1">
      <c r="A89" s="394"/>
      <c r="B89" s="3866"/>
      <c r="C89" s="3866"/>
      <c r="D89" s="29"/>
      <c r="E89" s="29"/>
      <c r="F89" s="4179">
        <v>29</v>
      </c>
      <c r="G89" s="4180"/>
      <c r="H89" s="4198" t="s">
        <v>781</v>
      </c>
      <c r="I89" s="4195"/>
      <c r="J89" s="4180"/>
      <c r="K89" s="4180"/>
      <c r="L89" s="4180"/>
      <c r="M89" s="4180"/>
      <c r="N89" s="4180"/>
      <c r="O89" s="4180"/>
      <c r="P89" s="4180"/>
      <c r="Q89" s="4180"/>
      <c r="R89" s="4180"/>
      <c r="S89" s="4195"/>
      <c r="T89" s="4195"/>
      <c r="U89" s="4195"/>
      <c r="V89" s="4195"/>
      <c r="W89" s="4195"/>
      <c r="X89" s="4190" t="s">
        <v>782</v>
      </c>
      <c r="Y89" s="4225">
        <v>29</v>
      </c>
      <c r="Z89" s="6340" t="str">
        <f>IF(AN89&lt;&gt;"",ROUND(AN89,0),AO_Credit)</f>
        <v/>
      </c>
      <c r="AA89" s="6341"/>
      <c r="AB89" s="6342"/>
      <c r="AC89" s="3267"/>
      <c r="AD89" s="6396" t="str">
        <f>IF(AND($AJ$87="",$AM$90),"for possible earned","")</f>
        <v/>
      </c>
      <c r="AE89" s="6397"/>
      <c r="AF89" s="6397"/>
      <c r="AG89" s="6397"/>
      <c r="AH89" s="6397"/>
      <c r="AI89" s="307"/>
      <c r="AJ89" s="437"/>
      <c r="AK89" s="3708"/>
      <c r="AL89" s="6"/>
      <c r="AM89" s="6"/>
      <c r="AN89" s="2266"/>
      <c r="AO89" s="1598"/>
      <c r="AP89" s="808"/>
      <c r="AQ89" s="1823"/>
      <c r="AR89" s="1823"/>
      <c r="AS89" s="1823"/>
      <c r="AT89" s="1823"/>
      <c r="AU89" s="1823"/>
      <c r="AV89" s="808"/>
      <c r="AW89" s="808"/>
      <c r="AX89" s="1590"/>
      <c r="AY89" s="1586"/>
      <c r="AZ89" s="1587" t="e">
        <f>IF(BB88,"",DATEVALUE(AZ88))</f>
        <v>#N/A</v>
      </c>
      <c r="BA89" s="1587"/>
      <c r="BB89" s="1587"/>
      <c r="BC89" s="1591" t="str">
        <f>"YOU are 70.5 on "&amp;TEXT(EndOfTaxYear,"dd-mmm-yyyy")&amp;" -&gt;"</f>
        <v>YOU are 70.5 on 31-Dec-2023 -&gt;</v>
      </c>
      <c r="BD89" s="1594" t="b">
        <f>IF(BadBirthdate_Yours,FALSE,IF(DATEVALUE(BE87)&lt;=DATEVALUE(BD92),TRUE,FALSE))</f>
        <v>0</v>
      </c>
      <c r="BE89" s="1588"/>
      <c r="BF89" s="1587">
        <f>IF(BF88&lt;=12,YourBirthYear+70,YourBirthYear+71)</f>
        <v>70</v>
      </c>
      <c r="BG89" s="1588">
        <v>7</v>
      </c>
      <c r="BH89" s="1589" t="s">
        <v>783</v>
      </c>
      <c r="BI89" s="780"/>
      <c r="BJ89" s="2725"/>
      <c r="BK89" s="2038"/>
      <c r="BL89" s="2038"/>
      <c r="BM89" s="2038"/>
      <c r="BN89" s="2038"/>
      <c r="BO89" s="2038"/>
      <c r="BP89" s="2038"/>
      <c r="BQ89" s="2038"/>
      <c r="BR89" s="2038"/>
      <c r="BS89" s="2038"/>
      <c r="BT89" s="2038"/>
      <c r="BU89" s="2038"/>
      <c r="BV89" s="2038"/>
    </row>
    <row r="90" spans="1:74" ht="14.25" customHeight="1" thickBot="1">
      <c r="A90" s="394"/>
      <c r="B90" s="29"/>
      <c r="C90" s="2750"/>
      <c r="D90" s="29"/>
      <c r="E90" s="29"/>
      <c r="F90" s="4179">
        <v>30</v>
      </c>
      <c r="G90" s="4180"/>
      <c r="H90" s="4198" t="s">
        <v>784</v>
      </c>
      <c r="I90" s="4195"/>
      <c r="J90" s="4180"/>
      <c r="K90" s="4180"/>
      <c r="L90" s="4180"/>
      <c r="M90" s="4180"/>
      <c r="N90" s="4180"/>
      <c r="O90" s="4180"/>
      <c r="P90" s="4180"/>
      <c r="Q90" s="4180"/>
      <c r="R90" s="4180"/>
      <c r="S90" s="4195"/>
      <c r="T90" s="4195"/>
      <c r="U90" s="4195"/>
      <c r="V90" s="4195"/>
      <c r="W90" s="4195"/>
      <c r="X90" s="4190" t="s">
        <v>714</v>
      </c>
      <c r="Y90" s="4225">
        <v>30</v>
      </c>
      <c r="Z90" s="6462"/>
      <c r="AA90" s="6463"/>
      <c r="AB90" s="6464"/>
      <c r="AC90" s="3267"/>
      <c r="AD90" s="6396" t="str">
        <f>IF(AND($AJ$87="",$AM$90),"income tax credit.","")</f>
        <v/>
      </c>
      <c r="AE90" s="6397"/>
      <c r="AF90" s="6397"/>
      <c r="AG90" s="6397"/>
      <c r="AH90" s="6397"/>
      <c r="AI90" s="307"/>
      <c r="AJ90" s="437"/>
      <c r="AK90" s="4159"/>
      <c r="AL90" s="5358"/>
      <c r="AM90" s="3333" t="b">
        <f>AND(EIC_trigger,NOT(EIC_Started),NumFileStatusBoxes=1)</f>
        <v>0</v>
      </c>
      <c r="AN90" s="3270"/>
      <c r="AO90" s="1598"/>
      <c r="AP90" s="808"/>
      <c r="AQ90" s="1823"/>
      <c r="AR90" s="808"/>
      <c r="AS90" s="808"/>
      <c r="AT90" s="808"/>
      <c r="AU90" s="808"/>
      <c r="AV90" s="1590"/>
      <c r="AW90" s="1590"/>
      <c r="AX90" s="1590"/>
      <c r="AY90" s="1586"/>
      <c r="AZ90" s="1587" t="e">
        <f>ROUNDDOWN((EndOfTaxYear-AZ89)/365.25,1)</f>
        <v>#N/A</v>
      </c>
      <c r="BA90" s="1587"/>
      <c r="BB90" s="1587"/>
      <c r="BC90" s="1591" t="str">
        <f>"YOU are 65 on "&amp;TEXT(EndOfTaxYear,"dd-mmm-yyyy")&amp;" -&gt;"</f>
        <v>YOU are 65 on 31-Dec-2023 -&gt;</v>
      </c>
      <c r="BD90" s="1594" t="b">
        <f>IF(BadBirthdate_Yours,FALSE,YourAge&gt;=65)</f>
        <v>0</v>
      </c>
      <c r="BE90" s="1588"/>
      <c r="BF90" s="1587"/>
      <c r="BG90" s="1588">
        <v>8</v>
      </c>
      <c r="BH90" s="1589" t="s">
        <v>785</v>
      </c>
      <c r="BI90" s="780"/>
      <c r="BJ90" s="2725"/>
      <c r="BK90" s="2038"/>
      <c r="BL90" s="2038"/>
      <c r="BM90" s="2038"/>
      <c r="BN90" s="2038"/>
      <c r="BO90" s="2038"/>
      <c r="BP90" s="2038"/>
      <c r="BQ90" s="2038"/>
      <c r="BR90" s="2038"/>
      <c r="BS90" s="2038"/>
      <c r="BT90" s="2038"/>
      <c r="BU90" s="2038"/>
      <c r="BV90" s="2038"/>
    </row>
    <row r="91" spans="1:74" ht="14.25" customHeight="1" thickBot="1">
      <c r="A91" s="394"/>
      <c r="B91" s="29"/>
      <c r="C91" s="2750"/>
      <c r="D91" s="29"/>
      <c r="E91" s="29"/>
      <c r="F91" s="4179">
        <v>31</v>
      </c>
      <c r="G91" s="4180"/>
      <c r="H91" s="4198" t="s">
        <v>786</v>
      </c>
      <c r="I91" s="4195"/>
      <c r="J91" s="4180"/>
      <c r="K91" s="4180"/>
      <c r="L91" s="4180"/>
      <c r="M91" s="4180"/>
      <c r="N91" s="4180"/>
      <c r="O91" s="4180"/>
      <c r="P91" s="4180"/>
      <c r="Q91" s="4180"/>
      <c r="R91" s="4180"/>
      <c r="S91" s="4195"/>
      <c r="T91" s="4195"/>
      <c r="U91" s="4195"/>
      <c r="V91" s="4195"/>
      <c r="W91" s="4195"/>
      <c r="X91" s="4190" t="s">
        <v>650</v>
      </c>
      <c r="Y91" s="4225">
        <v>31</v>
      </c>
      <c r="Z91" s="6340">
        <f>IF(AN91&lt;&gt;"",ROUND(AN91,0),OPRC)</f>
        <v>0</v>
      </c>
      <c r="AA91" s="6341"/>
      <c r="AB91" s="6342"/>
      <c r="AC91" s="3260"/>
      <c r="AD91" s="6396"/>
      <c r="AE91" s="6461"/>
      <c r="AF91" s="6461"/>
      <c r="AG91" s="6461"/>
      <c r="AH91" s="6461"/>
      <c r="AI91" s="307"/>
      <c r="AJ91" s="437"/>
      <c r="AK91" s="2420"/>
      <c r="AL91" s="808"/>
      <c r="AM91" s="808"/>
      <c r="AN91" s="2266"/>
      <c r="AO91" s="1598"/>
      <c r="AP91" s="808"/>
      <c r="AQ91" s="1823"/>
      <c r="AR91" s="1590"/>
      <c r="AS91" s="1590"/>
      <c r="AT91" s="1590"/>
      <c r="AU91" s="1590"/>
      <c r="AV91" s="1590"/>
      <c r="AW91" s="1590"/>
      <c r="AX91" s="1234"/>
      <c r="AY91" s="1586"/>
      <c r="AZ91" s="1587" t="str">
        <f>IF(YourBirthYear="","?",IF(AND(YourBirthMonth=1,YourBirthDay=1),TaxYear-YourBirthYear+1,TaxYear-YourBirthYear))</f>
        <v>?</v>
      </c>
      <c r="BA91" s="1587"/>
      <c r="BB91" s="1587"/>
      <c r="BC91" s="1591" t="str">
        <f>"YOU are born before "&amp;TEXT(BF91,"dd-mmm-yyyy")&amp;" -&gt;"</f>
        <v>YOU are born before 02-Jan-1958 -&gt;</v>
      </c>
      <c r="BD91" s="1594" t="e">
        <f>AZ87&lt;$BF$91</f>
        <v>#N/A</v>
      </c>
      <c r="BE91" s="3308" t="e">
        <f>(YEAR($BF$91)-YEAR(AZ88))</f>
        <v>#N/A</v>
      </c>
      <c r="BF91" s="3307">
        <f>DATEVALUE("2-JAN-"&amp;TaxYear-65)</f>
        <v>21187</v>
      </c>
      <c r="BG91" s="1588">
        <v>9</v>
      </c>
      <c r="BH91" s="1589" t="s">
        <v>787</v>
      </c>
      <c r="BI91" s="780"/>
      <c r="BJ91" s="2725"/>
      <c r="BK91" s="2038"/>
      <c r="BL91" s="2038"/>
      <c r="BM91" s="2038"/>
      <c r="BN91" s="2038"/>
      <c r="BO91" s="2038"/>
      <c r="BP91" s="2038"/>
      <c r="BQ91" s="2038"/>
      <c r="BR91" s="2038"/>
      <c r="BS91" s="2038"/>
      <c r="BT91" s="2038"/>
      <c r="BU91" s="2038"/>
      <c r="BV91" s="2038"/>
    </row>
    <row r="92" spans="1:74" ht="14.25" customHeight="1">
      <c r="A92" s="394"/>
      <c r="B92" s="29"/>
      <c r="C92" s="2750"/>
      <c r="D92" s="29"/>
      <c r="E92" s="29"/>
      <c r="F92" s="4179">
        <v>32</v>
      </c>
      <c r="G92" s="4180"/>
      <c r="H92" s="4198" t="s">
        <v>788</v>
      </c>
      <c r="I92" s="4195"/>
      <c r="J92" s="4180"/>
      <c r="K92" s="4180"/>
      <c r="L92" s="4180"/>
      <c r="M92" s="4180"/>
      <c r="N92" s="4180"/>
      <c r="O92" s="4180"/>
      <c r="P92" s="4180"/>
      <c r="Q92" s="4180"/>
      <c r="R92" s="4180"/>
      <c r="S92" s="4195"/>
      <c r="T92" s="4195"/>
      <c r="U92" s="4195"/>
      <c r="V92" s="4195"/>
      <c r="W92" s="4195"/>
      <c r="X92" s="4195"/>
      <c r="Y92" s="4195"/>
      <c r="Z92" s="4195"/>
      <c r="AA92" s="4195"/>
      <c r="AB92" s="4190" t="s">
        <v>789</v>
      </c>
      <c r="AC92" s="4191">
        <v>32</v>
      </c>
      <c r="AD92" s="6351">
        <f>SUM(EIC,Z88,Z89,Z91)</f>
        <v>0</v>
      </c>
      <c r="AE92" s="6587"/>
      <c r="AF92" s="6587"/>
      <c r="AG92" s="6587"/>
      <c r="AH92" s="6587"/>
      <c r="AI92" s="307"/>
      <c r="AJ92" s="437"/>
      <c r="AK92" s="3457" t="s">
        <v>790</v>
      </c>
      <c r="AL92" s="3459"/>
      <c r="AM92" s="3460"/>
      <c r="AN92" s="3270"/>
      <c r="AO92" s="1598"/>
      <c r="AP92" s="808"/>
      <c r="AQ92" s="1823"/>
      <c r="AR92" s="808"/>
      <c r="AS92" s="808"/>
      <c r="AT92" s="808"/>
      <c r="AU92" s="808"/>
      <c r="AV92" s="1234"/>
      <c r="AW92" s="1234"/>
      <c r="AX92" s="808"/>
      <c r="AY92" s="3120"/>
      <c r="AZ92" s="1587"/>
      <c r="BA92" s="1587"/>
      <c r="BB92" s="1587"/>
      <c r="BC92" s="1591" t="s">
        <v>791</v>
      </c>
      <c r="BD92" s="1587" t="str">
        <f>"30-Jun-"&amp;TaxYear</f>
        <v>30-Jun-2023</v>
      </c>
      <c r="BE92" s="1588"/>
      <c r="BF92" s="1587"/>
      <c r="BG92" s="1588">
        <v>10</v>
      </c>
      <c r="BH92" s="1589" t="s">
        <v>792</v>
      </c>
      <c r="BI92" s="780"/>
      <c r="BJ92" s="2725"/>
      <c r="BK92" s="2038"/>
      <c r="BL92" s="2038"/>
      <c r="BM92" s="2038"/>
      <c r="BN92" s="2038"/>
      <c r="BO92" s="2038"/>
      <c r="BP92" s="2038"/>
      <c r="BQ92" s="2038"/>
      <c r="BR92" s="2038"/>
      <c r="BS92" s="2038"/>
      <c r="BT92" s="2038"/>
      <c r="BU92" s="2038"/>
      <c r="BV92" s="2038"/>
    </row>
    <row r="93" spans="1:74" ht="14.25" customHeight="1">
      <c r="A93" s="394"/>
      <c r="B93" s="31"/>
      <c r="C93" s="31"/>
      <c r="D93" s="31"/>
      <c r="E93" s="31"/>
      <c r="F93" s="4252">
        <v>33</v>
      </c>
      <c r="G93" s="4253"/>
      <c r="H93" s="4254" t="s">
        <v>793</v>
      </c>
      <c r="I93" s="4255"/>
      <c r="J93" s="4255"/>
      <c r="K93" s="4255"/>
      <c r="L93" s="4255"/>
      <c r="M93" s="4255"/>
      <c r="N93" s="4255"/>
      <c r="O93" s="4255"/>
      <c r="P93" s="4255"/>
      <c r="Q93" s="4255"/>
      <c r="R93" s="4255"/>
      <c r="S93" s="4255"/>
      <c r="T93" s="4255"/>
      <c r="U93" s="4255"/>
      <c r="V93" s="4255"/>
      <c r="W93" s="4255"/>
      <c r="X93" s="4255"/>
      <c r="Y93" s="4255"/>
      <c r="Z93" s="4255"/>
      <c r="AA93" s="4255"/>
      <c r="AB93" s="4256" t="s">
        <v>642</v>
      </c>
      <c r="AC93" s="4191">
        <v>33</v>
      </c>
      <c r="AD93" s="6442">
        <f>IF(AN93&lt;&gt;"",ROUND(AN93,0),SUM(AD85,AD86,AD92))</f>
        <v>0</v>
      </c>
      <c r="AE93" s="6443"/>
      <c r="AF93" s="6443"/>
      <c r="AG93" s="6443"/>
      <c r="AH93" s="6443"/>
      <c r="AI93" s="307"/>
      <c r="AJ93" s="437"/>
      <c r="AK93" s="3457"/>
      <c r="AL93" s="3459"/>
      <c r="AM93" s="3459"/>
      <c r="AN93" s="2266"/>
      <c r="AO93" s="1598"/>
      <c r="AP93" s="808"/>
      <c r="AQ93" s="1823"/>
      <c r="AR93" s="808"/>
      <c r="AS93" s="808"/>
      <c r="AT93" s="808"/>
      <c r="AU93" s="808"/>
      <c r="AV93" s="808"/>
      <c r="AW93" s="808"/>
      <c r="AX93" s="1376"/>
      <c r="AY93" s="3952" t="s">
        <v>794</v>
      </c>
      <c r="AZ93" s="1587"/>
      <c r="BA93" s="3307">
        <f>DATEVALUE("2-JAN-"&amp;(TaxYear-23))</f>
        <v>36527</v>
      </c>
      <c r="BB93" s="1587" t="e">
        <f>$AZ$87&lt;BA93</f>
        <v>#N/A</v>
      </c>
      <c r="BC93" s="1587"/>
      <c r="BD93" s="1587"/>
      <c r="BE93" s="1588"/>
      <c r="BF93" s="1587"/>
      <c r="BG93" s="1588">
        <v>11</v>
      </c>
      <c r="BH93" s="1589" t="s">
        <v>795</v>
      </c>
      <c r="BI93" s="780"/>
      <c r="BJ93" s="2725"/>
      <c r="BK93" s="2038"/>
      <c r="BL93" s="2038"/>
      <c r="BM93" s="2038"/>
      <c r="BN93" s="2038"/>
      <c r="BO93" s="2038"/>
      <c r="BP93" s="2038"/>
      <c r="BQ93" s="2038"/>
      <c r="BR93" s="2038"/>
      <c r="BS93" s="2038"/>
      <c r="BT93" s="2038"/>
      <c r="BU93" s="2038"/>
      <c r="BV93" s="2038"/>
    </row>
    <row r="94" spans="1:74" ht="14.25" customHeight="1">
      <c r="A94" s="394"/>
      <c r="B94" s="29"/>
      <c r="C94" s="29"/>
      <c r="D94" s="29"/>
      <c r="E94" s="29"/>
      <c r="F94" s="4179">
        <v>34</v>
      </c>
      <c r="G94" s="4180"/>
      <c r="H94" s="4198" t="s">
        <v>796</v>
      </c>
      <c r="I94" s="4195"/>
      <c r="J94" s="4195"/>
      <c r="K94" s="4195"/>
      <c r="L94" s="4195"/>
      <c r="M94" s="4195"/>
      <c r="N94" s="4195"/>
      <c r="O94" s="4195"/>
      <c r="P94" s="4195"/>
      <c r="Q94" s="4195"/>
      <c r="R94" s="4195"/>
      <c r="S94" s="4195"/>
      <c r="T94" s="4195"/>
      <c r="U94" s="4195"/>
      <c r="V94" s="4195"/>
      <c r="W94" s="4195"/>
      <c r="X94" s="4195"/>
      <c r="Y94" s="4195"/>
      <c r="Z94" s="4195"/>
      <c r="AA94" s="4195"/>
      <c r="AB94" s="4190" t="s">
        <v>789</v>
      </c>
      <c r="AC94" s="4191">
        <f>F94</f>
        <v>34</v>
      </c>
      <c r="AD94" s="6442">
        <f>IF(AN94&lt;&gt;"",ROUND(AN94,0),IF(AD93&gt;Tot_Tax,SUM(AD93,-Tot_Tax),0))</f>
        <v>0</v>
      </c>
      <c r="AE94" s="6443"/>
      <c r="AF94" s="6443"/>
      <c r="AG94" s="6443"/>
      <c r="AH94" s="6443"/>
      <c r="AI94" s="307"/>
      <c r="AJ94" s="437"/>
      <c r="AK94" s="2408"/>
      <c r="AL94" s="2505"/>
      <c r="AM94" s="2505"/>
      <c r="AN94" s="2266"/>
      <c r="AO94" s="1598"/>
      <c r="AP94" s="808"/>
      <c r="AQ94" s="1823"/>
      <c r="AR94" s="808"/>
      <c r="AS94" s="808"/>
      <c r="AT94" s="808"/>
      <c r="AU94" s="808"/>
      <c r="AV94" s="1376"/>
      <c r="AW94" s="1376"/>
      <c r="AX94" s="1590"/>
      <c r="AY94" s="3952" t="s">
        <v>797</v>
      </c>
      <c r="AZ94" s="1587"/>
      <c r="BA94" s="3307">
        <f>DATEVALUE("2-JAN-"&amp;(TaxYear-24))</f>
        <v>36162</v>
      </c>
      <c r="BB94" s="1587" t="e">
        <f>$AZ$87&lt;BA94</f>
        <v>#N/A</v>
      </c>
      <c r="BC94" s="1587"/>
      <c r="BD94" s="1587"/>
      <c r="BE94" s="1588"/>
      <c r="BF94" s="1587"/>
      <c r="BG94" s="1596">
        <v>12</v>
      </c>
      <c r="BH94" s="1597" t="s">
        <v>798</v>
      </c>
      <c r="BI94" s="780"/>
      <c r="BJ94" s="2725"/>
      <c r="BK94" s="2038"/>
      <c r="BL94" s="2038"/>
      <c r="BM94" s="2038"/>
      <c r="BN94" s="2038"/>
      <c r="BO94" s="2038"/>
      <c r="BP94" s="2038"/>
      <c r="BQ94" s="2038"/>
      <c r="BR94" s="2038"/>
      <c r="BS94" s="2038"/>
      <c r="BT94" s="2038"/>
      <c r="BU94" s="2038"/>
      <c r="BV94" s="2038"/>
    </row>
    <row r="95" spans="1:74" ht="14.25" customHeight="1">
      <c r="A95" s="394"/>
      <c r="B95" s="5843" t="s">
        <v>799</v>
      </c>
      <c r="C95" s="29"/>
      <c r="D95" s="29"/>
      <c r="E95" s="29"/>
      <c r="F95" s="4179">
        <v>35</v>
      </c>
      <c r="G95" s="4180" t="s">
        <v>640</v>
      </c>
      <c r="H95" s="4198" t="s">
        <v>800</v>
      </c>
      <c r="I95" s="4195"/>
      <c r="J95" s="4195"/>
      <c r="K95" s="4195"/>
      <c r="L95" s="4195"/>
      <c r="M95" s="4195"/>
      <c r="N95" s="4195"/>
      <c r="O95" s="4195"/>
      <c r="P95" s="4195"/>
      <c r="Q95" s="4195"/>
      <c r="R95" s="4195"/>
      <c r="S95" s="4195"/>
      <c r="T95" s="4195"/>
      <c r="U95" s="4195"/>
      <c r="V95" s="4195"/>
      <c r="W95" s="4195"/>
      <c r="X95" s="4195"/>
      <c r="Y95" s="4195"/>
      <c r="Z95" s="4190" t="s">
        <v>801</v>
      </c>
      <c r="AA95" s="2428"/>
      <c r="AB95" s="4259"/>
      <c r="AC95" s="4191" t="str">
        <f>F95&amp;"a"</f>
        <v>35a</v>
      </c>
      <c r="AD95" s="6459">
        <f>Overpaid</f>
        <v>0</v>
      </c>
      <c r="AE95" s="6460"/>
      <c r="AF95" s="6460"/>
      <c r="AG95" s="6460"/>
      <c r="AH95" s="6460"/>
      <c r="AI95" s="307"/>
      <c r="AJ95" s="437"/>
      <c r="AK95" s="3056"/>
      <c r="AL95" s="901"/>
      <c r="AM95" s="901"/>
      <c r="AN95" s="3270"/>
      <c r="AO95" s="1598"/>
      <c r="AP95" s="808"/>
      <c r="AQ95" s="1823"/>
      <c r="AR95" s="808"/>
      <c r="AS95" s="808"/>
      <c r="AT95" s="808"/>
      <c r="AU95" s="808"/>
      <c r="AV95" s="1590"/>
      <c r="AW95" s="1590"/>
      <c r="AX95" s="1590"/>
      <c r="AY95" s="3952" t="s">
        <v>802</v>
      </c>
      <c r="AZ95" s="1587"/>
      <c r="BA95" s="3307">
        <f>DATEVALUE("31-DEC-"&amp;(TaxYear-65))</f>
        <v>21550</v>
      </c>
      <c r="BB95" s="1587" t="e">
        <f>$AZ$87&gt;BA95</f>
        <v>#N/A</v>
      </c>
      <c r="BC95" s="1587"/>
      <c r="BD95" s="1587"/>
      <c r="BE95" s="1588"/>
      <c r="BF95" s="1587"/>
      <c r="BG95" s="1588">
        <v>13</v>
      </c>
      <c r="BH95" s="1589" t="s">
        <v>803</v>
      </c>
      <c r="BI95" s="780"/>
      <c r="BJ95" s="2725"/>
      <c r="BK95" s="2038"/>
      <c r="BL95" s="2038"/>
      <c r="BM95" s="2038"/>
      <c r="BN95" s="2038"/>
      <c r="BO95" s="2038"/>
      <c r="BP95" s="2038"/>
      <c r="BQ95" s="2038"/>
      <c r="BR95" s="2038"/>
      <c r="BS95" s="2038"/>
      <c r="BT95" s="2038"/>
      <c r="BU95" s="2038"/>
      <c r="BV95" s="2038"/>
    </row>
    <row r="96" spans="1:74" ht="14.25" customHeight="1">
      <c r="A96" s="394"/>
      <c r="B96" s="6394" t="s">
        <v>804</v>
      </c>
      <c r="C96" s="6394"/>
      <c r="D96" s="6394"/>
      <c r="E96" s="6394"/>
      <c r="F96" s="4179"/>
      <c r="G96" s="4180" t="s">
        <v>644</v>
      </c>
      <c r="H96" s="4198" t="s">
        <v>805</v>
      </c>
      <c r="I96" s="4195"/>
      <c r="J96" s="4195"/>
      <c r="K96" s="6561"/>
      <c r="L96" s="6562"/>
      <c r="M96" s="6562"/>
      <c r="N96" s="6562"/>
      <c r="O96" s="6562"/>
      <c r="P96" s="6562"/>
      <c r="Q96" s="6562"/>
      <c r="R96" s="6563"/>
      <c r="S96" s="4195"/>
      <c r="T96" s="4195"/>
      <c r="U96" s="4257" t="s">
        <v>806</v>
      </c>
      <c r="V96" s="812"/>
      <c r="W96" s="4258" t="s">
        <v>807</v>
      </c>
      <c r="X96" s="4258"/>
      <c r="Y96" s="4258"/>
      <c r="Z96" s="2417"/>
      <c r="AA96" s="4262" t="s">
        <v>808</v>
      </c>
      <c r="AB96" s="4263"/>
      <c r="AC96" s="2415"/>
      <c r="AD96" s="6618" t="str">
        <f>IF(AND($AJ$100="",$AK$105),"Sum of amounts on","")</f>
        <v/>
      </c>
      <c r="AE96" s="6619"/>
      <c r="AF96" s="6619"/>
      <c r="AG96" s="6619"/>
      <c r="AH96" s="6619"/>
      <c r="AI96" s="307"/>
      <c r="AJ96" s="437"/>
      <c r="AK96" s="2503" t="b">
        <f>PenalyOwedFlag</f>
        <v>0</v>
      </c>
      <c r="AL96" s="2506"/>
      <c r="AM96" s="2507" t="b">
        <f>AND(AK96,AJ100="")</f>
        <v>0</v>
      </c>
      <c r="AN96" s="3270"/>
      <c r="AO96" s="1598"/>
      <c r="AP96" s="808"/>
      <c r="AQ96" s="1823"/>
      <c r="AR96" s="808"/>
      <c r="AS96" s="808"/>
      <c r="AT96" s="808"/>
      <c r="AU96" s="808"/>
      <c r="AV96" s="1590"/>
      <c r="AW96" s="1590"/>
      <c r="AX96" s="1590"/>
      <c r="AY96" s="1586"/>
      <c r="AZ96" s="1587"/>
      <c r="BA96" s="1588" t="s">
        <v>809</v>
      </c>
      <c r="BB96" s="1587" t="e">
        <f>AND(You_GT24,You_LT65)</f>
        <v>#N/A</v>
      </c>
      <c r="BC96" s="1587"/>
      <c r="BD96" s="1587"/>
      <c r="BE96" s="1588"/>
      <c r="BF96" s="1587"/>
      <c r="BG96" s="1588"/>
      <c r="BH96" s="1589"/>
      <c r="BI96" s="780"/>
      <c r="BJ96" s="2725"/>
      <c r="BK96" s="2038"/>
      <c r="BL96" s="2038"/>
      <c r="BM96" s="2038"/>
      <c r="BN96" s="2038"/>
      <c r="BO96" s="2038"/>
      <c r="BP96" s="2038"/>
      <c r="BQ96" s="2038"/>
      <c r="BR96" s="2038"/>
      <c r="BS96" s="2038"/>
      <c r="BT96" s="2038"/>
      <c r="BU96" s="2038"/>
      <c r="BV96" s="2038"/>
    </row>
    <row r="97" spans="1:74" ht="14.25" customHeight="1">
      <c r="A97" s="394"/>
      <c r="B97" s="6395" t="s">
        <v>810</v>
      </c>
      <c r="C97" s="6395"/>
      <c r="D97" s="6395"/>
      <c r="E97" s="6395"/>
      <c r="F97" s="4179"/>
      <c r="G97" s="4180" t="s">
        <v>652</v>
      </c>
      <c r="H97" s="4198" t="s">
        <v>322</v>
      </c>
      <c r="I97" s="4195"/>
      <c r="J97" s="4195"/>
      <c r="K97" s="6561"/>
      <c r="L97" s="6562"/>
      <c r="M97" s="6562"/>
      <c r="N97" s="6562"/>
      <c r="O97" s="6562"/>
      <c r="P97" s="6562"/>
      <c r="Q97" s="6562"/>
      <c r="R97" s="6562"/>
      <c r="S97" s="6562"/>
      <c r="T97" s="6563"/>
      <c r="U97" s="5437"/>
      <c r="V97" s="4260"/>
      <c r="W97" s="4261"/>
      <c r="X97" s="4261"/>
      <c r="Y97" s="4261"/>
      <c r="Z97" s="4261"/>
      <c r="AA97" s="4261"/>
      <c r="AB97" s="4190" t="s">
        <v>746</v>
      </c>
      <c r="AC97" s="2416"/>
      <c r="AD97" s="6528" t="str">
        <f>IF(AND($AJ$100="",$AK$105),"Lines 35a &amp; 36","")</f>
        <v/>
      </c>
      <c r="AE97" s="6529"/>
      <c r="AF97" s="6529"/>
      <c r="AG97" s="6529"/>
      <c r="AH97" s="6529"/>
      <c r="AI97" s="307"/>
      <c r="AJ97" s="437"/>
      <c r="AK97" s="6440" t="str">
        <f>IF($AM$96,"Check Form 2210 to","")</f>
        <v/>
      </c>
      <c r="AL97" s="6440"/>
      <c r="AM97" s="6441"/>
      <c r="AN97" s="3270"/>
      <c r="AO97" s="1598"/>
      <c r="AP97" s="808"/>
      <c r="AQ97" s="1823"/>
      <c r="AR97" s="808"/>
      <c r="AS97" s="808"/>
      <c r="AT97" s="808"/>
      <c r="AU97" s="808"/>
      <c r="AV97" s="1590"/>
      <c r="AW97" s="1590"/>
      <c r="AX97" s="808"/>
      <c r="AY97" s="1586" t="s">
        <v>811</v>
      </c>
      <c r="AZ97" s="1587">
        <f>DATEVALUE("2-Jan-"&amp;TaxYear-64)</f>
        <v>21552</v>
      </c>
      <c r="BA97" s="1587"/>
      <c r="BB97" s="1587"/>
      <c r="BC97" s="1587"/>
      <c r="BD97" s="1587"/>
      <c r="BE97" s="1588"/>
      <c r="BF97" s="1587"/>
      <c r="BG97" s="1588"/>
      <c r="BH97" s="1589"/>
      <c r="BI97" s="780"/>
      <c r="BJ97" s="2725"/>
      <c r="BK97" s="2038"/>
      <c r="BL97" s="2038"/>
      <c r="BM97" s="2038"/>
      <c r="BN97" s="2038"/>
      <c r="BO97" s="2038"/>
      <c r="BP97" s="2038"/>
      <c r="BQ97" s="2038"/>
      <c r="BR97" s="2038"/>
      <c r="BS97" s="2038"/>
      <c r="BT97" s="2038"/>
      <c r="BU97" s="2038"/>
      <c r="BV97" s="2038"/>
    </row>
    <row r="98" spans="1:74" ht="14.25" customHeight="1">
      <c r="A98" s="394"/>
      <c r="B98" s="29"/>
      <c r="C98" s="29"/>
      <c r="D98" s="29"/>
      <c r="E98" s="29"/>
      <c r="F98" s="4179">
        <v>36</v>
      </c>
      <c r="G98" s="4180"/>
      <c r="H98" s="4198" t="str">
        <f>"Amount   of   line 34  you  want"</f>
        <v>Amount   of   line 34  you  want</v>
      </c>
      <c r="I98" s="4195"/>
      <c r="J98" s="4195"/>
      <c r="K98" s="4195"/>
      <c r="L98" s="4195"/>
      <c r="M98" s="4264" t="str">
        <f>"applied to your "&amp;TaxYear+1&amp;" estimated tax"</f>
        <v>applied to your 2024 estimated tax</v>
      </c>
      <c r="N98" s="4195"/>
      <c r="O98" s="4195"/>
      <c r="P98" s="4195"/>
      <c r="Q98" s="4195"/>
      <c r="R98" s="4195"/>
      <c r="S98" s="4195"/>
      <c r="T98" s="4195"/>
      <c r="U98" s="4265"/>
      <c r="V98" s="4187">
        <f>F98</f>
        <v>36</v>
      </c>
      <c r="W98" s="4903"/>
      <c r="X98" s="6354">
        <f>IF(AN98&lt;&gt;"",ROUND(AN98,0),SUM(Overpaid,-AD95))</f>
        <v>0</v>
      </c>
      <c r="Y98" s="6354"/>
      <c r="Z98" s="6354"/>
      <c r="AA98" s="6354"/>
      <c r="AB98" s="4904"/>
      <c r="AC98" s="2416"/>
      <c r="AD98" s="6526" t="str">
        <f>IF(AND($AJ$100="",$AK$105),"must equal Line 34.","")</f>
        <v/>
      </c>
      <c r="AE98" s="6527"/>
      <c r="AF98" s="6527"/>
      <c r="AG98" s="6527"/>
      <c r="AH98" s="6527"/>
      <c r="AI98" s="307"/>
      <c r="AJ98" s="437"/>
      <c r="AK98" s="6440" t="str">
        <f>IF($AM$96,"figure any tax penalty","")</f>
        <v/>
      </c>
      <c r="AL98" s="6440"/>
      <c r="AM98" s="6441"/>
      <c r="AN98" s="2266"/>
      <c r="AO98" s="1598"/>
      <c r="AP98" s="808"/>
      <c r="AQ98" s="1823"/>
      <c r="AR98" s="808"/>
      <c r="AS98" s="808"/>
      <c r="AT98" s="808"/>
      <c r="AU98" s="808"/>
      <c r="AV98" s="808"/>
      <c r="AW98" s="808"/>
      <c r="AX98" s="808"/>
      <c r="AY98" s="1586"/>
      <c r="AZ98" s="1587"/>
      <c r="BA98" s="1587"/>
      <c r="BB98" s="1587"/>
      <c r="BC98" s="1587"/>
      <c r="BD98" s="1587"/>
      <c r="BE98" s="1588"/>
      <c r="BF98" s="1587"/>
      <c r="BG98" s="1588"/>
      <c r="BH98" s="1589"/>
      <c r="BI98" s="780"/>
      <c r="BJ98" s="2725"/>
      <c r="BK98" s="2038"/>
      <c r="BL98" s="2038"/>
      <c r="BM98" s="2038"/>
      <c r="BN98" s="2038"/>
      <c r="BO98" s="2038"/>
      <c r="BP98" s="2038"/>
      <c r="BQ98" s="2038"/>
      <c r="BR98" s="2038"/>
      <c r="BS98" s="2038"/>
      <c r="BT98" s="2038"/>
      <c r="BU98" s="2038"/>
      <c r="BV98" s="2038"/>
    </row>
    <row r="99" spans="1:74" ht="14.25" customHeight="1">
      <c r="A99" s="394"/>
      <c r="B99" s="6387" t="s">
        <v>812</v>
      </c>
      <c r="C99" s="6387"/>
      <c r="D99" s="6387"/>
      <c r="E99" s="5319"/>
      <c r="F99" s="4266">
        <v>37</v>
      </c>
      <c r="G99" s="4267"/>
      <c r="H99" s="4287" t="s">
        <v>813</v>
      </c>
      <c r="I99" s="4268"/>
      <c r="J99" s="4268"/>
      <c r="K99" s="4268"/>
      <c r="L99" s="4268"/>
      <c r="M99" s="4268"/>
      <c r="N99" s="4268"/>
      <c r="O99" s="4268"/>
      <c r="P99" s="4268"/>
      <c r="Q99" s="4268"/>
      <c r="R99" s="4268"/>
      <c r="S99" s="4268"/>
      <c r="T99" s="4268"/>
      <c r="U99" s="5450"/>
      <c r="V99" s="4269"/>
      <c r="W99" s="4270"/>
      <c r="X99" s="4270"/>
      <c r="Y99" s="4270"/>
      <c r="Z99" s="4270"/>
      <c r="AA99" s="4270"/>
      <c r="AB99" s="4288"/>
      <c r="AC99" s="4902"/>
      <c r="AD99" s="6582"/>
      <c r="AE99" s="6583"/>
      <c r="AF99" s="6583"/>
      <c r="AG99" s="6583"/>
      <c r="AH99" s="6583"/>
      <c r="AI99" s="307"/>
      <c r="AJ99" s="437"/>
      <c r="AK99" s="6440" t="str">
        <f>IF($AM$96,"that may apply.","")</f>
        <v/>
      </c>
      <c r="AL99" s="6440"/>
      <c r="AM99" s="6441"/>
      <c r="AN99" s="3270"/>
      <c r="AO99" s="1598"/>
      <c r="AP99" s="808"/>
      <c r="AQ99" s="1823"/>
      <c r="AR99" s="808"/>
      <c r="AS99" s="808"/>
      <c r="AT99" s="808"/>
      <c r="AU99" s="808"/>
      <c r="AV99" s="808"/>
      <c r="AW99" s="808"/>
      <c r="AX99" s="808"/>
      <c r="AY99" s="1586" t="b">
        <f>IF(NumFileStatusBoxes=0,FALSE,IF(AND(OR(File_Marr_Sep&lt;&gt;"",File_Marr_Joint&lt;&gt;""),OR(AY87,AY107)),TRUE,IF(AY87,TRUE,FALSE)))</f>
        <v>0</v>
      </c>
      <c r="AZ99" s="6584"/>
      <c r="BA99" s="6584"/>
      <c r="BB99" s="1587"/>
      <c r="BC99" s="1587"/>
      <c r="BD99" s="1587"/>
      <c r="BE99" s="1588"/>
      <c r="BF99" s="1587"/>
      <c r="BG99" s="1588"/>
      <c r="BH99" s="1589">
        <f>TaxYear-65</f>
        <v>1958</v>
      </c>
      <c r="BI99" s="780"/>
      <c r="BJ99" s="2725"/>
      <c r="BK99" s="2038"/>
      <c r="BL99" s="2038"/>
      <c r="BM99" s="2038"/>
      <c r="BN99" s="2038"/>
      <c r="BO99" s="2038"/>
      <c r="BP99" s="2038"/>
      <c r="BQ99" s="2038"/>
      <c r="BR99" s="2038"/>
      <c r="BS99" s="2038"/>
      <c r="BT99" s="2038"/>
      <c r="BU99" s="2038"/>
      <c r="BV99" s="2038"/>
    </row>
    <row r="100" spans="1:74" ht="14.25" customHeight="1" thickBot="1">
      <c r="A100" s="394"/>
      <c r="B100" s="6388"/>
      <c r="C100" s="6388"/>
      <c r="D100" s="6388"/>
      <c r="E100" s="5320"/>
      <c r="F100" s="4179"/>
      <c r="G100" s="4180"/>
      <c r="H100" s="4890" t="s">
        <v>814</v>
      </c>
      <c r="I100" s="4195"/>
      <c r="J100" s="4195"/>
      <c r="K100" s="4195"/>
      <c r="L100" s="4195"/>
      <c r="M100" s="4195"/>
      <c r="N100" s="4195"/>
      <c r="O100" s="4195"/>
      <c r="P100" s="4195"/>
      <c r="Q100" s="4195"/>
      <c r="R100" s="4195"/>
      <c r="S100" s="4195"/>
      <c r="T100" s="4195"/>
      <c r="U100" s="5437"/>
      <c r="V100" s="4260"/>
      <c r="W100" s="4261"/>
      <c r="X100" s="4261"/>
      <c r="Y100" s="4261"/>
      <c r="Z100" s="4261"/>
      <c r="AA100" s="4261"/>
      <c r="AB100" s="4905" t="s">
        <v>746</v>
      </c>
      <c r="AC100" s="4227">
        <v>37</v>
      </c>
      <c r="AD100" s="6442">
        <f>IF(AN100&lt;&gt;"",ROUND(AN100,0),IF(ISERROR(Tot_Tax-Tot_Payments+TaxPenalty),0,IF(Tot_Tax-Tot_Payments+TaxPenalty&lt;0,0,Tot_Tax-Tot_Payments+TaxPenalty)))</f>
        <v>0</v>
      </c>
      <c r="AE100" s="6443"/>
      <c r="AF100" s="6443"/>
      <c r="AG100" s="6443"/>
      <c r="AH100" s="6443"/>
      <c r="AI100" s="307"/>
      <c r="AJ100" s="2504"/>
      <c r="AK100" s="3056" t="str">
        <f>IF(OR(AK96,AK105),"Hide note.","")</f>
        <v/>
      </c>
      <c r="AL100" s="901"/>
      <c r="AM100" s="901"/>
      <c r="AN100" s="2266"/>
      <c r="AO100" s="1598"/>
      <c r="AP100" s="808"/>
      <c r="AQ100" s="1823"/>
      <c r="AR100" s="808"/>
      <c r="AS100" s="808"/>
      <c r="AT100" s="808"/>
      <c r="AU100" s="808"/>
      <c r="AV100" s="808"/>
      <c r="AW100" s="808"/>
      <c r="AX100" s="808"/>
      <c r="AY100" s="3168"/>
      <c r="AZ100" s="4564"/>
      <c r="BA100" s="4565" t="s">
        <v>815</v>
      </c>
      <c r="BB100" s="892"/>
      <c r="BC100" s="892"/>
      <c r="BD100" s="892"/>
      <c r="BE100" s="892"/>
      <c r="BF100" s="892"/>
      <c r="BG100" s="892"/>
      <c r="BH100" s="2081"/>
      <c r="BI100" s="780"/>
      <c r="BJ100" s="2725"/>
      <c r="BK100" s="2038"/>
      <c r="BL100" s="2038"/>
      <c r="BM100" s="2038"/>
      <c r="BN100" s="2038"/>
      <c r="BO100" s="2038"/>
      <c r="BP100" s="2038"/>
      <c r="BQ100" s="2038"/>
      <c r="BR100" s="2038"/>
      <c r="BS100" s="2038"/>
      <c r="BT100" s="2038"/>
      <c r="BU100" s="2038"/>
      <c r="BV100" s="2038"/>
    </row>
    <row r="101" spans="1:74" ht="17.25" customHeight="1" thickBot="1">
      <c r="A101" s="394"/>
      <c r="B101" s="6389"/>
      <c r="C101" s="6389"/>
      <c r="D101" s="6389"/>
      <c r="E101" s="5321"/>
      <c r="F101" s="4209">
        <v>38</v>
      </c>
      <c r="G101" s="4219"/>
      <c r="H101" s="6576" t="str">
        <f>IF(AND(You_Owe&lt;&gt;"",You_Owe&gt;1000,You_Owe&gt;0.1*Tot_Tax,TaxPenalty=""),"Enter Estimated Tax Penalty (or 0 if none applies)","Estimated tax penalty (see instructions)")</f>
        <v>Estimated tax penalty (see instructions)</v>
      </c>
      <c r="I101" s="6576"/>
      <c r="J101" s="6576"/>
      <c r="K101" s="6576"/>
      <c r="L101" s="6576"/>
      <c r="M101" s="6576"/>
      <c r="N101" s="6576"/>
      <c r="O101" s="6576"/>
      <c r="P101" s="6576"/>
      <c r="Q101" s="6576"/>
      <c r="R101" s="6576"/>
      <c r="S101" s="4211"/>
      <c r="T101" s="4211"/>
      <c r="U101" s="4271" t="s">
        <v>654</v>
      </c>
      <c r="V101" s="4906">
        <f>F101</f>
        <v>38</v>
      </c>
      <c r="W101" s="4907"/>
      <c r="X101" s="6581">
        <f>IF(AN101&lt;&gt;"",ROUND(AN101,0),SUM('2210'!U107))</f>
        <v>0</v>
      </c>
      <c r="Y101" s="6581"/>
      <c r="Z101" s="6581"/>
      <c r="AA101" s="6581"/>
      <c r="AB101" s="4908"/>
      <c r="AC101" s="3719"/>
      <c r="AD101" s="5451"/>
      <c r="AE101" s="2482"/>
      <c r="AF101" s="2482"/>
      <c r="AG101" s="2482"/>
      <c r="AH101" s="2482"/>
      <c r="AI101" s="307"/>
      <c r="AJ101" s="437"/>
      <c r="AK101" s="808"/>
      <c r="AL101" s="808"/>
      <c r="AM101" s="808"/>
      <c r="AN101" s="2266"/>
      <c r="AO101" s="808"/>
      <c r="AP101" s="808"/>
      <c r="AQ101" s="808"/>
      <c r="AR101" s="808"/>
      <c r="AS101" s="808"/>
      <c r="AT101" s="808"/>
      <c r="AU101" s="808"/>
      <c r="AV101" s="808"/>
      <c r="AW101" s="808"/>
      <c r="AX101" s="808"/>
      <c r="AY101" s="3168"/>
      <c r="AZ101" s="4561" t="str">
        <f>"April 15, "&amp;TaxYear+1</f>
        <v>April 15, 2024</v>
      </c>
      <c r="BA101" s="4560" t="str">
        <f>IF(WEEKDAY(AZ101)=6,AZ101+4,IF(WEEKDAY(AZ101)=7,AZ101+3,IF(WEEKDAY(AZ101)=1,AZ101+1,AZ101)))</f>
        <v>April 15, 2024</v>
      </c>
      <c r="BB101" s="892" t="s">
        <v>816</v>
      </c>
      <c r="BC101" s="892"/>
      <c r="BD101" s="892"/>
      <c r="BE101" s="892"/>
      <c r="BF101" s="892"/>
      <c r="BG101" s="892"/>
      <c r="BH101" s="2081"/>
      <c r="BI101" s="780"/>
      <c r="BJ101" s="2725"/>
      <c r="BK101" s="2038"/>
      <c r="BL101" s="2038"/>
      <c r="BM101" s="2038"/>
      <c r="BN101" s="2038"/>
      <c r="BO101" s="2038"/>
      <c r="BP101" s="2038"/>
      <c r="BQ101" s="2038"/>
      <c r="BR101" s="2038"/>
      <c r="BS101" s="2038"/>
      <c r="BT101" s="2038"/>
      <c r="BU101" s="2038"/>
      <c r="BV101" s="2038"/>
    </row>
    <row r="102" spans="1:74" ht="14.25" customHeight="1">
      <c r="A102" s="394"/>
      <c r="B102" s="6597" t="s">
        <v>817</v>
      </c>
      <c r="C102" s="6598"/>
      <c r="D102" s="3663"/>
      <c r="E102" s="3663"/>
      <c r="F102" s="4194" t="s">
        <v>818</v>
      </c>
      <c r="G102" s="4198"/>
      <c r="H102" s="4198"/>
      <c r="I102" s="4198"/>
      <c r="J102" s="4198"/>
      <c r="K102" s="4198"/>
      <c r="L102" s="4198"/>
      <c r="M102" s="4198"/>
      <c r="N102" s="4198"/>
      <c r="O102" s="4198"/>
      <c r="P102" s="4198"/>
      <c r="Q102" s="4198"/>
      <c r="R102" s="4198"/>
      <c r="S102" s="4198"/>
      <c r="T102" s="4198"/>
      <c r="U102" s="4198"/>
      <c r="V102" s="4198"/>
      <c r="W102" s="4198"/>
      <c r="X102" s="4198"/>
      <c r="Y102" s="4198"/>
      <c r="Z102" s="4198"/>
      <c r="AA102" s="4198"/>
      <c r="AB102" s="4198"/>
      <c r="AC102" s="4201"/>
      <c r="AD102" s="4201"/>
      <c r="AE102" s="4201"/>
      <c r="AF102" s="4198"/>
      <c r="AG102" s="4198"/>
      <c r="AH102" s="4198"/>
      <c r="AI102" s="4195"/>
      <c r="AJ102" s="437"/>
      <c r="AK102" s="808"/>
      <c r="AL102" s="808"/>
      <c r="AM102" s="808"/>
      <c r="AN102" s="3270"/>
      <c r="AO102" s="39"/>
      <c r="AP102" s="808"/>
      <c r="AQ102" s="808"/>
      <c r="AR102" s="808"/>
      <c r="AS102" s="808"/>
      <c r="AT102" s="808"/>
      <c r="AU102" s="808"/>
      <c r="AV102" s="808"/>
      <c r="AW102" s="808"/>
      <c r="AX102" s="808"/>
      <c r="AY102" s="3168"/>
      <c r="AZ102" s="4562" t="str">
        <f>IF(WEEKDAY(AZ101)=1,"Sunday",IF(WEEKDAY(AZ101)=2,"Monday",IF(WEEKDAY(AZ101)=3,"Tuesday",IF(WEEKDAY(AZ101)=4,"Wednesday",IF(WEEKDAY(AZ101)=5,"Thursday",IF(WEEKDAY(AZ101)=6,"Friday",IF(WEEKDAY(AZ101)=7,"Saturday","")))))))</f>
        <v>Monday</v>
      </c>
      <c r="BA102" s="4563" t="str">
        <f>IF(WEEKDAY(BA101)=1,"Sunday",IF(WEEKDAY(BA101)=2,"Monday",IF(WEEKDAY(BA101)=3,"Tuesday",IF(WEEKDAY(BA101)=4,"Wednesday",IF(WEEKDAY(BA101)=5,"Thursday",IF(WEEKDAY(BA101)=6,"Friday",IF(WEEKDAY(BA101)=7,"Saturday","")))))))</f>
        <v>Monday</v>
      </c>
      <c r="BB102" s="892"/>
      <c r="BC102" s="892"/>
      <c r="BD102" s="892"/>
      <c r="BE102" s="892"/>
      <c r="BF102" s="892"/>
      <c r="BG102" s="892"/>
      <c r="BH102" s="2081"/>
      <c r="BI102" s="780"/>
      <c r="BJ102" s="2725"/>
      <c r="BK102" s="2038"/>
      <c r="BL102" s="2038"/>
      <c r="BM102" s="2038"/>
      <c r="BN102" s="2038"/>
      <c r="BO102" s="2038"/>
      <c r="BP102" s="2038"/>
      <c r="BQ102" s="2038"/>
      <c r="BR102" s="2038"/>
      <c r="BS102" s="2038"/>
      <c r="BT102" s="2038"/>
      <c r="BU102" s="2038"/>
      <c r="BV102" s="2038"/>
    </row>
    <row r="103" spans="1:74" s="39" customFormat="1" ht="14.25" customHeight="1">
      <c r="A103" s="394"/>
      <c r="B103" s="6599"/>
      <c r="C103" s="6599"/>
      <c r="D103" s="3663"/>
      <c r="E103" s="3663"/>
      <c r="F103" s="4194" t="s">
        <v>810</v>
      </c>
      <c r="G103" s="4198"/>
      <c r="H103" s="4198"/>
      <c r="I103" s="4198"/>
      <c r="J103" s="4198"/>
      <c r="K103" s="4198"/>
      <c r="L103" s="4198"/>
      <c r="M103" s="4198"/>
      <c r="N103" s="4198"/>
      <c r="O103" s="4198"/>
      <c r="P103" s="4198"/>
      <c r="Q103" s="4198"/>
      <c r="R103" s="4272"/>
      <c r="S103" s="4198"/>
      <c r="T103" s="4198"/>
      <c r="U103" s="4198"/>
      <c r="V103" s="4190" t="s">
        <v>705</v>
      </c>
      <c r="W103" s="3509"/>
      <c r="X103" s="4198" t="s">
        <v>819</v>
      </c>
      <c r="Y103" s="4198"/>
      <c r="Z103" s="4198"/>
      <c r="AA103" s="4198"/>
      <c r="AB103" s="4198"/>
      <c r="AC103" s="4198"/>
      <c r="AD103" s="3527" t="str">
        <f>IF(W103="","X","")</f>
        <v>X</v>
      </c>
      <c r="AE103" s="4201" t="s">
        <v>820</v>
      </c>
      <c r="AF103" s="4198"/>
      <c r="AG103" s="4198"/>
      <c r="AH103" s="4198"/>
      <c r="AI103" s="4195"/>
      <c r="AJ103" s="437"/>
      <c r="AK103" s="808"/>
      <c r="AL103" s="808"/>
      <c r="AM103" s="808"/>
      <c r="AN103" s="3270"/>
      <c r="AO103" s="808"/>
      <c r="AP103" s="808"/>
      <c r="AQ103" s="808"/>
      <c r="AR103" s="808"/>
      <c r="AS103" s="808"/>
      <c r="AT103" s="808"/>
      <c r="AU103" s="808"/>
      <c r="AV103" s="808"/>
      <c r="AW103" s="808"/>
      <c r="AX103" s="808"/>
      <c r="AY103" s="3168"/>
      <c r="AZ103" s="892"/>
      <c r="BA103" s="892"/>
      <c r="BB103" s="892"/>
      <c r="BC103" s="892"/>
      <c r="BD103" s="892"/>
      <c r="BE103" s="892"/>
      <c r="BF103" s="892"/>
      <c r="BG103" s="892"/>
      <c r="BH103" s="2081"/>
      <c r="BI103" s="780"/>
      <c r="BJ103" s="2038"/>
      <c r="BK103" s="2038"/>
      <c r="BL103" s="2038"/>
      <c r="BM103" s="2038"/>
      <c r="BN103" s="2038"/>
      <c r="BO103" s="2038"/>
      <c r="BP103" s="2038"/>
      <c r="BQ103" s="2038"/>
      <c r="BR103" s="2038"/>
      <c r="BS103" s="2038"/>
      <c r="BT103" s="2038"/>
      <c r="BU103" s="2038"/>
      <c r="BV103" s="2038"/>
    </row>
    <row r="104" spans="1:74" s="39" customFormat="1" ht="7.5" customHeight="1" thickBot="1">
      <c r="A104" s="394"/>
      <c r="B104" s="6599"/>
      <c r="C104" s="6599"/>
      <c r="D104" s="3663"/>
      <c r="E104" s="3663"/>
      <c r="F104" s="4272"/>
      <c r="G104" s="4272"/>
      <c r="H104" s="4272"/>
      <c r="I104" s="4198"/>
      <c r="J104" s="4198"/>
      <c r="K104" s="4198"/>
      <c r="L104" s="4198"/>
      <c r="M104" s="4198"/>
      <c r="N104" s="4198"/>
      <c r="O104" s="4198"/>
      <c r="P104" s="4198"/>
      <c r="Q104" s="4198"/>
      <c r="R104" s="4272"/>
      <c r="S104" s="4272"/>
      <c r="T104" s="4198"/>
      <c r="U104" s="4198"/>
      <c r="V104" s="4198"/>
      <c r="W104" s="4198"/>
      <c r="X104" s="4198"/>
      <c r="Y104" s="4272"/>
      <c r="Z104" s="4272"/>
      <c r="AA104" s="4272"/>
      <c r="AB104" s="4272"/>
      <c r="AC104" s="4198"/>
      <c r="AD104" s="4198"/>
      <c r="AE104" s="4198"/>
      <c r="AF104" s="4198"/>
      <c r="AG104" s="4198"/>
      <c r="AH104" s="4198"/>
      <c r="AI104" s="4195"/>
      <c r="AJ104" s="437"/>
      <c r="AK104" s="808"/>
      <c r="AL104" s="808"/>
      <c r="AM104" s="808"/>
      <c r="AN104" s="3270"/>
      <c r="AO104" s="808"/>
      <c r="AP104" s="808"/>
      <c r="AQ104" s="808"/>
      <c r="AR104" s="808"/>
      <c r="AS104" s="808"/>
      <c r="AT104" s="808"/>
      <c r="AU104" s="808"/>
      <c r="AV104" s="808"/>
      <c r="AW104" s="808"/>
      <c r="AX104" s="808"/>
      <c r="AY104" s="3168"/>
      <c r="AZ104" s="892"/>
      <c r="BA104" s="892"/>
      <c r="BB104" s="892"/>
      <c r="BC104" s="892"/>
      <c r="BD104" s="892"/>
      <c r="BE104" s="892"/>
      <c r="BF104" s="892"/>
      <c r="BG104" s="892"/>
      <c r="BH104" s="2081"/>
      <c r="BI104" s="780"/>
      <c r="BJ104" s="2038"/>
      <c r="BK104" s="2038"/>
      <c r="BL104" s="2038"/>
      <c r="BM104" s="2038"/>
      <c r="BN104" s="2038"/>
      <c r="BO104" s="2038"/>
      <c r="BP104" s="2038"/>
      <c r="BQ104" s="2038"/>
      <c r="BR104" s="2038"/>
      <c r="BS104" s="2038"/>
      <c r="BT104" s="2038"/>
      <c r="BU104" s="2038"/>
      <c r="BV104" s="2038"/>
    </row>
    <row r="105" spans="1:74" s="39" customFormat="1" ht="23.25" customHeight="1" thickBot="1">
      <c r="A105" s="394"/>
      <c r="B105" s="6600"/>
      <c r="C105" s="6600"/>
      <c r="D105" s="3664"/>
      <c r="E105" s="3664"/>
      <c r="F105" s="6601" t="s">
        <v>821</v>
      </c>
      <c r="G105" s="6601"/>
      <c r="H105" s="6601"/>
      <c r="I105" s="6596"/>
      <c r="J105" s="6596"/>
      <c r="K105" s="6596"/>
      <c r="L105" s="6596"/>
      <c r="M105" s="6596"/>
      <c r="N105" s="6596"/>
      <c r="O105" s="6596"/>
      <c r="P105" s="6596"/>
      <c r="Q105" s="6596"/>
      <c r="R105" s="6601" t="s">
        <v>822</v>
      </c>
      <c r="S105" s="6601"/>
      <c r="T105" s="6575"/>
      <c r="U105" s="6575"/>
      <c r="V105" s="6575"/>
      <c r="W105" s="6575"/>
      <c r="X105" s="6575"/>
      <c r="Y105" s="6602" t="s">
        <v>823</v>
      </c>
      <c r="Z105" s="6602"/>
      <c r="AA105" s="6602"/>
      <c r="AB105" s="6602"/>
      <c r="AC105" s="6603"/>
      <c r="AD105" s="3590"/>
      <c r="AE105" s="3590"/>
      <c r="AF105" s="3590"/>
      <c r="AG105" s="3590"/>
      <c r="AH105" s="3590"/>
      <c r="AI105" s="4195"/>
      <c r="AJ105" s="437"/>
      <c r="AK105" s="3055" t="b">
        <f>(SUM(AD95,X98)&lt;&gt;Overpaid)</f>
        <v>0</v>
      </c>
      <c r="AL105" s="2407"/>
      <c r="AM105" s="2407"/>
      <c r="AN105" s="3270"/>
      <c r="AO105" s="808"/>
      <c r="AP105" s="808"/>
      <c r="AQ105" s="808"/>
      <c r="AR105" s="808"/>
      <c r="AS105" s="808"/>
      <c r="AT105" s="808"/>
      <c r="AU105" s="808"/>
      <c r="AV105" s="808"/>
      <c r="AW105" s="808"/>
      <c r="AX105" s="808"/>
      <c r="AY105" s="1586"/>
      <c r="AZ105" s="1587"/>
      <c r="BA105" s="1587"/>
      <c r="BB105" s="1587"/>
      <c r="BC105" s="1587"/>
      <c r="BD105" s="1587"/>
      <c r="BE105" s="1588"/>
      <c r="BF105" s="1587"/>
      <c r="BG105" s="1588"/>
      <c r="BH105" s="1589" t="b">
        <f>AND(SpouseDeceased&lt;&gt;"",SpouseDeathYear&lt;&gt;"",OR(SpouseBirthYear&lt;$BH$99,AND(SpouseBirthYear=$BH$99,SpouseDeathMonth&gt;SpouseBirthMonth),AND(SpouseDeathMonth=SpouseBirthMonth,SpouseDeathDay&gt;=SpouseBirthDay-1)))</f>
        <v>0</v>
      </c>
      <c r="BI105" s="780"/>
      <c r="BJ105" s="2038"/>
      <c r="BK105" s="2038"/>
      <c r="BL105" s="2038"/>
      <c r="BM105" s="2038"/>
      <c r="BN105" s="2038"/>
      <c r="BO105" s="2038"/>
      <c r="BP105" s="2038"/>
      <c r="BQ105" s="2038"/>
      <c r="BR105" s="2038"/>
      <c r="BS105" s="2038"/>
      <c r="BT105" s="2038"/>
      <c r="BU105" s="2038"/>
      <c r="BV105" s="2038"/>
    </row>
    <row r="106" spans="1:74" s="39" customFormat="1" ht="13.5" customHeight="1">
      <c r="A106" s="394"/>
      <c r="B106" s="6432" t="s">
        <v>824</v>
      </c>
      <c r="C106" s="6432"/>
      <c r="D106" s="6432"/>
      <c r="E106" s="5318"/>
      <c r="F106" s="4195" t="s">
        <v>825</v>
      </c>
      <c r="G106" s="4195"/>
      <c r="H106" s="4195"/>
      <c r="I106" s="4195"/>
      <c r="J106" s="4195"/>
      <c r="K106" s="4195"/>
      <c r="L106" s="4195"/>
      <c r="M106" s="4195"/>
      <c r="N106" s="4195"/>
      <c r="O106" s="4195"/>
      <c r="P106" s="4195"/>
      <c r="Q106" s="4195"/>
      <c r="R106" s="4195"/>
      <c r="S106" s="4195"/>
      <c r="T106" s="4195"/>
      <c r="U106" s="4195"/>
      <c r="V106" s="4195"/>
      <c r="W106" s="4195"/>
      <c r="X106" s="4195"/>
      <c r="Y106" s="4195"/>
      <c r="Z106" s="4195"/>
      <c r="AA106" s="4195"/>
      <c r="AB106" s="4195"/>
      <c r="AC106" s="4195"/>
      <c r="AD106" s="4195"/>
      <c r="AE106" s="4195"/>
      <c r="AF106" s="4195"/>
      <c r="AG106" s="4195"/>
      <c r="AH106" s="4195"/>
      <c r="AI106" s="4195"/>
      <c r="AJ106" s="437"/>
      <c r="AK106" s="2407"/>
      <c r="AL106" s="2407"/>
      <c r="AM106" s="2407"/>
      <c r="AN106" s="3270"/>
      <c r="AO106" s="808"/>
      <c r="AP106" s="780"/>
      <c r="AQ106" s="780"/>
      <c r="AR106" s="780"/>
      <c r="AS106" s="780"/>
      <c r="AT106" s="780"/>
      <c r="AU106" s="780"/>
      <c r="AV106" s="808"/>
      <c r="AW106" s="808"/>
      <c r="AX106" s="808"/>
      <c r="AY106" s="1586"/>
      <c r="AZ106" s="1587" t="e">
        <f>DATEVALUE(AZ108)</f>
        <v>#N/A</v>
      </c>
      <c r="BA106" s="1587"/>
      <c r="BB106" s="1587" t="b">
        <f>IF(AND(AND(File_Marr_Joint="",File_Marr_Sep=""),NumFileStatusBoxes=1),TRUE,FALSE)</f>
        <v>0</v>
      </c>
      <c r="BC106" s="1587"/>
      <c r="BD106" s="1587"/>
      <c r="BE106" s="1588"/>
      <c r="BF106" s="1587"/>
      <c r="BG106" s="1588"/>
      <c r="BH106" s="3150" t="e">
        <f>DATEVALUE(BH108)</f>
        <v>#N/A</v>
      </c>
      <c r="BI106" s="780"/>
      <c r="BJ106" s="2038"/>
      <c r="BK106" s="2038"/>
      <c r="BL106" s="2038"/>
      <c r="BM106" s="2038"/>
      <c r="BN106" s="2038"/>
      <c r="BO106" s="2038"/>
      <c r="BP106" s="2038"/>
      <c r="BQ106" s="2038"/>
      <c r="BR106" s="2038"/>
      <c r="BS106" s="2038"/>
      <c r="BT106" s="2038"/>
      <c r="BU106" s="2038"/>
      <c r="BV106" s="2038"/>
    </row>
    <row r="107" spans="1:74" ht="14.25" customHeight="1">
      <c r="A107" s="394"/>
      <c r="B107" s="6433"/>
      <c r="C107" s="6433"/>
      <c r="D107" s="6433"/>
      <c r="E107" s="5318"/>
      <c r="F107" s="4273" t="s">
        <v>826</v>
      </c>
      <c r="G107" s="4273"/>
      <c r="H107" s="4273"/>
      <c r="I107" s="4273"/>
      <c r="J107" s="4273"/>
      <c r="K107" s="4273"/>
      <c r="L107" s="4273"/>
      <c r="M107" s="4273"/>
      <c r="N107" s="4273"/>
      <c r="O107" s="4273"/>
      <c r="P107" s="4273"/>
      <c r="Q107" s="4273"/>
      <c r="R107" s="4273"/>
      <c r="S107" s="4273"/>
      <c r="T107" s="4273"/>
      <c r="U107" s="4273"/>
      <c r="V107" s="4273"/>
      <c r="W107" s="4273"/>
      <c r="X107" s="4273"/>
      <c r="Y107" s="4273"/>
      <c r="Z107" s="4273"/>
      <c r="AA107" s="4273"/>
      <c r="AB107" s="4273"/>
      <c r="AC107" s="4273"/>
      <c r="AD107" s="4273"/>
      <c r="AE107" s="4273"/>
      <c r="AF107" s="4273"/>
      <c r="AG107" s="4273"/>
      <c r="AH107" s="4273"/>
      <c r="AI107" s="4273"/>
      <c r="AJ107" s="437"/>
      <c r="AK107" s="2407"/>
      <c r="AL107" s="2407"/>
      <c r="AM107" s="2407"/>
      <c r="AN107" s="3270"/>
      <c r="AO107" s="808"/>
      <c r="AP107" s="780"/>
      <c r="AQ107" s="780"/>
      <c r="AR107" s="780"/>
      <c r="AS107" s="780"/>
      <c r="AT107" s="780"/>
      <c r="AU107" s="780"/>
      <c r="AV107" s="808"/>
      <c r="AW107" s="808"/>
      <c r="AX107" s="808"/>
      <c r="AY107" s="1586" t="b">
        <f>OR(SpouseBirthMonth="",SpouseBirthDay="",SpouseBirthYear="")</f>
        <v>1</v>
      </c>
      <c r="AZ107" s="3306" t="e">
        <f>DATEVALUE(AZ108)</f>
        <v>#N/A</v>
      </c>
      <c r="BA107" s="1587" t="s">
        <v>827</v>
      </c>
      <c r="BB107" s="1587"/>
      <c r="BC107" s="1587"/>
      <c r="BD107" s="1591" t="s">
        <v>777</v>
      </c>
      <c r="BE107" s="1588" t="e">
        <f>IF(AND(SpouseBirthMonth=2,SpouseBirthDay=29),SpouseBirthDay-1&amp;"-"&amp;LOOKUP(SpouseBirthMonth,$BG$83:$BG$95,$BH$83:$BH$95)&amp;"-"&amp;(SpouseBirthYear+70),SpouseBirthDay&amp;"-"&amp;LOOKUP(SpouseBirthMonth,$BG$83:$BG$95,$BH$83:$BH$95)&amp;"-"&amp;(SpouseBirthYear+70))</f>
        <v>#N/A</v>
      </c>
      <c r="BF107" s="1587"/>
      <c r="BG107" s="1588"/>
      <c r="BH107" s="1589" t="b">
        <f>AND(SpouseDeathMonth&lt;&gt;"",SpouseDeathDay&lt;&gt;"",SpouseDeathYear&lt;&gt;"",SpouseDeceased&lt;&gt;"",ISERROR(SpouseDeathDate))</f>
        <v>0</v>
      </c>
      <c r="BI107" s="780"/>
      <c r="BJ107" s="2725"/>
      <c r="BK107" s="2038"/>
      <c r="BL107" s="2038"/>
      <c r="BM107" s="2038"/>
      <c r="BN107" s="2038"/>
      <c r="BO107" s="2038"/>
      <c r="BP107" s="2038"/>
      <c r="BQ107" s="2038"/>
      <c r="BR107" s="2038"/>
      <c r="BS107" s="2038"/>
      <c r="BT107" s="2038"/>
      <c r="BU107" s="2038"/>
      <c r="BV107" s="2038"/>
    </row>
    <row r="108" spans="1:74" ht="14.25" customHeight="1" thickBot="1">
      <c r="A108" s="394"/>
      <c r="B108" s="6433"/>
      <c r="C108" s="6433"/>
      <c r="D108" s="6433"/>
      <c r="E108" s="5318"/>
      <c r="F108" s="814" t="s">
        <v>828</v>
      </c>
      <c r="G108" s="808"/>
      <c r="H108" s="814"/>
      <c r="I108" s="814"/>
      <c r="J108" s="814"/>
      <c r="K108" s="814"/>
      <c r="L108" s="814"/>
      <c r="M108" s="814"/>
      <c r="N108" s="814"/>
      <c r="O108" s="814"/>
      <c r="P108" s="814"/>
      <c r="Q108" s="916" t="s">
        <v>251</v>
      </c>
      <c r="R108" s="814"/>
      <c r="S108" s="814"/>
      <c r="T108" s="917"/>
      <c r="U108" s="6566" t="s">
        <v>829</v>
      </c>
      <c r="V108" s="6567"/>
      <c r="W108" s="6567"/>
      <c r="X108" s="6567"/>
      <c r="Y108" s="6567"/>
      <c r="Z108" s="6567"/>
      <c r="AA108" s="6568"/>
      <c r="AB108" s="6428" t="s">
        <v>830</v>
      </c>
      <c r="AC108" s="6429"/>
      <c r="AD108" s="6429"/>
      <c r="AE108" s="6429"/>
      <c r="AF108" s="6429"/>
      <c r="AG108" s="6429"/>
      <c r="AH108" s="6429"/>
      <c r="AI108" s="6429"/>
      <c r="AJ108" s="437"/>
      <c r="AK108" s="22"/>
      <c r="AL108" s="22"/>
      <c r="AM108" s="22"/>
      <c r="AN108" s="3270"/>
      <c r="AO108" s="808"/>
      <c r="AP108" s="780"/>
      <c r="AQ108" s="780"/>
      <c r="AR108" s="780"/>
      <c r="AS108" s="780"/>
      <c r="AT108" s="780"/>
      <c r="AU108" s="780"/>
      <c r="AV108" s="808"/>
      <c r="AW108" s="808"/>
      <c r="AX108" s="808"/>
      <c r="AY108" s="1592" t="e">
        <f>LOOKUP(SpouseBirthMonth,$BG$83:$BG$95,$BH$83:$BH$95)</f>
        <v>#N/A</v>
      </c>
      <c r="AZ108" s="1588" t="e">
        <f>SpouseBirthDay&amp;"-"&amp;AY108&amp;"-"&amp;SpouseBirthYear</f>
        <v>#N/A</v>
      </c>
      <c r="BA108" s="3151" t="b">
        <f>IF(OR(SpouseBirthMonth="",SpouseBirthDay="",SpouseBirthYear=""),TRUE,IF(ISERROR(AZ107),TRUE,FALSE))</f>
        <v>1</v>
      </c>
      <c r="BB108" s="1587" t="b">
        <f>IF(OR(AND(SpouseBirthMonth="",SpouseBirthDay="",SpouseBirthYear=""),NOT_MFJ),FALSE,IF(OR(BadBirthdate_Spouse,AND(SpouseAge&gt;120,AND(SpouseBirthMonth&lt;&gt;"",SpouseBirthDay&lt;&gt;"",SpouseBirthYear&lt;&gt;""))),TRUE,FALSE))</f>
        <v>0</v>
      </c>
      <c r="BC108" s="1587"/>
      <c r="BD108" s="1593"/>
      <c r="BE108" s="1588"/>
      <c r="BF108" s="1587">
        <f>SpouseBirthMonth+6</f>
        <v>6</v>
      </c>
      <c r="BG108" s="1588" t="e">
        <f>LOOKUP(SpouseDeathMonth,$BG$83:$BG$95,$BH$83:$BH$95)</f>
        <v>#N/A</v>
      </c>
      <c r="BH108" s="1589" t="e">
        <f>SpouseDeathDay&amp;"-"&amp;BG108&amp;"-"&amp;SpouseDeathYear</f>
        <v>#N/A</v>
      </c>
      <c r="BI108" s="780"/>
      <c r="BJ108" s="2725"/>
      <c r="BK108" s="2038"/>
      <c r="BL108" s="2038"/>
      <c r="BM108" s="2038"/>
      <c r="BN108" s="2038"/>
      <c r="BO108" s="2038"/>
      <c r="BP108" s="2038"/>
      <c r="BQ108" s="2038"/>
      <c r="BR108" s="2038"/>
      <c r="BS108" s="2038"/>
      <c r="BT108" s="2038"/>
      <c r="BU108" s="2038"/>
      <c r="BV108" s="2038"/>
    </row>
    <row r="109" spans="1:74" ht="14.25" customHeight="1" thickBot="1">
      <c r="A109" s="394"/>
      <c r="B109" s="814"/>
      <c r="C109" s="814" t="s">
        <v>831</v>
      </c>
      <c r="D109" s="2481"/>
      <c r="E109" s="2481"/>
      <c r="F109" s="6412"/>
      <c r="G109" s="6412"/>
      <c r="H109" s="6412"/>
      <c r="I109" s="6412"/>
      <c r="J109" s="6412"/>
      <c r="K109" s="6412"/>
      <c r="L109" s="6412"/>
      <c r="M109" s="6412"/>
      <c r="N109" s="6412"/>
      <c r="O109" s="6412"/>
      <c r="P109" s="6413"/>
      <c r="Q109" s="6416"/>
      <c r="R109" s="6417"/>
      <c r="S109" s="6417"/>
      <c r="T109" s="6418"/>
      <c r="U109" s="6422"/>
      <c r="V109" s="6423"/>
      <c r="W109" s="6423"/>
      <c r="X109" s="6423"/>
      <c r="Y109" s="6423"/>
      <c r="Z109" s="6423"/>
      <c r="AA109" s="6424"/>
      <c r="AB109" s="6428"/>
      <c r="AC109" s="6429"/>
      <c r="AD109" s="6429"/>
      <c r="AE109" s="6429"/>
      <c r="AF109" s="6429"/>
      <c r="AG109" s="6429"/>
      <c r="AH109" s="6429"/>
      <c r="AI109" s="6429"/>
      <c r="AJ109" s="437"/>
      <c r="AK109" s="22"/>
      <c r="AL109" s="22"/>
      <c r="AM109" s="22"/>
      <c r="AN109" s="3270"/>
      <c r="AO109" s="808"/>
      <c r="AP109" s="780"/>
      <c r="AQ109" s="780"/>
      <c r="AR109" s="780"/>
      <c r="AS109" s="780"/>
      <c r="AT109" s="780"/>
      <c r="AU109" s="780"/>
      <c r="AV109" s="808"/>
      <c r="AW109" s="808"/>
      <c r="AX109" s="808"/>
      <c r="AY109" s="1586"/>
      <c r="AZ109" s="1587" t="e">
        <f>IF(BB108,"",DATEVALUE(AZ108))</f>
        <v>#N/A</v>
      </c>
      <c r="BA109" s="1587"/>
      <c r="BB109" s="1587"/>
      <c r="BC109" s="1591" t="str">
        <f>"SPOUSE is 70.5 on "&amp;TEXT(EndOfTaxYear,"dd-mmm-yyyy")&amp;" -&gt;"</f>
        <v>SPOUSE is 70.5 on 31-Dec-2023 -&gt;</v>
      </c>
      <c r="BD109" s="1594" t="b">
        <f>IF(BadBirthdate_Spouse,FALSE, IF(DATEVALUE(BE107)&lt;=DATEVALUE(BD92),TRUE,FALSE))</f>
        <v>0</v>
      </c>
      <c r="BE109" s="1588"/>
      <c r="BF109" s="1587">
        <f>IF(BF108&lt;=12,SpouseBirthYear+70,SpouseBirthYear+71)</f>
        <v>70</v>
      </c>
      <c r="BG109" s="1588"/>
      <c r="BH109" s="1589"/>
      <c r="BI109" s="780"/>
      <c r="BJ109" s="2725"/>
      <c r="BK109" s="2038"/>
      <c r="BL109" s="2038"/>
      <c r="BM109" s="2038"/>
      <c r="BN109" s="2038"/>
      <c r="BO109" s="2038"/>
      <c r="BP109" s="2038"/>
      <c r="BQ109" s="2038"/>
      <c r="BR109" s="2038"/>
      <c r="BS109" s="2038"/>
      <c r="BT109" s="2038"/>
      <c r="BU109" s="2038"/>
      <c r="BV109" s="2038"/>
    </row>
    <row r="110" spans="1:74" ht="14.25" customHeight="1" thickBot="1">
      <c r="A110" s="394"/>
      <c r="B110" s="814"/>
      <c r="C110" s="1750" t="s">
        <v>832</v>
      </c>
      <c r="D110" s="3268"/>
      <c r="E110" s="3268"/>
      <c r="F110" s="6414"/>
      <c r="G110" s="6414"/>
      <c r="H110" s="6414"/>
      <c r="I110" s="6414"/>
      <c r="J110" s="6414"/>
      <c r="K110" s="6414"/>
      <c r="L110" s="6414"/>
      <c r="M110" s="6414"/>
      <c r="N110" s="6414"/>
      <c r="O110" s="6414"/>
      <c r="P110" s="6415"/>
      <c r="Q110" s="6419"/>
      <c r="R110" s="6420"/>
      <c r="S110" s="6420"/>
      <c r="T110" s="6421"/>
      <c r="U110" s="6425"/>
      <c r="V110" s="6426"/>
      <c r="W110" s="6426"/>
      <c r="X110" s="6426"/>
      <c r="Y110" s="6426"/>
      <c r="Z110" s="6426"/>
      <c r="AA110" s="6427"/>
      <c r="AB110" s="6430" t="s">
        <v>833</v>
      </c>
      <c r="AC110" s="6431"/>
      <c r="AD110" s="2418"/>
      <c r="AE110" s="2418"/>
      <c r="AF110" s="2427"/>
      <c r="AG110" s="2427"/>
      <c r="AH110" s="2427"/>
      <c r="AI110" s="2427"/>
      <c r="AJ110" s="437"/>
      <c r="AK110" s="22"/>
      <c r="AL110" s="22"/>
      <c r="AM110" s="22"/>
      <c r="AN110" s="3270"/>
      <c r="AO110" s="808"/>
      <c r="AP110" s="780"/>
      <c r="AQ110" s="780"/>
      <c r="AR110" s="780"/>
      <c r="AS110" s="780"/>
      <c r="AT110" s="780"/>
      <c r="AU110" s="780"/>
      <c r="AV110" s="780"/>
      <c r="AW110" s="780"/>
      <c r="AX110" s="808"/>
      <c r="AY110" s="1586"/>
      <c r="AZ110" s="1587" t="e">
        <f>ROUNDDOWN((EndOfTaxYear-AZ109)/365.25,1)</f>
        <v>#N/A</v>
      </c>
      <c r="BA110" s="1587"/>
      <c r="BB110" s="1587"/>
      <c r="BC110" s="1591" t="str">
        <f>"SPOUSE is 65 on "&amp;TEXT(EndOfTaxYear,"dd-mmm-yyyy")&amp;" -&gt;"</f>
        <v>SPOUSE is 65 on 31-Dec-2023 -&gt;</v>
      </c>
      <c r="BD110" s="1594" t="b">
        <f>IF(BadBirthdate_Spouse,FALSE,SpouseAge&gt;=65)</f>
        <v>0</v>
      </c>
      <c r="BE110" s="1595"/>
      <c r="BF110" s="1587"/>
      <c r="BG110" s="1588"/>
      <c r="BH110" s="1589"/>
      <c r="BI110" s="780"/>
      <c r="BJ110" s="2725"/>
      <c r="BK110" s="2038"/>
      <c r="BL110" s="2038"/>
      <c r="BM110" s="2038"/>
      <c r="BN110" s="2038"/>
      <c r="BO110" s="2038"/>
      <c r="BP110" s="2038"/>
      <c r="BQ110" s="2038"/>
      <c r="BR110" s="2038"/>
      <c r="BS110" s="2038"/>
      <c r="BT110" s="2038"/>
      <c r="BU110" s="2038"/>
      <c r="BV110" s="2038"/>
    </row>
    <row r="111" spans="1:74" ht="14.25" customHeight="1" thickBot="1">
      <c r="A111" s="394"/>
      <c r="B111" s="814"/>
      <c r="C111" s="814" t="s">
        <v>834</v>
      </c>
      <c r="D111" s="2481"/>
      <c r="E111" s="2481"/>
      <c r="F111" s="814" t="s">
        <v>835</v>
      </c>
      <c r="G111" s="814"/>
      <c r="H111" s="814"/>
      <c r="I111" s="814"/>
      <c r="J111" s="814"/>
      <c r="K111" s="814"/>
      <c r="L111" s="814"/>
      <c r="M111" s="814"/>
      <c r="N111" s="814"/>
      <c r="O111" s="814"/>
      <c r="P111" s="814"/>
      <c r="Q111" s="815" t="s">
        <v>251</v>
      </c>
      <c r="R111" s="816"/>
      <c r="S111" s="816"/>
      <c r="T111" s="817"/>
      <c r="U111" s="6566" t="s">
        <v>836</v>
      </c>
      <c r="V111" s="6567"/>
      <c r="W111" s="6567"/>
      <c r="X111" s="6567"/>
      <c r="Y111" s="6567"/>
      <c r="Z111" s="6567"/>
      <c r="AA111" s="6567"/>
      <c r="AB111" s="6428" t="s">
        <v>830</v>
      </c>
      <c r="AC111" s="6429"/>
      <c r="AD111" s="6429"/>
      <c r="AE111" s="6429"/>
      <c r="AF111" s="6429"/>
      <c r="AG111" s="6429"/>
      <c r="AH111" s="6429"/>
      <c r="AI111" s="6429"/>
      <c r="AJ111" s="437"/>
      <c r="AK111" s="22"/>
      <c r="AL111" s="22"/>
      <c r="AM111" s="22"/>
      <c r="AN111" s="3270"/>
      <c r="AO111" s="808"/>
      <c r="AP111" s="780"/>
      <c r="AQ111" s="780"/>
      <c r="AR111" s="780"/>
      <c r="AS111" s="780"/>
      <c r="AT111" s="780"/>
      <c r="AU111" s="780"/>
      <c r="AV111" s="780"/>
      <c r="AW111" s="780"/>
      <c r="AX111" s="808"/>
      <c r="AY111" s="1586"/>
      <c r="AZ111" s="3305" t="str">
        <f>IF(SpouseBirthYear="","?",IF(AND(SpouseBirthMonth=1,SpouseBirthDay=1),TaxYear-SpouseBirthYear+1,TaxYear-SpouseBirthYear))</f>
        <v>?</v>
      </c>
      <c r="BA111" s="1587"/>
      <c r="BB111" s="1587"/>
      <c r="BC111" s="1591" t="str">
        <f>"SPOUSE is born before "&amp;TEXT(BF91,"dd-mmm-yyyy")&amp;" -&gt;"</f>
        <v>SPOUSE is born before 02-Jan-1958 -&gt;</v>
      </c>
      <c r="BD111" s="1594" t="e">
        <f>AZ107&lt;$BF$91</f>
        <v>#N/A</v>
      </c>
      <c r="BE111" s="1595"/>
      <c r="BF111" s="1587"/>
      <c r="BG111" s="1588"/>
      <c r="BH111" s="1589"/>
      <c r="BI111" s="780"/>
      <c r="BJ111" s="2725"/>
      <c r="BK111" s="2038"/>
      <c r="BL111" s="2038"/>
      <c r="BM111" s="2038"/>
      <c r="BN111" s="2038"/>
      <c r="BO111" s="2038"/>
      <c r="BP111" s="2038"/>
      <c r="BQ111" s="2038"/>
      <c r="BR111" s="2038"/>
      <c r="BS111" s="2038"/>
      <c r="BT111" s="2038"/>
      <c r="BU111" s="2038"/>
      <c r="BV111" s="2038"/>
    </row>
    <row r="112" spans="1:74" ht="14.25" customHeight="1" thickBot="1">
      <c r="A112" s="394"/>
      <c r="B112" s="814"/>
      <c r="C112" s="6439" t="s">
        <v>837</v>
      </c>
      <c r="D112" s="6439"/>
      <c r="E112" s="2481"/>
      <c r="F112" s="6412"/>
      <c r="G112" s="6412"/>
      <c r="H112" s="6412"/>
      <c r="I112" s="6412"/>
      <c r="J112" s="6412"/>
      <c r="K112" s="6412"/>
      <c r="L112" s="6412"/>
      <c r="M112" s="6412"/>
      <c r="N112" s="6412"/>
      <c r="O112" s="6412"/>
      <c r="P112" s="6413"/>
      <c r="Q112" s="6416"/>
      <c r="R112" s="6417"/>
      <c r="S112" s="6417"/>
      <c r="T112" s="6418"/>
      <c r="U112" s="6422"/>
      <c r="V112" s="6423"/>
      <c r="W112" s="6423"/>
      <c r="X112" s="6423"/>
      <c r="Y112" s="6423"/>
      <c r="Z112" s="6423"/>
      <c r="AA112" s="6424"/>
      <c r="AB112" s="6428"/>
      <c r="AC112" s="6429"/>
      <c r="AD112" s="6429"/>
      <c r="AE112" s="6429"/>
      <c r="AF112" s="6429"/>
      <c r="AG112" s="6429"/>
      <c r="AH112" s="6429"/>
      <c r="AI112" s="6429"/>
      <c r="AJ112" s="437"/>
      <c r="AK112" s="22"/>
      <c r="AL112" s="22"/>
      <c r="AM112" s="22"/>
      <c r="AN112" s="3270"/>
      <c r="AO112" s="808"/>
      <c r="AP112" s="780"/>
      <c r="AQ112" s="780"/>
      <c r="AR112" s="780"/>
      <c r="AS112" s="780"/>
      <c r="AT112" s="780"/>
      <c r="AU112" s="780"/>
      <c r="AV112" s="780"/>
      <c r="AW112" s="780"/>
      <c r="AX112" s="808"/>
      <c r="AY112" s="1586"/>
      <c r="AZ112" s="3305"/>
      <c r="BA112" s="1587"/>
      <c r="BB112" s="1587"/>
      <c r="BC112" s="1587"/>
      <c r="BD112" s="1587"/>
      <c r="BE112" s="1595"/>
      <c r="BF112" s="1587"/>
      <c r="BG112" s="1588"/>
      <c r="BH112" s="1589"/>
      <c r="BI112" s="780"/>
      <c r="BJ112" s="2725"/>
      <c r="BK112" s="2038"/>
      <c r="BL112" s="2038"/>
      <c r="BM112" s="2038"/>
      <c r="BN112" s="2038"/>
      <c r="BO112" s="2038"/>
      <c r="BP112" s="2038"/>
      <c r="BQ112" s="2038"/>
      <c r="BR112" s="2038"/>
      <c r="BS112" s="2038"/>
      <c r="BT112" s="2038"/>
      <c r="BU112" s="2038"/>
      <c r="BV112" s="2038"/>
    </row>
    <row r="113" spans="1:74" ht="14.25" customHeight="1" thickBot="1">
      <c r="A113" s="394"/>
      <c r="B113" s="814"/>
      <c r="C113" s="3271"/>
      <c r="D113" s="3271"/>
      <c r="E113" s="3271"/>
      <c r="F113" s="6414"/>
      <c r="G113" s="6414"/>
      <c r="H113" s="6414"/>
      <c r="I113" s="6414"/>
      <c r="J113" s="6414"/>
      <c r="K113" s="6414"/>
      <c r="L113" s="6414"/>
      <c r="M113" s="6414"/>
      <c r="N113" s="6414"/>
      <c r="O113" s="6414"/>
      <c r="P113" s="6415"/>
      <c r="Q113" s="6419"/>
      <c r="R113" s="6420"/>
      <c r="S113" s="6420"/>
      <c r="T113" s="6421"/>
      <c r="U113" s="6425"/>
      <c r="V113" s="6426"/>
      <c r="W113" s="6426"/>
      <c r="X113" s="6426"/>
      <c r="Y113" s="6426"/>
      <c r="Z113" s="6426"/>
      <c r="AA113" s="6427"/>
      <c r="AB113" s="6430" t="s">
        <v>833</v>
      </c>
      <c r="AC113" s="6431"/>
      <c r="AD113" s="2418"/>
      <c r="AE113" s="2418"/>
      <c r="AF113" s="2427"/>
      <c r="AG113" s="2427"/>
      <c r="AH113" s="2427"/>
      <c r="AI113" s="2427"/>
      <c r="AJ113" s="437"/>
      <c r="AK113" s="22"/>
      <c r="AL113" s="22"/>
      <c r="AM113" s="22"/>
      <c r="AN113" s="3270"/>
      <c r="AO113" s="808"/>
      <c r="AP113" s="780"/>
      <c r="AQ113" s="780"/>
      <c r="AR113" s="780"/>
      <c r="AS113" s="780"/>
      <c r="AT113" s="780"/>
      <c r="AU113" s="780"/>
      <c r="AV113" s="780"/>
      <c r="AW113" s="780"/>
      <c r="AX113" s="808"/>
      <c r="AY113" s="1586" t="s">
        <v>838</v>
      </c>
      <c r="AZ113" s="3305"/>
      <c r="BA113" s="3307">
        <f>DATEVALUE("2-JAN-"&amp;(TaxYear-23))</f>
        <v>36527</v>
      </c>
      <c r="BB113" s="1587" t="e">
        <f>IF(NOT_MFJ,FALSE,$AZ$107&lt;BA113)</f>
        <v>#N/A</v>
      </c>
      <c r="BC113" s="1591"/>
      <c r="BD113" s="3951"/>
      <c r="BE113" s="1595"/>
      <c r="BF113" s="1587"/>
      <c r="BG113" s="1588"/>
      <c r="BH113" s="1589"/>
      <c r="BI113" s="780"/>
      <c r="BJ113" s="2725"/>
      <c r="BK113" s="2038"/>
      <c r="BL113" s="2038"/>
      <c r="BM113" s="2038"/>
      <c r="BN113" s="2038"/>
      <c r="BO113" s="2038"/>
      <c r="BP113" s="2038"/>
      <c r="BQ113" s="2038"/>
      <c r="BR113" s="2038"/>
      <c r="BS113" s="2038"/>
      <c r="BT113" s="2038"/>
      <c r="BU113" s="2038"/>
      <c r="BV113" s="2038"/>
    </row>
    <row r="114" spans="1:74" ht="14.25" customHeight="1" thickBot="1">
      <c r="A114" s="394"/>
      <c r="B114" s="3269"/>
      <c r="C114" s="5083"/>
      <c r="D114" s="5083"/>
      <c r="E114" s="5083"/>
      <c r="F114" s="5084" t="s">
        <v>822</v>
      </c>
      <c r="G114" s="5084"/>
      <c r="H114" s="5083"/>
      <c r="I114" s="6605"/>
      <c r="J114" s="6606"/>
      <c r="K114" s="6606"/>
      <c r="L114" s="6606"/>
      <c r="M114" s="6606"/>
      <c r="N114" s="6606"/>
      <c r="O114" s="6606"/>
      <c r="P114" s="5083"/>
      <c r="Q114" s="6610" t="s">
        <v>839</v>
      </c>
      <c r="R114" s="6611"/>
      <c r="S114" s="6611"/>
      <c r="T114" s="6611"/>
      <c r="U114" s="6607"/>
      <c r="V114" s="6608"/>
      <c r="W114" s="6608"/>
      <c r="X114" s="6608"/>
      <c r="Y114" s="6608"/>
      <c r="Z114" s="6608"/>
      <c r="AA114" s="6608"/>
      <c r="AB114" s="6609"/>
      <c r="AC114" s="6609"/>
      <c r="AD114" s="6609"/>
      <c r="AE114" s="6609"/>
      <c r="AF114" s="5085"/>
      <c r="AG114" s="5086"/>
      <c r="AH114" s="5086"/>
      <c r="AI114" s="5086"/>
      <c r="AJ114" s="437"/>
      <c r="AK114" s="22"/>
      <c r="AL114" s="22"/>
      <c r="AM114" s="22"/>
      <c r="AN114" s="3270"/>
      <c r="AO114" s="808"/>
      <c r="AP114" s="780"/>
      <c r="AQ114" s="780"/>
      <c r="AR114" s="780"/>
      <c r="AS114" s="780"/>
      <c r="AT114" s="780"/>
      <c r="AU114" s="780"/>
      <c r="AV114" s="780"/>
      <c r="AW114" s="780"/>
      <c r="AX114" s="808"/>
      <c r="AY114" s="3952" t="s">
        <v>840</v>
      </c>
      <c r="AZ114" s="3305"/>
      <c r="BA114" s="3307">
        <f>DATEVALUE("2-JAN-"&amp;(TaxYear-24))</f>
        <v>36162</v>
      </c>
      <c r="BB114" s="1587" t="e">
        <f>IF(NOT_MFJ,FALSE,$AZ$107&lt;BA114)</f>
        <v>#N/A</v>
      </c>
      <c r="BC114" s="1591"/>
      <c r="BD114" s="1587"/>
      <c r="BE114" s="1595"/>
      <c r="BF114" s="1587"/>
      <c r="BG114" s="1588"/>
      <c r="BH114" s="1589"/>
      <c r="BI114" s="780"/>
      <c r="BJ114" s="2725"/>
      <c r="BK114" s="2038"/>
      <c r="BL114" s="2038"/>
      <c r="BM114" s="2038"/>
      <c r="BN114" s="2038"/>
      <c r="BO114" s="2038"/>
      <c r="BP114" s="2038"/>
      <c r="BQ114" s="2038"/>
      <c r="BR114" s="2038"/>
      <c r="BS114" s="2038"/>
      <c r="BT114" s="2038"/>
      <c r="BU114" s="2038"/>
      <c r="BV114" s="2038"/>
    </row>
    <row r="115" spans="1:74" ht="14.25" customHeight="1">
      <c r="A115" s="394"/>
      <c r="B115" s="6411" t="s">
        <v>841</v>
      </c>
      <c r="C115" s="6411"/>
      <c r="D115" s="1704"/>
      <c r="E115" s="1704"/>
      <c r="F115" s="6612" t="s">
        <v>842</v>
      </c>
      <c r="G115" s="6565"/>
      <c r="H115" s="6565"/>
      <c r="I115" s="6565"/>
      <c r="J115" s="6565"/>
      <c r="K115" s="6565"/>
      <c r="L115" s="6613"/>
      <c r="M115" s="6564" t="s">
        <v>843</v>
      </c>
      <c r="N115" s="6565"/>
      <c r="O115" s="6565"/>
      <c r="P115" s="6565"/>
      <c r="Q115" s="6565"/>
      <c r="R115" s="6565"/>
      <c r="S115" s="6565"/>
      <c r="T115" s="6565"/>
      <c r="U115" s="5081"/>
      <c r="V115" s="5082"/>
      <c r="W115" s="6436" t="s">
        <v>251</v>
      </c>
      <c r="X115" s="6437"/>
      <c r="Y115" s="6437"/>
      <c r="Z115" s="6438"/>
      <c r="AA115" s="6436" t="s">
        <v>844</v>
      </c>
      <c r="AB115" s="6437"/>
      <c r="AC115" s="6437"/>
      <c r="AD115" s="6437"/>
      <c r="AE115" s="6438"/>
      <c r="AF115" s="6614" t="s">
        <v>845</v>
      </c>
      <c r="AG115" s="6615"/>
      <c r="AH115" s="6615"/>
      <c r="AI115" s="6615"/>
      <c r="AJ115" s="437"/>
      <c r="AK115" s="22"/>
      <c r="AL115" s="22"/>
      <c r="AM115" s="22"/>
      <c r="AN115" s="3270"/>
      <c r="AO115" s="808"/>
      <c r="AP115" s="780"/>
      <c r="AQ115" s="780"/>
      <c r="AR115" s="780"/>
      <c r="AS115" s="780"/>
      <c r="AT115" s="780"/>
      <c r="AU115" s="780"/>
      <c r="AV115" s="780"/>
      <c r="AW115" s="780"/>
      <c r="AX115" s="808"/>
      <c r="AY115" s="3952" t="s">
        <v>846</v>
      </c>
      <c r="AZ115" s="3305"/>
      <c r="BA115" s="3307">
        <f>DATEVALUE("31-DEC-"&amp;(TaxYear-65))</f>
        <v>21550</v>
      </c>
      <c r="BB115" s="1587" t="e">
        <f>IF(NOT_MFJ,FALSE,$AZ$107&gt;BA115)</f>
        <v>#N/A</v>
      </c>
      <c r="BC115" s="1591"/>
      <c r="BD115" s="1587"/>
      <c r="BE115" s="1595"/>
      <c r="BF115" s="1587"/>
      <c r="BG115" s="1588"/>
      <c r="BH115" s="1589"/>
      <c r="BI115" s="780"/>
      <c r="BJ115" s="2725"/>
      <c r="BK115" s="2038"/>
      <c r="BL115" s="2038"/>
      <c r="BM115" s="2038"/>
      <c r="BN115" s="2038"/>
      <c r="BO115" s="2038"/>
      <c r="BP115" s="2038"/>
      <c r="BQ115" s="2038"/>
      <c r="BR115" s="2038"/>
      <c r="BS115" s="2038"/>
      <c r="BT115" s="2038"/>
      <c r="BU115" s="2038"/>
      <c r="BV115" s="2038"/>
    </row>
    <row r="116" spans="1:74" ht="16.5" customHeight="1">
      <c r="A116" s="394"/>
      <c r="B116" s="6411"/>
      <c r="C116" s="6411"/>
      <c r="D116" s="1704"/>
      <c r="E116" s="1704"/>
      <c r="F116" s="6569"/>
      <c r="G116" s="6569"/>
      <c r="H116" s="6569"/>
      <c r="I116" s="6569"/>
      <c r="J116" s="6569"/>
      <c r="K116" s="6570"/>
      <c r="L116" s="6571"/>
      <c r="M116" s="6500"/>
      <c r="N116" s="6616"/>
      <c r="O116" s="6616"/>
      <c r="P116" s="6616"/>
      <c r="Q116" s="6616"/>
      <c r="R116" s="6616"/>
      <c r="S116" s="6616"/>
      <c r="T116" s="6616"/>
      <c r="U116" s="6616"/>
      <c r="V116" s="6617"/>
      <c r="W116" s="6588"/>
      <c r="X116" s="6589"/>
      <c r="Y116" s="6589"/>
      <c r="Z116" s="6590"/>
      <c r="AA116" s="6591"/>
      <c r="AB116" s="6569"/>
      <c r="AC116" s="6569"/>
      <c r="AD116" s="6569"/>
      <c r="AE116" s="6592"/>
      <c r="AF116" s="809"/>
      <c r="AG116" s="2585" t="s">
        <v>847</v>
      </c>
      <c r="AH116" s="2419"/>
      <c r="AI116" s="2419"/>
      <c r="AJ116" s="437"/>
      <c r="AK116" s="22"/>
      <c r="AL116" s="22"/>
      <c r="AM116" s="22"/>
      <c r="AN116" s="3270"/>
      <c r="AO116" s="780"/>
      <c r="AP116" s="780"/>
      <c r="AQ116" s="780"/>
      <c r="AR116" s="780"/>
      <c r="AS116" s="780"/>
      <c r="AT116" s="780"/>
      <c r="AU116" s="780"/>
      <c r="AV116" s="780"/>
      <c r="AW116" s="780"/>
      <c r="AX116" s="808"/>
      <c r="AY116" s="1586"/>
      <c r="AZ116" s="3305"/>
      <c r="BA116" s="1588" t="s">
        <v>809</v>
      </c>
      <c r="BB116" s="1587" t="e">
        <f>AND(Spouse_GT24,Spouse_LT65)</f>
        <v>#N/A</v>
      </c>
      <c r="BC116" s="1591"/>
      <c r="BD116" s="1587"/>
      <c r="BE116" s="1595"/>
      <c r="BF116" s="1587"/>
      <c r="BG116" s="1588"/>
      <c r="BH116" s="1589"/>
      <c r="BI116" s="780"/>
      <c r="BJ116" s="2725"/>
      <c r="BK116" s="2038"/>
      <c r="BL116" s="2038"/>
      <c r="BM116" s="2038"/>
      <c r="BN116" s="2038"/>
      <c r="BO116" s="2038"/>
      <c r="BP116" s="2038"/>
      <c r="BQ116" s="2038"/>
      <c r="BR116" s="2038"/>
      <c r="BS116" s="2038"/>
      <c r="BT116" s="2038"/>
      <c r="BU116" s="2038"/>
      <c r="BV116" s="2038"/>
    </row>
    <row r="117" spans="1:74" ht="13.5" customHeight="1" thickBot="1">
      <c r="A117" s="394"/>
      <c r="B117" s="6411"/>
      <c r="C117" s="6411"/>
      <c r="D117" s="3665"/>
      <c r="E117" s="3665"/>
      <c r="F117" s="6593" t="s">
        <v>848</v>
      </c>
      <c r="G117" s="6594"/>
      <c r="H117" s="6594"/>
      <c r="I117" s="6595"/>
      <c r="J117" s="6604"/>
      <c r="K117" s="6604"/>
      <c r="L117" s="6604"/>
      <c r="M117" s="6604"/>
      <c r="N117" s="6604"/>
      <c r="O117" s="6604"/>
      <c r="P117" s="6604"/>
      <c r="Q117" s="6604"/>
      <c r="R117" s="6604"/>
      <c r="S117" s="6604"/>
      <c r="T117" s="6604"/>
      <c r="U117" s="6604"/>
      <c r="V117" s="6604"/>
      <c r="W117" s="6604"/>
      <c r="X117" s="6604"/>
      <c r="Y117" s="6604"/>
      <c r="Z117" s="6604"/>
      <c r="AA117" s="3687"/>
      <c r="AB117" s="6530" t="s">
        <v>822</v>
      </c>
      <c r="AC117" s="6531"/>
      <c r="AD117" s="6531"/>
      <c r="AE117" s="6434"/>
      <c r="AF117" s="6435"/>
      <c r="AG117" s="6435"/>
      <c r="AH117" s="6435"/>
      <c r="AI117" s="6435"/>
      <c r="AJ117" s="437"/>
      <c r="AK117" s="22"/>
      <c r="AL117" s="22"/>
      <c r="AM117" s="22"/>
      <c r="AN117" s="3270"/>
      <c r="AO117" s="780"/>
      <c r="AP117" s="780"/>
      <c r="AQ117" s="780"/>
      <c r="AR117" s="780"/>
      <c r="AS117" s="780"/>
      <c r="AT117" s="780"/>
      <c r="AU117" s="780"/>
      <c r="AV117" s="780"/>
      <c r="AW117" s="780"/>
      <c r="AX117" s="39"/>
      <c r="AY117" s="1599"/>
      <c r="AZ117" s="3272"/>
      <c r="BA117" s="1600"/>
      <c r="BB117" s="1600"/>
      <c r="BC117" s="1600"/>
      <c r="BD117" s="1600"/>
      <c r="BE117" s="1601"/>
      <c r="BF117" s="1600"/>
      <c r="BG117" s="1602"/>
      <c r="BH117" s="1603"/>
      <c r="BI117" s="780"/>
      <c r="BJ117" s="2725"/>
      <c r="BK117" s="2038"/>
      <c r="BL117" s="2038"/>
      <c r="BM117" s="2038"/>
      <c r="BN117" s="2038"/>
      <c r="BO117" s="2038"/>
      <c r="BP117" s="2038"/>
      <c r="BQ117" s="2038"/>
      <c r="BR117" s="2038"/>
      <c r="BS117" s="2038"/>
      <c r="BT117" s="2038"/>
      <c r="BU117" s="2038"/>
      <c r="BV117" s="2038"/>
    </row>
    <row r="118" spans="1:74" ht="13.5" customHeight="1" thickBot="1">
      <c r="A118" s="394"/>
      <c r="B118" s="6411"/>
      <c r="C118" s="6411"/>
      <c r="D118" s="3665"/>
      <c r="E118" s="3665"/>
      <c r="F118" s="6555" t="s">
        <v>849</v>
      </c>
      <c r="G118" s="6556"/>
      <c r="H118" s="6556"/>
      <c r="I118" s="6557"/>
      <c r="J118" s="6579"/>
      <c r="K118" s="6579"/>
      <c r="L118" s="6579"/>
      <c r="M118" s="6579"/>
      <c r="N118" s="6579"/>
      <c r="O118" s="6579"/>
      <c r="P118" s="6579"/>
      <c r="Q118" s="6579"/>
      <c r="R118" s="6579"/>
      <c r="S118" s="6579"/>
      <c r="T118" s="6579"/>
      <c r="U118" s="6579"/>
      <c r="V118" s="6579"/>
      <c r="W118" s="6579"/>
      <c r="X118" s="6579"/>
      <c r="Y118" s="6579"/>
      <c r="Z118" s="6579"/>
      <c r="AA118" s="6580"/>
      <c r="AB118" s="6574" t="s">
        <v>850</v>
      </c>
      <c r="AC118" s="6574"/>
      <c r="AD118" s="5990"/>
      <c r="AE118" s="6572"/>
      <c r="AF118" s="6572"/>
      <c r="AG118" s="6573"/>
      <c r="AH118" s="6573"/>
      <c r="AI118" s="6573"/>
      <c r="AJ118" s="437"/>
      <c r="AK118" s="22"/>
      <c r="AL118" s="22"/>
      <c r="AM118" s="22"/>
      <c r="AN118" s="3270"/>
      <c r="AO118" s="780"/>
      <c r="AP118" s="780"/>
      <c r="AQ118" s="780"/>
      <c r="AR118" s="780"/>
      <c r="AS118" s="780"/>
      <c r="AT118" s="780"/>
      <c r="AU118" s="780"/>
      <c r="AV118" s="780"/>
      <c r="AW118" s="780"/>
      <c r="AX118" s="808"/>
      <c r="AY118" s="800"/>
      <c r="AZ118" s="800"/>
      <c r="BA118" s="800"/>
      <c r="BB118" s="800"/>
      <c r="BC118" s="808"/>
      <c r="BD118" s="808"/>
      <c r="BE118" s="808"/>
      <c r="BF118" s="808"/>
      <c r="BG118" s="808"/>
      <c r="BH118" s="780"/>
      <c r="BI118" s="780"/>
      <c r="BJ118" s="2725"/>
      <c r="BK118" s="2038"/>
      <c r="BL118" s="2038"/>
      <c r="BM118" s="2038"/>
      <c r="BN118" s="2038"/>
      <c r="BO118" s="2038"/>
      <c r="BP118" s="2038"/>
      <c r="BQ118" s="2038"/>
      <c r="BR118" s="2038"/>
      <c r="BS118" s="2038"/>
      <c r="BT118" s="2038"/>
      <c r="BU118" s="2038"/>
      <c r="BV118" s="2038"/>
    </row>
    <row r="119" spans="1:74" ht="18.75" customHeight="1" thickTop="1">
      <c r="A119" s="394"/>
      <c r="B119" s="5991" t="s">
        <v>851</v>
      </c>
      <c r="C119" s="5992"/>
      <c r="D119" s="5992"/>
      <c r="E119" s="5992"/>
      <c r="F119" s="5992"/>
      <c r="G119" s="5993"/>
      <c r="H119" s="5994"/>
      <c r="I119" s="5995"/>
      <c r="J119" s="5995"/>
      <c r="K119" s="5995"/>
      <c r="L119" s="5995"/>
      <c r="M119" s="5995"/>
      <c r="N119" s="5995"/>
      <c r="O119" s="5995"/>
      <c r="P119" s="5995"/>
      <c r="Q119" s="5995"/>
      <c r="R119" s="5995"/>
      <c r="S119" s="5995"/>
      <c r="T119" s="5995"/>
      <c r="U119" s="5996"/>
      <c r="V119" s="5997"/>
      <c r="W119" s="5998"/>
      <c r="X119" s="5998"/>
      <c r="Y119" s="5998"/>
      <c r="Z119" s="5998"/>
      <c r="AA119" s="5998"/>
      <c r="AB119" s="5998"/>
      <c r="AC119" s="5998"/>
      <c r="AD119" s="6577" t="s">
        <v>852</v>
      </c>
      <c r="AE119" s="6578"/>
      <c r="AF119" s="6578"/>
      <c r="AG119" s="6578"/>
      <c r="AH119" s="5999"/>
      <c r="AI119" s="5999" t="str">
        <f>"("&amp;TaxYear&amp;")"</f>
        <v>(2023)</v>
      </c>
      <c r="AJ119" s="437"/>
      <c r="AL119" s="1236"/>
      <c r="AM119" s="1282"/>
      <c r="AN119" s="3270"/>
      <c r="AO119" s="780"/>
      <c r="AP119" s="780"/>
      <c r="AQ119" s="780"/>
      <c r="AR119" s="780"/>
      <c r="AS119" s="780"/>
      <c r="AT119" s="780"/>
      <c r="AU119" s="780"/>
      <c r="AV119" s="780"/>
      <c r="AW119" s="780"/>
      <c r="AX119" s="780"/>
      <c r="AY119" s="800"/>
      <c r="AZ119" s="800"/>
      <c r="BA119" s="800"/>
      <c r="BB119" s="800"/>
      <c r="BC119" s="808"/>
      <c r="BD119" s="808"/>
      <c r="BE119" s="808"/>
      <c r="BF119" s="808"/>
      <c r="BG119" s="808"/>
      <c r="BH119" s="780"/>
      <c r="BI119" s="780"/>
      <c r="BJ119" s="2725"/>
      <c r="BK119" s="2038"/>
      <c r="BL119" s="2038"/>
      <c r="BM119" s="2038"/>
      <c r="BN119" s="2038"/>
      <c r="BO119" s="2038"/>
      <c r="BP119" s="2038"/>
      <c r="BQ119" s="2038"/>
      <c r="BR119" s="2038"/>
      <c r="BS119" s="2038"/>
      <c r="BT119" s="2038"/>
      <c r="BU119" s="2038"/>
      <c r="BV119" s="2038"/>
    </row>
    <row r="120" spans="1:74" ht="18.75" customHeight="1">
      <c r="A120" s="437"/>
      <c r="B120" s="437"/>
      <c r="C120" s="437"/>
      <c r="D120" s="437"/>
      <c r="E120" s="437"/>
      <c r="F120" s="437"/>
      <c r="G120" s="437"/>
      <c r="H120" s="437"/>
      <c r="I120" s="437"/>
      <c r="J120" s="437"/>
      <c r="K120" s="437"/>
      <c r="L120" s="437"/>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5834"/>
      <c r="AL120" s="22"/>
      <c r="AM120" s="22"/>
      <c r="AN120" s="3270"/>
      <c r="AO120" s="780"/>
      <c r="AP120" s="780"/>
      <c r="AQ120" s="780"/>
      <c r="AR120" s="780"/>
      <c r="AS120" s="780"/>
      <c r="AT120" s="780"/>
      <c r="AU120" s="780"/>
      <c r="AV120" s="780"/>
      <c r="AW120" s="780"/>
      <c r="AX120" s="780"/>
      <c r="BI120" s="780"/>
      <c r="BJ120" s="2725"/>
      <c r="BK120" s="2038"/>
      <c r="BL120" s="2038"/>
      <c r="BM120" s="2038"/>
      <c r="BN120" s="2038"/>
      <c r="BO120" s="2038"/>
      <c r="BP120" s="2038"/>
      <c r="BQ120" s="2038"/>
      <c r="BR120" s="2038"/>
      <c r="BS120" s="2038"/>
      <c r="BT120" s="2038"/>
      <c r="BU120" s="2038"/>
      <c r="BV120" s="2038"/>
    </row>
    <row r="121" spans="1:74" ht="18.75" customHeight="1" thickBot="1">
      <c r="B121" s="198"/>
      <c r="C121" s="198"/>
      <c r="D121" s="198"/>
      <c r="E121" s="198"/>
      <c r="F121" s="198"/>
      <c r="G121" s="198"/>
      <c r="H121" s="198"/>
      <c r="I121" s="198"/>
      <c r="J121" s="198"/>
      <c r="K121" s="198"/>
      <c r="L121" s="198"/>
      <c r="M121" s="198"/>
      <c r="N121" s="198"/>
      <c r="O121" s="198"/>
      <c r="P121" s="198"/>
      <c r="Q121" s="198"/>
      <c r="R121" s="198"/>
      <c r="S121" s="198"/>
      <c r="T121" s="198"/>
      <c r="U121" s="198"/>
      <c r="V121" s="198"/>
      <c r="W121" s="198"/>
      <c r="X121" s="198"/>
      <c r="Y121" s="198"/>
      <c r="Z121" s="198"/>
      <c r="AA121" s="198"/>
      <c r="AB121" s="198"/>
      <c r="AC121" s="198"/>
      <c r="AD121" s="198"/>
      <c r="AE121" s="198"/>
      <c r="AF121" s="198"/>
      <c r="AG121" s="198"/>
      <c r="AH121" s="198"/>
      <c r="AI121" s="198"/>
      <c r="AJ121" s="198"/>
      <c r="AK121" s="22"/>
      <c r="AL121" s="22"/>
      <c r="AM121" s="22"/>
      <c r="AN121" s="3270"/>
      <c r="AO121" s="780"/>
      <c r="AP121" s="780"/>
      <c r="AQ121" s="780"/>
      <c r="AR121" s="780"/>
      <c r="AS121" s="780"/>
      <c r="AT121" s="780"/>
      <c r="AU121" s="780"/>
      <c r="AV121" s="780"/>
      <c r="AW121" s="780"/>
      <c r="AX121" s="780"/>
      <c r="BI121" s="780"/>
      <c r="BJ121" s="2725"/>
      <c r="BK121" s="2038"/>
      <c r="BL121" s="2038"/>
      <c r="BM121" s="2038"/>
      <c r="BN121" s="2038"/>
      <c r="BO121" s="2038"/>
      <c r="BP121" s="2038"/>
      <c r="BQ121" s="2038"/>
      <c r="BR121" s="2038"/>
      <c r="BS121" s="2038"/>
      <c r="BT121" s="2038"/>
      <c r="BU121" s="2038"/>
      <c r="BV121" s="2038"/>
    </row>
    <row r="122" spans="1:74" ht="18.75" customHeight="1" thickTop="1" thickBot="1">
      <c r="F122" s="6558" t="s">
        <v>853</v>
      </c>
      <c r="G122" s="6559"/>
      <c r="H122" s="6559"/>
      <c r="I122" s="6559"/>
      <c r="J122" s="6559"/>
      <c r="K122" s="6559"/>
      <c r="L122" s="6559"/>
      <c r="M122" s="6559"/>
      <c r="N122" s="6559"/>
      <c r="O122" s="6559"/>
      <c r="P122" s="6559"/>
      <c r="Q122" s="6559"/>
      <c r="R122" s="6559"/>
      <c r="S122" s="6559"/>
      <c r="T122" s="6559"/>
      <c r="U122" s="6560"/>
      <c r="AJ122" s="5"/>
      <c r="BJ122"/>
      <c r="BK122"/>
      <c r="BL122"/>
      <c r="BM122"/>
      <c r="BN122"/>
      <c r="BO122"/>
      <c r="BP122"/>
      <c r="BQ122"/>
      <c r="BR122"/>
      <c r="BS122"/>
      <c r="BT122"/>
      <c r="BU122"/>
      <c r="BV122"/>
    </row>
    <row r="123" spans="1:74" ht="18.75" customHeight="1" thickTop="1" thickBot="1">
      <c r="AJ123" s="5"/>
    </row>
    <row r="124" spans="1:74" ht="18.75" customHeight="1" thickTop="1" thickBot="1">
      <c r="F124" s="601" t="s">
        <v>854</v>
      </c>
      <c r="G124" s="602"/>
      <c r="H124" s="602"/>
      <c r="I124" s="602"/>
      <c r="J124" s="602"/>
      <c r="K124" s="602"/>
      <c r="L124" s="602"/>
      <c r="M124" s="602"/>
      <c r="N124" s="602"/>
      <c r="O124" s="602"/>
      <c r="P124" s="602"/>
      <c r="Q124" s="602"/>
      <c r="R124" s="602"/>
      <c r="S124" s="602"/>
      <c r="T124" s="602"/>
      <c r="U124" s="603"/>
      <c r="AJ124" s="5"/>
    </row>
    <row r="125" spans="1:74" ht="18.75" customHeight="1" thickTop="1">
      <c r="AJ125" s="5"/>
    </row>
    <row r="126" spans="1:74" ht="18.75" customHeight="1" thickBot="1">
      <c r="AJ126" s="5"/>
    </row>
    <row r="127" spans="1:74" ht="14.25" customHeight="1">
      <c r="J127" s="6517" t="s">
        <v>46</v>
      </c>
      <c r="K127" s="6518"/>
      <c r="L127" s="6518"/>
      <c r="M127" s="6518"/>
      <c r="N127" s="6519"/>
      <c r="AJ127" s="5"/>
    </row>
    <row r="128" spans="1:74" ht="14.25" customHeight="1">
      <c r="J128" s="6520"/>
      <c r="K128" s="6521"/>
      <c r="L128" s="6521"/>
      <c r="M128" s="6521"/>
      <c r="N128" s="6522"/>
      <c r="AY128" s="185"/>
      <c r="AZ128" s="185"/>
      <c r="BA128" s="185"/>
      <c r="BB128" s="185"/>
      <c r="BC128" s="39"/>
      <c r="BD128" s="39"/>
      <c r="BE128" s="39"/>
      <c r="BF128" s="39"/>
      <c r="BG128" s="39"/>
    </row>
    <row r="129" spans="10:59" ht="14.25" customHeight="1" thickBot="1">
      <c r="J129" s="6523"/>
      <c r="K129" s="6524"/>
      <c r="L129" s="6524"/>
      <c r="M129" s="6524"/>
      <c r="N129" s="6525"/>
      <c r="AY129" s="185"/>
      <c r="AZ129" s="185"/>
      <c r="BA129" s="185"/>
      <c r="BB129" s="185"/>
      <c r="BC129" s="39"/>
      <c r="BD129" s="39"/>
      <c r="BE129" s="39"/>
      <c r="BF129" s="39"/>
      <c r="BG129" s="39"/>
    </row>
    <row r="130" spans="10:59" ht="14.25" customHeight="1">
      <c r="AY130" s="185"/>
      <c r="AZ130" s="185"/>
      <c r="BA130" s="185"/>
      <c r="BB130" s="185"/>
      <c r="BC130" s="39"/>
      <c r="BD130" s="39"/>
      <c r="BE130" s="39"/>
      <c r="BF130" s="39"/>
      <c r="BG130" s="39"/>
    </row>
    <row r="131" spans="10:59" ht="14.25" customHeight="1">
      <c r="AY131" s="185"/>
      <c r="AZ131" s="185"/>
      <c r="BA131" s="185"/>
      <c r="BB131" s="185"/>
      <c r="BC131" s="39"/>
      <c r="BD131" s="39"/>
      <c r="BE131" s="39"/>
      <c r="BF131" s="39"/>
      <c r="BG131" s="39"/>
    </row>
    <row r="132" spans="10:59" ht="14.25" customHeight="1">
      <c r="AY132" s="185"/>
      <c r="AZ132" s="185"/>
      <c r="BA132" s="185"/>
      <c r="BB132" s="185"/>
      <c r="BC132" s="39"/>
      <c r="BD132" s="39"/>
      <c r="BE132" s="39"/>
      <c r="BF132" s="39"/>
      <c r="BG132" s="39"/>
    </row>
    <row r="133" spans="10:59" ht="14.25" customHeight="1">
      <c r="AY133" s="185"/>
      <c r="AZ133" s="185"/>
      <c r="BA133" s="185"/>
      <c r="BB133" s="185"/>
      <c r="BC133" s="39"/>
      <c r="BD133" s="39"/>
      <c r="BE133" s="39"/>
      <c r="BF133" s="39"/>
      <c r="BG133" s="39"/>
    </row>
    <row r="134" spans="10:59" ht="14.25" customHeight="1">
      <c r="AY134" s="185"/>
      <c r="AZ134" s="185"/>
      <c r="BA134" s="185"/>
      <c r="BB134" s="185"/>
      <c r="BC134" s="39"/>
      <c r="BD134" s="39"/>
      <c r="BE134" s="39"/>
      <c r="BF134" s="39"/>
      <c r="BG134" s="39"/>
    </row>
    <row r="135" spans="10:59">
      <c r="AY135" s="185"/>
      <c r="AZ135" s="185"/>
      <c r="BA135" s="185"/>
      <c r="BB135" s="185"/>
      <c r="BC135" s="39"/>
      <c r="BD135" s="39"/>
      <c r="BE135" s="39"/>
      <c r="BF135" s="39"/>
      <c r="BG135" s="39"/>
    </row>
    <row r="136" spans="10:59">
      <c r="AY136" s="185"/>
      <c r="AZ136" s="185"/>
      <c r="BA136" s="185"/>
      <c r="BB136" s="185"/>
      <c r="BC136" s="39"/>
      <c r="BD136" s="39"/>
      <c r="BE136" s="39"/>
      <c r="BF136" s="39"/>
      <c r="BG136" s="39"/>
    </row>
    <row r="137" spans="10:59">
      <c r="AY137" s="185"/>
      <c r="AZ137" s="185"/>
      <c r="BA137" s="185"/>
      <c r="BB137" s="185"/>
      <c r="BC137" s="39"/>
      <c r="BD137" s="39"/>
      <c r="BE137" s="39"/>
      <c r="BF137" s="39"/>
      <c r="BG137" s="39"/>
    </row>
    <row r="138" spans="10:59">
      <c r="AY138" s="185"/>
      <c r="AZ138" s="185"/>
      <c r="BA138" s="185"/>
      <c r="BB138" s="185"/>
      <c r="BC138" s="39"/>
      <c r="BD138" s="39"/>
      <c r="BE138" s="39"/>
      <c r="BF138" s="39"/>
      <c r="BG138" s="39"/>
    </row>
    <row r="139" spans="10:59">
      <c r="AY139" s="185"/>
      <c r="AZ139" s="185"/>
      <c r="BA139" s="185"/>
      <c r="BB139" s="185"/>
      <c r="BC139" s="39"/>
      <c r="BD139" s="39"/>
      <c r="BE139" s="39"/>
      <c r="BF139" s="39"/>
      <c r="BG139" s="39"/>
    </row>
    <row r="140" spans="10:59">
      <c r="AY140" s="185"/>
      <c r="AZ140" s="185"/>
      <c r="BA140" s="185"/>
      <c r="BB140" s="185"/>
      <c r="BC140" s="39"/>
      <c r="BD140" s="39"/>
      <c r="BE140" s="39"/>
      <c r="BF140" s="39"/>
      <c r="BG140" s="39"/>
    </row>
    <row r="141" spans="10:59">
      <c r="AY141" s="185"/>
      <c r="AZ141" s="185"/>
      <c r="BA141" s="185"/>
      <c r="BB141" s="185"/>
      <c r="BC141" s="39"/>
      <c r="BD141" s="39"/>
      <c r="BE141" s="39"/>
      <c r="BF141" s="39"/>
      <c r="BG141" s="39"/>
    </row>
    <row r="142" spans="10:59">
      <c r="AY142" s="185"/>
      <c r="AZ142" s="185"/>
      <c r="BA142" s="185"/>
      <c r="BB142" s="185"/>
      <c r="BC142" s="39"/>
      <c r="BD142" s="39"/>
      <c r="BE142" s="39"/>
      <c r="BF142" s="39"/>
      <c r="BG142" s="39"/>
    </row>
    <row r="143" spans="10:59">
      <c r="AY143" s="185"/>
      <c r="AZ143" s="185"/>
      <c r="BA143" s="185"/>
      <c r="BB143" s="185"/>
      <c r="BC143" s="39"/>
      <c r="BD143" s="39"/>
      <c r="BE143" s="39"/>
      <c r="BF143" s="39"/>
      <c r="BG143" s="39"/>
    </row>
    <row r="144" spans="10:59">
      <c r="AY144" s="185"/>
      <c r="AZ144" s="185"/>
      <c r="BA144" s="185"/>
      <c r="BB144" s="185"/>
      <c r="BC144" s="39"/>
      <c r="BD144" s="39"/>
      <c r="BE144" s="39"/>
      <c r="BF144" s="39"/>
      <c r="BG144" s="39"/>
    </row>
    <row r="145" spans="51:59">
      <c r="AY145" s="185"/>
      <c r="AZ145" s="185"/>
      <c r="BA145" s="185"/>
      <c r="BB145" s="185"/>
      <c r="BC145" s="39"/>
      <c r="BD145" s="39"/>
      <c r="BE145" s="39"/>
      <c r="BF145" s="39"/>
      <c r="BG145" s="39"/>
    </row>
    <row r="146" spans="51:59">
      <c r="AY146" s="185"/>
      <c r="AZ146" s="185"/>
      <c r="BA146" s="185"/>
      <c r="BB146" s="185"/>
      <c r="BC146" s="39"/>
      <c r="BD146" s="39"/>
      <c r="BE146" s="39"/>
      <c r="BF146" s="39"/>
      <c r="BG146" s="39"/>
    </row>
    <row r="147" spans="51:59">
      <c r="AY147" s="185"/>
      <c r="AZ147" s="185"/>
      <c r="BA147" s="185"/>
      <c r="BB147" s="185"/>
      <c r="BC147" s="39"/>
      <c r="BD147" s="39"/>
      <c r="BE147" s="39"/>
      <c r="BF147" s="39"/>
      <c r="BG147" s="39"/>
    </row>
    <row r="148" spans="51:59">
      <c r="AY148" s="185"/>
      <c r="AZ148" s="185"/>
      <c r="BA148" s="185"/>
      <c r="BB148" s="185"/>
      <c r="BC148" s="39"/>
      <c r="BD148" s="39"/>
      <c r="BE148" s="39"/>
      <c r="BF148" s="39"/>
      <c r="BG148" s="39"/>
    </row>
    <row r="149" spans="51:59">
      <c r="AY149" s="185"/>
      <c r="AZ149" s="185"/>
      <c r="BA149" s="185"/>
      <c r="BB149" s="185"/>
      <c r="BC149" s="39"/>
      <c r="BD149" s="39"/>
      <c r="BE149" s="39"/>
      <c r="BF149" s="39"/>
      <c r="BG149" s="39"/>
    </row>
    <row r="150" spans="51:59">
      <c r="AY150" s="185"/>
      <c r="AZ150" s="185"/>
      <c r="BA150" s="185"/>
      <c r="BB150" s="185"/>
      <c r="BC150" s="39"/>
      <c r="BD150" s="39"/>
      <c r="BE150" s="39"/>
      <c r="BF150" s="39"/>
      <c r="BG150" s="39"/>
    </row>
    <row r="151" spans="51:59">
      <c r="AY151" s="185"/>
      <c r="AZ151" s="185"/>
      <c r="BA151" s="185"/>
      <c r="BB151" s="185"/>
      <c r="BC151" s="39"/>
      <c r="BD151" s="39"/>
      <c r="BE151" s="39"/>
      <c r="BF151" s="39"/>
      <c r="BG151" s="39"/>
    </row>
    <row r="152" spans="51:59">
      <c r="AY152" s="185"/>
      <c r="AZ152" s="185"/>
      <c r="BA152" s="185"/>
      <c r="BB152" s="185"/>
      <c r="BC152" s="39"/>
      <c r="BD152" s="39"/>
      <c r="BE152" s="39"/>
      <c r="BF152" s="39"/>
      <c r="BG152" s="39"/>
    </row>
    <row r="153" spans="51:59">
      <c r="AY153" s="185"/>
      <c r="AZ153" s="185"/>
      <c r="BA153" s="185"/>
      <c r="BB153" s="185"/>
      <c r="BC153" s="39"/>
      <c r="BD153" s="39"/>
      <c r="BE153" s="39"/>
      <c r="BF153" s="39"/>
      <c r="BG153" s="39"/>
    </row>
    <row r="154" spans="51:59">
      <c r="AY154" s="185"/>
      <c r="AZ154" s="185"/>
      <c r="BA154" s="185"/>
      <c r="BB154" s="185"/>
      <c r="BC154" s="39"/>
      <c r="BD154" s="39"/>
      <c r="BE154" s="39"/>
      <c r="BF154" s="39"/>
      <c r="BG154" s="39"/>
    </row>
    <row r="155" spans="51:59">
      <c r="AY155" s="185"/>
      <c r="AZ155" s="185"/>
      <c r="BA155" s="185"/>
      <c r="BB155" s="185"/>
      <c r="BC155" s="39"/>
      <c r="BD155" s="39"/>
      <c r="BE155" s="39"/>
      <c r="BF155" s="39"/>
      <c r="BG155" s="39"/>
    </row>
    <row r="156" spans="51:59">
      <c r="AY156" s="185"/>
      <c r="AZ156" s="185"/>
      <c r="BA156" s="185"/>
      <c r="BB156" s="185"/>
      <c r="BC156" s="39"/>
      <c r="BD156" s="39"/>
      <c r="BE156" s="39"/>
      <c r="BF156" s="39"/>
      <c r="BG156" s="39"/>
    </row>
    <row r="157" spans="51:59">
      <c r="AY157" s="185"/>
      <c r="AZ157" s="185"/>
      <c r="BA157" s="185"/>
      <c r="BB157" s="185"/>
      <c r="BC157" s="39"/>
      <c r="BD157" s="39"/>
      <c r="BE157" s="39"/>
      <c r="BF157" s="39"/>
      <c r="BG157" s="39"/>
    </row>
    <row r="158" spans="51:59">
      <c r="AY158" s="185"/>
      <c r="AZ158" s="185"/>
      <c r="BA158" s="185"/>
      <c r="BB158" s="185"/>
      <c r="BC158" s="39"/>
      <c r="BD158" s="39"/>
      <c r="BE158" s="39"/>
      <c r="BF158" s="39"/>
      <c r="BG158" s="39"/>
    </row>
    <row r="159" spans="51:59">
      <c r="AY159" s="185"/>
      <c r="AZ159" s="185"/>
      <c r="BA159" s="185"/>
      <c r="BB159" s="185"/>
      <c r="BC159" s="39"/>
      <c r="BD159" s="39"/>
      <c r="BE159" s="39"/>
      <c r="BF159" s="39"/>
      <c r="BG159" s="39"/>
    </row>
    <row r="160" spans="51:59">
      <c r="AY160" s="185"/>
      <c r="AZ160" s="185"/>
      <c r="BA160" s="185"/>
      <c r="BB160" s="185"/>
      <c r="BC160" s="39"/>
      <c r="BD160" s="39"/>
      <c r="BE160" s="39"/>
      <c r="BF160" s="39"/>
      <c r="BG160" s="39"/>
    </row>
  </sheetData>
  <sheetProtection password="F07E" sheet="1" objects="1" scenarios="1"/>
  <mergeCells count="216">
    <mergeCell ref="B7:M7"/>
    <mergeCell ref="B9:M9"/>
    <mergeCell ref="N7:Z7"/>
    <mergeCell ref="AA11:AI14"/>
    <mergeCell ref="P24:AI24"/>
    <mergeCell ref="F33:G33"/>
    <mergeCell ref="F25:AC27"/>
    <mergeCell ref="W12:Z12"/>
    <mergeCell ref="S13:V13"/>
    <mergeCell ref="S12:V12"/>
    <mergeCell ref="B13:R13"/>
    <mergeCell ref="I33:O33"/>
    <mergeCell ref="B15:N16"/>
    <mergeCell ref="B33:D33"/>
    <mergeCell ref="B20:D22"/>
    <mergeCell ref="B18:E19"/>
    <mergeCell ref="AA7:AI7"/>
    <mergeCell ref="AA8:AI8"/>
    <mergeCell ref="W13:Z13"/>
    <mergeCell ref="AZ99:BA99"/>
    <mergeCell ref="B67:D67"/>
    <mergeCell ref="AD92:AH92"/>
    <mergeCell ref="W116:Z116"/>
    <mergeCell ref="AA116:AE116"/>
    <mergeCell ref="F117:I117"/>
    <mergeCell ref="I105:Q105"/>
    <mergeCell ref="B102:C105"/>
    <mergeCell ref="R105:S105"/>
    <mergeCell ref="Y105:AC105"/>
    <mergeCell ref="J117:Z117"/>
    <mergeCell ref="I114:O114"/>
    <mergeCell ref="U114:AE114"/>
    <mergeCell ref="Q114:T114"/>
    <mergeCell ref="U111:AA111"/>
    <mergeCell ref="F115:L115"/>
    <mergeCell ref="AF115:AI115"/>
    <mergeCell ref="M116:V116"/>
    <mergeCell ref="K96:R96"/>
    <mergeCell ref="AD96:AH96"/>
    <mergeCell ref="F105:H105"/>
    <mergeCell ref="B68:D68"/>
    <mergeCell ref="Z91:AB91"/>
    <mergeCell ref="AK85:AM85"/>
    <mergeCell ref="F122:U122"/>
    <mergeCell ref="K97:T97"/>
    <mergeCell ref="X98:AA98"/>
    <mergeCell ref="M115:T115"/>
    <mergeCell ref="U108:AA108"/>
    <mergeCell ref="F116:L116"/>
    <mergeCell ref="AE118:AI118"/>
    <mergeCell ref="AB118:AC118"/>
    <mergeCell ref="T105:X105"/>
    <mergeCell ref="H101:R101"/>
    <mergeCell ref="AD119:AG119"/>
    <mergeCell ref="J118:AA118"/>
    <mergeCell ref="X101:AA101"/>
    <mergeCell ref="AD99:AH99"/>
    <mergeCell ref="AD100:AH100"/>
    <mergeCell ref="AA5:AI5"/>
    <mergeCell ref="N5:S5"/>
    <mergeCell ref="W5:Z5"/>
    <mergeCell ref="J127:N129"/>
    <mergeCell ref="AD98:AH98"/>
    <mergeCell ref="AD97:AH97"/>
    <mergeCell ref="AB117:AD117"/>
    <mergeCell ref="AB110:AC110"/>
    <mergeCell ref="T38:Y38"/>
    <mergeCell ref="N39:S39"/>
    <mergeCell ref="T39:Y39"/>
    <mergeCell ref="T35:Y37"/>
    <mergeCell ref="N35:S37"/>
    <mergeCell ref="F38:M38"/>
    <mergeCell ref="F39:M39"/>
    <mergeCell ref="F40:M40"/>
    <mergeCell ref="T40:Y40"/>
    <mergeCell ref="N38:S38"/>
    <mergeCell ref="AD79:AH79"/>
    <mergeCell ref="AD88:AH88"/>
    <mergeCell ref="AD64:AH64"/>
    <mergeCell ref="AD65:AH65"/>
    <mergeCell ref="Z83:AB83"/>
    <mergeCell ref="F118:I118"/>
    <mergeCell ref="AK98:AM98"/>
    <mergeCell ref="AK99:AM99"/>
    <mergeCell ref="Z90:AB90"/>
    <mergeCell ref="AD87:AH87"/>
    <mergeCell ref="H2:Q2"/>
    <mergeCell ref="AA6:AI6"/>
    <mergeCell ref="AA10:AI10"/>
    <mergeCell ref="B11:W11"/>
    <mergeCell ref="B3:B4"/>
    <mergeCell ref="C3:D4"/>
    <mergeCell ref="AA3:AI3"/>
    <mergeCell ref="Z37:AC37"/>
    <mergeCell ref="AD37:AI37"/>
    <mergeCell ref="AA4:AI4"/>
    <mergeCell ref="W4:Z4"/>
    <mergeCell ref="S3:V4"/>
    <mergeCell ref="N9:Z9"/>
    <mergeCell ref="AA9:AI9"/>
    <mergeCell ref="X11:Z11"/>
    <mergeCell ref="W3:Z3"/>
    <mergeCell ref="B29:D32"/>
    <mergeCell ref="F4:R4"/>
    <mergeCell ref="B25:D27"/>
    <mergeCell ref="O15:V16"/>
    <mergeCell ref="AK97:AM97"/>
    <mergeCell ref="AD85:AH85"/>
    <mergeCell ref="AD89:AH89"/>
    <mergeCell ref="AD77:AH77"/>
    <mergeCell ref="AD71:AH72"/>
    <mergeCell ref="AD75:AH75"/>
    <mergeCell ref="AD74:AH74"/>
    <mergeCell ref="AD78:AH78"/>
    <mergeCell ref="AD76:AH76"/>
    <mergeCell ref="AK74:AM76"/>
    <mergeCell ref="AK77:AM77"/>
    <mergeCell ref="AD94:AH94"/>
    <mergeCell ref="AD95:AH95"/>
    <mergeCell ref="AD93:AH93"/>
    <mergeCell ref="AD80:AH80"/>
    <mergeCell ref="AD91:AH91"/>
    <mergeCell ref="B115:C118"/>
    <mergeCell ref="F109:P110"/>
    <mergeCell ref="Q109:T110"/>
    <mergeCell ref="F112:P113"/>
    <mergeCell ref="Q112:T113"/>
    <mergeCell ref="U109:AA110"/>
    <mergeCell ref="U112:AA113"/>
    <mergeCell ref="AB108:AI109"/>
    <mergeCell ref="AB111:AI112"/>
    <mergeCell ref="AB113:AC113"/>
    <mergeCell ref="B106:D108"/>
    <mergeCell ref="AE117:AI117"/>
    <mergeCell ref="AA115:AE115"/>
    <mergeCell ref="W115:Z115"/>
    <mergeCell ref="C112:D112"/>
    <mergeCell ref="Z89:AB89"/>
    <mergeCell ref="Z87:AB87"/>
    <mergeCell ref="AC41:AC42"/>
    <mergeCell ref="AD43:AH43"/>
    <mergeCell ref="B99:D101"/>
    <mergeCell ref="O53:S53"/>
    <mergeCell ref="O56:S56"/>
    <mergeCell ref="AD59:AH59"/>
    <mergeCell ref="AD56:AH56"/>
    <mergeCell ref="AD53:AH53"/>
    <mergeCell ref="AD55:AH55"/>
    <mergeCell ref="Z88:AB88"/>
    <mergeCell ref="O54:S54"/>
    <mergeCell ref="AD86:AH86"/>
    <mergeCell ref="Z82:AB82"/>
    <mergeCell ref="B96:E96"/>
    <mergeCell ref="B97:E97"/>
    <mergeCell ref="AD90:AH90"/>
    <mergeCell ref="B43:D44"/>
    <mergeCell ref="B53:D54"/>
    <mergeCell ref="O57:S57"/>
    <mergeCell ref="AD57:AH57"/>
    <mergeCell ref="B86:C88"/>
    <mergeCell ref="B45:C49"/>
    <mergeCell ref="B41:C41"/>
    <mergeCell ref="N40:S40"/>
    <mergeCell ref="J37:M37"/>
    <mergeCell ref="F41:M42"/>
    <mergeCell ref="N41:S42"/>
    <mergeCell ref="B37:D40"/>
    <mergeCell ref="F37:I37"/>
    <mergeCell ref="M55:N55"/>
    <mergeCell ref="M56:N56"/>
    <mergeCell ref="M53:N53"/>
    <mergeCell ref="M54:N54"/>
    <mergeCell ref="B35:D36"/>
    <mergeCell ref="B50:D52"/>
    <mergeCell ref="M57:N57"/>
    <mergeCell ref="O55:S55"/>
    <mergeCell ref="Z84:AB84"/>
    <mergeCell ref="AD60:AH60"/>
    <mergeCell ref="AN21:AO22"/>
    <mergeCell ref="AO68:AO71"/>
    <mergeCell ref="AD58:AH58"/>
    <mergeCell ref="Y72:Z72"/>
    <mergeCell ref="AD73:AH73"/>
    <mergeCell ref="Z51:AB51"/>
    <mergeCell ref="AD52:AH52"/>
    <mergeCell ref="AD46:AH46"/>
    <mergeCell ref="AD47:AH47"/>
    <mergeCell ref="AD48:AH48"/>
    <mergeCell ref="AD62:AH62"/>
    <mergeCell ref="AD61:AH61"/>
    <mergeCell ref="AD54:AH54"/>
    <mergeCell ref="AD63:AH63"/>
    <mergeCell ref="AJ57:AJ60"/>
    <mergeCell ref="AD45:AH45"/>
    <mergeCell ref="AD49:AH49"/>
    <mergeCell ref="AD50:AH50"/>
    <mergeCell ref="AM9:AQ9"/>
    <mergeCell ref="AP41:AT48"/>
    <mergeCell ref="AN41:AN42"/>
    <mergeCell ref="X30:AI30"/>
    <mergeCell ref="AD17:AI18"/>
    <mergeCell ref="AN16:AP17"/>
    <mergeCell ref="AK64:AM67"/>
    <mergeCell ref="AK37:AK41"/>
    <mergeCell ref="T41:Y42"/>
    <mergeCell ref="Z41:Z42"/>
    <mergeCell ref="AG41:AG42"/>
    <mergeCell ref="AD67:AH67"/>
    <mergeCell ref="AD44:AH44"/>
    <mergeCell ref="Z35:AI36"/>
    <mergeCell ref="AA41:AA42"/>
    <mergeCell ref="AB41:AB42"/>
    <mergeCell ref="W15:Z16"/>
    <mergeCell ref="AK55:AM59"/>
    <mergeCell ref="AD66:AH66"/>
    <mergeCell ref="AP53:AQ53"/>
  </mergeCells>
  <phoneticPr fontId="12" type="noConversion"/>
  <conditionalFormatting sqref="B20 B25 B28:AI28">
    <cfRule type="expression" dxfId="3207" priority="402">
      <formula>NoColor</formula>
    </cfRule>
  </conditionalFormatting>
  <conditionalFormatting sqref="B20 E20:E22 C23:E24">
    <cfRule type="expression" dxfId="3206" priority="409">
      <formula>FilingStatusError</formula>
    </cfRule>
  </conditionalFormatting>
  <conditionalFormatting sqref="B23:B24">
    <cfRule type="expression" dxfId="3205" priority="1168">
      <formula>NoColor</formula>
    </cfRule>
  </conditionalFormatting>
  <conditionalFormatting sqref="B29">
    <cfRule type="expression" dxfId="3204" priority="404">
      <formula>NoColor</formula>
    </cfRule>
  </conditionalFormatting>
  <conditionalFormatting sqref="B37 J37 N38:Y40 AG38:AG41 N41 T41">
    <cfRule type="expression" dxfId="3203" priority="528">
      <formula>NoColor</formula>
    </cfRule>
  </conditionalFormatting>
  <conditionalFormatting sqref="B109:B114">
    <cfRule type="expression" dxfId="3202" priority="536">
      <formula>IF(NoColor,1,0)</formula>
    </cfRule>
  </conditionalFormatting>
  <conditionalFormatting sqref="B3:C3">
    <cfRule type="expression" dxfId="3201" priority="814">
      <formula>NoColor</formula>
    </cfRule>
  </conditionalFormatting>
  <conditionalFormatting sqref="B7:K7 N7 AA7:AI7 AN13:AP13 F43:T52 AD58:AH61 AD71 AC72 AC73:AH76 AC77:AD77 F85:AA85 F86:G88 H87:W88 F89:W91 AC92:AD92 AC93:AH93 AC94 S96:T96 I96:J97 F96:F101 B119:F119">
    <cfRule type="expression" dxfId="3200" priority="1164">
      <formula>IF(NoColor,1,0)</formula>
    </cfRule>
  </conditionalFormatting>
  <conditionalFormatting sqref="B11:AA11">
    <cfRule type="expression" dxfId="3199" priority="531">
      <formula>NoColor</formula>
    </cfRule>
  </conditionalFormatting>
  <conditionalFormatting sqref="B9:AI9">
    <cfRule type="expression" dxfId="3198" priority="429">
      <formula>NoColor</formula>
    </cfRule>
  </conditionalFormatting>
  <conditionalFormatting sqref="B23:AI24">
    <cfRule type="expression" dxfId="3197" priority="3">
      <formula>NoColor</formula>
    </cfRule>
  </conditionalFormatting>
  <conditionalFormatting sqref="B34:AI34 F35:M36 AD37:AI37">
    <cfRule type="expression" dxfId="3196" priority="382">
      <formula>NoColor</formula>
    </cfRule>
  </conditionalFormatting>
  <conditionalFormatting sqref="D41">
    <cfRule type="expression" dxfId="3195" priority="5055">
      <formula>AND($AV$10,D41&lt;&gt;"")</formula>
    </cfRule>
    <cfRule type="expression" dxfId="3194" priority="5056">
      <formula>NoColor</formula>
    </cfRule>
  </conditionalFormatting>
  <conditionalFormatting sqref="E20:AI22">
    <cfRule type="expression" dxfId="3193" priority="15">
      <formula>NoColor</formula>
    </cfRule>
  </conditionalFormatting>
  <conditionalFormatting sqref="F4:F16">
    <cfRule type="expression" dxfId="3192" priority="65">
      <formula>NoColor</formula>
    </cfRule>
    <cfRule type="expression" dxfId="3191" priority="67">
      <formula>NumFileStatusBoxes=0</formula>
    </cfRule>
  </conditionalFormatting>
  <conditionalFormatting sqref="F18 W18 G30:H32 B33 G34:H35">
    <cfRule type="expression" dxfId="3190" priority="5053">
      <formula>AND($AV$10,B18&lt;&gt;"")</formula>
    </cfRule>
  </conditionalFormatting>
  <conditionalFormatting sqref="F19 F21 F23">
    <cfRule type="expression" dxfId="3189" priority="407">
      <formula>AND(File_Marr_Sep&lt;&gt;"",$P$24="")</formula>
    </cfRule>
  </conditionalFormatting>
  <conditionalFormatting sqref="F24">
    <cfRule type="expression" dxfId="3188" priority="405">
      <formula>AND(OR(File_Qual_Widow&lt;&gt;"",File_Head&lt;&gt;""),$P$24="")</formula>
    </cfRule>
  </conditionalFormatting>
  <conditionalFormatting sqref="F25 B35 N35 T35 AD43:AH43 AD44:AD50 AD51:AH51 AD52 AD53:AH57 B106 C109:E111 C112 E112 C113:E114 B115 D115:E115">
    <cfRule type="expression" dxfId="3187" priority="529">
      <formula>NoColor</formula>
    </cfRule>
  </conditionalFormatting>
  <conditionalFormatting sqref="F33">
    <cfRule type="expression" dxfId="3186" priority="376">
      <formula>NoColor</formula>
    </cfRule>
  </conditionalFormatting>
  <conditionalFormatting sqref="F37:F41">
    <cfRule type="expression" dxfId="3185" priority="252">
      <formula>NoColor</formula>
    </cfRule>
  </conditionalFormatting>
  <conditionalFormatting sqref="F102:F105">
    <cfRule type="expression" dxfId="3184" priority="167">
      <formula>IF(NoColor,1,0)</formula>
    </cfRule>
  </conditionalFormatting>
  <conditionalFormatting sqref="F112">
    <cfRule type="expression" dxfId="3183" priority="37">
      <formula>IF(NoColor,1,0)</formula>
    </cfRule>
  </conditionalFormatting>
  <conditionalFormatting sqref="F3:G3">
    <cfRule type="expression" dxfId="3182" priority="265">
      <formula>FilingStatusError</formula>
    </cfRule>
  </conditionalFormatting>
  <conditionalFormatting sqref="F72:G77">
    <cfRule type="expression" dxfId="3181" priority="330">
      <formula>IF(NoColor,1,0)</formula>
    </cfRule>
  </conditionalFormatting>
  <conditionalFormatting sqref="F53:M57">
    <cfRule type="expression" dxfId="3180" priority="289">
      <formula>IF(NoColor,1,0)</formula>
    </cfRule>
  </conditionalFormatting>
  <conditionalFormatting sqref="F116:M116 W116">
    <cfRule type="expression" dxfId="3179" priority="524">
      <formula>NoColor</formula>
    </cfRule>
  </conditionalFormatting>
  <conditionalFormatting sqref="F114:Q114">
    <cfRule type="expression" dxfId="3178" priority="308">
      <formula>NoColor</formula>
    </cfRule>
  </conditionalFormatting>
  <conditionalFormatting sqref="F3:S3">
    <cfRule type="expression" dxfId="3177" priority="266">
      <formula>NoColor</formula>
    </cfRule>
  </conditionalFormatting>
  <conditionalFormatting sqref="F17:V17">
    <cfRule type="expression" dxfId="3176" priority="131">
      <formula>NoColor</formula>
    </cfRule>
  </conditionalFormatting>
  <conditionalFormatting sqref="F30:X30">
    <cfRule type="expression" dxfId="3175" priority="23">
      <formula>NoColor</formula>
    </cfRule>
  </conditionalFormatting>
  <conditionalFormatting sqref="F58:Z59">
    <cfRule type="expression" dxfId="3174" priority="61">
      <formula>IF(NoColor,1,0)</formula>
    </cfRule>
  </conditionalFormatting>
  <conditionalFormatting sqref="F82:Z84">
    <cfRule type="expression" dxfId="3173" priority="153">
      <formula>IF(NoColor,1,0)</formula>
    </cfRule>
  </conditionalFormatting>
  <conditionalFormatting sqref="F60:AA65">
    <cfRule type="expression" dxfId="3172" priority="58">
      <formula>IF(NoColor,1,0)</formula>
    </cfRule>
  </conditionalFormatting>
  <conditionalFormatting sqref="F78:AB81">
    <cfRule type="expression" dxfId="3171" priority="854">
      <formula>IF(NoColor,1,0)</formula>
    </cfRule>
  </conditionalFormatting>
  <conditionalFormatting sqref="F92:AB94">
    <cfRule type="expression" dxfId="3170" priority="317">
      <formula>IF(NoColor,1,0)</formula>
    </cfRule>
  </conditionalFormatting>
  <conditionalFormatting sqref="F18:AC18">
    <cfRule type="expression" dxfId="3169" priority="12">
      <formula>NoColor</formula>
    </cfRule>
  </conditionalFormatting>
  <conditionalFormatting sqref="F95:AC95">
    <cfRule type="expression" dxfId="3168" priority="151">
      <formula>IF(NoColor,1,0)</formula>
    </cfRule>
  </conditionalFormatting>
  <conditionalFormatting sqref="F66:AH67">
    <cfRule type="expression" dxfId="3167" priority="355">
      <formula>IF(NoColor,1,0)</formula>
    </cfRule>
  </conditionalFormatting>
  <conditionalFormatting sqref="F19:AI19">
    <cfRule type="expression" dxfId="3166" priority="78">
      <formula>NoColor</formula>
    </cfRule>
  </conditionalFormatting>
  <conditionalFormatting sqref="F29:AI29">
    <cfRule type="expression" dxfId="3165" priority="535">
      <formula>NoColor</formula>
    </cfRule>
  </conditionalFormatting>
  <conditionalFormatting sqref="F31:AI32 B33">
    <cfRule type="expression" dxfId="3164" priority="534">
      <formula>NoColor</formula>
    </cfRule>
  </conditionalFormatting>
  <conditionalFormatting sqref="G103:Q104">
    <cfRule type="expression" dxfId="3163" priority="136">
      <formula>IF(NoColor,1,0)</formula>
    </cfRule>
  </conditionalFormatting>
  <conditionalFormatting sqref="G96:AB97">
    <cfRule type="expression" dxfId="3162" priority="519">
      <formula>NoColor</formula>
    </cfRule>
  </conditionalFormatting>
  <conditionalFormatting sqref="G102:AE102">
    <cfRule type="expression" dxfId="3161" priority="168">
      <formula>IF(NoColor,1,0)</formula>
    </cfRule>
  </conditionalFormatting>
  <conditionalFormatting sqref="H106">
    <cfRule type="expression" dxfId="3160" priority="2930" stopIfTrue="1">
      <formula>IF(AND(#REF!&gt;1000,#REF!&gt;0.1*#REF!,#REF!="",#REF!&lt;&gt;""),1,0)</formula>
    </cfRule>
  </conditionalFormatting>
  <conditionalFormatting sqref="H33:I33">
    <cfRule type="expression" dxfId="3159" priority="386">
      <formula>NoColor</formula>
    </cfRule>
  </conditionalFormatting>
  <conditionalFormatting sqref="H72:X73">
    <cfRule type="expression" dxfId="3158" priority="158">
      <formula>IF(NoColor,1,0)</formula>
    </cfRule>
  </conditionalFormatting>
  <conditionalFormatting sqref="H74:AA77">
    <cfRule type="expression" dxfId="3157" priority="196">
      <formula>IF(NoColor,1,0)</formula>
    </cfRule>
  </conditionalFormatting>
  <conditionalFormatting sqref="H86:AA86">
    <cfRule type="expression" dxfId="3156" priority="587">
      <formula>IF(NoColor,1,0)</formula>
    </cfRule>
  </conditionalFormatting>
  <conditionalFormatting sqref="I33">
    <cfRule type="expression" dxfId="3155" priority="387">
      <formula>AND(Name_1st_Yours&lt;&gt;"",NOT($AY$13))</formula>
    </cfRule>
  </conditionalFormatting>
  <conditionalFormatting sqref="I105:Q105">
    <cfRule type="expression" dxfId="3154" priority="286">
      <formula>NoColor</formula>
    </cfRule>
  </conditionalFormatting>
  <conditionalFormatting sqref="I98:V98">
    <cfRule type="expression" dxfId="3153" priority="826">
      <formula>IF(NoColor,1,0)</formula>
    </cfRule>
  </conditionalFormatting>
  <conditionalFormatting sqref="I99:AB100">
    <cfRule type="expression" dxfId="3152" priority="85">
      <formula>IF(NoColor,1,0)</formula>
    </cfRule>
  </conditionalFormatting>
  <conditionalFormatting sqref="I119:AD119">
    <cfRule type="expression" dxfId="3151" priority="310">
      <formula>IF(NoColor,1,0)</formula>
    </cfRule>
  </conditionalFormatting>
  <conditionalFormatting sqref="J117:J118">
    <cfRule type="expression" dxfId="3150" priority="509">
      <formula>NoColor</formula>
    </cfRule>
  </conditionalFormatting>
  <conditionalFormatting sqref="M67">
    <cfRule type="expression" dxfId="3149" priority="56">
      <formula>#REF!&lt;0</formula>
    </cfRule>
  </conditionalFormatting>
  <conditionalFormatting sqref="N5:S5">
    <cfRule type="expression" dxfId="3148" priority="35">
      <formula>NoColor</formula>
    </cfRule>
  </conditionalFormatting>
  <conditionalFormatting sqref="N38:S40 N41">
    <cfRule type="expression" dxfId="3147" priority="421">
      <formula>AND(NoColor,NoSSN)</formula>
    </cfRule>
    <cfRule type="expression" dxfId="3146" priority="422">
      <formula>NoSSN</formula>
    </cfRule>
  </conditionalFormatting>
  <conditionalFormatting sqref="N39:S40 N41">
    <cfRule type="expression" dxfId="3145" priority="412">
      <formula>AND(NoColor,NoSSN)</formula>
    </cfRule>
    <cfRule type="expression" dxfId="3144" priority="413">
      <formula>NoSSN</formula>
    </cfRule>
  </conditionalFormatting>
  <conditionalFormatting sqref="O53:O57">
    <cfRule type="expression" dxfId="3143" priority="341">
      <formula>IF(NoColor,1,0)</formula>
    </cfRule>
  </conditionalFormatting>
  <conditionalFormatting sqref="P18">
    <cfRule type="expression" dxfId="3142" priority="13">
      <formula>AND(OR(File_Qual_Widow&lt;&gt;"",File_Head&lt;&gt;""),$L$24="")</formula>
    </cfRule>
  </conditionalFormatting>
  <conditionalFormatting sqref="P33:AI33">
    <cfRule type="expression" dxfId="3141" priority="377">
      <formula>NoColor</formula>
    </cfRule>
  </conditionalFormatting>
  <conditionalFormatting sqref="Q109">
    <cfRule type="expression" dxfId="3140" priority="47">
      <formula>NoColor</formula>
    </cfRule>
  </conditionalFormatting>
  <conditionalFormatting sqref="Q112">
    <cfRule type="expression" dxfId="3139" priority="38">
      <formula>NoColor</formula>
    </cfRule>
  </conditionalFormatting>
  <conditionalFormatting sqref="R30:R32">
    <cfRule type="expression" dxfId="3138" priority="640">
      <formula>AND(File_Marr_Joint&lt;&gt;"",NOT($AY$15))</formula>
    </cfRule>
  </conditionalFormatting>
  <conditionalFormatting sqref="R34">
    <cfRule type="expression" dxfId="3137" priority="383">
      <formula>AND(File_Marr_Joint&lt;&gt;"",NOT($AY$15))</formula>
    </cfRule>
  </conditionalFormatting>
  <conditionalFormatting sqref="R66 R67:S67">
    <cfRule type="expression" dxfId="3136" priority="4721">
      <formula>#REF!&lt;0</formula>
    </cfRule>
  </conditionalFormatting>
  <conditionalFormatting sqref="R103:R105">
    <cfRule type="expression" dxfId="3135" priority="178">
      <formula>IF(NoColor,1,0)</formula>
    </cfRule>
  </conditionalFormatting>
  <conditionalFormatting sqref="R23:S23">
    <cfRule type="expression" dxfId="3134" priority="11">
      <formula>AND(OR(File_Qual_Widow&lt;&gt;"",File_Head&lt;&gt;""),$P$24="")</formula>
    </cfRule>
  </conditionalFormatting>
  <conditionalFormatting sqref="S13">
    <cfRule type="expression" dxfId="3133" priority="161">
      <formula>NoColor</formula>
    </cfRule>
  </conditionalFormatting>
  <conditionalFormatting sqref="S103:U104">
    <cfRule type="expression" dxfId="3132" priority="134">
      <formula>IF(NoColor,1,0)</formula>
    </cfRule>
  </conditionalFormatting>
  <conditionalFormatting sqref="S101:V101">
    <cfRule type="expression" dxfId="3131" priority="586">
      <formula>IF(NoColor,1,0)</formula>
    </cfRule>
  </conditionalFormatting>
  <conditionalFormatting sqref="T105">
    <cfRule type="expression" dxfId="3130" priority="285">
      <formula>NoColor</formula>
    </cfRule>
  </conditionalFormatting>
  <conditionalFormatting sqref="T53:AA57">
    <cfRule type="expression" dxfId="3129" priority="346">
      <formula>IF(NoColor,1,0)</formula>
    </cfRule>
  </conditionalFormatting>
  <conditionalFormatting sqref="U109">
    <cfRule type="expression" dxfId="3128" priority="44">
      <formula>NoColor</formula>
    </cfRule>
  </conditionalFormatting>
  <conditionalFormatting sqref="U112">
    <cfRule type="expression" dxfId="3127" priority="39">
      <formula>NoColor</formula>
    </cfRule>
    <cfRule type="expression" dxfId="3126" priority="40">
      <formula>IF(NoColor,1,0)</formula>
    </cfRule>
  </conditionalFormatting>
  <conditionalFormatting sqref="U51:W51">
    <cfRule type="expression" dxfId="3125" priority="50">
      <formula>NoColor</formula>
    </cfRule>
  </conditionalFormatting>
  <conditionalFormatting sqref="U43:AA50">
    <cfRule type="expression" dxfId="3124" priority="51">
      <formula>NoColor</formula>
    </cfRule>
  </conditionalFormatting>
  <conditionalFormatting sqref="U52:AA52">
    <cfRule type="expression" dxfId="3123" priority="49">
      <formula>NoColor</formula>
    </cfRule>
  </conditionalFormatting>
  <conditionalFormatting sqref="U114:AA114 AF114:AI114">
    <cfRule type="expression" dxfId="3122" priority="307">
      <formula>NoColor</formula>
    </cfRule>
  </conditionalFormatting>
  <conditionalFormatting sqref="U97:AB97">
    <cfRule type="expression" dxfId="3121" priority="567">
      <formula>IF(NoColor,1,0)</formula>
    </cfRule>
  </conditionalFormatting>
  <conditionalFormatting sqref="V103">
    <cfRule type="expression" dxfId="3120" priority="84">
      <formula>IF(NoColor,1,0)</formula>
    </cfRule>
  </conditionalFormatting>
  <conditionalFormatting sqref="V104:W104">
    <cfRule type="expression" dxfId="3119" priority="272">
      <formula>IF(NoColor,1,0)</formula>
    </cfRule>
  </conditionalFormatting>
  <conditionalFormatting sqref="W3:W17 B4:B18 O15 AA17:AD17 Z35 AK83:AL84">
    <cfRule type="expression" dxfId="3118" priority="401">
      <formula>NoColor</formula>
    </cfRule>
  </conditionalFormatting>
  <conditionalFormatting sqref="W103">
    <cfRule type="expression" dxfId="3117" priority="170">
      <formula>NoColor</formula>
    </cfRule>
  </conditionalFormatting>
  <conditionalFormatting sqref="X30">
    <cfRule type="expression" dxfId="3116" priority="24">
      <formula>AND(File_Marr_Joint&lt;&gt;"",NOT($AY$15))</formula>
    </cfRule>
  </conditionalFormatting>
  <conditionalFormatting sqref="X103:X104">
    <cfRule type="expression" dxfId="3115" priority="171">
      <formula>IF(NoColor,1,0)</formula>
    </cfRule>
  </conditionalFormatting>
  <conditionalFormatting sqref="X17:Z17">
    <cfRule type="expression" dxfId="3114" priority="130">
      <formula>NoColor</formula>
    </cfRule>
  </conditionalFormatting>
  <conditionalFormatting sqref="X87:Z91">
    <cfRule type="expression" dxfId="3113" priority="114">
      <formula>IF(NoColor,1,0)</formula>
    </cfRule>
  </conditionalFormatting>
  <conditionalFormatting sqref="X98:AA98">
    <cfRule type="expression" dxfId="3112" priority="518">
      <formula>NoColor</formula>
    </cfRule>
  </conditionalFormatting>
  <conditionalFormatting sqref="X101:AA101">
    <cfRule type="expression" dxfId="3111" priority="48">
      <formula>NoColor</formula>
    </cfRule>
  </conditionalFormatting>
  <conditionalFormatting sqref="X51:AB51">
    <cfRule type="expression" dxfId="3110" priority="1">
      <formula>IF(NoColor,1,0)</formula>
    </cfRule>
  </conditionalFormatting>
  <conditionalFormatting sqref="Y103:Y105">
    <cfRule type="expression" dxfId="3109" priority="174">
      <formula>IF(NoColor,1,0)</formula>
    </cfRule>
  </conditionalFormatting>
  <conditionalFormatting sqref="Y72:Z72">
    <cfRule type="expression" dxfId="3108" priority="132">
      <formula>NoColor</formula>
    </cfRule>
  </conditionalFormatting>
  <conditionalFormatting sqref="Y73:Z73">
    <cfRule type="expression" dxfId="3107" priority="200">
      <formula>IF(NoColor,1,0)</formula>
    </cfRule>
  </conditionalFormatting>
  <conditionalFormatting sqref="Z37:Z41">
    <cfRule type="expression" dxfId="3106" priority="30">
      <formula>NoColor</formula>
    </cfRule>
  </conditionalFormatting>
  <conditionalFormatting sqref="Z103:AC103">
    <cfRule type="expression" dxfId="3105" priority="135">
      <formula>IF(NoColor,1,0)</formula>
    </cfRule>
  </conditionalFormatting>
  <conditionalFormatting sqref="Z104:AF104">
    <cfRule type="expression" dxfId="3104" priority="133">
      <formula>IF(NoColor,1,0)</formula>
    </cfRule>
  </conditionalFormatting>
  <conditionalFormatting sqref="AA10:AA11 Z35 F68:AB68 B69:AI70 F71:AC71 G98:H101 G119:H119">
    <cfRule type="expression" dxfId="3103" priority="1158">
      <formula>NoColor</formula>
    </cfRule>
  </conditionalFormatting>
  <conditionalFormatting sqref="AA58:AA59">
    <cfRule type="expression" dxfId="3102" priority="353">
      <formula>NoColor</formula>
    </cfRule>
  </conditionalFormatting>
  <conditionalFormatting sqref="AA72:AA73">
    <cfRule type="expression" dxfId="3101" priority="203">
      <formula>IF(NoColor,1,0)</formula>
    </cfRule>
  </conditionalFormatting>
  <conditionalFormatting sqref="AA115:AA117">
    <cfRule type="expression" dxfId="3100" priority="508">
      <formula>NoColor</formula>
    </cfRule>
  </conditionalFormatting>
  <conditionalFormatting sqref="AA38:AC41">
    <cfRule type="expression" dxfId="3099" priority="25">
      <formula>NoColor</formula>
    </cfRule>
  </conditionalFormatting>
  <conditionalFormatting sqref="AA117:AE117">
    <cfRule type="expression" dxfId="3098" priority="523">
      <formula>NoColor</formula>
    </cfRule>
  </conditionalFormatting>
  <conditionalFormatting sqref="AA3:AI4">
    <cfRule type="expression" dxfId="3097" priority="533">
      <formula>NoColor</formula>
    </cfRule>
  </conditionalFormatting>
  <conditionalFormatting sqref="AA4:AI4">
    <cfRule type="expression" dxfId="3096" priority="36">
      <formula>AK10</formula>
    </cfRule>
  </conditionalFormatting>
  <conditionalFormatting sqref="AA7:AI7">
    <cfRule type="expression" dxfId="3095" priority="430">
      <formula>AND(NoColor,NoSSN)</formula>
    </cfRule>
    <cfRule type="expression" dxfId="3094" priority="431">
      <formula>NoSSN</formula>
    </cfRule>
  </conditionalFormatting>
  <conditionalFormatting sqref="AA8:AI8">
    <cfRule type="expression" dxfId="3093" priority="432">
      <formula>AND(File_Marr_Sep&lt;&gt;"",SS_Spouse="")</formula>
    </cfRule>
  </conditionalFormatting>
  <conditionalFormatting sqref="AA9:AI9">
    <cfRule type="expression" dxfId="3092" priority="427">
      <formula>OR(AND(File_Marr_Joint="",File_Marr_Sep="",NoColor),AND(NoColor,NoSSN))</formula>
    </cfRule>
    <cfRule type="expression" dxfId="3091" priority="428">
      <formula>OR(AND(NOT(NoColor),File_Marr_Joint="",File_Marr_Sep=""),NoSSN)</formula>
    </cfRule>
  </conditionalFormatting>
  <conditionalFormatting sqref="AA15:AI16">
    <cfRule type="expression" dxfId="3090" priority="261">
      <formula>NoColor</formula>
    </cfRule>
  </conditionalFormatting>
  <conditionalFormatting sqref="AB52:AB65">
    <cfRule type="expression" dxfId="3089" priority="2">
      <formula>IF(NoColor,1,0)</formula>
    </cfRule>
  </conditionalFormatting>
  <conditionalFormatting sqref="AB65">
    <cfRule type="expression" dxfId="3088" priority="110">
      <formula>AND(AJ65="",QBID_1040&lt;&gt;"",QBID_1040&lt;&gt;0,QBID_Income2High)</formula>
    </cfRule>
  </conditionalFormatting>
  <conditionalFormatting sqref="AB72:AB77">
    <cfRule type="expression" dxfId="3087" priority="75">
      <formula>IF(NoColor,1,0)</formula>
    </cfRule>
  </conditionalFormatting>
  <conditionalFormatting sqref="AB85:AB86">
    <cfRule type="expression" dxfId="3086" priority="113">
      <formula>IF(NoColor,1,0)</formula>
    </cfRule>
  </conditionalFormatting>
  <conditionalFormatting sqref="AB113">
    <cfRule type="expression" dxfId="3085" priority="42">
      <formula>IF(NoColor,1,0)</formula>
    </cfRule>
  </conditionalFormatting>
  <conditionalFormatting sqref="AB118">
    <cfRule type="expression" dxfId="3084" priority="515">
      <formula>IF($AL$3&lt;&gt;"",1,0)</formula>
    </cfRule>
  </conditionalFormatting>
  <conditionalFormatting sqref="AB43:AC50">
    <cfRule type="expression" dxfId="3083" priority="112">
      <formula>IF(NoColor,1,0)</formula>
    </cfRule>
  </conditionalFormatting>
  <conditionalFormatting sqref="AB110:AI110">
    <cfRule type="expression" dxfId="3082" priority="526">
      <formula>NoColor</formula>
    </cfRule>
  </conditionalFormatting>
  <conditionalFormatting sqref="AB113:AI113">
    <cfRule type="expression" dxfId="3081" priority="41">
      <formula>NoColor</formula>
    </cfRule>
  </conditionalFormatting>
  <conditionalFormatting sqref="AC51:AC61">
    <cfRule type="expression" dxfId="3080" priority="60">
      <formula>IF(NoColor,1,0)</formula>
    </cfRule>
  </conditionalFormatting>
  <conditionalFormatting sqref="AC96:AC100">
    <cfRule type="expression" dxfId="3079" priority="54">
      <formula>IF(NoColor,1,0)</formula>
    </cfRule>
  </conditionalFormatting>
  <conditionalFormatting sqref="AC62:AH65">
    <cfRule type="expression" dxfId="3078" priority="221">
      <formula>IF(NoColor,1,0)</formula>
    </cfRule>
  </conditionalFormatting>
  <conditionalFormatting sqref="AC68:AH68">
    <cfRule type="expression" dxfId="3077" priority="55">
      <formula>IF(NoColor,1,0)</formula>
    </cfRule>
  </conditionalFormatting>
  <conditionalFormatting sqref="AC78:AH91">
    <cfRule type="expression" dxfId="3076" priority="180">
      <formula>IF(NoColor,1,0)</formula>
    </cfRule>
  </conditionalFormatting>
  <conditionalFormatting sqref="AC101:AH101">
    <cfRule type="expression" dxfId="3075" priority="312">
      <formula>IF(NoColor,1,0)</formula>
    </cfRule>
  </conditionalFormatting>
  <conditionalFormatting sqref="AD37">
    <cfRule type="expression" dxfId="3074" priority="737">
      <formula>NoColor</formula>
    </cfRule>
  </conditionalFormatting>
  <conditionalFormatting sqref="AD96:AD98">
    <cfRule type="expression" dxfId="3073" priority="440">
      <formula>IF(NoColor,1,0)</formula>
    </cfRule>
  </conditionalFormatting>
  <conditionalFormatting sqref="AD103">
    <cfRule type="expression" dxfId="3072" priority="138">
      <formula>NoColor</formula>
    </cfRule>
  </conditionalFormatting>
  <conditionalFormatting sqref="AD118">
    <cfRule type="expression" dxfId="3071" priority="707">
      <formula>IF($AL$3&lt;&gt;"",1,0)</formula>
    </cfRule>
  </conditionalFormatting>
  <conditionalFormatting sqref="AD38:AF42">
    <cfRule type="expression" dxfId="3070" priority="28">
      <formula>NoColor</formula>
    </cfRule>
  </conditionalFormatting>
  <conditionalFormatting sqref="AD54:AH54">
    <cfRule type="expression" dxfId="3069" priority="4145">
      <formula>AND(NOT(NoColor),$O$54&gt;$AD$54,$AJ$54="")</formula>
    </cfRule>
  </conditionalFormatting>
  <conditionalFormatting sqref="AD75:AH75">
    <cfRule type="expression" dxfId="3068" priority="304">
      <formula>IF(ISERROR(ROUND(Tax_SS_Benefits,0)),1,0)</formula>
    </cfRule>
  </conditionalFormatting>
  <conditionalFormatting sqref="AD79:AH91">
    <cfRule type="expression" dxfId="3067" priority="181">
      <formula>IF(ISERROR(ROUND(Tax_SS_Benefits,0)),1,0)</formula>
    </cfRule>
  </conditionalFormatting>
  <conditionalFormatting sqref="AD93:AH95">
    <cfRule type="expression" dxfId="3066" priority="673">
      <formula>IF(ISERROR(ROUND(Tax_SS_Benefits,0)),1,0)</formula>
    </cfRule>
  </conditionalFormatting>
  <conditionalFormatting sqref="AD94:AH95">
    <cfRule type="expression" dxfId="3065" priority="674">
      <formula>IF(NoColor,1,0)</formula>
    </cfRule>
  </conditionalFormatting>
  <conditionalFormatting sqref="AD99:AH100">
    <cfRule type="expression" dxfId="3064" priority="53">
      <formula>IF(NoColor,1,0)</formula>
    </cfRule>
  </conditionalFormatting>
  <conditionalFormatting sqref="AD99:AH101">
    <cfRule type="expression" dxfId="3063" priority="52">
      <formula>IF(ISERROR(ROUND(Tax_SS_Benefits,0)),1,0)</formula>
    </cfRule>
  </conditionalFormatting>
  <conditionalFormatting sqref="AD105:AH105">
    <cfRule type="expression" dxfId="3062" priority="176">
      <formula>NoColor</formula>
    </cfRule>
  </conditionalFormatting>
  <conditionalFormatting sqref="AD25:AI27">
    <cfRule type="expression" dxfId="3061" priority="256">
      <formula>NoColor</formula>
    </cfRule>
  </conditionalFormatting>
  <conditionalFormatting sqref="AE103">
    <cfRule type="expression" dxfId="3060" priority="139">
      <formula>IF(NoColor,1,0)</formula>
    </cfRule>
  </conditionalFormatting>
  <conditionalFormatting sqref="AE118:AI118">
    <cfRule type="expression" dxfId="3059" priority="305">
      <formula>NoColor</formula>
    </cfRule>
  </conditionalFormatting>
  <conditionalFormatting sqref="AF102:AF103 AG102:AH104">
    <cfRule type="expression" dxfId="3058" priority="268">
      <formula>IF(NoColor,1,0)</formula>
    </cfRule>
  </conditionalFormatting>
  <conditionalFormatting sqref="AF116">
    <cfRule type="expression" dxfId="3057" priority="165">
      <formula>NoColor</formula>
    </cfRule>
  </conditionalFormatting>
  <conditionalFormatting sqref="AG116:AI116">
    <cfRule type="expression" dxfId="3056" priority="164">
      <formula>IF($AL$3&lt;&gt;"",1,0)</formula>
    </cfRule>
  </conditionalFormatting>
  <conditionalFormatting sqref="AH38:AI42">
    <cfRule type="expression" dxfId="3055" priority="27">
      <formula>NoColor</formula>
    </cfRule>
  </conditionalFormatting>
  <conditionalFormatting sqref="AH119:AI119">
    <cfRule type="expression" dxfId="3054" priority="311">
      <formula>IF(NoColor,1,0)</formula>
    </cfRule>
  </conditionalFormatting>
  <conditionalFormatting sqref="AI19:AI23">
    <cfRule type="expression" dxfId="3053" priority="71">
      <formula>AND(OR(File_Qual_Widow&lt;&gt;"",File_Head&lt;&gt;""),$P$24="")</formula>
    </cfRule>
  </conditionalFormatting>
  <conditionalFormatting sqref="AI102:AI105 F106:AI107 F108:AB108 F109 U109 AB110:AB111">
    <cfRule type="expression" dxfId="3052" priority="703">
      <formula>IF(NoColor,1,0)</formula>
    </cfRule>
  </conditionalFormatting>
  <conditionalFormatting sqref="AJ55:AJ56">
    <cfRule type="expression" dxfId="3051" priority="437">
      <formula>AND(IRAs_Pension_Annuit&lt;&gt;"",IRAs_Pension_Annuit&lt;&gt;0,IRAs_Pension_Annuit&lt;&gt;IRA_Pension_Taxable)</formula>
    </cfRule>
  </conditionalFormatting>
  <conditionalFormatting sqref="AJ65">
    <cfRule type="expression" dxfId="3050" priority="109">
      <formula>AND(QBID_1040&lt;&gt;"",QBID_1040&lt;&gt;0,QBID_Income2High)</formula>
    </cfRule>
  </conditionalFormatting>
  <conditionalFormatting sqref="AJ77">
    <cfRule type="expression" dxfId="3049" priority="267">
      <formula>F8960_Applicable</formula>
    </cfRule>
  </conditionalFormatting>
  <conditionalFormatting sqref="AJ87">
    <cfRule type="expression" dxfId="3048" priority="179">
      <formula>$AM$90</formula>
    </cfRule>
    <cfRule type="expression" dxfId="3047" priority="297">
      <formula>AND(EIC_trigger,NOT(EIC_Started))</formula>
    </cfRule>
  </conditionalFormatting>
  <conditionalFormatting sqref="AJ100">
    <cfRule type="expression" dxfId="3046" priority="4982">
      <formula>OR($AK$96,$AK$105)</formula>
    </cfRule>
  </conditionalFormatting>
  <conditionalFormatting sqref="AK55">
    <cfRule type="expression" dxfId="3045" priority="3125" stopIfTrue="1">
      <formula>($O$54&gt;$AD$54)</formula>
    </cfRule>
    <cfRule type="expression" dxfId="3044" priority="3127">
      <formula>SUM(ROUND(IRA_Gross,0),ROUND(PA_Gross,0))=IRA_Pension_Taxable</formula>
    </cfRule>
    <cfRule type="expression" dxfId="3043" priority="4713">
      <formula>OR(AO40,AND($O$54&lt;&gt;0,$AD$54&lt;&gt;0))</formula>
    </cfRule>
  </conditionalFormatting>
  <conditionalFormatting sqref="AK62">
    <cfRule type="expression" dxfId="3042" priority="4757" stopIfTrue="1">
      <formula>NumFileStatusBoxes=0</formula>
    </cfRule>
    <cfRule type="expression" dxfId="3041" priority="4758">
      <formula>AND(#REF!&lt;&gt;"",#REF!&gt;0,SchA_Filed)</formula>
    </cfRule>
    <cfRule type="expression" dxfId="3040" priority="4759">
      <formula>AND(AN63&lt;&gt;"",AN63&gt;AO69)</formula>
    </cfRule>
  </conditionalFormatting>
  <conditionalFormatting sqref="AK63">
    <cfRule type="expression" dxfId="3039" priority="4760">
      <formula>OR(NumFileStatusBoxes=0,AND(#REF!&lt;&gt;"",#REF!&gt;0,SchA_Filed))</formula>
    </cfRule>
    <cfRule type="expression" dxfId="3038" priority="4761">
      <formula>AND(#REF!&lt;&gt;"",#REF!&gt;AO71)</formula>
    </cfRule>
    <cfRule type="expression" dxfId="3037" priority="4762" stopIfTrue="1">
      <formula>NumFileStatusBoxes=0</formula>
    </cfRule>
  </conditionalFormatting>
  <conditionalFormatting sqref="AK64 AK68:AM69">
    <cfRule type="expression" dxfId="3036" priority="5061">
      <formula>$AV$10</formula>
    </cfRule>
  </conditionalFormatting>
  <conditionalFormatting sqref="AK68">
    <cfRule type="expression" dxfId="3035" priority="4778">
      <formula>AND(#REF!&lt;&gt;"",#REF!&gt;AO71)</formula>
    </cfRule>
    <cfRule type="expression" dxfId="3034" priority="4779" stopIfTrue="1">
      <formula>NumFileStatusBoxes=0</formula>
    </cfRule>
  </conditionalFormatting>
  <conditionalFormatting sqref="AK68:AK69">
    <cfRule type="expression" dxfId="3033" priority="4777">
      <formula>OR(NumFileStatusBoxes=0,AND(#REF!&lt;&gt;"",#REF!&gt;0,SchA_Filed))</formula>
    </cfRule>
  </conditionalFormatting>
  <conditionalFormatting sqref="AK69">
    <cfRule type="expression" dxfId="3032" priority="4967">
      <formula>AND(#REF!&lt;&gt;"",#REF!&gt;AO73)</formula>
    </cfRule>
    <cfRule type="expression" dxfId="3031" priority="4968" stopIfTrue="1">
      <formula>NumFileStatusBoxes=0</formula>
    </cfRule>
  </conditionalFormatting>
  <conditionalFormatting sqref="AK77">
    <cfRule type="expression" dxfId="3030" priority="4136">
      <formula>$AJ$77&lt;&gt;""</formula>
    </cfRule>
  </conditionalFormatting>
  <conditionalFormatting sqref="AK85">
    <cfRule type="expression" dxfId="3029" priority="4139">
      <formula>($AK$87&gt;0)</formula>
    </cfRule>
  </conditionalFormatting>
  <conditionalFormatting sqref="AK68:AM69 AK64">
    <cfRule type="expression" dxfId="3028" priority="5060">
      <formula>NumFileStatusBoxes=0</formula>
    </cfRule>
  </conditionalFormatting>
  <conditionalFormatting sqref="AK86:AM86">
    <cfRule type="expression" dxfId="3027" priority="4138">
      <formula>($AK$87&gt;0)</formula>
    </cfRule>
  </conditionalFormatting>
  <conditionalFormatting sqref="AL4">
    <cfRule type="expression" dxfId="3026" priority="558">
      <formula>(File_Marr_Sep&lt;&gt;"")</formula>
    </cfRule>
  </conditionalFormatting>
  <conditionalFormatting sqref="AL7:AL9">
    <cfRule type="expression" dxfId="3025" priority="296">
      <formula>(File_Marr_Sep&lt;&gt;"")</formula>
    </cfRule>
  </conditionalFormatting>
  <conditionalFormatting sqref="AL15">
    <cfRule type="expression" dxfId="3024" priority="472">
      <formula>(File_Marr_Joint&lt;&gt;"")</formula>
    </cfRule>
  </conditionalFormatting>
  <conditionalFormatting sqref="AM7">
    <cfRule type="expression" dxfId="3023" priority="32">
      <formula>File_Marr_Sep&lt;&gt;""</formula>
    </cfRule>
  </conditionalFormatting>
  <conditionalFormatting sqref="AM11">
    <cfRule type="expression" dxfId="3022" priority="935">
      <formula>IF(OR(AND(File_Marr_Joint&lt;&gt;"",$AY$13,$AY$15),AND(File_Marr_Joint="",$AY$13)),1,0)</formula>
    </cfRule>
  </conditionalFormatting>
  <conditionalFormatting sqref="AM78">
    <cfRule type="expression" dxfId="3021" priority="70">
      <formula>($AJ$55&lt;&gt;"")</formula>
    </cfRule>
  </conditionalFormatting>
  <conditionalFormatting sqref="AM80:AM81">
    <cfRule type="expression" dxfId="3020" priority="435">
      <formula>($AJ$55&lt;&gt;"")</formula>
    </cfRule>
  </conditionalFormatting>
  <conditionalFormatting sqref="AM7:AN8">
    <cfRule type="expression" dxfId="3019" priority="33">
      <formula>AND(File_Marr_Sep&lt;&gt;"",LivedApartAnswered)</formula>
    </cfRule>
  </conditionalFormatting>
  <conditionalFormatting sqref="AM4:AO4">
    <cfRule type="expression" dxfId="3018" priority="554">
      <formula>(File_Marr_Sep&lt;&gt;"")</formula>
    </cfRule>
  </conditionalFormatting>
  <conditionalFormatting sqref="AM8:AO8">
    <cfRule type="expression" dxfId="3017" priority="548">
      <formula>(File_Marr_Sep&lt;&gt;"")</formula>
    </cfRule>
  </conditionalFormatting>
  <conditionalFormatting sqref="AM9:AQ9">
    <cfRule type="expression" dxfId="3016" priority="295">
      <formula>File_Marr_Sep&lt;&gt;""</formula>
    </cfRule>
  </conditionalFormatting>
  <conditionalFormatting sqref="AN4">
    <cfRule type="expression" dxfId="3015" priority="69">
      <formula>NumFileStatusBoxes=0</formula>
    </cfRule>
  </conditionalFormatting>
  <conditionalFormatting sqref="AN7">
    <cfRule type="expression" dxfId="3014" priority="31">
      <formula>File_Marr_Sep&lt;&gt;""</formula>
    </cfRule>
  </conditionalFormatting>
  <conditionalFormatting sqref="AN14">
    <cfRule type="expression" dxfId="3013" priority="952">
      <formula>IF($BB$88,1,0)</formula>
    </cfRule>
  </conditionalFormatting>
  <conditionalFormatting sqref="AN16 AN19 AN27:AN28">
    <cfRule type="expression" dxfId="3012" priority="5076">
      <formula>AND($AN$15&lt;&gt;"",$AO$15&lt;&gt;"",$AP$15&lt;&gt;"",$BB$108)</formula>
    </cfRule>
  </conditionalFormatting>
  <conditionalFormatting sqref="AN18 AN21 AN29">
    <cfRule type="expression" dxfId="3011" priority="5080">
      <formula>OR($BH$107,$AL$23)</formula>
    </cfRule>
  </conditionalFormatting>
  <conditionalFormatting sqref="AN15:AP15">
    <cfRule type="expression" dxfId="3010" priority="5062">
      <formula>IF(NOT($AV$11),1,0)</formula>
    </cfRule>
    <cfRule type="expression" dxfId="3009" priority="5063">
      <formula>IF(NoColor,1,0)</formula>
    </cfRule>
  </conditionalFormatting>
  <conditionalFormatting sqref="AN20:AP20">
    <cfRule type="expression" dxfId="3008" priority="5">
      <formula>NOT($AM$22)</formula>
    </cfRule>
    <cfRule type="expression" dxfId="3007" priority="6">
      <formula>IF(NoColor,1,0)</formula>
    </cfRule>
  </conditionalFormatting>
  <conditionalFormatting sqref="AO4">
    <cfRule type="expression" dxfId="3006" priority="552">
      <formula>(File_Marr_Sep&lt;&gt;"")</formula>
    </cfRule>
  </conditionalFormatting>
  <conditionalFormatting sqref="AO72">
    <cfRule type="expression" dxfId="3005" priority="66">
      <formula>$AO$75</formula>
    </cfRule>
  </conditionalFormatting>
  <conditionalFormatting sqref="AO7:AP7">
    <cfRule type="expression" dxfId="3004" priority="547">
      <formula>(File_Marr_Sep&lt;&gt;"")</formula>
    </cfRule>
  </conditionalFormatting>
  <conditionalFormatting sqref="AP8">
    <cfRule type="expression" dxfId="3003" priority="556">
      <formula>(File_Marr_Sep&lt;&gt;"")</formula>
    </cfRule>
  </conditionalFormatting>
  <conditionalFormatting sqref="AP62">
    <cfRule type="expression" dxfId="3002" priority="583">
      <formula>AND($AP$58,Over_65_or_Blind=0)</formula>
    </cfRule>
  </conditionalFormatting>
  <conditionalFormatting sqref="AP63">
    <cfRule type="expression" dxfId="3001" priority="579">
      <formula>AND($AP$58,Over_65_or_Blind=1)</formula>
    </cfRule>
  </conditionalFormatting>
  <conditionalFormatting sqref="AP64">
    <cfRule type="expression" dxfId="3000" priority="578">
      <formula>AND($AP$58,Over_65_or_Blind=2)</formula>
    </cfRule>
  </conditionalFormatting>
  <conditionalFormatting sqref="AP65">
    <cfRule type="expression" dxfId="2999" priority="577">
      <formula>AND($AP$58,Over_65_or_Blind=3)</formula>
    </cfRule>
  </conditionalFormatting>
  <conditionalFormatting sqref="AP66 AP78">
    <cfRule type="expression" dxfId="2998" priority="576">
      <formula>AND($AP$58,Over_65_or_Blind=4)</formula>
    </cfRule>
  </conditionalFormatting>
  <conditionalFormatting sqref="AQ59">
    <cfRule type="expression" dxfId="2997" priority="584">
      <formula>$AP$58</formula>
    </cfRule>
  </conditionalFormatting>
  <conditionalFormatting sqref="AQ62:AQ64">
    <cfRule type="expression" dxfId="2996" priority="893">
      <formula>IF(AND($AP$58,Over_65_or_Blind=$AP62,File_Single&lt;&gt;""),1,0)</formula>
    </cfRule>
  </conditionalFormatting>
  <conditionalFormatting sqref="AR36:AR39">
    <cfRule type="expression" dxfId="2995" priority="544">
      <formula>IF($AL$3&lt;&gt;"",1,0)</formula>
    </cfRule>
  </conditionalFormatting>
  <conditionalFormatting sqref="AR62:AR66">
    <cfRule type="expression" dxfId="2994" priority="912">
      <formula>IF(AND($AP$58,Over_65_or_Blind=$AP62,OR(File_Marr_Joint&lt;&gt;"",File_Qual_Widow&lt;&gt;"")),1,0)</formula>
    </cfRule>
  </conditionalFormatting>
  <conditionalFormatting sqref="AS62:AS66">
    <cfRule type="expression" dxfId="2993" priority="889">
      <formula>IF(AND($AP$58,Over_65_or_Blind=$AP62,File_Marr_Sep&lt;&gt;""),1,0)</formula>
    </cfRule>
  </conditionalFormatting>
  <conditionalFormatting sqref="AT62:AT64">
    <cfRule type="expression" dxfId="2992" priority="886">
      <formula>IF(AND($AP$58,Over_65_or_Blind=$AP62,File_Head&lt;&gt;""),1,0)</formula>
    </cfRule>
  </conditionalFormatting>
  <conditionalFormatting sqref="AY60:AY61">
    <cfRule type="expression" dxfId="2991" priority="679">
      <formula>NOT(ItemizedDeduct)</formula>
    </cfRule>
  </conditionalFormatting>
  <conditionalFormatting sqref="AZ60:AZ61">
    <cfRule type="expression" dxfId="2990" priority="678">
      <formula>(ItemizedDeduct)</formula>
    </cfRule>
  </conditionalFormatting>
  <hyperlinks>
    <hyperlink ref="H2" r:id="rId1" xr:uid="{00000000-0004-0000-0B00-000000000000}"/>
    <hyperlink ref="F122" r:id="rId2" xr:uid="{00000000-0004-0000-0B00-000001000000}"/>
    <hyperlink ref="F124" r:id="rId3" xr:uid="{00000000-0004-0000-0B00-000002000000}"/>
    <hyperlink ref="F124:U124" r:id="rId4" display="Download Form 1040 from IRS" xr:uid="{00000000-0004-0000-0B00-000003000000}"/>
    <hyperlink ref="F126:U126" r:id="rId5" display="Download Form 1040 from IRS" xr:uid="{00000000-0004-0000-0B00-000004000000}"/>
    <hyperlink ref="J127:N129" location="'Table of Contents'!A1" display="Table of Contents" xr:uid="{00000000-0004-0000-0B00-000005000000}"/>
  </hyperlinks>
  <pageMargins left="0.75" right="0.25" top="0.36" bottom="0.28999999999999998" header="0.36" footer="0.21"/>
  <pageSetup scale="73" fitToHeight="0" orientation="portrait" r:id="rId6"/>
  <rowBreaks count="1" manualBreakCount="1">
    <brk id="69" min="1" max="32" man="1"/>
  </rowBreaks>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O43"/>
  <sheetViews>
    <sheetView workbookViewId="0"/>
  </sheetViews>
  <sheetFormatPr defaultRowHeight="12.75"/>
  <cols>
    <col min="1" max="1" width="4.85546875" customWidth="1"/>
    <col min="4" max="4" width="3.5703125" customWidth="1"/>
    <col min="5" max="12" width="7" customWidth="1"/>
    <col min="13" max="18" width="3.5703125" customWidth="1"/>
    <col min="19" max="24" width="3" customWidth="1"/>
    <col min="25" max="25" width="6.28515625" customWidth="1"/>
    <col min="26" max="26" width="4.28515625" customWidth="1"/>
    <col min="27" max="28" width="3.7109375" customWidth="1"/>
    <col min="29" max="30" width="2.5703125" customWidth="1"/>
    <col min="31" max="32" width="3.42578125" customWidth="1"/>
    <col min="33" max="34" width="3.85546875" customWidth="1"/>
    <col min="35" max="40" width="3" customWidth="1"/>
    <col min="41" max="41" width="11.28515625" customWidth="1"/>
    <col min="42" max="42" width="4.5703125" customWidth="1"/>
    <col min="43" max="43" width="26.42578125" customWidth="1"/>
    <col min="44" max="44" width="11.42578125" customWidth="1"/>
    <col min="45" max="47" width="5.7109375" hidden="1" customWidth="1"/>
    <col min="48" max="48" width="14" hidden="1" customWidth="1"/>
    <col min="49" max="49" width="12.140625" hidden="1" customWidth="1"/>
    <col min="50" max="51" width="9.140625" style="187" hidden="1" customWidth="1"/>
    <col min="52" max="52" width="9.85546875" style="187" hidden="1" customWidth="1"/>
    <col min="53" max="53" width="8.42578125" style="187" hidden="1" customWidth="1"/>
    <col min="54" max="54" width="10.140625" style="187" hidden="1" customWidth="1"/>
    <col min="55" max="55" width="11.7109375" style="187" hidden="1" customWidth="1"/>
    <col min="56" max="56" width="12.28515625" hidden="1" customWidth="1"/>
    <col min="57" max="57" width="11.7109375" style="187" hidden="1" customWidth="1"/>
    <col min="58" max="58" width="13.85546875" hidden="1" customWidth="1"/>
    <col min="59" max="59" width="13.42578125" hidden="1" customWidth="1"/>
    <col min="60" max="60" width="14.140625" style="187" hidden="1" customWidth="1"/>
    <col min="61" max="62" width="5.85546875" customWidth="1"/>
    <col min="63" max="63" width="13.28515625" style="187" customWidth="1"/>
    <col min="64" max="64" width="9.140625" customWidth="1"/>
  </cols>
  <sheetData>
    <row r="1" spans="1:67">
      <c r="A1" s="4359"/>
      <c r="B1" s="4359"/>
      <c r="C1" s="4359"/>
      <c r="D1" s="4359"/>
      <c r="E1" s="4359"/>
      <c r="F1" s="4359"/>
      <c r="G1" s="4359"/>
      <c r="H1" s="4359"/>
      <c r="I1" s="4359"/>
      <c r="J1" s="4359"/>
      <c r="K1" s="4359"/>
      <c r="L1" s="4359"/>
      <c r="M1" s="6657" t="str">
        <f>IF(AZ3,"One or more 'default' SSNs is being used.","")</f>
        <v/>
      </c>
      <c r="N1" s="6657"/>
      <c r="O1" s="6657"/>
      <c r="P1" s="6657"/>
      <c r="Q1" s="6657"/>
      <c r="R1" s="6657"/>
      <c r="S1" s="4359"/>
      <c r="T1" s="4359"/>
      <c r="U1" s="4359"/>
      <c r="V1" s="4359"/>
      <c r="W1" s="4359"/>
      <c r="X1" s="4359"/>
      <c r="Y1" s="4359"/>
      <c r="Z1" s="4359"/>
      <c r="AA1" s="4359"/>
      <c r="AB1" s="4359"/>
      <c r="AC1" s="4359"/>
      <c r="AD1" s="4359"/>
      <c r="AE1" s="4359"/>
      <c r="AF1" s="4359"/>
      <c r="AG1" s="4359"/>
      <c r="AH1" s="4359"/>
      <c r="AI1" s="6697" t="str">
        <f>IF(BC3,"Enter child/dependent's birthdate to ensure accurate tax credit determination.","")</f>
        <v/>
      </c>
      <c r="AJ1" s="6697"/>
      <c r="AK1" s="6697"/>
      <c r="AL1" s="6697"/>
      <c r="AM1" s="6697"/>
      <c r="AN1" s="6697"/>
      <c r="AO1" s="4359"/>
      <c r="AP1" s="4359"/>
      <c r="AX1"/>
      <c r="AY1"/>
      <c r="AZ1"/>
      <c r="BA1"/>
      <c r="BB1"/>
      <c r="BC1"/>
      <c r="BE1"/>
      <c r="BH1"/>
      <c r="BK1"/>
      <c r="BN1" s="187"/>
    </row>
    <row r="2" spans="1:67" ht="87" customHeight="1">
      <c r="A2" s="4359"/>
      <c r="B2" s="4359"/>
      <c r="C2" s="6661" t="s">
        <v>855</v>
      </c>
      <c r="D2" s="6661"/>
      <c r="E2" s="6661"/>
      <c r="F2" s="6661"/>
      <c r="G2" s="6661"/>
      <c r="H2" s="6661"/>
      <c r="I2" s="6661"/>
      <c r="J2" s="6661"/>
      <c r="K2" s="4359"/>
      <c r="L2" s="4359"/>
      <c r="M2" s="6657"/>
      <c r="N2" s="6657"/>
      <c r="O2" s="6657"/>
      <c r="P2" s="6657"/>
      <c r="Q2" s="6657"/>
      <c r="R2" s="6657"/>
      <c r="S2" s="4359"/>
      <c r="T2" s="4359"/>
      <c r="U2" s="4359"/>
      <c r="V2" s="4359"/>
      <c r="W2" s="4359"/>
      <c r="X2" s="4359"/>
      <c r="Y2" s="4359"/>
      <c r="Z2" s="4359"/>
      <c r="AA2" s="4359"/>
      <c r="AB2" s="4359"/>
      <c r="AC2" s="4359"/>
      <c r="AD2" s="4359"/>
      <c r="AE2" s="4359"/>
      <c r="AF2" s="4359"/>
      <c r="AG2" s="4359"/>
      <c r="AH2" s="4359"/>
      <c r="AI2" s="6697"/>
      <c r="AJ2" s="6697"/>
      <c r="AK2" s="6697"/>
      <c r="AL2" s="6697"/>
      <c r="AM2" s="6697"/>
      <c r="AN2" s="6697"/>
      <c r="AO2" s="4359"/>
      <c r="AP2" s="4359"/>
      <c r="AS2" s="6696" t="s">
        <v>620</v>
      </c>
      <c r="AT2" s="6696" t="s">
        <v>856</v>
      </c>
      <c r="AU2" s="6696" t="str">
        <f>"Child Tax Credit (&lt; "&amp;CTC_AgeLimit&amp;" yrs. old)"</f>
        <v>Child Tax Credit (&lt; 17 yrs. old)</v>
      </c>
      <c r="AV2" s="6696" t="s">
        <v>857</v>
      </c>
      <c r="AX2"/>
      <c r="BG2" s="187"/>
    </row>
    <row r="3" spans="1:67" ht="16.5" customHeight="1" thickBot="1">
      <c r="A3" s="4359"/>
      <c r="B3" s="4359"/>
      <c r="C3" s="4359"/>
      <c r="D3" s="4359"/>
      <c r="E3" s="4359"/>
      <c r="F3" s="4359"/>
      <c r="G3" s="4359"/>
      <c r="H3" s="4359"/>
      <c r="I3" s="4359"/>
      <c r="J3" s="4359"/>
      <c r="K3" s="4359"/>
      <c r="L3" s="4359"/>
      <c r="M3" s="6658"/>
      <c r="N3" s="6658"/>
      <c r="O3" s="6658"/>
      <c r="P3" s="6658"/>
      <c r="Q3" s="6658"/>
      <c r="R3" s="6658"/>
      <c r="S3" s="4359"/>
      <c r="T3" s="4359"/>
      <c r="U3" s="4359"/>
      <c r="V3" s="4359"/>
      <c r="W3" s="4359"/>
      <c r="X3" s="4359"/>
      <c r="Y3" s="4359"/>
      <c r="Z3" s="4359"/>
      <c r="AA3" s="4359"/>
      <c r="AB3" s="4359"/>
      <c r="AC3" s="4359"/>
      <c r="AD3" s="4359"/>
      <c r="AE3" s="4359"/>
      <c r="AF3" s="4359"/>
      <c r="AG3" s="4359"/>
      <c r="AH3" s="4359"/>
      <c r="AI3" s="6698"/>
      <c r="AJ3" s="6698"/>
      <c r="AK3" s="6698"/>
      <c r="AL3" s="6698"/>
      <c r="AM3" s="6698"/>
      <c r="AN3" s="6698"/>
      <c r="AO3" s="4359"/>
      <c r="AP3" s="4359"/>
      <c r="AS3" s="6696"/>
      <c r="AT3" s="6696"/>
      <c r="AU3" s="6696"/>
      <c r="AV3" s="6696"/>
      <c r="AX3"/>
      <c r="AZ3" s="1652" t="b">
        <f>OR(AZ7:AZ10,AZ15:AZ30)</f>
        <v>0</v>
      </c>
      <c r="BC3" s="1652" t="b">
        <f>OR(BC7:BC10,BC15:BC30)</f>
        <v>0</v>
      </c>
      <c r="BD3" s="906" t="s">
        <v>858</v>
      </c>
      <c r="BG3" s="187"/>
      <c r="BH3" s="6659" t="str">
        <f>"Depend &lt; "&amp;TEXT(CTC_AgeLimit,"0")&amp;" w/valid SSN"</f>
        <v>Depend &lt; 17 w/valid SSN</v>
      </c>
    </row>
    <row r="4" spans="1:67" ht="16.5" thickBot="1">
      <c r="A4" s="4359"/>
      <c r="B4" s="6332" t="s">
        <v>620</v>
      </c>
      <c r="C4" s="6332"/>
      <c r="D4" s="6332"/>
      <c r="E4" s="4241"/>
      <c r="F4" s="4241"/>
      <c r="G4" s="4241"/>
      <c r="H4" s="4241"/>
      <c r="I4" s="4356"/>
      <c r="J4" s="4242"/>
      <c r="K4" s="4242"/>
      <c r="L4" s="4247"/>
      <c r="M4" s="6544" t="str">
        <f>"(2) Social security "&amp;CHAR(10)&amp;"number"</f>
        <v>(2) Social security 
number</v>
      </c>
      <c r="N4" s="6545"/>
      <c r="O4" s="6545"/>
      <c r="P4" s="6545"/>
      <c r="Q4" s="6545"/>
      <c r="R4" s="6546"/>
      <c r="S4" s="6535" t="s">
        <v>622</v>
      </c>
      <c r="T4" s="6536"/>
      <c r="U4" s="6536"/>
      <c r="V4" s="6536"/>
      <c r="W4" s="6536"/>
      <c r="X4" s="6537"/>
      <c r="Y4" s="6691" t="str">
        <f>IF(AT11&gt;0,"Error: You cannot take both credits.","")</f>
        <v/>
      </c>
      <c r="Z4" s="6692"/>
      <c r="AA4" s="6692"/>
      <c r="AB4" s="6692"/>
      <c r="AC4" s="6692"/>
      <c r="AD4" s="6692"/>
      <c r="AE4" s="6692"/>
      <c r="AF4" s="6692"/>
      <c r="AG4" s="6692"/>
      <c r="AH4" s="6693"/>
      <c r="AI4" s="6687" t="s">
        <v>859</v>
      </c>
      <c r="AJ4" s="6536"/>
      <c r="AK4" s="6536"/>
      <c r="AL4" s="6536"/>
      <c r="AM4" s="6536"/>
      <c r="AN4" s="6537"/>
      <c r="AO4" s="6687" t="str">
        <f>"Age "&amp;CHAR(10)&amp;"(in "&amp;TaxYear&amp;")"</f>
        <v>Age 
(in 2023)</v>
      </c>
      <c r="AP4" s="4359"/>
      <c r="AS4" s="6696"/>
      <c r="AT4" s="6696"/>
      <c r="AU4" s="6696"/>
      <c r="AV4" s="6696"/>
      <c r="AX4"/>
      <c r="BD4" s="4810">
        <v>17</v>
      </c>
      <c r="BG4" s="187"/>
      <c r="BH4" s="6659"/>
    </row>
    <row r="5" spans="1:67" ht="12.75" customHeight="1">
      <c r="A5" s="4359"/>
      <c r="B5" s="6333"/>
      <c r="C5" s="6333"/>
      <c r="D5" s="6333"/>
      <c r="E5" s="4234" t="s">
        <v>623</v>
      </c>
      <c r="F5" s="4234"/>
      <c r="G5" s="4234"/>
      <c r="H5" s="4234"/>
      <c r="I5" s="4249"/>
      <c r="J5" s="4234"/>
      <c r="K5" s="4234"/>
      <c r="L5" s="4248"/>
      <c r="M5" s="6547"/>
      <c r="N5" s="6548"/>
      <c r="O5" s="6548"/>
      <c r="P5" s="6548"/>
      <c r="Q5" s="6548"/>
      <c r="R5" s="6549"/>
      <c r="S5" s="6538"/>
      <c r="T5" s="6539"/>
      <c r="U5" s="6539"/>
      <c r="V5" s="6539"/>
      <c r="W5" s="6539"/>
      <c r="X5" s="6540"/>
      <c r="Y5" s="4249"/>
      <c r="Z5" s="4250" t="s">
        <v>624</v>
      </c>
      <c r="AA5" s="4235"/>
      <c r="AB5" s="4251" t="s">
        <v>625</v>
      </c>
      <c r="AC5" s="4235"/>
      <c r="AD5" s="4235"/>
      <c r="AE5" s="4235"/>
      <c r="AF5" s="4235"/>
      <c r="AG5" s="4235"/>
      <c r="AH5" s="4235"/>
      <c r="AI5" s="6538"/>
      <c r="AJ5" s="6539"/>
      <c r="AK5" s="6539"/>
      <c r="AL5" s="6539"/>
      <c r="AM5" s="6539"/>
      <c r="AN5" s="6540"/>
      <c r="AO5" s="6694"/>
      <c r="AP5" s="4359"/>
      <c r="AS5" s="6696"/>
      <c r="AT5" s="6696"/>
      <c r="AU5" s="6696"/>
      <c r="AV5" s="6696"/>
      <c r="AX5"/>
      <c r="AY5" s="6659" t="s">
        <v>860</v>
      </c>
      <c r="AZ5" s="6659" t="s">
        <v>861</v>
      </c>
      <c r="BA5" s="4361"/>
      <c r="BB5" s="4361"/>
      <c r="BC5" s="6659" t="s">
        <v>862</v>
      </c>
      <c r="BD5" s="6659" t="str">
        <f>"Under "&amp;BD$4</f>
        <v>Under 17</v>
      </c>
      <c r="BE5" s="6659" t="s">
        <v>863</v>
      </c>
      <c r="BG5" s="6659" t="s">
        <v>864</v>
      </c>
      <c r="BH5" s="6659"/>
    </row>
    <row r="6" spans="1:67" ht="13.5" thickBot="1">
      <c r="A6" s="4359"/>
      <c r="B6" s="6364" t="s">
        <v>627</v>
      </c>
      <c r="C6" s="6364"/>
      <c r="D6" s="6364"/>
      <c r="E6" s="6368" t="s">
        <v>628</v>
      </c>
      <c r="F6" s="6368"/>
      <c r="G6" s="6368"/>
      <c r="H6" s="6368"/>
      <c r="I6" s="6688" t="s">
        <v>629</v>
      </c>
      <c r="J6" s="6368"/>
      <c r="K6" s="6368"/>
      <c r="L6" s="6369"/>
      <c r="M6" s="6550"/>
      <c r="N6" s="6551"/>
      <c r="O6" s="6551"/>
      <c r="P6" s="6551"/>
      <c r="Q6" s="6551"/>
      <c r="R6" s="6552"/>
      <c r="S6" s="6541"/>
      <c r="T6" s="6542"/>
      <c r="U6" s="6542"/>
      <c r="V6" s="6542"/>
      <c r="W6" s="6542"/>
      <c r="X6" s="6543"/>
      <c r="Y6" s="6480" t="s">
        <v>630</v>
      </c>
      <c r="Z6" s="6483"/>
      <c r="AA6" s="6483"/>
      <c r="AB6" s="6483"/>
      <c r="AC6" s="6480" t="s">
        <v>631</v>
      </c>
      <c r="AD6" s="6483"/>
      <c r="AE6" s="6483"/>
      <c r="AF6" s="6483"/>
      <c r="AG6" s="6483"/>
      <c r="AH6" s="6483"/>
      <c r="AI6" s="6541"/>
      <c r="AJ6" s="6542"/>
      <c r="AK6" s="6542"/>
      <c r="AL6" s="6542"/>
      <c r="AM6" s="6542"/>
      <c r="AN6" s="6543"/>
      <c r="AO6" s="6695"/>
      <c r="AP6" s="4359"/>
      <c r="AS6" s="6696"/>
      <c r="AT6" s="6696"/>
      <c r="AU6" s="6696"/>
      <c r="AV6" s="6696"/>
      <c r="AX6"/>
      <c r="AY6" s="6659"/>
      <c r="AZ6" s="6659"/>
      <c r="BA6" s="4361" t="s">
        <v>865</v>
      </c>
      <c r="BB6" s="4361"/>
      <c r="BC6" s="6659"/>
      <c r="BD6" s="6660"/>
      <c r="BE6" s="6660"/>
      <c r="BG6" s="6660"/>
      <c r="BH6" s="6690"/>
    </row>
    <row r="7" spans="1:67" ht="18">
      <c r="A7" s="4359"/>
      <c r="B7" s="6364"/>
      <c r="C7" s="6364"/>
      <c r="D7" s="6364"/>
      <c r="E7" s="6662"/>
      <c r="F7" s="6662"/>
      <c r="G7" s="6662"/>
      <c r="H7" s="6662"/>
      <c r="I7" s="6663"/>
      <c r="J7" s="6662"/>
      <c r="K7" s="6662"/>
      <c r="L7" s="6664"/>
      <c r="M7" s="6665" t="str">
        <f>IF(OR(Z7&lt;&gt;"",AF7&lt;&gt;""),"001-01-0003","")</f>
        <v/>
      </c>
      <c r="N7" s="6666"/>
      <c r="O7" s="6666"/>
      <c r="P7" s="6666"/>
      <c r="Q7" s="6666"/>
      <c r="R7" s="6667"/>
      <c r="S7" s="6668"/>
      <c r="T7" s="6669"/>
      <c r="U7" s="6669"/>
      <c r="V7" s="6669"/>
      <c r="W7" s="6669"/>
      <c r="X7" s="6670"/>
      <c r="Y7" s="3256"/>
      <c r="Z7" s="809"/>
      <c r="AA7" s="3257"/>
      <c r="AB7" s="3258"/>
      <c r="AC7" s="3256"/>
      <c r="AD7" s="3258"/>
      <c r="AE7" s="3258"/>
      <c r="AF7" s="809"/>
      <c r="AG7" s="3259"/>
      <c r="AH7" s="3259"/>
      <c r="AI7" s="6671"/>
      <c r="AJ7" s="6672"/>
      <c r="AK7" s="6672"/>
      <c r="AL7" s="6672"/>
      <c r="AM7" s="6672"/>
      <c r="AN7" s="6673"/>
      <c r="AO7" s="4357" t="str">
        <f>IF(AI7="","",TaxYear-YEAR(AI7))</f>
        <v/>
      </c>
      <c r="AP7" s="4359"/>
      <c r="AQ7" s="1" t="str">
        <f>IF(AT7,"Error - two boxes checked.",IF(BD7&lt;&gt;0,BD$5,IF(BE7&lt;&gt;0,BE$5,IF(BG7&lt;&gt;0,$BG$5,""))))</f>
        <v/>
      </c>
      <c r="AR7" s="1"/>
      <c r="AS7" s="187">
        <f>IF(AND(OR(Z7&lt;&gt;"",AF7&lt;&gt;""),AT7&lt;&gt;1),1,0)</f>
        <v>0</v>
      </c>
      <c r="AT7" s="187">
        <f>IF(AND(Z7&lt;&gt;"",AF7&lt;&gt;""),1,0)</f>
        <v>0</v>
      </c>
      <c r="AU7" s="187">
        <f>IF(AND(BH7=1,$AT7=0),1,0)</f>
        <v>0</v>
      </c>
      <c r="AV7" s="187">
        <f>BE7</f>
        <v>0</v>
      </c>
      <c r="AW7" s="187" t="str">
        <f>TEXT(M7,"000-00-0000")</f>
        <v/>
      </c>
      <c r="AX7" s="187" t="str">
        <f>LEFT(AW7,3)</f>
        <v/>
      </c>
      <c r="AY7" s="4367" t="b">
        <v>1</v>
      </c>
      <c r="AZ7" s="4367" t="b">
        <f>LEFT(M7,6)="001-01"</f>
        <v>0</v>
      </c>
      <c r="BA7" s="187" t="b">
        <f>AND(M7&lt;&gt;"",AY7)</f>
        <v>0</v>
      </c>
      <c r="BB7" s="4361"/>
      <c r="BC7" s="4367" t="b">
        <f>AND(AI7="",OR(Z7&lt;&gt;"",AF7&lt;&gt;""))</f>
        <v>0</v>
      </c>
      <c r="BD7" s="4371">
        <f>IF(AND(AO7&lt;BD$4,Z7&lt;&gt;"",AF7=""),1,0)</f>
        <v>0</v>
      </c>
      <c r="BE7" s="4363">
        <f>IF(AND(AT7=0,BA7,OR(AND(Z7&lt;&gt;"",BD7=0),AF7&lt;&gt;"")),1,0)</f>
        <v>0</v>
      </c>
      <c r="BF7" s="4366"/>
      <c r="BG7" s="4367">
        <f>IF(AND(OR(Z7&lt;&gt;"",AF7&lt;&gt;""),BA7),1,0)</f>
        <v>0</v>
      </c>
      <c r="BH7" s="4367">
        <f>IF(AND(BD7=1,BG7=1),1,0)</f>
        <v>0</v>
      </c>
    </row>
    <row r="8" spans="1:67" ht="18">
      <c r="A8" s="4359"/>
      <c r="B8" s="6364"/>
      <c r="C8" s="6364"/>
      <c r="D8" s="6364"/>
      <c r="E8" s="6662"/>
      <c r="F8" s="6662"/>
      <c r="G8" s="6662"/>
      <c r="H8" s="6662"/>
      <c r="I8" s="6663"/>
      <c r="J8" s="6662"/>
      <c r="K8" s="6662"/>
      <c r="L8" s="6664"/>
      <c r="M8" s="6665" t="str">
        <f>IF(OR(Z8&lt;&gt;"",AF8&lt;&gt;""),"001-01-0004","")</f>
        <v/>
      </c>
      <c r="N8" s="6666"/>
      <c r="O8" s="6666"/>
      <c r="P8" s="6666"/>
      <c r="Q8" s="6666"/>
      <c r="R8" s="6667"/>
      <c r="S8" s="6668"/>
      <c r="T8" s="6669"/>
      <c r="U8" s="6669"/>
      <c r="V8" s="6669"/>
      <c r="W8" s="6669"/>
      <c r="X8" s="6670"/>
      <c r="Y8" s="3256"/>
      <c r="Z8" s="809"/>
      <c r="AA8" s="3257"/>
      <c r="AB8" s="3258"/>
      <c r="AC8" s="3256"/>
      <c r="AD8" s="3258"/>
      <c r="AE8" s="3258"/>
      <c r="AF8" s="809"/>
      <c r="AG8" s="3259"/>
      <c r="AH8" s="3259"/>
      <c r="AI8" s="6671"/>
      <c r="AJ8" s="6672"/>
      <c r="AK8" s="6672"/>
      <c r="AL8" s="6672"/>
      <c r="AM8" s="6672"/>
      <c r="AN8" s="6673"/>
      <c r="AO8" s="4357" t="str">
        <f>IF(AI8="","",TaxYear-YEAR(AI8))</f>
        <v/>
      </c>
      <c r="AP8" s="4359"/>
      <c r="AQ8" s="1" t="str">
        <f>IF(AT8,"Error - two boxes checked.",IF(BD8&lt;&gt;0,BD$5,IF(BE8&lt;&gt;0,BE$5,IF(BG8&lt;&gt;0,$BG$5,""))))</f>
        <v/>
      </c>
      <c r="AR8" s="1"/>
      <c r="AS8" s="187">
        <f>IF(AND(OR(Z8&lt;&gt;"",AF8&lt;&gt;""),AT8&lt;&gt;1),1,0)</f>
        <v>0</v>
      </c>
      <c r="AT8" s="187">
        <f>IF(AND(Z8&lt;&gt;"",AF8&lt;&gt;""),1,0)</f>
        <v>0</v>
      </c>
      <c r="AU8" s="187">
        <f>IF(AND(BH8=1,$AT8=0),1,0)</f>
        <v>0</v>
      </c>
      <c r="AV8" s="187">
        <f>BE8</f>
        <v>0</v>
      </c>
      <c r="AW8" s="187" t="str">
        <f>TEXT(M8,"000-00-0000")</f>
        <v/>
      </c>
      <c r="AX8" s="187" t="str">
        <f>LEFT(AW8,3)</f>
        <v/>
      </c>
      <c r="AY8" s="4368" t="b">
        <v>1</v>
      </c>
      <c r="AZ8" s="4368" t="b">
        <f>LEFT(M8,6)="001-01"</f>
        <v>0</v>
      </c>
      <c r="BA8" s="187" t="b">
        <f>AND(M8&lt;&gt;"",AY8)</f>
        <v>0</v>
      </c>
      <c r="BB8" s="4361"/>
      <c r="BC8" s="4368" t="b">
        <f>AND(AI8="",OR(Z8&lt;&gt;"",AF8&lt;&gt;""))</f>
        <v>0</v>
      </c>
      <c r="BD8" s="4372">
        <f>IF(AND(AO8&lt;BD$4,Z8&lt;&gt;"",AF8=""),1,0)</f>
        <v>0</v>
      </c>
      <c r="BE8" s="4364">
        <f>IF(AND(AT8=0,BA8,OR(AND(Z8&lt;&gt;"",BD8=0),AF8&lt;&gt;"")),1,0)</f>
        <v>0</v>
      </c>
      <c r="BF8" s="4366"/>
      <c r="BG8" s="4368">
        <f>IF(AND(OR(Z8&lt;&gt;"",AF8&lt;&gt;""),BA8),1,0)</f>
        <v>0</v>
      </c>
      <c r="BH8" s="4368">
        <f>IF(AND(BD8=1,BG8=1),1,0)</f>
        <v>0</v>
      </c>
    </row>
    <row r="9" spans="1:67" ht="18">
      <c r="A9" s="4359"/>
      <c r="B9" s="6364"/>
      <c r="C9" s="6364"/>
      <c r="D9" s="6364"/>
      <c r="E9" s="6662"/>
      <c r="F9" s="6662"/>
      <c r="G9" s="6662"/>
      <c r="H9" s="6662"/>
      <c r="I9" s="6663"/>
      <c r="J9" s="6662"/>
      <c r="K9" s="6662"/>
      <c r="L9" s="6664"/>
      <c r="M9" s="6665" t="str">
        <f>IF(OR(Z9&lt;&gt;"",AF9&lt;&gt;""),"001-01-0005","")</f>
        <v/>
      </c>
      <c r="N9" s="6666"/>
      <c r="O9" s="6666"/>
      <c r="P9" s="6666"/>
      <c r="Q9" s="6666"/>
      <c r="R9" s="6667"/>
      <c r="S9" s="6668"/>
      <c r="T9" s="6669"/>
      <c r="U9" s="6669"/>
      <c r="V9" s="6669"/>
      <c r="W9" s="6669"/>
      <c r="X9" s="6670"/>
      <c r="Y9" s="3256"/>
      <c r="Z9" s="809"/>
      <c r="AA9" s="3257"/>
      <c r="AB9" s="3258"/>
      <c r="AC9" s="3256"/>
      <c r="AD9" s="3258"/>
      <c r="AE9" s="3258"/>
      <c r="AF9" s="809"/>
      <c r="AG9" s="3259"/>
      <c r="AH9" s="3259"/>
      <c r="AI9" s="6671"/>
      <c r="AJ9" s="6672"/>
      <c r="AK9" s="6672"/>
      <c r="AL9" s="6672"/>
      <c r="AM9" s="6672"/>
      <c r="AN9" s="6673"/>
      <c r="AO9" s="4357" t="str">
        <f>IF(AI9="","",TaxYear-YEAR(AI9))</f>
        <v/>
      </c>
      <c r="AP9" s="4359"/>
      <c r="AQ9" s="1" t="str">
        <f>IF(AT9,"Error - two boxes checked.",IF(BD9&lt;&gt;0,BD$5,IF(BE9&lt;&gt;0,BE$5,IF(BG9&lt;&gt;0,$BG$5,""))))</f>
        <v/>
      </c>
      <c r="AR9" s="1"/>
      <c r="AS9" s="187">
        <f>IF(AND(OR(Z9&lt;&gt;"",AF9&lt;&gt;""),AT9&lt;&gt;1),1,0)</f>
        <v>0</v>
      </c>
      <c r="AT9" s="187">
        <f>IF(AND(Z9&lt;&gt;"",AF9&lt;&gt;""),1,0)</f>
        <v>0</v>
      </c>
      <c r="AU9" s="187">
        <f>IF(AND(BH9=1,$AT9=0),1,0)</f>
        <v>0</v>
      </c>
      <c r="AV9" s="187">
        <f>BE9</f>
        <v>0</v>
      </c>
      <c r="AW9" s="187" t="str">
        <f>TEXT(M9,"000-00-0000")</f>
        <v/>
      </c>
      <c r="AX9" s="187" t="str">
        <f>LEFT(AW9,3)</f>
        <v/>
      </c>
      <c r="AY9" s="4368" t="b">
        <v>1</v>
      </c>
      <c r="AZ9" s="4368" t="b">
        <f>LEFT(M9,6)="001-01"</f>
        <v>0</v>
      </c>
      <c r="BA9" s="187" t="b">
        <f>AND(M9&lt;&gt;"",AY9)</f>
        <v>0</v>
      </c>
      <c r="BB9" s="4361"/>
      <c r="BC9" s="4368" t="b">
        <f>AND(AI9="",OR(Z9&lt;&gt;"",AF9&lt;&gt;""))</f>
        <v>0</v>
      </c>
      <c r="BD9" s="4372">
        <f>IF(AND(AO9&lt;BD$4,Z9&lt;&gt;"",AF9=""),1,0)</f>
        <v>0</v>
      </c>
      <c r="BE9" s="4364">
        <f>IF(AND(AT9=0,BA9,OR(AND(Z9&lt;&gt;"",BD9=0),AF9&lt;&gt;"")),1,0)</f>
        <v>0</v>
      </c>
      <c r="BF9" s="4366"/>
      <c r="BG9" s="4368">
        <f>IF(AND(OR(Z9&lt;&gt;"",AF9&lt;&gt;""),BA9),1,0)</f>
        <v>0</v>
      </c>
      <c r="BH9" s="4368">
        <f>IF(AND(BD9=1,BG9=1),1,0)</f>
        <v>0</v>
      </c>
    </row>
    <row r="10" spans="1:67" ht="18.75" thickBot="1">
      <c r="A10" s="4359"/>
      <c r="B10" s="6674" t="s">
        <v>636</v>
      </c>
      <c r="C10" s="6674"/>
      <c r="D10" s="4379" t="str">
        <f>IF(AS33&gt;4,"X","")</f>
        <v/>
      </c>
      <c r="E10" s="6676"/>
      <c r="F10" s="6675"/>
      <c r="G10" s="6675"/>
      <c r="H10" s="6675"/>
      <c r="I10" s="6676"/>
      <c r="J10" s="6675"/>
      <c r="K10" s="6675"/>
      <c r="L10" s="6677"/>
      <c r="M10" s="6678" t="str">
        <f>IF(OR(Z10&lt;&gt;"",AF10&lt;&gt;""),"001-01-0006","")</f>
        <v/>
      </c>
      <c r="N10" s="6679"/>
      <c r="O10" s="6679"/>
      <c r="P10" s="6679"/>
      <c r="Q10" s="6679"/>
      <c r="R10" s="6680"/>
      <c r="S10" s="6681"/>
      <c r="T10" s="6682"/>
      <c r="U10" s="6682"/>
      <c r="V10" s="6682"/>
      <c r="W10" s="6682"/>
      <c r="X10" s="6683"/>
      <c r="Y10" s="3699"/>
      <c r="Z10" s="3698"/>
      <c r="AA10" s="3700"/>
      <c r="AB10" s="3701"/>
      <c r="AC10" s="3699"/>
      <c r="AD10" s="3701"/>
      <c r="AE10" s="3701"/>
      <c r="AF10" s="3698"/>
      <c r="AG10" s="3702"/>
      <c r="AH10" s="3702"/>
      <c r="AI10" s="6684"/>
      <c r="AJ10" s="6685"/>
      <c r="AK10" s="6685"/>
      <c r="AL10" s="6685"/>
      <c r="AM10" s="6685"/>
      <c r="AN10" s="6686"/>
      <c r="AO10" s="4358" t="str">
        <f>IF(AI10="","",TaxYear-YEAR(AI10))</f>
        <v/>
      </c>
      <c r="AP10" s="4359"/>
      <c r="AQ10" s="1" t="str">
        <f>IF(AT10,"Error - two boxes checked.",IF(BD10&lt;&gt;0,BD$5,IF(BE10&lt;&gt;0,BE$5,IF(BG10&lt;&gt;0,$BG$5,""))))</f>
        <v/>
      </c>
      <c r="AR10" s="1"/>
      <c r="AS10" s="187">
        <f>IF(AND(OR(Z10&lt;&gt;"",AF10&lt;&gt;""),AT10&lt;&gt;1),1,0)</f>
        <v>0</v>
      </c>
      <c r="AT10" s="187">
        <f>IF(AND(Z10&lt;&gt;"",AF10&lt;&gt;""),1,0)</f>
        <v>0</v>
      </c>
      <c r="AU10" s="187">
        <f>IF(AND(BH10=1,$AT10=0),1,0)</f>
        <v>0</v>
      </c>
      <c r="AV10" s="187">
        <f>BE10</f>
        <v>0</v>
      </c>
      <c r="AW10" s="187" t="str">
        <f>TEXT(M10,"000-00-0000")</f>
        <v/>
      </c>
      <c r="AX10" s="187" t="str">
        <f>LEFT(AW10,3)</f>
        <v/>
      </c>
      <c r="AY10" s="4369" t="b">
        <v>1</v>
      </c>
      <c r="AZ10" s="4369" t="b">
        <f>LEFT(M10,6)="001-01"</f>
        <v>0</v>
      </c>
      <c r="BA10" s="187" t="b">
        <f>AND(M10&lt;&gt;"",AY10)</f>
        <v>0</v>
      </c>
      <c r="BB10" s="4361"/>
      <c r="BC10" s="4369" t="b">
        <f>AND(AI10="",OR(Z10&lt;&gt;"",AF10&lt;&gt;""))</f>
        <v>0</v>
      </c>
      <c r="BD10" s="4373">
        <f>IF(AND(AO10&lt;BD$4,Z10&lt;&gt;"",AF10=""),1,0)</f>
        <v>0</v>
      </c>
      <c r="BE10" s="4365">
        <f>IF(AND(AT10=0,BA10,OR(AND(Z10&lt;&gt;"",BD10=0),AF10&lt;&gt;"")),1,0)</f>
        <v>0</v>
      </c>
      <c r="BF10" s="4366"/>
      <c r="BG10" s="4369">
        <f>IF(AND(OR(Z10&lt;&gt;"",AF10&lt;&gt;""),BA10),1,0)</f>
        <v>0</v>
      </c>
      <c r="BH10" s="4369">
        <f>IF(AND(BD10=1,BG10=1),1,0)</f>
        <v>0</v>
      </c>
    </row>
    <row r="11" spans="1:67" ht="13.5" thickTop="1">
      <c r="A11" s="4359"/>
      <c r="B11" s="4359"/>
      <c r="C11" s="4359"/>
      <c r="D11" s="4359"/>
      <c r="E11" s="4359"/>
      <c r="F11" s="4359"/>
      <c r="G11" s="4359"/>
      <c r="H11" s="4359"/>
      <c r="I11" s="4359"/>
      <c r="J11" s="4359"/>
      <c r="K11" s="4359"/>
      <c r="L11" s="4359"/>
      <c r="M11" s="4359"/>
      <c r="N11" s="4359"/>
      <c r="O11" s="4359"/>
      <c r="P11" s="4359"/>
      <c r="Q11" s="4359"/>
      <c r="R11" s="4359"/>
      <c r="S11" s="4359"/>
      <c r="T11" s="4359"/>
      <c r="U11" s="4359"/>
      <c r="V11" s="4359"/>
      <c r="W11" s="4359"/>
      <c r="X11" s="4359"/>
      <c r="Y11" s="4359"/>
      <c r="Z11" s="4359"/>
      <c r="AA11" s="4359"/>
      <c r="AB11" s="4359"/>
      <c r="AC11" s="4359"/>
      <c r="AD11" s="4359"/>
      <c r="AE11" s="4359"/>
      <c r="AF11" s="4359"/>
      <c r="AG11" s="4359"/>
      <c r="AH11" s="4359"/>
      <c r="AI11" s="4359"/>
      <c r="AJ11" s="4359"/>
      <c r="AK11" s="4359"/>
      <c r="AL11" s="4359"/>
      <c r="AM11" s="4359"/>
      <c r="AN11" s="4359"/>
      <c r="AO11" s="4359"/>
      <c r="AP11" s="4359"/>
      <c r="AS11" s="4370">
        <f>SUM(AS7:AS10)</f>
        <v>0</v>
      </c>
      <c r="AT11" s="4370">
        <f>SUM(AT7:AT10)</f>
        <v>0</v>
      </c>
      <c r="AU11" s="4370">
        <f>SUM(AU7:AU10)</f>
        <v>0</v>
      </c>
      <c r="AV11" s="4370">
        <f>SUM(AV7:AV10)</f>
        <v>0</v>
      </c>
      <c r="AX11"/>
      <c r="BB11" s="4361"/>
      <c r="BC11" s="4361"/>
      <c r="BG11" s="187"/>
    </row>
    <row r="12" spans="1:67" ht="12.75" customHeight="1">
      <c r="A12" s="4359"/>
      <c r="B12" s="6689" t="s">
        <v>866</v>
      </c>
      <c r="C12" s="6332"/>
      <c r="D12" s="6332"/>
      <c r="E12" s="4241"/>
      <c r="F12" s="4241"/>
      <c r="G12" s="4241"/>
      <c r="H12" s="4241"/>
      <c r="I12" s="4356"/>
      <c r="J12" s="4242"/>
      <c r="K12" s="4242"/>
      <c r="L12" s="4247"/>
      <c r="M12" s="6544" t="s">
        <v>621</v>
      </c>
      <c r="N12" s="6545"/>
      <c r="O12" s="6545"/>
      <c r="P12" s="6545"/>
      <c r="Q12" s="6545"/>
      <c r="R12" s="6546"/>
      <c r="S12" s="6535" t="s">
        <v>622</v>
      </c>
      <c r="T12" s="6536"/>
      <c r="U12" s="6536"/>
      <c r="V12" s="6536"/>
      <c r="W12" s="6536"/>
      <c r="X12" s="6537"/>
      <c r="Y12" s="6691" t="str">
        <f>IF(AT31&gt;0,"Error: You cannot take both credits.","")</f>
        <v/>
      </c>
      <c r="Z12" s="6692"/>
      <c r="AA12" s="6692"/>
      <c r="AB12" s="6692"/>
      <c r="AC12" s="6692"/>
      <c r="AD12" s="6692"/>
      <c r="AE12" s="6692"/>
      <c r="AF12" s="6692"/>
      <c r="AG12" s="6692"/>
      <c r="AH12" s="6693"/>
      <c r="AI12" s="6687" t="s">
        <v>859</v>
      </c>
      <c r="AJ12" s="6536"/>
      <c r="AK12" s="6536"/>
      <c r="AL12" s="6536"/>
      <c r="AM12" s="6536"/>
      <c r="AN12" s="6537"/>
      <c r="AO12" s="6687" t="str">
        <f>"Age "&amp;CHAR(10)&amp;"(in "&amp;TaxYear&amp;")"</f>
        <v>Age 
(in 2023)</v>
      </c>
      <c r="AP12" s="4359"/>
      <c r="AX12"/>
      <c r="AY12"/>
      <c r="AZ12"/>
      <c r="BA12"/>
      <c r="BB12"/>
      <c r="BC12"/>
      <c r="BE12"/>
      <c r="BH12"/>
      <c r="BK12"/>
      <c r="BO12" s="187"/>
    </row>
    <row r="13" spans="1:67" ht="12.75" customHeight="1">
      <c r="A13" s="4359"/>
      <c r="B13" s="6333"/>
      <c r="C13" s="6333"/>
      <c r="D13" s="6333"/>
      <c r="E13" s="4234" t="s">
        <v>623</v>
      </c>
      <c r="F13" s="4234"/>
      <c r="G13" s="4234"/>
      <c r="H13" s="4234"/>
      <c r="I13" s="4249"/>
      <c r="J13" s="4234"/>
      <c r="K13" s="4234"/>
      <c r="L13" s="4248"/>
      <c r="M13" s="6547"/>
      <c r="N13" s="6548"/>
      <c r="O13" s="6548"/>
      <c r="P13" s="6548"/>
      <c r="Q13" s="6548"/>
      <c r="R13" s="6549"/>
      <c r="S13" s="6538"/>
      <c r="T13" s="6539"/>
      <c r="U13" s="6539"/>
      <c r="V13" s="6539"/>
      <c r="W13" s="6539"/>
      <c r="X13" s="6540"/>
      <c r="Y13" s="4249"/>
      <c r="Z13" s="4250" t="s">
        <v>624</v>
      </c>
      <c r="AA13" s="4235"/>
      <c r="AB13" s="4251" t="s">
        <v>625</v>
      </c>
      <c r="AC13" s="4235"/>
      <c r="AD13" s="4235"/>
      <c r="AE13" s="4235"/>
      <c r="AF13" s="4235"/>
      <c r="AG13" s="4235"/>
      <c r="AH13" s="4235"/>
      <c r="AI13" s="6538"/>
      <c r="AJ13" s="6539"/>
      <c r="AK13" s="6539"/>
      <c r="AL13" s="6539"/>
      <c r="AM13" s="6539"/>
      <c r="AN13" s="6540"/>
      <c r="AO13" s="6694"/>
      <c r="AP13" s="4359"/>
      <c r="AX13"/>
      <c r="AY13"/>
      <c r="AZ13"/>
      <c r="BA13"/>
      <c r="BB13"/>
      <c r="BC13"/>
      <c r="BE13"/>
      <c r="BH13"/>
      <c r="BK13"/>
      <c r="BO13" s="187"/>
    </row>
    <row r="14" spans="1:67" ht="12.75" customHeight="1" thickBot="1">
      <c r="A14" s="4359"/>
      <c r="B14" s="6333"/>
      <c r="C14" s="6333"/>
      <c r="D14" s="6333"/>
      <c r="E14" s="6368" t="s">
        <v>628</v>
      </c>
      <c r="F14" s="6368"/>
      <c r="G14" s="6368"/>
      <c r="H14" s="6368"/>
      <c r="I14" s="6688" t="s">
        <v>629</v>
      </c>
      <c r="J14" s="6368"/>
      <c r="K14" s="6368"/>
      <c r="L14" s="6369"/>
      <c r="M14" s="6550"/>
      <c r="N14" s="6551"/>
      <c r="O14" s="6551"/>
      <c r="P14" s="6551"/>
      <c r="Q14" s="6551"/>
      <c r="R14" s="6552"/>
      <c r="S14" s="6541"/>
      <c r="T14" s="6542"/>
      <c r="U14" s="6542"/>
      <c r="V14" s="6542"/>
      <c r="W14" s="6542"/>
      <c r="X14" s="6543"/>
      <c r="Y14" s="6480" t="s">
        <v>630</v>
      </c>
      <c r="Z14" s="6483"/>
      <c r="AA14" s="6483"/>
      <c r="AB14" s="6483"/>
      <c r="AC14" s="6480" t="s">
        <v>631</v>
      </c>
      <c r="AD14" s="6483"/>
      <c r="AE14" s="6483"/>
      <c r="AF14" s="6483"/>
      <c r="AG14" s="6483"/>
      <c r="AH14" s="6483"/>
      <c r="AI14" s="6541"/>
      <c r="AJ14" s="6542"/>
      <c r="AK14" s="6542"/>
      <c r="AL14" s="6542"/>
      <c r="AM14" s="6542"/>
      <c r="AN14" s="6543"/>
      <c r="AO14" s="6695"/>
      <c r="AP14" s="4359"/>
      <c r="AX14"/>
      <c r="AY14"/>
      <c r="AZ14"/>
      <c r="BA14"/>
      <c r="BB14"/>
      <c r="BC14"/>
      <c r="BE14"/>
      <c r="BH14"/>
      <c r="BK14"/>
      <c r="BO14" s="187"/>
    </row>
    <row r="15" spans="1:67" ht="18">
      <c r="A15" s="4359"/>
      <c r="B15" s="6333"/>
      <c r="C15" s="6333"/>
      <c r="D15" s="6333"/>
      <c r="E15" s="6662"/>
      <c r="F15" s="6662"/>
      <c r="G15" s="6662"/>
      <c r="H15" s="6662"/>
      <c r="I15" s="6663"/>
      <c r="J15" s="6662"/>
      <c r="K15" s="6662"/>
      <c r="L15" s="6664"/>
      <c r="M15" s="6665" t="str">
        <f>IF(OR(Z15&lt;&gt;"",AF15&lt;&gt;""),"001-01-0007","")</f>
        <v/>
      </c>
      <c r="N15" s="6666"/>
      <c r="O15" s="6666"/>
      <c r="P15" s="6666"/>
      <c r="Q15" s="6666"/>
      <c r="R15" s="6667"/>
      <c r="S15" s="6668"/>
      <c r="T15" s="6669"/>
      <c r="U15" s="6669"/>
      <c r="V15" s="6669"/>
      <c r="W15" s="6669"/>
      <c r="X15" s="6670"/>
      <c r="Y15" s="3256"/>
      <c r="Z15" s="809"/>
      <c r="AA15" s="3257"/>
      <c r="AB15" s="3258"/>
      <c r="AC15" s="3256"/>
      <c r="AD15" s="3258"/>
      <c r="AE15" s="3258"/>
      <c r="AF15" s="809"/>
      <c r="AG15" s="3259"/>
      <c r="AH15" s="3259"/>
      <c r="AI15" s="6671"/>
      <c r="AJ15" s="6672"/>
      <c r="AK15" s="6672"/>
      <c r="AL15" s="6672"/>
      <c r="AM15" s="6672"/>
      <c r="AN15" s="6673"/>
      <c r="AO15" s="4357" t="str">
        <f t="shared" ref="AO15:AO30" si="0">IF(AI15="","",TaxYear-YEAR(AI15))</f>
        <v/>
      </c>
      <c r="AP15" s="4359"/>
      <c r="AQ15" s="1" t="str">
        <f t="shared" ref="AQ15:AQ30" si="1">IF(AT15,"Error - two boxes checked.",IF(BD15&lt;&gt;0,BD$5,IF(BE15&lt;&gt;0,BE$5,IF(BG15&lt;&gt;0,$BG$5,""))))</f>
        <v/>
      </c>
      <c r="AR15" s="1"/>
      <c r="AS15" s="187">
        <f t="shared" ref="AS15:AS30" si="2">IF(AND(OR(Z15&lt;&gt;"",AF15&lt;&gt;""),AT15&lt;&gt;1),1,0)</f>
        <v>0</v>
      </c>
      <c r="AT15" s="187">
        <f t="shared" ref="AT15:AT30" si="3">IF(AND(Z15&lt;&gt;"",AF15&lt;&gt;""),1,0)</f>
        <v>0</v>
      </c>
      <c r="AU15" s="187">
        <f t="shared" ref="AU15:AU30" si="4">IF(AND(Z15&lt;&gt;"",$AT15=0,BD15=1),1,0)</f>
        <v>0</v>
      </c>
      <c r="AV15" s="187">
        <f t="shared" ref="AV15:AV30" si="5">BE15</f>
        <v>0</v>
      </c>
      <c r="AW15" s="187" t="str">
        <f t="shared" ref="AW15:AW30" si="6">TEXT(M15,"000-00-0000")</f>
        <v/>
      </c>
      <c r="AX15" s="187" t="str">
        <f>LEFT(AW15,3)</f>
        <v/>
      </c>
      <c r="AY15" s="4367" t="b">
        <v>1</v>
      </c>
      <c r="AZ15" s="4367" t="b">
        <f t="shared" ref="AZ15:AZ30" si="7">LEFT(M15,6)="001-01"</f>
        <v>0</v>
      </c>
      <c r="BA15" s="187" t="b">
        <f>AND(M15&lt;&gt;"",AY15)</f>
        <v>0</v>
      </c>
      <c r="BB15" s="4361"/>
      <c r="BC15" s="4367" t="b">
        <f t="shared" ref="BC15:BC30" si="8">AND(AI15="",OR(Z15&lt;&gt;"",AF15&lt;&gt;""))</f>
        <v>0</v>
      </c>
      <c r="BD15" s="4371">
        <f t="shared" ref="BD15:BD30" si="9">IF(AND(AO15&lt;BD$4,Z15&lt;&gt;"",AF15=""),1,0)</f>
        <v>0</v>
      </c>
      <c r="BE15" s="4363">
        <f>IF(AND(AT15=0,BA15,OR(AND(Z15&lt;&gt;"",BD15=0),AF15&lt;&gt;"")),1,0)</f>
        <v>0</v>
      </c>
      <c r="BF15" s="4366"/>
      <c r="BG15" s="4367">
        <f>IF(AND(OR(Z15&lt;&gt;"",AF15&lt;&gt;""),BA15),1,0)</f>
        <v>0</v>
      </c>
      <c r="BH15" s="4367">
        <f>IF(AND(BD15=1,BG15=1),1,0)</f>
        <v>0</v>
      </c>
    </row>
    <row r="16" spans="1:67" ht="18">
      <c r="A16" s="4359"/>
      <c r="B16" s="4362"/>
      <c r="C16" s="4362"/>
      <c r="D16" s="4362"/>
      <c r="E16" s="6662"/>
      <c r="F16" s="6662"/>
      <c r="G16" s="6662"/>
      <c r="H16" s="6662"/>
      <c r="I16" s="6663"/>
      <c r="J16" s="6662"/>
      <c r="K16" s="6662"/>
      <c r="L16" s="6664"/>
      <c r="M16" s="6665" t="str">
        <f>IF(OR(Z16&lt;&gt;"",AF16&lt;&gt;""),"001-01-0008","")</f>
        <v/>
      </c>
      <c r="N16" s="6666"/>
      <c r="O16" s="6666"/>
      <c r="P16" s="6666"/>
      <c r="Q16" s="6666"/>
      <c r="R16" s="6667"/>
      <c r="S16" s="6668"/>
      <c r="T16" s="6669"/>
      <c r="U16" s="6669"/>
      <c r="V16" s="6669"/>
      <c r="W16" s="6669"/>
      <c r="X16" s="6670"/>
      <c r="Y16" s="3256"/>
      <c r="Z16" s="809"/>
      <c r="AA16" s="3257"/>
      <c r="AB16" s="3258"/>
      <c r="AC16" s="3256"/>
      <c r="AD16" s="3258"/>
      <c r="AE16" s="3258"/>
      <c r="AF16" s="809"/>
      <c r="AG16" s="3259"/>
      <c r="AH16" s="3259"/>
      <c r="AI16" s="6671"/>
      <c r="AJ16" s="6672"/>
      <c r="AK16" s="6672"/>
      <c r="AL16" s="6672"/>
      <c r="AM16" s="6672"/>
      <c r="AN16" s="6673"/>
      <c r="AO16" s="4357" t="str">
        <f t="shared" si="0"/>
        <v/>
      </c>
      <c r="AP16" s="4359"/>
      <c r="AQ16" s="1" t="str">
        <f t="shared" si="1"/>
        <v/>
      </c>
      <c r="AR16" s="1"/>
      <c r="AS16" s="187">
        <f t="shared" si="2"/>
        <v>0</v>
      </c>
      <c r="AT16" s="187">
        <f t="shared" si="3"/>
        <v>0</v>
      </c>
      <c r="AU16" s="187">
        <f t="shared" si="4"/>
        <v>0</v>
      </c>
      <c r="AV16" s="187">
        <f t="shared" si="5"/>
        <v>0</v>
      </c>
      <c r="AW16" s="187" t="str">
        <f t="shared" si="6"/>
        <v/>
      </c>
      <c r="AX16" s="187" t="str">
        <f t="shared" ref="AX16:AX30" si="10">LEFT(AW16,3)</f>
        <v/>
      </c>
      <c r="AY16" s="4368" t="b">
        <v>1</v>
      </c>
      <c r="AZ16" s="4368" t="b">
        <f t="shared" si="7"/>
        <v>0</v>
      </c>
      <c r="BA16" s="187" t="b">
        <f t="shared" ref="BA16:BA30" si="11">AND(M16&lt;&gt;"",AY16)</f>
        <v>0</v>
      </c>
      <c r="BB16" s="4361"/>
      <c r="BC16" s="4368" t="b">
        <f t="shared" si="8"/>
        <v>0</v>
      </c>
      <c r="BD16" s="4372">
        <f t="shared" si="9"/>
        <v>0</v>
      </c>
      <c r="BE16" s="4364">
        <f>IF(AND(AT16=0,BA16,OR(AND(Z16&lt;&gt;"",BD16=0),AF16&lt;&gt;"")),1,0)</f>
        <v>0</v>
      </c>
      <c r="BF16" s="4366"/>
      <c r="BG16" s="4368">
        <f>IF(AND(OR(Z16&lt;&gt;"",AF16&lt;&gt;""),BA16),1,0)</f>
        <v>0</v>
      </c>
      <c r="BH16" s="4368">
        <f>IF(AND(BD16=1,BG16=1),1,0)</f>
        <v>0</v>
      </c>
    </row>
    <row r="17" spans="1:67" ht="18">
      <c r="A17" s="4359"/>
      <c r="B17" s="4362"/>
      <c r="C17" s="4362"/>
      <c r="D17" s="4362"/>
      <c r="E17" s="6662"/>
      <c r="F17" s="6662"/>
      <c r="G17" s="6662"/>
      <c r="H17" s="6662"/>
      <c r="I17" s="6663"/>
      <c r="J17" s="6662"/>
      <c r="K17" s="6662"/>
      <c r="L17" s="6664"/>
      <c r="M17" s="6665" t="str">
        <f>IF(OR(Z17&lt;&gt;"",AF17&lt;&gt;""),"001-01-0009","")</f>
        <v/>
      </c>
      <c r="N17" s="6666"/>
      <c r="O17" s="6666"/>
      <c r="P17" s="6666"/>
      <c r="Q17" s="6666"/>
      <c r="R17" s="6667"/>
      <c r="S17" s="6668"/>
      <c r="T17" s="6669"/>
      <c r="U17" s="6669"/>
      <c r="V17" s="6669"/>
      <c r="W17" s="6669"/>
      <c r="X17" s="6670"/>
      <c r="Y17" s="3256"/>
      <c r="Z17" s="809"/>
      <c r="AA17" s="3257"/>
      <c r="AB17" s="3258"/>
      <c r="AC17" s="3256"/>
      <c r="AD17" s="3258"/>
      <c r="AE17" s="3258"/>
      <c r="AF17" s="809"/>
      <c r="AG17" s="3259"/>
      <c r="AH17" s="3259"/>
      <c r="AI17" s="6671"/>
      <c r="AJ17" s="6672"/>
      <c r="AK17" s="6672"/>
      <c r="AL17" s="6672"/>
      <c r="AM17" s="6672"/>
      <c r="AN17" s="6673"/>
      <c r="AO17" s="4357" t="str">
        <f t="shared" si="0"/>
        <v/>
      </c>
      <c r="AP17" s="4359"/>
      <c r="AQ17" s="1" t="str">
        <f t="shared" si="1"/>
        <v/>
      </c>
      <c r="AR17" s="1"/>
      <c r="AS17" s="187">
        <f t="shared" si="2"/>
        <v>0</v>
      </c>
      <c r="AT17" s="187">
        <f t="shared" si="3"/>
        <v>0</v>
      </c>
      <c r="AU17" s="187">
        <f t="shared" si="4"/>
        <v>0</v>
      </c>
      <c r="AV17" s="187">
        <f t="shared" si="5"/>
        <v>0</v>
      </c>
      <c r="AW17" s="187" t="str">
        <f t="shared" si="6"/>
        <v/>
      </c>
      <c r="AX17" s="187" t="str">
        <f t="shared" si="10"/>
        <v/>
      </c>
      <c r="AY17" s="4368" t="b">
        <v>1</v>
      </c>
      <c r="AZ17" s="4368" t="b">
        <f t="shared" si="7"/>
        <v>0</v>
      </c>
      <c r="BA17" s="187" t="b">
        <f t="shared" si="11"/>
        <v>0</v>
      </c>
      <c r="BB17" s="4361"/>
      <c r="BC17" s="4368" t="b">
        <f t="shared" si="8"/>
        <v>0</v>
      </c>
      <c r="BD17" s="4372">
        <f t="shared" si="9"/>
        <v>0</v>
      </c>
      <c r="BE17" s="4364">
        <f>IF(AND(AT17=0,BA17,OR(AND(Z17&lt;&gt;"",BD17=0),AF17&lt;&gt;"")),1,0)</f>
        <v>0</v>
      </c>
      <c r="BF17" s="4366"/>
      <c r="BG17" s="4368">
        <f t="shared" ref="BG17:BG29" si="12">IF(AND(OR(Z17&lt;&gt;"",AF17&lt;&gt;""),BA17),1,0)</f>
        <v>0</v>
      </c>
      <c r="BH17" s="4368">
        <f t="shared" ref="BH17:BH29" si="13">IF(AND(BD17=1,BG17=1),1,0)</f>
        <v>0</v>
      </c>
    </row>
    <row r="18" spans="1:67" ht="18">
      <c r="A18" s="4359"/>
      <c r="B18" s="4316"/>
      <c r="C18" s="4316"/>
      <c r="D18" s="4316"/>
      <c r="E18" s="6662"/>
      <c r="F18" s="6662"/>
      <c r="G18" s="6662"/>
      <c r="H18" s="6662"/>
      <c r="I18" s="6663"/>
      <c r="J18" s="6662"/>
      <c r="K18" s="6662"/>
      <c r="L18" s="6664"/>
      <c r="M18" s="6665" t="str">
        <f>IF(OR(Z18&lt;&gt;"",AF18&lt;&gt;""),"001-01-0010","")</f>
        <v/>
      </c>
      <c r="N18" s="6666"/>
      <c r="O18" s="6666"/>
      <c r="P18" s="6666"/>
      <c r="Q18" s="6666"/>
      <c r="R18" s="6667"/>
      <c r="S18" s="6668"/>
      <c r="T18" s="6669"/>
      <c r="U18" s="6669"/>
      <c r="V18" s="6669"/>
      <c r="W18" s="6669"/>
      <c r="X18" s="6670"/>
      <c r="Y18" s="3256"/>
      <c r="Z18" s="809"/>
      <c r="AA18" s="3257"/>
      <c r="AB18" s="3258"/>
      <c r="AC18" s="3256"/>
      <c r="AD18" s="3258"/>
      <c r="AE18" s="3258"/>
      <c r="AF18" s="809"/>
      <c r="AG18" s="3259"/>
      <c r="AH18" s="3259"/>
      <c r="AI18" s="6671"/>
      <c r="AJ18" s="6672"/>
      <c r="AK18" s="6672"/>
      <c r="AL18" s="6672"/>
      <c r="AM18" s="6672"/>
      <c r="AN18" s="6673"/>
      <c r="AO18" s="4357" t="str">
        <f t="shared" si="0"/>
        <v/>
      </c>
      <c r="AP18" s="4359"/>
      <c r="AQ18" s="1" t="str">
        <f t="shared" si="1"/>
        <v/>
      </c>
      <c r="AR18" s="1"/>
      <c r="AS18" s="187">
        <f t="shared" si="2"/>
        <v>0</v>
      </c>
      <c r="AT18" s="187">
        <f t="shared" si="3"/>
        <v>0</v>
      </c>
      <c r="AU18" s="187">
        <f t="shared" si="4"/>
        <v>0</v>
      </c>
      <c r="AV18" s="187">
        <f t="shared" si="5"/>
        <v>0</v>
      </c>
      <c r="AW18" s="187" t="str">
        <f t="shared" si="6"/>
        <v/>
      </c>
      <c r="AX18" s="187" t="str">
        <f t="shared" si="10"/>
        <v/>
      </c>
      <c r="AY18" s="4368" t="b">
        <v>1</v>
      </c>
      <c r="AZ18" s="4368" t="b">
        <f t="shared" si="7"/>
        <v>0</v>
      </c>
      <c r="BA18" s="187" t="b">
        <f t="shared" si="11"/>
        <v>0</v>
      </c>
      <c r="BB18" s="4361"/>
      <c r="BC18" s="4368" t="b">
        <f t="shared" si="8"/>
        <v>0</v>
      </c>
      <c r="BD18" s="4372">
        <f t="shared" si="9"/>
        <v>0</v>
      </c>
      <c r="BE18" s="4364">
        <f t="shared" ref="BE18:BE29" si="14">IF(AND(AT18=0,BA18,OR(AND(Z18&lt;&gt;"",BD18=0),AF18&lt;&gt;"")),1,0)</f>
        <v>0</v>
      </c>
      <c r="BF18" s="4366"/>
      <c r="BG18" s="4368">
        <f t="shared" si="12"/>
        <v>0</v>
      </c>
      <c r="BH18" s="4368">
        <f t="shared" si="13"/>
        <v>0</v>
      </c>
    </row>
    <row r="19" spans="1:67" ht="18">
      <c r="A19" s="4359"/>
      <c r="B19" s="4316"/>
      <c r="C19" s="4316"/>
      <c r="D19" s="4316"/>
      <c r="E19" s="6662"/>
      <c r="F19" s="6662"/>
      <c r="G19" s="6662"/>
      <c r="H19" s="6662"/>
      <c r="I19" s="6663"/>
      <c r="J19" s="6662"/>
      <c r="K19" s="6662"/>
      <c r="L19" s="6664"/>
      <c r="M19" s="6665" t="str">
        <f>IF(OR(Z19&lt;&gt;"",AF19&lt;&gt;""),"001-01-0011","")</f>
        <v/>
      </c>
      <c r="N19" s="6666"/>
      <c r="O19" s="6666"/>
      <c r="P19" s="6666"/>
      <c r="Q19" s="6666"/>
      <c r="R19" s="6667"/>
      <c r="S19" s="6668"/>
      <c r="T19" s="6669"/>
      <c r="U19" s="6669"/>
      <c r="V19" s="6669"/>
      <c r="W19" s="6669"/>
      <c r="X19" s="6670"/>
      <c r="Y19" s="3256"/>
      <c r="Z19" s="809"/>
      <c r="AA19" s="3257"/>
      <c r="AB19" s="3258"/>
      <c r="AC19" s="3256"/>
      <c r="AD19" s="3258"/>
      <c r="AE19" s="3258"/>
      <c r="AF19" s="809"/>
      <c r="AG19" s="3259"/>
      <c r="AH19" s="3259"/>
      <c r="AI19" s="6671"/>
      <c r="AJ19" s="6672"/>
      <c r="AK19" s="6672"/>
      <c r="AL19" s="6672"/>
      <c r="AM19" s="6672"/>
      <c r="AN19" s="6673"/>
      <c r="AO19" s="4357" t="str">
        <f t="shared" si="0"/>
        <v/>
      </c>
      <c r="AP19" s="4359"/>
      <c r="AQ19" s="1" t="str">
        <f t="shared" si="1"/>
        <v/>
      </c>
      <c r="AR19" s="1"/>
      <c r="AS19" s="187">
        <f t="shared" si="2"/>
        <v>0</v>
      </c>
      <c r="AT19" s="187">
        <f t="shared" si="3"/>
        <v>0</v>
      </c>
      <c r="AU19" s="187">
        <f t="shared" si="4"/>
        <v>0</v>
      </c>
      <c r="AV19" s="187">
        <f t="shared" si="5"/>
        <v>0</v>
      </c>
      <c r="AW19" s="187" t="str">
        <f t="shared" si="6"/>
        <v/>
      </c>
      <c r="AX19" s="187" t="str">
        <f t="shared" si="10"/>
        <v/>
      </c>
      <c r="AY19" s="4368" t="b">
        <v>1</v>
      </c>
      <c r="AZ19" s="4368" t="b">
        <f t="shared" si="7"/>
        <v>0</v>
      </c>
      <c r="BA19" s="187" t="b">
        <f t="shared" si="11"/>
        <v>0</v>
      </c>
      <c r="BB19" s="4361"/>
      <c r="BC19" s="4368" t="b">
        <f t="shared" si="8"/>
        <v>0</v>
      </c>
      <c r="BD19" s="4372">
        <f t="shared" si="9"/>
        <v>0</v>
      </c>
      <c r="BE19" s="4364">
        <f t="shared" si="14"/>
        <v>0</v>
      </c>
      <c r="BF19" s="4366"/>
      <c r="BG19" s="4368">
        <f t="shared" si="12"/>
        <v>0</v>
      </c>
      <c r="BH19" s="4368">
        <f t="shared" si="13"/>
        <v>0</v>
      </c>
    </row>
    <row r="20" spans="1:67" ht="18">
      <c r="A20" s="4359"/>
      <c r="B20" s="4316"/>
      <c r="C20" s="4316"/>
      <c r="D20" s="4316"/>
      <c r="E20" s="6662"/>
      <c r="F20" s="6662"/>
      <c r="G20" s="6662"/>
      <c r="H20" s="6662"/>
      <c r="I20" s="6663"/>
      <c r="J20" s="6662"/>
      <c r="K20" s="6662"/>
      <c r="L20" s="6664"/>
      <c r="M20" s="6665" t="str">
        <f>IF(OR(Z20&lt;&gt;"",AF20&lt;&gt;""),"001-01-0012","")</f>
        <v/>
      </c>
      <c r="N20" s="6666"/>
      <c r="O20" s="6666"/>
      <c r="P20" s="6666"/>
      <c r="Q20" s="6666"/>
      <c r="R20" s="6667"/>
      <c r="S20" s="6668"/>
      <c r="T20" s="6669"/>
      <c r="U20" s="6669"/>
      <c r="V20" s="6669"/>
      <c r="W20" s="6669"/>
      <c r="X20" s="6670"/>
      <c r="Y20" s="3256"/>
      <c r="Z20" s="809"/>
      <c r="AA20" s="3257"/>
      <c r="AB20" s="3258"/>
      <c r="AC20" s="3256"/>
      <c r="AD20" s="3258"/>
      <c r="AE20" s="3258"/>
      <c r="AF20" s="809"/>
      <c r="AG20" s="3259"/>
      <c r="AH20" s="3259"/>
      <c r="AI20" s="6671"/>
      <c r="AJ20" s="6672"/>
      <c r="AK20" s="6672"/>
      <c r="AL20" s="6672"/>
      <c r="AM20" s="6672"/>
      <c r="AN20" s="6673"/>
      <c r="AO20" s="4357" t="str">
        <f t="shared" si="0"/>
        <v/>
      </c>
      <c r="AP20" s="4359"/>
      <c r="AQ20" s="1" t="str">
        <f t="shared" si="1"/>
        <v/>
      </c>
      <c r="AR20" s="1"/>
      <c r="AS20" s="187">
        <f t="shared" si="2"/>
        <v>0</v>
      </c>
      <c r="AT20" s="187">
        <f t="shared" si="3"/>
        <v>0</v>
      </c>
      <c r="AU20" s="187">
        <f t="shared" si="4"/>
        <v>0</v>
      </c>
      <c r="AV20" s="187">
        <f t="shared" si="5"/>
        <v>0</v>
      </c>
      <c r="AW20" s="187" t="str">
        <f t="shared" si="6"/>
        <v/>
      </c>
      <c r="AX20" s="187" t="str">
        <f t="shared" si="10"/>
        <v/>
      </c>
      <c r="AY20" s="4368" t="b">
        <v>1</v>
      </c>
      <c r="AZ20" s="4368" t="b">
        <f t="shared" si="7"/>
        <v>0</v>
      </c>
      <c r="BA20" s="187" t="b">
        <f t="shared" si="11"/>
        <v>0</v>
      </c>
      <c r="BB20" s="4361"/>
      <c r="BC20" s="4368" t="b">
        <f t="shared" si="8"/>
        <v>0</v>
      </c>
      <c r="BD20" s="4372">
        <f t="shared" si="9"/>
        <v>0</v>
      </c>
      <c r="BE20" s="4364">
        <f t="shared" si="14"/>
        <v>0</v>
      </c>
      <c r="BF20" s="4366"/>
      <c r="BG20" s="4368">
        <f t="shared" si="12"/>
        <v>0</v>
      </c>
      <c r="BH20" s="4368">
        <f t="shared" si="13"/>
        <v>0</v>
      </c>
    </row>
    <row r="21" spans="1:67" ht="18">
      <c r="A21" s="4359"/>
      <c r="B21" s="4316"/>
      <c r="C21" s="4316"/>
      <c r="D21" s="4316"/>
      <c r="E21" s="6662"/>
      <c r="F21" s="6662"/>
      <c r="G21" s="6662"/>
      <c r="H21" s="6662"/>
      <c r="I21" s="6663"/>
      <c r="J21" s="6662"/>
      <c r="K21" s="6662"/>
      <c r="L21" s="6664"/>
      <c r="M21" s="6665" t="str">
        <f>IF(OR(Z21&lt;&gt;"",AF21&lt;&gt;""),"001-01-0013","")</f>
        <v/>
      </c>
      <c r="N21" s="6666"/>
      <c r="O21" s="6666"/>
      <c r="P21" s="6666"/>
      <c r="Q21" s="6666"/>
      <c r="R21" s="6667"/>
      <c r="S21" s="6668"/>
      <c r="T21" s="6669"/>
      <c r="U21" s="6669"/>
      <c r="V21" s="6669"/>
      <c r="W21" s="6669"/>
      <c r="X21" s="6670"/>
      <c r="Y21" s="3256"/>
      <c r="Z21" s="809"/>
      <c r="AA21" s="3257"/>
      <c r="AB21" s="3258"/>
      <c r="AC21" s="3256"/>
      <c r="AD21" s="3258"/>
      <c r="AE21" s="3258"/>
      <c r="AF21" s="809"/>
      <c r="AG21" s="3259"/>
      <c r="AH21" s="3259"/>
      <c r="AI21" s="6671"/>
      <c r="AJ21" s="6672"/>
      <c r="AK21" s="6672"/>
      <c r="AL21" s="6672"/>
      <c r="AM21" s="6672"/>
      <c r="AN21" s="6673"/>
      <c r="AO21" s="4357" t="str">
        <f t="shared" si="0"/>
        <v/>
      </c>
      <c r="AP21" s="4359"/>
      <c r="AQ21" s="1" t="str">
        <f t="shared" si="1"/>
        <v/>
      </c>
      <c r="AR21" s="1"/>
      <c r="AS21" s="187">
        <f t="shared" si="2"/>
        <v>0</v>
      </c>
      <c r="AT21" s="187">
        <f t="shared" si="3"/>
        <v>0</v>
      </c>
      <c r="AU21" s="187">
        <f t="shared" si="4"/>
        <v>0</v>
      </c>
      <c r="AV21" s="187">
        <f t="shared" si="5"/>
        <v>0</v>
      </c>
      <c r="AW21" s="187" t="str">
        <f t="shared" si="6"/>
        <v/>
      </c>
      <c r="AX21" s="187" t="str">
        <f t="shared" si="10"/>
        <v/>
      </c>
      <c r="AY21" s="4368" t="b">
        <v>1</v>
      </c>
      <c r="AZ21" s="4368" t="b">
        <f t="shared" si="7"/>
        <v>0</v>
      </c>
      <c r="BA21" s="187" t="b">
        <f t="shared" si="11"/>
        <v>0</v>
      </c>
      <c r="BB21" s="4361"/>
      <c r="BC21" s="4368" t="b">
        <f t="shared" si="8"/>
        <v>0</v>
      </c>
      <c r="BD21" s="4372">
        <f t="shared" si="9"/>
        <v>0</v>
      </c>
      <c r="BE21" s="4364">
        <f t="shared" si="14"/>
        <v>0</v>
      </c>
      <c r="BF21" s="4366"/>
      <c r="BG21" s="4368">
        <f t="shared" si="12"/>
        <v>0</v>
      </c>
      <c r="BH21" s="4368">
        <f t="shared" si="13"/>
        <v>0</v>
      </c>
    </row>
    <row r="22" spans="1:67" ht="18">
      <c r="A22" s="4359"/>
      <c r="B22" s="4316"/>
      <c r="C22" s="4316"/>
      <c r="D22" s="4316"/>
      <c r="E22" s="6662"/>
      <c r="F22" s="6662"/>
      <c r="G22" s="6662"/>
      <c r="H22" s="6662"/>
      <c r="I22" s="6663"/>
      <c r="J22" s="6662"/>
      <c r="K22" s="6662"/>
      <c r="L22" s="6664"/>
      <c r="M22" s="6665" t="str">
        <f>IF(OR(Z22&lt;&gt;"",AF22&lt;&gt;""),"001-01-0014","")</f>
        <v/>
      </c>
      <c r="N22" s="6666"/>
      <c r="O22" s="6666"/>
      <c r="P22" s="6666"/>
      <c r="Q22" s="6666"/>
      <c r="R22" s="6667"/>
      <c r="S22" s="6668"/>
      <c r="T22" s="6669"/>
      <c r="U22" s="6669"/>
      <c r="V22" s="6669"/>
      <c r="W22" s="6669"/>
      <c r="X22" s="6670"/>
      <c r="Y22" s="3256"/>
      <c r="Z22" s="809"/>
      <c r="AA22" s="3257"/>
      <c r="AB22" s="3258"/>
      <c r="AC22" s="3256"/>
      <c r="AD22" s="3258"/>
      <c r="AE22" s="3258"/>
      <c r="AF22" s="809"/>
      <c r="AG22" s="3259"/>
      <c r="AH22" s="3259"/>
      <c r="AI22" s="6671"/>
      <c r="AJ22" s="6672"/>
      <c r="AK22" s="6672"/>
      <c r="AL22" s="6672"/>
      <c r="AM22" s="6672"/>
      <c r="AN22" s="6673"/>
      <c r="AO22" s="4357" t="str">
        <f t="shared" si="0"/>
        <v/>
      </c>
      <c r="AP22" s="4359"/>
      <c r="AQ22" s="1" t="str">
        <f t="shared" si="1"/>
        <v/>
      </c>
      <c r="AR22" s="1"/>
      <c r="AS22" s="187">
        <f t="shared" si="2"/>
        <v>0</v>
      </c>
      <c r="AT22" s="187">
        <f t="shared" si="3"/>
        <v>0</v>
      </c>
      <c r="AU22" s="187">
        <f t="shared" si="4"/>
        <v>0</v>
      </c>
      <c r="AV22" s="187">
        <f t="shared" si="5"/>
        <v>0</v>
      </c>
      <c r="AW22" s="187" t="str">
        <f t="shared" si="6"/>
        <v/>
      </c>
      <c r="AX22" s="187" t="str">
        <f t="shared" si="10"/>
        <v/>
      </c>
      <c r="AY22" s="4368" t="b">
        <v>1</v>
      </c>
      <c r="AZ22" s="4368" t="b">
        <f t="shared" si="7"/>
        <v>0</v>
      </c>
      <c r="BA22" s="187" t="b">
        <f t="shared" si="11"/>
        <v>0</v>
      </c>
      <c r="BB22" s="4361"/>
      <c r="BC22" s="4368" t="b">
        <f t="shared" si="8"/>
        <v>0</v>
      </c>
      <c r="BD22" s="4372">
        <f t="shared" si="9"/>
        <v>0</v>
      </c>
      <c r="BE22" s="4364">
        <f t="shared" si="14"/>
        <v>0</v>
      </c>
      <c r="BF22" s="4366"/>
      <c r="BG22" s="4368">
        <f t="shared" si="12"/>
        <v>0</v>
      </c>
      <c r="BH22" s="4368">
        <f t="shared" si="13"/>
        <v>0</v>
      </c>
    </row>
    <row r="23" spans="1:67" ht="18">
      <c r="A23" s="4359"/>
      <c r="B23" s="4316"/>
      <c r="C23" s="4316"/>
      <c r="D23" s="4316"/>
      <c r="E23" s="6662"/>
      <c r="F23" s="6662"/>
      <c r="G23" s="6662"/>
      <c r="H23" s="6662"/>
      <c r="I23" s="6663"/>
      <c r="J23" s="6662"/>
      <c r="K23" s="6662"/>
      <c r="L23" s="6664"/>
      <c r="M23" s="6665" t="str">
        <f>IF(OR(Z23&lt;&gt;"",AF23&lt;&gt;""),"001-01-0015","")</f>
        <v/>
      </c>
      <c r="N23" s="6666"/>
      <c r="O23" s="6666"/>
      <c r="P23" s="6666"/>
      <c r="Q23" s="6666"/>
      <c r="R23" s="6667"/>
      <c r="S23" s="6668"/>
      <c r="T23" s="6669"/>
      <c r="U23" s="6669"/>
      <c r="V23" s="6669"/>
      <c r="W23" s="6669"/>
      <c r="X23" s="6670"/>
      <c r="Y23" s="3256"/>
      <c r="Z23" s="809"/>
      <c r="AA23" s="3257"/>
      <c r="AB23" s="3258"/>
      <c r="AC23" s="3256"/>
      <c r="AD23" s="3258"/>
      <c r="AE23" s="3258"/>
      <c r="AF23" s="809"/>
      <c r="AG23" s="3259"/>
      <c r="AH23" s="3259"/>
      <c r="AI23" s="6671"/>
      <c r="AJ23" s="6672"/>
      <c r="AK23" s="6672"/>
      <c r="AL23" s="6672"/>
      <c r="AM23" s="6672"/>
      <c r="AN23" s="6673"/>
      <c r="AO23" s="4357" t="str">
        <f t="shared" si="0"/>
        <v/>
      </c>
      <c r="AP23" s="4359"/>
      <c r="AQ23" s="1" t="str">
        <f t="shared" si="1"/>
        <v/>
      </c>
      <c r="AR23" s="1"/>
      <c r="AS23" s="187">
        <f t="shared" si="2"/>
        <v>0</v>
      </c>
      <c r="AT23" s="187">
        <f t="shared" si="3"/>
        <v>0</v>
      </c>
      <c r="AU23" s="187">
        <f t="shared" si="4"/>
        <v>0</v>
      </c>
      <c r="AV23" s="187">
        <f t="shared" si="5"/>
        <v>0</v>
      </c>
      <c r="AW23" s="187" t="str">
        <f t="shared" si="6"/>
        <v/>
      </c>
      <c r="AX23" s="187" t="str">
        <f t="shared" si="10"/>
        <v/>
      </c>
      <c r="AY23" s="4368" t="b">
        <v>1</v>
      </c>
      <c r="AZ23" s="4368" t="b">
        <f t="shared" si="7"/>
        <v>0</v>
      </c>
      <c r="BA23" s="187" t="b">
        <f t="shared" si="11"/>
        <v>0</v>
      </c>
      <c r="BB23" s="4361"/>
      <c r="BC23" s="4368" t="b">
        <f t="shared" si="8"/>
        <v>0</v>
      </c>
      <c r="BD23" s="4372">
        <f t="shared" si="9"/>
        <v>0</v>
      </c>
      <c r="BE23" s="4364">
        <f t="shared" si="14"/>
        <v>0</v>
      </c>
      <c r="BF23" s="4366"/>
      <c r="BG23" s="4368">
        <f t="shared" si="12"/>
        <v>0</v>
      </c>
      <c r="BH23" s="4368">
        <f t="shared" si="13"/>
        <v>0</v>
      </c>
    </row>
    <row r="24" spans="1:67" ht="18">
      <c r="A24" s="4359"/>
      <c r="B24" s="4316"/>
      <c r="C24" s="4316"/>
      <c r="D24" s="4316"/>
      <c r="E24" s="6662"/>
      <c r="F24" s="6662"/>
      <c r="G24" s="6662"/>
      <c r="H24" s="6662"/>
      <c r="I24" s="6663"/>
      <c r="J24" s="6662"/>
      <c r="K24" s="6662"/>
      <c r="L24" s="6664"/>
      <c r="M24" s="6665" t="str">
        <f>IF(OR(Z24&lt;&gt;"",AF24&lt;&gt;""),"001-01-0016","")</f>
        <v/>
      </c>
      <c r="N24" s="6666"/>
      <c r="O24" s="6666"/>
      <c r="P24" s="6666"/>
      <c r="Q24" s="6666"/>
      <c r="R24" s="6667"/>
      <c r="S24" s="6668"/>
      <c r="T24" s="6669"/>
      <c r="U24" s="6669"/>
      <c r="V24" s="6669"/>
      <c r="W24" s="6669"/>
      <c r="X24" s="6670"/>
      <c r="Y24" s="3256"/>
      <c r="Z24" s="809"/>
      <c r="AA24" s="3257"/>
      <c r="AB24" s="3258"/>
      <c r="AC24" s="3256"/>
      <c r="AD24" s="3258"/>
      <c r="AE24" s="3258"/>
      <c r="AF24" s="809"/>
      <c r="AG24" s="3259"/>
      <c r="AH24" s="3259"/>
      <c r="AI24" s="6671"/>
      <c r="AJ24" s="6672"/>
      <c r="AK24" s="6672"/>
      <c r="AL24" s="6672"/>
      <c r="AM24" s="6672"/>
      <c r="AN24" s="6673"/>
      <c r="AO24" s="4357" t="str">
        <f t="shared" si="0"/>
        <v/>
      </c>
      <c r="AP24" s="4359"/>
      <c r="AQ24" s="1" t="str">
        <f t="shared" si="1"/>
        <v/>
      </c>
      <c r="AR24" s="1"/>
      <c r="AS24" s="187">
        <f t="shared" si="2"/>
        <v>0</v>
      </c>
      <c r="AT24" s="187">
        <f t="shared" si="3"/>
        <v>0</v>
      </c>
      <c r="AU24" s="187">
        <f t="shared" si="4"/>
        <v>0</v>
      </c>
      <c r="AV24" s="187">
        <f t="shared" si="5"/>
        <v>0</v>
      </c>
      <c r="AW24" s="187" t="str">
        <f t="shared" si="6"/>
        <v/>
      </c>
      <c r="AX24" s="187" t="str">
        <f t="shared" si="10"/>
        <v/>
      </c>
      <c r="AY24" s="4368" t="b">
        <v>1</v>
      </c>
      <c r="AZ24" s="4368" t="b">
        <f t="shared" si="7"/>
        <v>0</v>
      </c>
      <c r="BA24" s="187" t="b">
        <f t="shared" si="11"/>
        <v>0</v>
      </c>
      <c r="BB24" s="4361"/>
      <c r="BC24" s="4368" t="b">
        <f t="shared" si="8"/>
        <v>0</v>
      </c>
      <c r="BD24" s="4372">
        <f t="shared" si="9"/>
        <v>0</v>
      </c>
      <c r="BE24" s="4364">
        <f t="shared" si="14"/>
        <v>0</v>
      </c>
      <c r="BF24" s="4366"/>
      <c r="BG24" s="4368">
        <f t="shared" si="12"/>
        <v>0</v>
      </c>
      <c r="BH24" s="4368">
        <f t="shared" si="13"/>
        <v>0</v>
      </c>
    </row>
    <row r="25" spans="1:67" ht="18">
      <c r="A25" s="4359"/>
      <c r="B25" s="4316"/>
      <c r="C25" s="4316"/>
      <c r="D25" s="4316"/>
      <c r="E25" s="6662"/>
      <c r="F25" s="6662"/>
      <c r="G25" s="6662"/>
      <c r="H25" s="6662"/>
      <c r="I25" s="6663"/>
      <c r="J25" s="6662"/>
      <c r="K25" s="6662"/>
      <c r="L25" s="6664"/>
      <c r="M25" s="6665" t="str">
        <f>IF(OR(Z25&lt;&gt;"",AF25&lt;&gt;""),"001-01-0017","")</f>
        <v/>
      </c>
      <c r="N25" s="6666"/>
      <c r="O25" s="6666"/>
      <c r="P25" s="6666"/>
      <c r="Q25" s="6666"/>
      <c r="R25" s="6667"/>
      <c r="S25" s="6668"/>
      <c r="T25" s="6669"/>
      <c r="U25" s="6669"/>
      <c r="V25" s="6669"/>
      <c r="W25" s="6669"/>
      <c r="X25" s="6670"/>
      <c r="Y25" s="3256"/>
      <c r="Z25" s="809"/>
      <c r="AA25" s="3257"/>
      <c r="AB25" s="3258"/>
      <c r="AC25" s="3256"/>
      <c r="AD25" s="3258"/>
      <c r="AE25" s="3258"/>
      <c r="AF25" s="809"/>
      <c r="AG25" s="3259"/>
      <c r="AH25" s="3259"/>
      <c r="AI25" s="6671"/>
      <c r="AJ25" s="6672"/>
      <c r="AK25" s="6672"/>
      <c r="AL25" s="6672"/>
      <c r="AM25" s="6672"/>
      <c r="AN25" s="6673"/>
      <c r="AO25" s="4357" t="str">
        <f t="shared" si="0"/>
        <v/>
      </c>
      <c r="AP25" s="4359"/>
      <c r="AQ25" s="1" t="str">
        <f t="shared" si="1"/>
        <v/>
      </c>
      <c r="AR25" s="1"/>
      <c r="AS25" s="187">
        <f t="shared" si="2"/>
        <v>0</v>
      </c>
      <c r="AT25" s="187">
        <f t="shared" si="3"/>
        <v>0</v>
      </c>
      <c r="AU25" s="187">
        <f t="shared" si="4"/>
        <v>0</v>
      </c>
      <c r="AV25" s="187">
        <f t="shared" si="5"/>
        <v>0</v>
      </c>
      <c r="AW25" s="187" t="str">
        <f t="shared" si="6"/>
        <v/>
      </c>
      <c r="AX25" s="187" t="str">
        <f t="shared" si="10"/>
        <v/>
      </c>
      <c r="AY25" s="4368" t="b">
        <v>1</v>
      </c>
      <c r="AZ25" s="4368" t="b">
        <f t="shared" si="7"/>
        <v>0</v>
      </c>
      <c r="BA25" s="187" t="b">
        <f t="shared" si="11"/>
        <v>0</v>
      </c>
      <c r="BB25" s="4361"/>
      <c r="BC25" s="4368" t="b">
        <f t="shared" si="8"/>
        <v>0</v>
      </c>
      <c r="BD25" s="4372">
        <f t="shared" si="9"/>
        <v>0</v>
      </c>
      <c r="BE25" s="4364">
        <f t="shared" si="14"/>
        <v>0</v>
      </c>
      <c r="BF25" s="4366"/>
      <c r="BG25" s="4368">
        <f t="shared" si="12"/>
        <v>0</v>
      </c>
      <c r="BH25" s="4368">
        <f t="shared" si="13"/>
        <v>0</v>
      </c>
    </row>
    <row r="26" spans="1:67" ht="18">
      <c r="A26" s="4359"/>
      <c r="B26" s="4316"/>
      <c r="C26" s="4316"/>
      <c r="D26" s="4316"/>
      <c r="E26" s="6662"/>
      <c r="F26" s="6662"/>
      <c r="G26" s="6662"/>
      <c r="H26" s="6662"/>
      <c r="I26" s="6663"/>
      <c r="J26" s="6662"/>
      <c r="K26" s="6662"/>
      <c r="L26" s="6664"/>
      <c r="M26" s="6665" t="str">
        <f>IF(OR(Z26&lt;&gt;"",AF26&lt;&gt;""),"001-01-0018","")</f>
        <v/>
      </c>
      <c r="N26" s="6666"/>
      <c r="O26" s="6666"/>
      <c r="P26" s="6666"/>
      <c r="Q26" s="6666"/>
      <c r="R26" s="6667"/>
      <c r="S26" s="6668"/>
      <c r="T26" s="6669"/>
      <c r="U26" s="6669"/>
      <c r="V26" s="6669"/>
      <c r="W26" s="6669"/>
      <c r="X26" s="6670"/>
      <c r="Y26" s="3256"/>
      <c r="Z26" s="809"/>
      <c r="AA26" s="3257"/>
      <c r="AB26" s="3258"/>
      <c r="AC26" s="3256"/>
      <c r="AD26" s="3258"/>
      <c r="AE26" s="3258"/>
      <c r="AF26" s="809"/>
      <c r="AG26" s="3259"/>
      <c r="AH26" s="3259"/>
      <c r="AI26" s="6671"/>
      <c r="AJ26" s="6672"/>
      <c r="AK26" s="6672"/>
      <c r="AL26" s="6672"/>
      <c r="AM26" s="6672"/>
      <c r="AN26" s="6673"/>
      <c r="AO26" s="4357" t="str">
        <f t="shared" si="0"/>
        <v/>
      </c>
      <c r="AP26" s="4359"/>
      <c r="AQ26" s="1" t="str">
        <f t="shared" si="1"/>
        <v/>
      </c>
      <c r="AR26" s="1"/>
      <c r="AS26" s="187">
        <f t="shared" si="2"/>
        <v>0</v>
      </c>
      <c r="AT26" s="187">
        <f t="shared" si="3"/>
        <v>0</v>
      </c>
      <c r="AU26" s="187">
        <f t="shared" si="4"/>
        <v>0</v>
      </c>
      <c r="AV26" s="187">
        <f t="shared" si="5"/>
        <v>0</v>
      </c>
      <c r="AW26" s="187" t="str">
        <f t="shared" si="6"/>
        <v/>
      </c>
      <c r="AX26" s="187" t="str">
        <f t="shared" si="10"/>
        <v/>
      </c>
      <c r="AY26" s="4368" t="b">
        <v>1</v>
      </c>
      <c r="AZ26" s="4368" t="b">
        <f t="shared" si="7"/>
        <v>0</v>
      </c>
      <c r="BA26" s="187" t="b">
        <f t="shared" si="11"/>
        <v>0</v>
      </c>
      <c r="BB26" s="4361"/>
      <c r="BC26" s="4368" t="b">
        <f t="shared" si="8"/>
        <v>0</v>
      </c>
      <c r="BD26" s="4372">
        <f t="shared" si="9"/>
        <v>0</v>
      </c>
      <c r="BE26" s="4364">
        <f t="shared" si="14"/>
        <v>0</v>
      </c>
      <c r="BF26" s="4366"/>
      <c r="BG26" s="4368">
        <f t="shared" si="12"/>
        <v>0</v>
      </c>
      <c r="BH26" s="4368">
        <f t="shared" si="13"/>
        <v>0</v>
      </c>
    </row>
    <row r="27" spans="1:67" ht="18">
      <c r="A27" s="4359"/>
      <c r="B27" s="4316"/>
      <c r="C27" s="4316"/>
      <c r="D27" s="4316"/>
      <c r="E27" s="6662"/>
      <c r="F27" s="6662"/>
      <c r="G27" s="6662"/>
      <c r="H27" s="6662"/>
      <c r="I27" s="6663"/>
      <c r="J27" s="6662"/>
      <c r="K27" s="6662"/>
      <c r="L27" s="6664"/>
      <c r="M27" s="6665" t="str">
        <f>IF(OR(Z27&lt;&gt;"",AF27&lt;&gt;""),"001-01-0019","")</f>
        <v/>
      </c>
      <c r="N27" s="6666"/>
      <c r="O27" s="6666"/>
      <c r="P27" s="6666"/>
      <c r="Q27" s="6666"/>
      <c r="R27" s="6667"/>
      <c r="S27" s="6668"/>
      <c r="T27" s="6669"/>
      <c r="U27" s="6669"/>
      <c r="V27" s="6669"/>
      <c r="W27" s="6669"/>
      <c r="X27" s="6670"/>
      <c r="Y27" s="3256"/>
      <c r="Z27" s="809"/>
      <c r="AA27" s="3257"/>
      <c r="AB27" s="3258"/>
      <c r="AC27" s="3256"/>
      <c r="AD27" s="3258"/>
      <c r="AE27" s="3258"/>
      <c r="AF27" s="809"/>
      <c r="AG27" s="3259"/>
      <c r="AH27" s="3259"/>
      <c r="AI27" s="6671"/>
      <c r="AJ27" s="6672"/>
      <c r="AK27" s="6672"/>
      <c r="AL27" s="6672"/>
      <c r="AM27" s="6672"/>
      <c r="AN27" s="6673"/>
      <c r="AO27" s="4357" t="str">
        <f t="shared" si="0"/>
        <v/>
      </c>
      <c r="AP27" s="4359"/>
      <c r="AQ27" s="1" t="str">
        <f t="shared" si="1"/>
        <v/>
      </c>
      <c r="AR27" s="1"/>
      <c r="AS27" s="187">
        <f t="shared" si="2"/>
        <v>0</v>
      </c>
      <c r="AT27" s="187">
        <f t="shared" si="3"/>
        <v>0</v>
      </c>
      <c r="AU27" s="187">
        <f t="shared" si="4"/>
        <v>0</v>
      </c>
      <c r="AV27" s="187">
        <f t="shared" si="5"/>
        <v>0</v>
      </c>
      <c r="AW27" s="187" t="str">
        <f t="shared" si="6"/>
        <v/>
      </c>
      <c r="AX27" s="187" t="str">
        <f t="shared" si="10"/>
        <v/>
      </c>
      <c r="AY27" s="4368" t="b">
        <v>1</v>
      </c>
      <c r="AZ27" s="4368" t="b">
        <f t="shared" si="7"/>
        <v>0</v>
      </c>
      <c r="BA27" s="187" t="b">
        <f t="shared" si="11"/>
        <v>0</v>
      </c>
      <c r="BB27" s="4361"/>
      <c r="BC27" s="4368" t="b">
        <f t="shared" si="8"/>
        <v>0</v>
      </c>
      <c r="BD27" s="4372">
        <f t="shared" si="9"/>
        <v>0</v>
      </c>
      <c r="BE27" s="4364">
        <f t="shared" si="14"/>
        <v>0</v>
      </c>
      <c r="BF27" s="4366"/>
      <c r="BG27" s="4368">
        <f t="shared" si="12"/>
        <v>0</v>
      </c>
      <c r="BH27" s="4368">
        <f t="shared" si="13"/>
        <v>0</v>
      </c>
    </row>
    <row r="28" spans="1:67" ht="18">
      <c r="A28" s="4359"/>
      <c r="B28" s="4316"/>
      <c r="C28" s="4316"/>
      <c r="D28" s="4316"/>
      <c r="E28" s="6662"/>
      <c r="F28" s="6662"/>
      <c r="G28" s="6662"/>
      <c r="H28" s="6662"/>
      <c r="I28" s="6663"/>
      <c r="J28" s="6662"/>
      <c r="K28" s="6662"/>
      <c r="L28" s="6664"/>
      <c r="M28" s="6665" t="str">
        <f>IF(OR(Z28&lt;&gt;"",AF28&lt;&gt;""),"001-01-0020","")</f>
        <v/>
      </c>
      <c r="N28" s="6666"/>
      <c r="O28" s="6666"/>
      <c r="P28" s="6666"/>
      <c r="Q28" s="6666"/>
      <c r="R28" s="6667"/>
      <c r="S28" s="6668"/>
      <c r="T28" s="6669"/>
      <c r="U28" s="6669"/>
      <c r="V28" s="6669"/>
      <c r="W28" s="6669"/>
      <c r="X28" s="6670"/>
      <c r="Y28" s="3256"/>
      <c r="Z28" s="809"/>
      <c r="AA28" s="3257"/>
      <c r="AB28" s="3258"/>
      <c r="AC28" s="3256"/>
      <c r="AD28" s="3258"/>
      <c r="AE28" s="3258"/>
      <c r="AF28" s="809"/>
      <c r="AG28" s="3259"/>
      <c r="AH28" s="3259"/>
      <c r="AI28" s="6671"/>
      <c r="AJ28" s="6672"/>
      <c r="AK28" s="6672"/>
      <c r="AL28" s="6672"/>
      <c r="AM28" s="6672"/>
      <c r="AN28" s="6673"/>
      <c r="AO28" s="4357" t="str">
        <f t="shared" si="0"/>
        <v/>
      </c>
      <c r="AP28" s="4359"/>
      <c r="AQ28" s="1" t="str">
        <f t="shared" si="1"/>
        <v/>
      </c>
      <c r="AR28" s="1"/>
      <c r="AS28" s="187">
        <f t="shared" si="2"/>
        <v>0</v>
      </c>
      <c r="AT28" s="187">
        <f t="shared" si="3"/>
        <v>0</v>
      </c>
      <c r="AU28" s="187">
        <f t="shared" si="4"/>
        <v>0</v>
      </c>
      <c r="AV28" s="187">
        <f t="shared" si="5"/>
        <v>0</v>
      </c>
      <c r="AW28" s="187" t="str">
        <f t="shared" si="6"/>
        <v/>
      </c>
      <c r="AX28" s="187" t="str">
        <f t="shared" si="10"/>
        <v/>
      </c>
      <c r="AY28" s="4368" t="b">
        <v>1</v>
      </c>
      <c r="AZ28" s="4368" t="b">
        <f t="shared" si="7"/>
        <v>0</v>
      </c>
      <c r="BA28" s="187" t="b">
        <f t="shared" si="11"/>
        <v>0</v>
      </c>
      <c r="BB28" s="4361"/>
      <c r="BC28" s="4368" t="b">
        <f t="shared" si="8"/>
        <v>0</v>
      </c>
      <c r="BD28" s="4372">
        <f t="shared" si="9"/>
        <v>0</v>
      </c>
      <c r="BE28" s="4364">
        <f t="shared" si="14"/>
        <v>0</v>
      </c>
      <c r="BF28" s="4366"/>
      <c r="BG28" s="4368">
        <f t="shared" si="12"/>
        <v>0</v>
      </c>
      <c r="BH28" s="4368">
        <f t="shared" si="13"/>
        <v>0</v>
      </c>
    </row>
    <row r="29" spans="1:67" ht="18">
      <c r="A29" s="4359"/>
      <c r="B29" s="4316"/>
      <c r="C29" s="4316"/>
      <c r="D29" s="4316"/>
      <c r="E29" s="6662"/>
      <c r="F29" s="6662"/>
      <c r="G29" s="6662"/>
      <c r="H29" s="6662"/>
      <c r="I29" s="6663"/>
      <c r="J29" s="6662"/>
      <c r="K29" s="6662"/>
      <c r="L29" s="6664"/>
      <c r="M29" s="6665" t="str">
        <f>IF(OR(Z29&lt;&gt;"",AF29&lt;&gt;""),"001-01-0021","")</f>
        <v/>
      </c>
      <c r="N29" s="6666"/>
      <c r="O29" s="6666"/>
      <c r="P29" s="6666"/>
      <c r="Q29" s="6666"/>
      <c r="R29" s="6667"/>
      <c r="S29" s="6668"/>
      <c r="T29" s="6669"/>
      <c r="U29" s="6669"/>
      <c r="V29" s="6669"/>
      <c r="W29" s="6669"/>
      <c r="X29" s="6670"/>
      <c r="Y29" s="3256"/>
      <c r="Z29" s="809"/>
      <c r="AA29" s="3257"/>
      <c r="AB29" s="3258"/>
      <c r="AC29" s="3256"/>
      <c r="AD29" s="3258"/>
      <c r="AE29" s="3258"/>
      <c r="AF29" s="809"/>
      <c r="AG29" s="3259"/>
      <c r="AH29" s="3259"/>
      <c r="AI29" s="6671"/>
      <c r="AJ29" s="6672"/>
      <c r="AK29" s="6672"/>
      <c r="AL29" s="6672"/>
      <c r="AM29" s="6672"/>
      <c r="AN29" s="6673"/>
      <c r="AO29" s="4357" t="str">
        <f t="shared" si="0"/>
        <v/>
      </c>
      <c r="AP29" s="4359"/>
      <c r="AQ29" s="1" t="str">
        <f t="shared" si="1"/>
        <v/>
      </c>
      <c r="AR29" s="1"/>
      <c r="AS29" s="187">
        <f t="shared" si="2"/>
        <v>0</v>
      </c>
      <c r="AT29" s="187">
        <f t="shared" si="3"/>
        <v>0</v>
      </c>
      <c r="AU29" s="187">
        <f t="shared" si="4"/>
        <v>0</v>
      </c>
      <c r="AV29" s="187">
        <f t="shared" si="5"/>
        <v>0</v>
      </c>
      <c r="AW29" s="187" t="str">
        <f t="shared" si="6"/>
        <v/>
      </c>
      <c r="AX29" s="187" t="str">
        <f t="shared" si="10"/>
        <v/>
      </c>
      <c r="AY29" s="4368" t="b">
        <v>1</v>
      </c>
      <c r="AZ29" s="4368" t="b">
        <f t="shared" si="7"/>
        <v>0</v>
      </c>
      <c r="BA29" s="187" t="b">
        <f t="shared" si="11"/>
        <v>0</v>
      </c>
      <c r="BB29" s="4361"/>
      <c r="BC29" s="4368" t="b">
        <f t="shared" si="8"/>
        <v>0</v>
      </c>
      <c r="BD29" s="4372">
        <f t="shared" si="9"/>
        <v>0</v>
      </c>
      <c r="BE29" s="4364">
        <f t="shared" si="14"/>
        <v>0</v>
      </c>
      <c r="BF29" s="4366"/>
      <c r="BG29" s="4368">
        <f t="shared" si="12"/>
        <v>0</v>
      </c>
      <c r="BH29" s="4368">
        <f t="shared" si="13"/>
        <v>0</v>
      </c>
    </row>
    <row r="30" spans="1:67" ht="18.75" thickBot="1">
      <c r="A30" s="4359"/>
      <c r="B30" s="6674"/>
      <c r="C30" s="6674"/>
      <c r="D30" s="4360"/>
      <c r="E30" s="6675"/>
      <c r="F30" s="6675"/>
      <c r="G30" s="6675"/>
      <c r="H30" s="6675"/>
      <c r="I30" s="6676"/>
      <c r="J30" s="6675"/>
      <c r="K30" s="6675"/>
      <c r="L30" s="6677"/>
      <c r="M30" s="6678" t="str">
        <f>IF(OR(Z30&lt;&gt;"",AF30&lt;&gt;""),"001-01-0022","")</f>
        <v/>
      </c>
      <c r="N30" s="6679"/>
      <c r="O30" s="6679"/>
      <c r="P30" s="6679"/>
      <c r="Q30" s="6679"/>
      <c r="R30" s="6680"/>
      <c r="S30" s="6681"/>
      <c r="T30" s="6682"/>
      <c r="U30" s="6682"/>
      <c r="V30" s="6682"/>
      <c r="W30" s="6682"/>
      <c r="X30" s="6683"/>
      <c r="Y30" s="3699"/>
      <c r="Z30" s="3698"/>
      <c r="AA30" s="3700"/>
      <c r="AB30" s="3701"/>
      <c r="AC30" s="3699"/>
      <c r="AD30" s="3701"/>
      <c r="AE30" s="3701"/>
      <c r="AF30" s="3698"/>
      <c r="AG30" s="3702"/>
      <c r="AH30" s="3702"/>
      <c r="AI30" s="6684"/>
      <c r="AJ30" s="6685"/>
      <c r="AK30" s="6685"/>
      <c r="AL30" s="6685"/>
      <c r="AM30" s="6685"/>
      <c r="AN30" s="6686"/>
      <c r="AO30" s="4358" t="str">
        <f t="shared" si="0"/>
        <v/>
      </c>
      <c r="AP30" s="4359"/>
      <c r="AQ30" s="1" t="str">
        <f t="shared" si="1"/>
        <v/>
      </c>
      <c r="AR30" s="1"/>
      <c r="AS30" s="4913">
        <f t="shared" si="2"/>
        <v>0</v>
      </c>
      <c r="AT30" s="4913">
        <f t="shared" si="3"/>
        <v>0</v>
      </c>
      <c r="AU30" s="4913">
        <f t="shared" si="4"/>
        <v>0</v>
      </c>
      <c r="AV30" s="4913">
        <f t="shared" si="5"/>
        <v>0</v>
      </c>
      <c r="AW30" s="187" t="str">
        <f t="shared" si="6"/>
        <v/>
      </c>
      <c r="AX30" s="187" t="str">
        <f t="shared" si="10"/>
        <v/>
      </c>
      <c r="AY30" s="4369" t="b">
        <v>1</v>
      </c>
      <c r="AZ30" s="4369" t="b">
        <f t="shared" si="7"/>
        <v>0</v>
      </c>
      <c r="BA30" s="187" t="b">
        <f t="shared" si="11"/>
        <v>0</v>
      </c>
      <c r="BB30" s="4361"/>
      <c r="BC30" s="4369" t="b">
        <f t="shared" si="8"/>
        <v>0</v>
      </c>
      <c r="BD30" s="4373">
        <f t="shared" si="9"/>
        <v>0</v>
      </c>
      <c r="BE30" s="4365">
        <f>IF(AND(AT30=0,BA30,OR(AND(Z30&lt;&gt;"",BD30=0),AF30&lt;&gt;"")),1,0)</f>
        <v>0</v>
      </c>
      <c r="BF30" s="4366"/>
      <c r="BG30" s="4369">
        <f>IF(AND(OR(Z30&lt;&gt;"",AF30&lt;&gt;""),BA30),1,0)</f>
        <v>0</v>
      </c>
      <c r="BH30" s="4369">
        <f>IF(AND(BD30=1,BG30=1),1,0)</f>
        <v>0</v>
      </c>
    </row>
    <row r="31" spans="1:67" ht="34.5" customHeight="1" thickTop="1">
      <c r="A31" s="2240"/>
      <c r="B31" s="2240"/>
      <c r="C31" s="2240"/>
      <c r="D31" s="2240"/>
      <c r="E31" s="2240"/>
      <c r="F31" s="2240"/>
      <c r="G31" s="2240"/>
      <c r="H31" s="2240"/>
      <c r="I31" s="2240"/>
      <c r="J31" s="2240"/>
      <c r="K31" s="2240"/>
      <c r="L31" s="2240"/>
      <c r="M31" s="2240"/>
      <c r="N31" s="2240"/>
      <c r="O31" s="2240"/>
      <c r="P31" s="2240"/>
      <c r="Q31" s="2240"/>
      <c r="R31" s="2240"/>
      <c r="S31" s="2240"/>
      <c r="T31" s="2240"/>
      <c r="U31" s="2240"/>
      <c r="V31" s="2240"/>
      <c r="W31" s="2240"/>
      <c r="X31" s="2240"/>
      <c r="Y31" s="2240"/>
      <c r="Z31" s="2240"/>
      <c r="AA31" s="2240"/>
      <c r="AB31" s="2240"/>
      <c r="AC31" s="2240"/>
      <c r="AD31" s="2240"/>
      <c r="AE31" s="2240"/>
      <c r="AF31" s="2240"/>
      <c r="AG31" s="2240"/>
      <c r="AH31" s="2240"/>
      <c r="AI31" s="2240"/>
      <c r="AJ31" s="2240"/>
      <c r="AK31" s="2240"/>
      <c r="AL31" s="2240"/>
      <c r="AM31" s="2240"/>
      <c r="AN31" s="2240"/>
      <c r="AO31" s="2240"/>
      <c r="AP31" s="2240"/>
      <c r="AS31" s="4945">
        <f>SUM(AS15:AS30)</f>
        <v>0</v>
      </c>
      <c r="AT31" s="4945">
        <f>SUM(AT15:AT30)</f>
        <v>0</v>
      </c>
      <c r="AU31" s="4945">
        <f>SUM(AU15:AU30)</f>
        <v>0</v>
      </c>
      <c r="AV31" s="4945">
        <f>SUM(AV15:AV30)</f>
        <v>0</v>
      </c>
      <c r="AX31"/>
      <c r="AY31"/>
      <c r="AZ31"/>
      <c r="BA31"/>
      <c r="BB31"/>
      <c r="BC31"/>
      <c r="BE31"/>
      <c r="BG31" s="187"/>
      <c r="BI31" s="187"/>
      <c r="BJ31" s="187"/>
      <c r="BL31" s="187"/>
      <c r="BN31" s="187"/>
      <c r="BO31" s="1"/>
    </row>
    <row r="32" spans="1:67" ht="21.75" customHeight="1" thickBot="1">
      <c r="AQ32" s="187"/>
      <c r="AR32" s="187"/>
      <c r="AS32" s="4946"/>
      <c r="AT32" s="4946"/>
      <c r="AU32" s="4946"/>
      <c r="AV32" s="4946"/>
      <c r="AX32"/>
      <c r="BD32" s="4361"/>
      <c r="BE32" s="187">
        <f>SUM(BE7:BE10,BE15:BE30)</f>
        <v>0</v>
      </c>
      <c r="BF32" s="187"/>
      <c r="BH32" s="187">
        <f>SUM(BH7:BH10,BH15:BH30)</f>
        <v>0</v>
      </c>
      <c r="BI32" s="187"/>
      <c r="BK32"/>
      <c r="BL32" s="187"/>
    </row>
    <row r="33" spans="42:64" ht="13.5" thickTop="1">
      <c r="AS33" s="4381">
        <f>SUM(AS11,AS31)</f>
        <v>0</v>
      </c>
      <c r="AT33" s="4381">
        <f>SUM(AT11,AT31)</f>
        <v>0</v>
      </c>
      <c r="AU33" s="4381">
        <f>SUM(AU11,AU31)</f>
        <v>0</v>
      </c>
      <c r="AV33" s="4381">
        <f>SUM(AV11,AV31)</f>
        <v>0</v>
      </c>
      <c r="AX33" s="4153"/>
      <c r="AY33" s="4153"/>
      <c r="AZ33" s="4153"/>
      <c r="BA33" s="4153"/>
      <c r="BB33" s="4153"/>
      <c r="BD33" s="4361"/>
      <c r="BF33" s="187"/>
      <c r="BH33"/>
      <c r="BI33" s="187"/>
      <c r="BK33"/>
      <c r="BL33" s="187"/>
    </row>
    <row r="34" spans="42:64">
      <c r="AR34" s="187"/>
      <c r="AS34" s="187"/>
      <c r="AT34" s="187"/>
      <c r="AU34" s="187"/>
      <c r="AW34" s="4153"/>
      <c r="AX34" s="4153"/>
      <c r="AY34" s="4153"/>
      <c r="AZ34" s="4153"/>
      <c r="BA34" s="4153"/>
      <c r="BC34" s="4361"/>
      <c r="BD34" s="187"/>
    </row>
    <row r="35" spans="42:64" ht="13.5" thickBot="1">
      <c r="AR35" s="550" t="s">
        <v>867</v>
      </c>
      <c r="AX35"/>
      <c r="AY35" s="3275"/>
      <c r="AZ35" s="3275"/>
      <c r="BA35" s="3275"/>
      <c r="BB35" s="3275"/>
      <c r="BC35" s="4391"/>
      <c r="BD35" s="4392"/>
      <c r="BE35" s="4393" t="s">
        <v>868</v>
      </c>
      <c r="BF35" s="3900"/>
      <c r="BG35" s="1241"/>
      <c r="BH35"/>
      <c r="BI35" s="187"/>
      <c r="BK35"/>
      <c r="BL35" s="187"/>
    </row>
    <row r="36" spans="42:64" ht="27" thickBot="1">
      <c r="AP36" s="4380" t="str">
        <f>"Form 8812, Line 2: Dependents &lt; "&amp;CTC_AgeLimit&amp;"  "</f>
        <v xml:space="preserve">Form 8812, Line 2: Dependents &lt; 17  </v>
      </c>
      <c r="AQ36" s="4948">
        <f>IF(AR36&lt;&gt;"",ROUND(AR36,0),AU33)</f>
        <v>0</v>
      </c>
      <c r="AR36" s="4949"/>
      <c r="AX36"/>
      <c r="BC36" s="4394"/>
      <c r="BD36" s="1252"/>
      <c r="BE36" s="4395" t="str">
        <f>BD5</f>
        <v>Under 17</v>
      </c>
      <c r="BF36" s="4395" t="s">
        <v>869</v>
      </c>
      <c r="BG36" s="1243"/>
      <c r="BH36"/>
      <c r="BI36" s="187"/>
      <c r="BK36"/>
      <c r="BL36" s="187"/>
    </row>
    <row r="37" spans="42:64" ht="16.5" thickBot="1">
      <c r="AP37" s="4380" t="s">
        <v>870</v>
      </c>
      <c r="AQ37" s="4950">
        <f>IF(AR37&lt;&gt;"",ROUND(AR37,0),AV33)</f>
        <v>0</v>
      </c>
      <c r="AR37" s="4951"/>
      <c r="AX37"/>
      <c r="BC37" s="4396"/>
      <c r="BD37" s="4397"/>
      <c r="BE37" s="4942">
        <f>SUM(BD7:BD10,BD15:BD30)</f>
        <v>0</v>
      </c>
      <c r="BF37" s="4943">
        <f>SUM(BE7:BE10,BE15:BE30)</f>
        <v>0</v>
      </c>
      <c r="BG37" s="1243"/>
      <c r="BH37"/>
      <c r="BI37" s="187"/>
      <c r="BK37"/>
      <c r="BL37" s="187"/>
    </row>
    <row r="38" spans="42:64" ht="16.5" thickBot="1">
      <c r="AP38" s="4380" t="s">
        <v>871</v>
      </c>
      <c r="AQ38" s="4810">
        <f>IF(AR38&lt;&gt;"",ROUND(AR38,0),AS33)</f>
        <v>0</v>
      </c>
      <c r="AR38" s="4947"/>
      <c r="AX38"/>
      <c r="BC38" s="4398"/>
      <c r="BD38" s="4399" t="s">
        <v>872</v>
      </c>
      <c r="BE38" s="4400" t="s">
        <v>873</v>
      </c>
      <c r="BF38" s="4401" t="s">
        <v>874</v>
      </c>
      <c r="BG38" s="1248"/>
      <c r="BH38"/>
      <c r="BI38" s="187"/>
      <c r="BK38"/>
      <c r="BL38" s="187"/>
    </row>
    <row r="39" spans="42:64">
      <c r="BD39" s="187"/>
      <c r="BE39"/>
      <c r="BF39" s="187"/>
      <c r="BH39"/>
      <c r="BI39" s="187"/>
      <c r="BK39"/>
      <c r="BL39" s="187"/>
    </row>
    <row r="40" spans="42:64">
      <c r="BC40" s="4391"/>
      <c r="BD40" s="4392"/>
      <c r="BE40" s="4454"/>
      <c r="BF40" s="187"/>
      <c r="BH40"/>
      <c r="BI40" s="187"/>
      <c r="BK40"/>
      <c r="BL40" s="187"/>
    </row>
    <row r="41" spans="42:64" ht="26.25" thickBot="1">
      <c r="BC41" s="4394"/>
      <c r="BD41" s="1252"/>
      <c r="BE41" s="4455" t="s">
        <v>875</v>
      </c>
      <c r="BF41" s="187"/>
      <c r="BH41"/>
      <c r="BI41" s="187"/>
      <c r="BK41"/>
      <c r="BL41" s="187"/>
    </row>
    <row r="42" spans="42:64" ht="16.5" thickBot="1">
      <c r="BC42" s="4396"/>
      <c r="BD42" s="4397"/>
      <c r="BE42" s="4944">
        <f>SUM(BG7:BG10,BG15:BG30)</f>
        <v>0</v>
      </c>
      <c r="BF42" s="187"/>
      <c r="BH42"/>
      <c r="BI42" s="187"/>
      <c r="BK42"/>
      <c r="BL42" s="187"/>
    </row>
    <row r="43" spans="42:64">
      <c r="BC43" s="4398"/>
      <c r="BD43" s="4399" t="s">
        <v>876</v>
      </c>
      <c r="BE43" s="4456" t="s">
        <v>877</v>
      </c>
      <c r="BF43" s="187"/>
      <c r="BH43"/>
      <c r="BI43" s="187"/>
      <c r="BK43"/>
      <c r="BL43" s="187"/>
    </row>
  </sheetData>
  <sheetProtection algorithmName="SHA-512" hashValue="Wj1MTJj15/PmTBTHgE6D+NN2vxpzfqiUDPH90qKXnOq2CdPNhVav0u0YeHPn5wFkZX8+ghgEVsRpVE2uuAE8jA==" saltValue="b2mjGhCRnVtFUe3R+WecBQ==" spinCount="100000" sheet="1" objects="1" scenarios="1"/>
  <mergeCells count="137">
    <mergeCell ref="BH3:BH6"/>
    <mergeCell ref="Y6:AB6"/>
    <mergeCell ref="Y4:AH4"/>
    <mergeCell ref="Y12:AH12"/>
    <mergeCell ref="BE5:BE6"/>
    <mergeCell ref="BD5:BD6"/>
    <mergeCell ref="AO4:AO6"/>
    <mergeCell ref="AC6:AH6"/>
    <mergeCell ref="AO12:AO14"/>
    <mergeCell ref="AU2:AU6"/>
    <mergeCell ref="AS2:AS6"/>
    <mergeCell ref="AV2:AV6"/>
    <mergeCell ref="AT2:AT6"/>
    <mergeCell ref="AI9:AN9"/>
    <mergeCell ref="AI10:AN10"/>
    <mergeCell ref="AZ5:AZ6"/>
    <mergeCell ref="AI1:AN3"/>
    <mergeCell ref="BC5:BC6"/>
    <mergeCell ref="I10:L10"/>
    <mergeCell ref="B10:C10"/>
    <mergeCell ref="M10:R10"/>
    <mergeCell ref="S10:X10"/>
    <mergeCell ref="E7:H7"/>
    <mergeCell ref="E8:H8"/>
    <mergeCell ref="E9:H9"/>
    <mergeCell ref="E10:H10"/>
    <mergeCell ref="I7:L7"/>
    <mergeCell ref="I8:L8"/>
    <mergeCell ref="M7:R7"/>
    <mergeCell ref="S7:X7"/>
    <mergeCell ref="M8:R8"/>
    <mergeCell ref="S8:X8"/>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AI15:AN15"/>
    <mergeCell ref="E16:H16"/>
    <mergeCell ref="I16:L16"/>
    <mergeCell ref="M16:R16"/>
    <mergeCell ref="S16:X16"/>
    <mergeCell ref="AI16:AN16"/>
    <mergeCell ref="E17:H17"/>
    <mergeCell ref="I17:L17"/>
    <mergeCell ref="M17:R17"/>
    <mergeCell ref="S17:X17"/>
    <mergeCell ref="AI17:AN17"/>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E18:H18"/>
    <mergeCell ref="I18:L18"/>
    <mergeCell ref="M18:R18"/>
    <mergeCell ref="S18:X18"/>
    <mergeCell ref="AI18:AN18"/>
    <mergeCell ref="E19:H19"/>
    <mergeCell ref="I19:L19"/>
    <mergeCell ref="M19:R19"/>
    <mergeCell ref="S19:X19"/>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M1:R3"/>
    <mergeCell ref="BG5:BG6"/>
    <mergeCell ref="C2:J2"/>
    <mergeCell ref="E29:H29"/>
    <mergeCell ref="I29:L29"/>
    <mergeCell ref="M29:R29"/>
    <mergeCell ref="S29:X29"/>
    <mergeCell ref="AI29:AN29"/>
    <mergeCell ref="AY5:AY6"/>
    <mergeCell ref="E27:H27"/>
    <mergeCell ref="I27:L27"/>
    <mergeCell ref="M27:R27"/>
    <mergeCell ref="S27:X27"/>
    <mergeCell ref="AI27:AN27"/>
    <mergeCell ref="E28:H28"/>
    <mergeCell ref="I28:L28"/>
    <mergeCell ref="M28:R28"/>
    <mergeCell ref="S28:X28"/>
    <mergeCell ref="AI28:AN28"/>
    <mergeCell ref="E25:H25"/>
    <mergeCell ref="I25:L25"/>
    <mergeCell ref="M25:R25"/>
    <mergeCell ref="S25:X25"/>
    <mergeCell ref="AI25:AN25"/>
  </mergeCells>
  <conditionalFormatting sqref="B4 M4 S4 AR36:AR38">
    <cfRule type="expression" dxfId="2989" priority="177">
      <formula>NoColor</formula>
    </cfRule>
  </conditionalFormatting>
  <conditionalFormatting sqref="B12 M12 S12">
    <cfRule type="expression" dxfId="2988" priority="137">
      <formula>NoColor</formula>
    </cfRule>
  </conditionalFormatting>
  <conditionalFormatting sqref="D10">
    <cfRule type="expression" dxfId="2987" priority="157">
      <formula>AND(#REF!,D10&lt;&gt;"")</formula>
    </cfRule>
    <cfRule type="expression" dxfId="2986" priority="159">
      <formula>NoColor</formula>
    </cfRule>
  </conditionalFormatting>
  <conditionalFormatting sqref="D30">
    <cfRule type="expression" dxfId="2985" priority="117">
      <formula>AND(#REF!,D30&lt;&gt;"")</formula>
    </cfRule>
    <cfRule type="expression" dxfId="2984" priority="119">
      <formula>NoColor</formula>
    </cfRule>
  </conditionalFormatting>
  <conditionalFormatting sqref="E6:E10">
    <cfRule type="expression" dxfId="2983" priority="153">
      <formula>NoColor</formula>
    </cfRule>
  </conditionalFormatting>
  <conditionalFormatting sqref="E14:E30">
    <cfRule type="expression" dxfId="2982" priority="42">
      <formula>NoColor</formula>
    </cfRule>
  </conditionalFormatting>
  <conditionalFormatting sqref="E12:L13">
    <cfRule type="expression" dxfId="2981" priority="120">
      <formula>NoColor</formula>
    </cfRule>
  </conditionalFormatting>
  <conditionalFormatting sqref="F4:G4">
    <cfRule type="expression" dxfId="2980" priority="175">
      <formula>AND(#REF!,F4&lt;&gt;"")</formula>
    </cfRule>
  </conditionalFormatting>
  <conditionalFormatting sqref="F12:G12">
    <cfRule type="expression" dxfId="2979" priority="135">
      <formula>AND(#REF!,F12&lt;&gt;"")</formula>
    </cfRule>
  </conditionalFormatting>
  <conditionalFormatting sqref="I7:AO10">
    <cfRule type="expression" dxfId="2978" priority="1">
      <formula>NoColor</formula>
    </cfRule>
  </conditionalFormatting>
  <conditionalFormatting sqref="I15:AO30">
    <cfRule type="expression" dxfId="2977" priority="13">
      <formula>NoColor</formula>
    </cfRule>
  </conditionalFormatting>
  <conditionalFormatting sqref="M1">
    <cfRule type="expression" dxfId="2976" priority="32">
      <formula>$AZ$33&gt;0</formula>
    </cfRule>
  </conditionalFormatting>
  <conditionalFormatting sqref="M7:N10">
    <cfRule type="expression" dxfId="2975" priority="2">
      <formula>NOT(BA7)</formula>
    </cfRule>
    <cfRule type="expression" dxfId="2974" priority="3">
      <formula>AND(NoColor,NoSSN)</formula>
    </cfRule>
    <cfRule type="expression" dxfId="2973" priority="4">
      <formula>NoSSN</formula>
    </cfRule>
  </conditionalFormatting>
  <conditionalFormatting sqref="M15:N30">
    <cfRule type="expression" dxfId="2972" priority="15">
      <formula>NOT(BA15)</formula>
    </cfRule>
    <cfRule type="expression" dxfId="2971" priority="16">
      <formula>AND(NoColor,NoSSN)</formula>
    </cfRule>
    <cfRule type="expression" dxfId="2970" priority="17">
      <formula>NoSSN</formula>
    </cfRule>
  </conditionalFormatting>
  <conditionalFormatting sqref="M1:R3">
    <cfRule type="expression" dxfId="2969" priority="21">
      <formula>$AZ$3</formula>
    </cfRule>
  </conditionalFormatting>
  <conditionalFormatting sqref="O7:O10 O15:O30">
    <cfRule type="expression" dxfId="2968" priority="4529">
      <formula>BD7&gt;0</formula>
    </cfRule>
  </conditionalFormatting>
  <conditionalFormatting sqref="O7:P10 O15:P30">
    <cfRule type="expression" dxfId="2967" priority="4530">
      <formula>AND(NoColor,NoSSN)</formula>
    </cfRule>
    <cfRule type="expression" dxfId="2966" priority="4531">
      <formula>NoSSN</formula>
    </cfRule>
  </conditionalFormatting>
  <conditionalFormatting sqref="Q7:R10 Q15:R30">
    <cfRule type="expression" dxfId="2965" priority="130">
      <formula>AND(NoColor,NoSSN)</formula>
    </cfRule>
    <cfRule type="expression" dxfId="2964" priority="134">
      <formula>NoSSN</formula>
    </cfRule>
  </conditionalFormatting>
  <conditionalFormatting sqref="Y4 E4:L5">
    <cfRule type="expression" dxfId="2963" priority="160">
      <formula>NoColor</formula>
    </cfRule>
  </conditionalFormatting>
  <conditionalFormatting sqref="Y12">
    <cfRule type="expression" dxfId="2962" priority="34">
      <formula>NoColor</formula>
    </cfRule>
  </conditionalFormatting>
  <conditionalFormatting sqref="Y5:AH6 B6 I6">
    <cfRule type="expression" dxfId="2961" priority="176">
      <formula>NoColor</formula>
    </cfRule>
  </conditionalFormatting>
  <conditionalFormatting sqref="Y13:AH14 I14">
    <cfRule type="expression" dxfId="2960" priority="136">
      <formula>NoColor</formula>
    </cfRule>
  </conditionalFormatting>
  <conditionalFormatting sqref="Z5:AH5">
    <cfRule type="expression" dxfId="2959" priority="179">
      <formula>NoColor</formula>
    </cfRule>
  </conditionalFormatting>
  <conditionalFormatting sqref="Z13:AH13">
    <cfRule type="expression" dxfId="2958" priority="139">
      <formula>NoColor</formula>
    </cfRule>
  </conditionalFormatting>
  <conditionalFormatting sqref="AC6">
    <cfRule type="expression" dxfId="2957" priority="178">
      <formula>NoColor</formula>
    </cfRule>
  </conditionalFormatting>
  <conditionalFormatting sqref="AC14">
    <cfRule type="expression" dxfId="2956" priority="138">
      <formula>NoColor</formula>
    </cfRule>
  </conditionalFormatting>
  <conditionalFormatting sqref="AI4">
    <cfRule type="expression" dxfId="2955" priority="152">
      <formula>NoColor</formula>
    </cfRule>
  </conditionalFormatting>
  <conditionalFormatting sqref="AI12">
    <cfRule type="expression" dxfId="2954" priority="112">
      <formula>NoColor</formula>
    </cfRule>
  </conditionalFormatting>
  <conditionalFormatting sqref="AO4">
    <cfRule type="expression" dxfId="2953" priority="150">
      <formula>NoColor</formula>
    </cfRule>
  </conditionalFormatting>
  <conditionalFormatting sqref="AO12">
    <cfRule type="expression" dxfId="2952" priority="110">
      <formula>NoColor</formula>
    </cfRule>
  </conditionalFormatting>
  <pageMargins left="0.75" right="0.25" top="0.36" bottom="0.28999999999999998" header="0.36" footer="0.21"/>
  <pageSetup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A126"/>
  <sheetViews>
    <sheetView zoomScaleNormal="100" zoomScaleSheetLayoutView="130" workbookViewId="0">
      <selection activeCell="AC16" sqref="AC16:AG16"/>
    </sheetView>
  </sheetViews>
  <sheetFormatPr defaultColWidth="3.42578125" defaultRowHeight="12.75"/>
  <cols>
    <col min="1" max="1" width="3.42578125" style="39"/>
    <col min="2" max="5" width="3.85546875" style="39" customWidth="1"/>
    <col min="6" max="6" width="5.7109375" style="39" customWidth="1"/>
    <col min="7" max="20" width="3.42578125" style="39" customWidth="1"/>
    <col min="21" max="21" width="3.140625" style="39" customWidth="1"/>
    <col min="22" max="22" width="4.42578125" style="39" customWidth="1"/>
    <col min="23" max="23" width="1.85546875" style="39" customWidth="1"/>
    <col min="24" max="24" width="4.140625" style="39" customWidth="1"/>
    <col min="25" max="26" width="3.42578125" style="39" customWidth="1"/>
    <col min="27" max="27" width="2.28515625" style="39" customWidth="1"/>
    <col min="28" max="28" width="6" style="39" customWidth="1"/>
    <col min="29" max="30" width="3" style="39" customWidth="1"/>
    <col min="31" max="31" width="5.42578125" style="39" customWidth="1"/>
    <col min="32" max="32" width="3.5703125" style="39" customWidth="1"/>
    <col min="33" max="33" width="3" style="39" customWidth="1"/>
    <col min="34" max="34" width="3.42578125" style="39"/>
    <col min="35" max="35" width="8.85546875" style="39" customWidth="1"/>
    <col min="36" max="36" width="15" style="39" customWidth="1"/>
    <col min="37" max="37" width="4" style="39" customWidth="1"/>
    <col min="38" max="38" width="27.5703125" style="39" customWidth="1"/>
    <col min="39" max="39" width="8.28515625" style="39" customWidth="1"/>
    <col min="40" max="40" width="19.7109375" style="39" customWidth="1"/>
    <col min="41" max="41" width="3.42578125" style="39"/>
    <col min="42" max="42" width="10.7109375" style="2691" customWidth="1"/>
    <col min="43" max="52" width="10.7109375" style="2690" customWidth="1"/>
    <col min="53" max="16384" width="3.42578125" style="39"/>
  </cols>
  <sheetData>
    <row r="1" spans="1:52">
      <c r="A1" s="2162"/>
      <c r="B1" s="2162"/>
      <c r="C1" s="2162"/>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808"/>
      <c r="AJ1" s="260"/>
      <c r="AK1" s="808"/>
      <c r="AL1" s="808"/>
      <c r="AM1" s="808"/>
      <c r="AN1" s="808"/>
      <c r="AO1" s="808"/>
      <c r="AP1" s="2396" t="s">
        <v>241</v>
      </c>
      <c r="AQ1" s="2396"/>
      <c r="AR1" s="2396"/>
      <c r="AS1" s="2396"/>
      <c r="AT1" s="2396"/>
      <c r="AU1" s="2396"/>
      <c r="AV1" s="2396"/>
      <c r="AW1" s="2396"/>
      <c r="AX1" s="2396"/>
      <c r="AY1" s="2396"/>
      <c r="AZ1" s="2396"/>
    </row>
    <row r="2" spans="1:52" ht="11.25" customHeight="1">
      <c r="A2" s="2162"/>
      <c r="B2" s="6744" t="s">
        <v>878</v>
      </c>
      <c r="C2" s="6745"/>
      <c r="D2" s="6745"/>
      <c r="E2" s="6745"/>
      <c r="F2" s="6746"/>
      <c r="G2" s="808"/>
      <c r="H2" s="808"/>
      <c r="I2" s="808"/>
      <c r="J2" s="808"/>
      <c r="K2" s="808"/>
      <c r="L2" s="808"/>
      <c r="M2" s="808"/>
      <c r="N2" s="808"/>
      <c r="O2" s="808"/>
      <c r="P2" s="808"/>
      <c r="Q2" s="808"/>
      <c r="R2" s="808"/>
      <c r="S2" s="808"/>
      <c r="T2" s="808"/>
      <c r="U2" s="808"/>
      <c r="V2" s="808"/>
      <c r="W2" s="808"/>
      <c r="X2" s="808"/>
      <c r="Y2" s="808"/>
      <c r="Z2" s="808"/>
      <c r="AA2" s="808"/>
      <c r="AB2" s="6730" t="s">
        <v>576</v>
      </c>
      <c r="AC2" s="6731"/>
      <c r="AD2" s="6731"/>
      <c r="AE2" s="6731"/>
      <c r="AF2" s="6731"/>
      <c r="AG2" s="6731"/>
      <c r="AH2" s="2162"/>
      <c r="AI2" s="808"/>
      <c r="AJ2" s="260"/>
      <c r="AK2" s="808"/>
      <c r="AL2" s="808"/>
      <c r="AM2" s="808"/>
      <c r="AN2" s="808"/>
      <c r="AO2" s="808"/>
      <c r="AP2" s="2932"/>
      <c r="AQ2" s="2396"/>
      <c r="AR2" s="2396"/>
      <c r="AS2" s="2396"/>
      <c r="AT2" s="2396"/>
      <c r="AU2" s="2396"/>
      <c r="AV2" s="2396"/>
      <c r="AW2" s="2396"/>
      <c r="AX2" s="2396"/>
      <c r="AY2" s="2396"/>
      <c r="AZ2" s="2396"/>
    </row>
    <row r="3" spans="1:52" ht="16.5" customHeight="1">
      <c r="A3" s="2162"/>
      <c r="B3" s="6745"/>
      <c r="C3" s="6745"/>
      <c r="D3" s="6745"/>
      <c r="E3" s="6745"/>
      <c r="F3" s="6746"/>
      <c r="G3" s="4404" t="s">
        <v>879</v>
      </c>
      <c r="H3" s="2385"/>
      <c r="I3" s="2385"/>
      <c r="J3" s="2385"/>
      <c r="K3" s="2385"/>
      <c r="L3" s="2385"/>
      <c r="M3" s="2385"/>
      <c r="N3" s="2385"/>
      <c r="O3" s="2385"/>
      <c r="P3" s="2385"/>
      <c r="Q3" s="2385"/>
      <c r="R3" s="2385"/>
      <c r="S3" s="2385"/>
      <c r="T3" s="2385"/>
      <c r="U3" s="2385"/>
      <c r="V3" s="2385"/>
      <c r="W3" s="2385"/>
      <c r="X3" s="2385"/>
      <c r="Y3" s="2385"/>
      <c r="Z3" s="2385"/>
      <c r="AA3" s="2386"/>
      <c r="AB3" s="6735">
        <f>TaxYear</f>
        <v>2023</v>
      </c>
      <c r="AC3" s="6736"/>
      <c r="AD3" s="6736"/>
      <c r="AE3" s="6736"/>
      <c r="AF3" s="6736"/>
      <c r="AG3" s="6736"/>
      <c r="AH3" s="2162"/>
      <c r="AI3" s="808"/>
      <c r="AJ3" s="260"/>
      <c r="AK3" s="808"/>
      <c r="AL3" s="808"/>
      <c r="AM3" s="808"/>
      <c r="AN3" s="808"/>
      <c r="AO3" s="808"/>
      <c r="AP3" s="2932" t="s">
        <v>319</v>
      </c>
      <c r="AQ3" s="2396"/>
      <c r="AR3" s="2396"/>
      <c r="AS3" s="2396"/>
      <c r="AT3" s="2396"/>
      <c r="AU3" s="2396"/>
      <c r="AV3" s="2396"/>
      <c r="AW3" s="2396"/>
      <c r="AX3" s="2396"/>
      <c r="AY3" s="2396"/>
      <c r="AZ3" s="2396"/>
    </row>
    <row r="4" spans="1:52" ht="15.75" customHeight="1">
      <c r="A4" s="2162"/>
      <c r="B4" s="6747"/>
      <c r="C4" s="6748"/>
      <c r="D4" s="6748"/>
      <c r="E4" s="6748"/>
      <c r="F4" s="6749"/>
      <c r="G4" s="6757" t="s">
        <v>880</v>
      </c>
      <c r="H4" s="6758"/>
      <c r="I4" s="6758"/>
      <c r="J4" s="6758"/>
      <c r="K4" s="6758"/>
      <c r="L4" s="6758"/>
      <c r="M4" s="6758"/>
      <c r="N4" s="6758"/>
      <c r="O4" s="6758"/>
      <c r="P4" s="6758"/>
      <c r="Q4" s="6758"/>
      <c r="R4" s="6758"/>
      <c r="S4" s="6758"/>
      <c r="T4" s="6758"/>
      <c r="U4" s="6758"/>
      <c r="V4" s="6758"/>
      <c r="W4" s="6758"/>
      <c r="X4" s="6758"/>
      <c r="Y4" s="6758"/>
      <c r="Z4" s="6758"/>
      <c r="AA4" s="6759"/>
      <c r="AB4" s="6737"/>
      <c r="AC4" s="6738"/>
      <c r="AD4" s="6738"/>
      <c r="AE4" s="6738"/>
      <c r="AF4" s="6738"/>
      <c r="AG4" s="6738"/>
      <c r="AH4" s="2162"/>
      <c r="AI4" s="808"/>
      <c r="AJ4" s="260"/>
      <c r="AK4" s="808"/>
      <c r="AL4" s="808"/>
      <c r="AM4" s="808"/>
      <c r="AN4" s="808"/>
      <c r="AO4" s="808"/>
      <c r="AP4" s="2396"/>
      <c r="AQ4" s="2396"/>
      <c r="AR4" s="2396"/>
      <c r="AS4" s="2396"/>
      <c r="AT4" s="2396"/>
      <c r="AU4" s="2396"/>
      <c r="AV4" s="2396"/>
      <c r="AW4" s="2396"/>
      <c r="AX4" s="2396"/>
      <c r="AY4" s="2396"/>
      <c r="AZ4" s="2396"/>
    </row>
    <row r="5" spans="1:52" ht="18" customHeight="1">
      <c r="A5" s="2162"/>
      <c r="B5" s="6763" t="s">
        <v>2661</v>
      </c>
      <c r="C5" s="6763"/>
      <c r="D5" s="6763"/>
      <c r="E5" s="6763"/>
      <c r="F5" s="6764"/>
      <c r="G5" s="6760" t="s">
        <v>5661</v>
      </c>
      <c r="H5" s="6761"/>
      <c r="I5" s="6761"/>
      <c r="J5" s="6761"/>
      <c r="K5" s="6761"/>
      <c r="L5" s="6761"/>
      <c r="M5" s="6761"/>
      <c r="N5" s="6761"/>
      <c r="O5" s="6761"/>
      <c r="P5" s="6761"/>
      <c r="Q5" s="6761"/>
      <c r="R5" s="6761"/>
      <c r="S5" s="6761"/>
      <c r="T5" s="6761"/>
      <c r="U5" s="6761"/>
      <c r="V5" s="6761"/>
      <c r="W5" s="6761"/>
      <c r="X5" s="6761"/>
      <c r="Y5" s="6761"/>
      <c r="Z5" s="6761"/>
      <c r="AA5" s="6762"/>
      <c r="AB5" s="2675"/>
      <c r="AC5" s="6739" t="s">
        <v>881</v>
      </c>
      <c r="AD5" s="6739"/>
      <c r="AE5" s="6739"/>
      <c r="AF5" s="6739"/>
      <c r="AG5" s="6739"/>
      <c r="AH5" s="2162"/>
      <c r="AI5" s="808"/>
      <c r="AJ5" s="260"/>
      <c r="AK5" s="808"/>
      <c r="AL5" s="808"/>
      <c r="AM5" s="808"/>
      <c r="AN5" s="808"/>
      <c r="AO5" s="808"/>
      <c r="AP5" s="2396"/>
      <c r="AQ5" s="2396"/>
      <c r="AR5" s="2396"/>
      <c r="AS5" s="2396"/>
      <c r="AT5" s="2396"/>
      <c r="AU5" s="2396"/>
      <c r="AV5" s="2396"/>
      <c r="AW5" s="2396"/>
      <c r="AX5" s="2396"/>
      <c r="AY5" s="2396"/>
      <c r="AZ5" s="2396"/>
    </row>
    <row r="6" spans="1:52" ht="9.75" customHeight="1" thickBot="1">
      <c r="A6" s="2162"/>
      <c r="B6" s="6765"/>
      <c r="C6" s="6765"/>
      <c r="D6" s="6765"/>
      <c r="E6" s="6765"/>
      <c r="F6" s="6766"/>
      <c r="G6" s="2399"/>
      <c r="H6" s="2400"/>
      <c r="I6" s="2399"/>
      <c r="J6" s="2401"/>
      <c r="K6" s="2400"/>
      <c r="L6" s="2400"/>
      <c r="M6" s="2400"/>
      <c r="N6" s="2400"/>
      <c r="O6" s="2400"/>
      <c r="P6" s="2400"/>
      <c r="Q6" s="2400"/>
      <c r="R6" s="2400"/>
      <c r="S6" s="2400"/>
      <c r="T6" s="2400"/>
      <c r="U6" s="2400"/>
      <c r="V6" s="2400"/>
      <c r="W6" s="2400"/>
      <c r="X6" s="2400"/>
      <c r="Y6" s="2400"/>
      <c r="Z6" s="2400"/>
      <c r="AA6" s="2400"/>
      <c r="AB6" s="2676"/>
      <c r="AC6" s="6740"/>
      <c r="AD6" s="6740"/>
      <c r="AE6" s="6740"/>
      <c r="AF6" s="6740"/>
      <c r="AG6" s="6740"/>
      <c r="AH6" s="2162"/>
      <c r="AI6" s="808"/>
      <c r="AJ6" s="260"/>
      <c r="AK6" s="808"/>
      <c r="AL6" s="808"/>
      <c r="AM6" s="808"/>
      <c r="AN6" s="808"/>
      <c r="AO6" s="808"/>
      <c r="AP6" s="2396"/>
      <c r="AQ6" s="2396"/>
      <c r="AR6" s="2396"/>
      <c r="AS6" s="2396"/>
      <c r="AT6" s="2396"/>
      <c r="AU6" s="2396"/>
      <c r="AV6" s="2396"/>
      <c r="AW6" s="2396"/>
      <c r="AX6" s="2396"/>
      <c r="AY6" s="2396"/>
      <c r="AZ6" s="2396"/>
    </row>
    <row r="7" spans="1:52">
      <c r="A7" s="2162"/>
      <c r="B7" s="892" t="s">
        <v>883</v>
      </c>
      <c r="C7" s="808"/>
      <c r="D7" s="808"/>
      <c r="E7" s="808"/>
      <c r="F7" s="808"/>
      <c r="G7" s="808"/>
      <c r="H7" s="808"/>
      <c r="I7" s="808"/>
      <c r="J7" s="808"/>
      <c r="K7" s="808"/>
      <c r="L7" s="808"/>
      <c r="M7" s="808"/>
      <c r="N7" s="808"/>
      <c r="O7" s="808"/>
      <c r="P7" s="808"/>
      <c r="Q7" s="808"/>
      <c r="R7" s="808"/>
      <c r="S7" s="808"/>
      <c r="T7" s="808"/>
      <c r="U7" s="808"/>
      <c r="V7" s="808"/>
      <c r="W7" s="808"/>
      <c r="X7" s="808"/>
      <c r="Y7" s="808"/>
      <c r="Z7" s="808"/>
      <c r="AA7" s="808"/>
      <c r="AB7" s="4405" t="s">
        <v>586</v>
      </c>
      <c r="AC7" s="890"/>
      <c r="AD7" s="890"/>
      <c r="AE7" s="890"/>
      <c r="AF7" s="890"/>
      <c r="AG7" s="890"/>
      <c r="AH7" s="2162"/>
      <c r="AI7" s="808"/>
      <c r="AJ7" s="6706" t="s">
        <v>637</v>
      </c>
      <c r="AK7" s="808"/>
      <c r="AL7" s="899"/>
      <c r="AM7" s="808"/>
      <c r="AN7" s="808"/>
      <c r="AO7" s="808"/>
      <c r="AP7" s="2396"/>
      <c r="AQ7" s="2396"/>
      <c r="AR7" s="2396"/>
      <c r="AS7" s="2396"/>
      <c r="AT7" s="2396"/>
      <c r="AU7" s="2396"/>
      <c r="AV7" s="2396"/>
      <c r="AW7" s="2396"/>
      <c r="AX7" s="2396"/>
      <c r="AY7" s="2396"/>
      <c r="AZ7" s="2396"/>
    </row>
    <row r="8" spans="1:52" ht="9.75" customHeight="1">
      <c r="A8" s="2162"/>
      <c r="B8" s="6750" t="str">
        <f>Names</f>
        <v/>
      </c>
      <c r="C8" s="6751"/>
      <c r="D8" s="6751"/>
      <c r="E8" s="6751"/>
      <c r="F8" s="6751"/>
      <c r="G8" s="6751"/>
      <c r="H8" s="6751"/>
      <c r="I8" s="6751"/>
      <c r="J8" s="6751"/>
      <c r="K8" s="6751"/>
      <c r="L8" s="6751"/>
      <c r="M8" s="6751"/>
      <c r="N8" s="6751"/>
      <c r="O8" s="6751"/>
      <c r="P8" s="6751"/>
      <c r="Q8" s="6751"/>
      <c r="R8" s="6751"/>
      <c r="S8" s="6751"/>
      <c r="T8" s="6751"/>
      <c r="U8" s="6751"/>
      <c r="V8" s="6751"/>
      <c r="W8" s="6751"/>
      <c r="X8" s="6751"/>
      <c r="Y8" s="6751"/>
      <c r="Z8" s="6751"/>
      <c r="AA8" s="6752"/>
      <c r="AB8" s="6732">
        <f>IF(NoSSN,"",SS_Yours)</f>
        <v>1010001</v>
      </c>
      <c r="AC8" s="6733"/>
      <c r="AD8" s="6733"/>
      <c r="AE8" s="6733"/>
      <c r="AF8" s="6733"/>
      <c r="AG8" s="6733"/>
      <c r="AH8" s="2162"/>
      <c r="AI8" s="808"/>
      <c r="AJ8" s="6707"/>
      <c r="AK8" s="808"/>
      <c r="AL8" s="808"/>
      <c r="AM8" s="808"/>
      <c r="AN8" s="808"/>
      <c r="AO8" s="808"/>
      <c r="AP8" s="2396"/>
      <c r="AQ8" s="2396"/>
      <c r="AR8" s="2396"/>
      <c r="AS8" s="2396"/>
      <c r="AT8" s="2396"/>
      <c r="AU8" s="2396"/>
      <c r="AV8" s="2396"/>
      <c r="AW8" s="2396"/>
      <c r="AX8" s="2396"/>
      <c r="AY8" s="2396"/>
      <c r="AZ8" s="2396"/>
    </row>
    <row r="9" spans="1:52" ht="9.75" customHeight="1">
      <c r="A9" s="2162"/>
      <c r="B9" s="6339"/>
      <c r="C9" s="6339"/>
      <c r="D9" s="6339"/>
      <c r="E9" s="6339"/>
      <c r="F9" s="6339"/>
      <c r="G9" s="6339"/>
      <c r="H9" s="6339"/>
      <c r="I9" s="6339"/>
      <c r="J9" s="6339"/>
      <c r="K9" s="6339"/>
      <c r="L9" s="6339"/>
      <c r="M9" s="6339"/>
      <c r="N9" s="6339"/>
      <c r="O9" s="6339"/>
      <c r="P9" s="6339"/>
      <c r="Q9" s="6339"/>
      <c r="R9" s="6339"/>
      <c r="S9" s="6339"/>
      <c r="T9" s="6339"/>
      <c r="U9" s="6339"/>
      <c r="V9" s="6339"/>
      <c r="W9" s="6339"/>
      <c r="X9" s="6339"/>
      <c r="Y9" s="6339"/>
      <c r="Z9" s="6339"/>
      <c r="AA9" s="6753"/>
      <c r="AB9" s="6734"/>
      <c r="AC9" s="6731"/>
      <c r="AD9" s="6731"/>
      <c r="AE9" s="6731"/>
      <c r="AF9" s="6731"/>
      <c r="AG9" s="6731"/>
      <c r="AH9" s="2162"/>
      <c r="AI9" s="808"/>
      <c r="AJ9" s="6708"/>
      <c r="AK9" s="808"/>
      <c r="AL9" s="808"/>
      <c r="AM9" s="808"/>
      <c r="AN9" s="3280">
        <v>43465</v>
      </c>
      <c r="AO9" s="808"/>
      <c r="AP9" s="2396"/>
      <c r="AQ9" s="2396"/>
      <c r="AR9" s="2396"/>
      <c r="AS9" s="2396"/>
      <c r="AT9" s="2396"/>
      <c r="AU9" s="2396"/>
      <c r="AV9" s="2396"/>
      <c r="AW9" s="2396"/>
      <c r="AX9" s="2396"/>
      <c r="AY9" s="2396"/>
      <c r="AZ9" s="2396"/>
    </row>
    <row r="10" spans="1:52" ht="21" customHeight="1">
      <c r="A10" s="2162"/>
      <c r="B10" s="6754" t="s">
        <v>884</v>
      </c>
      <c r="C10" s="6755"/>
      <c r="D10" s="6756"/>
      <c r="E10" s="2452"/>
      <c r="F10" s="3728" t="s">
        <v>885</v>
      </c>
      <c r="G10" s="2452"/>
      <c r="H10" s="2452"/>
      <c r="I10" s="2452"/>
      <c r="J10" s="2452"/>
      <c r="K10" s="2452"/>
      <c r="L10" s="1122"/>
      <c r="M10" s="1122"/>
      <c r="N10" s="1122"/>
      <c r="O10" s="1122"/>
      <c r="P10" s="1122"/>
      <c r="Q10" s="1122"/>
      <c r="R10" s="1122"/>
      <c r="S10" s="1122"/>
      <c r="T10" s="1122"/>
      <c r="U10" s="1122"/>
      <c r="V10" s="1122"/>
      <c r="W10" s="1122"/>
      <c r="X10" s="1122"/>
      <c r="Y10" s="1122"/>
      <c r="Z10" s="1122"/>
      <c r="AA10" s="1122"/>
      <c r="AB10" s="1122"/>
      <c r="AC10" s="1122"/>
      <c r="AD10" s="1122"/>
      <c r="AE10" s="1122"/>
      <c r="AF10" s="1122"/>
      <c r="AG10" s="1122"/>
      <c r="AH10" s="2162"/>
      <c r="AI10" s="808"/>
      <c r="AJ10" s="260"/>
      <c r="AK10" s="808"/>
      <c r="AL10" s="3174" t="s">
        <v>886</v>
      </c>
      <c r="AM10" s="808"/>
      <c r="AN10" s="900" t="b">
        <f>AND(AlimonyRcvd&gt;0,OR(V13="",V13&gt;=$AN$9))</f>
        <v>0</v>
      </c>
      <c r="AO10" s="808"/>
      <c r="AP10" s="2396"/>
      <c r="AQ10" s="2396"/>
      <c r="AR10" s="2396"/>
      <c r="AS10" s="2396"/>
      <c r="AT10" s="2396"/>
      <c r="AU10" s="2396"/>
      <c r="AV10" s="2396"/>
      <c r="AW10" s="2396"/>
      <c r="AX10" s="2396"/>
      <c r="AY10" s="2396"/>
      <c r="AZ10" s="2396"/>
    </row>
    <row r="11" spans="1:52" ht="18" customHeight="1">
      <c r="A11" s="2162"/>
      <c r="B11" s="3243"/>
      <c r="C11" s="1895">
        <v>1</v>
      </c>
      <c r="D11" s="2112" t="s">
        <v>887</v>
      </c>
      <c r="E11" s="892"/>
      <c r="F11" s="808"/>
      <c r="G11" s="808"/>
      <c r="H11" s="808"/>
      <c r="I11" s="808"/>
      <c r="J11" s="808"/>
      <c r="K11" s="808"/>
      <c r="L11" s="808"/>
      <c r="M11" s="808"/>
      <c r="N11" s="808"/>
      <c r="O11" s="3243"/>
      <c r="P11" s="3243"/>
      <c r="Q11" s="3243"/>
      <c r="R11" s="808"/>
      <c r="S11" s="808"/>
      <c r="T11" s="808"/>
      <c r="U11" s="808"/>
      <c r="V11" s="808"/>
      <c r="W11" s="808"/>
      <c r="X11" s="808"/>
      <c r="Y11" s="808"/>
      <c r="Z11" s="808"/>
      <c r="AA11" s="1128" t="s">
        <v>888</v>
      </c>
      <c r="AB11" s="3721">
        <v>1</v>
      </c>
      <c r="AC11" s="6720">
        <f>IF(AJ11&lt;&gt;"",ROUND(AJ11,0),State_Local_Tax_Refund)</f>
        <v>0</v>
      </c>
      <c r="AD11" s="6721"/>
      <c r="AE11" s="6721"/>
      <c r="AF11" s="6721"/>
      <c r="AG11" s="6721"/>
      <c r="AH11" s="2162"/>
      <c r="AI11" s="808"/>
      <c r="AJ11" s="2266"/>
      <c r="AK11" s="808"/>
      <c r="AL11" s="892" t="s">
        <v>81</v>
      </c>
      <c r="AM11" s="808"/>
      <c r="AN11" s="6728" t="s">
        <v>889</v>
      </c>
      <c r="AO11" s="808"/>
      <c r="AP11" s="2396"/>
      <c r="AQ11" s="2396"/>
      <c r="AR11" s="2396"/>
      <c r="AS11" s="2396"/>
      <c r="AT11" s="2396"/>
      <c r="AU11" s="2396"/>
      <c r="AV11" s="2396"/>
      <c r="AW11" s="2396"/>
      <c r="AX11" s="2396"/>
      <c r="AY11" s="2396"/>
      <c r="AZ11" s="2396"/>
    </row>
    <row r="12" spans="1:52" ht="18" customHeight="1">
      <c r="A12" s="2162"/>
      <c r="B12" s="3243"/>
      <c r="C12" s="3726" t="s">
        <v>367</v>
      </c>
      <c r="D12" s="2112" t="s">
        <v>890</v>
      </c>
      <c r="E12" s="808"/>
      <c r="F12" s="808"/>
      <c r="G12" s="808"/>
      <c r="H12" s="808"/>
      <c r="I12" s="808"/>
      <c r="J12" s="808"/>
      <c r="K12" s="808"/>
      <c r="L12" s="808"/>
      <c r="M12" s="808"/>
      <c r="N12" s="808"/>
      <c r="O12" s="3243"/>
      <c r="P12" s="3243"/>
      <c r="Q12" s="3243"/>
      <c r="R12" s="808"/>
      <c r="S12" s="808"/>
      <c r="T12" s="808"/>
      <c r="U12" s="808"/>
      <c r="V12" s="808"/>
      <c r="W12" s="808"/>
      <c r="X12" s="808"/>
      <c r="Y12" s="808"/>
      <c r="Z12" s="808"/>
      <c r="AA12" s="1128" t="s">
        <v>891</v>
      </c>
      <c r="AB12" s="3722" t="s">
        <v>367</v>
      </c>
      <c r="AC12" s="6741">
        <f>ROUND(AJ12,0)</f>
        <v>0</v>
      </c>
      <c r="AD12" s="6742"/>
      <c r="AE12" s="6742"/>
      <c r="AF12" s="6742"/>
      <c r="AG12" s="6743"/>
      <c r="AH12" s="2162"/>
      <c r="AI12" s="4421" t="str">
        <f>IF(AN10,"See TIP. &gt;&gt;","")</f>
        <v/>
      </c>
      <c r="AJ12" s="2266"/>
      <c r="AK12" s="2716" t="s">
        <v>892</v>
      </c>
      <c r="AL12" s="2716"/>
      <c r="AM12" s="808"/>
      <c r="AN12" s="6466"/>
      <c r="AO12" s="808"/>
      <c r="AP12" s="2396"/>
      <c r="AQ12" s="2396"/>
      <c r="AR12" s="2396"/>
      <c r="AS12" s="2396"/>
      <c r="AT12" s="2396"/>
      <c r="AU12" s="2396"/>
      <c r="AV12" s="2396"/>
      <c r="AW12" s="2396"/>
      <c r="AX12" s="2396"/>
      <c r="AY12" s="2396"/>
      <c r="AZ12" s="2396"/>
    </row>
    <row r="13" spans="1:52" ht="18" customHeight="1">
      <c r="A13" s="2162"/>
      <c r="B13" s="808"/>
      <c r="C13" s="1895" t="s">
        <v>644</v>
      </c>
      <c r="D13" s="2112" t="s">
        <v>893</v>
      </c>
      <c r="E13" s="808"/>
      <c r="F13" s="808"/>
      <c r="G13" s="808"/>
      <c r="H13" s="808"/>
      <c r="I13" s="2405"/>
      <c r="J13" s="808"/>
      <c r="K13" s="808"/>
      <c r="L13" s="808"/>
      <c r="M13" s="808"/>
      <c r="N13" s="808"/>
      <c r="O13" s="2121"/>
      <c r="P13" s="2119"/>
      <c r="Q13" s="808"/>
      <c r="R13" s="808"/>
      <c r="S13" s="808"/>
      <c r="T13" s="808"/>
      <c r="U13" s="808"/>
      <c r="V13" s="6703"/>
      <c r="W13" s="6704"/>
      <c r="X13" s="6704"/>
      <c r="Y13" s="6704"/>
      <c r="Z13" s="6704"/>
      <c r="AA13" s="808"/>
      <c r="AB13" s="3723"/>
      <c r="AC13" s="6718">
        <f>ROUND(AC12,0)</f>
        <v>0</v>
      </c>
      <c r="AD13" s="6719"/>
      <c r="AE13" s="6719"/>
      <c r="AF13" s="6719"/>
      <c r="AG13" s="6719"/>
      <c r="AH13" s="2162"/>
      <c r="AI13" s="2931"/>
      <c r="AJ13" s="260"/>
      <c r="AK13" s="808"/>
      <c r="AL13" s="808"/>
      <c r="AM13" s="808"/>
      <c r="AN13" s="6705" t="s">
        <v>894</v>
      </c>
      <c r="AO13" s="808"/>
      <c r="AP13" s="2396"/>
      <c r="AQ13" s="2396"/>
      <c r="AR13" s="2396"/>
      <c r="AS13" s="2396"/>
      <c r="AT13" s="2396"/>
      <c r="AU13" s="2396"/>
      <c r="AV13" s="2396"/>
      <c r="AW13" s="2396"/>
      <c r="AX13" s="2396"/>
      <c r="AY13" s="2396"/>
      <c r="AZ13" s="2396"/>
    </row>
    <row r="14" spans="1:52" ht="18" customHeight="1">
      <c r="A14" s="2162"/>
      <c r="B14" s="808"/>
      <c r="C14" s="3243">
        <v>3</v>
      </c>
      <c r="D14" s="2112" t="s">
        <v>895</v>
      </c>
      <c r="E14" s="808"/>
      <c r="F14" s="808"/>
      <c r="G14" s="808"/>
      <c r="H14" s="808"/>
      <c r="I14" s="808"/>
      <c r="J14" s="808"/>
      <c r="K14" s="808"/>
      <c r="L14" s="808"/>
      <c r="M14" s="808"/>
      <c r="N14" s="808"/>
      <c r="O14" s="2121"/>
      <c r="P14" s="2119"/>
      <c r="Q14" s="808"/>
      <c r="R14" s="808"/>
      <c r="S14" s="808"/>
      <c r="T14" s="808"/>
      <c r="U14" s="808"/>
      <c r="V14" s="808"/>
      <c r="W14" s="808"/>
      <c r="X14" s="808"/>
      <c r="Y14" s="808"/>
      <c r="Z14" s="808"/>
      <c r="AA14" s="1128" t="s">
        <v>896</v>
      </c>
      <c r="AB14" s="3724">
        <v>3</v>
      </c>
      <c r="AC14" s="6720">
        <f>IF(AJ14&lt;&gt;"",ROUND(AJ14,0),Business_Profit)</f>
        <v>0</v>
      </c>
      <c r="AD14" s="6721"/>
      <c r="AE14" s="6721"/>
      <c r="AF14" s="6721"/>
      <c r="AG14" s="6721"/>
      <c r="AH14" s="2162"/>
      <c r="AI14" s="808"/>
      <c r="AJ14" s="2266"/>
      <c r="AK14" s="808"/>
      <c r="AL14" s="892" t="s">
        <v>107</v>
      </c>
      <c r="AM14" s="808"/>
      <c r="AN14" s="6705"/>
      <c r="AO14" s="808"/>
      <c r="AP14" s="2396"/>
      <c r="AQ14" s="2396"/>
      <c r="AR14" s="2396"/>
      <c r="AS14" s="2396"/>
      <c r="AT14" s="2396"/>
      <c r="AU14" s="2396"/>
      <c r="AV14" s="2396"/>
      <c r="AW14" s="2396"/>
      <c r="AX14" s="2396"/>
      <c r="AY14" s="2396"/>
      <c r="AZ14" s="2396"/>
    </row>
    <row r="15" spans="1:52" ht="18" customHeight="1">
      <c r="A15" s="2162"/>
      <c r="B15" s="808"/>
      <c r="C15" s="3243">
        <v>4</v>
      </c>
      <c r="D15" s="2112" t="s">
        <v>897</v>
      </c>
      <c r="E15" s="808"/>
      <c r="F15" s="808"/>
      <c r="G15" s="808"/>
      <c r="H15" s="808"/>
      <c r="I15" s="808"/>
      <c r="J15" s="808"/>
      <c r="K15" s="808"/>
      <c r="L15" s="808"/>
      <c r="M15" s="808"/>
      <c r="N15" s="808"/>
      <c r="O15" s="2121"/>
      <c r="P15" s="2119"/>
      <c r="Q15" s="808"/>
      <c r="R15" s="808"/>
      <c r="S15" s="808"/>
      <c r="T15" s="808"/>
      <c r="U15" s="808"/>
      <c r="V15" s="808"/>
      <c r="W15" s="808"/>
      <c r="X15" s="808"/>
      <c r="Y15" s="808"/>
      <c r="Z15" s="808"/>
      <c r="AA15" s="1128" t="s">
        <v>898</v>
      </c>
      <c r="AB15" s="3722">
        <v>4</v>
      </c>
      <c r="AC15" s="6722"/>
      <c r="AD15" s="6723"/>
      <c r="AE15" s="6723"/>
      <c r="AF15" s="6723"/>
      <c r="AG15" s="6724"/>
      <c r="AH15" s="2162"/>
      <c r="AI15" s="808"/>
      <c r="AJ15" s="260"/>
      <c r="AK15" s="808"/>
      <c r="AL15" s="3166">
        <f>ROUND(AC15,0)</f>
        <v>0</v>
      </c>
      <c r="AM15" s="808"/>
      <c r="AN15" s="6705"/>
      <c r="AO15" s="808"/>
      <c r="AP15" s="2396"/>
      <c r="AQ15" s="2396"/>
      <c r="AR15" s="2396"/>
      <c r="AS15" s="2396"/>
      <c r="AT15" s="2396"/>
      <c r="AU15" s="2396"/>
      <c r="AV15" s="2396"/>
      <c r="AW15" s="2396"/>
      <c r="AX15" s="2396"/>
      <c r="AY15" s="2396"/>
      <c r="AZ15" s="2396"/>
    </row>
    <row r="16" spans="1:52" ht="18" customHeight="1">
      <c r="A16" s="2162"/>
      <c r="B16" s="808"/>
      <c r="C16" s="3243">
        <v>5</v>
      </c>
      <c r="D16" s="2112" t="s">
        <v>5662</v>
      </c>
      <c r="E16" s="808"/>
      <c r="F16" s="808"/>
      <c r="G16" s="808"/>
      <c r="H16" s="808"/>
      <c r="I16" s="808"/>
      <c r="J16" s="808"/>
      <c r="K16" s="808"/>
      <c r="L16" s="808"/>
      <c r="M16" s="808"/>
      <c r="N16" s="808"/>
      <c r="O16" s="2121"/>
      <c r="P16" s="2119"/>
      <c r="Q16" s="808"/>
      <c r="R16" s="808"/>
      <c r="S16" s="808"/>
      <c r="T16" s="808"/>
      <c r="U16" s="808"/>
      <c r="V16" s="808"/>
      <c r="W16" s="808"/>
      <c r="X16" s="808"/>
      <c r="Y16" s="808"/>
      <c r="Z16" s="808"/>
      <c r="AA16" s="1128" t="s">
        <v>1245</v>
      </c>
      <c r="AB16" s="3722">
        <v>5</v>
      </c>
      <c r="AC16" s="6701">
        <f>IF(AJ16&lt;&gt;"",ROUND(AJ16,0),SUM(ScheduleE1,ScheduleE2,ScheduleE3,ScheduleE4))</f>
        <v>0</v>
      </c>
      <c r="AD16" s="6702"/>
      <c r="AE16" s="6702"/>
      <c r="AF16" s="6702"/>
      <c r="AG16" s="6702"/>
      <c r="AH16" s="2162"/>
      <c r="AI16" s="808"/>
      <c r="AJ16" s="2266"/>
      <c r="AK16" s="808"/>
      <c r="AL16" s="892" t="s">
        <v>113</v>
      </c>
      <c r="AM16" s="808"/>
      <c r="AN16" s="6705"/>
      <c r="AO16" s="808"/>
      <c r="AP16" s="2396"/>
      <c r="AQ16" s="2396"/>
      <c r="AR16" s="2396"/>
      <c r="AS16" s="2396"/>
      <c r="AT16" s="2396"/>
      <c r="AU16" s="2396"/>
      <c r="AV16" s="2396"/>
      <c r="AW16" s="2396"/>
      <c r="AX16" s="2396"/>
      <c r="AY16" s="2396"/>
      <c r="AZ16" s="2396"/>
    </row>
    <row r="17" spans="1:52" ht="18" customHeight="1">
      <c r="A17" s="2162"/>
      <c r="B17" s="808"/>
      <c r="C17" s="3243">
        <v>6</v>
      </c>
      <c r="D17" s="2112" t="s">
        <v>899</v>
      </c>
      <c r="E17" s="808"/>
      <c r="F17" s="808"/>
      <c r="G17" s="808"/>
      <c r="H17" s="808"/>
      <c r="I17" s="808"/>
      <c r="J17" s="808"/>
      <c r="K17" s="808"/>
      <c r="L17" s="808"/>
      <c r="M17" s="808"/>
      <c r="N17" s="808"/>
      <c r="O17" s="2121"/>
      <c r="P17" s="2119"/>
      <c r="Q17" s="808"/>
      <c r="R17" s="808"/>
      <c r="S17" s="808"/>
      <c r="T17" s="808"/>
      <c r="U17" s="808"/>
      <c r="V17" s="808"/>
      <c r="W17" s="808"/>
      <c r="X17" s="808"/>
      <c r="Y17" s="808"/>
      <c r="Z17" s="808"/>
      <c r="AA17" s="1128" t="s">
        <v>898</v>
      </c>
      <c r="AB17" s="3722">
        <v>6</v>
      </c>
      <c r="AC17" s="6701">
        <f>IF(AJ17&lt;&gt;"",ROUND(AJ17,0),FarmProfitNet)</f>
        <v>0</v>
      </c>
      <c r="AD17" s="6717"/>
      <c r="AE17" s="6717"/>
      <c r="AF17" s="6717"/>
      <c r="AG17" s="6717"/>
      <c r="AH17" s="2162"/>
      <c r="AI17" s="808"/>
      <c r="AJ17" s="2266"/>
      <c r="AK17" s="808"/>
      <c r="AL17" s="892" t="s">
        <v>116</v>
      </c>
      <c r="AM17" s="808"/>
      <c r="AN17" s="6705"/>
      <c r="AO17" s="808"/>
      <c r="AP17" s="2396"/>
      <c r="AQ17" s="2396"/>
      <c r="AR17" s="2396"/>
      <c r="AS17" s="2396"/>
      <c r="AT17" s="2396"/>
      <c r="AU17" s="2396"/>
      <c r="AV17" s="2396"/>
      <c r="AW17" s="2396"/>
      <c r="AX17" s="2396"/>
      <c r="AY17" s="2396"/>
      <c r="AZ17" s="2396"/>
    </row>
    <row r="18" spans="1:52" ht="18" customHeight="1">
      <c r="A18" s="2162"/>
      <c r="B18" s="808"/>
      <c r="C18" s="3243">
        <v>7</v>
      </c>
      <c r="D18" s="2112" t="s">
        <v>900</v>
      </c>
      <c r="E18" s="808"/>
      <c r="F18" s="808"/>
      <c r="G18" s="808"/>
      <c r="H18" s="808"/>
      <c r="I18" s="808"/>
      <c r="J18" s="808"/>
      <c r="K18" s="808"/>
      <c r="L18" s="808"/>
      <c r="M18" s="808"/>
      <c r="N18" s="808"/>
      <c r="O18" s="2121"/>
      <c r="P18" s="2119"/>
      <c r="Q18" s="808"/>
      <c r="R18" s="808"/>
      <c r="S18" s="808"/>
      <c r="T18" s="808"/>
      <c r="U18" s="808"/>
      <c r="V18" s="808"/>
      <c r="W18" s="808"/>
      <c r="X18" s="808"/>
      <c r="Y18" s="808"/>
      <c r="Z18" s="808"/>
      <c r="AA18" s="1128" t="str">
        <f>IF(AK19&lt;&gt;"",".   .   .   .   .   .   .   .   .   .   .   .   .   .   .   .   .   .   .   .  Repaid ",".   .   .   .   .   .   .   .   .   .   .   .   .   .   .   .   .   .   .   .   .   .   .  ")</f>
        <v xml:space="preserve">.   .   .   .   .   .   .   .   .   .   .   .   .   .   .   .   .   .   .   .   .   .   .  </v>
      </c>
      <c r="AB18" s="3722">
        <v>7</v>
      </c>
      <c r="AC18" s="6701">
        <f>IF(AJ18&lt;&gt;"",ROUND(AJ18,0),UnemployComp)</f>
        <v>0</v>
      </c>
      <c r="AD18" s="6702"/>
      <c r="AE18" s="6702"/>
      <c r="AF18" s="6702"/>
      <c r="AG18" s="6702"/>
      <c r="AH18" s="2162"/>
      <c r="AI18" s="4130">
        <f>SUM(AC11,AC12,BusinessIncomeLoss,ROUND(AC15,0),SchE_IncomeLoss,FarmIncomeLoss,UnEmploymentComp)</f>
        <v>0</v>
      </c>
      <c r="AJ18" s="2266"/>
      <c r="AK18" s="808"/>
      <c r="AL18" s="892" t="s">
        <v>901</v>
      </c>
      <c r="AM18" s="808"/>
      <c r="AN18" s="6705"/>
      <c r="AO18" s="808"/>
      <c r="AP18" s="2396"/>
      <c r="AQ18" s="2396"/>
      <c r="AR18" s="2396"/>
      <c r="AS18" s="2396"/>
      <c r="AT18" s="2396"/>
      <c r="AU18" s="2396"/>
      <c r="AV18" s="2396"/>
      <c r="AW18" s="2396"/>
      <c r="AX18" s="2396"/>
      <c r="AY18" s="2396"/>
      <c r="AZ18" s="2396"/>
    </row>
    <row r="19" spans="1:52" ht="18" customHeight="1">
      <c r="A19" s="2162"/>
      <c r="B19" s="808"/>
      <c r="C19" s="3243">
        <v>8</v>
      </c>
      <c r="D19" s="2112" t="s">
        <v>902</v>
      </c>
      <c r="E19" s="4132"/>
      <c r="F19" s="4132"/>
      <c r="G19" s="4132"/>
      <c r="H19" s="4132"/>
      <c r="I19" s="4132"/>
      <c r="J19" s="4132"/>
      <c r="K19" s="4132"/>
      <c r="L19" s="4132"/>
      <c r="M19" s="4132"/>
      <c r="N19" s="4132"/>
      <c r="O19" s="4132"/>
      <c r="P19" s="4132"/>
      <c r="Q19" s="4132"/>
      <c r="R19" s="4132"/>
      <c r="S19" s="4132"/>
      <c r="T19" s="4132"/>
      <c r="U19" s="4132"/>
      <c r="V19" s="4138"/>
      <c r="W19" s="4132"/>
      <c r="X19" s="4132"/>
      <c r="Y19" s="4132"/>
      <c r="Z19" s="4132"/>
      <c r="AA19" s="808"/>
      <c r="AB19" s="3723"/>
      <c r="AC19" s="4406"/>
      <c r="AD19" s="4407"/>
      <c r="AE19" s="4407"/>
      <c r="AF19" s="4407"/>
      <c r="AG19" s="4407"/>
      <c r="AH19" s="2162"/>
      <c r="AI19" s="808"/>
      <c r="AJ19" s="260"/>
      <c r="AK19" s="2175"/>
      <c r="AL19" s="3694" t="str">
        <f>IF(AND(UnEmploymentComp&lt;&gt;"",UnEmploymentComp&gt;0),"Check if UEC was REPAID.","")</f>
        <v/>
      </c>
      <c r="AM19" s="808"/>
      <c r="AN19" s="6705"/>
      <c r="AO19" s="808"/>
      <c r="AP19" s="2396"/>
      <c r="AQ19" s="2396"/>
      <c r="AR19" s="2396"/>
      <c r="AS19" s="2396"/>
      <c r="AT19" s="2396"/>
      <c r="AU19" s="2396"/>
      <c r="AV19" s="2396"/>
      <c r="AW19" s="2396"/>
      <c r="AX19" s="2396"/>
      <c r="AY19" s="2396"/>
      <c r="AZ19" s="2396"/>
    </row>
    <row r="20" spans="1:52" ht="18" customHeight="1">
      <c r="A20" s="2162"/>
      <c r="B20" s="808"/>
      <c r="C20" s="1895" t="s">
        <v>640</v>
      </c>
      <c r="D20" s="2112" t="s">
        <v>903</v>
      </c>
      <c r="E20" s="808"/>
      <c r="F20" s="808"/>
      <c r="G20" s="808"/>
      <c r="H20" s="808"/>
      <c r="I20" s="808"/>
      <c r="J20" s="808"/>
      <c r="K20" s="808"/>
      <c r="L20" s="808"/>
      <c r="M20" s="808"/>
      <c r="N20" s="808"/>
      <c r="O20" s="808"/>
      <c r="P20" s="808"/>
      <c r="Q20" s="808"/>
      <c r="R20" s="808"/>
      <c r="S20" s="808"/>
      <c r="T20" s="808"/>
      <c r="U20" s="1128" t="s">
        <v>898</v>
      </c>
      <c r="V20" s="4133" t="s">
        <v>904</v>
      </c>
      <c r="W20" s="5161" t="s">
        <v>905</v>
      </c>
      <c r="X20" s="6729"/>
      <c r="Y20" s="6729"/>
      <c r="Z20" s="6729"/>
      <c r="AA20" s="5162" t="s">
        <v>906</v>
      </c>
      <c r="AB20" s="3723"/>
      <c r="AC20" s="6726">
        <f>-ROUND(X20,0)</f>
        <v>0</v>
      </c>
      <c r="AD20" s="6727"/>
      <c r="AE20" s="6727"/>
      <c r="AF20" s="6727"/>
      <c r="AG20" s="6727"/>
      <c r="AH20" s="2162"/>
      <c r="AI20" s="808"/>
      <c r="AJ20" s="260"/>
      <c r="AK20" s="808"/>
      <c r="AL20" s="3694"/>
      <c r="AM20" s="808"/>
      <c r="AN20" s="6705"/>
      <c r="AO20" s="808"/>
      <c r="AP20" s="2396"/>
      <c r="AQ20" s="2396"/>
      <c r="AR20" s="2396"/>
      <c r="AS20" s="2396"/>
      <c r="AT20" s="2396"/>
      <c r="AU20" s="2396"/>
      <c r="AV20" s="2396"/>
      <c r="AW20" s="2396"/>
      <c r="AX20" s="2396"/>
      <c r="AY20" s="2396"/>
      <c r="AZ20" s="2396"/>
    </row>
    <row r="21" spans="1:52" ht="18" customHeight="1">
      <c r="A21" s="2162"/>
      <c r="B21" s="808"/>
      <c r="C21" s="1895" t="s">
        <v>644</v>
      </c>
      <c r="D21" s="2112" t="s">
        <v>907</v>
      </c>
      <c r="E21" s="808"/>
      <c r="F21" s="808"/>
      <c r="G21" s="808"/>
      <c r="H21" s="808"/>
      <c r="I21" s="808"/>
      <c r="J21" s="808"/>
      <c r="K21" s="808"/>
      <c r="L21" s="808"/>
      <c r="M21" s="808"/>
      <c r="N21" s="808"/>
      <c r="O21" s="808"/>
      <c r="P21" s="808"/>
      <c r="Q21" s="808"/>
      <c r="R21" s="808"/>
      <c r="S21" s="808"/>
      <c r="T21" s="808"/>
      <c r="U21" s="1128" t="s">
        <v>908</v>
      </c>
      <c r="V21" s="4133" t="s">
        <v>909</v>
      </c>
      <c r="W21" s="6715"/>
      <c r="X21" s="6715"/>
      <c r="Y21" s="6715"/>
      <c r="Z21" s="6715"/>
      <c r="AA21" s="6795"/>
      <c r="AB21" s="3723"/>
      <c r="AC21" s="6726">
        <f t="shared" ref="AC21:AC29" si="0">ROUND(W21,0)</f>
        <v>0</v>
      </c>
      <c r="AD21" s="6727"/>
      <c r="AE21" s="6727"/>
      <c r="AF21" s="6727"/>
      <c r="AG21" s="6727"/>
      <c r="AH21" s="2162"/>
      <c r="AI21" s="808"/>
      <c r="AJ21" s="260"/>
      <c r="AK21" s="808"/>
      <c r="AL21" s="3694"/>
      <c r="AM21" s="808"/>
      <c r="AN21" s="6705"/>
      <c r="AO21" s="808"/>
      <c r="AP21" s="2396"/>
      <c r="AQ21" s="2396"/>
      <c r="AR21" s="2396"/>
      <c r="AS21" s="2396"/>
      <c r="AT21" s="2396"/>
      <c r="AU21" s="2396"/>
      <c r="AV21" s="2396"/>
      <c r="AW21" s="2396"/>
      <c r="AX21" s="2396"/>
      <c r="AY21" s="2396"/>
      <c r="AZ21" s="2396"/>
    </row>
    <row r="22" spans="1:52" ht="18" customHeight="1">
      <c r="A22" s="2162"/>
      <c r="B22" s="808"/>
      <c r="C22" s="1895" t="s">
        <v>648</v>
      </c>
      <c r="D22" s="2112" t="s">
        <v>910</v>
      </c>
      <c r="E22" s="808"/>
      <c r="F22" s="808"/>
      <c r="G22" s="808"/>
      <c r="H22" s="808"/>
      <c r="I22" s="808"/>
      <c r="J22" s="808"/>
      <c r="K22" s="808"/>
      <c r="L22" s="808"/>
      <c r="M22" s="808"/>
      <c r="N22" s="808"/>
      <c r="O22" s="808"/>
      <c r="P22" s="808"/>
      <c r="Q22" s="808"/>
      <c r="R22" s="808"/>
      <c r="S22" s="808"/>
      <c r="T22" s="808"/>
      <c r="U22" s="1128" t="s">
        <v>911</v>
      </c>
      <c r="V22" s="4133" t="s">
        <v>912</v>
      </c>
      <c r="W22" s="6715"/>
      <c r="X22" s="6715"/>
      <c r="Y22" s="6715"/>
      <c r="Z22" s="6715"/>
      <c r="AA22" s="6795"/>
      <c r="AB22" s="3723"/>
      <c r="AC22" s="6726">
        <f t="shared" si="0"/>
        <v>0</v>
      </c>
      <c r="AD22" s="6727"/>
      <c r="AE22" s="6727"/>
      <c r="AF22" s="6727"/>
      <c r="AG22" s="6727"/>
      <c r="AH22" s="2162"/>
      <c r="AI22" s="808"/>
      <c r="AJ22" s="260"/>
      <c r="AK22" s="808"/>
      <c r="AL22" s="3694"/>
      <c r="AM22" s="808"/>
      <c r="AN22" s="6705"/>
      <c r="AO22" s="808"/>
      <c r="AP22" s="2396"/>
      <c r="AQ22" s="2396"/>
      <c r="AR22" s="2396"/>
      <c r="AS22" s="2396"/>
      <c r="AT22" s="2396"/>
      <c r="AU22" s="2396"/>
      <c r="AV22" s="2396"/>
      <c r="AW22" s="2396"/>
      <c r="AX22" s="2396"/>
      <c r="AY22" s="2396"/>
      <c r="AZ22" s="2396"/>
    </row>
    <row r="23" spans="1:52" ht="18" customHeight="1">
      <c r="A23" s="2162"/>
      <c r="B23" s="808"/>
      <c r="C23" s="1895" t="s">
        <v>652</v>
      </c>
      <c r="D23" s="2112" t="s">
        <v>913</v>
      </c>
      <c r="E23" s="808"/>
      <c r="F23" s="808"/>
      <c r="G23" s="808"/>
      <c r="H23" s="808"/>
      <c r="I23" s="808"/>
      <c r="J23" s="808"/>
      <c r="K23" s="808"/>
      <c r="L23" s="808"/>
      <c r="M23" s="808"/>
      <c r="N23" s="808"/>
      <c r="O23" s="808"/>
      <c r="P23" s="808"/>
      <c r="Q23" s="808"/>
      <c r="R23" s="808"/>
      <c r="S23" s="808"/>
      <c r="T23" s="808"/>
      <c r="U23" s="1128" t="s">
        <v>914</v>
      </c>
      <c r="V23" s="4133" t="s">
        <v>915</v>
      </c>
      <c r="W23" s="5161" t="s">
        <v>905</v>
      </c>
      <c r="X23" s="6817">
        <f>IF(AND(AJ23&lt;&gt;"",AJ23&lt;0),-ROUND(AJ23,0),IF(AJ23&lt;&gt;"",ROUND(AJ23,0),F2555_Line45_Total))</f>
        <v>0</v>
      </c>
      <c r="Y23" s="6817"/>
      <c r="Z23" s="6817"/>
      <c r="AA23" s="5162" t="s">
        <v>906</v>
      </c>
      <c r="AB23" s="3723"/>
      <c r="AC23" s="6726">
        <f>-ROUND(X23,0)</f>
        <v>0</v>
      </c>
      <c r="AD23" s="6727"/>
      <c r="AE23" s="6727"/>
      <c r="AF23" s="6727"/>
      <c r="AG23" s="6727"/>
      <c r="AH23" s="2162"/>
      <c r="AI23" s="3166" t="b">
        <f>OR(ForeignIncExclusionYou&gt;FEI_Exclusion_Limit,ForeignIncExclusionSpouse&gt;FEI_Exclusion_Limit,AND(File_Marr_Joint&lt;&gt;"",X23&gt;2*FEI_Exclusion_Limit),AND(File_Marr_Joint="",X23&gt;FEI_Exclusion_Limit))</f>
        <v>0</v>
      </c>
      <c r="AJ23" s="2266"/>
      <c r="AK23" s="808"/>
      <c r="AL23" s="4801" t="str">
        <f>IF(X23&gt;0,"Note: For "&amp;TaxYear&amp;", the total maximum","")</f>
        <v/>
      </c>
      <c r="AM23" s="808"/>
      <c r="AN23" s="6705"/>
      <c r="AO23" s="808"/>
      <c r="AP23" s="2396"/>
      <c r="AQ23" s="2396"/>
      <c r="AR23" s="2396"/>
      <c r="AS23" s="2396"/>
      <c r="AT23" s="2396"/>
      <c r="AU23" s="2396"/>
      <c r="AV23" s="2396"/>
      <c r="AW23" s="2396"/>
      <c r="AX23" s="2396"/>
      <c r="AY23" s="2396"/>
      <c r="AZ23" s="2396"/>
    </row>
    <row r="24" spans="1:52" ht="18" customHeight="1">
      <c r="A24" s="2162"/>
      <c r="B24" s="808"/>
      <c r="C24" s="1895" t="s">
        <v>656</v>
      </c>
      <c r="D24" s="2112" t="s">
        <v>916</v>
      </c>
      <c r="E24" s="808"/>
      <c r="F24" s="808"/>
      <c r="G24" s="808"/>
      <c r="H24" s="808"/>
      <c r="I24" s="808"/>
      <c r="J24" s="808"/>
      <c r="K24" s="808"/>
      <c r="L24" s="808"/>
      <c r="M24" s="808"/>
      <c r="N24" s="808"/>
      <c r="O24" s="808"/>
      <c r="P24" s="808"/>
      <c r="Q24" s="808"/>
      <c r="R24" s="808"/>
      <c r="S24" s="808"/>
      <c r="T24" s="808"/>
      <c r="U24" s="1128" t="s">
        <v>917</v>
      </c>
      <c r="V24" s="4133" t="s">
        <v>918</v>
      </c>
      <c r="W24" s="6715"/>
      <c r="X24" s="6715"/>
      <c r="Y24" s="6715"/>
      <c r="Z24" s="6715"/>
      <c r="AA24" s="6795"/>
      <c r="AB24" s="3723"/>
      <c r="AC24" s="6726">
        <f t="shared" si="0"/>
        <v>0</v>
      </c>
      <c r="AD24" s="6727"/>
      <c r="AE24" s="6727"/>
      <c r="AF24" s="6727"/>
      <c r="AG24" s="6727"/>
      <c r="AH24" s="2162"/>
      <c r="AI24" s="808"/>
      <c r="AJ24" s="260"/>
      <c r="AK24" s="808"/>
      <c r="AL24" s="4800" t="str">
        <f>IF(X23&gt;0,"FEI exclusion is "&amp;TEXT(FEI_Exclusion_Limit,"$0,000")&amp;" per taxpayer.","")</f>
        <v/>
      </c>
      <c r="AM24" s="808"/>
      <c r="AN24" s="6705"/>
      <c r="AO24" s="808"/>
      <c r="AP24" s="2396"/>
      <c r="AQ24" s="2396"/>
      <c r="AR24" s="2396"/>
      <c r="AS24" s="2396"/>
      <c r="AT24" s="2396"/>
      <c r="AU24" s="2396"/>
      <c r="AV24" s="2396"/>
      <c r="AW24" s="2396"/>
      <c r="AX24" s="2396"/>
      <c r="AY24" s="2396"/>
      <c r="AZ24" s="2396"/>
    </row>
    <row r="25" spans="1:52" ht="18" customHeight="1">
      <c r="A25" s="2162"/>
      <c r="B25" s="808"/>
      <c r="C25" s="1895" t="s">
        <v>659</v>
      </c>
      <c r="D25" s="2112" t="s">
        <v>919</v>
      </c>
      <c r="E25" s="808"/>
      <c r="F25" s="808"/>
      <c r="G25" s="808"/>
      <c r="H25" s="808"/>
      <c r="I25" s="808"/>
      <c r="J25" s="808"/>
      <c r="K25" s="808"/>
      <c r="L25" s="808"/>
      <c r="M25" s="808"/>
      <c r="N25" s="808"/>
      <c r="O25" s="808"/>
      <c r="P25" s="808"/>
      <c r="Q25" s="808"/>
      <c r="R25" s="808"/>
      <c r="S25" s="808"/>
      <c r="T25" s="808"/>
      <c r="U25" s="1128" t="s">
        <v>917</v>
      </c>
      <c r="V25" s="4133" t="s">
        <v>920</v>
      </c>
      <c r="W25" s="6809">
        <f>IF(AJ25&lt;&gt;"",ROUND(AJ25,0),SUM(F8889_Line16,F8889_Line20))</f>
        <v>0</v>
      </c>
      <c r="X25" s="6809"/>
      <c r="Y25" s="6809"/>
      <c r="Z25" s="6809"/>
      <c r="AA25" s="6810"/>
      <c r="AB25" s="3723"/>
      <c r="AC25" s="6726">
        <f t="shared" si="0"/>
        <v>0</v>
      </c>
      <c r="AD25" s="6727"/>
      <c r="AE25" s="6727"/>
      <c r="AF25" s="6727"/>
      <c r="AG25" s="6727"/>
      <c r="AH25" s="2162"/>
      <c r="AI25" s="808"/>
      <c r="AJ25" s="2266"/>
      <c r="AK25" s="808"/>
      <c r="AL25" s="3694"/>
      <c r="AM25" s="808"/>
      <c r="AN25" s="6705"/>
      <c r="AO25" s="808"/>
      <c r="AP25" s="2396"/>
      <c r="AQ25" s="2396"/>
      <c r="AR25" s="2396"/>
      <c r="AS25" s="2396"/>
      <c r="AT25" s="2396"/>
      <c r="AU25" s="2396"/>
      <c r="AV25" s="2396"/>
      <c r="AW25" s="2396"/>
      <c r="AX25" s="2396"/>
      <c r="AY25" s="2396"/>
      <c r="AZ25" s="2396"/>
    </row>
    <row r="26" spans="1:52" ht="18" customHeight="1">
      <c r="A26" s="2162"/>
      <c r="B26" s="808"/>
      <c r="C26" s="1895" t="s">
        <v>663</v>
      </c>
      <c r="D26" s="2112" t="s">
        <v>921</v>
      </c>
      <c r="E26" s="808"/>
      <c r="F26" s="808"/>
      <c r="G26" s="808"/>
      <c r="H26" s="808"/>
      <c r="I26" s="808"/>
      <c r="J26" s="808"/>
      <c r="K26" s="808"/>
      <c r="L26" s="808"/>
      <c r="M26" s="808"/>
      <c r="N26" s="808"/>
      <c r="O26" s="808"/>
      <c r="P26" s="808"/>
      <c r="Q26" s="808"/>
      <c r="R26" s="808"/>
      <c r="S26" s="808"/>
      <c r="T26" s="808"/>
      <c r="U26" s="1128" t="s">
        <v>922</v>
      </c>
      <c r="V26" s="4133" t="s">
        <v>923</v>
      </c>
      <c r="W26" s="6715"/>
      <c r="X26" s="6715"/>
      <c r="Y26" s="6715"/>
      <c r="Z26" s="6715"/>
      <c r="AA26" s="6795"/>
      <c r="AB26" s="3723"/>
      <c r="AC26" s="6726">
        <f t="shared" si="0"/>
        <v>0</v>
      </c>
      <c r="AD26" s="6727"/>
      <c r="AE26" s="6727"/>
      <c r="AF26" s="6727"/>
      <c r="AG26" s="6727"/>
      <c r="AH26" s="2162"/>
      <c r="AI26" s="808"/>
      <c r="AJ26" s="260"/>
      <c r="AK26" s="808"/>
      <c r="AL26" s="3694"/>
      <c r="AM26" s="808"/>
      <c r="AN26" s="6705"/>
      <c r="AO26" s="808"/>
      <c r="AP26" s="2396"/>
      <c r="AQ26" s="2396"/>
      <c r="AR26" s="2396"/>
      <c r="AS26" s="2396"/>
      <c r="AT26" s="2396"/>
      <c r="AU26" s="2396"/>
      <c r="AV26" s="2396"/>
      <c r="AW26" s="2396"/>
      <c r="AX26" s="2396"/>
      <c r="AY26" s="2396"/>
      <c r="AZ26" s="2396"/>
    </row>
    <row r="27" spans="1:52" ht="18" customHeight="1">
      <c r="A27" s="2162"/>
      <c r="B27" s="808"/>
      <c r="C27" s="1895" t="s">
        <v>668</v>
      </c>
      <c r="D27" s="2112" t="s">
        <v>924</v>
      </c>
      <c r="E27" s="808"/>
      <c r="F27" s="808"/>
      <c r="G27" s="808"/>
      <c r="H27" s="808"/>
      <c r="I27" s="808"/>
      <c r="J27" s="808"/>
      <c r="K27" s="808"/>
      <c r="L27" s="808"/>
      <c r="M27" s="808"/>
      <c r="N27" s="808"/>
      <c r="O27" s="808"/>
      <c r="P27" s="808"/>
      <c r="Q27" s="808"/>
      <c r="R27" s="808"/>
      <c r="S27" s="808"/>
      <c r="T27" s="808"/>
      <c r="U27" s="1128" t="s">
        <v>898</v>
      </c>
      <c r="V27" s="4133" t="s">
        <v>925</v>
      </c>
      <c r="W27" s="6715"/>
      <c r="X27" s="6715"/>
      <c r="Y27" s="6715"/>
      <c r="Z27" s="6715"/>
      <c r="AA27" s="6795"/>
      <c r="AB27" s="3723"/>
      <c r="AC27" s="6726">
        <f t="shared" si="0"/>
        <v>0</v>
      </c>
      <c r="AD27" s="6727"/>
      <c r="AE27" s="6727"/>
      <c r="AF27" s="6727"/>
      <c r="AG27" s="6727"/>
      <c r="AH27" s="2162"/>
      <c r="AI27" s="808"/>
      <c r="AJ27" s="260"/>
      <c r="AK27" s="808"/>
      <c r="AL27" s="3694"/>
      <c r="AM27" s="808"/>
      <c r="AN27" s="6705"/>
      <c r="AO27" s="808"/>
      <c r="AP27" s="2396"/>
      <c r="AQ27" s="2396"/>
      <c r="AR27" s="2396"/>
      <c r="AS27" s="2396"/>
      <c r="AT27" s="2396"/>
      <c r="AU27" s="2396"/>
      <c r="AV27" s="2396"/>
      <c r="AW27" s="2396"/>
      <c r="AX27" s="2396"/>
      <c r="AY27" s="2396"/>
      <c r="AZ27" s="2396"/>
    </row>
    <row r="28" spans="1:52" ht="18" customHeight="1">
      <c r="A28" s="2162"/>
      <c r="B28" s="808"/>
      <c r="C28" s="1895" t="s">
        <v>672</v>
      </c>
      <c r="D28" s="2112" t="s">
        <v>926</v>
      </c>
      <c r="E28" s="808"/>
      <c r="F28" s="808"/>
      <c r="G28" s="808"/>
      <c r="H28" s="808"/>
      <c r="I28" s="808"/>
      <c r="J28" s="808"/>
      <c r="K28" s="808"/>
      <c r="L28" s="808"/>
      <c r="M28" s="808"/>
      <c r="N28" s="808"/>
      <c r="O28" s="808"/>
      <c r="P28" s="808"/>
      <c r="Q28" s="808"/>
      <c r="R28" s="808"/>
      <c r="S28" s="808"/>
      <c r="T28" s="808"/>
      <c r="U28" s="1128" t="s">
        <v>898</v>
      </c>
      <c r="V28" s="4133" t="s">
        <v>927</v>
      </c>
      <c r="W28" s="6715"/>
      <c r="X28" s="6715"/>
      <c r="Y28" s="6715"/>
      <c r="Z28" s="6715"/>
      <c r="AA28" s="6795"/>
      <c r="AB28" s="3723"/>
      <c r="AC28" s="6726">
        <f t="shared" si="0"/>
        <v>0</v>
      </c>
      <c r="AD28" s="6727"/>
      <c r="AE28" s="6727"/>
      <c r="AF28" s="6727"/>
      <c r="AG28" s="6727"/>
      <c r="AH28" s="2162"/>
      <c r="AI28" s="808"/>
      <c r="AJ28" s="260"/>
      <c r="AK28" s="808"/>
      <c r="AL28" s="3694"/>
      <c r="AM28" s="808"/>
      <c r="AN28" s="6705"/>
      <c r="AO28" s="808"/>
      <c r="AP28" s="2396"/>
      <c r="AQ28" s="2396"/>
      <c r="AR28" s="2396"/>
      <c r="AS28" s="2396"/>
      <c r="AT28" s="2396"/>
      <c r="AU28" s="2396"/>
      <c r="AV28" s="2396"/>
      <c r="AW28" s="2396"/>
      <c r="AX28" s="2396"/>
      <c r="AY28" s="2396"/>
      <c r="AZ28" s="2396"/>
    </row>
    <row r="29" spans="1:52" ht="18" customHeight="1">
      <c r="A29" s="2162"/>
      <c r="B29" s="808"/>
      <c r="C29" s="1895" t="s">
        <v>928</v>
      </c>
      <c r="D29" s="2112" t="s">
        <v>929</v>
      </c>
      <c r="E29" s="808"/>
      <c r="F29" s="808"/>
      <c r="G29" s="808"/>
      <c r="H29" s="808"/>
      <c r="I29" s="808"/>
      <c r="J29" s="808"/>
      <c r="K29" s="808"/>
      <c r="L29" s="808"/>
      <c r="M29" s="808"/>
      <c r="N29" s="808"/>
      <c r="O29" s="808"/>
      <c r="P29" s="808"/>
      <c r="Q29" s="808"/>
      <c r="R29" s="808"/>
      <c r="S29" s="808"/>
      <c r="T29" s="808"/>
      <c r="U29" s="1128" t="s">
        <v>930</v>
      </c>
      <c r="V29" s="4133" t="s">
        <v>931</v>
      </c>
      <c r="W29" s="6715"/>
      <c r="X29" s="6715"/>
      <c r="Y29" s="6715"/>
      <c r="Z29" s="6715"/>
      <c r="AA29" s="6795"/>
      <c r="AB29" s="3723"/>
      <c r="AC29" s="6726">
        <f t="shared" si="0"/>
        <v>0</v>
      </c>
      <c r="AD29" s="6727"/>
      <c r="AE29" s="6727"/>
      <c r="AF29" s="6727"/>
      <c r="AG29" s="6727"/>
      <c r="AH29" s="2162"/>
      <c r="AI29" s="808"/>
      <c r="AJ29" s="260"/>
      <c r="AK29" s="808"/>
      <c r="AL29" s="3694"/>
      <c r="AM29" s="808"/>
      <c r="AN29" s="6705"/>
      <c r="AO29" s="808"/>
      <c r="AP29" s="2396"/>
      <c r="AQ29" s="2396"/>
      <c r="AR29" s="2396"/>
      <c r="AS29" s="2396"/>
      <c r="AT29" s="2396"/>
      <c r="AU29" s="2396"/>
      <c r="AV29" s="2396"/>
      <c r="AW29" s="2396"/>
      <c r="AX29" s="2396"/>
      <c r="AY29" s="2396"/>
      <c r="AZ29" s="2396"/>
    </row>
    <row r="30" spans="1:52" ht="18" customHeight="1">
      <c r="A30" s="2162"/>
      <c r="B30" s="808"/>
      <c r="C30" s="1895" t="s">
        <v>932</v>
      </c>
      <c r="D30" s="2112" t="s">
        <v>933</v>
      </c>
      <c r="E30" s="808"/>
      <c r="F30" s="808"/>
      <c r="G30" s="808"/>
      <c r="H30" s="808"/>
      <c r="I30" s="808"/>
      <c r="J30" s="808"/>
      <c r="K30" s="808"/>
      <c r="L30" s="808"/>
      <c r="M30" s="808"/>
      <c r="N30" s="808"/>
      <c r="O30" s="808"/>
      <c r="P30" s="808"/>
      <c r="Q30" s="808"/>
      <c r="R30" s="808"/>
      <c r="S30" s="808"/>
      <c r="T30" s="808"/>
      <c r="U30" s="1128" t="s">
        <v>934</v>
      </c>
      <c r="V30" s="4133" t="s">
        <v>935</v>
      </c>
      <c r="W30" s="6714"/>
      <c r="X30" s="6715"/>
      <c r="Y30" s="6715"/>
      <c r="Z30" s="6715"/>
      <c r="AA30" s="6795"/>
      <c r="AB30" s="3723"/>
      <c r="AC30" s="6726">
        <f>ROUND(W30,0)</f>
        <v>0</v>
      </c>
      <c r="AD30" s="6727"/>
      <c r="AE30" s="6727"/>
      <c r="AF30" s="6727"/>
      <c r="AG30" s="6727"/>
      <c r="AH30" s="2162"/>
      <c r="AI30" s="808"/>
      <c r="AJ30" s="260"/>
      <c r="AK30" s="808"/>
      <c r="AL30" s="3694"/>
      <c r="AM30" s="808"/>
      <c r="AN30" s="4898"/>
      <c r="AO30" s="808"/>
      <c r="AP30" s="2396"/>
      <c r="AQ30" s="2396"/>
      <c r="AR30" s="2396"/>
      <c r="AS30" s="2396"/>
      <c r="AT30" s="2396"/>
      <c r="AU30" s="2396"/>
      <c r="AV30" s="2396"/>
      <c r="AW30" s="2396"/>
      <c r="AX30" s="2396"/>
      <c r="AY30" s="2396"/>
      <c r="AZ30" s="2396"/>
    </row>
    <row r="31" spans="1:52" ht="18" customHeight="1">
      <c r="A31" s="2162"/>
      <c r="B31" s="808"/>
      <c r="C31" s="1895" t="s">
        <v>936</v>
      </c>
      <c r="D31" s="892" t="s">
        <v>937</v>
      </c>
      <c r="E31" s="808"/>
      <c r="F31" s="808"/>
      <c r="G31" s="808"/>
      <c r="H31" s="808"/>
      <c r="I31" s="808"/>
      <c r="J31" s="808"/>
      <c r="K31" s="808"/>
      <c r="L31" s="808"/>
      <c r="M31" s="808"/>
      <c r="N31" s="808"/>
      <c r="O31" s="808"/>
      <c r="P31" s="808"/>
      <c r="Q31" s="808"/>
      <c r="R31" s="808"/>
      <c r="S31" s="808"/>
      <c r="T31" s="808"/>
      <c r="U31" s="808"/>
      <c r="V31" s="4135"/>
      <c r="W31" s="6792"/>
      <c r="X31" s="6793"/>
      <c r="Y31" s="6793"/>
      <c r="Z31" s="6793"/>
      <c r="AA31" s="6794"/>
      <c r="AB31" s="3723"/>
      <c r="AC31" s="4375"/>
      <c r="AD31" s="4408"/>
      <c r="AE31" s="4408"/>
      <c r="AF31" s="4408"/>
      <c r="AG31" s="4408"/>
      <c r="AH31" s="2162"/>
      <c r="AI31" s="808"/>
      <c r="AJ31" s="260"/>
      <c r="AK31" s="808"/>
      <c r="AL31" s="3694"/>
      <c r="AM31" s="808"/>
      <c r="AN31" s="4898"/>
      <c r="AO31" s="808"/>
      <c r="AP31" s="2396"/>
      <c r="AQ31" s="2396"/>
      <c r="AR31" s="2396"/>
      <c r="AS31" s="2396"/>
      <c r="AT31" s="2396"/>
      <c r="AU31" s="2396"/>
      <c r="AV31" s="2396"/>
      <c r="AW31" s="2396"/>
      <c r="AX31" s="2396"/>
      <c r="AY31" s="2396"/>
      <c r="AZ31" s="2396"/>
    </row>
    <row r="32" spans="1:52" ht="18" customHeight="1">
      <c r="A32" s="2162"/>
      <c r="B32" s="808"/>
      <c r="C32" s="1895"/>
      <c r="D32" s="2112" t="s">
        <v>938</v>
      </c>
      <c r="E32" s="808"/>
      <c r="F32" s="808"/>
      <c r="G32" s="808"/>
      <c r="H32" s="808"/>
      <c r="I32" s="808"/>
      <c r="J32" s="808"/>
      <c r="K32" s="808"/>
      <c r="L32" s="808"/>
      <c r="M32" s="808"/>
      <c r="N32" s="808"/>
      <c r="O32" s="808"/>
      <c r="P32" s="808"/>
      <c r="Q32" s="808"/>
      <c r="R32" s="808"/>
      <c r="S32" s="808"/>
      <c r="T32" s="808"/>
      <c r="U32" s="1128" t="s">
        <v>939</v>
      </c>
      <c r="V32" s="4133" t="s">
        <v>940</v>
      </c>
      <c r="W32" s="6714"/>
      <c r="X32" s="6715"/>
      <c r="Y32" s="6715"/>
      <c r="Z32" s="6715"/>
      <c r="AA32" s="6795"/>
      <c r="AB32" s="3723"/>
      <c r="AC32" s="6726">
        <f t="shared" ref="AC32:AC39" si="1">ROUND(W32,0)</f>
        <v>0</v>
      </c>
      <c r="AD32" s="6727"/>
      <c r="AE32" s="6727"/>
      <c r="AF32" s="6727"/>
      <c r="AG32" s="6727"/>
      <c r="AH32" s="2162"/>
      <c r="AI32" s="808"/>
      <c r="AJ32" s="260"/>
      <c r="AK32" s="808"/>
      <c r="AL32" s="3694"/>
      <c r="AM32" s="808"/>
      <c r="AN32" s="4898"/>
      <c r="AO32" s="808"/>
      <c r="AP32" s="2396"/>
      <c r="AQ32" s="2396"/>
      <c r="AR32" s="2396"/>
      <c r="AS32" s="2396"/>
      <c r="AT32" s="2396"/>
      <c r="AU32" s="2396"/>
      <c r="AV32" s="2396"/>
      <c r="AW32" s="2396"/>
      <c r="AX32" s="2396"/>
      <c r="AY32" s="2396"/>
      <c r="AZ32" s="2396"/>
    </row>
    <row r="33" spans="1:52" ht="18" customHeight="1">
      <c r="A33" s="2162"/>
      <c r="B33" s="808"/>
      <c r="C33" s="1895" t="s">
        <v>941</v>
      </c>
      <c r="D33" s="2112" t="s">
        <v>942</v>
      </c>
      <c r="E33" s="808"/>
      <c r="F33" s="808"/>
      <c r="G33" s="808"/>
      <c r="H33" s="808"/>
      <c r="I33" s="808"/>
      <c r="J33" s="808"/>
      <c r="K33" s="808"/>
      <c r="L33" s="808"/>
      <c r="M33" s="808"/>
      <c r="N33" s="808"/>
      <c r="O33" s="808"/>
      <c r="P33" s="808"/>
      <c r="Q33" s="808"/>
      <c r="R33" s="808"/>
      <c r="S33" s="808"/>
      <c r="T33" s="808"/>
      <c r="U33" s="808"/>
      <c r="V33" s="4135"/>
      <c r="W33" s="6792"/>
      <c r="X33" s="6793"/>
      <c r="Y33" s="6793"/>
      <c r="Z33" s="6793"/>
      <c r="AA33" s="6794"/>
      <c r="AB33" s="3723"/>
      <c r="AC33" s="4375"/>
      <c r="AD33" s="4408"/>
      <c r="AE33" s="4408"/>
      <c r="AF33" s="4408"/>
      <c r="AG33" s="4408"/>
      <c r="AH33" s="2162"/>
      <c r="AI33" s="808"/>
      <c r="AJ33" s="260"/>
      <c r="AK33" s="808"/>
      <c r="AL33" s="3694"/>
      <c r="AM33" s="808"/>
      <c r="AN33" s="4898"/>
      <c r="AO33" s="808"/>
      <c r="AP33" s="2396"/>
      <c r="AQ33" s="2396"/>
      <c r="AR33" s="2396"/>
      <c r="AS33" s="2396"/>
      <c r="AT33" s="2396"/>
      <c r="AU33" s="2396"/>
      <c r="AV33" s="2396"/>
      <c r="AW33" s="2396"/>
      <c r="AX33" s="2396"/>
      <c r="AY33" s="2396"/>
      <c r="AZ33" s="2396"/>
    </row>
    <row r="34" spans="1:52" ht="18" customHeight="1">
      <c r="A34" s="2162"/>
      <c r="B34" s="808"/>
      <c r="C34" s="1895"/>
      <c r="D34" s="2112" t="s">
        <v>943</v>
      </c>
      <c r="E34" s="808"/>
      <c r="F34" s="808"/>
      <c r="G34" s="808"/>
      <c r="H34" s="808"/>
      <c r="I34" s="808"/>
      <c r="J34" s="808"/>
      <c r="K34" s="808"/>
      <c r="L34" s="808"/>
      <c r="M34" s="808"/>
      <c r="N34" s="808"/>
      <c r="O34" s="808"/>
      <c r="P34" s="808"/>
      <c r="Q34" s="808"/>
      <c r="R34" s="808"/>
      <c r="S34" s="808"/>
      <c r="T34" s="808"/>
      <c r="U34" s="1128" t="s">
        <v>988</v>
      </c>
      <c r="V34" s="4133" t="s">
        <v>944</v>
      </c>
      <c r="W34" s="6715"/>
      <c r="X34" s="6715"/>
      <c r="Y34" s="6715"/>
      <c r="Z34" s="6715"/>
      <c r="AA34" s="6795"/>
      <c r="AB34" s="3723"/>
      <c r="AC34" s="6726">
        <f t="shared" si="1"/>
        <v>0</v>
      </c>
      <c r="AD34" s="6727"/>
      <c r="AE34" s="6727"/>
      <c r="AF34" s="6727"/>
      <c r="AG34" s="6727"/>
      <c r="AH34" s="2162"/>
      <c r="AI34" s="808"/>
      <c r="AJ34" s="260"/>
      <c r="AK34" s="808"/>
      <c r="AL34" s="3694"/>
      <c r="AM34" s="808"/>
      <c r="AN34" s="4898"/>
      <c r="AO34" s="808"/>
      <c r="AP34" s="2396"/>
      <c r="AQ34" s="2396"/>
      <c r="AR34" s="2396"/>
      <c r="AS34" s="2396"/>
      <c r="AT34" s="2396"/>
      <c r="AU34" s="2396"/>
      <c r="AV34" s="2396"/>
      <c r="AW34" s="2396"/>
      <c r="AX34" s="2396"/>
      <c r="AY34" s="2396"/>
      <c r="AZ34" s="2396"/>
    </row>
    <row r="35" spans="1:52" ht="18" customHeight="1">
      <c r="A35" s="2162"/>
      <c r="B35" s="808"/>
      <c r="C35" s="1895" t="s">
        <v>945</v>
      </c>
      <c r="D35" s="2112" t="s">
        <v>946</v>
      </c>
      <c r="E35" s="808"/>
      <c r="F35" s="808"/>
      <c r="G35" s="808"/>
      <c r="H35" s="808"/>
      <c r="I35" s="808"/>
      <c r="J35" s="808"/>
      <c r="K35" s="808"/>
      <c r="L35" s="808"/>
      <c r="M35" s="808"/>
      <c r="N35" s="808"/>
      <c r="O35" s="808"/>
      <c r="P35" s="808"/>
      <c r="Q35" s="808"/>
      <c r="R35" s="808"/>
      <c r="S35" s="808"/>
      <c r="T35" s="808"/>
      <c r="U35" s="1128" t="s">
        <v>990</v>
      </c>
      <c r="V35" s="4133" t="s">
        <v>947</v>
      </c>
      <c r="W35" s="6715"/>
      <c r="X35" s="6715"/>
      <c r="Y35" s="6715"/>
      <c r="Z35" s="6715"/>
      <c r="AA35" s="6795"/>
      <c r="AB35" s="3723"/>
      <c r="AC35" s="6726">
        <f t="shared" si="1"/>
        <v>0</v>
      </c>
      <c r="AD35" s="6727"/>
      <c r="AE35" s="6727"/>
      <c r="AF35" s="6727"/>
      <c r="AG35" s="6727"/>
      <c r="AH35" s="2162"/>
      <c r="AI35" s="808"/>
      <c r="AJ35" s="260"/>
      <c r="AK35" s="808"/>
      <c r="AL35" s="3694"/>
      <c r="AM35" s="808"/>
      <c r="AN35" s="4419"/>
      <c r="AO35" s="808"/>
      <c r="AP35" s="2396"/>
      <c r="AQ35" s="2396"/>
      <c r="AR35" s="2396"/>
      <c r="AS35" s="2396"/>
      <c r="AT35" s="2396"/>
      <c r="AU35" s="2396"/>
      <c r="AV35" s="2396"/>
      <c r="AW35" s="2396"/>
      <c r="AX35" s="2396"/>
      <c r="AY35" s="2396"/>
      <c r="AZ35" s="2396"/>
    </row>
    <row r="36" spans="1:52" ht="18" customHeight="1">
      <c r="A36" s="2162"/>
      <c r="B36" s="808"/>
      <c r="C36" s="1895" t="s">
        <v>948</v>
      </c>
      <c r="D36" s="2112" t="s">
        <v>949</v>
      </c>
      <c r="E36" s="808"/>
      <c r="F36" s="808"/>
      <c r="G36" s="808"/>
      <c r="H36" s="808"/>
      <c r="I36" s="808"/>
      <c r="J36" s="808"/>
      <c r="K36" s="808"/>
      <c r="L36" s="808"/>
      <c r="M36" s="808"/>
      <c r="N36" s="808"/>
      <c r="O36" s="808"/>
      <c r="P36" s="808"/>
      <c r="Q36" s="808"/>
      <c r="R36" s="808"/>
      <c r="S36" s="808"/>
      <c r="T36" s="808"/>
      <c r="U36" s="1128" t="s">
        <v>888</v>
      </c>
      <c r="V36" s="4133" t="s">
        <v>951</v>
      </c>
      <c r="W36" s="6715"/>
      <c r="X36" s="6715"/>
      <c r="Y36" s="6715"/>
      <c r="Z36" s="6715"/>
      <c r="AA36" s="6795"/>
      <c r="AB36" s="3723"/>
      <c r="AC36" s="6726">
        <f t="shared" si="1"/>
        <v>0</v>
      </c>
      <c r="AD36" s="6727"/>
      <c r="AE36" s="6727"/>
      <c r="AF36" s="6727"/>
      <c r="AG36" s="6727"/>
      <c r="AH36" s="2162"/>
      <c r="AI36" s="808"/>
      <c r="AJ36" s="260"/>
      <c r="AK36" s="808"/>
      <c r="AL36" s="3694"/>
      <c r="AM36" s="808"/>
      <c r="AN36" s="4419"/>
      <c r="AO36" s="808"/>
      <c r="AP36" s="2396"/>
      <c r="AQ36" s="2396"/>
      <c r="AR36" s="2396"/>
      <c r="AS36" s="2396"/>
      <c r="AT36" s="2396"/>
      <c r="AU36" s="2396"/>
      <c r="AV36" s="2396"/>
      <c r="AW36" s="2396"/>
      <c r="AX36" s="2396"/>
      <c r="AY36" s="2396"/>
      <c r="AZ36" s="2396"/>
    </row>
    <row r="37" spans="1:52" ht="18" customHeight="1">
      <c r="A37" s="2162"/>
      <c r="B37" s="808"/>
      <c r="C37" s="1895" t="s">
        <v>952</v>
      </c>
      <c r="D37" s="2112" t="s">
        <v>953</v>
      </c>
      <c r="E37" s="808"/>
      <c r="F37" s="808"/>
      <c r="G37" s="808"/>
      <c r="H37" s="808"/>
      <c r="I37" s="808"/>
      <c r="J37" s="808"/>
      <c r="K37" s="808"/>
      <c r="L37" s="808"/>
      <c r="M37" s="808"/>
      <c r="N37" s="808"/>
      <c r="O37" s="808"/>
      <c r="P37" s="808"/>
      <c r="Q37" s="808"/>
      <c r="R37" s="808"/>
      <c r="S37" s="808"/>
      <c r="T37" s="808"/>
      <c r="U37" s="1128" t="s">
        <v>950</v>
      </c>
      <c r="V37" s="4133" t="s">
        <v>954</v>
      </c>
      <c r="W37" s="6715"/>
      <c r="X37" s="6715"/>
      <c r="Y37" s="6715"/>
      <c r="Z37" s="6715"/>
      <c r="AA37" s="6795"/>
      <c r="AB37" s="3723"/>
      <c r="AC37" s="6726">
        <f t="shared" si="1"/>
        <v>0</v>
      </c>
      <c r="AD37" s="6727"/>
      <c r="AE37" s="6727"/>
      <c r="AF37" s="6727"/>
      <c r="AG37" s="6727"/>
      <c r="AH37" s="2162"/>
      <c r="AI37" s="808"/>
      <c r="AJ37" s="260"/>
      <c r="AK37" s="808"/>
      <c r="AL37" s="3694"/>
      <c r="AM37" s="808"/>
      <c r="AN37" s="4419"/>
      <c r="AO37" s="808"/>
      <c r="AP37" s="2396"/>
      <c r="AQ37" s="2396"/>
      <c r="AR37" s="2396"/>
      <c r="AS37" s="2396"/>
      <c r="AT37" s="2396"/>
      <c r="AU37" s="2396"/>
      <c r="AV37" s="2396"/>
      <c r="AW37" s="2396"/>
      <c r="AX37" s="2396"/>
      <c r="AY37" s="2396"/>
      <c r="AZ37" s="2396"/>
    </row>
    <row r="38" spans="1:52" ht="18" customHeight="1">
      <c r="A38" s="2162"/>
      <c r="B38" s="808"/>
      <c r="C38" s="1895" t="s">
        <v>955</v>
      </c>
      <c r="D38" s="2112" t="s">
        <v>956</v>
      </c>
      <c r="E38" s="808"/>
      <c r="F38" s="808"/>
      <c r="G38" s="808"/>
      <c r="H38" s="808"/>
      <c r="I38" s="808"/>
      <c r="J38" s="808"/>
      <c r="K38" s="808"/>
      <c r="L38" s="808"/>
      <c r="M38" s="808"/>
      <c r="N38" s="808"/>
      <c r="O38" s="808"/>
      <c r="P38" s="808"/>
      <c r="Q38" s="808"/>
      <c r="R38" s="808"/>
      <c r="S38" s="808"/>
      <c r="T38" s="808"/>
      <c r="U38" s="1128" t="s">
        <v>934</v>
      </c>
      <c r="V38" s="4133" t="s">
        <v>957</v>
      </c>
      <c r="W38" s="6715"/>
      <c r="X38" s="6715"/>
      <c r="Y38" s="6715"/>
      <c r="Z38" s="6715"/>
      <c r="AA38" s="6795"/>
      <c r="AB38" s="3723"/>
      <c r="AC38" s="6726">
        <f>ROUND(W38,0)</f>
        <v>0</v>
      </c>
      <c r="AD38" s="6727"/>
      <c r="AE38" s="6727"/>
      <c r="AF38" s="6727"/>
      <c r="AG38" s="6727"/>
      <c r="AH38" s="2162"/>
      <c r="AI38" s="808"/>
      <c r="AJ38" s="260"/>
      <c r="AK38" s="808"/>
      <c r="AL38" s="3694"/>
      <c r="AM38" s="808"/>
      <c r="AN38" s="4419"/>
      <c r="AO38" s="808"/>
      <c r="AP38" s="2396"/>
      <c r="AQ38" s="2396"/>
      <c r="AR38" s="2396"/>
      <c r="AS38" s="2396"/>
      <c r="AT38" s="2396"/>
      <c r="AU38" s="2396"/>
      <c r="AV38" s="2396"/>
      <c r="AW38" s="2396"/>
      <c r="AX38" s="2396"/>
      <c r="AY38" s="2396"/>
      <c r="AZ38" s="2396"/>
    </row>
    <row r="39" spans="1:52" ht="18" customHeight="1">
      <c r="A39" s="2162"/>
      <c r="B39" s="808"/>
      <c r="C39" s="1895" t="s">
        <v>958</v>
      </c>
      <c r="D39" s="2112" t="s">
        <v>959</v>
      </c>
      <c r="E39" s="808"/>
      <c r="F39" s="808"/>
      <c r="G39" s="808"/>
      <c r="H39" s="808"/>
      <c r="I39" s="808"/>
      <c r="J39" s="808"/>
      <c r="K39" s="808"/>
      <c r="L39" s="808"/>
      <c r="M39" s="808"/>
      <c r="N39" s="808"/>
      <c r="O39" s="808"/>
      <c r="P39" s="808"/>
      <c r="Q39" s="808"/>
      <c r="R39" s="808"/>
      <c r="S39" s="808"/>
      <c r="T39" s="808"/>
      <c r="U39" s="1128" t="s">
        <v>939</v>
      </c>
      <c r="V39" s="4133" t="s">
        <v>960</v>
      </c>
      <c r="W39" s="6715"/>
      <c r="X39" s="6715"/>
      <c r="Y39" s="6715"/>
      <c r="Z39" s="6715"/>
      <c r="AA39" s="6795"/>
      <c r="AB39" s="3723"/>
      <c r="AC39" s="6726">
        <f t="shared" si="1"/>
        <v>0</v>
      </c>
      <c r="AD39" s="6727"/>
      <c r="AE39" s="6727"/>
      <c r="AF39" s="6727"/>
      <c r="AG39" s="6727"/>
      <c r="AH39" s="2162"/>
      <c r="AI39" s="808"/>
      <c r="AJ39" s="260"/>
      <c r="AK39" s="808"/>
      <c r="AL39" s="3694"/>
      <c r="AM39" s="808"/>
      <c r="AN39" s="4419"/>
      <c r="AO39" s="808"/>
      <c r="AP39" s="2396"/>
      <c r="AQ39" s="2396"/>
      <c r="AR39" s="2396"/>
      <c r="AS39" s="2396"/>
      <c r="AT39" s="2396"/>
      <c r="AU39" s="2396"/>
      <c r="AV39" s="2396"/>
      <c r="AW39" s="2396"/>
      <c r="AX39" s="2396"/>
      <c r="AY39" s="2396"/>
      <c r="AZ39" s="2396"/>
    </row>
    <row r="40" spans="1:52" ht="18" customHeight="1">
      <c r="A40" s="2162"/>
      <c r="B40" s="808"/>
      <c r="C40" s="1895" t="s">
        <v>961</v>
      </c>
      <c r="D40" s="2112" t="s">
        <v>962</v>
      </c>
      <c r="E40" s="808"/>
      <c r="F40" s="808"/>
      <c r="G40" s="808"/>
      <c r="H40" s="808"/>
      <c r="I40" s="808"/>
      <c r="J40" s="808"/>
      <c r="K40" s="808"/>
      <c r="L40" s="808"/>
      <c r="M40" s="808"/>
      <c r="N40" s="808"/>
      <c r="O40" s="808"/>
      <c r="P40" s="808"/>
      <c r="Q40" s="808"/>
      <c r="R40" s="808"/>
      <c r="S40" s="808"/>
      <c r="T40" s="808"/>
      <c r="U40" s="1128"/>
      <c r="V40" s="4135"/>
      <c r="W40" s="6792"/>
      <c r="X40" s="6793"/>
      <c r="Y40" s="6793"/>
      <c r="Z40" s="6793"/>
      <c r="AA40" s="6794"/>
      <c r="AB40" s="3723"/>
      <c r="AC40" s="6726"/>
      <c r="AD40" s="6727"/>
      <c r="AE40" s="6727"/>
      <c r="AF40" s="6727"/>
      <c r="AG40" s="6727"/>
      <c r="AH40" s="2162"/>
      <c r="AI40" s="808"/>
      <c r="AJ40" s="260"/>
      <c r="AK40" s="808"/>
      <c r="AL40" s="3694"/>
      <c r="AM40" s="808"/>
      <c r="AN40" s="4419"/>
      <c r="AO40" s="808"/>
      <c r="AP40" s="2396"/>
      <c r="AQ40" s="2396"/>
      <c r="AR40" s="2396"/>
      <c r="AS40" s="2396"/>
      <c r="AT40" s="2396"/>
      <c r="AU40" s="2396"/>
      <c r="AV40" s="2396"/>
      <c r="AW40" s="2396"/>
      <c r="AX40" s="2396"/>
      <c r="AY40" s="2396"/>
      <c r="AZ40" s="2396"/>
    </row>
    <row r="41" spans="1:52" ht="18" customHeight="1">
      <c r="A41" s="2162"/>
      <c r="B41" s="808"/>
      <c r="C41" s="1895"/>
      <c r="D41" s="2112" t="s">
        <v>963</v>
      </c>
      <c r="E41" s="808"/>
      <c r="F41" s="808"/>
      <c r="G41" s="808"/>
      <c r="H41" s="808"/>
      <c r="I41" s="808"/>
      <c r="J41" s="808"/>
      <c r="K41" s="808"/>
      <c r="L41" s="808"/>
      <c r="M41" s="808"/>
      <c r="N41" s="808"/>
      <c r="O41" s="808"/>
      <c r="P41" s="808"/>
      <c r="Q41" s="808"/>
      <c r="R41" s="808"/>
      <c r="S41" s="808"/>
      <c r="T41" s="808"/>
      <c r="U41" s="1128" t="s">
        <v>1005</v>
      </c>
      <c r="V41" s="4133" t="s">
        <v>964</v>
      </c>
      <c r="W41" s="5161" t="s">
        <v>905</v>
      </c>
      <c r="X41" s="6729"/>
      <c r="Y41" s="6729"/>
      <c r="Z41" s="6729"/>
      <c r="AA41" s="5162" t="s">
        <v>906</v>
      </c>
      <c r="AB41" s="3723"/>
      <c r="AC41" s="6726">
        <f>-ROUND(X41,0)</f>
        <v>0</v>
      </c>
      <c r="AD41" s="6727"/>
      <c r="AE41" s="6727"/>
      <c r="AF41" s="6727"/>
      <c r="AG41" s="6727"/>
      <c r="AH41" s="2162"/>
      <c r="AI41" s="808"/>
      <c r="AJ41" s="260"/>
      <c r="AK41" s="260"/>
      <c r="AL41" s="260"/>
      <c r="AM41" s="260"/>
      <c r="AN41" s="260"/>
      <c r="AO41" s="260"/>
      <c r="AP41" s="2396"/>
      <c r="AQ41" s="2396"/>
      <c r="AR41" s="2396"/>
      <c r="AS41" s="2396"/>
      <c r="AT41" s="2396"/>
      <c r="AU41" s="2396"/>
      <c r="AV41" s="2396"/>
      <c r="AW41" s="2396"/>
      <c r="AX41" s="2396"/>
      <c r="AY41" s="2396"/>
      <c r="AZ41" s="2396"/>
    </row>
    <row r="42" spans="1:52" ht="18" customHeight="1" thickBot="1">
      <c r="A42" s="2162"/>
      <c r="B42" s="808"/>
      <c r="C42" s="1895" t="s">
        <v>965</v>
      </c>
      <c r="D42" s="2112" t="s">
        <v>966</v>
      </c>
      <c r="E42" s="808"/>
      <c r="F42" s="808"/>
      <c r="G42" s="808"/>
      <c r="H42" s="808"/>
      <c r="I42" s="808"/>
      <c r="J42" s="808"/>
      <c r="K42" s="808"/>
      <c r="L42" s="808"/>
      <c r="M42" s="808"/>
      <c r="N42" s="808"/>
      <c r="O42" s="808"/>
      <c r="P42" s="808"/>
      <c r="Q42" s="808"/>
      <c r="R42" s="808"/>
      <c r="S42" s="808"/>
      <c r="T42" s="808"/>
      <c r="U42" s="1128"/>
      <c r="V42" s="4135"/>
      <c r="W42" s="6792"/>
      <c r="X42" s="6793"/>
      <c r="Y42" s="6793"/>
      <c r="Z42" s="6793"/>
      <c r="AA42" s="6794"/>
      <c r="AB42" s="3723"/>
      <c r="AC42" s="6726"/>
      <c r="AD42" s="6727"/>
      <c r="AE42" s="6727"/>
      <c r="AF42" s="6727"/>
      <c r="AG42" s="6727"/>
      <c r="AH42" s="2162"/>
      <c r="AI42" s="808"/>
      <c r="AJ42" s="260"/>
      <c r="AK42" s="260"/>
      <c r="AL42" s="260"/>
      <c r="AM42" s="6816" t="s">
        <v>967</v>
      </c>
      <c r="AN42" s="6816"/>
      <c r="AO42" s="260"/>
      <c r="AP42" s="2396"/>
      <c r="AQ42" s="2396"/>
      <c r="AR42" s="2396"/>
      <c r="AS42" s="2396"/>
      <c r="AT42" s="2396"/>
      <c r="AU42" s="2396"/>
      <c r="AV42" s="2396"/>
      <c r="AW42" s="2396"/>
      <c r="AX42" s="2396"/>
      <c r="AY42" s="2396"/>
      <c r="AZ42" s="2396"/>
    </row>
    <row r="43" spans="1:52" ht="18" customHeight="1">
      <c r="A43" s="2162"/>
      <c r="B43" s="808"/>
      <c r="C43" s="1895"/>
      <c r="D43" s="2952" t="s">
        <v>968</v>
      </c>
      <c r="E43" s="808"/>
      <c r="F43" s="808"/>
      <c r="G43" s="808"/>
      <c r="H43" s="808"/>
      <c r="I43" s="808"/>
      <c r="J43" s="808"/>
      <c r="K43" s="808"/>
      <c r="L43" s="808"/>
      <c r="M43" s="808"/>
      <c r="N43" s="808"/>
      <c r="O43" s="808"/>
      <c r="P43" s="808"/>
      <c r="Q43" s="808"/>
      <c r="R43" s="808"/>
      <c r="S43" s="808"/>
      <c r="T43" s="808"/>
      <c r="U43" s="2335" t="s">
        <v>888</v>
      </c>
      <c r="V43" s="6008" t="s">
        <v>969</v>
      </c>
      <c r="W43" s="6715"/>
      <c r="X43" s="6715"/>
      <c r="Y43" s="6715"/>
      <c r="Z43" s="6715"/>
      <c r="AA43" s="6795"/>
      <c r="AB43" s="3723"/>
      <c r="AC43" s="6726">
        <f>ROUND(W43,0)</f>
        <v>0</v>
      </c>
      <c r="AD43" s="6727"/>
      <c r="AE43" s="6727"/>
      <c r="AF43" s="6727"/>
      <c r="AG43" s="6727"/>
      <c r="AH43" s="2162"/>
      <c r="AI43" s="808"/>
      <c r="AJ43" s="260"/>
      <c r="AK43" s="260"/>
      <c r="AL43" s="260"/>
      <c r="AM43" s="6812" t="s">
        <v>970</v>
      </c>
      <c r="AN43" s="6814" t="s">
        <v>971</v>
      </c>
      <c r="AO43" s="260"/>
      <c r="AP43" s="2396"/>
      <c r="AQ43" s="2396"/>
      <c r="AR43" s="2396"/>
      <c r="AS43" s="2396"/>
      <c r="AT43" s="2396"/>
      <c r="AU43" s="2396"/>
      <c r="AV43" s="2396"/>
      <c r="AW43" s="2396"/>
      <c r="AX43" s="2396"/>
      <c r="AY43" s="2396"/>
      <c r="AZ43" s="2396"/>
    </row>
    <row r="44" spans="1:52" ht="13.5" customHeight="1" thickBot="1">
      <c r="A44" s="2162"/>
      <c r="B44" s="808"/>
      <c r="C44" s="1895" t="s">
        <v>972</v>
      </c>
      <c r="D44" s="2112" t="s">
        <v>973</v>
      </c>
      <c r="E44" s="808"/>
      <c r="F44" s="808"/>
      <c r="G44" s="808"/>
      <c r="H44" s="808"/>
      <c r="I44" s="808"/>
      <c r="J44" s="808"/>
      <c r="K44" s="808"/>
      <c r="L44" s="808"/>
      <c r="M44" s="808"/>
      <c r="N44" s="808"/>
      <c r="O44" s="808"/>
      <c r="P44" s="808"/>
      <c r="Q44" s="808"/>
      <c r="R44" s="808"/>
      <c r="S44" s="808"/>
      <c r="T44" s="808"/>
      <c r="U44" s="1128" t="s">
        <v>888</v>
      </c>
      <c r="V44" s="4133" t="s">
        <v>974</v>
      </c>
      <c r="W44" s="6715"/>
      <c r="X44" s="6715"/>
      <c r="Y44" s="6715"/>
      <c r="Z44" s="6715"/>
      <c r="AA44" s="6795"/>
      <c r="AB44" s="3723"/>
      <c r="AC44" s="6726">
        <f>ROUND(W44,0)</f>
        <v>0</v>
      </c>
      <c r="AD44" s="6727"/>
      <c r="AE44" s="6727"/>
      <c r="AF44" s="6727"/>
      <c r="AG44" s="6727"/>
      <c r="AH44" s="2162"/>
      <c r="AI44" s="808"/>
      <c r="AJ44" s="260"/>
      <c r="AK44" s="260"/>
      <c r="AL44" s="260"/>
      <c r="AM44" s="6813"/>
      <c r="AN44" s="6815"/>
      <c r="AO44" s="260"/>
      <c r="AP44" s="2396"/>
      <c r="AQ44" s="2396"/>
      <c r="AR44" s="2396"/>
      <c r="AS44" s="2396"/>
      <c r="AT44" s="2396"/>
      <c r="AU44" s="2396"/>
      <c r="AV44" s="2396"/>
      <c r="AW44" s="2396"/>
      <c r="AX44" s="2396"/>
      <c r="AY44" s="2396"/>
      <c r="AZ44" s="2396"/>
    </row>
    <row r="45" spans="1:52" ht="18" customHeight="1">
      <c r="A45" s="2162"/>
      <c r="B45" s="808"/>
      <c r="C45" s="1895" t="s">
        <v>675</v>
      </c>
      <c r="D45" s="2112" t="s">
        <v>975</v>
      </c>
      <c r="E45" s="808"/>
      <c r="F45" s="808"/>
      <c r="G45" s="808"/>
      <c r="H45" s="808"/>
      <c r="I45" s="808"/>
      <c r="J45" s="808"/>
      <c r="K45" s="808"/>
      <c r="L45" s="808"/>
      <c r="M45" s="808"/>
      <c r="N45" s="6807" t="str">
        <f>IF(F8889_Line20&gt;0,"HSA "&amp; TEXT(F8889_Line20,"$0"),"")</f>
        <v/>
      </c>
      <c r="O45" s="6807"/>
      <c r="P45" s="6807"/>
      <c r="Q45" s="6807"/>
      <c r="R45" s="6807"/>
      <c r="S45" s="6807"/>
      <c r="T45" s="6807"/>
      <c r="U45" s="808"/>
      <c r="V45" s="4135"/>
      <c r="W45" s="6792"/>
      <c r="X45" s="6793"/>
      <c r="Y45" s="6793"/>
      <c r="Z45" s="6793"/>
      <c r="AA45" s="6794"/>
      <c r="AB45" s="3723"/>
      <c r="AC45" s="4375"/>
      <c r="AD45" s="4408"/>
      <c r="AE45" s="4408"/>
      <c r="AF45" s="4408"/>
      <c r="AG45" s="4408"/>
      <c r="AH45" s="2162"/>
      <c r="AI45" s="6699" t="s">
        <v>976</v>
      </c>
      <c r="AJ45" s="6699"/>
      <c r="AK45" s="260"/>
      <c r="AL45" s="260"/>
      <c r="AM45" s="4616"/>
      <c r="AN45" s="4619"/>
      <c r="AO45" s="260"/>
      <c r="AP45" s="2396"/>
      <c r="AQ45" s="2396"/>
      <c r="AR45" s="2396"/>
      <c r="AS45" s="2396"/>
      <c r="AT45" s="2396"/>
      <c r="AU45" s="2396"/>
      <c r="AV45" s="2396"/>
      <c r="AW45" s="2396"/>
      <c r="AX45" s="2396"/>
      <c r="AY45" s="2396"/>
      <c r="AZ45" s="2396"/>
    </row>
    <row r="46" spans="1:52" ht="18" customHeight="1">
      <c r="A46" s="2162"/>
      <c r="B46" s="808"/>
      <c r="C46" s="1895"/>
      <c r="D46" s="6807" t="str">
        <f>AM45&amp;" "&amp;AN51&amp;"    "&amp;AM46&amp;" "&amp;AN52&amp;"    "&amp;AM47&amp;" "&amp;AN53&amp;"    "&amp;AM48&amp;" "&amp;AN54</f>
        <v xml:space="preserve">                </v>
      </c>
      <c r="E46" s="6808"/>
      <c r="F46" s="6808"/>
      <c r="G46" s="6808"/>
      <c r="H46" s="6808"/>
      <c r="I46" s="6808"/>
      <c r="J46" s="6808"/>
      <c r="K46" s="6808"/>
      <c r="L46" s="6808"/>
      <c r="M46" s="6808"/>
      <c r="N46" s="6808"/>
      <c r="O46" s="6808"/>
      <c r="P46" s="6808"/>
      <c r="Q46" s="6808"/>
      <c r="R46" s="6808"/>
      <c r="S46" s="6808"/>
      <c r="T46" s="6808"/>
      <c r="U46" s="808"/>
      <c r="V46" s="4133" t="s">
        <v>977</v>
      </c>
      <c r="W46" s="6809">
        <f>SUM(F8889_Line20,ROUND(AN45,0),ROUND(AN46,0),ROUND(AN47,0),ROUND(AN48,0))</f>
        <v>0</v>
      </c>
      <c r="X46" s="6809"/>
      <c r="Y46" s="6809"/>
      <c r="Z46" s="6809"/>
      <c r="AA46" s="6810"/>
      <c r="AB46" s="3723"/>
      <c r="AC46" s="6726">
        <f>IF(W46="",0,ROUND(W46,0))</f>
        <v>0</v>
      </c>
      <c r="AD46" s="6727"/>
      <c r="AE46" s="6727"/>
      <c r="AF46" s="6727"/>
      <c r="AG46" s="6727"/>
      <c r="AH46" s="2162"/>
      <c r="AI46" s="808"/>
      <c r="AJ46" s="260"/>
      <c r="AK46" s="260"/>
      <c r="AL46" s="260"/>
      <c r="AM46" s="4617"/>
      <c r="AN46" s="4620"/>
      <c r="AO46" s="260"/>
      <c r="AP46" s="2396"/>
      <c r="AQ46" s="2396"/>
      <c r="AR46" s="2396"/>
      <c r="AS46" s="2396"/>
      <c r="AT46" s="2396"/>
      <c r="AU46" s="2396"/>
      <c r="AV46" s="2396"/>
      <c r="AW46" s="2396"/>
      <c r="AX46" s="2396"/>
      <c r="AY46" s="2396"/>
      <c r="AZ46" s="2396"/>
    </row>
    <row r="47" spans="1:52" ht="18" customHeight="1">
      <c r="A47" s="2162"/>
      <c r="B47" s="808"/>
      <c r="C47" s="3243">
        <v>9</v>
      </c>
      <c r="D47" s="2112" t="s">
        <v>978</v>
      </c>
      <c r="E47" s="808"/>
      <c r="F47" s="808"/>
      <c r="G47" s="808"/>
      <c r="H47" s="808"/>
      <c r="I47" s="808"/>
      <c r="J47" s="808"/>
      <c r="K47" s="808"/>
      <c r="L47" s="808"/>
      <c r="M47" s="808"/>
      <c r="N47" s="808"/>
      <c r="O47" s="808"/>
      <c r="P47" s="808"/>
      <c r="Q47" s="808"/>
      <c r="R47" s="808"/>
      <c r="S47" s="808"/>
      <c r="T47" s="808"/>
      <c r="U47" s="808"/>
      <c r="V47" s="808"/>
      <c r="W47" s="808"/>
      <c r="X47" s="808"/>
      <c r="Y47" s="808"/>
      <c r="Z47" s="808"/>
      <c r="AA47" s="1128" t="s">
        <v>911</v>
      </c>
      <c r="AB47" s="3724">
        <v>9</v>
      </c>
      <c r="AC47" s="6788">
        <f>IF(AJ47&lt;&gt;"",ROUND(AJ47,0),SUM(AC20:AC29,AC30,AC32:AC44,AC46))</f>
        <v>0</v>
      </c>
      <c r="AD47" s="6811"/>
      <c r="AE47" s="6811"/>
      <c r="AF47" s="6811"/>
      <c r="AG47" s="6811"/>
      <c r="AH47" s="2162"/>
      <c r="AI47" s="808"/>
      <c r="AJ47" s="2266"/>
      <c r="AK47" s="260"/>
      <c r="AL47" s="260"/>
      <c r="AM47" s="4617"/>
      <c r="AN47" s="4620"/>
      <c r="AO47" s="260"/>
      <c r="AP47" s="2396"/>
      <c r="AQ47" s="2396"/>
      <c r="AR47" s="2396"/>
      <c r="AS47" s="2396"/>
      <c r="AT47" s="2396"/>
      <c r="AU47" s="2396"/>
      <c r="AV47" s="2396"/>
      <c r="AW47" s="2396"/>
      <c r="AX47" s="2396"/>
      <c r="AY47" s="2396"/>
      <c r="AZ47" s="2396"/>
    </row>
    <row r="48" spans="1:52" ht="18" customHeight="1" thickBot="1">
      <c r="A48" s="2162"/>
      <c r="B48" s="808"/>
      <c r="C48" s="3243">
        <v>10</v>
      </c>
      <c r="D48" s="2112" t="s">
        <v>5696</v>
      </c>
      <c r="E48" s="808"/>
      <c r="F48" s="808"/>
      <c r="G48" s="808"/>
      <c r="H48" s="808"/>
      <c r="I48" s="2405"/>
      <c r="J48" s="808"/>
      <c r="K48" s="808"/>
      <c r="L48" s="808"/>
      <c r="M48" s="808"/>
      <c r="N48" s="808"/>
      <c r="O48" s="2121"/>
      <c r="P48" s="2119"/>
      <c r="Q48" s="808"/>
      <c r="R48" s="808"/>
      <c r="S48" s="808"/>
      <c r="T48" s="808"/>
      <c r="U48" s="808"/>
      <c r="V48" s="6009"/>
      <c r="W48" s="6010"/>
      <c r="X48" s="6010"/>
      <c r="Y48" s="6010"/>
      <c r="Z48" s="6010"/>
      <c r="AA48" s="808"/>
      <c r="AB48" s="4424"/>
      <c r="AC48" s="6718">
        <f>ROUND(AC47,0)</f>
        <v>0</v>
      </c>
      <c r="AD48" s="6719"/>
      <c r="AE48" s="6719"/>
      <c r="AF48" s="6719"/>
      <c r="AG48" s="6719"/>
      <c r="AH48" s="2162"/>
      <c r="AI48" s="2931"/>
      <c r="AJ48" s="260"/>
      <c r="AK48" s="260"/>
      <c r="AL48" s="260"/>
      <c r="AM48" s="4618"/>
      <c r="AN48" s="4621"/>
      <c r="AO48" s="260"/>
      <c r="AP48" s="2396"/>
      <c r="AQ48" s="2396"/>
      <c r="AR48" s="2396"/>
      <c r="AS48" s="2396"/>
      <c r="AT48" s="2396"/>
      <c r="AU48" s="2396"/>
      <c r="AV48" s="2396"/>
      <c r="AW48" s="2396"/>
      <c r="AX48" s="2396"/>
      <c r="AY48" s="2396"/>
      <c r="AZ48" s="2396"/>
    </row>
    <row r="49" spans="1:52" ht="18" customHeight="1" thickBot="1">
      <c r="A49" s="2162"/>
      <c r="B49" s="964"/>
      <c r="C49" s="5087"/>
      <c r="D49" s="4409" t="s">
        <v>5663</v>
      </c>
      <c r="E49" s="964"/>
      <c r="F49" s="964"/>
      <c r="G49" s="964"/>
      <c r="H49" s="964"/>
      <c r="I49" s="964"/>
      <c r="J49" s="964"/>
      <c r="K49" s="964"/>
      <c r="L49" s="964"/>
      <c r="M49" s="964"/>
      <c r="N49" s="964"/>
      <c r="O49" s="4168"/>
      <c r="P49" s="4169"/>
      <c r="Q49" s="964"/>
      <c r="R49" s="964"/>
      <c r="S49" s="964"/>
      <c r="T49" s="964"/>
      <c r="U49" s="964"/>
      <c r="V49" s="964"/>
      <c r="W49" s="964"/>
      <c r="X49" s="964"/>
      <c r="Y49" s="964"/>
      <c r="Z49" s="964"/>
      <c r="AA49" s="1128" t="s">
        <v>2143</v>
      </c>
      <c r="AB49" s="4410">
        <v>10</v>
      </c>
      <c r="AC49" s="6709">
        <f>IF(AJ49&lt;&gt;"",ROUND(AJ49,0),SUM(AC11,AC12,BusinessIncomeLoss,ROUND(AC15,0),SchE_IncomeLoss,FarmIncomeLoss,UnEmploymentComp,OtherIncome))</f>
        <v>0</v>
      </c>
      <c r="AD49" s="6710"/>
      <c r="AE49" s="6710"/>
      <c r="AF49" s="6710"/>
      <c r="AG49" s="6710"/>
      <c r="AH49" s="2162"/>
      <c r="AI49" s="808"/>
      <c r="AJ49" s="2266"/>
      <c r="AK49" s="260"/>
      <c r="AL49" s="260"/>
      <c r="AM49" s="260"/>
      <c r="AN49" s="260"/>
      <c r="AO49" s="260"/>
      <c r="AP49" s="2396"/>
      <c r="AQ49" s="2396"/>
      <c r="AR49" s="2396"/>
      <c r="AS49" s="2396"/>
      <c r="AT49" s="2396"/>
      <c r="AU49" s="2396"/>
      <c r="AV49" s="2396"/>
      <c r="AW49" s="2396"/>
      <c r="AX49" s="2396"/>
      <c r="AY49" s="2396"/>
      <c r="AZ49" s="2396"/>
    </row>
    <row r="50" spans="1:52" ht="14.25" customHeight="1" thickTop="1">
      <c r="A50" s="2162"/>
      <c r="B50" s="6011" t="s">
        <v>979</v>
      </c>
      <c r="C50" s="4411"/>
      <c r="D50" s="963"/>
      <c r="E50" s="963"/>
      <c r="F50" s="963"/>
      <c r="G50" s="963"/>
      <c r="H50" s="963"/>
      <c r="I50" s="963"/>
      <c r="J50" s="963"/>
      <c r="K50" s="963"/>
      <c r="L50" s="963"/>
      <c r="M50" s="963"/>
      <c r="N50" s="963"/>
      <c r="O50" s="963"/>
      <c r="P50" s="963"/>
      <c r="Q50" s="963"/>
      <c r="R50" s="963"/>
      <c r="S50" s="963"/>
      <c r="T50" s="4412"/>
      <c r="U50" s="4412" t="s">
        <v>980</v>
      </c>
      <c r="V50" s="963"/>
      <c r="W50" s="4413"/>
      <c r="X50" s="963"/>
      <c r="Y50" s="963"/>
      <c r="Z50" s="963"/>
      <c r="AA50" s="963"/>
      <c r="AB50" s="963"/>
      <c r="AC50" s="963"/>
      <c r="AD50" s="963"/>
      <c r="AE50" s="963"/>
      <c r="AF50" s="963"/>
      <c r="AG50" s="4414" t="str">
        <f>"Schedule 1 (Form 1040) "&amp;TaxYear</f>
        <v>Schedule 1 (Form 1040) 2023</v>
      </c>
      <c r="AH50" s="2162"/>
      <c r="AI50" s="808"/>
      <c r="AJ50" s="260"/>
      <c r="AK50" s="4960">
        <v>300</v>
      </c>
      <c r="AL50" s="4960">
        <v>600</v>
      </c>
      <c r="AM50" s="4960">
        <f>IF(File_Marr_Joint&lt;&gt;"",AL50,AK50)</f>
        <v>300</v>
      </c>
      <c r="AN50" s="6014" t="b">
        <f>EducatorExpenses&gt;AM50</f>
        <v>0</v>
      </c>
      <c r="AO50" s="808"/>
      <c r="AP50" s="2396"/>
      <c r="AQ50" s="2396"/>
      <c r="AR50" s="2396"/>
      <c r="AS50" s="2396"/>
      <c r="AT50" s="2396"/>
      <c r="AU50" s="2396"/>
      <c r="AV50" s="2396"/>
      <c r="AW50" s="2396"/>
      <c r="AX50" s="2396"/>
      <c r="AY50" s="2396"/>
      <c r="AZ50" s="2396"/>
    </row>
    <row r="51" spans="1:52" ht="14.25" customHeight="1" thickBot="1">
      <c r="A51" s="2162"/>
      <c r="B51" s="6012" t="str">
        <f>"Schedule 1 (Form 1040)  " &amp; TaxYear</f>
        <v>Schedule 1 (Form 1040)  2023</v>
      </c>
      <c r="C51" s="3288"/>
      <c r="D51" s="896"/>
      <c r="E51" s="896"/>
      <c r="F51" s="896"/>
      <c r="G51" s="896"/>
      <c r="H51" s="896"/>
      <c r="I51" s="896"/>
      <c r="J51" s="896"/>
      <c r="K51" s="896"/>
      <c r="L51" s="896"/>
      <c r="M51" s="896"/>
      <c r="N51" s="896"/>
      <c r="O51" s="896"/>
      <c r="P51" s="896"/>
      <c r="Q51" s="896"/>
      <c r="R51" s="896"/>
      <c r="S51" s="896"/>
      <c r="T51" s="3269"/>
      <c r="U51" s="3269"/>
      <c r="V51" s="896"/>
      <c r="W51" s="1463"/>
      <c r="X51" s="896"/>
      <c r="Y51" s="896"/>
      <c r="Z51" s="896"/>
      <c r="AA51" s="896"/>
      <c r="AB51" s="896"/>
      <c r="AC51" s="896"/>
      <c r="AD51" s="896"/>
      <c r="AE51" s="896"/>
      <c r="AF51" s="896"/>
      <c r="AG51" s="2148" t="s">
        <v>981</v>
      </c>
      <c r="AH51" s="2162"/>
      <c r="AI51" s="808"/>
      <c r="AJ51" s="6700" t="str">
        <f>IF(AN50,"For your filing status, this amount is limited to "&amp;TEXT(AM50,"$0")&amp;".","")</f>
        <v/>
      </c>
      <c r="AK51" s="900"/>
      <c r="AL51" s="4952"/>
      <c r="AM51" s="900"/>
      <c r="AN51" s="4622" t="str">
        <f>IF(AN45="","",IF(AN45&gt;999,TEXT(AN45,"$0,000"),TEXT(AN45,"$0")))</f>
        <v/>
      </c>
      <c r="AO51" s="808"/>
      <c r="AP51" s="2396"/>
      <c r="AQ51" s="2396"/>
      <c r="AR51" s="2396"/>
      <c r="AS51" s="2396"/>
      <c r="AT51" s="2396"/>
      <c r="AU51" s="2396"/>
      <c r="AV51" s="2396"/>
      <c r="AW51" s="2396"/>
      <c r="AX51" s="2396"/>
      <c r="AY51" s="2396"/>
      <c r="AZ51" s="2396"/>
    </row>
    <row r="52" spans="1:52" ht="21" customHeight="1">
      <c r="A52" s="2162"/>
      <c r="B52" s="6796" t="s">
        <v>982</v>
      </c>
      <c r="C52" s="6797"/>
      <c r="D52" s="6798"/>
      <c r="E52" s="2472"/>
      <c r="F52" s="3727" t="s">
        <v>983</v>
      </c>
      <c r="G52" s="2472"/>
      <c r="H52" s="2472"/>
      <c r="I52" s="2472"/>
      <c r="J52" s="2472"/>
      <c r="K52" s="2472"/>
      <c r="L52" s="1121"/>
      <c r="M52" s="1121"/>
      <c r="N52" s="1121"/>
      <c r="O52" s="1121"/>
      <c r="P52" s="1121"/>
      <c r="Q52" s="1121"/>
      <c r="R52" s="1121"/>
      <c r="S52" s="1121"/>
      <c r="T52" s="1121"/>
      <c r="U52" s="1121"/>
      <c r="V52" s="1121"/>
      <c r="W52" s="1121"/>
      <c r="X52" s="6725"/>
      <c r="Y52" s="6725"/>
      <c r="Z52" s="6725"/>
      <c r="AA52" s="6725"/>
      <c r="AB52" s="2190"/>
      <c r="AC52" s="6725"/>
      <c r="AD52" s="6725"/>
      <c r="AE52" s="6725"/>
      <c r="AF52" s="6725"/>
      <c r="AG52" s="6725"/>
      <c r="AH52" s="2162"/>
      <c r="AI52" s="808"/>
      <c r="AJ52" s="6700"/>
      <c r="AK52" s="900"/>
      <c r="AL52" s="900" t="str">
        <f>IF(OR(F8889_Line16&gt;0,F8889_Line20),"HSA = "&amp;TEXT(SUM(F8889_Line16,F8889_Line20),"$0"),"")</f>
        <v/>
      </c>
      <c r="AM52" s="900"/>
      <c r="AN52" s="4622" t="str">
        <f>IF(AN46="","",IF(AN46&gt;999,TEXT(AN46,"$0,000"),TEXT(AN46,"$0")))</f>
        <v/>
      </c>
      <c r="AO52" s="808"/>
      <c r="AP52" s="2396"/>
      <c r="AQ52" s="2396"/>
      <c r="AR52" s="2396"/>
      <c r="AS52" s="2396"/>
      <c r="AT52" s="2396"/>
      <c r="AU52" s="2396"/>
      <c r="AV52" s="2396"/>
      <c r="AW52" s="2396"/>
      <c r="AX52" s="2396"/>
      <c r="AY52" s="2396"/>
      <c r="AZ52" s="2396"/>
    </row>
    <row r="53" spans="1:52" ht="18" customHeight="1">
      <c r="A53" s="2162"/>
      <c r="B53" s="2112"/>
      <c r="C53" s="1895">
        <v>11</v>
      </c>
      <c r="D53" s="1108" t="s">
        <v>984</v>
      </c>
      <c r="E53" s="808"/>
      <c r="F53" s="808"/>
      <c r="G53" s="808"/>
      <c r="H53" s="808"/>
      <c r="I53" s="808"/>
      <c r="J53" s="808"/>
      <c r="K53" s="808"/>
      <c r="L53" s="808"/>
      <c r="M53" s="808"/>
      <c r="N53" s="808"/>
      <c r="O53" s="808"/>
      <c r="P53" s="808"/>
      <c r="Q53" s="808"/>
      <c r="R53" s="1128"/>
      <c r="S53" s="2121"/>
      <c r="T53" s="2119"/>
      <c r="U53" s="808"/>
      <c r="V53" s="2203"/>
      <c r="W53" s="2402"/>
      <c r="X53" s="2402"/>
      <c r="Y53" s="2402"/>
      <c r="Z53" s="2402"/>
      <c r="AA53" s="3281" t="s">
        <v>985</v>
      </c>
      <c r="AB53" s="3722">
        <v>11</v>
      </c>
      <c r="AC53" s="6722"/>
      <c r="AD53" s="6723"/>
      <c r="AE53" s="6723"/>
      <c r="AF53" s="6723"/>
      <c r="AG53" s="6724"/>
      <c r="AH53" s="2162"/>
      <c r="AI53" s="808"/>
      <c r="AJ53" s="6700"/>
      <c r="AK53" s="900"/>
      <c r="AL53" s="3174" t="s">
        <v>886</v>
      </c>
      <c r="AM53" s="900"/>
      <c r="AN53" s="4622" t="str">
        <f>IF(AN47="","",IF(AN47&gt;999,TEXT(AN47,"$0,000"),TEXT(AN47,"$0")))</f>
        <v/>
      </c>
      <c r="AO53" s="808"/>
      <c r="AP53" s="2396"/>
      <c r="AQ53" s="2396"/>
      <c r="AR53" s="2396"/>
      <c r="AS53" s="2396"/>
      <c r="AT53" s="2396"/>
      <c r="AU53" s="2396"/>
      <c r="AV53" s="2396"/>
      <c r="AW53" s="2396"/>
      <c r="AX53" s="2396"/>
      <c r="AY53" s="2396"/>
      <c r="AZ53" s="2396"/>
    </row>
    <row r="54" spans="1:52" ht="13.5" customHeight="1">
      <c r="A54" s="2162"/>
      <c r="B54" s="2112"/>
      <c r="C54" s="1895">
        <v>12</v>
      </c>
      <c r="D54" s="2112" t="s">
        <v>986</v>
      </c>
      <c r="E54" s="808"/>
      <c r="F54" s="808"/>
      <c r="G54" s="808"/>
      <c r="H54" s="808"/>
      <c r="I54" s="808"/>
      <c r="J54" s="808"/>
      <c r="K54" s="808"/>
      <c r="L54" s="808"/>
      <c r="M54" s="808"/>
      <c r="N54" s="808"/>
      <c r="O54" s="808"/>
      <c r="P54" s="808"/>
      <c r="Q54" s="808"/>
      <c r="R54" s="808"/>
      <c r="S54" s="2121"/>
      <c r="T54" s="2119"/>
      <c r="U54" s="808"/>
      <c r="V54" s="1376"/>
      <c r="W54" s="808"/>
      <c r="X54" s="808"/>
      <c r="Y54" s="808"/>
      <c r="Z54" s="808"/>
      <c r="AA54" s="3281"/>
      <c r="AB54" s="3725"/>
      <c r="AC54" s="6799"/>
      <c r="AD54" s="6800"/>
      <c r="AE54" s="6800"/>
      <c r="AF54" s="6800"/>
      <c r="AG54" s="6800"/>
      <c r="AH54" s="2162"/>
      <c r="AI54" s="808"/>
      <c r="AJ54" s="6700"/>
      <c r="AK54" s="900"/>
      <c r="AL54" s="900"/>
      <c r="AM54" s="900"/>
      <c r="AN54" s="4622" t="str">
        <f>IF(AN48="","",IF(AN48&gt;999,TEXT(AN48,"$0,000"),TEXT(AN48,"$0")))</f>
        <v/>
      </c>
      <c r="AO54" s="808"/>
      <c r="AP54" s="2396"/>
      <c r="AQ54" s="2396"/>
      <c r="AR54" s="2396"/>
      <c r="AS54" s="2396"/>
      <c r="AT54" s="2396"/>
      <c r="AU54" s="2396"/>
      <c r="AV54" s="2396"/>
      <c r="AW54" s="2396"/>
      <c r="AX54" s="2396"/>
      <c r="AY54" s="2396"/>
      <c r="AZ54" s="2396"/>
    </row>
    <row r="55" spans="1:52" ht="13.5" customHeight="1">
      <c r="A55" s="2162"/>
      <c r="B55" s="2112"/>
      <c r="C55" s="1895"/>
      <c r="D55" s="2112" t="s">
        <v>987</v>
      </c>
      <c r="E55" s="808"/>
      <c r="F55" s="808"/>
      <c r="G55" s="808"/>
      <c r="H55" s="808"/>
      <c r="I55" s="808"/>
      <c r="J55" s="808"/>
      <c r="K55" s="808"/>
      <c r="L55" s="808"/>
      <c r="M55" s="808"/>
      <c r="N55" s="808"/>
      <c r="O55" s="808"/>
      <c r="P55" s="808"/>
      <c r="Q55" s="808"/>
      <c r="R55" s="1128"/>
      <c r="S55" s="2121"/>
      <c r="T55" s="2119"/>
      <c r="U55" s="808"/>
      <c r="V55" s="1376"/>
      <c r="W55" s="3282"/>
      <c r="X55" s="3282"/>
      <c r="Y55" s="3282"/>
      <c r="Z55" s="3282"/>
      <c r="AA55" s="3281" t="s">
        <v>988</v>
      </c>
      <c r="AB55" s="3724">
        <v>12</v>
      </c>
      <c r="AC55" s="6714"/>
      <c r="AD55" s="6715"/>
      <c r="AE55" s="6715"/>
      <c r="AF55" s="6715"/>
      <c r="AG55" s="6716"/>
      <c r="AH55" s="2162"/>
      <c r="AI55" s="808"/>
      <c r="AJ55" s="260"/>
      <c r="AK55" s="3837"/>
      <c r="AL55" s="3837" t="str">
        <f>IF(F1099G_TaxGrants&gt;0,"Grants = "&amp;TEXT(F1099G_TaxGrants,"$0"),"")</f>
        <v/>
      </c>
      <c r="AM55" s="3837"/>
      <c r="AN55" s="6013"/>
      <c r="AO55" s="808"/>
      <c r="AP55" s="2396"/>
      <c r="AQ55" s="2396"/>
      <c r="AR55" s="2396"/>
      <c r="AS55" s="2396"/>
      <c r="AT55" s="2396"/>
      <c r="AU55" s="2396"/>
      <c r="AV55" s="2396"/>
      <c r="AW55" s="2396"/>
      <c r="AX55" s="2396"/>
      <c r="AY55" s="2396"/>
      <c r="AZ55" s="2396"/>
    </row>
    <row r="56" spans="1:52" ht="15" customHeight="1">
      <c r="A56" s="2162"/>
      <c r="B56" s="2112"/>
      <c r="C56" s="1895">
        <v>13</v>
      </c>
      <c r="D56" s="1108" t="s">
        <v>989</v>
      </c>
      <c r="E56" s="808"/>
      <c r="F56" s="808"/>
      <c r="G56" s="808"/>
      <c r="H56" s="808"/>
      <c r="I56" s="808"/>
      <c r="J56" s="808"/>
      <c r="K56" s="808"/>
      <c r="L56" s="808"/>
      <c r="M56" s="808"/>
      <c r="N56" s="808"/>
      <c r="O56" s="808"/>
      <c r="P56" s="808"/>
      <c r="Q56" s="808"/>
      <c r="R56" s="1128"/>
      <c r="S56" s="2121"/>
      <c r="T56" s="2119"/>
      <c r="U56" s="808"/>
      <c r="V56" s="1376"/>
      <c r="W56" s="3282"/>
      <c r="X56" s="1598"/>
      <c r="Y56" s="1598"/>
      <c r="Z56" s="1598"/>
      <c r="AA56" s="3281" t="s">
        <v>990</v>
      </c>
      <c r="AB56" s="3722">
        <v>13</v>
      </c>
      <c r="AC56" s="6701">
        <f>IF(AJ56&lt;&gt;"",ROUND(AJ56,0),F8889_Line13)</f>
        <v>0</v>
      </c>
      <c r="AD56" s="6717"/>
      <c r="AE56" s="6717"/>
      <c r="AF56" s="6717"/>
      <c r="AG56" s="6717"/>
      <c r="AH56" s="2162"/>
      <c r="AI56" s="808"/>
      <c r="AJ56" s="2266"/>
      <c r="AK56" s="808"/>
      <c r="AL56" s="892" t="s">
        <v>1000</v>
      </c>
      <c r="AM56" s="808"/>
      <c r="AN56" s="4419"/>
      <c r="AO56" s="808"/>
      <c r="AP56" s="2396"/>
      <c r="AQ56" s="2396"/>
      <c r="AR56" s="2396"/>
      <c r="AS56" s="2396"/>
      <c r="AT56" s="2396"/>
      <c r="AU56" s="2396"/>
      <c r="AV56" s="2396"/>
      <c r="AW56" s="2396"/>
      <c r="AX56" s="2396"/>
      <c r="AY56" s="2396"/>
      <c r="AZ56" s="2396"/>
    </row>
    <row r="57" spans="1:52" ht="15" customHeight="1">
      <c r="A57" s="2162"/>
      <c r="B57" s="2112"/>
      <c r="C57" s="1895">
        <v>14</v>
      </c>
      <c r="D57" s="1108" t="s">
        <v>991</v>
      </c>
      <c r="E57" s="808"/>
      <c r="F57" s="808"/>
      <c r="G57" s="808"/>
      <c r="H57" s="808"/>
      <c r="I57" s="808"/>
      <c r="J57" s="808"/>
      <c r="K57" s="808"/>
      <c r="L57" s="808"/>
      <c r="M57" s="808"/>
      <c r="N57" s="808"/>
      <c r="O57" s="808"/>
      <c r="P57" s="808"/>
      <c r="Q57" s="808"/>
      <c r="R57" s="1128"/>
      <c r="S57" s="2121"/>
      <c r="T57" s="2119"/>
      <c r="U57" s="808"/>
      <c r="V57" s="1376"/>
      <c r="W57" s="808"/>
      <c r="X57" s="808"/>
      <c r="Y57" s="808"/>
      <c r="Z57" s="808"/>
      <c r="AA57" s="3281" t="s">
        <v>992</v>
      </c>
      <c r="AB57" s="3724">
        <v>14</v>
      </c>
      <c r="AC57" s="6714"/>
      <c r="AD57" s="6715"/>
      <c r="AE57" s="6715"/>
      <c r="AF57" s="6715"/>
      <c r="AG57" s="6716"/>
      <c r="AH57" s="2162"/>
      <c r="AI57" s="808"/>
      <c r="AJ57" s="260"/>
      <c r="AK57" s="808"/>
      <c r="AL57" s="808"/>
      <c r="AM57" s="808"/>
      <c r="AN57" s="4420"/>
      <c r="AO57" s="808"/>
      <c r="AP57" s="2396"/>
      <c r="AQ57" s="2396"/>
      <c r="AR57" s="2396"/>
      <c r="AS57" s="2396"/>
      <c r="AT57" s="2396"/>
      <c r="AU57" s="2396"/>
      <c r="AV57" s="2396"/>
      <c r="AW57" s="2396"/>
      <c r="AX57" s="2396"/>
      <c r="AY57" s="2396"/>
      <c r="AZ57" s="2396"/>
    </row>
    <row r="58" spans="1:52" ht="17.25" customHeight="1">
      <c r="A58" s="2162"/>
      <c r="B58" s="2112"/>
      <c r="C58" s="1895">
        <v>15</v>
      </c>
      <c r="D58" s="1108" t="s">
        <v>993</v>
      </c>
      <c r="E58" s="808"/>
      <c r="F58" s="808"/>
      <c r="G58" s="808"/>
      <c r="H58" s="808"/>
      <c r="I58" s="808"/>
      <c r="J58" s="808"/>
      <c r="K58" s="808"/>
      <c r="L58" s="808"/>
      <c r="M58" s="808"/>
      <c r="N58" s="808"/>
      <c r="O58" s="808"/>
      <c r="P58" s="808"/>
      <c r="Q58" s="808"/>
      <c r="R58" s="808"/>
      <c r="S58" s="2121"/>
      <c r="T58" s="2119"/>
      <c r="U58" s="808"/>
      <c r="V58" s="1376"/>
      <c r="W58" s="3282"/>
      <c r="X58" s="1598"/>
      <c r="Y58" s="1598"/>
      <c r="Z58" s="1598"/>
      <c r="AA58" s="3281" t="s">
        <v>994</v>
      </c>
      <c r="AB58" s="3722">
        <v>15</v>
      </c>
      <c r="AC58" s="6701">
        <f>IF(AJ58&lt;&gt;"",ROUND(AJ58,0),SchSE_Deduction)</f>
        <v>0</v>
      </c>
      <c r="AD58" s="6717"/>
      <c r="AE58" s="6717"/>
      <c r="AF58" s="6717"/>
      <c r="AG58" s="6717"/>
      <c r="AH58" s="2162"/>
      <c r="AI58" s="808"/>
      <c r="AJ58" s="2266"/>
      <c r="AK58" s="808"/>
      <c r="AL58" s="892" t="s">
        <v>1002</v>
      </c>
      <c r="AM58" s="808"/>
      <c r="AN58" s="900" t="b">
        <f>AND(AlimonyPaid&gt;0,OR(V64="",V64&gt;=$AN$9))</f>
        <v>0</v>
      </c>
      <c r="AO58" s="808"/>
      <c r="AP58" s="2396"/>
      <c r="AQ58" s="2396"/>
      <c r="AR58" s="2396"/>
      <c r="AS58" s="2396"/>
      <c r="AT58" s="2396"/>
      <c r="AU58" s="2396"/>
      <c r="AV58" s="2396"/>
      <c r="AW58" s="2396"/>
      <c r="AX58" s="2396"/>
      <c r="AY58" s="2396"/>
      <c r="AZ58" s="2396"/>
    </row>
    <row r="59" spans="1:52" ht="16.5" customHeight="1">
      <c r="A59" s="2162"/>
      <c r="B59" s="2112"/>
      <c r="C59" s="1895">
        <v>16</v>
      </c>
      <c r="D59" s="1108" t="s">
        <v>995</v>
      </c>
      <c r="E59" s="808"/>
      <c r="F59" s="808"/>
      <c r="G59" s="808"/>
      <c r="H59" s="808"/>
      <c r="I59" s="808"/>
      <c r="J59" s="808"/>
      <c r="K59" s="808"/>
      <c r="L59" s="808"/>
      <c r="M59" s="808"/>
      <c r="N59" s="808"/>
      <c r="O59" s="808"/>
      <c r="P59" s="808"/>
      <c r="Q59" s="808"/>
      <c r="R59" s="1128"/>
      <c r="S59" s="2121"/>
      <c r="T59" s="2119"/>
      <c r="U59" s="808"/>
      <c r="V59" s="1376"/>
      <c r="W59" s="3282"/>
      <c r="X59" s="3282"/>
      <c r="Y59" s="3282"/>
      <c r="Z59" s="3282"/>
      <c r="AA59" s="3281" t="s">
        <v>922</v>
      </c>
      <c r="AB59" s="3722">
        <v>16</v>
      </c>
      <c r="AC59" s="6722"/>
      <c r="AD59" s="6723"/>
      <c r="AE59" s="6723"/>
      <c r="AF59" s="6723"/>
      <c r="AG59" s="6724"/>
      <c r="AH59" s="2162"/>
      <c r="AI59" s="808"/>
      <c r="AJ59" s="260" t="str">
        <f>IF($AI$60,"Line 17 - Your SE Health Insurance deduction cannot","")</f>
        <v/>
      </c>
      <c r="AK59" s="808"/>
      <c r="AL59" s="892"/>
      <c r="AM59" s="808"/>
      <c r="AN59" s="2930" t="s">
        <v>889</v>
      </c>
      <c r="AO59" s="808"/>
      <c r="AP59" s="2396"/>
      <c r="AQ59" s="2396"/>
      <c r="AR59" s="2396"/>
      <c r="AS59" s="2396"/>
      <c r="AT59" s="2396"/>
      <c r="AU59" s="2396"/>
      <c r="AV59" s="2396"/>
      <c r="AW59" s="2396"/>
      <c r="AX59" s="2396"/>
      <c r="AY59" s="2396"/>
      <c r="AZ59" s="2396"/>
    </row>
    <row r="60" spans="1:52" ht="16.5" customHeight="1">
      <c r="A60" s="2162"/>
      <c r="B60" s="2112"/>
      <c r="C60" s="1895">
        <v>17</v>
      </c>
      <c r="D60" s="1108" t="s">
        <v>996</v>
      </c>
      <c r="E60" s="808"/>
      <c r="F60" s="808"/>
      <c r="G60" s="808"/>
      <c r="H60" s="808"/>
      <c r="I60" s="808"/>
      <c r="J60" s="808"/>
      <c r="K60" s="808"/>
      <c r="L60" s="808"/>
      <c r="M60" s="808"/>
      <c r="N60" s="808"/>
      <c r="O60" s="808"/>
      <c r="P60" s="808"/>
      <c r="Q60" s="808"/>
      <c r="R60" s="1128"/>
      <c r="S60" s="2121"/>
      <c r="T60" s="2119"/>
      <c r="U60" s="808"/>
      <c r="V60" s="1376"/>
      <c r="W60" s="3282"/>
      <c r="X60" s="3282"/>
      <c r="Y60" s="3282"/>
      <c r="Z60" s="3282"/>
      <c r="AA60" s="3281" t="s">
        <v>917</v>
      </c>
      <c r="AB60" s="3722">
        <v>17</v>
      </c>
      <c r="AC60" s="6722"/>
      <c r="AD60" s="6723"/>
      <c r="AE60" s="6723"/>
      <c r="AF60" s="6723"/>
      <c r="AG60" s="6724"/>
      <c r="AH60" s="2162"/>
      <c r="AI60" s="900" t="b">
        <f>SEHealthInsDeduct&gt;SUM(SchSE_Profit1,SchSE_Profit2)</f>
        <v>0</v>
      </c>
      <c r="AJ60" s="4129" t="str">
        <f>IF($AI$60,"be more than your Schedule SE business profit.","")</f>
        <v/>
      </c>
      <c r="AK60" s="808"/>
      <c r="AL60" s="808"/>
      <c r="AM60" s="808"/>
      <c r="AN60" s="6705" t="s">
        <v>1006</v>
      </c>
      <c r="AO60" s="808"/>
      <c r="AP60" s="2396"/>
      <c r="AQ60" s="2396"/>
      <c r="AR60" s="2396"/>
      <c r="AS60" s="2396"/>
      <c r="AT60" s="2396"/>
      <c r="AU60" s="2396"/>
      <c r="AV60" s="2396"/>
      <c r="AW60" s="2396"/>
      <c r="AX60" s="2396"/>
      <c r="AY60" s="2396"/>
      <c r="AZ60" s="2396"/>
    </row>
    <row r="61" spans="1:52" ht="16.5" customHeight="1">
      <c r="A61" s="2162"/>
      <c r="B61" s="2112"/>
      <c r="C61" s="1895">
        <v>18</v>
      </c>
      <c r="D61" s="1108" t="s">
        <v>997</v>
      </c>
      <c r="E61" s="808"/>
      <c r="F61" s="808"/>
      <c r="G61" s="808"/>
      <c r="H61" s="808"/>
      <c r="I61" s="808"/>
      <c r="J61" s="808"/>
      <c r="K61" s="808"/>
      <c r="L61" s="808"/>
      <c r="M61" s="808"/>
      <c r="N61" s="808"/>
      <c r="O61" s="808"/>
      <c r="P61" s="808"/>
      <c r="Q61" s="808"/>
      <c r="R61" s="1128"/>
      <c r="S61" s="2121"/>
      <c r="T61" s="2119"/>
      <c r="U61" s="808"/>
      <c r="V61" s="1376"/>
      <c r="W61" s="3282"/>
      <c r="X61" s="1598"/>
      <c r="Y61" s="1598"/>
      <c r="Z61" s="1598"/>
      <c r="AA61" s="3281" t="s">
        <v>898</v>
      </c>
      <c r="AB61" s="3722">
        <v>18</v>
      </c>
      <c r="AC61" s="6701">
        <f>IF(AJ61&lt;&gt;"",ROUND(AJ61,0),Penalty4EW)</f>
        <v>0</v>
      </c>
      <c r="AD61" s="6717"/>
      <c r="AE61" s="6717"/>
      <c r="AF61" s="6717"/>
      <c r="AG61" s="6717"/>
      <c r="AH61" s="2162"/>
      <c r="AI61" s="808"/>
      <c r="AJ61" s="2266"/>
      <c r="AK61" s="808"/>
      <c r="AL61" s="892" t="s">
        <v>1007</v>
      </c>
      <c r="AM61" s="808"/>
      <c r="AN61" s="6705"/>
      <c r="AO61" s="808"/>
      <c r="AP61" s="2396"/>
      <c r="AQ61" s="2396"/>
      <c r="AR61" s="2396"/>
      <c r="AS61" s="2396"/>
      <c r="AT61" s="2396"/>
      <c r="AU61" s="2396"/>
      <c r="AV61" s="2396"/>
      <c r="AW61" s="2396"/>
      <c r="AX61" s="2396"/>
      <c r="AY61" s="2396"/>
      <c r="AZ61" s="2396"/>
    </row>
    <row r="62" spans="1:52" ht="15.75" customHeight="1">
      <c r="A62" s="2162"/>
      <c r="B62" s="2112"/>
      <c r="C62" s="1895" t="s">
        <v>998</v>
      </c>
      <c r="D62" s="1108" t="s">
        <v>999</v>
      </c>
      <c r="E62" s="808"/>
      <c r="F62" s="808"/>
      <c r="G62" s="1128"/>
      <c r="H62" s="892"/>
      <c r="I62" s="808"/>
      <c r="J62" s="808"/>
      <c r="K62" s="808"/>
      <c r="L62" s="808"/>
      <c r="M62" s="2119"/>
      <c r="N62" s="2119"/>
      <c r="O62" s="2119"/>
      <c r="P62" s="2119"/>
      <c r="Q62" s="2119"/>
      <c r="R62" s="808"/>
      <c r="S62" s="2121"/>
      <c r="T62" s="2119"/>
      <c r="U62" s="2119"/>
      <c r="V62" s="2119"/>
      <c r="W62" s="2119"/>
      <c r="X62" s="2119"/>
      <c r="Y62" s="2119"/>
      <c r="Z62" s="2119"/>
      <c r="AA62" s="3281" t="s">
        <v>891</v>
      </c>
      <c r="AB62" s="3722" t="s">
        <v>998</v>
      </c>
      <c r="AC62" s="6722"/>
      <c r="AD62" s="6723"/>
      <c r="AE62" s="6723"/>
      <c r="AF62" s="6723"/>
      <c r="AG62" s="6724"/>
      <c r="AH62" s="2162"/>
      <c r="AI62" s="2604" t="str">
        <f>IF(AN58,"See TIP. &gt;&gt;","")</f>
        <v/>
      </c>
      <c r="AJ62" s="260"/>
      <c r="AK62" s="808"/>
      <c r="AL62" s="808"/>
      <c r="AM62" s="808"/>
      <c r="AN62" s="6705"/>
      <c r="AO62" s="808"/>
      <c r="AP62" s="2396"/>
      <c r="AQ62" s="2396"/>
      <c r="AR62" s="2396"/>
      <c r="AS62" s="2396"/>
      <c r="AT62" s="2396"/>
      <c r="AU62" s="2396"/>
      <c r="AV62" s="2396"/>
      <c r="AW62" s="2396"/>
      <c r="AX62" s="2396"/>
      <c r="AY62" s="2396"/>
      <c r="AZ62" s="2396"/>
    </row>
    <row r="63" spans="1:52" ht="15.75" customHeight="1">
      <c r="A63" s="2162"/>
      <c r="B63" s="2112"/>
      <c r="C63" s="1366" t="s">
        <v>644</v>
      </c>
      <c r="D63" s="1108" t="s">
        <v>1001</v>
      </c>
      <c r="E63" s="808"/>
      <c r="F63" s="808"/>
      <c r="G63" s="1128"/>
      <c r="H63" s="892"/>
      <c r="I63" s="808"/>
      <c r="J63" s="808"/>
      <c r="K63" s="808"/>
      <c r="L63" s="808"/>
      <c r="M63" s="808"/>
      <c r="N63" s="808"/>
      <c r="O63" s="808"/>
      <c r="P63" s="808"/>
      <c r="Q63" s="808"/>
      <c r="R63" s="808"/>
      <c r="S63" s="2121"/>
      <c r="T63" s="2119"/>
      <c r="U63" s="1128" t="s">
        <v>898</v>
      </c>
      <c r="V63" s="6778"/>
      <c r="W63" s="6779"/>
      <c r="X63" s="6779"/>
      <c r="Y63" s="6779"/>
      <c r="Z63" s="6779"/>
      <c r="AA63" s="3281"/>
      <c r="AB63" s="3723"/>
      <c r="AC63" s="2398"/>
      <c r="AD63" s="2402"/>
      <c r="AE63" s="2402"/>
      <c r="AF63" s="2402"/>
      <c r="AG63" s="3283"/>
      <c r="AH63" s="2162"/>
      <c r="AI63" s="3245"/>
      <c r="AJ63" s="260"/>
      <c r="AK63" s="808"/>
      <c r="AL63" s="808"/>
      <c r="AM63" s="808"/>
      <c r="AN63" s="6705"/>
      <c r="AO63" s="808"/>
      <c r="AP63" s="2396"/>
      <c r="AQ63" s="2396"/>
      <c r="AR63" s="2396"/>
      <c r="AS63" s="2396"/>
      <c r="AT63" s="2396"/>
      <c r="AU63" s="2396"/>
      <c r="AV63" s="2396"/>
      <c r="AW63" s="2396"/>
      <c r="AX63" s="2396"/>
      <c r="AY63" s="2396"/>
      <c r="AZ63" s="2396"/>
    </row>
    <row r="64" spans="1:52" ht="15.75" customHeight="1">
      <c r="A64" s="2162"/>
      <c r="B64" s="2112"/>
      <c r="C64" s="1366" t="s">
        <v>648</v>
      </c>
      <c r="D64" s="2112" t="s">
        <v>893</v>
      </c>
      <c r="E64" s="808"/>
      <c r="F64" s="808"/>
      <c r="G64" s="1128"/>
      <c r="H64" s="892"/>
      <c r="I64" s="808"/>
      <c r="J64" s="808"/>
      <c r="K64" s="808"/>
      <c r="L64" s="808"/>
      <c r="M64" s="808"/>
      <c r="N64" s="808"/>
      <c r="O64" s="808"/>
      <c r="P64" s="808"/>
      <c r="Q64" s="808"/>
      <c r="R64" s="808"/>
      <c r="S64" s="2121"/>
      <c r="T64" s="2119"/>
      <c r="U64" s="808"/>
      <c r="V64" s="6703"/>
      <c r="W64" s="6704"/>
      <c r="X64" s="6704"/>
      <c r="Y64" s="6704"/>
      <c r="Z64" s="6704"/>
      <c r="AA64" s="3281"/>
      <c r="AB64" s="3723"/>
      <c r="AC64" s="4899"/>
      <c r="AD64" s="3282"/>
      <c r="AE64" s="3282"/>
      <c r="AF64" s="3282"/>
      <c r="AG64" s="1598"/>
      <c r="AH64" s="2162"/>
      <c r="AI64" s="3245"/>
      <c r="AJ64" s="260"/>
      <c r="AK64" s="808"/>
      <c r="AL64" s="808"/>
      <c r="AM64" s="808"/>
      <c r="AN64" s="6705"/>
      <c r="AO64" s="808"/>
      <c r="AP64" s="2396"/>
      <c r="AQ64" s="2396"/>
      <c r="AR64" s="2396"/>
      <c r="AS64" s="2396"/>
      <c r="AT64" s="2396"/>
      <c r="AU64" s="2396"/>
      <c r="AV64" s="2396"/>
      <c r="AW64" s="2396"/>
      <c r="AX64" s="2396"/>
      <c r="AY64" s="2396"/>
      <c r="AZ64" s="2396"/>
    </row>
    <row r="65" spans="1:52" ht="16.5" customHeight="1">
      <c r="A65" s="2162"/>
      <c r="B65" s="2112"/>
      <c r="C65" s="1895">
        <v>20</v>
      </c>
      <c r="D65" s="1108" t="s">
        <v>1003</v>
      </c>
      <c r="E65" s="808"/>
      <c r="F65" s="808"/>
      <c r="G65" s="808"/>
      <c r="H65" s="808"/>
      <c r="I65" s="808"/>
      <c r="J65" s="808"/>
      <c r="K65" s="808"/>
      <c r="L65" s="808"/>
      <c r="M65" s="808"/>
      <c r="N65" s="808"/>
      <c r="O65" s="808"/>
      <c r="P65" s="808"/>
      <c r="Q65" s="808"/>
      <c r="R65" s="1128"/>
      <c r="S65" s="2121"/>
      <c r="T65" s="2119"/>
      <c r="U65" s="808"/>
      <c r="V65" s="1376"/>
      <c r="W65" s="3282"/>
      <c r="X65" s="1598"/>
      <c r="Y65" s="1598"/>
      <c r="Z65" s="1598"/>
      <c r="AA65" s="3281" t="str">
        <f>IF(LivedApart,".   .   .   .   .   .   .   .   .   .   .   .   .   .   .   .   .   .   .   .   .   .   .   .   .   .   .   .   .  D  ",".   .   .   .   .   .   .   .   .   .   .   .   .   .   .   .   .   .   .   .   .   .   .   .   .   .   .   .   .   .  ")</f>
        <v xml:space="preserve">.   .   .   .   .   .   .   .   .   .   .   .   .   .   .   .   .   .   .   .   .   .   .   .   .   .   .   .   .   .  </v>
      </c>
      <c r="AB65" s="3722">
        <v>20</v>
      </c>
      <c r="AC65" s="6720" t="str">
        <f>IF(AJ65&lt;&gt;"",ROUND(AJ65,0),IRA_Deduction)</f>
        <v/>
      </c>
      <c r="AD65" s="6721"/>
      <c r="AE65" s="6721"/>
      <c r="AF65" s="6721"/>
      <c r="AG65" s="6721"/>
      <c r="AH65" s="2162"/>
      <c r="AI65" s="808"/>
      <c r="AJ65" s="2266"/>
      <c r="AK65" s="808"/>
      <c r="AL65" s="892" t="s">
        <v>1015</v>
      </c>
      <c r="AM65" s="808"/>
      <c r="AN65" s="6705"/>
      <c r="AO65" s="808"/>
      <c r="AP65" s="2396"/>
      <c r="AQ65" s="2396"/>
      <c r="AR65" s="2396"/>
      <c r="AS65" s="2396"/>
      <c r="AT65" s="2396"/>
      <c r="AU65" s="2396"/>
      <c r="AV65" s="2396"/>
      <c r="AW65" s="2396"/>
      <c r="AX65" s="2396"/>
      <c r="AY65" s="2396"/>
      <c r="AZ65" s="2396"/>
    </row>
    <row r="66" spans="1:52" ht="16.5" customHeight="1">
      <c r="A66" s="2162"/>
      <c r="B66" s="2112"/>
      <c r="C66" s="1895">
        <v>21</v>
      </c>
      <c r="D66" s="1108" t="s">
        <v>1004</v>
      </c>
      <c r="E66" s="808"/>
      <c r="F66" s="808"/>
      <c r="G66" s="808"/>
      <c r="H66" s="808"/>
      <c r="I66" s="808"/>
      <c r="J66" s="808"/>
      <c r="K66" s="808"/>
      <c r="L66" s="808"/>
      <c r="M66" s="808"/>
      <c r="N66" s="808"/>
      <c r="O66" s="808"/>
      <c r="P66" s="808"/>
      <c r="Q66" s="808"/>
      <c r="R66" s="1128"/>
      <c r="S66" s="2121"/>
      <c r="T66" s="2119"/>
      <c r="U66" s="808"/>
      <c r="V66" s="1376"/>
      <c r="W66" s="3282"/>
      <c r="X66" s="1598"/>
      <c r="Y66" s="1598"/>
      <c r="Z66" s="1598"/>
      <c r="AA66" s="3281" t="s">
        <v>1005</v>
      </c>
      <c r="AB66" s="3722">
        <v>21</v>
      </c>
      <c r="AC66" s="6701" t="str">
        <f>IF(AJ66&lt;&gt;"",ROUND(AJ66,0),StuLoanIntDeduct)</f>
        <v/>
      </c>
      <c r="AD66" s="6717"/>
      <c r="AE66" s="6717"/>
      <c r="AF66" s="6717"/>
      <c r="AG66" s="6717"/>
      <c r="AH66" s="2162"/>
      <c r="AI66" s="2931"/>
      <c r="AJ66" s="2266"/>
      <c r="AK66" s="808"/>
      <c r="AL66" s="892" t="s">
        <v>5697</v>
      </c>
      <c r="AM66" s="808"/>
      <c r="AN66" s="6705"/>
      <c r="AO66" s="808"/>
      <c r="AP66" s="2396"/>
      <c r="AQ66" s="2396"/>
      <c r="AR66" s="2396"/>
      <c r="AS66" s="2396"/>
      <c r="AT66" s="2396"/>
      <c r="AU66" s="2396"/>
      <c r="AV66" s="2396"/>
      <c r="AW66" s="2396"/>
      <c r="AX66" s="2396"/>
      <c r="AY66" s="2396"/>
      <c r="AZ66" s="2396"/>
    </row>
    <row r="67" spans="1:52" ht="16.5" customHeight="1">
      <c r="A67" s="2162"/>
      <c r="B67" s="2112"/>
      <c r="C67" s="1895">
        <v>22</v>
      </c>
      <c r="D67" s="1108" t="s">
        <v>784</v>
      </c>
      <c r="E67" s="808"/>
      <c r="F67" s="808"/>
      <c r="G67" s="808"/>
      <c r="H67" s="808"/>
      <c r="I67" s="808"/>
      <c r="J67" s="808"/>
      <c r="K67" s="808"/>
      <c r="L67" s="808"/>
      <c r="M67" s="808"/>
      <c r="N67" s="808"/>
      <c r="O67" s="808"/>
      <c r="P67" s="808"/>
      <c r="Q67" s="808"/>
      <c r="R67" s="1128"/>
      <c r="S67" s="2121"/>
      <c r="T67" s="2119"/>
      <c r="U67" s="808"/>
      <c r="V67" s="1376"/>
      <c r="W67" s="808"/>
      <c r="X67" s="808"/>
      <c r="Y67" s="808"/>
      <c r="Z67" s="808"/>
      <c r="AA67" s="3281" t="s">
        <v>988</v>
      </c>
      <c r="AB67" s="3722">
        <v>22</v>
      </c>
      <c r="AC67" s="6711"/>
      <c r="AD67" s="6712"/>
      <c r="AE67" s="6712"/>
      <c r="AF67" s="6712"/>
      <c r="AG67" s="6713"/>
      <c r="AH67" s="2162"/>
      <c r="AI67" s="808"/>
      <c r="AJ67" s="260"/>
      <c r="AK67" s="808"/>
      <c r="AL67" s="808"/>
      <c r="AM67" s="808"/>
      <c r="AN67" s="6705"/>
      <c r="AO67" s="808"/>
      <c r="AP67" s="2396"/>
      <c r="AQ67" s="2396"/>
      <c r="AR67" s="2396"/>
      <c r="AS67" s="2396"/>
      <c r="AT67" s="2396"/>
      <c r="AU67" s="2396"/>
      <c r="AV67" s="2396"/>
      <c r="AW67" s="2396"/>
      <c r="AX67" s="2396"/>
      <c r="AY67" s="2396"/>
      <c r="AZ67" s="2396"/>
    </row>
    <row r="68" spans="1:52" ht="16.5" customHeight="1">
      <c r="A68" s="2162"/>
      <c r="B68" s="2112"/>
      <c r="C68" s="1895">
        <v>23</v>
      </c>
      <c r="D68" s="1108" t="s">
        <v>1008</v>
      </c>
      <c r="E68" s="808"/>
      <c r="F68" s="808"/>
      <c r="G68" s="808"/>
      <c r="H68" s="808"/>
      <c r="I68" s="808"/>
      <c r="J68" s="808"/>
      <c r="K68" s="808"/>
      <c r="L68" s="808"/>
      <c r="M68" s="808"/>
      <c r="N68" s="808"/>
      <c r="O68" s="808"/>
      <c r="P68" s="808"/>
      <c r="Q68" s="808"/>
      <c r="R68" s="1128"/>
      <c r="S68" s="2121"/>
      <c r="T68" s="2119"/>
      <c r="U68" s="808"/>
      <c r="V68" s="1376"/>
      <c r="W68" s="808"/>
      <c r="X68" s="808"/>
      <c r="Y68" s="808"/>
      <c r="Z68" s="808"/>
      <c r="AA68" s="3281" t="s">
        <v>1009</v>
      </c>
      <c r="AB68" s="3722">
        <v>23</v>
      </c>
      <c r="AC68" s="6722"/>
      <c r="AD68" s="6723"/>
      <c r="AE68" s="6723"/>
      <c r="AF68" s="6723"/>
      <c r="AG68" s="6724"/>
      <c r="AH68" s="2162"/>
      <c r="AI68" s="808"/>
      <c r="AJ68" s="260"/>
      <c r="AK68" s="808"/>
      <c r="AL68" s="808"/>
      <c r="AM68" s="808"/>
      <c r="AN68" s="6705"/>
      <c r="AO68" s="808"/>
      <c r="AP68" s="2396"/>
      <c r="AQ68" s="2396"/>
      <c r="AR68" s="2396"/>
      <c r="AS68" s="2396"/>
      <c r="AT68" s="2396"/>
      <c r="AU68" s="2396"/>
      <c r="AV68" s="2396"/>
      <c r="AW68" s="2396"/>
      <c r="AX68" s="2396"/>
      <c r="AY68" s="2396"/>
      <c r="AZ68" s="2396"/>
    </row>
    <row r="69" spans="1:52" ht="16.5" customHeight="1">
      <c r="A69" s="2162"/>
      <c r="B69" s="2112"/>
      <c r="C69" s="1895">
        <v>24</v>
      </c>
      <c r="D69" s="1108" t="s">
        <v>1010</v>
      </c>
      <c r="E69" s="808"/>
      <c r="F69" s="808"/>
      <c r="G69" s="808"/>
      <c r="H69" s="808"/>
      <c r="I69" s="808"/>
      <c r="J69" s="808"/>
      <c r="K69" s="808"/>
      <c r="L69" s="808"/>
      <c r="M69" s="808"/>
      <c r="N69" s="808"/>
      <c r="O69" s="808"/>
      <c r="P69" s="808"/>
      <c r="Q69" s="808"/>
      <c r="R69" s="1128"/>
      <c r="S69" s="2121"/>
      <c r="T69" s="2119"/>
      <c r="U69" s="808"/>
      <c r="V69" s="4135"/>
      <c r="W69" s="808"/>
      <c r="X69" s="808"/>
      <c r="Y69" s="808"/>
      <c r="Z69" s="808"/>
      <c r="AA69" s="3281"/>
      <c r="AB69" s="3723"/>
      <c r="AC69" s="2398"/>
      <c r="AD69" s="2402"/>
      <c r="AE69" s="2402"/>
      <c r="AF69" s="2402"/>
      <c r="AG69" s="3283"/>
      <c r="AH69" s="2162"/>
      <c r="AI69" s="808"/>
      <c r="AJ69" s="260"/>
      <c r="AK69" s="808"/>
      <c r="AL69" s="808"/>
      <c r="AM69" s="808"/>
      <c r="AN69" s="6705"/>
      <c r="AO69" s="808"/>
      <c r="AP69" s="2396"/>
      <c r="AQ69" s="2396"/>
      <c r="AR69" s="2396"/>
      <c r="AS69" s="2396"/>
      <c r="AT69" s="2396"/>
      <c r="AU69" s="2396"/>
      <c r="AV69" s="2396"/>
      <c r="AW69" s="2396"/>
      <c r="AX69" s="2396"/>
      <c r="AY69" s="2396"/>
      <c r="AZ69" s="2396"/>
    </row>
    <row r="70" spans="1:52" ht="18" customHeight="1">
      <c r="A70" s="2162"/>
      <c r="B70" s="808"/>
      <c r="C70" s="1366" t="s">
        <v>640</v>
      </c>
      <c r="D70" s="2112" t="s">
        <v>1011</v>
      </c>
      <c r="E70" s="808"/>
      <c r="F70" s="808"/>
      <c r="G70" s="808"/>
      <c r="H70" s="808"/>
      <c r="I70" s="808"/>
      <c r="J70" s="808"/>
      <c r="K70" s="808"/>
      <c r="L70" s="808"/>
      <c r="M70" s="808"/>
      <c r="N70" s="808"/>
      <c r="O70" s="808"/>
      <c r="P70" s="808"/>
      <c r="Q70" s="808"/>
      <c r="R70" s="808"/>
      <c r="S70" s="808"/>
      <c r="T70" s="808"/>
      <c r="U70" s="3281" t="s">
        <v>1012</v>
      </c>
      <c r="V70" s="4133" t="s">
        <v>1013</v>
      </c>
      <c r="W70" s="6786"/>
      <c r="X70" s="6786"/>
      <c r="Y70" s="6786"/>
      <c r="Z70" s="6786"/>
      <c r="AA70" s="6787"/>
      <c r="AB70" s="3723"/>
      <c r="AC70" s="6790">
        <f>ROUND(W70,0)</f>
        <v>0</v>
      </c>
      <c r="AD70" s="6791"/>
      <c r="AE70" s="6791"/>
      <c r="AF70" s="6791"/>
      <c r="AG70" s="6791"/>
      <c r="AH70" s="2162"/>
      <c r="AI70" s="808"/>
      <c r="AJ70" s="260"/>
      <c r="AK70" s="808"/>
      <c r="AL70" s="3694"/>
      <c r="AM70" s="808"/>
      <c r="AN70" s="6705"/>
      <c r="AO70" s="808"/>
      <c r="AP70" s="2396"/>
      <c r="AQ70" s="2396"/>
      <c r="AR70" s="2396"/>
      <c r="AS70" s="2396"/>
      <c r="AT70" s="2396"/>
      <c r="AU70" s="2396"/>
      <c r="AV70" s="2396"/>
      <c r="AW70" s="2396"/>
      <c r="AX70" s="2396"/>
      <c r="AY70" s="2396"/>
      <c r="AZ70" s="2396"/>
    </row>
    <row r="71" spans="1:52" ht="18" customHeight="1">
      <c r="A71" s="2162"/>
      <c r="B71" s="808"/>
      <c r="C71" s="1366" t="s">
        <v>644</v>
      </c>
      <c r="D71" s="2112" t="s">
        <v>1014</v>
      </c>
      <c r="E71" s="808"/>
      <c r="F71" s="808"/>
      <c r="G71" s="808"/>
      <c r="H71" s="808"/>
      <c r="I71" s="808"/>
      <c r="J71" s="808"/>
      <c r="K71" s="808"/>
      <c r="L71" s="808"/>
      <c r="M71" s="808"/>
      <c r="N71" s="808"/>
      <c r="O71" s="808"/>
      <c r="P71" s="808"/>
      <c r="Q71" s="808"/>
      <c r="R71" s="808"/>
      <c r="S71" s="808"/>
      <c r="T71" s="808"/>
      <c r="U71" s="808"/>
      <c r="V71" s="4135"/>
      <c r="W71" s="6792"/>
      <c r="X71" s="6793"/>
      <c r="Y71" s="6793"/>
      <c r="Z71" s="6793"/>
      <c r="AA71" s="6794"/>
      <c r="AB71" s="3723"/>
      <c r="AC71" s="4375"/>
      <c r="AD71" s="4408"/>
      <c r="AE71" s="4408"/>
      <c r="AF71" s="4408"/>
      <c r="AG71" s="4408"/>
      <c r="AH71" s="2162"/>
      <c r="AI71" s="808"/>
      <c r="AJ71" s="260"/>
      <c r="AK71" s="808"/>
      <c r="AL71" s="3694"/>
      <c r="AM71" s="808"/>
      <c r="AN71" s="6705"/>
      <c r="AO71" s="808"/>
      <c r="AP71" s="2396"/>
      <c r="AQ71" s="2396"/>
      <c r="AR71" s="2396"/>
      <c r="AS71" s="2396"/>
      <c r="AT71" s="2396"/>
      <c r="AU71" s="2396"/>
      <c r="AV71" s="2396"/>
      <c r="AW71" s="2396"/>
      <c r="AX71" s="2396"/>
      <c r="AY71" s="2396"/>
      <c r="AZ71" s="2396"/>
    </row>
    <row r="72" spans="1:52" ht="18" customHeight="1">
      <c r="A72" s="2162"/>
      <c r="B72" s="808"/>
      <c r="C72" s="1366"/>
      <c r="D72" s="2952" t="s">
        <v>1016</v>
      </c>
      <c r="E72" s="808"/>
      <c r="F72" s="808"/>
      <c r="G72" s="808"/>
      <c r="H72" s="808"/>
      <c r="I72" s="808"/>
      <c r="J72" s="808"/>
      <c r="K72" s="808"/>
      <c r="L72" s="808"/>
      <c r="M72" s="808"/>
      <c r="N72" s="808"/>
      <c r="O72" s="808"/>
      <c r="P72" s="808"/>
      <c r="Q72" s="808"/>
      <c r="R72" s="808"/>
      <c r="S72" s="808"/>
      <c r="T72" s="808"/>
      <c r="U72" s="3281" t="s">
        <v>914</v>
      </c>
      <c r="V72" s="4133" t="s">
        <v>1017</v>
      </c>
      <c r="W72" s="6786"/>
      <c r="X72" s="6786"/>
      <c r="Y72" s="6786"/>
      <c r="Z72" s="6786"/>
      <c r="AA72" s="6787"/>
      <c r="AB72" s="3723"/>
      <c r="AC72" s="6790">
        <f>ROUND(W72,0)</f>
        <v>0</v>
      </c>
      <c r="AD72" s="6791"/>
      <c r="AE72" s="6791"/>
      <c r="AF72" s="6791"/>
      <c r="AG72" s="6791"/>
      <c r="AH72" s="2162"/>
      <c r="AI72" s="808"/>
      <c r="AJ72" s="260"/>
      <c r="AK72" s="808"/>
      <c r="AL72" s="3694"/>
      <c r="AM72" s="808"/>
      <c r="AN72" s="6705"/>
      <c r="AO72" s="808"/>
      <c r="AP72" s="2396"/>
      <c r="AQ72" s="2396"/>
      <c r="AR72" s="2396"/>
      <c r="AS72" s="2396"/>
      <c r="AT72" s="2396"/>
      <c r="AU72" s="2396"/>
      <c r="AV72" s="2396"/>
      <c r="AW72" s="2396"/>
      <c r="AX72" s="2396"/>
      <c r="AY72" s="2396"/>
      <c r="AZ72" s="2396"/>
    </row>
    <row r="73" spans="1:52" ht="12.75" customHeight="1">
      <c r="A73" s="2162"/>
      <c r="B73" s="808"/>
      <c r="C73" s="1366" t="s">
        <v>648</v>
      </c>
      <c r="D73" s="2112" t="s">
        <v>1018</v>
      </c>
      <c r="E73" s="808"/>
      <c r="F73" s="808"/>
      <c r="G73" s="808"/>
      <c r="H73" s="808"/>
      <c r="I73" s="808"/>
      <c r="J73" s="808"/>
      <c r="K73" s="808"/>
      <c r="L73" s="808"/>
      <c r="M73" s="808"/>
      <c r="N73" s="808"/>
      <c r="O73" s="808"/>
      <c r="P73" s="808"/>
      <c r="Q73" s="808"/>
      <c r="R73" s="808"/>
      <c r="S73" s="808"/>
      <c r="T73" s="808"/>
      <c r="U73" s="808"/>
      <c r="V73" s="4135"/>
      <c r="W73" s="6792"/>
      <c r="X73" s="6793"/>
      <c r="Y73" s="6793"/>
      <c r="Z73" s="6793"/>
      <c r="AA73" s="6794"/>
      <c r="AB73" s="3723"/>
      <c r="AC73" s="4375"/>
      <c r="AD73" s="4408"/>
      <c r="AE73" s="4408"/>
      <c r="AF73" s="4408"/>
      <c r="AG73" s="4408"/>
      <c r="AH73" s="2162"/>
      <c r="AI73" s="808"/>
      <c r="AJ73" s="260"/>
      <c r="AK73" s="808"/>
      <c r="AL73" s="3694"/>
      <c r="AM73" s="808"/>
      <c r="AN73" s="6705"/>
      <c r="AO73" s="808"/>
      <c r="AP73" s="2396"/>
      <c r="AQ73" s="2396"/>
      <c r="AR73" s="2396"/>
      <c r="AS73" s="2396"/>
      <c r="AT73" s="2396"/>
      <c r="AU73" s="2396"/>
      <c r="AV73" s="2396"/>
      <c r="AW73" s="2396"/>
      <c r="AX73" s="2396"/>
      <c r="AY73" s="2396"/>
      <c r="AZ73" s="2396"/>
    </row>
    <row r="74" spans="1:52" ht="13.5" customHeight="1">
      <c r="A74" s="2162"/>
      <c r="B74" s="808"/>
      <c r="C74" s="1366"/>
      <c r="D74" s="2952" t="s">
        <v>5488</v>
      </c>
      <c r="E74" s="808"/>
      <c r="F74" s="808"/>
      <c r="G74" s="808"/>
      <c r="H74" s="808"/>
      <c r="I74" s="808"/>
      <c r="J74" s="808"/>
      <c r="K74" s="808"/>
      <c r="L74" s="808"/>
      <c r="M74" s="808"/>
      <c r="N74" s="808"/>
      <c r="O74" s="808"/>
      <c r="P74" s="808"/>
      <c r="Q74" s="808"/>
      <c r="R74" s="808"/>
      <c r="S74" s="808"/>
      <c r="T74" s="808"/>
      <c r="U74" s="3281" t="s">
        <v>914</v>
      </c>
      <c r="V74" s="4133" t="s">
        <v>1019</v>
      </c>
      <c r="W74" s="6786"/>
      <c r="X74" s="6786"/>
      <c r="Y74" s="6786"/>
      <c r="Z74" s="6786"/>
      <c r="AA74" s="6787"/>
      <c r="AB74" s="3723"/>
      <c r="AC74" s="6790">
        <f>ROUND(W74,0)</f>
        <v>0</v>
      </c>
      <c r="AD74" s="6791"/>
      <c r="AE74" s="6791"/>
      <c r="AF74" s="6791"/>
      <c r="AG74" s="6791"/>
      <c r="AH74" s="2162"/>
      <c r="AI74" s="808"/>
      <c r="AJ74" s="260"/>
      <c r="AK74" s="808"/>
      <c r="AL74" s="3694"/>
      <c r="AM74" s="808"/>
      <c r="AN74" s="3694"/>
      <c r="AO74" s="808"/>
      <c r="AP74" s="2396"/>
      <c r="AQ74" s="2396"/>
      <c r="AR74" s="2396"/>
      <c r="AS74" s="2396"/>
      <c r="AT74" s="2396"/>
      <c r="AU74" s="2396"/>
      <c r="AV74" s="2396"/>
      <c r="AW74" s="2396"/>
      <c r="AX74" s="2396"/>
      <c r="AY74" s="2396"/>
      <c r="AZ74" s="2396"/>
    </row>
    <row r="75" spans="1:52" ht="15.75" customHeight="1">
      <c r="A75" s="2162"/>
      <c r="B75" s="808"/>
      <c r="C75" s="1366" t="s">
        <v>652</v>
      </c>
      <c r="D75" s="2112" t="s">
        <v>1020</v>
      </c>
      <c r="E75" s="808"/>
      <c r="F75" s="808"/>
      <c r="G75" s="808"/>
      <c r="H75" s="808"/>
      <c r="I75" s="808"/>
      <c r="J75" s="808"/>
      <c r="K75" s="808"/>
      <c r="L75" s="808"/>
      <c r="M75" s="808"/>
      <c r="N75" s="808"/>
      <c r="O75" s="808"/>
      <c r="P75" s="808"/>
      <c r="Q75" s="808"/>
      <c r="R75" s="808"/>
      <c r="S75" s="808"/>
      <c r="T75" s="808"/>
      <c r="U75" s="3281" t="s">
        <v>930</v>
      </c>
      <c r="V75" s="4133" t="s">
        <v>1021</v>
      </c>
      <c r="W75" s="6786"/>
      <c r="X75" s="6786"/>
      <c r="Y75" s="6786"/>
      <c r="Z75" s="6786"/>
      <c r="AA75" s="6787"/>
      <c r="AB75" s="3723"/>
      <c r="AC75" s="6790">
        <f>ROUND(W75,0)</f>
        <v>0</v>
      </c>
      <c r="AD75" s="6791"/>
      <c r="AE75" s="6791"/>
      <c r="AF75" s="6791"/>
      <c r="AG75" s="6791"/>
      <c r="AH75" s="2162"/>
      <c r="AI75" s="808"/>
      <c r="AJ75" s="260"/>
      <c r="AK75" s="808"/>
      <c r="AL75" s="3694"/>
      <c r="AM75" s="808"/>
      <c r="AN75" s="3694"/>
      <c r="AO75" s="808"/>
      <c r="AP75" s="2396"/>
      <c r="AQ75" s="2396"/>
      <c r="AR75" s="2396"/>
      <c r="AS75" s="2396"/>
      <c r="AT75" s="2396"/>
      <c r="AU75" s="2396"/>
      <c r="AV75" s="2396"/>
      <c r="AW75" s="2396"/>
      <c r="AX75" s="2396"/>
      <c r="AY75" s="2396"/>
      <c r="AZ75" s="2396"/>
    </row>
    <row r="76" spans="1:52" ht="16.5" customHeight="1">
      <c r="A76" s="2162"/>
      <c r="B76" s="808"/>
      <c r="C76" s="1366" t="s">
        <v>656</v>
      </c>
      <c r="D76" s="2112" t="s">
        <v>5489</v>
      </c>
      <c r="E76" s="808"/>
      <c r="F76" s="808"/>
      <c r="G76" s="808"/>
      <c r="H76" s="808"/>
      <c r="I76" s="808"/>
      <c r="J76" s="808"/>
      <c r="K76" s="808"/>
      <c r="L76" s="808"/>
      <c r="M76" s="808"/>
      <c r="N76" s="808"/>
      <c r="O76" s="808"/>
      <c r="P76" s="808"/>
      <c r="Q76" s="808"/>
      <c r="R76" s="808"/>
      <c r="S76" s="808"/>
      <c r="T76" s="808"/>
      <c r="U76" s="808"/>
      <c r="V76" s="4135"/>
      <c r="W76" s="6792"/>
      <c r="X76" s="6793"/>
      <c r="Y76" s="6793"/>
      <c r="Z76" s="6793"/>
      <c r="AA76" s="6794"/>
      <c r="AB76" s="3723"/>
      <c r="AC76" s="4375"/>
      <c r="AD76" s="4408"/>
      <c r="AE76" s="4408"/>
      <c r="AF76" s="4408"/>
      <c r="AG76" s="4408"/>
      <c r="AH76" s="2162"/>
      <c r="AI76" s="808"/>
      <c r="AJ76" s="260"/>
      <c r="AK76" s="808"/>
      <c r="AL76" s="3694"/>
      <c r="AM76" s="808"/>
      <c r="AN76" s="3694"/>
      <c r="AO76" s="808"/>
      <c r="AP76" s="2396"/>
      <c r="AQ76" s="2396"/>
      <c r="AR76" s="2396"/>
      <c r="AS76" s="2396"/>
      <c r="AT76" s="2396"/>
      <c r="AU76" s="2396"/>
      <c r="AV76" s="2396"/>
      <c r="AW76" s="2396"/>
      <c r="AX76" s="2396"/>
      <c r="AY76" s="2396"/>
      <c r="AZ76" s="2396"/>
    </row>
    <row r="77" spans="1:52" ht="13.5" customHeight="1">
      <c r="A77" s="2162"/>
      <c r="B77" s="808"/>
      <c r="C77" s="1366"/>
      <c r="D77" s="2952" t="s">
        <v>5490</v>
      </c>
      <c r="E77" s="808"/>
      <c r="F77" s="808"/>
      <c r="G77" s="808"/>
      <c r="H77" s="808"/>
      <c r="I77" s="808"/>
      <c r="J77" s="808"/>
      <c r="K77" s="808"/>
      <c r="L77" s="808"/>
      <c r="M77" s="808"/>
      <c r="N77" s="808"/>
      <c r="O77" s="808"/>
      <c r="P77" s="808"/>
      <c r="Q77" s="808"/>
      <c r="R77" s="808"/>
      <c r="S77" s="808"/>
      <c r="T77" s="808"/>
      <c r="U77" s="3281" t="s">
        <v>2143</v>
      </c>
      <c r="V77" s="4133" t="s">
        <v>1022</v>
      </c>
      <c r="W77" s="6786"/>
      <c r="X77" s="6786"/>
      <c r="Y77" s="6786"/>
      <c r="Z77" s="6786"/>
      <c r="AA77" s="6787"/>
      <c r="AB77" s="3723"/>
      <c r="AC77" s="6790">
        <f>ROUND(W77,0)</f>
        <v>0</v>
      </c>
      <c r="AD77" s="6791"/>
      <c r="AE77" s="6791"/>
      <c r="AF77" s="6791"/>
      <c r="AG77" s="6791"/>
      <c r="AH77" s="2162"/>
      <c r="AI77" s="808"/>
      <c r="AJ77" s="260"/>
      <c r="AK77" s="808"/>
      <c r="AL77" s="3694"/>
      <c r="AM77" s="808"/>
      <c r="AN77" s="3694"/>
      <c r="AO77" s="808"/>
      <c r="AP77" s="2396"/>
      <c r="AQ77" s="2396"/>
      <c r="AR77" s="2396"/>
      <c r="AS77" s="2396"/>
      <c r="AT77" s="2396"/>
      <c r="AU77" s="2396"/>
      <c r="AV77" s="2396"/>
      <c r="AW77" s="2396"/>
      <c r="AX77" s="2396"/>
      <c r="AY77" s="2396"/>
      <c r="AZ77" s="2396"/>
    </row>
    <row r="78" spans="1:52" ht="16.5" customHeight="1">
      <c r="A78" s="2162"/>
      <c r="B78" s="808"/>
      <c r="C78" s="1366" t="s">
        <v>659</v>
      </c>
      <c r="D78" s="2112" t="s">
        <v>1023</v>
      </c>
      <c r="E78" s="808"/>
      <c r="F78" s="808"/>
      <c r="G78" s="808"/>
      <c r="H78" s="808"/>
      <c r="I78" s="808"/>
      <c r="J78" s="808"/>
      <c r="K78" s="808"/>
      <c r="L78" s="808"/>
      <c r="M78" s="808"/>
      <c r="N78" s="808"/>
      <c r="O78" s="808"/>
      <c r="P78" s="808"/>
      <c r="Q78" s="808"/>
      <c r="R78" s="808"/>
      <c r="S78" s="808"/>
      <c r="T78" s="808"/>
      <c r="U78" s="3281" t="s">
        <v>914</v>
      </c>
      <c r="V78" s="4133" t="s">
        <v>1024</v>
      </c>
      <c r="W78" s="6786"/>
      <c r="X78" s="6786"/>
      <c r="Y78" s="6786"/>
      <c r="Z78" s="6786"/>
      <c r="AA78" s="6787"/>
      <c r="AB78" s="3723"/>
      <c r="AC78" s="6790">
        <f>ROUND(W78,0)</f>
        <v>0</v>
      </c>
      <c r="AD78" s="6791"/>
      <c r="AE78" s="6791"/>
      <c r="AF78" s="6791"/>
      <c r="AG78" s="6791"/>
      <c r="AH78" s="2162"/>
      <c r="AI78" s="808"/>
      <c r="AJ78" s="260"/>
      <c r="AK78" s="808"/>
      <c r="AL78" s="3694"/>
      <c r="AM78" s="808"/>
      <c r="AN78" s="3694"/>
      <c r="AO78" s="808"/>
      <c r="AP78" s="2396"/>
      <c r="AQ78" s="2396"/>
      <c r="AR78" s="2396"/>
      <c r="AS78" s="2396"/>
      <c r="AT78" s="2396"/>
      <c r="AU78" s="2396"/>
      <c r="AV78" s="2396"/>
      <c r="AW78" s="2396"/>
      <c r="AX78" s="2396"/>
      <c r="AY78" s="2396"/>
      <c r="AZ78" s="2396"/>
    </row>
    <row r="79" spans="1:52" ht="13.5" customHeight="1">
      <c r="A79" s="2162"/>
      <c r="B79" s="808"/>
      <c r="C79" s="1366" t="s">
        <v>663</v>
      </c>
      <c r="D79" s="2112" t="s">
        <v>1025</v>
      </c>
      <c r="E79" s="808"/>
      <c r="F79" s="808"/>
      <c r="G79" s="808"/>
      <c r="H79" s="808"/>
      <c r="I79" s="808"/>
      <c r="J79" s="808"/>
      <c r="K79" s="808"/>
      <c r="L79" s="808"/>
      <c r="M79" s="808"/>
      <c r="N79" s="808"/>
      <c r="O79" s="808"/>
      <c r="P79" s="808"/>
      <c r="Q79" s="808"/>
      <c r="R79" s="808"/>
      <c r="S79" s="808"/>
      <c r="T79" s="808"/>
      <c r="U79" s="3281" t="s">
        <v>1026</v>
      </c>
      <c r="V79" s="4133" t="s">
        <v>1027</v>
      </c>
      <c r="W79" s="6786"/>
      <c r="X79" s="6786"/>
      <c r="Y79" s="6786"/>
      <c r="Z79" s="6786"/>
      <c r="AA79" s="6787"/>
      <c r="AB79" s="3723"/>
      <c r="AC79" s="6790">
        <f>ROUND(W79,0)</f>
        <v>0</v>
      </c>
      <c r="AD79" s="6791"/>
      <c r="AE79" s="6791"/>
      <c r="AF79" s="6791"/>
      <c r="AG79" s="6791"/>
      <c r="AH79" s="2162"/>
      <c r="AI79" s="808"/>
      <c r="AJ79" s="260"/>
      <c r="AK79" s="808"/>
      <c r="AL79" s="3694"/>
      <c r="AM79" s="808"/>
      <c r="AN79" s="3694"/>
      <c r="AO79" s="808"/>
      <c r="AP79" s="2396"/>
      <c r="AQ79" s="2396"/>
      <c r="AR79" s="2396"/>
      <c r="AS79" s="2396"/>
      <c r="AT79" s="2396"/>
      <c r="AU79" s="2396"/>
      <c r="AV79" s="2396"/>
      <c r="AW79" s="2396"/>
      <c r="AX79" s="2396"/>
      <c r="AY79" s="2396"/>
      <c r="AZ79" s="2396"/>
    </row>
    <row r="80" spans="1:52" ht="14.25" customHeight="1">
      <c r="A80" s="2162"/>
      <c r="B80" s="808"/>
      <c r="C80" s="1366" t="s">
        <v>668</v>
      </c>
      <c r="D80" s="2112" t="s">
        <v>1028</v>
      </c>
      <c r="E80" s="808"/>
      <c r="F80" s="808"/>
      <c r="G80" s="808"/>
      <c r="H80" s="808"/>
      <c r="I80" s="808"/>
      <c r="J80" s="808"/>
      <c r="K80" s="808"/>
      <c r="L80" s="808"/>
      <c r="M80" s="808"/>
      <c r="N80" s="808"/>
      <c r="O80" s="808"/>
      <c r="P80" s="808"/>
      <c r="Q80" s="808"/>
      <c r="R80" s="808"/>
      <c r="S80" s="808"/>
      <c r="T80" s="808"/>
      <c r="U80" s="808"/>
      <c r="V80" s="4135"/>
      <c r="W80" s="6792"/>
      <c r="X80" s="6793"/>
      <c r="Y80" s="6793"/>
      <c r="Z80" s="6793"/>
      <c r="AA80" s="6794"/>
      <c r="AB80" s="3723"/>
      <c r="AC80" s="4375"/>
      <c r="AD80" s="4408"/>
      <c r="AE80" s="4408"/>
      <c r="AF80" s="4408"/>
      <c r="AG80" s="4408"/>
      <c r="AH80" s="2162"/>
      <c r="AI80" s="808"/>
      <c r="AJ80" s="260"/>
      <c r="AK80" s="808"/>
      <c r="AL80" s="3694"/>
      <c r="AM80" s="808"/>
      <c r="AN80" s="3694"/>
      <c r="AO80" s="808"/>
      <c r="AP80" s="2396"/>
      <c r="AQ80" s="2396"/>
      <c r="AR80" s="2396"/>
      <c r="AS80" s="2396"/>
      <c r="AT80" s="2396"/>
      <c r="AU80" s="2396"/>
      <c r="AV80" s="2396"/>
      <c r="AW80" s="2396"/>
      <c r="AX80" s="2396"/>
      <c r="AY80" s="2396"/>
      <c r="AZ80" s="2396"/>
    </row>
    <row r="81" spans="1:53" ht="14.25" customHeight="1">
      <c r="A81" s="2162"/>
      <c r="B81" s="808"/>
      <c r="C81" s="1366"/>
      <c r="D81" s="2952" t="s">
        <v>1029</v>
      </c>
      <c r="E81" s="808"/>
      <c r="F81" s="808"/>
      <c r="G81" s="808"/>
      <c r="H81" s="808"/>
      <c r="I81" s="808"/>
      <c r="J81" s="808"/>
      <c r="K81" s="808"/>
      <c r="L81" s="808"/>
      <c r="M81" s="808"/>
      <c r="N81" s="808"/>
      <c r="O81" s="808"/>
      <c r="P81" s="808"/>
      <c r="Q81" s="808"/>
      <c r="R81" s="808"/>
      <c r="S81" s="808"/>
      <c r="T81" s="808"/>
      <c r="U81" s="3281" t="s">
        <v>994</v>
      </c>
      <c r="V81" s="4133" t="s">
        <v>1030</v>
      </c>
      <c r="W81" s="6786"/>
      <c r="X81" s="6786"/>
      <c r="Y81" s="6786"/>
      <c r="Z81" s="6786"/>
      <c r="AA81" s="6787"/>
      <c r="AB81" s="3723"/>
      <c r="AC81" s="6790">
        <f>ROUND(W81,0)</f>
        <v>0</v>
      </c>
      <c r="AD81" s="6791"/>
      <c r="AE81" s="6791"/>
      <c r="AF81" s="6791"/>
      <c r="AG81" s="6791"/>
      <c r="AH81" s="2162"/>
      <c r="AI81" s="808"/>
      <c r="AJ81" s="260"/>
      <c r="AK81" s="808"/>
      <c r="AL81" s="3694"/>
      <c r="AM81" s="808"/>
      <c r="AN81" s="3694"/>
      <c r="AO81" s="808"/>
      <c r="AP81" s="2396"/>
      <c r="AQ81" s="2396"/>
      <c r="AR81" s="2396"/>
      <c r="AS81" s="2396"/>
      <c r="AT81" s="2396"/>
      <c r="AU81" s="2396"/>
      <c r="AV81" s="2396"/>
      <c r="AW81" s="2396"/>
      <c r="AX81" s="2396"/>
      <c r="AY81" s="2396"/>
      <c r="AZ81" s="2396"/>
    </row>
    <row r="82" spans="1:53" ht="15.75" customHeight="1">
      <c r="A82" s="2162"/>
      <c r="B82" s="808"/>
      <c r="C82" s="1366" t="s">
        <v>672</v>
      </c>
      <c r="D82" s="2112" t="s">
        <v>1031</v>
      </c>
      <c r="E82" s="808"/>
      <c r="F82" s="808"/>
      <c r="G82" s="808"/>
      <c r="H82" s="808"/>
      <c r="I82" s="808"/>
      <c r="J82" s="808"/>
      <c r="K82" s="808"/>
      <c r="L82" s="808"/>
      <c r="M82" s="808"/>
      <c r="N82" s="808"/>
      <c r="O82" s="808"/>
      <c r="P82" s="808"/>
      <c r="Q82" s="808"/>
      <c r="R82" s="808"/>
      <c r="S82" s="808"/>
      <c r="T82" s="808"/>
      <c r="U82" s="808"/>
      <c r="V82" s="4134"/>
      <c r="W82" s="6818"/>
      <c r="X82" s="6819"/>
      <c r="Y82" s="6819"/>
      <c r="Z82" s="6819"/>
      <c r="AA82" s="6820"/>
      <c r="AB82" s="3723"/>
      <c r="AC82" s="4375"/>
      <c r="AD82" s="4408"/>
      <c r="AE82" s="4408"/>
      <c r="AF82" s="4408"/>
      <c r="AG82" s="4408"/>
      <c r="AH82" s="2162"/>
      <c r="AI82" s="808"/>
      <c r="AJ82" s="260"/>
      <c r="AK82" s="808"/>
      <c r="AL82" s="3694"/>
      <c r="AM82" s="808"/>
      <c r="AN82" s="3694"/>
      <c r="AO82" s="808"/>
      <c r="AP82" s="2396"/>
      <c r="AQ82" s="2396"/>
      <c r="AR82" s="2396"/>
      <c r="AS82" s="2396"/>
      <c r="AT82" s="2396"/>
      <c r="AU82" s="2396"/>
      <c r="AV82" s="2396"/>
      <c r="AW82" s="2396"/>
      <c r="AX82" s="2396"/>
      <c r="AY82" s="2396"/>
      <c r="AZ82" s="2396"/>
    </row>
    <row r="83" spans="1:53" ht="14.25" customHeight="1">
      <c r="A83" s="2162"/>
      <c r="B83" s="808"/>
      <c r="C83" s="1366"/>
      <c r="D83" s="2112" t="s">
        <v>1032</v>
      </c>
      <c r="E83" s="808"/>
      <c r="F83" s="808"/>
      <c r="G83" s="808"/>
      <c r="H83" s="808"/>
      <c r="I83" s="808"/>
      <c r="J83" s="808"/>
      <c r="K83" s="808"/>
      <c r="L83" s="808"/>
      <c r="M83" s="808"/>
      <c r="N83" s="808"/>
      <c r="O83" s="808"/>
      <c r="P83" s="808"/>
      <c r="Q83" s="808"/>
      <c r="R83" s="808"/>
      <c r="S83" s="808"/>
      <c r="T83" s="808"/>
      <c r="U83" s="808"/>
      <c r="V83" s="4135"/>
      <c r="W83" s="6792"/>
      <c r="X83" s="6793"/>
      <c r="Y83" s="6793"/>
      <c r="Z83" s="6793"/>
      <c r="AA83" s="6794"/>
      <c r="AB83" s="3723"/>
      <c r="AC83" s="4375"/>
      <c r="AD83" s="4408"/>
      <c r="AE83" s="4408"/>
      <c r="AF83" s="4408"/>
      <c r="AG83" s="4408"/>
      <c r="AH83" s="2162"/>
      <c r="AI83" s="808"/>
      <c r="AJ83" s="260"/>
      <c r="AK83" s="808"/>
      <c r="AL83" s="3694"/>
      <c r="AM83" s="808"/>
      <c r="AN83" s="3694"/>
      <c r="AO83" s="808"/>
      <c r="AP83" s="2396"/>
      <c r="AQ83" s="2396"/>
      <c r="AR83" s="2396"/>
      <c r="AS83" s="2396"/>
      <c r="AT83" s="2396"/>
      <c r="AU83" s="2396"/>
      <c r="AV83" s="2396"/>
      <c r="AW83" s="2396"/>
      <c r="AX83" s="2396"/>
      <c r="AY83" s="2396"/>
      <c r="AZ83" s="2396"/>
    </row>
    <row r="84" spans="1:53" ht="14.25" customHeight="1">
      <c r="A84" s="2162"/>
      <c r="B84" s="808"/>
      <c r="C84" s="1366"/>
      <c r="D84" s="2112" t="s">
        <v>1033</v>
      </c>
      <c r="E84" s="808"/>
      <c r="F84" s="808"/>
      <c r="G84" s="808"/>
      <c r="H84" s="808"/>
      <c r="I84" s="808"/>
      <c r="J84" s="808"/>
      <c r="K84" s="808"/>
      <c r="L84" s="808"/>
      <c r="M84" s="808"/>
      <c r="N84" s="808"/>
      <c r="O84" s="808"/>
      <c r="P84" s="808"/>
      <c r="Q84" s="808"/>
      <c r="R84" s="808"/>
      <c r="S84" s="808"/>
      <c r="T84" s="808"/>
      <c r="U84" s="3281" t="s">
        <v>1034</v>
      </c>
      <c r="V84" s="4133" t="s">
        <v>1035</v>
      </c>
      <c r="W84" s="6786"/>
      <c r="X84" s="6786"/>
      <c r="Y84" s="6786"/>
      <c r="Z84" s="6786"/>
      <c r="AA84" s="6787"/>
      <c r="AB84" s="3723"/>
      <c r="AC84" s="6790">
        <f>ROUND(W84,0)</f>
        <v>0</v>
      </c>
      <c r="AD84" s="6791"/>
      <c r="AE84" s="6791"/>
      <c r="AF84" s="6791"/>
      <c r="AG84" s="6791"/>
      <c r="AH84" s="2162"/>
      <c r="AI84" s="808"/>
      <c r="AJ84" s="260"/>
      <c r="AK84" s="808"/>
      <c r="AL84" s="3694"/>
      <c r="AM84" s="808"/>
      <c r="AN84" s="3694"/>
      <c r="AO84" s="808"/>
      <c r="AP84" s="2396"/>
      <c r="AQ84" s="2396"/>
      <c r="AR84" s="2396"/>
      <c r="AS84" s="2396"/>
      <c r="AT84" s="2396"/>
      <c r="AU84" s="2396"/>
      <c r="AV84" s="2396"/>
      <c r="AW84" s="2396"/>
      <c r="AX84" s="2396"/>
      <c r="AY84" s="2396"/>
      <c r="AZ84" s="2396"/>
    </row>
    <row r="85" spans="1:53" ht="15.75" customHeight="1">
      <c r="A85" s="2162"/>
      <c r="B85" s="808"/>
      <c r="C85" s="1366" t="s">
        <v>928</v>
      </c>
      <c r="D85" s="2112" t="s">
        <v>1036</v>
      </c>
      <c r="E85" s="808"/>
      <c r="F85" s="808"/>
      <c r="G85" s="808"/>
      <c r="H85" s="808"/>
      <c r="I85" s="808"/>
      <c r="J85" s="808"/>
      <c r="K85" s="808"/>
      <c r="L85" s="808"/>
      <c r="M85" s="808"/>
      <c r="N85" s="808"/>
      <c r="O85" s="808"/>
      <c r="P85" s="808"/>
      <c r="Q85" s="808"/>
      <c r="R85" s="808"/>
      <c r="S85" s="808"/>
      <c r="T85" s="808"/>
      <c r="U85" s="3281" t="s">
        <v>1037</v>
      </c>
      <c r="V85" s="4133" t="s">
        <v>1038</v>
      </c>
      <c r="W85" s="6805">
        <f>IF(AJ85&lt;&gt;"",ROUND(AJ85,0),ForeignHousingDeductionTotal)</f>
        <v>0</v>
      </c>
      <c r="X85" s="6805"/>
      <c r="Y85" s="6805"/>
      <c r="Z85" s="6805"/>
      <c r="AA85" s="6806"/>
      <c r="AB85" s="3723"/>
      <c r="AC85" s="6790">
        <f>ROUND(W85,0)</f>
        <v>0</v>
      </c>
      <c r="AD85" s="6791"/>
      <c r="AE85" s="6791"/>
      <c r="AF85" s="6791"/>
      <c r="AG85" s="6791"/>
      <c r="AH85" s="2162"/>
      <c r="AI85" s="808"/>
      <c r="AJ85" s="2266"/>
      <c r="AK85" s="808"/>
      <c r="AL85" s="892" t="s">
        <v>1039</v>
      </c>
      <c r="AM85" s="808"/>
      <c r="AN85" s="3694"/>
      <c r="AO85" s="808"/>
      <c r="AP85" s="2396"/>
      <c r="AQ85" s="2396"/>
      <c r="AR85" s="2396"/>
      <c r="AS85" s="2396"/>
      <c r="AT85" s="2396"/>
      <c r="AU85" s="2396"/>
      <c r="AV85" s="2396"/>
      <c r="AW85" s="2396"/>
      <c r="AX85" s="2396"/>
      <c r="AY85" s="2396"/>
      <c r="AZ85" s="2396"/>
    </row>
    <row r="86" spans="1:53" ht="16.5" customHeight="1">
      <c r="A86" s="2162"/>
      <c r="B86" s="808"/>
      <c r="C86" s="1366" t="s">
        <v>932</v>
      </c>
      <c r="D86" s="2112" t="s">
        <v>1040</v>
      </c>
      <c r="E86" s="808"/>
      <c r="F86" s="808"/>
      <c r="G86" s="808"/>
      <c r="H86" s="808"/>
      <c r="I86" s="808"/>
      <c r="J86" s="808"/>
      <c r="K86" s="808"/>
      <c r="L86" s="808"/>
      <c r="M86" s="808"/>
      <c r="N86" s="808"/>
      <c r="O86" s="808"/>
      <c r="P86" s="808"/>
      <c r="Q86" s="808"/>
      <c r="R86" s="808"/>
      <c r="S86" s="808"/>
      <c r="T86" s="808"/>
      <c r="U86" s="808"/>
      <c r="V86" s="4135"/>
      <c r="W86" s="6792"/>
      <c r="X86" s="6793"/>
      <c r="Y86" s="6793"/>
      <c r="Z86" s="6793"/>
      <c r="AA86" s="6794"/>
      <c r="AB86" s="3723"/>
      <c r="AC86" s="4375"/>
      <c r="AD86" s="4408"/>
      <c r="AE86" s="4408"/>
      <c r="AF86" s="4408"/>
      <c r="AG86" s="4408"/>
      <c r="AH86" s="2162"/>
      <c r="AI86" s="808"/>
      <c r="AJ86" s="260"/>
      <c r="AK86" s="808"/>
      <c r="AL86" s="3694"/>
      <c r="AM86" s="808"/>
      <c r="AN86" s="3694"/>
      <c r="AO86" s="808"/>
      <c r="AP86" s="2396"/>
      <c r="AQ86" s="2396"/>
      <c r="AR86" s="2396"/>
      <c r="AS86" s="2396"/>
      <c r="AT86" s="2396"/>
      <c r="AU86" s="2396"/>
      <c r="AV86" s="2396"/>
      <c r="AW86" s="2396"/>
      <c r="AX86" s="2396"/>
      <c r="AY86" s="2396"/>
      <c r="AZ86" s="2396"/>
    </row>
    <row r="87" spans="1:53" ht="14.25" customHeight="1">
      <c r="A87" s="2162"/>
      <c r="B87" s="808"/>
      <c r="C87" s="1366"/>
      <c r="D87" s="2112" t="s">
        <v>1041</v>
      </c>
      <c r="E87" s="808"/>
      <c r="F87" s="808"/>
      <c r="G87" s="808"/>
      <c r="H87" s="808"/>
      <c r="I87" s="808"/>
      <c r="J87" s="808"/>
      <c r="K87" s="808"/>
      <c r="L87" s="808"/>
      <c r="M87" s="808"/>
      <c r="N87" s="808"/>
      <c r="O87" s="808"/>
      <c r="P87" s="808"/>
      <c r="Q87" s="808"/>
      <c r="R87" s="808"/>
      <c r="S87" s="808"/>
      <c r="T87" s="808"/>
      <c r="U87" s="3281" t="s">
        <v>1005</v>
      </c>
      <c r="V87" s="4133" t="s">
        <v>1030</v>
      </c>
      <c r="W87" s="6786"/>
      <c r="X87" s="6786"/>
      <c r="Y87" s="6786"/>
      <c r="Z87" s="6786"/>
      <c r="AA87" s="6787"/>
      <c r="AB87" s="3723"/>
      <c r="AC87" s="6790">
        <f>ROUND(W87,0)</f>
        <v>0</v>
      </c>
      <c r="AD87" s="6791"/>
      <c r="AE87" s="6791"/>
      <c r="AF87" s="6791"/>
      <c r="AG87" s="6791"/>
      <c r="AH87" s="2162"/>
      <c r="AI87" s="808"/>
      <c r="AJ87" s="260"/>
      <c r="AK87" s="808"/>
      <c r="AL87" s="3694"/>
      <c r="AM87" s="808"/>
      <c r="AN87" s="3694"/>
      <c r="AO87" s="808"/>
      <c r="AP87" s="2396"/>
      <c r="AQ87" s="2396"/>
      <c r="AR87" s="2396"/>
      <c r="AS87" s="2396"/>
      <c r="AT87" s="2396"/>
      <c r="AU87" s="2396"/>
      <c r="AV87" s="2396"/>
      <c r="AW87" s="2396"/>
      <c r="AX87" s="2396"/>
      <c r="AY87" s="2396"/>
      <c r="AZ87" s="2396"/>
    </row>
    <row r="88" spans="1:53" ht="14.25" customHeight="1">
      <c r="A88" s="2162"/>
      <c r="B88" s="808"/>
      <c r="C88" s="1366" t="s">
        <v>675</v>
      </c>
      <c r="D88" s="2112" t="s">
        <v>1042</v>
      </c>
      <c r="E88" s="808"/>
      <c r="F88" s="808"/>
      <c r="G88" s="808"/>
      <c r="H88" s="808"/>
      <c r="I88" s="808"/>
      <c r="J88" s="808"/>
      <c r="K88" s="808"/>
      <c r="L88" s="808"/>
      <c r="M88" s="808"/>
      <c r="N88" s="808"/>
      <c r="O88" s="6803"/>
      <c r="P88" s="6804"/>
      <c r="Q88" s="6804"/>
      <c r="R88" s="6804"/>
      <c r="S88" s="6804"/>
      <c r="T88" s="6804"/>
      <c r="U88" s="808"/>
      <c r="V88" s="4135"/>
      <c r="W88" s="6792"/>
      <c r="X88" s="6793"/>
      <c r="Y88" s="6793"/>
      <c r="Z88" s="6793"/>
      <c r="AA88" s="6794"/>
      <c r="AB88" s="3723"/>
      <c r="AC88" s="4375"/>
      <c r="AD88" s="4408"/>
      <c r="AE88" s="4408"/>
      <c r="AF88" s="4408"/>
      <c r="AG88" s="4408"/>
      <c r="AH88" s="2162"/>
      <c r="AI88" s="808"/>
      <c r="AJ88" s="260"/>
      <c r="AK88" s="808"/>
      <c r="AL88" s="3694"/>
      <c r="AM88" s="808"/>
      <c r="AN88" s="3694"/>
      <c r="AO88" s="808"/>
      <c r="AP88" s="2396"/>
      <c r="AQ88" s="2396"/>
      <c r="AR88" s="2396"/>
      <c r="AS88" s="2396"/>
      <c r="AT88" s="2396"/>
      <c r="AU88" s="2396"/>
      <c r="AV88" s="2396"/>
      <c r="AW88" s="2396"/>
      <c r="AX88" s="2396"/>
      <c r="AY88" s="2396"/>
      <c r="AZ88" s="2396"/>
    </row>
    <row r="89" spans="1:53" ht="18" customHeight="1">
      <c r="A89" s="2162"/>
      <c r="B89" s="808"/>
      <c r="C89" s="1895"/>
      <c r="D89" s="6801"/>
      <c r="E89" s="6802"/>
      <c r="F89" s="6802"/>
      <c r="G89" s="6802"/>
      <c r="H89" s="6802"/>
      <c r="I89" s="6802"/>
      <c r="J89" s="6802"/>
      <c r="K89" s="6802"/>
      <c r="L89" s="6802"/>
      <c r="M89" s="6802"/>
      <c r="N89" s="6802"/>
      <c r="O89" s="6802"/>
      <c r="P89" s="6802"/>
      <c r="Q89" s="6802"/>
      <c r="R89" s="6802"/>
      <c r="S89" s="6802"/>
      <c r="T89" s="6802"/>
      <c r="U89" s="808"/>
      <c r="V89" s="4133" t="s">
        <v>1043</v>
      </c>
      <c r="W89" s="6786"/>
      <c r="X89" s="6786"/>
      <c r="Y89" s="6786"/>
      <c r="Z89" s="6786"/>
      <c r="AA89" s="6787"/>
      <c r="AB89" s="3723"/>
      <c r="AC89" s="6790">
        <f>ROUND(W89,0)</f>
        <v>0</v>
      </c>
      <c r="AD89" s="6791"/>
      <c r="AE89" s="6791"/>
      <c r="AF89" s="6791"/>
      <c r="AG89" s="6791"/>
      <c r="AH89" s="2162"/>
      <c r="AI89" s="808"/>
      <c r="AJ89" s="260"/>
      <c r="AK89" s="808"/>
      <c r="AL89" s="3694"/>
      <c r="AM89" s="808"/>
      <c r="AN89" s="3694"/>
      <c r="AO89" s="808"/>
      <c r="AP89" s="2396"/>
      <c r="AQ89" s="2396"/>
      <c r="AR89" s="2396"/>
      <c r="AS89" s="2396"/>
      <c r="AT89" s="2396"/>
      <c r="AU89" s="2396"/>
      <c r="AV89" s="2396"/>
      <c r="AW89" s="2396"/>
      <c r="AX89" s="2396"/>
      <c r="AY89" s="2396"/>
      <c r="AZ89" s="2396"/>
    </row>
    <row r="90" spans="1:53" ht="18" customHeight="1">
      <c r="A90" s="2162"/>
      <c r="B90" s="808"/>
      <c r="C90" s="3243">
        <v>25</v>
      </c>
      <c r="D90" s="2112" t="s">
        <v>1044</v>
      </c>
      <c r="E90" s="808"/>
      <c r="F90" s="808"/>
      <c r="G90" s="808"/>
      <c r="H90" s="808"/>
      <c r="I90" s="808"/>
      <c r="J90" s="808"/>
      <c r="K90" s="808"/>
      <c r="L90" s="808"/>
      <c r="M90" s="808"/>
      <c r="N90" s="808"/>
      <c r="O90" s="808"/>
      <c r="P90" s="808"/>
      <c r="Q90" s="808"/>
      <c r="R90" s="808"/>
      <c r="S90" s="808"/>
      <c r="T90" s="808"/>
      <c r="U90" s="808"/>
      <c r="V90" s="808"/>
      <c r="W90" s="808"/>
      <c r="X90" s="808"/>
      <c r="Y90" s="808"/>
      <c r="Z90" s="808"/>
      <c r="AA90" s="3281" t="s">
        <v>1034</v>
      </c>
      <c r="AB90" s="3724">
        <v>25</v>
      </c>
      <c r="AC90" s="6788">
        <f>IF(AJ90&lt;&gt;"",ROUND(AJ90,0),SUM(AC70,AC72,AC74:AG75,AC77:AG79,AC81,AC84,AC85,AC87,AC89))</f>
        <v>0</v>
      </c>
      <c r="AD90" s="6789"/>
      <c r="AE90" s="6789"/>
      <c r="AF90" s="6789"/>
      <c r="AG90" s="6789"/>
      <c r="AH90" s="2162"/>
      <c r="AI90" s="808"/>
      <c r="AJ90" s="2266"/>
      <c r="AK90" s="808"/>
      <c r="AL90" s="4142"/>
      <c r="AM90" s="808"/>
      <c r="AN90" s="4142"/>
      <c r="AO90" s="808"/>
      <c r="AP90" s="2396"/>
      <c r="AQ90" s="2396"/>
      <c r="AR90" s="2396"/>
      <c r="AS90" s="2396"/>
      <c r="AT90" s="2396"/>
      <c r="AU90" s="2396"/>
      <c r="AV90" s="2396"/>
      <c r="AW90" s="2396"/>
      <c r="AX90" s="2396"/>
      <c r="AY90" s="2396"/>
      <c r="AZ90" s="2396"/>
    </row>
    <row r="91" spans="1:53" ht="15.75" customHeight="1">
      <c r="A91" s="2162"/>
      <c r="B91" s="2112"/>
      <c r="C91" s="1895">
        <v>26</v>
      </c>
      <c r="D91" s="1108" t="s">
        <v>1045</v>
      </c>
      <c r="E91" s="808"/>
      <c r="F91" s="808"/>
      <c r="G91" s="808"/>
      <c r="H91" s="808"/>
      <c r="I91" s="808"/>
      <c r="J91" s="808"/>
      <c r="K91" s="808"/>
      <c r="L91" s="808"/>
      <c r="M91" s="808"/>
      <c r="N91" s="808"/>
      <c r="O91" s="808"/>
      <c r="P91" s="808"/>
      <c r="Q91" s="808"/>
      <c r="R91" s="808"/>
      <c r="S91" s="808"/>
      <c r="T91" s="808"/>
      <c r="U91" s="808"/>
      <c r="V91" s="808"/>
      <c r="W91" s="808"/>
      <c r="X91" s="808"/>
      <c r="Y91" s="808"/>
      <c r="Z91" s="808"/>
      <c r="AA91" s="808"/>
      <c r="AB91" s="3725"/>
      <c r="AC91" s="6718">
        <f>SUM(EducatorExpenses,ROUND(CertainBusinessExp,0),HSA_Deduct,ROUND(MovExp_ArmedForces,0),SE_Deduct,ROUND(SEP_Plan_Deduct,0),ROUND(SEHealthInsDeduct,0),PenaltyEarlyWithdraw,ROUND(AlimonyPaid,0),IRADeduct,StudentLoanIntDeduct,ROUND(AC67,0))</f>
        <v>0</v>
      </c>
      <c r="AD91" s="6776"/>
      <c r="AE91" s="6776"/>
      <c r="AF91" s="6776"/>
      <c r="AG91" s="6777"/>
      <c r="AH91" s="2162"/>
      <c r="AI91" s="808"/>
      <c r="AJ91" s="260"/>
      <c r="AK91" s="808"/>
      <c r="AL91" s="808"/>
      <c r="AM91" s="808"/>
      <c r="AN91" s="808"/>
      <c r="AO91" s="808"/>
      <c r="AP91" s="2396"/>
      <c r="AQ91" s="2396"/>
      <c r="AR91" s="2396"/>
      <c r="AS91" s="2396"/>
      <c r="AT91" s="2396"/>
      <c r="AU91" s="2396"/>
      <c r="AV91" s="2396"/>
      <c r="AW91" s="2396"/>
      <c r="AX91" s="2396"/>
      <c r="AY91" s="2396"/>
      <c r="AZ91" s="2396"/>
    </row>
    <row r="92" spans="1:53" ht="13.5" customHeight="1">
      <c r="A92" s="2162"/>
      <c r="B92" s="2112"/>
      <c r="C92" s="2177"/>
      <c r="D92" s="1108" t="s">
        <v>5664</v>
      </c>
      <c r="E92" s="808"/>
      <c r="F92" s="808"/>
      <c r="G92" s="808"/>
      <c r="H92" s="808"/>
      <c r="I92" s="808"/>
      <c r="J92" s="808"/>
      <c r="K92" s="808"/>
      <c r="L92" s="808"/>
      <c r="M92" s="808"/>
      <c r="N92" s="808"/>
      <c r="O92" s="3720"/>
      <c r="P92" s="1040"/>
      <c r="Q92" s="1040"/>
      <c r="R92" s="1040"/>
      <c r="S92" s="1040"/>
      <c r="T92" s="1040"/>
      <c r="U92" s="1040"/>
      <c r="V92" s="1040"/>
      <c r="W92" s="1040"/>
      <c r="X92" s="1040"/>
      <c r="Y92" s="1040"/>
      <c r="Z92" s="1040"/>
      <c r="AA92" s="3281" t="s">
        <v>5665</v>
      </c>
      <c r="AB92" s="6780">
        <v>26</v>
      </c>
      <c r="AC92" s="6782">
        <f>IF(AJ92&lt;&gt;"",ROUND(AJ92,0),SUM(AC53,AC55:AC62,AC65:AC66,AC68,AC90))</f>
        <v>0</v>
      </c>
      <c r="AD92" s="6783"/>
      <c r="AE92" s="6783"/>
      <c r="AF92" s="6783"/>
      <c r="AG92" s="6783"/>
      <c r="AH92" s="2162"/>
      <c r="AI92" s="808"/>
      <c r="AJ92" s="2266"/>
      <c r="AK92" s="808"/>
      <c r="AL92" s="2633"/>
      <c r="AM92" s="808"/>
      <c r="AN92" s="2633"/>
      <c r="AO92" s="808"/>
      <c r="AP92" s="2396"/>
      <c r="AQ92" s="2396"/>
      <c r="AR92" s="2396"/>
      <c r="AS92" s="2396"/>
      <c r="AT92" s="2396"/>
      <c r="AU92" s="2396"/>
      <c r="AV92" s="2396"/>
      <c r="AW92" s="2396"/>
      <c r="AX92" s="2396"/>
      <c r="AY92" s="2396"/>
      <c r="AZ92" s="2396"/>
    </row>
    <row r="93" spans="1:53" ht="5.25" customHeight="1" thickBot="1">
      <c r="A93" s="2162"/>
      <c r="B93" s="2112"/>
      <c r="C93" s="2177"/>
      <c r="D93" s="2112"/>
      <c r="E93" s="808"/>
      <c r="F93" s="808"/>
      <c r="G93" s="808"/>
      <c r="H93" s="808"/>
      <c r="I93" s="808"/>
      <c r="J93" s="808"/>
      <c r="K93" s="808"/>
      <c r="L93" s="808"/>
      <c r="M93" s="808"/>
      <c r="N93" s="808"/>
      <c r="O93" s="808"/>
      <c r="P93" s="808"/>
      <c r="Q93" s="808"/>
      <c r="R93" s="808"/>
      <c r="S93" s="808"/>
      <c r="T93" s="808"/>
      <c r="U93" s="808"/>
      <c r="V93" s="808"/>
      <c r="W93" s="808"/>
      <c r="X93" s="808"/>
      <c r="Y93" s="808"/>
      <c r="Z93" s="808"/>
      <c r="AA93" s="808"/>
      <c r="AB93" s="6781"/>
      <c r="AC93" s="6784"/>
      <c r="AD93" s="6785"/>
      <c r="AE93" s="6785"/>
      <c r="AF93" s="6785"/>
      <c r="AG93" s="6785"/>
      <c r="AH93" s="2162"/>
      <c r="AI93" s="808"/>
      <c r="AJ93" s="3438"/>
      <c r="AK93" s="808"/>
      <c r="AL93" s="2633"/>
      <c r="AM93" s="808"/>
      <c r="AN93" s="2633"/>
      <c r="AO93" s="808"/>
      <c r="AP93" s="2396"/>
      <c r="AQ93" s="2396"/>
      <c r="AR93" s="2396"/>
      <c r="AS93" s="2396"/>
      <c r="AT93" s="2396"/>
      <c r="AU93" s="2396"/>
      <c r="AV93" s="2396"/>
      <c r="AW93" s="2396"/>
      <c r="AX93" s="2396"/>
      <c r="AY93" s="2396"/>
      <c r="AZ93" s="2396"/>
    </row>
    <row r="94" spans="1:53" ht="14.25" customHeight="1">
      <c r="A94" s="2162"/>
      <c r="B94" s="980"/>
      <c r="C94" s="2379"/>
      <c r="D94" s="890"/>
      <c r="E94" s="890"/>
      <c r="F94" s="890"/>
      <c r="G94" s="890"/>
      <c r="H94" s="890"/>
      <c r="I94" s="890"/>
      <c r="J94" s="890"/>
      <c r="K94" s="890"/>
      <c r="L94" s="890"/>
      <c r="M94" s="890"/>
      <c r="N94" s="890"/>
      <c r="O94" s="890"/>
      <c r="P94" s="890"/>
      <c r="Q94" s="890"/>
      <c r="R94" s="890"/>
      <c r="S94" s="890"/>
      <c r="T94" s="2393"/>
      <c r="U94" s="2393"/>
      <c r="V94" s="890"/>
      <c r="W94" s="2381"/>
      <c r="X94" s="890"/>
      <c r="Y94" s="890"/>
      <c r="Z94" s="890"/>
      <c r="AA94" s="890"/>
      <c r="AB94" s="890"/>
      <c r="AC94" s="890"/>
      <c r="AD94" s="890"/>
      <c r="AE94" s="890"/>
      <c r="AF94" s="890"/>
      <c r="AG94" s="2380" t="str">
        <f>"Schedule 1 (Form 1040) "&amp;TaxYear</f>
        <v>Schedule 1 (Form 1040) 2023</v>
      </c>
      <c r="AH94" s="2162"/>
      <c r="AI94" s="808"/>
      <c r="AJ94" s="260"/>
      <c r="AK94" s="808"/>
      <c r="AL94" s="2633"/>
      <c r="AM94" s="808"/>
      <c r="AN94" s="2633"/>
      <c r="AO94" s="808"/>
      <c r="AP94" s="2396"/>
      <c r="AQ94" s="2396"/>
      <c r="AR94" s="2396"/>
      <c r="AS94" s="2396"/>
      <c r="AT94" s="2396"/>
      <c r="AU94" s="2396"/>
      <c r="AV94" s="2396"/>
      <c r="AW94" s="2396"/>
      <c r="AX94" s="2396"/>
      <c r="AY94" s="2396"/>
      <c r="AZ94" s="2396"/>
    </row>
    <row r="95" spans="1:53" ht="14.25" customHeight="1">
      <c r="A95" s="2162"/>
      <c r="B95" s="2162"/>
      <c r="C95" s="2162"/>
      <c r="D95" s="2162"/>
      <c r="E95" s="2162"/>
      <c r="F95" s="2162"/>
      <c r="G95" s="2162"/>
      <c r="H95" s="2162"/>
      <c r="I95" s="2162"/>
      <c r="J95" s="2162"/>
      <c r="K95" s="2162"/>
      <c r="L95" s="2162"/>
      <c r="M95" s="2162"/>
      <c r="N95" s="2162"/>
      <c r="O95" s="2162"/>
      <c r="P95" s="2162"/>
      <c r="Q95" s="2162"/>
      <c r="R95" s="2162"/>
      <c r="S95" s="2162"/>
      <c r="T95" s="2162"/>
      <c r="U95" s="2162"/>
      <c r="V95" s="4418"/>
      <c r="W95" s="2162"/>
      <c r="X95" s="2162"/>
      <c r="Y95" s="2162"/>
      <c r="Z95" s="2162"/>
      <c r="AA95" s="2162"/>
      <c r="AB95" s="2162"/>
      <c r="AC95" s="2162"/>
      <c r="AD95" s="2162"/>
      <c r="AE95" s="2162"/>
      <c r="AF95" s="2162"/>
      <c r="AG95" s="2162"/>
      <c r="AH95" s="2162"/>
      <c r="AI95" s="808"/>
      <c r="AJ95" s="260"/>
      <c r="AK95" s="808"/>
      <c r="AL95" s="808"/>
      <c r="AM95" s="808"/>
      <c r="AN95" s="808"/>
      <c r="AO95" s="808"/>
      <c r="AP95" s="2396"/>
      <c r="AQ95" s="2396"/>
      <c r="AR95" s="2396"/>
      <c r="AS95" s="2396"/>
      <c r="AT95" s="2396"/>
      <c r="AU95" s="2396"/>
      <c r="AV95" s="2396"/>
      <c r="AW95" s="2396"/>
      <c r="AX95" s="2396"/>
      <c r="AY95" s="2396"/>
      <c r="AZ95" s="2396"/>
    </row>
    <row r="96" spans="1:53" ht="14.25" customHeight="1">
      <c r="F96" s="4415"/>
      <c r="G96" s="4415"/>
      <c r="H96" s="4415"/>
      <c r="I96" s="4415"/>
      <c r="J96" s="4415"/>
      <c r="K96" s="4415"/>
      <c r="L96" s="4415"/>
      <c r="M96" s="4415"/>
      <c r="N96" s="4415"/>
      <c r="O96" s="4415"/>
      <c r="P96" s="4415"/>
      <c r="Q96" s="4415"/>
      <c r="R96" s="4415"/>
      <c r="S96" s="4415"/>
      <c r="T96" s="4415"/>
      <c r="U96" s="4415"/>
      <c r="V96" s="4415"/>
      <c r="W96" s="4415"/>
      <c r="X96" s="4415"/>
      <c r="Y96" s="4415"/>
      <c r="Z96" s="4415"/>
      <c r="AA96" s="4415"/>
      <c r="AB96" s="4415"/>
      <c r="AC96" s="4415"/>
      <c r="AD96" s="4415"/>
      <c r="AE96" s="4415"/>
      <c r="AF96" s="4415"/>
      <c r="AG96" s="4415"/>
      <c r="AH96" s="4415"/>
      <c r="AI96" s="4415"/>
      <c r="AJ96" s="4415"/>
      <c r="AK96" s="4415"/>
      <c r="AL96" s="4415"/>
      <c r="AM96" s="4415"/>
      <c r="AN96" s="4415"/>
      <c r="AO96" s="4415"/>
      <c r="AP96" s="4415"/>
      <c r="AQ96" s="4415"/>
      <c r="AR96" s="4415"/>
      <c r="AS96" s="4415"/>
      <c r="AT96" s="4415"/>
      <c r="AU96" s="4415"/>
      <c r="AV96" s="4415"/>
      <c r="AW96" s="4415"/>
      <c r="AX96" s="4415"/>
      <c r="AY96" s="4415"/>
      <c r="AZ96" s="4415"/>
      <c r="BA96" s="4415"/>
    </row>
    <row r="97" spans="2:53" ht="14.25" customHeight="1" thickBot="1">
      <c r="G97" s="4415"/>
      <c r="H97" s="4415"/>
      <c r="I97" s="4415"/>
      <c r="J97" s="4415"/>
      <c r="K97" s="4415"/>
      <c r="L97" s="4415"/>
      <c r="M97" s="4415"/>
      <c r="N97" s="4415"/>
      <c r="O97" s="4415"/>
      <c r="P97" s="4415"/>
      <c r="Q97" s="4415"/>
      <c r="R97" s="4415"/>
      <c r="S97" s="4415"/>
      <c r="T97" s="4415"/>
      <c r="U97" s="4415"/>
      <c r="V97" s="4415"/>
      <c r="W97" s="4415"/>
      <c r="X97" s="4415"/>
      <c r="Y97" s="4415"/>
      <c r="Z97" s="4415"/>
      <c r="AA97" s="4415"/>
      <c r="AB97" s="4415"/>
      <c r="AC97" s="4415"/>
      <c r="AD97" s="4415"/>
      <c r="AE97" s="4415"/>
      <c r="AF97" s="4415"/>
      <c r="AG97" s="4415"/>
      <c r="AH97" s="4415"/>
      <c r="AI97" s="4415"/>
      <c r="AJ97" s="4415"/>
      <c r="AK97" s="4415"/>
      <c r="AL97" s="4415"/>
      <c r="AM97" s="4415"/>
      <c r="AN97" s="4415"/>
      <c r="AO97" s="4415"/>
      <c r="AP97" s="4415"/>
      <c r="AQ97" s="4415"/>
      <c r="AR97" s="4415"/>
      <c r="AS97" s="4415"/>
      <c r="AT97" s="4415"/>
      <c r="AU97" s="4415"/>
      <c r="AV97" s="4415"/>
      <c r="AW97" s="4415"/>
      <c r="AX97" s="4415"/>
      <c r="AY97" s="4415"/>
      <c r="AZ97" s="4415"/>
      <c r="BA97" s="4415"/>
    </row>
    <row r="98" spans="2:53" ht="14.25" customHeight="1">
      <c r="B98" s="6767" t="s">
        <v>46</v>
      </c>
      <c r="C98" s="6768"/>
      <c r="D98" s="6768"/>
      <c r="E98" s="6769"/>
      <c r="G98" s="4415"/>
      <c r="H98" s="4415"/>
      <c r="I98" s="4415"/>
      <c r="J98" s="4415"/>
      <c r="K98" s="4415"/>
      <c r="L98" s="4415"/>
      <c r="M98" s="4415"/>
      <c r="N98" s="4415"/>
      <c r="O98" s="4415"/>
      <c r="P98" s="4415"/>
      <c r="Q98" s="4415"/>
      <c r="R98" s="4415"/>
      <c r="S98" s="4415"/>
      <c r="T98" s="4415"/>
      <c r="U98" s="4415"/>
      <c r="V98" s="4415"/>
      <c r="W98" s="4415"/>
      <c r="X98" s="4415"/>
      <c r="Y98" s="4415"/>
      <c r="Z98" s="4415"/>
      <c r="AA98" s="4415"/>
      <c r="AB98" s="4415"/>
      <c r="AC98" s="4415"/>
      <c r="AD98" s="4415"/>
      <c r="AE98" s="4415"/>
      <c r="AF98" s="4415"/>
      <c r="AG98" s="4415"/>
      <c r="AH98" s="4415"/>
      <c r="AI98" s="4416" t="str">
        <f t="shared" ref="AI98:AY98" si="2">IF(T98&lt;&gt;"",ROUND(T98,0),"")</f>
        <v/>
      </c>
      <c r="AJ98" s="4416" t="str">
        <f t="shared" si="2"/>
        <v/>
      </c>
      <c r="AK98" s="4416" t="str">
        <f>IF(V98&lt;&gt;"",ROUND(V98,0),"")</f>
        <v/>
      </c>
      <c r="AL98" s="4416" t="str">
        <f>IF(W98&lt;&gt;"",ROUND(W98,0),"")</f>
        <v/>
      </c>
      <c r="AM98" s="4416" t="str">
        <f>IF(X98&lt;&gt;"",ROUND(X98,0),"")</f>
        <v/>
      </c>
      <c r="AN98" s="4416" t="str">
        <f>IF(Y98&lt;&gt;"",ROUND(Y98,0),"")</f>
        <v/>
      </c>
      <c r="AO98" s="4416" t="str">
        <f>IF(Z98&lt;&gt;"",ROUND(Z98,0),"")</f>
        <v/>
      </c>
      <c r="AP98" s="4416" t="str">
        <f t="shared" si="2"/>
        <v/>
      </c>
      <c r="AQ98" s="4416" t="str">
        <f t="shared" si="2"/>
        <v/>
      </c>
      <c r="AR98" s="4416" t="str">
        <f t="shared" si="2"/>
        <v/>
      </c>
      <c r="AS98" s="4416" t="str">
        <f t="shared" si="2"/>
        <v/>
      </c>
      <c r="AT98" s="4416" t="str">
        <f t="shared" si="2"/>
        <v/>
      </c>
      <c r="AU98" s="4416" t="str">
        <f t="shared" si="2"/>
        <v/>
      </c>
      <c r="AV98" s="4416" t="str">
        <f t="shared" si="2"/>
        <v/>
      </c>
      <c r="AW98" s="4416" t="str">
        <f t="shared" si="2"/>
        <v/>
      </c>
      <c r="AX98" s="4416" t="str">
        <f t="shared" si="2"/>
        <v/>
      </c>
      <c r="AY98" s="4416" t="str">
        <f t="shared" si="2"/>
        <v/>
      </c>
      <c r="AZ98" s="4416" t="str">
        <f>IF(AK98&lt;&gt;"",ROUND(AK98,0),"")</f>
        <v/>
      </c>
      <c r="BA98" s="4416" t="str">
        <f>IF(AL98&lt;&gt;"",ROUND(AL98,0),"")</f>
        <v/>
      </c>
    </row>
    <row r="99" spans="2:53" ht="16.5" customHeight="1">
      <c r="B99" s="6770"/>
      <c r="C99" s="6771"/>
      <c r="D99" s="6771"/>
      <c r="E99" s="6772"/>
      <c r="G99" s="4415"/>
      <c r="H99" s="4415"/>
      <c r="I99" s="4415"/>
      <c r="J99" s="4415"/>
      <c r="K99" s="4415"/>
      <c r="L99" s="4415"/>
      <c r="M99" s="4415"/>
      <c r="N99" s="4415"/>
      <c r="O99" s="4415"/>
      <c r="P99" s="4415"/>
      <c r="Q99" s="4415"/>
      <c r="R99" s="4415"/>
      <c r="S99" s="4415"/>
      <c r="T99" s="4415"/>
      <c r="U99" s="4415"/>
      <c r="V99" s="4415"/>
      <c r="W99" s="4415"/>
      <c r="X99" s="4415"/>
      <c r="Y99" s="4415"/>
      <c r="Z99" s="4415"/>
      <c r="AA99" s="4415"/>
      <c r="AB99" s="4415"/>
      <c r="AC99" s="4415"/>
      <c r="AD99" s="4415"/>
      <c r="AE99" s="4415"/>
      <c r="AF99" s="4415"/>
      <c r="AG99" s="4415"/>
      <c r="AH99" s="4415"/>
      <c r="AI99" s="4416" t="str">
        <f>IF(T99&lt;&gt;"",ROUND(T99,0),"")</f>
        <v/>
      </c>
      <c r="AJ99" s="4143"/>
      <c r="AK99" s="4143"/>
      <c r="AL99" s="4143"/>
      <c r="AM99" s="4143"/>
      <c r="AN99" s="4143"/>
      <c r="AO99" s="4143"/>
      <c r="AP99" s="4143"/>
      <c r="AQ99" s="4143"/>
      <c r="AR99" s="4143"/>
      <c r="AS99" s="4143"/>
      <c r="AT99" s="4143"/>
      <c r="AU99" s="4143"/>
      <c r="AV99" s="4143"/>
      <c r="AW99" s="4143"/>
      <c r="AX99" s="4143"/>
      <c r="AY99" s="4143"/>
      <c r="AZ99" s="4143"/>
      <c r="BA99" s="4143"/>
    </row>
    <row r="100" spans="2:53" ht="13.5" thickBot="1">
      <c r="B100" s="6773"/>
      <c r="C100" s="6774"/>
      <c r="D100" s="6774"/>
      <c r="E100" s="6775"/>
      <c r="G100" s="4415"/>
      <c r="H100" s="4415"/>
      <c r="I100" s="4415"/>
      <c r="J100" s="4415"/>
      <c r="K100" s="4415"/>
      <c r="L100" s="4415"/>
      <c r="M100" s="4415"/>
      <c r="N100" s="4415"/>
      <c r="O100" s="4415"/>
      <c r="P100" s="4415"/>
      <c r="Q100" s="4415"/>
      <c r="R100" s="4415"/>
      <c r="S100" s="4415"/>
      <c r="T100" s="4415"/>
      <c r="U100" s="4415"/>
      <c r="V100" s="4415"/>
      <c r="W100" s="4415"/>
      <c r="X100" s="4415"/>
      <c r="Y100" s="4415"/>
      <c r="Z100" s="4415"/>
      <c r="AA100" s="4415"/>
      <c r="AB100" s="4415"/>
      <c r="AC100" s="4415"/>
      <c r="AD100" s="4415"/>
      <c r="AE100" s="4415"/>
      <c r="AF100" s="4415"/>
      <c r="AG100" s="4415"/>
      <c r="AH100" s="4415"/>
      <c r="AI100" s="4416" t="str">
        <f>IF(T100&lt;&gt;"",ROUND(T100,0),"")</f>
        <v/>
      </c>
      <c r="AJ100" s="4143"/>
      <c r="AK100" s="4143"/>
      <c r="AL100" s="4143"/>
      <c r="AM100" s="2672"/>
      <c r="AN100" s="2672"/>
      <c r="AO100" s="2672"/>
      <c r="AP100" s="2672"/>
      <c r="AQ100" s="2672"/>
      <c r="AR100" s="2672"/>
      <c r="AS100" s="2672"/>
      <c r="AT100" s="2672"/>
      <c r="AU100" s="2672"/>
      <c r="AV100" s="2672"/>
      <c r="AW100" s="2672"/>
      <c r="AX100" s="2672"/>
      <c r="AY100" s="2672"/>
      <c r="AZ100" s="2672"/>
      <c r="BA100" s="2672"/>
    </row>
    <row r="101" spans="2:53">
      <c r="G101" s="4415"/>
      <c r="H101" s="4415"/>
      <c r="I101" s="4415"/>
      <c r="J101" s="4415"/>
      <c r="K101" s="4415"/>
      <c r="L101" s="4415"/>
      <c r="M101" s="4415"/>
      <c r="N101" s="4415"/>
      <c r="O101" s="4415"/>
      <c r="P101" s="4415"/>
      <c r="Q101" s="4415"/>
      <c r="R101" s="4415"/>
      <c r="S101" s="4415"/>
      <c r="T101" s="4415"/>
      <c r="U101" s="4415"/>
      <c r="V101" s="4415"/>
      <c r="W101" s="4415"/>
      <c r="X101" s="4415"/>
      <c r="Y101" s="4415"/>
      <c r="Z101" s="4415"/>
      <c r="AA101" s="4415"/>
      <c r="AB101" s="4415"/>
      <c r="AC101" s="4415"/>
      <c r="AD101" s="4415"/>
      <c r="AE101" s="4415"/>
      <c r="AF101" s="4415"/>
      <c r="AG101" s="4415"/>
      <c r="AH101" s="4415"/>
      <c r="AI101" s="4416"/>
      <c r="AJ101" s="4143"/>
      <c r="AK101" s="4143"/>
      <c r="AL101" s="4143"/>
      <c r="AM101" s="2672"/>
      <c r="AN101" s="2672"/>
      <c r="AO101" s="2672"/>
      <c r="AP101" s="2672"/>
      <c r="AQ101" s="2672"/>
      <c r="AR101" s="2672"/>
      <c r="AS101" s="2672"/>
      <c r="AT101" s="2672"/>
      <c r="AU101" s="2672"/>
      <c r="AV101" s="2672"/>
      <c r="AW101" s="2672"/>
      <c r="AX101" s="2672"/>
      <c r="AY101" s="2672"/>
      <c r="AZ101" s="2672"/>
      <c r="BA101" s="2672"/>
    </row>
    <row r="102" spans="2:53">
      <c r="G102" s="4415"/>
      <c r="H102" s="4415"/>
      <c r="I102" s="4415"/>
      <c r="J102" s="4415"/>
      <c r="K102" s="4415"/>
      <c r="L102" s="4415"/>
      <c r="M102" s="4415"/>
      <c r="N102" s="4415"/>
      <c r="O102" s="4415"/>
      <c r="P102" s="4415"/>
      <c r="Q102" s="4415"/>
      <c r="R102" s="4415"/>
      <c r="S102" s="4415"/>
      <c r="T102" s="4415"/>
      <c r="U102" s="4415"/>
      <c r="V102" s="4415"/>
      <c r="W102" s="4415"/>
      <c r="X102" s="4415"/>
      <c r="Y102" s="4415"/>
      <c r="Z102" s="4415"/>
      <c r="AA102" s="4415"/>
      <c r="AB102" s="4415"/>
      <c r="AC102" s="4415"/>
      <c r="AD102" s="4415"/>
      <c r="AE102" s="4415"/>
      <c r="AF102" s="4415"/>
      <c r="AG102" s="4415"/>
      <c r="AH102" s="4415"/>
      <c r="AI102" s="4416" t="str">
        <f>IF(T102&lt;&gt;"",ROUND(T102,0),"")</f>
        <v/>
      </c>
      <c r="AJ102" s="4143"/>
      <c r="AK102" s="4143"/>
      <c r="AL102" s="4143"/>
      <c r="AM102" s="2672"/>
      <c r="AN102" s="2672"/>
      <c r="AO102" s="2672"/>
    </row>
    <row r="103" spans="2:53">
      <c r="G103" s="4415"/>
      <c r="H103" s="4415"/>
      <c r="I103" s="4415"/>
      <c r="J103" s="4415"/>
      <c r="K103" s="4415"/>
      <c r="L103" s="4415"/>
      <c r="M103" s="4415"/>
      <c r="N103" s="4415"/>
      <c r="O103" s="4415"/>
      <c r="P103" s="4415"/>
      <c r="Q103" s="4415"/>
      <c r="R103" s="4415"/>
      <c r="S103" s="4415"/>
      <c r="T103" s="4415"/>
      <c r="U103" s="4415"/>
      <c r="V103" s="4415"/>
      <c r="W103" s="4415"/>
      <c r="X103" s="4415"/>
      <c r="Y103" s="4415"/>
      <c r="Z103" s="4415"/>
      <c r="AA103" s="4415"/>
      <c r="AB103" s="4415"/>
      <c r="AC103" s="4415"/>
      <c r="AD103" s="4415"/>
      <c r="AE103" s="4415"/>
      <c r="AF103" s="4415"/>
      <c r="AG103" s="4415"/>
      <c r="AH103" s="4415"/>
      <c r="AI103" s="4416"/>
      <c r="AJ103" s="4143"/>
      <c r="AK103" s="4143"/>
      <c r="AL103" s="4143"/>
      <c r="AM103" s="2672"/>
      <c r="AN103" s="2672"/>
      <c r="AO103" s="2672"/>
    </row>
    <row r="104" spans="2:53">
      <c r="G104" s="4415"/>
      <c r="H104" s="4415"/>
      <c r="I104" s="4415"/>
      <c r="J104" s="4415"/>
      <c r="K104" s="4415"/>
      <c r="L104" s="4415"/>
      <c r="M104" s="4415"/>
      <c r="N104" s="4415"/>
      <c r="O104" s="4415"/>
      <c r="P104" s="4415"/>
      <c r="Q104" s="4415"/>
      <c r="R104" s="4415"/>
      <c r="S104" s="4415"/>
      <c r="T104" s="4415"/>
      <c r="U104" s="4415"/>
      <c r="V104" s="4415"/>
      <c r="W104" s="4415"/>
      <c r="X104" s="4415"/>
      <c r="Y104" s="4415"/>
      <c r="Z104" s="4415"/>
      <c r="AA104" s="4415"/>
      <c r="AB104" s="4415"/>
      <c r="AC104" s="4415"/>
      <c r="AD104" s="4415"/>
      <c r="AE104" s="4415"/>
      <c r="AF104" s="4415"/>
      <c r="AG104" s="4415"/>
      <c r="AH104" s="4415"/>
      <c r="AI104" s="4416" t="str">
        <f>IF(T104&lt;&gt;"",ROUND(T104,0),"")</f>
        <v/>
      </c>
      <c r="AJ104" s="4143"/>
      <c r="AK104" s="4415"/>
      <c r="AL104" s="4415"/>
      <c r="AN104" s="2672"/>
    </row>
    <row r="105" spans="2:53">
      <c r="G105" s="4415"/>
      <c r="H105" s="4415"/>
      <c r="I105" s="4415"/>
      <c r="J105" s="4415"/>
      <c r="K105" s="4415"/>
      <c r="L105" s="4415"/>
      <c r="M105" s="4415"/>
      <c r="N105" s="4415"/>
      <c r="O105" s="4415"/>
      <c r="P105" s="4415"/>
      <c r="Q105" s="4415"/>
      <c r="R105" s="4415"/>
      <c r="S105" s="4415"/>
      <c r="T105" s="4415"/>
      <c r="U105" s="4415"/>
      <c r="V105" s="4415"/>
      <c r="W105" s="4415"/>
      <c r="X105" s="4415"/>
      <c r="Y105" s="4415"/>
      <c r="Z105" s="4415"/>
      <c r="AA105" s="4415"/>
      <c r="AB105" s="4415"/>
      <c r="AC105" s="4415"/>
      <c r="AD105" s="4415"/>
      <c r="AE105" s="4415"/>
      <c r="AF105" s="4415"/>
      <c r="AG105" s="4415"/>
      <c r="AH105" s="4415"/>
      <c r="AI105" s="4416"/>
      <c r="AJ105" s="4143"/>
      <c r="AK105" s="4415"/>
      <c r="AL105" s="4415"/>
    </row>
    <row r="106" spans="2:53">
      <c r="G106" s="4415"/>
      <c r="H106" s="4415"/>
      <c r="I106" s="4415"/>
      <c r="J106" s="4415"/>
      <c r="K106" s="4415"/>
      <c r="L106" s="4415"/>
      <c r="M106" s="4415"/>
      <c r="N106" s="4415"/>
      <c r="O106" s="4415"/>
      <c r="P106" s="4415"/>
      <c r="Q106" s="4415"/>
      <c r="R106" s="4415"/>
      <c r="S106" s="4415"/>
      <c r="T106" s="4415"/>
      <c r="U106" s="4415"/>
      <c r="V106" s="4415"/>
      <c r="W106" s="4415"/>
      <c r="X106" s="4415"/>
      <c r="Y106" s="4415"/>
      <c r="Z106" s="4415"/>
      <c r="AA106" s="4415"/>
      <c r="AB106" s="4415"/>
      <c r="AC106" s="4415"/>
      <c r="AD106" s="4415"/>
      <c r="AE106" s="4415"/>
      <c r="AF106" s="4415"/>
      <c r="AG106" s="4415"/>
      <c r="AH106" s="4415"/>
      <c r="AI106" s="4416"/>
      <c r="AJ106" s="4143"/>
      <c r="AK106" s="4415"/>
      <c r="AL106" s="4415"/>
    </row>
    <row r="107" spans="2:53">
      <c r="G107" s="4415"/>
      <c r="H107" s="4415"/>
      <c r="I107" s="4415"/>
      <c r="J107" s="4415"/>
      <c r="K107" s="4415"/>
      <c r="L107" s="4415"/>
      <c r="M107" s="4415"/>
      <c r="N107" s="4415"/>
      <c r="O107" s="4415"/>
      <c r="P107" s="4415"/>
      <c r="Q107" s="4415"/>
      <c r="R107" s="4415"/>
      <c r="S107" s="4415"/>
      <c r="T107" s="4415"/>
      <c r="U107" s="4415"/>
      <c r="V107" s="4415"/>
      <c r="W107" s="4415"/>
      <c r="X107" s="4415"/>
      <c r="Y107" s="4415"/>
      <c r="Z107" s="4415"/>
      <c r="AA107" s="4415"/>
      <c r="AB107" s="4415"/>
      <c r="AC107" s="4415"/>
      <c r="AD107" s="4415"/>
      <c r="AE107" s="4415"/>
      <c r="AF107" s="4415"/>
      <c r="AG107" s="4415"/>
      <c r="AH107" s="4415"/>
      <c r="AI107" s="4416" t="str">
        <f>IF(T107&lt;&gt;"",ROUND(T107,0),"")</f>
        <v/>
      </c>
      <c r="AJ107" s="4143"/>
      <c r="AK107" s="4415"/>
      <c r="AL107" s="4415"/>
    </row>
    <row r="108" spans="2:53">
      <c r="G108" s="4415"/>
      <c r="H108" s="4415"/>
      <c r="I108" s="4415"/>
      <c r="J108" s="4415"/>
      <c r="K108" s="4415"/>
      <c r="L108" s="4415"/>
      <c r="M108" s="4415"/>
      <c r="N108" s="4415"/>
      <c r="O108" s="4415"/>
      <c r="P108" s="4415"/>
      <c r="Q108" s="4415"/>
      <c r="R108" s="4415"/>
      <c r="S108" s="4415"/>
      <c r="T108" s="4415"/>
      <c r="U108" s="4415"/>
      <c r="V108" s="4415"/>
      <c r="W108" s="4415"/>
      <c r="X108" s="4415"/>
      <c r="Y108" s="4415"/>
      <c r="Z108" s="4415"/>
      <c r="AA108" s="4415"/>
      <c r="AB108" s="4415"/>
      <c r="AC108" s="4415"/>
      <c r="AD108" s="4415"/>
      <c r="AE108" s="4415"/>
      <c r="AF108" s="4415"/>
      <c r="AG108" s="4415"/>
      <c r="AH108" s="4415"/>
      <c r="AI108" s="4416"/>
      <c r="AJ108" s="4143"/>
      <c r="AK108" s="4415"/>
      <c r="AL108" s="4415"/>
    </row>
    <row r="109" spans="2:53">
      <c r="G109" s="4415"/>
      <c r="H109" s="4415"/>
      <c r="I109" s="4415"/>
      <c r="J109" s="4415"/>
      <c r="K109" s="4415"/>
      <c r="L109" s="4415"/>
      <c r="M109" s="4415"/>
      <c r="N109" s="4415"/>
      <c r="O109" s="4415"/>
      <c r="P109" s="4415"/>
      <c r="Q109" s="4415"/>
      <c r="R109" s="4415"/>
      <c r="S109" s="4415"/>
      <c r="T109" s="4415"/>
      <c r="U109" s="4415"/>
      <c r="V109" s="4415"/>
      <c r="W109" s="4415"/>
      <c r="X109" s="4415"/>
      <c r="Y109" s="4415"/>
      <c r="Z109" s="4415"/>
      <c r="AA109" s="4415"/>
      <c r="AB109" s="4415"/>
      <c r="AC109" s="4415"/>
      <c r="AD109" s="4415"/>
      <c r="AE109" s="4415"/>
      <c r="AF109" s="4415"/>
      <c r="AG109" s="4415"/>
      <c r="AH109" s="4415"/>
      <c r="AI109" s="4416" t="str">
        <f>IF(T109&lt;&gt;"",ROUND(T109,0),"")</f>
        <v/>
      </c>
      <c r="AJ109" s="4143"/>
      <c r="AK109" s="4415"/>
      <c r="AL109" s="4415"/>
    </row>
    <row r="110" spans="2:53">
      <c r="G110" s="4415"/>
      <c r="H110" s="4415"/>
      <c r="I110" s="4415"/>
      <c r="J110" s="4415"/>
      <c r="K110" s="4415"/>
      <c r="L110" s="4415"/>
      <c r="M110" s="4415"/>
      <c r="N110" s="4415"/>
      <c r="O110" s="4415"/>
      <c r="P110" s="4415"/>
      <c r="Q110" s="4415"/>
      <c r="R110" s="4415"/>
      <c r="S110" s="4415"/>
      <c r="T110" s="4415"/>
      <c r="U110" s="4415"/>
      <c r="V110" s="4415"/>
      <c r="W110" s="4415"/>
      <c r="X110" s="4415"/>
      <c r="Y110" s="4415"/>
      <c r="Z110" s="4415"/>
      <c r="AA110" s="4415"/>
      <c r="AB110" s="4415"/>
      <c r="AC110" s="4415"/>
      <c r="AD110" s="4415"/>
      <c r="AE110" s="4415"/>
      <c r="AF110" s="4415"/>
      <c r="AG110" s="4415"/>
      <c r="AH110" s="4415"/>
      <c r="AI110" s="4416"/>
      <c r="AJ110" s="4143"/>
      <c r="AK110" s="4415"/>
      <c r="AL110" s="4415"/>
    </row>
    <row r="111" spans="2:53">
      <c r="G111" s="4415"/>
      <c r="H111" s="4415"/>
      <c r="I111" s="4415"/>
      <c r="J111" s="4415"/>
      <c r="K111" s="4415"/>
      <c r="L111" s="4415"/>
      <c r="M111" s="4415"/>
      <c r="N111" s="4415"/>
      <c r="O111" s="4415"/>
      <c r="P111" s="4415"/>
      <c r="Q111" s="4415"/>
      <c r="R111" s="4415"/>
      <c r="S111" s="4415"/>
      <c r="T111" s="4415"/>
      <c r="U111" s="4415"/>
      <c r="V111" s="4415"/>
      <c r="W111" s="4415"/>
      <c r="X111" s="4415"/>
      <c r="Y111" s="4415"/>
      <c r="Z111" s="4415"/>
      <c r="AA111" s="4415"/>
      <c r="AB111" s="4415"/>
      <c r="AC111" s="4415"/>
      <c r="AD111" s="4415"/>
      <c r="AE111" s="4415"/>
      <c r="AF111" s="4415"/>
      <c r="AG111" s="4415"/>
      <c r="AH111" s="4415"/>
      <c r="AI111" s="4416" t="str">
        <f>IF(T111&lt;&gt;"",ROUND(T111,0),"")</f>
        <v/>
      </c>
      <c r="AJ111" s="4143"/>
      <c r="AK111" s="4415"/>
      <c r="AL111" s="4415"/>
    </row>
    <row r="112" spans="2:53">
      <c r="G112" s="4415"/>
      <c r="H112" s="4415"/>
      <c r="I112" s="4415"/>
      <c r="J112" s="4415"/>
      <c r="K112" s="4415"/>
      <c r="L112" s="4415"/>
      <c r="M112" s="4415"/>
      <c r="N112" s="4415"/>
      <c r="O112" s="4415"/>
      <c r="P112" s="4415"/>
      <c r="Q112" s="4415"/>
      <c r="R112" s="4415"/>
      <c r="S112" s="4415"/>
      <c r="T112" s="4415"/>
      <c r="U112" s="4415"/>
      <c r="V112" s="4415"/>
      <c r="W112" s="4415"/>
      <c r="X112" s="4415"/>
      <c r="Y112" s="4415"/>
      <c r="Z112" s="4415"/>
      <c r="AA112" s="4415"/>
      <c r="AB112" s="4415"/>
      <c r="AC112" s="4415"/>
      <c r="AD112" s="4415"/>
      <c r="AE112" s="4415"/>
      <c r="AF112" s="4415"/>
      <c r="AG112" s="4415"/>
      <c r="AH112" s="4415"/>
      <c r="AI112" s="4416"/>
      <c r="AJ112" s="4143"/>
      <c r="AK112" s="4415"/>
      <c r="AL112" s="4415"/>
    </row>
    <row r="113" spans="7:38">
      <c r="G113" s="4415"/>
      <c r="H113" s="4415"/>
      <c r="I113" s="4415"/>
      <c r="J113" s="4415"/>
      <c r="K113" s="4415"/>
      <c r="L113" s="4415"/>
      <c r="M113" s="4415"/>
      <c r="N113" s="4415"/>
      <c r="O113" s="4415"/>
      <c r="P113" s="4415"/>
      <c r="Q113" s="4415"/>
      <c r="R113" s="4415"/>
      <c r="S113" s="4415"/>
      <c r="T113" s="4415"/>
      <c r="U113" s="4415"/>
      <c r="V113" s="4415"/>
      <c r="W113" s="4415"/>
      <c r="X113" s="4415"/>
      <c r="Y113" s="4415"/>
      <c r="Z113" s="4415"/>
      <c r="AA113" s="4415"/>
      <c r="AB113" s="4415"/>
      <c r="AC113" s="4415"/>
      <c r="AD113" s="4415"/>
      <c r="AE113" s="4415"/>
      <c r="AF113" s="4415"/>
      <c r="AG113" s="4415"/>
      <c r="AH113" s="4415"/>
      <c r="AI113" s="4416" t="str">
        <f>IF(T113&lt;&gt;"",ROUND(T113,0),"")</f>
        <v/>
      </c>
      <c r="AJ113" s="4143"/>
      <c r="AK113" s="4415"/>
      <c r="AL113" s="4415"/>
    </row>
    <row r="114" spans="7:38">
      <c r="G114" s="4415"/>
      <c r="H114" s="4415"/>
      <c r="I114" s="4415"/>
      <c r="J114" s="4415"/>
      <c r="K114" s="4415"/>
      <c r="L114" s="4415"/>
      <c r="M114" s="4415"/>
      <c r="N114" s="4415"/>
      <c r="O114" s="4415"/>
      <c r="P114" s="4415"/>
      <c r="Q114" s="4415"/>
      <c r="R114" s="4415"/>
      <c r="S114" s="4415"/>
      <c r="T114" s="4415"/>
      <c r="U114" s="4415"/>
      <c r="V114" s="4415"/>
      <c r="W114" s="4415"/>
      <c r="X114" s="4415"/>
      <c r="Y114" s="4415"/>
      <c r="Z114" s="4415"/>
      <c r="AA114" s="4415"/>
      <c r="AB114" s="4415"/>
      <c r="AC114" s="4415"/>
      <c r="AD114" s="4415"/>
      <c r="AE114" s="4415"/>
      <c r="AF114" s="4415"/>
      <c r="AG114" s="4415"/>
      <c r="AH114" s="4415"/>
      <c r="AI114" s="4416"/>
      <c r="AJ114" s="4143"/>
      <c r="AK114" s="4415"/>
      <c r="AL114" s="4415"/>
    </row>
    <row r="115" spans="7:38">
      <c r="G115" s="4415"/>
      <c r="H115" s="4415"/>
      <c r="I115" s="4415"/>
      <c r="J115" s="4415"/>
      <c r="K115" s="4415"/>
      <c r="L115" s="4415"/>
      <c r="M115" s="4415"/>
      <c r="N115" s="4415"/>
      <c r="O115" s="4415"/>
      <c r="P115" s="4415"/>
      <c r="Q115" s="4415"/>
      <c r="R115" s="4415"/>
      <c r="S115" s="4415"/>
      <c r="T115" s="4415"/>
      <c r="U115" s="4415"/>
      <c r="V115" s="4415"/>
      <c r="W115" s="4415"/>
      <c r="X115" s="4415"/>
      <c r="Y115" s="4415"/>
      <c r="Z115" s="4415"/>
      <c r="AA115" s="4415"/>
      <c r="AB115" s="4415"/>
      <c r="AC115" s="4415"/>
      <c r="AD115" s="4415"/>
      <c r="AE115" s="4415"/>
      <c r="AF115" s="4415"/>
      <c r="AG115" s="4415"/>
      <c r="AH115" s="4415"/>
      <c r="AI115" s="4416"/>
      <c r="AJ115" s="4143"/>
      <c r="AK115" s="4415"/>
      <c r="AL115" s="4415"/>
    </row>
    <row r="116" spans="7:38">
      <c r="G116" s="4415"/>
      <c r="H116" s="4415"/>
      <c r="I116" s="4415"/>
      <c r="J116" s="4415"/>
      <c r="K116" s="4415"/>
      <c r="L116" s="4415"/>
      <c r="M116" s="4415"/>
      <c r="N116" s="4415"/>
      <c r="O116" s="4415"/>
      <c r="P116" s="4415"/>
      <c r="Q116" s="4415"/>
      <c r="R116" s="4415"/>
      <c r="S116" s="4415"/>
      <c r="T116" s="4415"/>
      <c r="U116" s="4415"/>
      <c r="V116" s="4415"/>
      <c r="W116" s="4415"/>
      <c r="X116" s="4415"/>
      <c r="Y116" s="4415"/>
      <c r="Z116" s="4415"/>
      <c r="AA116" s="4415"/>
      <c r="AB116" s="4415"/>
      <c r="AC116" s="4415"/>
      <c r="AD116" s="4415"/>
      <c r="AE116" s="4415"/>
      <c r="AF116" s="4415"/>
      <c r="AG116" s="4415"/>
      <c r="AH116" s="4415"/>
      <c r="AI116" s="4416" t="str">
        <f>IF(T116&lt;&gt;"",ROUND(T116,0),"")</f>
        <v/>
      </c>
      <c r="AJ116" s="4143"/>
      <c r="AK116" s="4415"/>
      <c r="AL116" s="4415"/>
    </row>
    <row r="117" spans="7:38">
      <c r="G117" s="4415"/>
      <c r="H117" s="4415"/>
      <c r="I117" s="4415"/>
      <c r="J117" s="4415"/>
      <c r="K117" s="4415"/>
      <c r="L117" s="4415"/>
      <c r="M117" s="4415"/>
      <c r="N117" s="4415"/>
      <c r="O117" s="4415"/>
      <c r="P117" s="4415"/>
      <c r="Q117" s="4415"/>
      <c r="R117" s="4415"/>
      <c r="S117" s="4415"/>
      <c r="T117" s="4415"/>
      <c r="U117" s="4415"/>
      <c r="V117" s="4415"/>
      <c r="W117" s="4415"/>
      <c r="X117" s="4415"/>
      <c r="Y117" s="4415"/>
      <c r="Z117" s="4415"/>
      <c r="AA117" s="4415"/>
      <c r="AB117" s="4415"/>
      <c r="AC117" s="4415"/>
      <c r="AD117" s="4415"/>
      <c r="AE117" s="4415"/>
      <c r="AF117" s="4415"/>
      <c r="AG117" s="4415"/>
      <c r="AH117" s="4415"/>
      <c r="AI117" s="4416"/>
      <c r="AJ117" s="4143"/>
      <c r="AK117" s="4415"/>
      <c r="AL117" s="4415"/>
    </row>
    <row r="118" spans="7:38">
      <c r="G118" s="4415"/>
      <c r="H118" s="4415"/>
      <c r="I118" s="4415"/>
      <c r="J118" s="4415"/>
      <c r="K118" s="4415"/>
      <c r="L118" s="4415"/>
      <c r="M118" s="4415"/>
      <c r="N118" s="4415"/>
      <c r="O118" s="4415"/>
      <c r="P118" s="4415"/>
      <c r="Q118" s="4415"/>
      <c r="R118" s="4415"/>
      <c r="S118" s="4415"/>
      <c r="T118" s="4415"/>
      <c r="U118" s="4415"/>
      <c r="V118" s="4415"/>
      <c r="W118" s="4415"/>
      <c r="X118" s="4415"/>
      <c r="Y118" s="4415"/>
      <c r="Z118" s="4415"/>
      <c r="AA118" s="4415"/>
      <c r="AB118" s="4415"/>
      <c r="AC118" s="4415"/>
      <c r="AD118" s="4415"/>
      <c r="AE118" s="4415"/>
      <c r="AF118" s="4415"/>
      <c r="AG118" s="4415"/>
      <c r="AH118" s="4415"/>
      <c r="AI118" s="4416" t="str">
        <f>IF(T118&lt;&gt;"",ROUND(T118,0),"")</f>
        <v/>
      </c>
      <c r="AJ118" s="4143"/>
      <c r="AK118" s="4415"/>
      <c r="AL118" s="4415"/>
    </row>
    <row r="119" spans="7:38">
      <c r="G119" s="4415"/>
      <c r="H119" s="4415"/>
      <c r="I119" s="4415"/>
      <c r="J119" s="4415"/>
      <c r="K119" s="4415"/>
      <c r="L119" s="4415"/>
      <c r="M119" s="4415"/>
      <c r="N119" s="4415"/>
      <c r="O119" s="4415"/>
      <c r="P119" s="4415"/>
      <c r="Q119" s="4415"/>
      <c r="R119" s="4415"/>
      <c r="S119" s="4415"/>
      <c r="T119" s="4415"/>
      <c r="U119" s="4415"/>
      <c r="V119" s="4415"/>
      <c r="W119" s="4415"/>
      <c r="X119" s="4415"/>
      <c r="Y119" s="4415"/>
      <c r="Z119" s="4415"/>
      <c r="AA119" s="4415"/>
      <c r="AB119" s="4415"/>
      <c r="AC119" s="4415"/>
      <c r="AD119" s="4415"/>
      <c r="AE119" s="4415"/>
      <c r="AF119" s="4415"/>
      <c r="AG119" s="4415"/>
      <c r="AH119" s="4415"/>
      <c r="AI119" s="4416"/>
      <c r="AJ119" s="4143"/>
      <c r="AK119" s="4415"/>
      <c r="AL119" s="4415"/>
    </row>
    <row r="120" spans="7:38">
      <c r="G120" s="4415"/>
      <c r="H120" s="4415"/>
      <c r="I120" s="4415"/>
      <c r="J120" s="4415"/>
      <c r="K120" s="4415"/>
      <c r="L120" s="4415"/>
      <c r="M120" s="4415"/>
      <c r="N120" s="4415"/>
      <c r="O120" s="4415"/>
      <c r="P120" s="4415"/>
      <c r="Q120" s="4415"/>
      <c r="R120" s="4415"/>
      <c r="S120" s="4415"/>
      <c r="T120" s="4415"/>
      <c r="U120" s="4415"/>
      <c r="V120" s="4415"/>
      <c r="W120" s="4415"/>
      <c r="X120" s="4415"/>
      <c r="Y120" s="4415"/>
      <c r="Z120" s="4415"/>
      <c r="AA120" s="4415"/>
      <c r="AB120" s="4415"/>
      <c r="AC120" s="4415"/>
      <c r="AD120" s="4415"/>
      <c r="AE120" s="4415"/>
      <c r="AF120" s="4415"/>
      <c r="AG120" s="4415"/>
      <c r="AH120" s="4415"/>
      <c r="AI120" s="4416" t="str">
        <f>IF(T120&lt;&gt;"",ROUND(T120,0),"")</f>
        <v/>
      </c>
      <c r="AJ120" s="4143"/>
      <c r="AK120" s="4415"/>
      <c r="AL120" s="4415"/>
    </row>
    <row r="121" spans="7:38">
      <c r="G121" s="4415"/>
      <c r="H121" s="4415"/>
      <c r="I121" s="4415"/>
      <c r="J121" s="4415"/>
      <c r="K121" s="4415"/>
      <c r="L121" s="4415"/>
      <c r="M121" s="4415"/>
      <c r="N121" s="4415"/>
      <c r="O121" s="4415"/>
      <c r="P121" s="4415"/>
      <c r="Q121" s="4415"/>
      <c r="R121" s="4415"/>
      <c r="S121" s="4415"/>
      <c r="T121" s="4415"/>
      <c r="U121" s="4415"/>
      <c r="V121" s="4415"/>
      <c r="W121" s="4415"/>
      <c r="X121" s="4415"/>
      <c r="Y121" s="4415"/>
      <c r="Z121" s="4415"/>
      <c r="AA121" s="4415"/>
      <c r="AB121" s="4415"/>
      <c r="AC121" s="4415"/>
      <c r="AD121" s="4415"/>
      <c r="AE121" s="4415"/>
      <c r="AF121" s="4415"/>
      <c r="AG121" s="4415"/>
      <c r="AH121" s="4415"/>
      <c r="AI121" s="4415"/>
      <c r="AJ121" s="4143"/>
      <c r="AK121" s="4415"/>
      <c r="AL121" s="4415"/>
    </row>
    <row r="122" spans="7:38">
      <c r="G122" s="4415"/>
      <c r="H122" s="4415"/>
      <c r="I122" s="4415"/>
      <c r="J122" s="4415"/>
      <c r="K122" s="4415"/>
      <c r="L122" s="4415"/>
      <c r="M122" s="4415"/>
      <c r="N122" s="4415"/>
      <c r="O122" s="4415"/>
      <c r="P122" s="4415"/>
      <c r="Q122" s="4415"/>
      <c r="R122" s="4415"/>
      <c r="S122" s="4415"/>
      <c r="T122" s="4415"/>
      <c r="U122" s="4415"/>
      <c r="V122" s="4415"/>
      <c r="W122" s="4415"/>
      <c r="X122" s="4415"/>
      <c r="Y122" s="4415"/>
      <c r="Z122" s="4415"/>
      <c r="AA122" s="4415"/>
      <c r="AB122" s="4415"/>
      <c r="AC122" s="4415"/>
      <c r="AD122" s="4415"/>
      <c r="AE122" s="4415"/>
      <c r="AF122" s="4415"/>
      <c r="AG122" s="4415"/>
      <c r="AH122" s="4415"/>
      <c r="AI122" s="4415"/>
      <c r="AJ122" s="4417"/>
      <c r="AK122" s="4415"/>
      <c r="AL122" s="4415"/>
    </row>
    <row r="123" spans="7:38">
      <c r="G123" s="4415"/>
      <c r="H123" s="4415"/>
      <c r="I123" s="4415"/>
      <c r="J123" s="4415"/>
      <c r="K123" s="4415"/>
      <c r="L123" s="4415"/>
      <c r="M123" s="4415"/>
      <c r="N123" s="4415"/>
      <c r="O123" s="4415"/>
      <c r="P123" s="4415"/>
      <c r="Q123" s="4415"/>
      <c r="R123" s="4415"/>
      <c r="S123" s="4415"/>
      <c r="T123" s="4415"/>
      <c r="U123" s="4415"/>
      <c r="V123" s="4415"/>
      <c r="W123" s="4415"/>
      <c r="X123" s="4415"/>
      <c r="Y123" s="4415"/>
      <c r="Z123" s="4415"/>
      <c r="AA123" s="4415"/>
      <c r="AB123" s="4415"/>
      <c r="AC123" s="4415"/>
      <c r="AD123" s="4415"/>
      <c r="AE123" s="4415"/>
      <c r="AF123" s="4415"/>
      <c r="AG123" s="4415"/>
      <c r="AH123" s="4415"/>
      <c r="AI123" s="4415"/>
      <c r="AJ123" s="4415"/>
      <c r="AK123" s="4415"/>
      <c r="AL123" s="4415"/>
    </row>
    <row r="124" spans="7:38">
      <c r="G124" s="4415"/>
      <c r="H124" s="4415"/>
      <c r="I124" s="4415"/>
      <c r="J124" s="4415"/>
      <c r="K124" s="4415"/>
      <c r="L124" s="4415"/>
      <c r="M124" s="4415"/>
      <c r="N124" s="4415"/>
      <c r="O124" s="4415"/>
      <c r="P124" s="4415"/>
      <c r="Q124" s="4415"/>
      <c r="R124" s="4415"/>
      <c r="S124" s="4415"/>
      <c r="T124" s="4415"/>
      <c r="U124" s="4415"/>
      <c r="V124" s="4415"/>
      <c r="W124" s="4415"/>
      <c r="AJ124" s="902"/>
    </row>
    <row r="125" spans="7:38">
      <c r="G125" s="4415"/>
      <c r="H125" s="4415"/>
      <c r="I125" s="4415"/>
      <c r="J125" s="4415"/>
      <c r="K125" s="4415"/>
      <c r="L125" s="4415"/>
      <c r="M125" s="4415"/>
      <c r="N125" s="4415"/>
      <c r="O125" s="4415"/>
      <c r="P125" s="4415"/>
      <c r="Q125" s="4415"/>
      <c r="R125" s="4415"/>
      <c r="S125" s="4415"/>
      <c r="T125" s="4415"/>
      <c r="U125" s="4415"/>
      <c r="V125" s="4415"/>
      <c r="W125" s="4415"/>
    </row>
    <row r="126" spans="7:38">
      <c r="G126" s="4415"/>
      <c r="H126" s="4415"/>
      <c r="I126" s="4415"/>
      <c r="J126" s="4415"/>
      <c r="K126" s="4415"/>
      <c r="L126" s="4415"/>
      <c r="M126" s="4415"/>
      <c r="N126" s="4415"/>
      <c r="O126" s="4415"/>
      <c r="P126" s="4415"/>
      <c r="Q126" s="4415"/>
      <c r="R126" s="4415"/>
      <c r="S126" s="4415"/>
      <c r="T126" s="4415"/>
      <c r="U126" s="4415"/>
      <c r="V126" s="4415"/>
      <c r="W126" s="4415"/>
    </row>
  </sheetData>
  <sheetProtection algorithmName="SHA-512" hashValue="LTirxWpEPSsWlG1lomK8fR3wQajt9RxNt89O0omGL59M/0So4BDbxG49J8jSkXS1P7nzb1PgzZHGyFNzlM0bWg==" saltValue="yOSyo4j/TNBshc+l+KqHJg==" spinCount="100000" sheet="1" objects="1" scenarios="1"/>
  <mergeCells count="143">
    <mergeCell ref="X41:Z41"/>
    <mergeCell ref="AM43:AM44"/>
    <mergeCell ref="AN43:AN44"/>
    <mergeCell ref="AM42:AN42"/>
    <mergeCell ref="W22:AA22"/>
    <mergeCell ref="W24:AA24"/>
    <mergeCell ref="W25:AA25"/>
    <mergeCell ref="W21:AA21"/>
    <mergeCell ref="W87:AA87"/>
    <mergeCell ref="AC24:AG24"/>
    <mergeCell ref="AC25:AG25"/>
    <mergeCell ref="X23:Z23"/>
    <mergeCell ref="W31:AA31"/>
    <mergeCell ref="W32:AA32"/>
    <mergeCell ref="W34:AA34"/>
    <mergeCell ref="W35:AA35"/>
    <mergeCell ref="AC70:AG70"/>
    <mergeCell ref="AC30:AG30"/>
    <mergeCell ref="AC61:AG61"/>
    <mergeCell ref="AC68:AG68"/>
    <mergeCell ref="W81:AA81"/>
    <mergeCell ref="W82:AA82"/>
    <mergeCell ref="W83:AA83"/>
    <mergeCell ref="W84:AA84"/>
    <mergeCell ref="AC41:AG41"/>
    <mergeCell ref="W43:AA43"/>
    <mergeCell ref="AC43:AG43"/>
    <mergeCell ref="D89:T89"/>
    <mergeCell ref="W89:AA89"/>
    <mergeCell ref="AC89:AG89"/>
    <mergeCell ref="O88:T88"/>
    <mergeCell ref="W77:AA77"/>
    <mergeCell ref="W79:AA79"/>
    <mergeCell ref="W85:AA85"/>
    <mergeCell ref="W80:AA80"/>
    <mergeCell ref="W86:AA86"/>
    <mergeCell ref="D46:T46"/>
    <mergeCell ref="N45:T45"/>
    <mergeCell ref="W71:AA71"/>
    <mergeCell ref="W73:AA73"/>
    <mergeCell ref="W74:AA74"/>
    <mergeCell ref="W76:AA76"/>
    <mergeCell ref="W70:AA70"/>
    <mergeCell ref="AC46:AG46"/>
    <mergeCell ref="W46:AA46"/>
    <mergeCell ref="W45:AA45"/>
    <mergeCell ref="AC47:AG47"/>
    <mergeCell ref="AC60:AG60"/>
    <mergeCell ref="B52:D52"/>
    <mergeCell ref="AC53:AG53"/>
    <mergeCell ref="AC54:AG54"/>
    <mergeCell ref="X52:AA52"/>
    <mergeCell ref="W42:AA42"/>
    <mergeCell ref="AC42:AG42"/>
    <mergeCell ref="AC59:AG59"/>
    <mergeCell ref="W44:AA44"/>
    <mergeCell ref="AC44:AG44"/>
    <mergeCell ref="AC48:AG48"/>
    <mergeCell ref="W28:AA28"/>
    <mergeCell ref="W29:AA29"/>
    <mergeCell ref="W30:AA30"/>
    <mergeCell ref="W26:AA26"/>
    <mergeCell ref="W27:AA27"/>
    <mergeCell ref="W39:AA39"/>
    <mergeCell ref="AC39:AG39"/>
    <mergeCell ref="W40:AA40"/>
    <mergeCell ref="AC40:AG40"/>
    <mergeCell ref="AC32:AG32"/>
    <mergeCell ref="AC34:AG34"/>
    <mergeCell ref="AC35:AG35"/>
    <mergeCell ref="AC36:AG36"/>
    <mergeCell ref="AC37:AG37"/>
    <mergeCell ref="AC26:AG26"/>
    <mergeCell ref="AC27:AG27"/>
    <mergeCell ref="AC28:AG28"/>
    <mergeCell ref="AC29:AG29"/>
    <mergeCell ref="W36:AA36"/>
    <mergeCell ref="W37:AA37"/>
    <mergeCell ref="W33:AA33"/>
    <mergeCell ref="W38:AA38"/>
    <mergeCell ref="AC38:AG38"/>
    <mergeCell ref="B98:E100"/>
    <mergeCell ref="AC91:AG91"/>
    <mergeCell ref="AC62:AG62"/>
    <mergeCell ref="AC65:AG65"/>
    <mergeCell ref="AC66:AG66"/>
    <mergeCell ref="V64:Z64"/>
    <mergeCell ref="V63:Z63"/>
    <mergeCell ref="AB92:AB93"/>
    <mergeCell ref="AC92:AG93"/>
    <mergeCell ref="W72:AA72"/>
    <mergeCell ref="W75:AA75"/>
    <mergeCell ref="W78:AA78"/>
    <mergeCell ref="AC90:AG90"/>
    <mergeCell ref="AC72:AG72"/>
    <mergeCell ref="AC74:AG74"/>
    <mergeCell ref="AC75:AG75"/>
    <mergeCell ref="AC77:AG77"/>
    <mergeCell ref="AC78:AG78"/>
    <mergeCell ref="AC79:AG79"/>
    <mergeCell ref="AC81:AG81"/>
    <mergeCell ref="AC84:AG84"/>
    <mergeCell ref="AC85:AG85"/>
    <mergeCell ref="AC87:AG87"/>
    <mergeCell ref="W88:AA88"/>
    <mergeCell ref="X20:Z20"/>
    <mergeCell ref="AB2:AG2"/>
    <mergeCell ref="AB8:AG9"/>
    <mergeCell ref="AB3:AG4"/>
    <mergeCell ref="AC5:AG6"/>
    <mergeCell ref="AC12:AG12"/>
    <mergeCell ref="B2:F3"/>
    <mergeCell ref="B4:F4"/>
    <mergeCell ref="B8:AA9"/>
    <mergeCell ref="B10:D10"/>
    <mergeCell ref="AC11:AG11"/>
    <mergeCell ref="G4:AA4"/>
    <mergeCell ref="G5:AA5"/>
    <mergeCell ref="B5:F6"/>
    <mergeCell ref="AI45:AJ45"/>
    <mergeCell ref="AJ51:AJ54"/>
    <mergeCell ref="AC16:AG16"/>
    <mergeCell ref="V13:Z13"/>
    <mergeCell ref="AN60:AN73"/>
    <mergeCell ref="AN13:AN29"/>
    <mergeCell ref="AJ7:AJ9"/>
    <mergeCell ref="AC49:AG49"/>
    <mergeCell ref="AC18:AG18"/>
    <mergeCell ref="AC67:AG67"/>
    <mergeCell ref="AC55:AG55"/>
    <mergeCell ref="AC56:AG56"/>
    <mergeCell ref="AC57:AG57"/>
    <mergeCell ref="AC58:AG58"/>
    <mergeCell ref="AC17:AG17"/>
    <mergeCell ref="AC13:AG13"/>
    <mergeCell ref="AC14:AG14"/>
    <mergeCell ref="AC15:AG15"/>
    <mergeCell ref="AC52:AG52"/>
    <mergeCell ref="AC20:AG20"/>
    <mergeCell ref="AC21:AG21"/>
    <mergeCell ref="AC22:AG22"/>
    <mergeCell ref="AC23:AG23"/>
    <mergeCell ref="AN11:AN12"/>
  </mergeCells>
  <conditionalFormatting sqref="B8 AB8">
    <cfRule type="expression" dxfId="2951" priority="227">
      <formula>NoColor</formula>
    </cfRule>
  </conditionalFormatting>
  <conditionalFormatting sqref="B4:F4">
    <cfRule type="expression" dxfId="2950" priority="128">
      <formula>NOT(Draft)</formula>
    </cfRule>
  </conditionalFormatting>
  <conditionalFormatting sqref="D46:T46">
    <cfRule type="expression" dxfId="2949" priority="28">
      <formula>NoColor</formula>
    </cfRule>
  </conditionalFormatting>
  <conditionalFormatting sqref="D89:T89">
    <cfRule type="expression" dxfId="2948" priority="11">
      <formula>NoColor</formula>
    </cfRule>
  </conditionalFormatting>
  <conditionalFormatting sqref="E19:Z19">
    <cfRule type="expression" dxfId="2947" priority="78">
      <formula>NoColor</formula>
    </cfRule>
  </conditionalFormatting>
  <conditionalFormatting sqref="N45:T45">
    <cfRule type="expression" dxfId="2946" priority="29">
      <formula>NoColor</formula>
    </cfRule>
  </conditionalFormatting>
  <conditionalFormatting sqref="O88:T88">
    <cfRule type="expression" dxfId="2945" priority="12">
      <formula>NoColor</formula>
    </cfRule>
  </conditionalFormatting>
  <conditionalFormatting sqref="V13">
    <cfRule type="expression" dxfId="2944" priority="32">
      <formula>IF(NoColor,1,0)</formula>
    </cfRule>
  </conditionalFormatting>
  <conditionalFormatting sqref="V48">
    <cfRule type="expression" dxfId="2943" priority="2">
      <formula>IF(NoColor,1,0)</formula>
    </cfRule>
  </conditionalFormatting>
  <conditionalFormatting sqref="V63:V64">
    <cfRule type="expression" dxfId="2942" priority="81">
      <formula>IF(NoColor,1,0)</formula>
    </cfRule>
  </conditionalFormatting>
  <conditionalFormatting sqref="W53:Z53">
    <cfRule type="expression" dxfId="2941" priority="119">
      <formula>IF(NoColor,1,0)</formula>
    </cfRule>
  </conditionalFormatting>
  <conditionalFormatting sqref="W55:Z56">
    <cfRule type="expression" dxfId="2940" priority="120">
      <formula>IF(NoColor,1,0)</formula>
    </cfRule>
  </conditionalFormatting>
  <conditionalFormatting sqref="W58:Z61">
    <cfRule type="expression" dxfId="2939" priority="111">
      <formula>IF(NoColor,1,0)</formula>
    </cfRule>
  </conditionalFormatting>
  <conditionalFormatting sqref="W65:Z66">
    <cfRule type="expression" dxfId="2938" priority="110">
      <formula>IF(NoColor,1,0)</formula>
    </cfRule>
  </conditionalFormatting>
  <conditionalFormatting sqref="W21:AA22">
    <cfRule type="expression" dxfId="2937" priority="25">
      <formula>NoColor</formula>
    </cfRule>
  </conditionalFormatting>
  <conditionalFormatting sqref="W24:AA30">
    <cfRule type="expression" dxfId="2936" priority="22">
      <formula>NoColor</formula>
    </cfRule>
  </conditionalFormatting>
  <conditionalFormatting sqref="W32:AA32">
    <cfRule type="expression" dxfId="2935" priority="21">
      <formula>NoColor</formula>
    </cfRule>
  </conditionalFormatting>
  <conditionalFormatting sqref="W34:AA39 W43:AA44">
    <cfRule type="expression" dxfId="2934" priority="23">
      <formula>NoColor</formula>
    </cfRule>
  </conditionalFormatting>
  <conditionalFormatting sqref="W46:AA46">
    <cfRule type="expression" dxfId="2933" priority="20">
      <formula>NoColor</formula>
    </cfRule>
  </conditionalFormatting>
  <conditionalFormatting sqref="W70:AA70">
    <cfRule type="expression" dxfId="2932" priority="17">
      <formula>NoColor</formula>
    </cfRule>
  </conditionalFormatting>
  <conditionalFormatting sqref="W72:AA72">
    <cfRule type="expression" dxfId="2931" priority="16">
      <formula>NoColor</formula>
    </cfRule>
  </conditionalFormatting>
  <conditionalFormatting sqref="W74:AA75">
    <cfRule type="expression" dxfId="2930" priority="18">
      <formula>NoColor</formula>
    </cfRule>
  </conditionalFormatting>
  <conditionalFormatting sqref="W77:AA79">
    <cfRule type="expression" dxfId="2929" priority="19">
      <formula>NoColor</formula>
    </cfRule>
  </conditionalFormatting>
  <conditionalFormatting sqref="W81:AA81">
    <cfRule type="expression" dxfId="2928" priority="10">
      <formula>NoColor</formula>
    </cfRule>
  </conditionalFormatting>
  <conditionalFormatting sqref="W84:AA85">
    <cfRule type="expression" dxfId="2927" priority="3">
      <formula>NoColor</formula>
    </cfRule>
  </conditionalFormatting>
  <conditionalFormatting sqref="W87:AA87">
    <cfRule type="expression" dxfId="2926" priority="14">
      <formula>NoColor</formula>
    </cfRule>
  </conditionalFormatting>
  <conditionalFormatting sqref="W89:AA89">
    <cfRule type="expression" dxfId="2925" priority="13">
      <formula>NoColor</formula>
    </cfRule>
  </conditionalFormatting>
  <conditionalFormatting sqref="X20:Z20">
    <cfRule type="expression" dxfId="2924" priority="4">
      <formula>NoColor</formula>
    </cfRule>
  </conditionalFormatting>
  <conditionalFormatting sqref="X23:Z23">
    <cfRule type="expression" dxfId="2923" priority="26">
      <formula>NoColor</formula>
    </cfRule>
  </conditionalFormatting>
  <conditionalFormatting sqref="X41:Z41">
    <cfRule type="expression" dxfId="2922" priority="5">
      <formula>NoColor</formula>
    </cfRule>
  </conditionalFormatting>
  <conditionalFormatting sqref="AC19 AC47">
    <cfRule type="expression" dxfId="2921" priority="80">
      <formula>IF(NoColor,1,0)</formula>
    </cfRule>
  </conditionalFormatting>
  <conditionalFormatting sqref="AC90">
    <cfRule type="expression" dxfId="2920" priority="42">
      <formula>IF(NoColor,1,0)</formula>
    </cfRule>
  </conditionalFormatting>
  <conditionalFormatting sqref="AC92">
    <cfRule type="expression" dxfId="2919" priority="147">
      <formula>IF(NoColor,1,0)</formula>
    </cfRule>
  </conditionalFormatting>
  <conditionalFormatting sqref="AC53:AD53">
    <cfRule type="expression" dxfId="2918" priority="5081">
      <formula>AND(AN50,NOT(NoColor))</formula>
    </cfRule>
  </conditionalFormatting>
  <conditionalFormatting sqref="AC11:AG12">
    <cfRule type="expression" dxfId="2917" priority="99">
      <formula>IF(NoColor,1,0)</formula>
    </cfRule>
  </conditionalFormatting>
  <conditionalFormatting sqref="AC14:AG18">
    <cfRule type="expression" dxfId="2916" priority="101">
      <formula>IF(NoColor,1,0)</formula>
    </cfRule>
  </conditionalFormatting>
  <conditionalFormatting sqref="AC49:AG49">
    <cfRule type="expression" dxfId="2915" priority="113">
      <formula>IF(NoColor,1,0)</formula>
    </cfRule>
  </conditionalFormatting>
  <conditionalFormatting sqref="AC53:AG53">
    <cfRule type="expression" dxfId="2914" priority="87">
      <formula>IF(NoColor,1,0)</formula>
    </cfRule>
  </conditionalFormatting>
  <conditionalFormatting sqref="AC55:AG69">
    <cfRule type="expression" dxfId="2913" priority="33">
      <formula>IF(NoColor,1,0)</formula>
    </cfRule>
  </conditionalFormatting>
  <conditionalFormatting sqref="AC91:AG91">
    <cfRule type="expression" dxfId="2912" priority="76">
      <formula>IF(NoColor,1,0)</formula>
    </cfRule>
  </conditionalFormatting>
  <conditionalFormatting sqref="AE53:AG53">
    <cfRule type="expression" dxfId="2911" priority="7">
      <formula>AND(AP54,NOT(NoColor))</formula>
    </cfRule>
  </conditionalFormatting>
  <conditionalFormatting sqref="AJ51:AJ54">
    <cfRule type="expression" dxfId="2910" priority="8">
      <formula>$AN$50</formula>
    </cfRule>
  </conditionalFormatting>
  <conditionalFormatting sqref="AJ59:AJ60">
    <cfRule type="expression" dxfId="2909" priority="73">
      <formula>$AI$60</formula>
    </cfRule>
  </conditionalFormatting>
  <conditionalFormatting sqref="AK19">
    <cfRule type="expression" dxfId="2908" priority="30">
      <formula>AND($AC$18&lt;&gt;"",$AC$18&gt;0)</formula>
    </cfRule>
  </conditionalFormatting>
  <conditionalFormatting sqref="AL23:AL24">
    <cfRule type="expression" dxfId="2907" priority="9">
      <formula>$AI$23</formula>
    </cfRule>
  </conditionalFormatting>
  <conditionalFormatting sqref="AN11:AN12">
    <cfRule type="expression" dxfId="2906" priority="97">
      <formula>$AN$10</formula>
    </cfRule>
  </conditionalFormatting>
  <conditionalFormatting sqref="AN13:AN29">
    <cfRule type="expression" dxfId="2905" priority="31">
      <formula>AN10</formula>
    </cfRule>
  </conditionalFormatting>
  <conditionalFormatting sqref="AN30:AN31">
    <cfRule type="expression" dxfId="2904" priority="4793">
      <formula>AN29</formula>
    </cfRule>
  </conditionalFormatting>
  <conditionalFormatting sqref="AN32">
    <cfRule type="expression" dxfId="2903" priority="4795">
      <formula>#REF!</formula>
    </cfRule>
  </conditionalFormatting>
  <conditionalFormatting sqref="AN33">
    <cfRule type="expression" dxfId="2902" priority="6">
      <formula>AN31</formula>
    </cfRule>
  </conditionalFormatting>
  <conditionalFormatting sqref="AN34">
    <cfRule type="expression" dxfId="2901" priority="4807">
      <formula>AN30</formula>
    </cfRule>
  </conditionalFormatting>
  <conditionalFormatting sqref="AN59">
    <cfRule type="expression" dxfId="2900" priority="107">
      <formula>$AN$58</formula>
    </cfRule>
  </conditionalFormatting>
  <conditionalFormatting sqref="AN60:AN73">
    <cfRule type="expression" dxfId="2899" priority="2920">
      <formula>$AN$58</formula>
    </cfRule>
  </conditionalFormatting>
  <hyperlinks>
    <hyperlink ref="B98:E100" location="'Table of Contents'!A1" display="Table of Contents" xr:uid="{00000000-0004-0000-0D00-000000000000}"/>
  </hyperlinks>
  <pageMargins left="0.75" right="0.25" top="0.36" bottom="0.28999999999999998" header="0.36" footer="0.21"/>
  <pageSetup scale="84" fitToHeight="0" orientation="portrait" r:id="rId1"/>
  <rowBreaks count="1" manualBreakCount="1">
    <brk id="50" min="1" max="3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pageSetUpPr fitToPage="1"/>
  </sheetPr>
  <dimension ref="A1:AE83"/>
  <sheetViews>
    <sheetView zoomScaleNormal="100" workbookViewId="0"/>
  </sheetViews>
  <sheetFormatPr defaultColWidth="9.140625" defaultRowHeight="12.75"/>
  <cols>
    <col min="1" max="1" width="2" style="39" customWidth="1"/>
    <col min="2" max="2" width="3.5703125" style="39" customWidth="1"/>
    <col min="3" max="3" width="2.85546875" style="39" customWidth="1"/>
    <col min="4" max="4" width="5.28515625" style="39" customWidth="1"/>
    <col min="5" max="5" width="9.5703125" style="39" customWidth="1"/>
    <col min="6" max="6" width="2.85546875" style="39" customWidth="1"/>
    <col min="7" max="7" width="40.7109375" style="39" customWidth="1"/>
    <col min="8" max="8" width="7.5703125" style="39" customWidth="1"/>
    <col min="9" max="9" width="4.85546875" style="39" customWidth="1"/>
    <col min="10" max="10" width="13.42578125" style="39" customWidth="1"/>
    <col min="11" max="11" width="3.5703125" style="39" customWidth="1"/>
    <col min="12" max="12" width="13.42578125" style="39" customWidth="1"/>
    <col min="13" max="13" width="3.42578125" style="39" customWidth="1"/>
    <col min="14" max="14" width="2.5703125" style="39" customWidth="1"/>
    <col min="15" max="15" width="2.7109375" style="39" customWidth="1"/>
    <col min="16" max="16" width="3.28515625" style="39" customWidth="1"/>
    <col min="17" max="17" width="1.85546875" style="39" customWidth="1"/>
    <col min="18" max="18" width="10.85546875" style="39" customWidth="1"/>
    <col min="19" max="19" width="18.5703125" style="39" customWidth="1"/>
    <col min="20" max="20" width="8.85546875" style="39" customWidth="1"/>
    <col min="21" max="21" width="9.140625" style="39"/>
    <col min="22" max="31" width="9.140625" style="2038"/>
    <col min="32" max="16384" width="9.140625" style="39"/>
  </cols>
  <sheetData>
    <row r="1" spans="1:22" ht="13.5" thickBot="1">
      <c r="A1" s="66"/>
      <c r="B1" s="66"/>
      <c r="C1" s="66"/>
      <c r="D1" s="66"/>
      <c r="E1" s="66"/>
      <c r="F1" s="66"/>
      <c r="G1" s="2753"/>
      <c r="H1" s="66"/>
      <c r="I1" s="66"/>
      <c r="J1" s="66"/>
      <c r="K1" s="66"/>
      <c r="L1" s="66"/>
      <c r="M1" s="66"/>
      <c r="N1" s="66"/>
      <c r="O1" s="22"/>
      <c r="P1" s="22"/>
      <c r="Q1" s="22"/>
      <c r="R1" s="1997"/>
      <c r="S1" s="22"/>
      <c r="T1" s="22"/>
      <c r="U1" s="808"/>
    </row>
    <row r="2" spans="1:22" ht="15.75">
      <c r="A2" s="66"/>
      <c r="B2" s="66"/>
      <c r="C2" s="66"/>
      <c r="D2" s="66"/>
      <c r="E2" s="66"/>
      <c r="F2" s="66"/>
      <c r="G2" s="2753"/>
      <c r="H2" s="66"/>
      <c r="I2" s="66"/>
      <c r="J2" s="66"/>
      <c r="K2" s="66"/>
      <c r="L2" s="66"/>
      <c r="M2" s="3322" t="str">
        <f>"Indicate your "&amp;TaxYear-1&amp;" filing status here. "</f>
        <v xml:space="preserve">Indicate your 2022 filing status here. </v>
      </c>
      <c r="N2" s="3323" t="s">
        <v>1047</v>
      </c>
      <c r="O2" s="355"/>
      <c r="P2" s="241"/>
      <c r="Q2" s="30"/>
      <c r="R2" s="30"/>
      <c r="S2" s="30"/>
      <c r="T2" s="82"/>
      <c r="U2" s="808"/>
    </row>
    <row r="3" spans="1:22" ht="15.75" customHeight="1">
      <c r="A3" s="66"/>
      <c r="B3" s="66"/>
      <c r="C3" s="66"/>
      <c r="D3" s="66"/>
      <c r="E3" s="66"/>
      <c r="F3" s="66"/>
      <c r="G3" s="66"/>
      <c r="H3" s="66"/>
      <c r="I3" s="66"/>
      <c r="J3" s="66"/>
      <c r="K3" s="66"/>
      <c r="L3" s="66"/>
      <c r="M3" s="66"/>
      <c r="N3" s="66"/>
      <c r="O3" s="351"/>
      <c r="P3" s="3304" t="str">
        <f>"Indicate your "&amp;TaxYear-1&amp;" filing status below:"</f>
        <v>Indicate your 2022 filing status below:</v>
      </c>
      <c r="Q3" s="22"/>
      <c r="R3" s="22"/>
      <c r="S3" s="22"/>
      <c r="T3" s="83"/>
      <c r="U3" s="808"/>
      <c r="V3" s="2037" t="s">
        <v>241</v>
      </c>
    </row>
    <row r="4" spans="1:22" ht="13.5" customHeight="1">
      <c r="A4" s="66"/>
      <c r="B4" s="967" t="s">
        <v>1048</v>
      </c>
      <c r="C4" s="966"/>
      <c r="D4" s="966"/>
      <c r="E4" s="966"/>
      <c r="F4" s="966"/>
      <c r="G4" s="966"/>
      <c r="H4" s="966"/>
      <c r="I4" s="966"/>
      <c r="J4" s="966"/>
      <c r="K4" s="966"/>
      <c r="L4" s="966"/>
      <c r="M4" s="66"/>
      <c r="N4" s="66"/>
      <c r="O4" s="353"/>
      <c r="P4" s="108" t="str">
        <f>IF(O4=0,"Check one.",IF(O15&gt;1,"Check only one.",""))</f>
        <v>Check one.</v>
      </c>
      <c r="Q4" s="22"/>
      <c r="R4" s="22"/>
      <c r="S4" s="22"/>
      <c r="T4" s="83"/>
      <c r="U4" s="808"/>
    </row>
    <row r="5" spans="1:22" ht="13.5" customHeight="1" thickBot="1">
      <c r="A5" s="66"/>
      <c r="B5" s="968" t="str">
        <f>"1. You received a refund in "&amp;TaxYear&amp;" that is for a tax year other than "&amp;TaxYear-1&amp;"."</f>
        <v>1. You received a refund in 2023 that is for a tax year other than 2022.</v>
      </c>
      <c r="C5" s="966"/>
      <c r="D5" s="966"/>
      <c r="E5" s="966"/>
      <c r="F5" s="966"/>
      <c r="G5" s="966"/>
      <c r="H5" s="966"/>
      <c r="I5" s="966"/>
      <c r="J5" s="966"/>
      <c r="K5" s="966"/>
      <c r="L5" s="966"/>
      <c r="M5" s="66"/>
      <c r="N5" s="66"/>
      <c r="O5" s="6823" t="b">
        <f>IF(O15=1,TRUE,FALSE)</f>
        <v>0</v>
      </c>
      <c r="P5" s="6824"/>
      <c r="Q5" s="22"/>
      <c r="R5" s="22"/>
      <c r="S5" s="22"/>
      <c r="T5" s="83"/>
      <c r="U5" s="808"/>
    </row>
    <row r="6" spans="1:22" ht="13.5" customHeight="1" thickBot="1">
      <c r="A6" s="66"/>
      <c r="B6" s="968"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2023 of an amount deducted or</v>
      </c>
      <c r="C6" s="966"/>
      <c r="D6" s="966"/>
      <c r="E6" s="966"/>
      <c r="F6" s="966"/>
      <c r="G6" s="966"/>
      <c r="H6" s="966"/>
      <c r="I6" s="966"/>
      <c r="J6" s="966"/>
      <c r="K6" s="966"/>
      <c r="L6" s="966"/>
      <c r="M6" s="66"/>
      <c r="N6" s="66"/>
      <c r="O6" s="353">
        <f>IF(P6&lt;&gt;"",1,0)</f>
        <v>0</v>
      </c>
      <c r="P6" s="813"/>
      <c r="Q6" s="22"/>
      <c r="R6" s="61" t="s">
        <v>1049</v>
      </c>
      <c r="S6" s="22"/>
      <c r="T6" s="83"/>
      <c r="U6" s="1461"/>
    </row>
    <row r="7" spans="1:22" ht="13.5" customHeight="1" thickBot="1">
      <c r="A7" s="66"/>
      <c r="B7" s="968" t="s">
        <v>1050</v>
      </c>
      <c r="C7" s="966"/>
      <c r="D7" s="966"/>
      <c r="E7" s="966"/>
      <c r="F7" s="966"/>
      <c r="G7" s="966"/>
      <c r="H7" s="966"/>
      <c r="I7" s="966"/>
      <c r="J7" s="966"/>
      <c r="K7" s="966"/>
      <c r="L7" s="966"/>
      <c r="M7" s="66"/>
      <c r="N7" s="66"/>
      <c r="O7" s="353"/>
      <c r="P7" s="326"/>
      <c r="Q7" s="22"/>
      <c r="R7" s="22"/>
      <c r="S7" s="22"/>
      <c r="T7" s="83"/>
      <c r="U7" s="808"/>
    </row>
    <row r="8" spans="1:22" ht="13.5" customHeight="1" thickBot="1">
      <c r="A8" s="66"/>
      <c r="B8" s="968" t="str">
        <f>"3. You had taxable income on your "&amp;TaxYear-1&amp;" Form 1040 or 1040-SR, line 15, but no tax on your Form 1040 or 1040-SR, line 16, because of the 0% tax rate"</f>
        <v>3. You had taxable income on your 2022 Form 1040 or 1040-SR, line 15, but no tax on your Form 1040 or 1040-SR, line 16, because of the 0% tax rate</v>
      </c>
      <c r="C8" s="966"/>
      <c r="D8" s="966"/>
      <c r="E8" s="966"/>
      <c r="F8" s="966"/>
      <c r="G8" s="966"/>
      <c r="H8" s="966"/>
      <c r="I8" s="966"/>
      <c r="J8" s="966"/>
      <c r="K8" s="966"/>
      <c r="L8" s="966"/>
      <c r="M8" s="66"/>
      <c r="N8" s="66"/>
      <c r="O8" s="353">
        <f>IF(P8&lt;&gt;"",1,0)</f>
        <v>0</v>
      </c>
      <c r="P8" s="813"/>
      <c r="Q8" s="22"/>
      <c r="R8" s="61" t="s">
        <v>1051</v>
      </c>
      <c r="S8" s="22"/>
      <c r="T8" s="83"/>
      <c r="U8" s="808"/>
    </row>
    <row r="9" spans="1:22" ht="13.5" customHeight="1" thickBot="1">
      <c r="A9" s="66"/>
      <c r="B9" s="968" t="s">
        <v>5542</v>
      </c>
      <c r="C9" s="966"/>
      <c r="D9" s="966"/>
      <c r="E9" s="966"/>
      <c r="F9" s="966"/>
      <c r="G9" s="966"/>
      <c r="H9" s="966"/>
      <c r="I9" s="966"/>
      <c r="J9" s="966"/>
      <c r="K9" s="966"/>
      <c r="L9" s="966"/>
      <c r="M9" s="66"/>
      <c r="N9" s="66"/>
      <c r="O9" s="353"/>
      <c r="P9" s="326"/>
      <c r="Q9" s="22"/>
      <c r="R9" s="22"/>
      <c r="S9" s="22"/>
      <c r="T9" s="83"/>
      <c r="U9" s="808"/>
    </row>
    <row r="10" spans="1:22" ht="13.5" customHeight="1" thickBot="1">
      <c r="A10" s="66"/>
      <c r="B10" s="968" t="str">
        <f>"4. Your "&amp;TaxYear-1&amp;" state and local income tax refund is more than your "&amp;TaxYear-1&amp;" state and local income tax deduction minus the amount you could have"</f>
        <v>4. Your 2022 state and local income tax refund is more than your 2022 state and local income tax deduction minus the amount you could have</v>
      </c>
      <c r="C10" s="966"/>
      <c r="D10" s="966"/>
      <c r="E10" s="966"/>
      <c r="F10" s="966"/>
      <c r="G10" s="966"/>
      <c r="H10" s="966"/>
      <c r="I10" s="966"/>
      <c r="J10" s="966"/>
      <c r="K10" s="966"/>
      <c r="L10" s="966"/>
      <c r="M10" s="66"/>
      <c r="N10" s="66"/>
      <c r="O10" s="353">
        <f>IF(P10&lt;&gt;"",1,0)</f>
        <v>0</v>
      </c>
      <c r="P10" s="813"/>
      <c r="Q10" s="22"/>
      <c r="R10" s="61" t="s">
        <v>581</v>
      </c>
      <c r="S10" s="22"/>
      <c r="T10" s="83"/>
      <c r="U10" s="808"/>
    </row>
    <row r="11" spans="1:22" ht="12.75" customHeight="1" thickBot="1">
      <c r="A11" s="66"/>
      <c r="B11" s="968" t="str">
        <f>"    deducted as your "&amp;TaxYear-1&amp;" state and local general sales taxes."</f>
        <v xml:space="preserve">    deducted as your 2022 state and local general sales taxes.</v>
      </c>
      <c r="C11" s="966"/>
      <c r="D11" s="966"/>
      <c r="E11" s="966"/>
      <c r="F11" s="966"/>
      <c r="G11" s="966"/>
      <c r="H11" s="966"/>
      <c r="I11" s="966"/>
      <c r="J11" s="966"/>
      <c r="K11" s="966"/>
      <c r="L11" s="966"/>
      <c r="M11" s="66"/>
      <c r="N11" s="66"/>
      <c r="O11" s="353"/>
      <c r="P11" s="274"/>
      <c r="Q11" s="22"/>
      <c r="R11" s="22"/>
      <c r="S11" s="22"/>
      <c r="T11" s="83"/>
      <c r="U11" s="808"/>
    </row>
    <row r="12" spans="1:22" ht="13.5" customHeight="1" thickBot="1">
      <c r="A12" s="66"/>
      <c r="B12" s="968" t="str">
        <f>"5. You made your last payment of "&amp;TaxYear-1&amp;" estimated state or local income tax in "&amp;TaxYear&amp;"."</f>
        <v>5. You made your last payment of 2022 estimated state or local income tax in 2023.</v>
      </c>
      <c r="C12" s="966"/>
      <c r="D12" s="966"/>
      <c r="E12" s="966"/>
      <c r="F12" s="966"/>
      <c r="G12" s="966"/>
      <c r="H12" s="966"/>
      <c r="I12" s="966"/>
      <c r="J12" s="966"/>
      <c r="K12" s="966"/>
      <c r="L12" s="966"/>
      <c r="M12" s="66"/>
      <c r="N12" s="66"/>
      <c r="O12" s="353">
        <f>IF(P12&lt;&gt;"",1,0)</f>
        <v>0</v>
      </c>
      <c r="P12" s="813"/>
      <c r="Q12" s="22"/>
      <c r="R12" s="61" t="s">
        <v>1052</v>
      </c>
      <c r="S12" s="22"/>
      <c r="T12" s="83"/>
      <c r="U12" s="808"/>
    </row>
    <row r="13" spans="1:22" ht="13.5" customHeight="1" thickBot="1">
      <c r="A13" s="66"/>
      <c r="B13" s="968" t="str">
        <f>"6. You owed alternative minimum tax in "&amp;TaxYear-1&amp;"."</f>
        <v>6. You owed alternative minimum tax in 2022.</v>
      </c>
      <c r="C13" s="966"/>
      <c r="D13" s="966"/>
      <c r="E13" s="966"/>
      <c r="F13" s="966"/>
      <c r="G13" s="966"/>
      <c r="H13" s="966"/>
      <c r="I13" s="966"/>
      <c r="J13" s="966"/>
      <c r="K13" s="966"/>
      <c r="L13" s="966"/>
      <c r="M13" s="66"/>
      <c r="N13" s="66"/>
      <c r="O13" s="353"/>
      <c r="P13" s="274"/>
      <c r="Q13" s="22"/>
      <c r="R13" s="22"/>
      <c r="S13" s="22"/>
      <c r="T13" s="83"/>
      <c r="U13" s="808"/>
    </row>
    <row r="14" spans="1:22" ht="13.5" customHeight="1" thickBot="1">
      <c r="A14" s="66"/>
      <c r="B14" s="968" t="str">
        <f>"7. You couldn't use the full amount of credits you were entitled to in "&amp;TaxYear-1&amp;" because the total credits were more than"</f>
        <v>7. You couldn't use the full amount of credits you were entitled to in 2022 because the total credits were more than</v>
      </c>
      <c r="C14" s="966"/>
      <c r="D14" s="966"/>
      <c r="E14" s="966"/>
      <c r="F14" s="966"/>
      <c r="G14" s="966"/>
      <c r="H14" s="966"/>
      <c r="I14" s="966"/>
      <c r="J14" s="966"/>
      <c r="K14" s="966"/>
      <c r="L14" s="966"/>
      <c r="M14" s="66"/>
      <c r="N14" s="66"/>
      <c r="O14" s="353">
        <f>IF(P14&lt;&gt;"",1,0)</f>
        <v>0</v>
      </c>
      <c r="P14" s="813"/>
      <c r="Q14" s="22"/>
      <c r="R14" s="61" t="s">
        <v>1053</v>
      </c>
      <c r="S14" s="22"/>
      <c r="T14" s="83"/>
      <c r="U14" s="808"/>
    </row>
    <row r="15" spans="1:22" ht="13.5" customHeight="1" thickBot="1">
      <c r="A15" s="66"/>
      <c r="B15" s="968" t="str">
        <f>"    the amount shown on your "&amp;TaxYear-1&amp;" Form 1040 or 1040-SR, line 16."</f>
        <v xml:space="preserve">    the amount shown on your 2022 Form 1040 or 1040-SR, line 16.</v>
      </c>
      <c r="C15" s="966"/>
      <c r="D15" s="966"/>
      <c r="E15" s="966"/>
      <c r="F15" s="966"/>
      <c r="G15" s="966"/>
      <c r="H15" s="966"/>
      <c r="I15" s="966"/>
      <c r="J15" s="966"/>
      <c r="K15" s="966"/>
      <c r="L15" s="966"/>
      <c r="M15" s="66"/>
      <c r="N15" s="66"/>
      <c r="O15" s="1612">
        <f>SUM(O6,O8,O10,O12,O14)</f>
        <v>0</v>
      </c>
      <c r="P15" s="1613"/>
      <c r="Q15" s="34"/>
      <c r="R15" s="34"/>
      <c r="S15" s="34"/>
      <c r="T15" s="84"/>
      <c r="U15" s="808"/>
    </row>
    <row r="16" spans="1:22" ht="13.5" customHeight="1" thickBot="1">
      <c r="A16" s="66"/>
      <c r="B16" s="967" t="str">
        <f>"8. You could be claimed as a dependent by someone else in "&amp;TaxYear-1&amp;"."</f>
        <v>8. You could be claimed as a dependent by someone else in 2022.</v>
      </c>
      <c r="C16" s="966"/>
      <c r="D16" s="966"/>
      <c r="E16" s="966"/>
      <c r="F16" s="966"/>
      <c r="G16" s="966"/>
      <c r="H16" s="966"/>
      <c r="I16" s="966"/>
      <c r="J16" s="966"/>
      <c r="K16" s="966"/>
      <c r="L16" s="966"/>
      <c r="M16" s="66"/>
      <c r="N16" s="66"/>
      <c r="O16" s="1610"/>
      <c r="P16" s="1611"/>
      <c r="Q16" s="30"/>
      <c r="R16" s="30"/>
      <c r="S16" s="30"/>
      <c r="T16" s="82"/>
      <c r="U16" s="808"/>
    </row>
    <row r="17" spans="1:25" ht="13.5" customHeight="1" thickBot="1">
      <c r="A17" s="66"/>
      <c r="B17" s="968" t="str">
        <f>"9. You received a refund because of a jointly filed state or local income tax return, but you are not filing a joint "&amp;TaxYear&amp;" Form 1040 or 1040-SR with"</f>
        <v>9. You received a refund because of a jointly filed state or local income tax return, but you are not filing a joint 2023 Form 1040 or 1040-SR with</v>
      </c>
      <c r="C17" s="966"/>
      <c r="D17" s="966"/>
      <c r="E17" s="966"/>
      <c r="F17" s="966"/>
      <c r="G17" s="966"/>
      <c r="H17" s="966"/>
      <c r="I17" s="966"/>
      <c r="J17" s="966"/>
      <c r="K17" s="966"/>
      <c r="L17" s="966"/>
      <c r="M17" s="66"/>
      <c r="N17" s="66"/>
      <c r="O17" s="353"/>
      <c r="P17" s="813"/>
      <c r="Q17" s="22"/>
      <c r="R17" s="22" t="s">
        <v>1054</v>
      </c>
      <c r="S17" s="22"/>
      <c r="T17" s="83"/>
      <c r="U17" s="808"/>
    </row>
    <row r="18" spans="1:25">
      <c r="A18" s="66"/>
      <c r="B18" s="968" t="s">
        <v>5543</v>
      </c>
      <c r="C18" s="966"/>
      <c r="D18" s="966"/>
      <c r="E18" s="966"/>
      <c r="F18" s="966"/>
      <c r="G18" s="966"/>
      <c r="H18" s="966"/>
      <c r="I18" s="966"/>
      <c r="J18" s="966"/>
      <c r="K18" s="966"/>
      <c r="L18" s="966"/>
      <c r="M18" s="66"/>
      <c r="N18" s="66"/>
      <c r="O18" s="351"/>
      <c r="P18" s="766"/>
      <c r="Q18" s="22"/>
      <c r="R18" s="22" t="str">
        <f>"on your "&amp;TaxYear-1&amp;" tax return."</f>
        <v>on your 2022 tax return.</v>
      </c>
      <c r="S18" s="22"/>
      <c r="T18" s="3329" t="b">
        <f>(P17&lt;&gt;"")</f>
        <v>0</v>
      </c>
      <c r="U18" s="808"/>
    </row>
    <row r="19" spans="1:25">
      <c r="A19" s="66"/>
      <c r="B19" s="6826" t="str">
        <f>IF(T18,"STOP!  You may not use this worksheet.   See Exception above and Publication 525.","")</f>
        <v/>
      </c>
      <c r="C19" s="6466"/>
      <c r="D19" s="6466"/>
      <c r="E19" s="6466"/>
      <c r="F19" s="6466"/>
      <c r="G19" s="6466"/>
      <c r="H19" s="6466"/>
      <c r="I19" s="6466"/>
      <c r="J19" s="6466"/>
      <c r="K19" s="6466"/>
      <c r="L19" s="6466"/>
      <c r="M19" s="66"/>
      <c r="N19" s="66"/>
      <c r="O19" s="1614"/>
      <c r="P19" s="305"/>
      <c r="Q19" s="38"/>
      <c r="R19" s="38"/>
      <c r="S19" s="38"/>
      <c r="T19" s="1421"/>
      <c r="U19" s="808"/>
    </row>
    <row r="20" spans="1:25" ht="13.5" thickBot="1">
      <c r="A20" s="66"/>
      <c r="B20" s="66"/>
      <c r="C20" s="66"/>
      <c r="D20" s="66"/>
      <c r="E20" s="66"/>
      <c r="F20" s="66"/>
      <c r="G20" s="2753"/>
      <c r="H20" s="66"/>
      <c r="I20" s="66"/>
      <c r="J20" s="66"/>
      <c r="K20" s="66"/>
      <c r="L20" s="66"/>
      <c r="M20" s="66"/>
      <c r="N20" s="66"/>
      <c r="O20" s="1615"/>
      <c r="P20" s="1616"/>
      <c r="Q20" s="49"/>
      <c r="R20" s="49"/>
      <c r="S20" s="49"/>
      <c r="T20" s="1617"/>
      <c r="U20" s="808"/>
    </row>
    <row r="21" spans="1:25" ht="13.5" thickBot="1">
      <c r="A21" s="66"/>
      <c r="B21" s="66"/>
      <c r="C21" s="66"/>
      <c r="D21" s="66"/>
      <c r="E21" s="66"/>
      <c r="F21" s="66"/>
      <c r="G21" s="2753"/>
      <c r="H21" s="66"/>
      <c r="I21" s="66"/>
      <c r="J21" s="66"/>
      <c r="K21" s="66"/>
      <c r="L21" s="66"/>
      <c r="M21" s="66"/>
      <c r="N21" s="66"/>
      <c r="O21" s="353"/>
      <c r="P21" s="813"/>
      <c r="Q21" s="22"/>
      <c r="R21" s="805" t="s">
        <v>1055</v>
      </c>
      <c r="S21" s="22"/>
      <c r="T21" s="3329" t="b">
        <f>IF(AND(P10&lt;&gt;"",P21&lt;&gt;""),TRUE,FALSE)</f>
        <v>0</v>
      </c>
      <c r="U21" s="808"/>
    </row>
    <row r="22" spans="1:25" ht="31.5" customHeight="1" thickBot="1">
      <c r="A22" s="66"/>
      <c r="B22" s="2728" t="s">
        <v>1056</v>
      </c>
      <c r="C22" s="2728"/>
      <c r="D22" s="72"/>
      <c r="E22" s="72"/>
      <c r="F22" s="72"/>
      <c r="G22" s="72"/>
      <c r="H22" s="72"/>
      <c r="I22" s="237"/>
      <c r="J22" s="243"/>
      <c r="K22" s="237" t="s">
        <v>1057</v>
      </c>
      <c r="L22" s="73"/>
      <c r="M22" s="73"/>
      <c r="N22" s="66"/>
      <c r="O22" s="352"/>
      <c r="P22" s="3325"/>
      <c r="Q22" s="34"/>
      <c r="R22" s="3326" t="str">
        <f>"deductions on your "&amp;TaxYear-1&amp;" tax return."</f>
        <v>deductions on your 2022 tax return.</v>
      </c>
      <c r="S22" s="34"/>
      <c r="T22" s="84"/>
      <c r="U22" s="808"/>
    </row>
    <row r="23" spans="1:25" ht="15.75" customHeight="1">
      <c r="A23" s="66"/>
      <c r="B23" s="5452"/>
      <c r="C23" s="5453" t="s">
        <v>1058</v>
      </c>
      <c r="D23" s="553"/>
      <c r="E23" s="553"/>
      <c r="F23" s="556" t="s">
        <v>1059</v>
      </c>
      <c r="G23" s="690" t="s">
        <v>1060</v>
      </c>
      <c r="H23" s="553"/>
      <c r="I23" s="554"/>
      <c r="J23" s="555"/>
      <c r="K23" s="554"/>
      <c r="L23" s="526"/>
      <c r="M23" s="527"/>
      <c r="N23" s="66"/>
      <c r="O23" s="3327"/>
      <c r="P23" s="766"/>
      <c r="Q23" s="30"/>
      <c r="R23" s="3328"/>
      <c r="S23" s="30"/>
      <c r="T23" s="30"/>
      <c r="U23" s="808"/>
      <c r="Y23" s="2039"/>
    </row>
    <row r="24" spans="1:25" ht="15.75" customHeight="1">
      <c r="A24" s="66"/>
      <c r="B24" s="5454"/>
      <c r="C24" s="5455"/>
      <c r="D24" s="557"/>
      <c r="E24" s="557"/>
      <c r="F24" s="558"/>
      <c r="G24" s="563" t="s">
        <v>1061</v>
      </c>
      <c r="H24" s="557"/>
      <c r="I24" s="559"/>
      <c r="J24" s="560"/>
      <c r="K24" s="559"/>
      <c r="L24" s="561"/>
      <c r="M24" s="562"/>
      <c r="N24" s="66"/>
      <c r="O24" s="22"/>
      <c r="P24" s="22"/>
      <c r="Q24" s="22"/>
      <c r="R24" s="6821" t="s">
        <v>1062</v>
      </c>
      <c r="S24" s="22"/>
      <c r="T24" s="22"/>
      <c r="U24" s="808"/>
    </row>
    <row r="25" spans="1:25" ht="14.25" customHeight="1">
      <c r="A25" s="66"/>
      <c r="B25" s="5456">
        <v>1</v>
      </c>
      <c r="C25" s="61" t="s">
        <v>1063</v>
      </c>
      <c r="D25" s="54"/>
      <c r="E25" s="54"/>
      <c r="F25" s="54"/>
      <c r="G25" s="54"/>
      <c r="H25" s="106" t="s">
        <v>1064</v>
      </c>
      <c r="I25" s="2728"/>
      <c r="J25" s="54"/>
      <c r="K25" s="5457"/>
      <c r="L25" s="1454" t="b">
        <f>AND(O5,L26&gt;R28)</f>
        <v>0</v>
      </c>
      <c r="M25" s="57"/>
      <c r="N25" s="66"/>
      <c r="O25" s="22"/>
      <c r="P25" s="22"/>
      <c r="Q25" s="22"/>
      <c r="R25" s="6822"/>
      <c r="S25" s="22"/>
      <c r="T25" s="22"/>
      <c r="U25" s="808"/>
    </row>
    <row r="26" spans="1:25">
      <c r="A26" s="66"/>
      <c r="B26" s="5458"/>
      <c r="C26" s="106" t="str">
        <f>"amount of your state and local income taxes shown on your "&amp;TaxYear-1&amp;" Schedule A, line 5d"</f>
        <v>amount of your state and local income taxes shown on your 2022 Schedule A, line 5d</v>
      </c>
      <c r="D26" s="54"/>
      <c r="E26" s="54"/>
      <c r="F26" s="54"/>
      <c r="G26" s="54"/>
      <c r="H26" s="54"/>
      <c r="I26" s="2728"/>
      <c r="J26" s="59" t="s">
        <v>1065</v>
      </c>
      <c r="K26" s="5457">
        <v>1</v>
      </c>
      <c r="L26" s="973">
        <f>IF(R26&lt;&gt;"",ROUND(R26,0),IF(AND(SALT_Refund&gt;0,NOT(O5)),"",IF(T18,"",SALT_Refund)))</f>
        <v>0</v>
      </c>
      <c r="M26" s="239"/>
      <c r="N26" s="66"/>
      <c r="O26" s="808"/>
      <c r="P26" s="6825">
        <v>1</v>
      </c>
      <c r="Q26" s="6752"/>
      <c r="R26" s="3316"/>
      <c r="S26" s="808"/>
      <c r="T26" s="808"/>
      <c r="U26" s="808"/>
    </row>
    <row r="27" spans="1:25">
      <c r="A27" s="66"/>
      <c r="B27" s="5459" t="s">
        <v>171</v>
      </c>
      <c r="C27" s="61" t="s">
        <v>1066</v>
      </c>
      <c r="D27" s="54"/>
      <c r="E27" s="54"/>
      <c r="F27" s="54"/>
      <c r="G27" s="54"/>
      <c r="H27" s="54"/>
      <c r="I27" s="2728"/>
      <c r="J27" s="54"/>
      <c r="K27" s="2728"/>
      <c r="L27" s="224"/>
      <c r="M27" s="239"/>
      <c r="N27" s="66"/>
      <c r="O27" s="808"/>
      <c r="P27" s="808"/>
      <c r="Q27" s="808"/>
      <c r="R27" s="691"/>
      <c r="S27" s="808"/>
      <c r="T27" s="808"/>
      <c r="U27" s="3166">
        <v>5000</v>
      </c>
    </row>
    <row r="28" spans="1:25">
      <c r="A28" s="66"/>
      <c r="B28" s="5459"/>
      <c r="C28" s="61" t="str">
        <f>"taxes paid in "&amp;TaxYear-1&amp;" (generally, this is the amount reported on your "&amp;TaxYear-1&amp;" Schedule A, line 5d), more than the"</f>
        <v>taxes paid in 2022 (generally, this is the amount reported on your 2022 Schedule A, line 5d), more than the</v>
      </c>
      <c r="D28" s="54"/>
      <c r="E28" s="54"/>
      <c r="F28" s="54"/>
      <c r="G28" s="54"/>
      <c r="H28" s="54"/>
      <c r="I28" s="2728"/>
      <c r="J28" s="54"/>
      <c r="K28" s="2728"/>
      <c r="L28" s="224"/>
      <c r="M28" s="239"/>
      <c r="N28" s="66"/>
      <c r="O28" s="808"/>
      <c r="P28" s="808"/>
      <c r="Q28" s="808"/>
      <c r="R28" s="3316"/>
      <c r="S28" s="1371" t="str">
        <f>TaxYear-1&amp;" Schedule A, line 5d"</f>
        <v>2022 Schedule A, line 5d</v>
      </c>
      <c r="T28" s="808"/>
      <c r="U28" s="3166">
        <v>10000</v>
      </c>
    </row>
    <row r="29" spans="1:25">
      <c r="A29" s="66"/>
      <c r="B29" s="5459"/>
      <c r="C29" s="61" t="str">
        <f>"amount on your "&amp;TaxYear-1&amp;" Schedule A, line 5e?"</f>
        <v>amount on your 2022 Schedule A, line 5e?</v>
      </c>
      <c r="D29" s="54"/>
      <c r="E29" s="54"/>
      <c r="F29" s="54"/>
      <c r="G29" s="54"/>
      <c r="H29" s="54"/>
      <c r="I29" s="2728"/>
      <c r="J29" s="54"/>
      <c r="K29" s="2728"/>
      <c r="L29" s="1030" t="b">
        <f>R28&gt;R29</f>
        <v>0</v>
      </c>
      <c r="M29" s="239"/>
      <c r="N29" s="66"/>
      <c r="O29" s="808"/>
      <c r="P29" s="808"/>
      <c r="Q29" s="808"/>
      <c r="R29" s="3324" t="str">
        <f>IF($O$15=0,"",MIN(R28,U29))</f>
        <v/>
      </c>
      <c r="S29" s="1371" t="str">
        <f>TaxYear-1&amp;" Schedule A, line 5e"</f>
        <v>2022 Schedule A, line 5e</v>
      </c>
      <c r="T29" s="808"/>
      <c r="U29" s="3166">
        <f>IF(P10&lt;&gt;"",U27,U28)</f>
        <v>10000</v>
      </c>
    </row>
    <row r="30" spans="1:25" ht="11.25" customHeight="1" thickBot="1">
      <c r="A30" s="66"/>
      <c r="B30" s="5458"/>
      <c r="C30" s="22"/>
      <c r="D30" s="54"/>
      <c r="E30" s="54"/>
      <c r="F30" s="54"/>
      <c r="G30" s="54"/>
      <c r="H30" s="54"/>
      <c r="I30" s="2728"/>
      <c r="J30" s="54"/>
      <c r="K30" s="2728"/>
      <c r="L30" s="3175"/>
      <c r="M30" s="57"/>
      <c r="N30" s="66"/>
      <c r="O30" s="808"/>
      <c r="P30" s="808"/>
      <c r="Q30" s="808"/>
      <c r="R30" s="691"/>
      <c r="S30" s="808"/>
      <c r="T30" s="808"/>
      <c r="U30" s="808"/>
    </row>
    <row r="31" spans="1:25" ht="12" customHeight="1" thickBot="1">
      <c r="A31" s="66"/>
      <c r="B31" s="5458"/>
      <c r="C31" s="974" t="str">
        <f>IF(OR(NOT(O5),L29),"","X")</f>
        <v/>
      </c>
      <c r="D31" s="54" t="s">
        <v>1067</v>
      </c>
      <c r="E31" s="106" t="s">
        <v>1068</v>
      </c>
      <c r="F31" s="59"/>
      <c r="G31" s="59"/>
      <c r="H31" s="54"/>
      <c r="I31" s="2728"/>
      <c r="J31" s="54"/>
      <c r="K31" s="2728"/>
      <c r="L31" s="54"/>
      <c r="M31" s="57"/>
      <c r="N31" s="66"/>
      <c r="O31" s="808"/>
      <c r="P31" s="808"/>
      <c r="Q31" s="808"/>
      <c r="R31" s="3331" t="str">
        <f>IF(R28&gt;U29,"In tax year "&amp;TaxYear-1&amp;", for your filing status, ","")</f>
        <v/>
      </c>
      <c r="S31" s="808"/>
      <c r="T31" s="37"/>
      <c r="U31" s="808"/>
    </row>
    <row r="32" spans="1:25" ht="11.25" customHeight="1" thickBot="1">
      <c r="A32" s="66"/>
      <c r="B32" s="5458"/>
      <c r="C32" s="54"/>
      <c r="D32" s="54"/>
      <c r="E32" s="106"/>
      <c r="F32" s="59"/>
      <c r="G32" s="59"/>
      <c r="H32" s="54"/>
      <c r="I32" s="2728"/>
      <c r="J32" s="54"/>
      <c r="K32" s="2728"/>
      <c r="L32" s="54"/>
      <c r="M32" s="57"/>
      <c r="N32" s="66"/>
      <c r="O32" s="808"/>
      <c r="P32" s="6825"/>
      <c r="Q32" s="6751"/>
      <c r="R32" s="3331" t="str">
        <f>IF(R28&gt;U29,"Schedule A, line 5e, limited your SALT","")</f>
        <v/>
      </c>
      <c r="S32" s="808"/>
      <c r="T32" s="37"/>
      <c r="U32" s="808"/>
    </row>
    <row r="33" spans="1:31" ht="12" customHeight="1" thickBot="1">
      <c r="A33" s="66"/>
      <c r="B33" s="5458"/>
      <c r="C33" s="974" t="str">
        <f>IF(L29,"X","")</f>
        <v/>
      </c>
      <c r="D33" s="54" t="s">
        <v>1069</v>
      </c>
      <c r="E33" s="3300" t="str">
        <f>"Subtract the amount on your "&amp;TaxYear-1&amp;" Schedule A, line 5e,"</f>
        <v>Subtract the amount on your 2022 Schedule A, line 5e,</v>
      </c>
      <c r="F33" s="59"/>
      <c r="G33" s="59"/>
      <c r="H33" s="54"/>
      <c r="I33" s="2728"/>
      <c r="J33" s="54"/>
      <c r="K33" s="2728"/>
      <c r="L33" s="54"/>
      <c r="M33" s="57"/>
      <c r="N33" s="66"/>
      <c r="O33" s="808"/>
      <c r="P33" s="808"/>
      <c r="Q33" s="808"/>
      <c r="R33" s="3331" t="str">
        <f>IF(R28&gt;U29,"deduction to "&amp;TEXT($U$29,"$0,000")&amp;".","")</f>
        <v/>
      </c>
      <c r="S33" s="808"/>
      <c r="T33" s="37"/>
      <c r="U33" s="808"/>
    </row>
    <row r="34" spans="1:31" ht="11.25" customHeight="1">
      <c r="A34" s="66"/>
      <c r="B34" s="5458"/>
      <c r="C34" s="22"/>
      <c r="D34" s="54"/>
      <c r="E34" s="3300" t="s">
        <v>1070</v>
      </c>
      <c r="F34" s="54"/>
      <c r="G34" s="54"/>
      <c r="H34" s="54"/>
      <c r="I34" s="2728"/>
      <c r="J34" s="54"/>
      <c r="K34" s="2728"/>
      <c r="L34" s="54"/>
      <c r="M34" s="57"/>
      <c r="N34" s="66"/>
      <c r="O34" s="808"/>
      <c r="P34" s="2728"/>
      <c r="Q34"/>
      <c r="R34" s="691"/>
      <c r="S34" s="1370"/>
      <c r="T34" s="808"/>
      <c r="U34" s="808"/>
    </row>
    <row r="35" spans="1:31" ht="11.25" customHeight="1">
      <c r="A35" s="66"/>
      <c r="B35" s="5458"/>
      <c r="C35" s="22"/>
      <c r="D35" s="54"/>
      <c r="E35" s="3300" t="s">
        <v>1071</v>
      </c>
      <c r="F35" s="54"/>
      <c r="G35" s="54"/>
      <c r="H35" s="54"/>
      <c r="I35" s="2728"/>
      <c r="J35" s="54"/>
      <c r="K35" s="2728"/>
      <c r="L35" s="54"/>
      <c r="M35" s="57"/>
      <c r="N35" s="66"/>
      <c r="O35" s="808"/>
      <c r="P35" s="808"/>
      <c r="Q35" s="808"/>
      <c r="R35" s="691"/>
      <c r="S35" s="808"/>
      <c r="T35" s="808"/>
      <c r="U35" s="808"/>
    </row>
    <row r="36" spans="1:31" ht="12.75" customHeight="1">
      <c r="A36" s="66"/>
      <c r="B36" s="5458"/>
      <c r="C36" s="22"/>
      <c r="D36" s="54"/>
      <c r="E36" s="3300" t="str">
        <f>"property taxes paid in "&amp;TaxYear-1&amp;" (generally, this is the amount"</f>
        <v>property taxes paid in 2022 (generally, this is the amount</v>
      </c>
      <c r="F36" s="54"/>
      <c r="G36" s="54"/>
      <c r="H36" s="54"/>
      <c r="I36" s="2728"/>
      <c r="J36" s="54"/>
      <c r="K36" s="2728"/>
      <c r="L36" s="54"/>
      <c r="M36" s="57"/>
      <c r="N36" s="66"/>
      <c r="O36" s="808"/>
      <c r="P36" s="808"/>
      <c r="Q36" s="808"/>
      <c r="R36" s="691"/>
      <c r="S36" s="808"/>
      <c r="T36" s="808"/>
      <c r="U36" s="808"/>
    </row>
    <row r="37" spans="1:31" ht="11.25" customHeight="1">
      <c r="A37" s="66"/>
      <c r="B37" s="5458"/>
      <c r="C37" s="22"/>
      <c r="D37" s="54"/>
      <c r="E37" s="3300" t="str">
        <f>"reported on your "&amp;TaxYear-1&amp;" Schedule A, line 5d)."</f>
        <v>reported on your 2022 Schedule A, line 5d).</v>
      </c>
      <c r="F37" s="54"/>
      <c r="G37" s="54"/>
      <c r="H37" s="54"/>
      <c r="I37" s="2728">
        <v>2</v>
      </c>
      <c r="J37" s="973" t="str">
        <f>IF(R37&lt;&gt;"",ROUND(R37,0),IF(OR(NOT(O5),T18,C31="X"),"",SUM(R28,-R29)))</f>
        <v/>
      </c>
      <c r="K37" s="2728"/>
      <c r="L37" s="54"/>
      <c r="M37" s="57"/>
      <c r="N37" s="66"/>
      <c r="O37" s="808"/>
      <c r="P37" s="6825">
        <v>2</v>
      </c>
      <c r="Q37" s="6752"/>
      <c r="R37" s="3316"/>
      <c r="S37" s="1370"/>
      <c r="T37" s="808"/>
      <c r="U37" s="808"/>
    </row>
    <row r="38" spans="1:31" s="2611" customFormat="1" ht="11.25" customHeight="1">
      <c r="A38" s="3317"/>
      <c r="B38" s="5460"/>
      <c r="C38" s="3318"/>
      <c r="D38" s="3318"/>
      <c r="E38" s="3319"/>
      <c r="F38" s="3318"/>
      <c r="G38" s="3318"/>
      <c r="H38" s="3318"/>
      <c r="I38" s="2728"/>
      <c r="J38" s="3321">
        <f>IF(J37="",0,J37)</f>
        <v>0</v>
      </c>
      <c r="K38" s="5461"/>
      <c r="L38" s="3318"/>
      <c r="M38" s="3320"/>
      <c r="N38" s="3317"/>
      <c r="O38" s="22"/>
      <c r="P38" s="22"/>
      <c r="Q38" s="22"/>
      <c r="R38" s="691"/>
      <c r="S38" s="22"/>
      <c r="T38" s="22"/>
      <c r="U38" s="808"/>
      <c r="V38" s="3057"/>
      <c r="W38" s="3057"/>
      <c r="X38" s="3057"/>
      <c r="Y38" s="3057"/>
      <c r="Z38" s="3057"/>
      <c r="AA38" s="3057"/>
      <c r="AB38" s="3057"/>
      <c r="AC38" s="3057"/>
      <c r="AD38" s="3057"/>
      <c r="AE38" s="3057"/>
    </row>
    <row r="39" spans="1:31">
      <c r="A39" s="66"/>
      <c r="B39" s="5459">
        <v>3</v>
      </c>
      <c r="C39" s="61" t="s">
        <v>1072</v>
      </c>
      <c r="D39" s="54"/>
      <c r="E39" s="54"/>
      <c r="F39" s="54"/>
      <c r="G39" s="54"/>
      <c r="H39" s="54"/>
      <c r="I39" s="5461"/>
      <c r="J39" s="3321"/>
      <c r="K39" s="2728"/>
      <c r="L39" s="1030" t="b">
        <f>L26&gt;J37</f>
        <v>0</v>
      </c>
      <c r="M39" s="239"/>
      <c r="N39" s="66"/>
      <c r="O39" s="22"/>
      <c r="P39" s="22"/>
      <c r="Q39" s="22"/>
      <c r="R39" s="691"/>
      <c r="S39" s="22"/>
      <c r="T39" s="22"/>
      <c r="U39" s="808"/>
    </row>
    <row r="40" spans="1:31" ht="12" customHeight="1" thickBot="1">
      <c r="A40" s="66"/>
      <c r="B40" s="5458"/>
      <c r="C40" s="22"/>
      <c r="D40" s="54"/>
      <c r="E40" s="54"/>
      <c r="F40" s="54"/>
      <c r="G40" s="54"/>
      <c r="H40" s="54"/>
      <c r="I40" s="2728"/>
      <c r="J40" s="54"/>
      <c r="K40" s="2728"/>
      <c r="L40" s="3175"/>
      <c r="M40" s="57"/>
      <c r="N40" s="66"/>
      <c r="O40" s="1598"/>
      <c r="P40" s="1598"/>
      <c r="Q40" s="1598"/>
      <c r="R40" s="691"/>
      <c r="S40" s="1598"/>
      <c r="T40" s="1598"/>
      <c r="U40" s="1598"/>
    </row>
    <row r="41" spans="1:31" ht="12" customHeight="1" thickBot="1">
      <c r="A41" s="66"/>
      <c r="B41" s="5458"/>
      <c r="C41" s="974" t="str">
        <f>IF(OR(NOT(O5),C31&lt;&gt;""),"",IF(L39,"","X"))</f>
        <v/>
      </c>
      <c r="D41" s="59" t="s">
        <v>1073</v>
      </c>
      <c r="E41" s="3301" t="s">
        <v>1074</v>
      </c>
      <c r="F41" s="59"/>
      <c r="G41" s="3300" t="s">
        <v>1075</v>
      </c>
      <c r="H41" s="54"/>
      <c r="I41" s="2728"/>
      <c r="J41" s="54"/>
      <c r="K41" s="2728"/>
      <c r="L41" s="54"/>
      <c r="M41" s="57"/>
      <c r="N41" s="66"/>
      <c r="O41" s="808"/>
      <c r="P41" s="6825"/>
      <c r="Q41" s="6751"/>
      <c r="R41" s="691"/>
      <c r="S41" s="1370"/>
      <c r="T41" s="808"/>
      <c r="U41" s="808"/>
    </row>
    <row r="42" spans="1:31" ht="12" customHeight="1" thickBot="1">
      <c r="A42" s="66"/>
      <c r="B42" s="5458"/>
      <c r="C42" s="54"/>
      <c r="D42" s="54"/>
      <c r="E42" s="106"/>
      <c r="F42" s="59"/>
      <c r="G42" s="59"/>
      <c r="H42" s="54"/>
      <c r="I42" s="2728"/>
      <c r="J42" s="54"/>
      <c r="K42" s="2728"/>
      <c r="L42" s="54"/>
      <c r="M42" s="57"/>
      <c r="N42" s="66"/>
      <c r="O42" s="808"/>
      <c r="P42" s="808"/>
      <c r="Q42" s="808"/>
      <c r="R42" s="691"/>
      <c r="S42" s="808"/>
      <c r="T42" s="808"/>
      <c r="U42" s="808"/>
    </row>
    <row r="43" spans="1:31" ht="12" customHeight="1" thickBot="1">
      <c r="A43" s="66"/>
      <c r="B43" s="5458"/>
      <c r="C43" s="974" t="str">
        <f>IF(OR(NOT(O5),C31&lt;&gt;""),"",IF(L39,"X",""))</f>
        <v/>
      </c>
      <c r="D43" s="59" t="s">
        <v>1076</v>
      </c>
      <c r="E43" s="3300" t="s">
        <v>1077</v>
      </c>
      <c r="F43" s="59"/>
      <c r="G43" s="59"/>
      <c r="H43" s="54"/>
      <c r="I43" s="2126" t="s">
        <v>177</v>
      </c>
      <c r="J43" s="973" t="str">
        <f>IF(R43&lt;&gt;"",ROUND(R43,0),IF(OR(O15&lt;&gt;1,T18),"",IF(C31="X",L26,IF(C43="X",SUM(L26,-J38),0))))</f>
        <v/>
      </c>
      <c r="K43" s="2728"/>
      <c r="L43" s="54"/>
      <c r="M43" s="57"/>
      <c r="N43" s="66"/>
      <c r="O43" s="808"/>
      <c r="P43" s="6825">
        <v>3</v>
      </c>
      <c r="Q43" s="6752"/>
      <c r="R43" s="3316"/>
      <c r="S43" s="1370"/>
      <c r="T43" s="808"/>
      <c r="U43" s="808"/>
    </row>
    <row r="44" spans="1:31" ht="12.75" customHeight="1">
      <c r="A44" s="66"/>
      <c r="B44" s="5458"/>
      <c r="C44" s="23"/>
      <c r="D44" s="54"/>
      <c r="E44" s="54"/>
      <c r="F44" s="54"/>
      <c r="G44" s="54"/>
      <c r="H44" s="54"/>
      <c r="I44" s="2728"/>
      <c r="J44" s="54"/>
      <c r="K44" s="2728"/>
      <c r="L44" s="54"/>
      <c r="M44" s="239"/>
      <c r="N44" s="66"/>
      <c r="O44" s="808"/>
      <c r="P44" s="808"/>
      <c r="Q44" s="808"/>
      <c r="R44" s="691"/>
      <c r="S44" s="808"/>
      <c r="T44" s="808"/>
      <c r="U44" s="808"/>
    </row>
    <row r="45" spans="1:31" ht="15.75" customHeight="1">
      <c r="A45" s="66"/>
      <c r="B45" s="2125" t="s">
        <v>182</v>
      </c>
      <c r="C45" s="22" t="str">
        <f>"Enter your total itemized deductions from your "&amp;TaxYear-1&amp;" Schedule A, line 17."</f>
        <v>Enter your total itemized deductions from your 2022 Schedule A, line 17.</v>
      </c>
      <c r="D45" s="54"/>
      <c r="E45" s="54"/>
      <c r="F45" s="54"/>
      <c r="G45" s="54"/>
      <c r="H45" s="60"/>
      <c r="I45" s="2126" t="s">
        <v>182</v>
      </c>
      <c r="J45" s="1393"/>
      <c r="K45" s="2728"/>
      <c r="L45" s="1030"/>
      <c r="M45" s="239"/>
      <c r="N45" s="66"/>
      <c r="O45" s="22"/>
      <c r="P45" s="22"/>
      <c r="Q45" s="22"/>
      <c r="R45" s="691"/>
      <c r="S45" s="22"/>
      <c r="T45" s="22"/>
      <c r="U45" s="808"/>
    </row>
    <row r="46" spans="1:31" ht="9" customHeight="1">
      <c r="A46" s="66"/>
      <c r="B46" s="5458"/>
      <c r="C46" s="22"/>
      <c r="D46" s="54"/>
      <c r="E46" s="54"/>
      <c r="F46" s="54"/>
      <c r="G46" s="54"/>
      <c r="H46" s="54"/>
      <c r="I46" s="2728"/>
      <c r="J46" s="224"/>
      <c r="K46" s="2728"/>
      <c r="L46" s="242"/>
      <c r="M46" s="239"/>
      <c r="N46" s="66"/>
      <c r="O46" s="22"/>
      <c r="P46" s="22"/>
      <c r="Q46" s="22"/>
      <c r="R46" s="691"/>
      <c r="S46" s="22"/>
      <c r="T46" s="22"/>
      <c r="U46" s="808"/>
    </row>
    <row r="47" spans="1:31" ht="16.5" customHeight="1">
      <c r="A47" s="66"/>
      <c r="B47" s="5458"/>
      <c r="C47" s="5462" t="s">
        <v>1078</v>
      </c>
      <c r="D47" s="5462"/>
      <c r="E47" s="238" t="str">
        <f>"If the filing status on your "&amp;TaxYear-1&amp;" Form 1040 return was married filing separately and"</f>
        <v>If the filing status on your 2022 Form 1040 return was married filing separately and</v>
      </c>
      <c r="F47" s="238"/>
      <c r="G47" s="238"/>
      <c r="H47" s="238"/>
      <c r="I47" s="2728"/>
      <c r="J47" s="54"/>
      <c r="K47" s="2728"/>
      <c r="L47" s="608"/>
      <c r="M47" s="57"/>
      <c r="N47" s="66"/>
      <c r="O47" s="22"/>
      <c r="P47" s="22"/>
      <c r="Q47" s="22"/>
      <c r="R47" s="691"/>
      <c r="S47" s="22"/>
      <c r="T47" s="22"/>
      <c r="U47" s="808"/>
    </row>
    <row r="48" spans="1:31">
      <c r="A48" s="66"/>
      <c r="B48" s="5458"/>
      <c r="C48" s="61" t="str">
        <f>"your spouse itemized deductions in "&amp;TaxYear-1&amp;", skip lines 5 through 7, enter the amount from"</f>
        <v>your spouse itemized deductions in 2022, skip lines 5 through 7, enter the amount from</v>
      </c>
      <c r="D48" s="54"/>
      <c r="E48" s="54"/>
      <c r="F48" s="54"/>
      <c r="G48" s="54"/>
      <c r="H48" s="54"/>
      <c r="I48" s="2728"/>
      <c r="J48" s="608"/>
      <c r="K48" s="2728"/>
      <c r="L48" s="608"/>
      <c r="M48" s="57"/>
      <c r="N48" s="66"/>
      <c r="O48" s="22"/>
      <c r="P48" s="22"/>
      <c r="Q48" s="22"/>
      <c r="R48" s="691"/>
      <c r="S48" s="22"/>
      <c r="T48" s="22"/>
      <c r="U48" s="808"/>
    </row>
    <row r="49" spans="1:21" ht="15" customHeight="1">
      <c r="A49" s="66"/>
      <c r="B49" s="5458"/>
      <c r="C49" s="688" t="s">
        <v>1079</v>
      </c>
      <c r="D49" s="359"/>
      <c r="E49" s="359"/>
      <c r="F49" s="359"/>
      <c r="G49" s="359"/>
      <c r="H49" s="1394"/>
      <c r="I49" s="608"/>
      <c r="J49" s="608"/>
      <c r="K49" s="2728"/>
      <c r="L49" s="490"/>
      <c r="M49" s="474"/>
      <c r="N49" s="66"/>
      <c r="O49" s="22"/>
      <c r="P49" s="22"/>
      <c r="Q49" s="22"/>
      <c r="R49" s="691"/>
      <c r="S49" s="22"/>
      <c r="T49" s="22"/>
      <c r="U49" s="808"/>
    </row>
    <row r="50" spans="1:21" ht="24.75" customHeight="1">
      <c r="A50" s="66"/>
      <c r="B50" s="5456">
        <v>5</v>
      </c>
      <c r="C50" s="3492" t="s">
        <v>1080</v>
      </c>
      <c r="D50" s="238"/>
      <c r="E50" s="238"/>
      <c r="F50" s="238"/>
      <c r="G50" s="238"/>
      <c r="H50" s="225"/>
      <c r="I50" s="2728"/>
      <c r="J50" s="54"/>
      <c r="K50" s="2728"/>
      <c r="L50" s="490"/>
      <c r="M50" s="57"/>
      <c r="N50" s="66"/>
      <c r="O50" s="22"/>
      <c r="P50" s="22"/>
      <c r="Q50" s="22"/>
      <c r="R50" s="691"/>
      <c r="S50" s="22"/>
      <c r="T50" s="22"/>
      <c r="U50" s="808"/>
    </row>
    <row r="51" spans="1:21">
      <c r="A51" s="66"/>
      <c r="B51" s="5458"/>
      <c r="C51" s="22" t="str">
        <f>TaxYear-1&amp;" Form 1040."</f>
        <v>2022 Form 1040.</v>
      </c>
      <c r="D51" s="54"/>
      <c r="E51" s="54"/>
      <c r="F51" s="54"/>
      <c r="G51" s="54"/>
      <c r="H51" s="212"/>
      <c r="I51" s="2728"/>
      <c r="J51" s="54"/>
      <c r="K51" s="2728"/>
      <c r="L51" s="3303">
        <v>12950</v>
      </c>
      <c r="M51" s="57"/>
      <c r="N51" s="66"/>
      <c r="O51" s="22"/>
      <c r="P51" s="22"/>
      <c r="Q51" s="22"/>
      <c r="R51" s="691"/>
      <c r="S51" s="22"/>
      <c r="T51" s="22"/>
      <c r="U51" s="808"/>
    </row>
    <row r="52" spans="1:21" ht="15.75">
      <c r="A52" s="66"/>
      <c r="B52" s="5458"/>
      <c r="C52" s="2144" t="s">
        <v>936</v>
      </c>
      <c r="D52" s="22" t="str">
        <f>"Single or married filing separately–- "&amp;TEXT(L51,"$0,000")</f>
        <v>Single or married filing separately–- $12,950</v>
      </c>
      <c r="E52" s="54"/>
      <c r="F52" s="54"/>
      <c r="G52" s="54"/>
      <c r="H52" s="212"/>
      <c r="I52" s="2728"/>
      <c r="J52" s="54"/>
      <c r="K52" s="2728"/>
      <c r="L52" s="3303">
        <v>25900</v>
      </c>
      <c r="M52" s="474"/>
      <c r="N52" s="66"/>
      <c r="O52" s="22"/>
      <c r="P52" s="22"/>
      <c r="Q52" s="22"/>
      <c r="R52" s="691"/>
      <c r="S52" s="22"/>
      <c r="T52" s="22"/>
      <c r="U52" s="1461"/>
    </row>
    <row r="53" spans="1:21" ht="15" customHeight="1">
      <c r="A53" s="66"/>
      <c r="B53" s="5458"/>
      <c r="C53" s="2144" t="s">
        <v>936</v>
      </c>
      <c r="D53" s="22" t="str">
        <f>"Married filing jointly or qualifying widow(er)–-"&amp;TEXT(L52,"$0,000")</f>
        <v>Married filing jointly or qualifying widow(er)–-$25,900</v>
      </c>
      <c r="E53" s="54"/>
      <c r="F53" s="54"/>
      <c r="G53" s="54"/>
      <c r="H53" s="60"/>
      <c r="I53" s="2728">
        <v>5</v>
      </c>
      <c r="J53" s="969" t="str">
        <f>IF(OR(T18,T21,O15&gt;1),"",IF(OR(P6&lt;&gt;"",P10&lt;&gt;""),L51,IF(OR(P8&lt;&gt;"",P14&lt;&gt;""),L52,IF(P12&lt;&gt;"",L53,""))))</f>
        <v/>
      </c>
      <c r="K53" s="2728"/>
      <c r="L53" s="3303">
        <v>19400</v>
      </c>
      <c r="M53" s="57"/>
      <c r="N53" s="66"/>
      <c r="O53" s="22"/>
      <c r="P53" s="22"/>
      <c r="Q53" s="22"/>
      <c r="R53" s="691"/>
      <c r="S53" s="22"/>
      <c r="T53" s="22"/>
      <c r="U53" s="808"/>
    </row>
    <row r="54" spans="1:21">
      <c r="A54" s="66"/>
      <c r="B54" s="5458"/>
      <c r="C54" s="2144" t="s">
        <v>936</v>
      </c>
      <c r="D54" s="22" t="str">
        <f>"Head of household–-"&amp;TEXT(L53,"$0,000")</f>
        <v>Head of household–-$19,400</v>
      </c>
      <c r="E54" s="54"/>
      <c r="F54" s="54"/>
      <c r="G54" s="54"/>
      <c r="H54" s="59"/>
      <c r="I54" s="2728"/>
      <c r="J54" s="224"/>
      <c r="K54" s="2728"/>
      <c r="L54" s="1454"/>
      <c r="M54" s="57"/>
      <c r="N54" s="66"/>
      <c r="O54" s="22"/>
      <c r="P54" s="22"/>
      <c r="Q54" s="22"/>
      <c r="R54" s="691"/>
      <c r="S54" s="22"/>
      <c r="T54" s="22"/>
      <c r="U54" s="808"/>
    </row>
    <row r="55" spans="1:21" ht="11.25" customHeight="1">
      <c r="A55" s="66"/>
      <c r="B55" s="5458"/>
      <c r="C55" s="58"/>
      <c r="D55" s="22"/>
      <c r="E55" s="54"/>
      <c r="F55" s="54"/>
      <c r="G55" s="54"/>
      <c r="H55" s="54"/>
      <c r="I55" s="2728"/>
      <c r="J55" s="54"/>
      <c r="K55" s="2728"/>
      <c r="L55" s="4422"/>
      <c r="M55" s="474"/>
      <c r="N55" s="66"/>
      <c r="O55" s="22"/>
      <c r="P55" s="22"/>
      <c r="Q55" s="22"/>
      <c r="R55" s="691"/>
      <c r="S55" s="22"/>
      <c r="T55" s="22"/>
      <c r="U55" s="808"/>
    </row>
    <row r="56" spans="1:21">
      <c r="A56" s="66"/>
      <c r="B56" s="5456">
        <v>6</v>
      </c>
      <c r="C56" s="61" t="s">
        <v>1081</v>
      </c>
      <c r="D56" s="54"/>
      <c r="E56" s="54"/>
      <c r="F56" s="54"/>
      <c r="G56" s="54"/>
      <c r="H56" s="54"/>
      <c r="I56" s="2728"/>
      <c r="J56" s="88"/>
      <c r="K56" s="2728"/>
      <c r="L56" s="4422"/>
      <c r="M56" s="57"/>
      <c r="N56" s="66"/>
      <c r="O56" s="22"/>
      <c r="P56" s="22"/>
      <c r="Q56" s="22"/>
      <c r="R56" s="691"/>
      <c r="S56" s="22"/>
      <c r="T56" s="22"/>
      <c r="U56" s="808"/>
    </row>
    <row r="57" spans="1:21" ht="9.75" customHeight="1" thickBot="1">
      <c r="A57" s="66"/>
      <c r="B57" s="5456"/>
      <c r="C57" s="61"/>
      <c r="D57" s="54"/>
      <c r="E57" s="54"/>
      <c r="F57" s="54"/>
      <c r="G57" s="54"/>
      <c r="H57" s="54"/>
      <c r="I57" s="2728"/>
      <c r="J57" s="88"/>
      <c r="K57" s="2728"/>
      <c r="L57" s="3314"/>
      <c r="M57" s="57"/>
      <c r="N57" s="66"/>
      <c r="O57" s="22"/>
      <c r="P57" s="22"/>
      <c r="Q57" s="22"/>
      <c r="R57" s="691"/>
      <c r="S57" s="22"/>
      <c r="T57" s="22"/>
      <c r="U57" s="808"/>
    </row>
    <row r="58" spans="1:21" ht="12.75" customHeight="1" thickBot="1">
      <c r="A58" s="66"/>
      <c r="B58" s="3311">
        <f>IF(C58&lt;&gt;"",1,0)</f>
        <v>0</v>
      </c>
      <c r="C58" s="974" t="str">
        <f>IF(OR(NOT(O5),T18,T21),"",IF(You65onJan2,"X",""))</f>
        <v/>
      </c>
      <c r="D58" s="3302" t="str">
        <f>"You were born before January 2, "&amp;TaxYear-65&amp;"."</f>
        <v>You were born before January 2, 1958.</v>
      </c>
      <c r="E58" s="54"/>
      <c r="F58" s="54"/>
      <c r="G58" s="54"/>
      <c r="H58" s="3313">
        <f>IF(I58&lt;&gt;"",1,0)</f>
        <v>0</v>
      </c>
      <c r="I58" s="974" t="str">
        <f>IF(T21,"",IF(you_blind&lt;&gt;"","X",""))</f>
        <v/>
      </c>
      <c r="J58" s="108" t="s">
        <v>1082</v>
      </c>
      <c r="K58" s="2728"/>
      <c r="L58" s="3303">
        <v>1400</v>
      </c>
      <c r="M58" s="57"/>
      <c r="N58" s="66"/>
      <c r="O58" s="22"/>
      <c r="P58" s="22"/>
      <c r="Q58" s="22"/>
      <c r="R58" s="691"/>
      <c r="S58" s="22"/>
      <c r="T58" s="22"/>
      <c r="U58" s="808"/>
    </row>
    <row r="59" spans="1:21" ht="8.25" customHeight="1" thickBot="1">
      <c r="A59" s="66"/>
      <c r="B59" s="3312"/>
      <c r="C59" s="2139"/>
      <c r="D59" s="270"/>
      <c r="E59" s="60"/>
      <c r="F59" s="60"/>
      <c r="G59" s="60"/>
      <c r="H59" s="3314"/>
      <c r="I59" s="54"/>
      <c r="J59" s="88"/>
      <c r="K59" s="2728"/>
      <c r="L59" s="3314"/>
      <c r="M59" s="57"/>
      <c r="N59" s="66"/>
      <c r="O59" s="22"/>
      <c r="P59" s="22"/>
      <c r="Q59" s="22"/>
      <c r="R59" s="691"/>
      <c r="S59" s="22"/>
      <c r="T59" s="22"/>
      <c r="U59" s="808"/>
    </row>
    <row r="60" spans="1:21" ht="12.75" customHeight="1" thickBot="1">
      <c r="A60" s="66"/>
      <c r="B60" s="3311">
        <f>IF(C60&lt;&gt;"",1,0)</f>
        <v>0</v>
      </c>
      <c r="C60" s="974" t="str">
        <f>IF(OR(NOT(O5),T18,T21,P6&lt;&gt;"",P12&lt;&gt;""),"",IF(Spouse65onJan2,"X",""))</f>
        <v/>
      </c>
      <c r="D60" s="3302" t="str">
        <f>"Spouse was born before January 2, "&amp;TaxYear-65&amp;"."</f>
        <v>Spouse was born before January 2, 1958.</v>
      </c>
      <c r="E60" s="54"/>
      <c r="F60" s="54"/>
      <c r="G60" s="54"/>
      <c r="H60" s="3313">
        <f>IF(I60&lt;&gt;"",1,0)</f>
        <v>0</v>
      </c>
      <c r="I60" s="974" t="str">
        <f>IF(OR(T21,P6&lt;&gt;"",P12&lt;&gt;""),"",IF(sp_blind&lt;&gt;"","X",""))</f>
        <v/>
      </c>
      <c r="J60" s="108" t="s">
        <v>1083</v>
      </c>
      <c r="K60" s="2728"/>
      <c r="L60" s="3303">
        <v>1750</v>
      </c>
      <c r="M60" s="57"/>
      <c r="N60" s="66"/>
      <c r="O60" s="22"/>
      <c r="P60" s="22"/>
      <c r="Q60" s="22"/>
      <c r="R60" s="691"/>
      <c r="S60" s="22"/>
      <c r="T60" s="22"/>
      <c r="U60" s="808"/>
    </row>
    <row r="61" spans="1:21" ht="7.5" customHeight="1">
      <c r="A61" s="66"/>
      <c r="B61" s="3312"/>
      <c r="C61" s="61"/>
      <c r="D61" s="3302"/>
      <c r="E61" s="54"/>
      <c r="F61" s="54"/>
      <c r="G61" s="54"/>
      <c r="H61" s="164"/>
      <c r="I61" s="54"/>
      <c r="J61" s="88"/>
      <c r="K61" s="2728"/>
      <c r="L61" s="336"/>
      <c r="M61" s="57"/>
      <c r="N61" s="66"/>
      <c r="O61" s="22"/>
      <c r="P61" s="22"/>
      <c r="Q61" s="22"/>
      <c r="R61" s="691"/>
      <c r="S61" s="22"/>
      <c r="T61" s="22"/>
      <c r="U61" s="808"/>
    </row>
    <row r="62" spans="1:21" ht="12" customHeight="1">
      <c r="A62" s="66"/>
      <c r="B62" s="3311">
        <f>SUM(B58,B60,H58,H60)</f>
        <v>0</v>
      </c>
      <c r="C62" s="61"/>
      <c r="D62" s="54"/>
      <c r="E62" s="61" t="s">
        <v>1084</v>
      </c>
      <c r="F62" s="61"/>
      <c r="G62" s="61"/>
      <c r="H62" s="23"/>
      <c r="I62" s="2916"/>
      <c r="J62" s="54"/>
      <c r="K62" s="2728"/>
      <c r="L62" s="54"/>
      <c r="M62" s="57"/>
      <c r="N62" s="66"/>
      <c r="O62" s="22"/>
      <c r="P62" s="22"/>
      <c r="Q62" s="22"/>
      <c r="R62" s="691"/>
      <c r="S62" s="22"/>
      <c r="T62" s="22"/>
      <c r="U62" s="808"/>
    </row>
    <row r="63" spans="1:21" ht="8.25" customHeight="1">
      <c r="A63" s="66"/>
      <c r="B63" s="5458"/>
      <c r="C63" s="61"/>
      <c r="D63" s="54"/>
      <c r="E63" s="106"/>
      <c r="F63" s="54"/>
      <c r="G63" s="54"/>
      <c r="H63" s="54"/>
      <c r="I63" s="473"/>
      <c r="J63" s="54"/>
      <c r="K63" s="2728"/>
      <c r="L63" s="54"/>
      <c r="M63" s="57"/>
      <c r="N63" s="66"/>
      <c r="O63" s="808"/>
      <c r="P63" s="808"/>
      <c r="Q63" s="808"/>
      <c r="R63" s="691"/>
      <c r="S63" s="808"/>
      <c r="T63" s="808"/>
      <c r="U63" s="808"/>
    </row>
    <row r="64" spans="1:21" ht="13.5" customHeight="1">
      <c r="A64" s="66"/>
      <c r="B64" s="5458"/>
      <c r="C64" s="61"/>
      <c r="D64" s="54"/>
      <c r="E64" s="106" t="str">
        <f>"Multiply the number of boxes checked by "&amp;TEXT(L58,"$0,000")&amp;" ("&amp;TEXT(L60,"$0,000")</f>
        <v>Multiply the number of boxes checked by $1,400 ($1,750</v>
      </c>
      <c r="F64" s="54"/>
      <c r="G64" s="54"/>
      <c r="H64" s="54"/>
      <c r="I64" s="473"/>
      <c r="J64" s="54"/>
      <c r="K64" s="2728"/>
      <c r="L64" s="490"/>
      <c r="M64" s="474"/>
      <c r="N64" s="66"/>
      <c r="O64" s="808"/>
      <c r="P64" s="808"/>
      <c r="Q64" s="808"/>
      <c r="R64" s="691"/>
      <c r="S64" s="808"/>
      <c r="T64" s="808"/>
      <c r="U64" s="808"/>
    </row>
    <row r="65" spans="1:21" ht="13.5" customHeight="1">
      <c r="A65" s="66"/>
      <c r="B65" s="5458"/>
      <c r="C65" s="61"/>
      <c r="D65" s="54"/>
      <c r="E65" s="54" t="str">
        <f>"if your "&amp;TaxYear-1&amp;" filing status was single or head of household)."</f>
        <v>if your 2022 filing status was single or head of household).</v>
      </c>
      <c r="F65" s="54"/>
      <c r="G65" s="54"/>
      <c r="H65" s="54"/>
      <c r="I65" s="2728">
        <v>6</v>
      </c>
      <c r="J65" s="969" t="str">
        <f>IF(OR(T18,T21,O15=0,O15&gt;1),"",IF(B62=0,0,L65))</f>
        <v/>
      </c>
      <c r="K65" s="2728"/>
      <c r="L65" s="3315">
        <f>IF(OR(P6&lt;&gt;"",P12&lt;&gt;""),B62*L60,B62*L58)</f>
        <v>0</v>
      </c>
      <c r="M65" s="474"/>
      <c r="N65" s="66"/>
      <c r="O65" s="808"/>
      <c r="P65" s="808"/>
      <c r="Q65" s="808"/>
      <c r="R65" s="691"/>
      <c r="S65" s="808"/>
      <c r="T65" s="808"/>
      <c r="U65" s="808"/>
    </row>
    <row r="66" spans="1:21" ht="12" customHeight="1">
      <c r="A66" s="66"/>
      <c r="B66" s="5458"/>
      <c r="C66" s="61"/>
      <c r="D66" s="54"/>
      <c r="E66" s="54"/>
      <c r="F66" s="54"/>
      <c r="G66" s="54"/>
      <c r="H66" s="54"/>
      <c r="I66" s="473"/>
      <c r="J66" s="54"/>
      <c r="K66" s="2728"/>
      <c r="L66" s="490"/>
      <c r="M66" s="474"/>
      <c r="N66" s="66"/>
      <c r="O66" s="808"/>
      <c r="P66" s="808"/>
      <c r="Q66" s="808"/>
      <c r="R66" s="691"/>
      <c r="S66" s="808"/>
      <c r="T66" s="808"/>
      <c r="U66" s="808"/>
    </row>
    <row r="67" spans="1:21" ht="12" customHeight="1">
      <c r="A67" s="66"/>
      <c r="B67" s="5458"/>
      <c r="C67" s="61" t="s">
        <v>1085</v>
      </c>
      <c r="D67" s="54"/>
      <c r="E67" s="54"/>
      <c r="F67" s="54"/>
      <c r="G67" s="54"/>
      <c r="H67" s="54"/>
      <c r="I67" s="473"/>
      <c r="J67" s="54"/>
      <c r="K67" s="2728"/>
      <c r="L67" s="490"/>
      <c r="M67" s="474"/>
      <c r="N67" s="66"/>
      <c r="O67" s="808"/>
      <c r="P67" s="808"/>
      <c r="Q67" s="808"/>
      <c r="R67" s="691"/>
      <c r="S67" s="808"/>
      <c r="T67" s="808"/>
      <c r="U67" s="808"/>
    </row>
    <row r="68" spans="1:21" ht="11.25" customHeight="1">
      <c r="A68" s="66"/>
      <c r="B68" s="5458"/>
      <c r="C68" s="683" t="s">
        <v>1086</v>
      </c>
      <c r="D68" s="54"/>
      <c r="E68" s="54"/>
      <c r="F68" s="54"/>
      <c r="G68" s="54"/>
      <c r="H68" s="54"/>
      <c r="I68" s="473"/>
      <c r="J68" s="54"/>
      <c r="K68" s="2728"/>
      <c r="L68" s="490"/>
      <c r="M68" s="474"/>
      <c r="N68" s="66"/>
      <c r="O68" s="808"/>
      <c r="P68" s="808"/>
      <c r="Q68" s="808"/>
      <c r="R68" s="691"/>
      <c r="S68" s="808"/>
      <c r="T68" s="808"/>
      <c r="U68" s="808"/>
    </row>
    <row r="69" spans="1:21" ht="15.75">
      <c r="A69" s="66"/>
      <c r="B69" s="5458"/>
      <c r="C69" s="688" t="s">
        <v>1087</v>
      </c>
      <c r="D69" s="54"/>
      <c r="E69" s="54"/>
      <c r="F69" s="54"/>
      <c r="G69" s="54"/>
      <c r="H69" s="54"/>
      <c r="I69" s="473"/>
      <c r="J69" s="54"/>
      <c r="K69" s="2728"/>
      <c r="L69" s="490"/>
      <c r="M69" s="474"/>
      <c r="N69" s="66"/>
      <c r="O69" s="808"/>
      <c r="P69" s="808"/>
      <c r="Q69" s="808"/>
      <c r="R69" s="691"/>
      <c r="S69" s="808"/>
      <c r="T69" s="808"/>
      <c r="U69" s="808"/>
    </row>
    <row r="70" spans="1:21" ht="11.25" customHeight="1">
      <c r="A70" s="66"/>
      <c r="B70" s="5458"/>
      <c r="C70" s="61"/>
      <c r="D70" s="54"/>
      <c r="E70" s="54"/>
      <c r="F70" s="54"/>
      <c r="G70" s="54"/>
      <c r="H70" s="54"/>
      <c r="I70" s="473"/>
      <c r="J70" s="54"/>
      <c r="K70" s="2728"/>
      <c r="L70" s="490"/>
      <c r="M70" s="474"/>
      <c r="N70" s="66"/>
      <c r="O70" s="808"/>
      <c r="P70" s="808"/>
      <c r="Q70" s="808"/>
      <c r="R70" s="691"/>
      <c r="S70" s="808"/>
      <c r="T70" s="808"/>
      <c r="U70" s="808"/>
    </row>
    <row r="71" spans="1:21">
      <c r="A71" s="66"/>
      <c r="B71" s="5458">
        <v>7</v>
      </c>
      <c r="C71" s="61" t="s">
        <v>1088</v>
      </c>
      <c r="D71" s="54"/>
      <c r="E71" s="54"/>
      <c r="F71" s="54"/>
      <c r="G71" s="54"/>
      <c r="H71" s="2139" t="s">
        <v>1089</v>
      </c>
      <c r="I71" s="2728">
        <v>7</v>
      </c>
      <c r="J71" s="969" t="str">
        <f>IF(OR(T21,NOT(O5)),"",IF(OR(T18,AND(J53="",J65="")),"",ROUND(SUM(J53,J65),0)))</f>
        <v/>
      </c>
      <c r="K71" s="2728"/>
      <c r="L71" s="54"/>
      <c r="M71" s="57"/>
      <c r="N71" s="66"/>
      <c r="O71" s="808"/>
      <c r="P71" s="808"/>
      <c r="Q71" s="808"/>
      <c r="R71" s="691"/>
      <c r="S71" s="808"/>
      <c r="T71" s="808"/>
      <c r="U71" s="808"/>
    </row>
    <row r="72" spans="1:21" ht="10.5" customHeight="1">
      <c r="A72" s="66"/>
      <c r="B72" s="5458"/>
      <c r="C72" s="22"/>
      <c r="D72" s="54"/>
      <c r="E72" s="54"/>
      <c r="F72" s="54"/>
      <c r="G72" s="54"/>
      <c r="H72" s="54"/>
      <c r="I72" s="2728"/>
      <c r="J72" s="54"/>
      <c r="K72" s="2728"/>
      <c r="L72" s="54"/>
      <c r="M72" s="57"/>
      <c r="N72" s="66"/>
      <c r="O72" s="808"/>
      <c r="P72" s="808"/>
      <c r="Q72" s="808"/>
      <c r="R72" s="691"/>
      <c r="S72" s="808"/>
      <c r="T72" s="808"/>
      <c r="U72" s="808"/>
    </row>
    <row r="73" spans="1:21">
      <c r="A73" s="66"/>
      <c r="B73" s="5458">
        <v>8</v>
      </c>
      <c r="C73" s="61" t="s">
        <v>1090</v>
      </c>
      <c r="D73" s="54"/>
      <c r="E73" s="54"/>
      <c r="F73" s="54"/>
      <c r="G73" s="54"/>
      <c r="H73" s="54"/>
      <c r="I73" s="2728"/>
      <c r="J73" s="54"/>
      <c r="K73" s="2728"/>
      <c r="L73" s="224"/>
      <c r="M73" s="239"/>
      <c r="N73" s="66"/>
      <c r="O73" s="808"/>
      <c r="P73" s="808"/>
      <c r="Q73" s="808"/>
      <c r="R73" s="691"/>
      <c r="S73" s="808"/>
      <c r="T73" s="808"/>
      <c r="U73" s="808"/>
    </row>
    <row r="74" spans="1:21" ht="12" customHeight="1" thickBot="1">
      <c r="A74" s="66"/>
      <c r="B74" s="5458"/>
      <c r="C74" s="22"/>
      <c r="D74" s="54"/>
      <c r="E74" s="54"/>
      <c r="F74" s="54"/>
      <c r="G74" s="54"/>
      <c r="H74" s="54"/>
      <c r="I74" s="2728"/>
      <c r="J74" s="54"/>
      <c r="K74" s="2728"/>
      <c r="L74" s="3175" t="b">
        <f>AND(L26&gt;0,O15&lt;&gt;1)</f>
        <v>0</v>
      </c>
      <c r="M74" s="57"/>
      <c r="N74" s="66"/>
      <c r="O74" s="808"/>
      <c r="P74" s="808"/>
      <c r="Q74" s="808"/>
      <c r="R74" s="691"/>
      <c r="S74" s="808"/>
      <c r="T74" s="808"/>
      <c r="U74" s="808"/>
    </row>
    <row r="75" spans="1:21" ht="12" customHeight="1" thickBot="1">
      <c r="A75" s="66"/>
      <c r="B75" s="5458"/>
      <c r="C75" s="974" t="str">
        <f>IF(OR(NOT(O5),J45="",L26="",T21,T18,J71&lt;J45),"","X")</f>
        <v/>
      </c>
      <c r="D75" s="54" t="s">
        <v>1067</v>
      </c>
      <c r="E75" s="59" t="s">
        <v>1091</v>
      </c>
      <c r="F75" s="59"/>
      <c r="G75" s="59"/>
      <c r="H75" s="54"/>
      <c r="I75" s="2728"/>
      <c r="J75" s="54"/>
      <c r="K75" s="2728"/>
      <c r="L75" s="54"/>
      <c r="M75" s="57"/>
      <c r="N75" s="66"/>
      <c r="O75" s="808"/>
      <c r="P75" s="808"/>
      <c r="Q75" s="808"/>
      <c r="R75" s="691"/>
      <c r="S75" s="808"/>
      <c r="T75" s="808"/>
      <c r="U75" s="808"/>
    </row>
    <row r="76" spans="1:21" ht="7.5" customHeight="1" thickBot="1">
      <c r="A76" s="66"/>
      <c r="B76" s="5458"/>
      <c r="C76" s="22"/>
      <c r="D76" s="54"/>
      <c r="E76" s="54"/>
      <c r="F76" s="54"/>
      <c r="G76" s="54"/>
      <c r="H76" s="54"/>
      <c r="I76" s="2728"/>
      <c r="J76" s="54"/>
      <c r="K76" s="2728"/>
      <c r="L76" s="54"/>
      <c r="M76" s="57"/>
      <c r="N76" s="66"/>
      <c r="O76" s="808"/>
      <c r="P76" s="808"/>
      <c r="Q76" s="808"/>
      <c r="R76" s="691"/>
      <c r="S76" s="808"/>
      <c r="T76" s="808"/>
      <c r="U76" s="808"/>
    </row>
    <row r="77" spans="1:21" ht="13.5" thickBot="1">
      <c r="A77" s="66"/>
      <c r="B77" s="5458"/>
      <c r="C77" s="974" t="str">
        <f>IF(OR(NOT(O5),L26="",T18,T21,C75="X"),"","X")</f>
        <v/>
      </c>
      <c r="D77" s="54" t="s">
        <v>1069</v>
      </c>
      <c r="E77" s="106" t="s">
        <v>1092</v>
      </c>
      <c r="F77" s="54"/>
      <c r="G77" s="54"/>
      <c r="H77" s="54"/>
      <c r="I77" s="2728"/>
      <c r="J77" s="60" t="s">
        <v>1093</v>
      </c>
      <c r="K77" s="2728">
        <v>8</v>
      </c>
      <c r="L77" s="969" t="str">
        <f>IF(OR(T18,NOT(O5)),"",IF(T21,J45,IF(J71&lt;J45,ROUND(J45-J71,0),0)))</f>
        <v/>
      </c>
      <c r="M77" s="57"/>
      <c r="N77" s="66"/>
      <c r="O77" s="808"/>
      <c r="P77" s="808"/>
      <c r="Q77" s="808"/>
      <c r="R77" s="23" t="s">
        <v>1062</v>
      </c>
      <c r="S77" s="808"/>
      <c r="T77" s="808"/>
      <c r="U77" s="808"/>
    </row>
    <row r="78" spans="1:21">
      <c r="A78" s="66"/>
      <c r="B78" s="5458"/>
      <c r="C78" s="23"/>
      <c r="D78" s="54"/>
      <c r="E78" s="54"/>
      <c r="F78" s="54"/>
      <c r="G78" s="54"/>
      <c r="H78" s="54"/>
      <c r="I78" s="2728"/>
      <c r="J78" s="54"/>
      <c r="K78" s="2728"/>
      <c r="L78" s="54"/>
      <c r="M78" s="239"/>
      <c r="N78" s="66"/>
      <c r="O78" s="808"/>
      <c r="P78" s="808"/>
      <c r="Q78" s="808"/>
      <c r="R78" s="691"/>
      <c r="S78" s="808"/>
      <c r="T78" s="808"/>
      <c r="U78" s="808"/>
    </row>
    <row r="79" spans="1:21">
      <c r="A79" s="66"/>
      <c r="B79" s="5458">
        <v>9</v>
      </c>
      <c r="C79" s="23" t="s">
        <v>1094</v>
      </c>
      <c r="D79" s="54"/>
      <c r="E79" s="54"/>
      <c r="F79" s="54"/>
      <c r="G79" s="54"/>
      <c r="H79" s="54"/>
      <c r="I79" s="2728"/>
      <c r="J79" s="60"/>
      <c r="K79" s="2728">
        <v>9</v>
      </c>
      <c r="L79" s="969">
        <f>IF(R79&lt;&gt;"",ROUND(R79,0),IF(OR(T18,T21),"",IF(O5,MIN(J43,L77),0)))</f>
        <v>0</v>
      </c>
      <c r="M79" s="57"/>
      <c r="N79" s="66"/>
      <c r="O79" s="808"/>
      <c r="P79" s="808"/>
      <c r="Q79" s="808"/>
      <c r="R79" s="3330"/>
      <c r="S79" s="808"/>
      <c r="T79" s="808"/>
      <c r="U79" s="808"/>
    </row>
    <row r="80" spans="1:21" ht="13.5" thickBot="1">
      <c r="A80" s="66"/>
      <c r="B80" s="75"/>
      <c r="C80" s="34"/>
      <c r="D80" s="34"/>
      <c r="E80" s="34"/>
      <c r="F80" s="34"/>
      <c r="G80" s="34"/>
      <c r="H80" s="34"/>
      <c r="I80" s="34"/>
      <c r="J80" s="34"/>
      <c r="K80" s="34"/>
      <c r="L80" s="34"/>
      <c r="M80" s="84"/>
      <c r="N80" s="66"/>
      <c r="O80" s="808"/>
      <c r="P80" s="808"/>
      <c r="Q80" s="808"/>
      <c r="R80" s="691"/>
      <c r="S80" s="808"/>
      <c r="T80" s="808"/>
      <c r="U80" s="808"/>
    </row>
    <row r="81" spans="1:21">
      <c r="A81" s="66"/>
      <c r="B81" s="66"/>
      <c r="C81" s="66"/>
      <c r="D81" s="66"/>
      <c r="E81" s="66"/>
      <c r="F81" s="66"/>
      <c r="G81" s="66"/>
      <c r="H81" s="66"/>
      <c r="I81" s="66"/>
      <c r="J81" s="66"/>
      <c r="K81" s="66"/>
      <c r="L81" s="66"/>
      <c r="M81" s="66"/>
      <c r="N81" s="66"/>
      <c r="O81" s="808"/>
      <c r="P81" s="808"/>
      <c r="Q81" s="808"/>
      <c r="R81" s="691"/>
      <c r="S81" s="808"/>
      <c r="T81" s="808"/>
      <c r="U81" s="808"/>
    </row>
    <row r="82" spans="1:21">
      <c r="A82" s="22"/>
      <c r="B82" s="22"/>
      <c r="C82" s="22"/>
      <c r="D82" s="22"/>
      <c r="E82" s="22"/>
      <c r="F82" s="22"/>
      <c r="G82" s="22"/>
      <c r="H82" s="22"/>
      <c r="I82" s="22"/>
      <c r="J82" s="22"/>
      <c r="K82" s="22"/>
      <c r="L82" s="22"/>
      <c r="M82" s="22"/>
      <c r="N82" s="22"/>
      <c r="O82" s="808"/>
      <c r="P82" s="808"/>
      <c r="Q82" s="808"/>
      <c r="R82" s="808"/>
      <c r="S82" s="808"/>
      <c r="T82" s="808"/>
      <c r="U82" s="808"/>
    </row>
    <row r="83" spans="1:21">
      <c r="A83" s="22"/>
      <c r="B83" s="22"/>
      <c r="C83" s="22"/>
      <c r="D83" s="22"/>
      <c r="E83" s="22"/>
      <c r="F83" s="22"/>
      <c r="G83" s="22"/>
      <c r="H83" s="22"/>
      <c r="I83" s="22"/>
      <c r="J83" s="22"/>
      <c r="K83" s="22"/>
      <c r="L83" s="22"/>
      <c r="M83" s="22"/>
      <c r="N83" s="22"/>
      <c r="O83" s="808"/>
      <c r="P83" s="808"/>
      <c r="Q83" s="808"/>
      <c r="R83" s="808"/>
      <c r="S83" s="808"/>
      <c r="T83" s="808"/>
      <c r="U83" s="808"/>
    </row>
  </sheetData>
  <sheetProtection algorithmName="SHA-512" hashValue="DiOC9dqvgHdkV16RXuZvhjk5nDdxVqwn4ZspuvLpr8sqlUfSM8/ae+jzganBfKP1bYRdET5a57NNAW1T2Dp8VQ==" saltValue="4oiO2K0oyhlCzwSKLZC/sQ==" spinCount="100000" sheet="1" objects="1" scenarios="1"/>
  <mergeCells count="8">
    <mergeCell ref="R24:R25"/>
    <mergeCell ref="O5:P5"/>
    <mergeCell ref="P43:Q43"/>
    <mergeCell ref="P37:Q37"/>
    <mergeCell ref="B19:L19"/>
    <mergeCell ref="P26:Q26"/>
    <mergeCell ref="P32:Q32"/>
    <mergeCell ref="P41:Q41"/>
  </mergeCells>
  <phoneticPr fontId="12" type="noConversion"/>
  <conditionalFormatting sqref="B16">
    <cfRule type="expression" dxfId="2898" priority="2911">
      <formula>$T$18</formula>
    </cfRule>
  </conditionalFormatting>
  <conditionalFormatting sqref="B19">
    <cfRule type="expression" dxfId="2897" priority="4">
      <formula>$T$18</formula>
    </cfRule>
  </conditionalFormatting>
  <conditionalFormatting sqref="C26">
    <cfRule type="expression" dxfId="2896" priority="7">
      <formula>$L$25</formula>
    </cfRule>
  </conditionalFormatting>
  <conditionalFormatting sqref="C31">
    <cfRule type="expression" dxfId="2895" priority="41">
      <formula>NoColor</formula>
    </cfRule>
  </conditionalFormatting>
  <conditionalFormatting sqref="C33">
    <cfRule type="expression" dxfId="2894" priority="23">
      <formula>NoColor</formula>
    </cfRule>
  </conditionalFormatting>
  <conditionalFormatting sqref="C41">
    <cfRule type="expression" dxfId="2893" priority="34">
      <formula>NoColor</formula>
    </cfRule>
  </conditionalFormatting>
  <conditionalFormatting sqref="C43">
    <cfRule type="expression" dxfId="2892" priority="20">
      <formula>NoColor</formula>
    </cfRule>
  </conditionalFormatting>
  <conditionalFormatting sqref="C47:C49">
    <cfRule type="expression" dxfId="2891" priority="6">
      <formula>$T$21</formula>
    </cfRule>
  </conditionalFormatting>
  <conditionalFormatting sqref="C58">
    <cfRule type="expression" dxfId="2890" priority="52">
      <formula>NoColor</formula>
    </cfRule>
  </conditionalFormatting>
  <conditionalFormatting sqref="C60">
    <cfRule type="expression" dxfId="2889" priority="51">
      <formula>NoColor</formula>
    </cfRule>
  </conditionalFormatting>
  <conditionalFormatting sqref="C75">
    <cfRule type="expression" dxfId="2888" priority="50">
      <formula>NoColor</formula>
    </cfRule>
  </conditionalFormatting>
  <conditionalFormatting sqref="C77">
    <cfRule type="expression" dxfId="2887" priority="49">
      <formula>NoColor</formula>
    </cfRule>
  </conditionalFormatting>
  <conditionalFormatting sqref="E41:E42">
    <cfRule type="expression" dxfId="2886" priority="35" stopIfTrue="1">
      <formula>AND(O5,NOT($L$39))</formula>
    </cfRule>
  </conditionalFormatting>
  <conditionalFormatting sqref="E47">
    <cfRule type="expression" dxfId="2885" priority="5">
      <formula>$T$21</formula>
    </cfRule>
  </conditionalFormatting>
  <conditionalFormatting sqref="E75">
    <cfRule type="expression" dxfId="2884" priority="126" stopIfTrue="1">
      <formula>IF($C$75&lt;&gt;"",1,0)</formula>
    </cfRule>
  </conditionalFormatting>
  <conditionalFormatting sqref="F31:G33">
    <cfRule type="expression" dxfId="2883" priority="2904" stopIfTrue="1">
      <formula>IF(K25&gt;=K4,1,0)</formula>
    </cfRule>
  </conditionalFormatting>
  <conditionalFormatting sqref="F75:G75">
    <cfRule type="expression" dxfId="2882" priority="2902" stopIfTrue="1">
      <formula>IF(K71&gt;=K45,1,0)</formula>
    </cfRule>
  </conditionalFormatting>
  <conditionalFormatting sqref="G23:G24">
    <cfRule type="expression" dxfId="2881" priority="98" stopIfTrue="1">
      <formula>AND($O$5,$L$26="")</formula>
    </cfRule>
  </conditionalFormatting>
  <conditionalFormatting sqref="H25">
    <cfRule type="expression" dxfId="2880" priority="8">
      <formula>$L$25</formula>
    </cfRule>
  </conditionalFormatting>
  <conditionalFormatting sqref="I58">
    <cfRule type="expression" dxfId="2879" priority="30">
      <formula>NoColor</formula>
    </cfRule>
  </conditionalFormatting>
  <conditionalFormatting sqref="I60">
    <cfRule type="expression" dxfId="2878" priority="29">
      <formula>NoColor</formula>
    </cfRule>
  </conditionalFormatting>
  <conditionalFormatting sqref="J37">
    <cfRule type="expression" dxfId="2877" priority="25">
      <formula>IF(NoColor,1,0)</formula>
    </cfRule>
  </conditionalFormatting>
  <conditionalFormatting sqref="J43">
    <cfRule type="expression" dxfId="2876" priority="19">
      <formula>IF(NoColor,1,0)</formula>
    </cfRule>
  </conditionalFormatting>
  <conditionalFormatting sqref="J45">
    <cfRule type="expression" dxfId="2875" priority="77">
      <formula>IF(NoColor,1,0)</formula>
    </cfRule>
  </conditionalFormatting>
  <conditionalFormatting sqref="J53">
    <cfRule type="expression" dxfId="2874" priority="69">
      <formula>IF(NoColor,1,0)</formula>
    </cfRule>
  </conditionalFormatting>
  <conditionalFormatting sqref="J65">
    <cfRule type="expression" dxfId="2873" priority="68">
      <formula>IF(NoColor,1,0)</formula>
    </cfRule>
  </conditionalFormatting>
  <conditionalFormatting sqref="J71">
    <cfRule type="expression" dxfId="2872" priority="67">
      <formula>IF(NoColor,1,0)</formula>
    </cfRule>
  </conditionalFormatting>
  <conditionalFormatting sqref="L26">
    <cfRule type="expression" dxfId="2871" priority="78">
      <formula>IF(NoColor,1,0)</formula>
    </cfRule>
  </conditionalFormatting>
  <conditionalFormatting sqref="L47:L48 J48 I49:J49">
    <cfRule type="expression" dxfId="2870" priority="2906" stopIfTrue="1">
      <formula>IF(OR(NOT($O$5),$P$10=""),1,0)</formula>
    </cfRule>
  </conditionalFormatting>
  <conditionalFormatting sqref="L64:L70">
    <cfRule type="expression" dxfId="2869" priority="2912" stopIfTrue="1">
      <formula>IF($R$38&lt;&gt;"",1,0)</formula>
    </cfRule>
  </conditionalFormatting>
  <conditionalFormatting sqref="L77">
    <cfRule type="expression" dxfId="2868" priority="66">
      <formula>IF(NoColor,1,0)</formula>
    </cfRule>
  </conditionalFormatting>
  <conditionalFormatting sqref="L79">
    <cfRule type="expression" dxfId="2867" priority="65">
      <formula>IF(NoColor,1,0)</formula>
    </cfRule>
  </conditionalFormatting>
  <conditionalFormatting sqref="M49 L49:L50 M52 M55">
    <cfRule type="expression" dxfId="2866" priority="2905" stopIfTrue="1">
      <formula>IF($O$15&gt;0,1,0)</formula>
    </cfRule>
  </conditionalFormatting>
  <conditionalFormatting sqref="M64:M70">
    <cfRule type="expression" dxfId="2865" priority="80" stopIfTrue="1">
      <formula>IF(L64="",1,0)</formula>
    </cfRule>
  </conditionalFormatting>
  <conditionalFormatting sqref="M2:N2">
    <cfRule type="expression" dxfId="2864" priority="9" stopIfTrue="1">
      <formula>($O$15=0)</formula>
    </cfRule>
  </conditionalFormatting>
  <conditionalFormatting sqref="O15:T15">
    <cfRule type="expression" dxfId="2863" priority="96" stopIfTrue="1">
      <formula>IF(2&gt;1,1,0)</formula>
    </cfRule>
  </conditionalFormatting>
  <conditionalFormatting sqref="P3:P4">
    <cfRule type="expression" dxfId="2862" priority="63" stopIfTrue="1">
      <formula>IF(NOT($O$5),1,0)</formula>
    </cfRule>
  </conditionalFormatting>
  <conditionalFormatting sqref="P6">
    <cfRule type="expression" dxfId="2861" priority="76">
      <formula>IF(NoColor,1,0)</formula>
    </cfRule>
  </conditionalFormatting>
  <conditionalFormatting sqref="P8">
    <cfRule type="expression" dxfId="2860" priority="75">
      <formula>IF(NoColor,1,0)</formula>
    </cfRule>
  </conditionalFormatting>
  <conditionalFormatting sqref="P10">
    <cfRule type="expression" dxfId="2859" priority="74">
      <formula>IF(NoColor,1,0)</formula>
    </cfRule>
  </conditionalFormatting>
  <conditionalFormatting sqref="P12">
    <cfRule type="expression" dxfId="2858" priority="73">
      <formula>IF(NoColor,1,0)</formula>
    </cfRule>
  </conditionalFormatting>
  <conditionalFormatting sqref="P14">
    <cfRule type="expression" dxfId="2857" priority="72">
      <formula>IF(NoColor,1,0)</formula>
    </cfRule>
  </conditionalFormatting>
  <conditionalFormatting sqref="P17">
    <cfRule type="expression" dxfId="2856" priority="71">
      <formula>IF(NoColor,1,0)</formula>
    </cfRule>
  </conditionalFormatting>
  <conditionalFormatting sqref="P21">
    <cfRule type="expression" dxfId="2855" priority="57">
      <formula>IF($P$10="",1,0)</formula>
    </cfRule>
    <cfRule type="expression" dxfId="2854" priority="58">
      <formula>IF(NoColor,1,0)</formula>
    </cfRule>
  </conditionalFormatting>
  <conditionalFormatting sqref="R21:R22">
    <cfRule type="expression" dxfId="2853" priority="54">
      <formula>IF($P$10&lt;&gt;"",1,0)</formula>
    </cfRule>
  </conditionalFormatting>
  <conditionalFormatting sqref="R26">
    <cfRule type="expression" dxfId="2852" priority="28">
      <formula>NoColor</formula>
    </cfRule>
  </conditionalFormatting>
  <conditionalFormatting sqref="R28:R29">
    <cfRule type="expression" dxfId="2851" priority="10">
      <formula>NoColor</formula>
    </cfRule>
  </conditionalFormatting>
  <conditionalFormatting sqref="R31">
    <cfRule type="expression" dxfId="2850" priority="3">
      <formula>R28&gt;U29</formula>
    </cfRule>
  </conditionalFormatting>
  <conditionalFormatting sqref="R32">
    <cfRule type="expression" dxfId="2849" priority="2">
      <formula>R28&gt;U29</formula>
    </cfRule>
  </conditionalFormatting>
  <conditionalFormatting sqref="R33">
    <cfRule type="expression" dxfId="2848" priority="1">
      <formula>R28&gt;U29</formula>
    </cfRule>
  </conditionalFormatting>
  <conditionalFormatting sqref="R37">
    <cfRule type="expression" dxfId="2847" priority="12">
      <formula>NoColor</formula>
    </cfRule>
  </conditionalFormatting>
  <conditionalFormatting sqref="R43">
    <cfRule type="expression" dxfId="2846" priority="11">
      <formula>NoColor</formula>
    </cfRule>
  </conditionalFormatting>
  <pageMargins left="0.75" right="0.25" top="0.36" bottom="0.28999999999999998" header="0.36" footer="0.21"/>
  <pageSetup scale="87"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pageSetUpPr fitToPage="1"/>
  </sheetPr>
  <dimension ref="A1:AN106"/>
  <sheetViews>
    <sheetView zoomScaleNormal="100" zoomScaleSheetLayoutView="100" workbookViewId="0"/>
  </sheetViews>
  <sheetFormatPr defaultRowHeight="12.75"/>
  <cols>
    <col min="1" max="1" width="1.7109375" customWidth="1"/>
    <col min="2" max="2" width="4.5703125" customWidth="1"/>
    <col min="3" max="3" width="2.7109375" customWidth="1"/>
    <col min="4" max="4" width="5.28515625" customWidth="1"/>
    <col min="5" max="5" width="7" customWidth="1"/>
    <col min="6" max="6" width="6.28515625" customWidth="1"/>
    <col min="7" max="7" width="40.28515625" customWidth="1"/>
    <col min="8" max="8" width="9" customWidth="1"/>
    <col min="9" max="9" width="7.85546875" customWidth="1"/>
    <col min="10" max="10" width="9.28515625" customWidth="1"/>
    <col min="11" max="11" width="4" customWidth="1"/>
    <col min="12" max="12" width="8" customWidth="1"/>
    <col min="13" max="13" width="3.28515625" customWidth="1"/>
    <col min="14" max="14" width="4.5703125" customWidth="1"/>
    <col min="15" max="15" width="1.5703125" customWidth="1"/>
    <col min="16" max="16" width="3.28515625" customWidth="1"/>
    <col min="17" max="17" width="6.28515625" customWidth="1"/>
    <col min="18" max="18" width="3" customWidth="1"/>
    <col min="19" max="19" width="4.42578125" customWidth="1"/>
    <col min="20" max="20" width="2" customWidth="1"/>
    <col min="21" max="21" width="1.85546875" customWidth="1"/>
    <col min="22" max="22" width="1.42578125" customWidth="1"/>
    <col min="23" max="23" width="3.140625" customWidth="1"/>
    <col min="24" max="24" width="12.85546875" customWidth="1"/>
    <col min="25" max="25" width="3.85546875" customWidth="1"/>
    <col min="26" max="26" width="2.140625" customWidth="1"/>
    <col min="27" max="27" width="13.28515625" customWidth="1"/>
    <col min="28" max="28" width="4.28515625" customWidth="1"/>
    <col min="29" max="29" width="18.5703125" customWidth="1"/>
    <col min="30" max="40" width="9.140625" style="2038"/>
  </cols>
  <sheetData>
    <row r="1" spans="1:40" ht="9.75" customHeight="1">
      <c r="A1" s="5463"/>
      <c r="B1" s="5463"/>
      <c r="C1" s="5463"/>
      <c r="D1" s="5463"/>
      <c r="E1" s="508"/>
      <c r="F1" s="508"/>
      <c r="G1" s="508"/>
      <c r="H1" s="5463"/>
      <c r="I1" s="5464"/>
      <c r="J1" s="5464"/>
      <c r="K1" s="5463"/>
      <c r="L1" s="509"/>
      <c r="M1" s="509"/>
      <c r="N1" s="509"/>
      <c r="O1" s="509"/>
      <c r="P1" s="509"/>
      <c r="Q1" s="509"/>
      <c r="R1" s="509"/>
      <c r="S1" s="509"/>
      <c r="T1" s="509"/>
      <c r="U1" s="509"/>
      <c r="V1" s="24"/>
      <c r="W1" s="24"/>
      <c r="X1" s="628"/>
      <c r="Y1" s="198"/>
      <c r="Z1" s="198"/>
      <c r="AA1" s="198"/>
      <c r="AB1" s="198"/>
      <c r="AC1" s="198"/>
    </row>
    <row r="2" spans="1:40" ht="35.25" customHeight="1" thickBot="1">
      <c r="A2" s="394"/>
      <c r="B2" s="2673" t="s">
        <v>1095</v>
      </c>
      <c r="C2" s="25"/>
      <c r="D2" s="25"/>
      <c r="E2" s="25"/>
      <c r="F2" s="25"/>
      <c r="G2" s="25"/>
      <c r="H2" s="25"/>
      <c r="I2" s="25"/>
      <c r="J2" s="3948"/>
      <c r="K2" s="3948"/>
      <c r="L2" s="3948"/>
      <c r="M2" s="3948"/>
      <c r="N2" s="3948"/>
      <c r="O2" s="3948"/>
      <c r="P2" s="3947"/>
      <c r="Q2" s="500"/>
      <c r="R2" s="500"/>
      <c r="S2" s="500"/>
      <c r="T2" s="500"/>
      <c r="U2" s="510"/>
      <c r="V2" s="24"/>
      <c r="W2" s="24"/>
      <c r="X2" s="628"/>
      <c r="Y2" s="198"/>
      <c r="Z2" s="198"/>
      <c r="AA2" s="198"/>
      <c r="AB2" s="198"/>
      <c r="AC2" s="198"/>
      <c r="AD2" s="2046" t="s">
        <v>241</v>
      </c>
    </row>
    <row r="3" spans="1:40" ht="15.75" customHeight="1">
      <c r="A3" s="394"/>
      <c r="B3" s="322" t="s">
        <v>1058</v>
      </c>
      <c r="C3" s="577"/>
      <c r="D3" s="577"/>
      <c r="E3" s="577"/>
      <c r="F3" s="642" t="s">
        <v>1059</v>
      </c>
      <c r="G3" s="5913" t="s">
        <v>1096</v>
      </c>
      <c r="H3" s="577"/>
      <c r="I3" s="577"/>
      <c r="J3" s="25"/>
      <c r="K3" s="25"/>
      <c r="L3" s="25"/>
      <c r="M3" s="25"/>
      <c r="N3" s="25"/>
      <c r="O3" s="25"/>
      <c r="P3" s="25"/>
      <c r="Q3" s="25"/>
      <c r="R3" s="25"/>
      <c r="S3" s="25"/>
      <c r="T3" s="211"/>
      <c r="U3" s="512"/>
      <c r="V3" s="24"/>
      <c r="W3" s="24"/>
      <c r="X3" s="628"/>
      <c r="Y3" s="198"/>
      <c r="Z3" s="198"/>
      <c r="AA3" s="198"/>
      <c r="AB3" s="198"/>
      <c r="AC3" s="198"/>
    </row>
    <row r="4" spans="1:40" ht="12.75" customHeight="1">
      <c r="A4" s="394"/>
      <c r="B4" s="323"/>
      <c r="C4" s="25"/>
      <c r="D4" s="25"/>
      <c r="E4" s="25"/>
      <c r="F4" s="643" t="s">
        <v>1059</v>
      </c>
      <c r="G4" s="5914" t="s">
        <v>1097</v>
      </c>
      <c r="H4" s="25"/>
      <c r="I4" s="25"/>
      <c r="J4" s="5465"/>
      <c r="K4" s="25"/>
      <c r="L4" s="25"/>
      <c r="M4" s="25"/>
      <c r="N4" s="25"/>
      <c r="O4" s="25"/>
      <c r="P4" s="25"/>
      <c r="Q4" s="25"/>
      <c r="R4" s="25"/>
      <c r="S4" s="25"/>
      <c r="T4" s="211"/>
      <c r="U4" s="512"/>
      <c r="V4" s="24"/>
      <c r="W4" s="24"/>
      <c r="X4" s="628"/>
      <c r="Y4" s="198"/>
      <c r="Z4" s="198"/>
      <c r="AA4" s="198"/>
      <c r="AB4" s="198"/>
      <c r="AC4" s="198"/>
    </row>
    <row r="5" spans="1:40" ht="12.75" customHeight="1">
      <c r="A5" s="394"/>
      <c r="B5" s="323"/>
      <c r="C5" s="25"/>
      <c r="D5" s="25"/>
      <c r="E5" s="25"/>
      <c r="F5" s="643"/>
      <c r="G5" s="5914" t="s">
        <v>1098</v>
      </c>
      <c r="H5" s="25"/>
      <c r="I5" s="25"/>
      <c r="J5" s="5465"/>
      <c r="K5" s="25"/>
      <c r="L5" s="25"/>
      <c r="M5" s="25"/>
      <c r="N5" s="25"/>
      <c r="O5" s="25"/>
      <c r="P5" s="25"/>
      <c r="Q5" s="25"/>
      <c r="R5" s="25"/>
      <c r="S5" s="25"/>
      <c r="T5" s="211"/>
      <c r="U5" s="512"/>
      <c r="V5" s="24"/>
      <c r="W5" s="24"/>
      <c r="X5" s="628"/>
      <c r="Y5" s="198"/>
      <c r="Z5" s="198"/>
      <c r="AA5" s="198"/>
      <c r="AB5" s="198"/>
      <c r="AC5" s="198"/>
    </row>
    <row r="6" spans="1:40" ht="12.75" customHeight="1">
      <c r="A6" s="394"/>
      <c r="B6" s="323"/>
      <c r="C6" s="25"/>
      <c r="D6" s="25"/>
      <c r="E6" s="25"/>
      <c r="F6" s="643" t="s">
        <v>1059</v>
      </c>
      <c r="G6" s="5914" t="str">
        <f>"If you are married filing separately and you lived apart from your spouse for all of "&amp;TaxYear&amp;", enter “D” on the dotted"</f>
        <v>If you are married filing separately and you lived apart from your spouse for all of 2023, enter “D” on the dotted</v>
      </c>
      <c r="H6" s="25"/>
      <c r="I6" s="25"/>
      <c r="J6" s="5465"/>
      <c r="K6" s="25"/>
      <c r="L6" s="25"/>
      <c r="M6" s="25"/>
      <c r="N6" s="25"/>
      <c r="O6" s="25"/>
      <c r="P6" s="25"/>
      <c r="Q6" s="25"/>
      <c r="R6" s="25"/>
      <c r="S6" s="25"/>
      <c r="T6" s="211"/>
      <c r="U6" s="512"/>
      <c r="V6" s="24"/>
      <c r="W6" s="24"/>
      <c r="X6" s="628"/>
      <c r="Y6" s="198"/>
      <c r="Z6" s="198"/>
      <c r="AA6" s="198"/>
      <c r="AB6" s="198"/>
      <c r="AC6" s="198"/>
    </row>
    <row r="7" spans="1:40" ht="16.5" customHeight="1">
      <c r="A7" s="424"/>
      <c r="B7" s="324"/>
      <c r="C7" s="101"/>
      <c r="D7" s="101"/>
      <c r="E7" s="101"/>
      <c r="F7" s="101"/>
      <c r="G7" s="5915" t="s">
        <v>1099</v>
      </c>
      <c r="H7" s="102"/>
      <c r="I7" s="102"/>
      <c r="J7" s="102"/>
      <c r="K7" s="102"/>
      <c r="L7" s="102"/>
      <c r="M7" s="102"/>
      <c r="N7" s="102"/>
      <c r="O7" s="102"/>
      <c r="P7" s="102"/>
      <c r="Q7" s="102"/>
      <c r="R7" s="102"/>
      <c r="S7" s="102"/>
      <c r="T7" s="210"/>
      <c r="U7" s="511"/>
      <c r="V7" s="24"/>
      <c r="W7" s="24"/>
      <c r="X7" s="628"/>
      <c r="Y7" s="198"/>
      <c r="Z7" s="198"/>
      <c r="AA7" s="198"/>
      <c r="AB7" s="198"/>
      <c r="AC7" s="198"/>
    </row>
    <row r="8" spans="1:40" s="407" customFormat="1" ht="15" customHeight="1">
      <c r="A8" s="424"/>
      <c r="B8" s="517"/>
      <c r="C8" s="248"/>
      <c r="D8" s="2674"/>
      <c r="E8" s="248"/>
      <c r="F8" s="248"/>
      <c r="G8" s="249"/>
      <c r="H8" s="247"/>
      <c r="I8" s="247"/>
      <c r="J8" s="5466"/>
      <c r="K8" s="518"/>
      <c r="L8" s="5467" t="s">
        <v>1100</v>
      </c>
      <c r="M8" s="518"/>
      <c r="N8" s="519" t="s">
        <v>1101</v>
      </c>
      <c r="O8" s="519"/>
      <c r="P8" s="518"/>
      <c r="Q8" s="518"/>
      <c r="R8" s="518"/>
      <c r="S8" s="518"/>
      <c r="T8" s="246"/>
      <c r="U8" s="511"/>
      <c r="V8" s="520"/>
      <c r="W8" s="520"/>
      <c r="X8" s="629"/>
      <c r="Y8" s="521"/>
      <c r="Z8" s="521"/>
      <c r="AA8" s="521"/>
      <c r="AB8" s="521"/>
      <c r="AC8" s="521"/>
      <c r="AD8" s="2045"/>
      <c r="AE8" s="2045"/>
      <c r="AF8" s="2045"/>
      <c r="AG8" s="2045"/>
      <c r="AH8" s="2045"/>
      <c r="AI8" s="2045"/>
      <c r="AJ8" s="2045"/>
      <c r="AK8" s="2045"/>
      <c r="AL8" s="2045"/>
      <c r="AM8" s="2045"/>
      <c r="AN8" s="2045"/>
    </row>
    <row r="9" spans="1:40" ht="15.75" thickBot="1">
      <c r="A9" s="394"/>
      <c r="B9" s="5916" t="s">
        <v>363</v>
      </c>
      <c r="C9" s="276" t="s">
        <v>5535</v>
      </c>
      <c r="D9" s="22"/>
      <c r="E9" s="54"/>
      <c r="F9" s="54"/>
      <c r="G9" s="54"/>
      <c r="H9" s="2728"/>
      <c r="I9" s="2916"/>
      <c r="J9" s="2916"/>
      <c r="K9" s="2916"/>
      <c r="L9" s="2916"/>
      <c r="M9" s="2916"/>
      <c r="N9" s="59"/>
      <c r="O9" s="59"/>
      <c r="P9" s="516"/>
      <c r="Q9" s="54"/>
      <c r="R9" s="54"/>
      <c r="S9" s="54"/>
      <c r="T9" s="57"/>
      <c r="U9" s="476"/>
      <c r="V9" s="24"/>
      <c r="W9" s="24"/>
      <c r="X9" s="5293">
        <v>6500</v>
      </c>
      <c r="Y9" s="198"/>
      <c r="Z9" s="198"/>
      <c r="AA9" s="198"/>
      <c r="AB9" s="198"/>
      <c r="AC9" s="198"/>
    </row>
    <row r="10" spans="1:40" ht="15.75" thickBot="1">
      <c r="A10" s="394"/>
      <c r="B10" s="5916"/>
      <c r="C10" s="357" t="s">
        <v>1102</v>
      </c>
      <c r="D10" s="22"/>
      <c r="E10" s="54"/>
      <c r="F10" s="54"/>
      <c r="G10" s="54"/>
      <c r="H10" s="2728"/>
      <c r="I10" s="60" t="s">
        <v>1103</v>
      </c>
      <c r="J10" s="2916" t="s">
        <v>1104</v>
      </c>
      <c r="K10" s="971"/>
      <c r="L10" s="59" t="s">
        <v>608</v>
      </c>
      <c r="M10" s="5469" t="str">
        <f>IF(AND(Yourself,K10=""),"X","")</f>
        <v/>
      </c>
      <c r="N10" s="59" t="s">
        <v>609</v>
      </c>
      <c r="O10" s="59"/>
      <c r="P10" s="516"/>
      <c r="Q10" s="54"/>
      <c r="R10" s="54"/>
      <c r="S10" s="54"/>
      <c r="T10" s="57"/>
      <c r="U10" s="476"/>
      <c r="V10" s="24"/>
      <c r="W10" s="24"/>
      <c r="X10" s="5293"/>
      <c r="Y10" s="198"/>
      <c r="Z10" s="198"/>
      <c r="AA10" s="198"/>
      <c r="AB10" s="198"/>
      <c r="AC10" s="198"/>
    </row>
    <row r="11" spans="1:40" ht="15.75" thickBot="1">
      <c r="A11" s="394"/>
      <c r="B11" s="5916" t="s">
        <v>365</v>
      </c>
      <c r="C11" s="276" t="s">
        <v>1105</v>
      </c>
      <c r="D11" s="22"/>
      <c r="E11" s="54"/>
      <c r="F11" s="54"/>
      <c r="G11" s="54"/>
      <c r="H11" s="2728"/>
      <c r="I11" s="54"/>
      <c r="J11" s="2916"/>
      <c r="K11" s="60"/>
      <c r="L11" s="60"/>
      <c r="M11" s="60" t="s">
        <v>896</v>
      </c>
      <c r="N11" s="60"/>
      <c r="O11" s="60" t="s">
        <v>1106</v>
      </c>
      <c r="P11" s="971"/>
      <c r="Q11" s="59" t="s">
        <v>608</v>
      </c>
      <c r="R11" s="5469" t="str">
        <f>IF(AND(Spouse,P11=""),"X","")</f>
        <v/>
      </c>
      <c r="S11" s="59" t="s">
        <v>609</v>
      </c>
      <c r="T11" s="57"/>
      <c r="U11" s="476"/>
      <c r="V11" s="24"/>
      <c r="W11" s="24"/>
      <c r="X11" s="5293">
        <v>7500</v>
      </c>
      <c r="Y11" s="198"/>
      <c r="Z11" s="198"/>
      <c r="AA11" s="198"/>
      <c r="AB11" s="198"/>
      <c r="AC11" s="198"/>
    </row>
    <row r="12" spans="1:40" ht="18.75" customHeight="1">
      <c r="A12" s="394"/>
      <c r="B12" s="5916"/>
      <c r="C12" s="235" t="s">
        <v>5536</v>
      </c>
      <c r="D12" s="23"/>
      <c r="E12" s="54"/>
      <c r="F12" s="54"/>
      <c r="G12" s="54"/>
      <c r="H12" s="2728"/>
      <c r="I12" s="60"/>
      <c r="J12" s="60"/>
      <c r="K12" s="60"/>
      <c r="L12" s="60"/>
      <c r="M12" s="59"/>
      <c r="N12" s="104"/>
      <c r="O12" s="104"/>
      <c r="P12" s="5470"/>
      <c r="Q12" s="59"/>
      <c r="R12" s="5471"/>
      <c r="S12" s="59"/>
      <c r="T12" s="105"/>
      <c r="U12" s="513"/>
      <c r="V12" s="24"/>
      <c r="W12" s="24"/>
      <c r="X12" s="565"/>
      <c r="Y12" s="198"/>
      <c r="Z12" s="198"/>
      <c r="AA12" s="198"/>
      <c r="AB12" s="198"/>
      <c r="AC12" s="198"/>
    </row>
    <row r="13" spans="1:40" ht="15">
      <c r="A13" s="394"/>
      <c r="B13" s="5916"/>
      <c r="C13" s="5917" t="s">
        <v>1107</v>
      </c>
      <c r="D13" s="106"/>
      <c r="E13" s="54"/>
      <c r="F13" s="54"/>
      <c r="G13" s="54"/>
      <c r="H13" s="2728"/>
      <c r="I13" s="54"/>
      <c r="J13" s="54"/>
      <c r="K13" s="104"/>
      <c r="L13" s="59"/>
      <c r="M13" s="59"/>
      <c r="N13" s="59"/>
      <c r="O13" s="59"/>
      <c r="P13" s="59"/>
      <c r="Q13" s="59"/>
      <c r="R13" s="59"/>
      <c r="S13" s="1430" t="str">
        <f>IF(AND(K10="",P11=""),"",IF(OR(Q15,(AND(BadBirthdate_Yours,BadBirthdate_Spouse))),"Check birthdate entries on '1040' sheet.",IF(AND(File_Marr_Joint&lt;&gt;"",BadBirthdate_Spouse),"Check birthdate entry for spouse on '1040' sheet.",IF(BadBirthdate_Yours,"Check your birthdate entry on '1040' sheet.",""))))</f>
        <v/>
      </c>
      <c r="T13" s="105"/>
      <c r="U13" s="513"/>
      <c r="V13" s="24"/>
      <c r="W13" s="694" t="str">
        <f>IF(OR(AND(File_Marr_Joint="",DependentYOU="",K10=""),AND(File_Marr_Joint&lt;&gt;"",DependentYOU="",DependentSPOUSE="",K10="",P11="")),"No","Yes")</f>
        <v>No</v>
      </c>
      <c r="X13" s="565"/>
      <c r="Y13" s="198"/>
      <c r="Z13" s="198"/>
      <c r="AA13" s="198"/>
      <c r="AB13" s="198"/>
      <c r="AC13" s="198"/>
    </row>
    <row r="14" spans="1:40" ht="15">
      <c r="A14" s="394"/>
      <c r="B14" s="5916"/>
      <c r="C14" s="5917" t="s">
        <v>1108</v>
      </c>
      <c r="D14" s="106"/>
      <c r="E14" s="54"/>
      <c r="F14" s="54"/>
      <c r="G14" s="54"/>
      <c r="H14" s="2728"/>
      <c r="I14" s="54"/>
      <c r="J14" s="54"/>
      <c r="K14" s="104"/>
      <c r="L14" s="59"/>
      <c r="M14" s="59"/>
      <c r="N14" s="59"/>
      <c r="O14" s="59"/>
      <c r="P14" s="59"/>
      <c r="Q14" s="3949"/>
      <c r="R14" s="59"/>
      <c r="S14" s="59"/>
      <c r="T14" s="105"/>
      <c r="U14" s="513"/>
      <c r="V14" s="24"/>
      <c r="W14" s="361"/>
      <c r="X14" s="565"/>
      <c r="Y14" s="198"/>
      <c r="Z14" s="198"/>
      <c r="AA14" s="198"/>
      <c r="AB14" s="198"/>
      <c r="AC14" s="198"/>
    </row>
    <row r="15" spans="1:40" ht="15">
      <c r="A15" s="394"/>
      <c r="B15" s="5916"/>
      <c r="C15" s="5918" t="s">
        <v>1109</v>
      </c>
      <c r="D15" s="54" t="str">
        <f>TEXT(X9,"$0,000")&amp;", if under age 50 at the end of "&amp;TaxYear&amp;"."</f>
        <v>$6,500, if under age 50 at the end of 2023.</v>
      </c>
      <c r="E15" s="54"/>
      <c r="F15" s="54"/>
      <c r="G15" s="54"/>
      <c r="H15" s="22"/>
      <c r="I15" s="22"/>
      <c r="J15" s="22"/>
      <c r="K15" s="2728"/>
      <c r="L15" s="54"/>
      <c r="M15" s="54"/>
      <c r="N15" s="54"/>
      <c r="O15" s="54"/>
      <c r="P15" s="332"/>
      <c r="Q15" s="6838" t="b">
        <f>IF(AND(File_Marr_Joint&lt;&gt;"",OR(BadBirthdate_Yours,BadBirthdate_Spouse)),TRUE,IF(BadBirthdate_Yours,TRUE,FALSE))</f>
        <v>1</v>
      </c>
      <c r="R15" s="6839"/>
      <c r="S15" s="54"/>
      <c r="T15" s="57"/>
      <c r="U15" s="476"/>
      <c r="V15" s="520"/>
      <c r="W15" s="520"/>
      <c r="X15" s="5928">
        <v>83000</v>
      </c>
      <c r="Y15" s="521"/>
      <c r="Z15" s="521"/>
      <c r="AA15" s="198"/>
      <c r="AB15" s="198"/>
      <c r="AC15" s="198"/>
    </row>
    <row r="16" spans="1:40" ht="15">
      <c r="A16" s="394"/>
      <c r="B16" s="5916"/>
      <c r="C16" s="5918" t="s">
        <v>1109</v>
      </c>
      <c r="D16" s="54" t="str">
        <f>TEXT(X11,"$0,000")&amp;", if age 50 or older at the end of "&amp;TaxYear&amp;"."</f>
        <v>$7,500, if age 50 or older at the end of 2023.</v>
      </c>
      <c r="E16" s="54"/>
      <c r="F16" s="54"/>
      <c r="G16" s="54"/>
      <c r="H16" s="22"/>
      <c r="I16" s="22"/>
      <c r="J16" s="22"/>
      <c r="K16" s="2728"/>
      <c r="L16" s="641"/>
      <c r="M16" s="54"/>
      <c r="N16" s="54"/>
      <c r="O16" s="54"/>
      <c r="P16" s="332"/>
      <c r="Q16" s="641"/>
      <c r="R16" s="1454"/>
      <c r="S16" s="54"/>
      <c r="T16" s="57"/>
      <c r="U16" s="476"/>
      <c r="V16" s="520"/>
      <c r="W16" s="520"/>
      <c r="X16" s="5928">
        <v>136000</v>
      </c>
      <c r="Y16" s="521"/>
      <c r="Z16" s="521"/>
      <c r="AA16" s="198"/>
      <c r="AB16" s="198"/>
      <c r="AC16" s="198"/>
    </row>
    <row r="17" spans="1:29" ht="15">
      <c r="A17" s="394"/>
      <c r="B17" s="5916"/>
      <c r="C17" s="5917" t="s">
        <v>1110</v>
      </c>
      <c r="D17" s="106"/>
      <c r="E17" s="54"/>
      <c r="F17" s="54"/>
      <c r="G17" s="54"/>
      <c r="H17" s="2728"/>
      <c r="I17" s="54"/>
      <c r="J17" s="54"/>
      <c r="K17" s="104"/>
      <c r="L17" s="59"/>
      <c r="M17" s="59"/>
      <c r="N17" s="59"/>
      <c r="O17" s="59"/>
      <c r="P17" s="490"/>
      <c r="Q17" s="490" t="str">
        <f>IF(AND(File_Marr_Joint="",P11&lt;&gt;""),"Your filing status must be","")</f>
        <v/>
      </c>
      <c r="R17" s="6838"/>
      <c r="S17" s="6839"/>
      <c r="T17" s="6845"/>
      <c r="U17" s="513"/>
      <c r="V17" s="24"/>
      <c r="W17" s="361"/>
      <c r="X17" s="5929">
        <v>228000</v>
      </c>
      <c r="Y17" s="198"/>
      <c r="Z17" s="198"/>
      <c r="AA17" s="198"/>
      <c r="AB17" s="198"/>
      <c r="AC17" s="198"/>
    </row>
    <row r="18" spans="1:29" ht="14.25" customHeight="1" thickBot="1">
      <c r="A18" s="394"/>
      <c r="B18" s="5916">
        <v>2</v>
      </c>
      <c r="C18" s="276" t="s">
        <v>1111</v>
      </c>
      <c r="D18" s="22"/>
      <c r="E18" s="54"/>
      <c r="F18" s="54"/>
      <c r="G18" s="54"/>
      <c r="H18" s="22"/>
      <c r="I18" s="22"/>
      <c r="J18" s="22"/>
      <c r="K18" s="2728"/>
      <c r="L18" s="54"/>
      <c r="M18" s="54"/>
      <c r="N18" s="54"/>
      <c r="O18" s="54"/>
      <c r="P18" s="332" t="str">
        <f>IF(AND(File_Marr_Joint="",P11&lt;&gt;""),"Married Filing Jointly","")</f>
        <v/>
      </c>
      <c r="Q18" s="54"/>
      <c r="R18" s="54"/>
      <c r="S18" s="54"/>
      <c r="T18" s="57"/>
      <c r="U18" s="476"/>
      <c r="V18" s="24"/>
      <c r="W18" s="24"/>
      <c r="X18" s="5929">
        <v>10000</v>
      </c>
      <c r="Y18" s="198"/>
      <c r="Z18" s="198"/>
      <c r="AA18" s="198"/>
      <c r="AB18" s="198"/>
      <c r="AC18" s="198"/>
    </row>
    <row r="19" spans="1:29" ht="15">
      <c r="A19" s="394"/>
      <c r="B19" s="5916"/>
      <c r="C19" s="5918" t="s">
        <v>1109</v>
      </c>
      <c r="D19" s="5917" t="s">
        <v>5541</v>
      </c>
      <c r="E19" s="54"/>
      <c r="F19" s="54"/>
      <c r="G19" s="54"/>
      <c r="H19" s="22"/>
      <c r="I19" s="22"/>
      <c r="J19" s="22"/>
      <c r="K19" s="2728"/>
      <c r="L19" s="54"/>
      <c r="M19" s="54"/>
      <c r="N19" s="54"/>
      <c r="O19" s="54"/>
      <c r="P19" s="332" t="str">
        <f>IF(AND(File_Marr_Joint="",P11&lt;&gt;""),"to use the 'b' column.","")</f>
        <v/>
      </c>
      <c r="Q19" s="54"/>
      <c r="R19" s="54"/>
      <c r="S19" s="54"/>
      <c r="T19" s="57"/>
      <c r="U19" s="476"/>
      <c r="V19" s="74"/>
      <c r="W19" s="30"/>
      <c r="X19" s="5911"/>
      <c r="Y19" s="205"/>
      <c r="Z19" s="198"/>
      <c r="AA19" s="715"/>
      <c r="AB19" s="198"/>
      <c r="AC19" s="198"/>
    </row>
    <row r="20" spans="1:29" ht="15">
      <c r="A20" s="394"/>
      <c r="B20" s="5916"/>
      <c r="C20" s="276"/>
      <c r="D20" s="5917" t="str">
        <f>"from your spouse for all of "&amp;TaxYear&amp;", enter "&amp;TEXT(X15,"$0,000")</f>
        <v>from your spouse for all of 2023, enter $83,000</v>
      </c>
      <c r="E20" s="106"/>
      <c r="F20" s="106"/>
      <c r="G20" s="59"/>
      <c r="H20" s="22"/>
      <c r="I20" s="22"/>
      <c r="J20" s="22"/>
      <c r="K20" s="2728"/>
      <c r="L20" s="54"/>
      <c r="M20" s="54"/>
      <c r="N20" s="54"/>
      <c r="O20" s="54"/>
      <c r="P20" s="332"/>
      <c r="Q20" s="54"/>
      <c r="R20" s="54"/>
      <c r="S20" s="54"/>
      <c r="T20" s="57"/>
      <c r="U20" s="476"/>
      <c r="V20" s="50"/>
      <c r="W20" s="2562"/>
      <c r="X20" s="5912"/>
      <c r="Y20" s="206"/>
      <c r="Z20" s="198"/>
      <c r="AA20" s="715" t="str">
        <f>IF(File_Marr_Sep="","","Married persons filing separately.")</f>
        <v/>
      </c>
      <c r="AB20" s="198"/>
      <c r="AC20" s="198"/>
    </row>
    <row r="21" spans="1:29" ht="15">
      <c r="A21" s="394"/>
      <c r="B21" s="5916"/>
      <c r="C21" s="5918" t="s">
        <v>1109</v>
      </c>
      <c r="D21" s="276" t="str">
        <f>"Qualifying widow(er), enter "&amp;TEXT(X16,"$0,000")</f>
        <v>Qualifying widow(er), enter $136,000</v>
      </c>
      <c r="E21" s="22"/>
      <c r="F21" s="22"/>
      <c r="G21" s="59"/>
      <c r="H21" s="22"/>
      <c r="I21" s="22"/>
      <c r="J21" s="22"/>
      <c r="K21" s="2728"/>
      <c r="L21" s="54"/>
      <c r="M21" s="54"/>
      <c r="N21" s="54"/>
      <c r="O21" s="54"/>
      <c r="P21" s="54"/>
      <c r="Q21" s="54"/>
      <c r="R21" s="54"/>
      <c r="S21" s="54"/>
      <c r="T21" s="57"/>
      <c r="U21" s="476"/>
      <c r="V21" s="50"/>
      <c r="W21" s="2562"/>
      <c r="X21" s="22"/>
      <c r="Y21" s="206"/>
      <c r="Z21" s="198"/>
      <c r="AA21" s="198" t="str">
        <f>IF(File_Marr_Sep="","","If you were not covered by a retirement plan but")</f>
        <v/>
      </c>
      <c r="AB21" s="198"/>
      <c r="AC21" s="198"/>
    </row>
    <row r="22" spans="1:29" ht="15">
      <c r="A22" s="394"/>
      <c r="B22" s="5916"/>
      <c r="C22" s="5918" t="s">
        <v>1109</v>
      </c>
      <c r="D22" s="5917" t="str">
        <f>"Married filing jointly, enter "&amp;TEXT(X16,"$0,000")&amp;" in both columns. But if you checked"</f>
        <v>Married filing jointly, enter $136,000 in both columns. But if you checked</v>
      </c>
      <c r="E22" s="106"/>
      <c r="F22" s="106"/>
      <c r="G22" s="106"/>
      <c r="H22" s="22"/>
      <c r="I22" s="22"/>
      <c r="J22" s="22"/>
      <c r="K22" s="2916" t="s">
        <v>367</v>
      </c>
      <c r="L22" s="6833" t="str">
        <f>IF(OR(NOT(Yourself),Q15,BadBirthdate_Yours,NumFileStatusBoxes=0),"",L23)</f>
        <v/>
      </c>
      <c r="M22" s="6811"/>
      <c r="N22" s="6811"/>
      <c r="O22" s="595"/>
      <c r="P22" s="60" t="s">
        <v>369</v>
      </c>
      <c r="Q22" s="6833" t="str">
        <f>IF(File_Marr_Joint="","",IF(Q15,"",IF(AND(File_Marr_Joint&lt;&gt;"",K10&lt;&gt;"",P11&lt;&gt;""),X16,IF(R17,"Age &gt; 70½    ",Q23))))</f>
        <v/>
      </c>
      <c r="R22" s="6811"/>
      <c r="S22" s="6811"/>
      <c r="T22" s="208"/>
      <c r="U22" s="514"/>
      <c r="V22" s="50"/>
      <c r="W22" s="2562"/>
      <c r="X22" s="502"/>
      <c r="Y22" s="206"/>
      <c r="Z22" s="198"/>
      <c r="AA22" s="198" t="str">
        <f>IF(File_Marr_Sep="","","your spouse was, you are considered covered")</f>
        <v/>
      </c>
      <c r="AB22" s="198"/>
      <c r="AC22" s="198"/>
    </row>
    <row r="23" spans="1:29" ht="15">
      <c r="A23" s="394"/>
      <c r="B23" s="5916"/>
      <c r="C23" s="276"/>
      <c r="D23" s="5917" t="str">
        <f>"'No' on either line 1a or 1b, enter "&amp;TEXT(X17,"$0,000")&amp;" for the person who was not"</f>
        <v>'No' on either line 1a or 1b, enter $228,000 for the person who was not</v>
      </c>
      <c r="E23" s="106"/>
      <c r="F23" s="106"/>
      <c r="G23" s="106"/>
      <c r="H23" s="22"/>
      <c r="I23" s="22"/>
      <c r="J23" s="22"/>
      <c r="K23" s="2728"/>
      <c r="L23" s="6840" t="str">
        <f>IF(W13="No","",IF(OR(File_Single&lt;&gt;"",File_Head&lt;&gt;"",AND(File_Marr_Sep&lt;&gt;"",LivedApart)),X15,IF(File_Qual_Widow&lt;&gt;"",X16,IF(AND(File_Marr_Joint&lt;&gt;"",K10&lt;&gt;""),X16,IF(AND(File_Marr_Joint&lt;&gt;"",K10=""),X17,IF(AND(File_Marr_Sep&lt;&gt;"",NOT(LivedApart)),X18,0))))))</f>
        <v/>
      </c>
      <c r="M23" s="6840"/>
      <c r="N23" s="6840"/>
      <c r="O23" s="54"/>
      <c r="P23" s="54"/>
      <c r="Q23" s="6841" t="str">
        <f>IF(OR(File_Marr_Joint="",W13="No"),"",IF(P11&lt;&gt;"",X16,IF(P11="",X17,0)))</f>
        <v/>
      </c>
      <c r="R23" s="6842"/>
      <c r="S23" s="6842"/>
      <c r="T23" s="57"/>
      <c r="U23" s="476"/>
      <c r="V23" s="50"/>
      <c r="W23" s="2562"/>
      <c r="X23" s="22"/>
      <c r="Y23" s="206"/>
      <c r="Z23" s="198"/>
      <c r="AA23" s="198" t="str">
        <f>IF(File_Marr_Sep="","","by a plan unless you lived apart from")</f>
        <v/>
      </c>
      <c r="AB23" s="198"/>
      <c r="AC23" s="198"/>
    </row>
    <row r="24" spans="1:29" ht="15">
      <c r="A24" s="394"/>
      <c r="B24" s="5916"/>
      <c r="C24" s="276"/>
      <c r="D24" s="5917" t="s">
        <v>1112</v>
      </c>
      <c r="E24" s="54"/>
      <c r="F24" s="54"/>
      <c r="G24" s="54"/>
      <c r="H24" s="22"/>
      <c r="I24" s="22"/>
      <c r="J24" s="22"/>
      <c r="K24" s="2728"/>
      <c r="L24" s="54"/>
      <c r="M24" s="54"/>
      <c r="N24" s="54"/>
      <c r="O24" s="54"/>
      <c r="P24" s="54"/>
      <c r="Q24" s="54"/>
      <c r="R24" s="54"/>
      <c r="S24" s="54"/>
      <c r="T24" s="57"/>
      <c r="U24" s="476"/>
      <c r="V24" s="50"/>
      <c r="W24" s="23"/>
      <c r="X24" s="23"/>
      <c r="Y24" s="198"/>
      <c r="Z24" s="198"/>
      <c r="AA24" s="198"/>
      <c r="AB24" s="198"/>
      <c r="AC24" s="198"/>
    </row>
    <row r="25" spans="1:29" ht="15">
      <c r="A25" s="394"/>
      <c r="B25" s="5916"/>
      <c r="C25" s="5918" t="s">
        <v>1109</v>
      </c>
      <c r="D25" s="5917" t="str">
        <f>"Married filing separately and you lived with your spouse at any time in "&amp;TaxYear&amp;","</f>
        <v>Married filing separately and you lived with your spouse at any time in 2023,</v>
      </c>
      <c r="E25" s="106"/>
      <c r="F25" s="106"/>
      <c r="G25" s="106"/>
      <c r="H25" s="22"/>
      <c r="I25" s="22"/>
      <c r="J25" s="22"/>
      <c r="K25" s="2728"/>
      <c r="L25" s="54"/>
      <c r="M25" s="54"/>
      <c r="N25" s="54"/>
      <c r="O25" s="54"/>
      <c r="P25" s="54"/>
      <c r="Q25" s="54"/>
      <c r="R25" s="54"/>
      <c r="S25" s="54"/>
      <c r="T25" s="57"/>
      <c r="U25" s="476"/>
      <c r="V25" s="50"/>
      <c r="W25" s="6847"/>
      <c r="X25" s="6848"/>
      <c r="Y25" s="6848"/>
      <c r="Z25" s="600"/>
      <c r="AA25" s="198"/>
      <c r="AB25" s="198"/>
      <c r="AC25" s="198"/>
    </row>
    <row r="26" spans="1:29" ht="15.75" thickBot="1">
      <c r="A26" s="394"/>
      <c r="B26" s="5916"/>
      <c r="C26" s="276"/>
      <c r="D26" s="5917" t="str">
        <f>"enter "&amp;TEXT(X18,"$0,000")&amp;"."</f>
        <v>enter $10,000.</v>
      </c>
      <c r="E26" s="106"/>
      <c r="F26" s="106"/>
      <c r="G26" s="608" t="str">
        <f>IF(File_Marr_Sep="","",IF(AND(K10="",W22&lt;&gt;"",R11&lt;&gt;"X",NOT(LivedApart)),"See NOTE in Column AA and check box 1a 'Yes' if spouse was covered by a retirement plan or check box 1b 'No'.",""))</f>
        <v/>
      </c>
      <c r="H26" s="22"/>
      <c r="I26" s="22"/>
      <c r="J26" s="22"/>
      <c r="K26" s="2728"/>
      <c r="L26" s="6846"/>
      <c r="M26" s="6846"/>
      <c r="N26" s="6846"/>
      <c r="O26" s="54"/>
      <c r="P26" s="54"/>
      <c r="Q26" s="54"/>
      <c r="R26" s="54"/>
      <c r="S26" s="54"/>
      <c r="T26" s="57"/>
      <c r="U26" s="476"/>
      <c r="V26" s="75"/>
      <c r="W26" s="23" t="s">
        <v>1113</v>
      </c>
      <c r="X26" s="198"/>
      <c r="Y26" s="198"/>
      <c r="Z26" s="198"/>
      <c r="AA26" s="198"/>
      <c r="AB26" s="198"/>
      <c r="AC26" s="198"/>
    </row>
    <row r="27" spans="1:29" ht="15">
      <c r="A27" s="394"/>
      <c r="B27" s="5916">
        <v>3</v>
      </c>
      <c r="C27" s="276" t="s">
        <v>1114</v>
      </c>
      <c r="D27" s="22"/>
      <c r="E27" s="22"/>
      <c r="F27" s="22"/>
      <c r="G27" s="22"/>
      <c r="H27" s="5472">
        <v>3</v>
      </c>
      <c r="I27" s="6827"/>
      <c r="J27" s="6827"/>
      <c r="K27" s="2728"/>
      <c r="L27" s="274" t="str">
        <f>IF(OR(I27&lt;&gt;"",AND(K10="",P11=""),Q15),"",IF(Total_Income&gt;=1000,"Manually enter "&amp;TEXT(Total_Income,"$0,000")&amp;" on this line.","Manually enter "&amp;TEXT(Total_Income,"$0")&amp;" on this line."))</f>
        <v/>
      </c>
      <c r="M27" s="164"/>
      <c r="N27" s="164"/>
      <c r="O27" s="164"/>
      <c r="P27" s="54"/>
      <c r="Q27" s="54"/>
      <c r="R27" s="54"/>
      <c r="S27" s="54"/>
      <c r="T27" s="57"/>
      <c r="U27" s="476"/>
      <c r="V27" s="22"/>
      <c r="W27" s="6847" t="s">
        <v>867</v>
      </c>
      <c r="X27" s="6848"/>
      <c r="Y27" s="6848"/>
      <c r="Z27" s="198"/>
      <c r="AA27" s="198"/>
      <c r="AB27" s="198"/>
      <c r="AC27" s="198"/>
    </row>
    <row r="28" spans="1:29" ht="15">
      <c r="A28" s="394"/>
      <c r="B28" s="5916">
        <v>4</v>
      </c>
      <c r="C28" s="276" t="s">
        <v>1115</v>
      </c>
      <c r="D28" s="61"/>
      <c r="E28" s="335"/>
      <c r="F28" s="335"/>
      <c r="G28" s="22"/>
      <c r="H28" s="2728"/>
      <c r="I28" s="22"/>
      <c r="J28" s="22"/>
      <c r="K28" s="2728"/>
      <c r="L28" s="54"/>
      <c r="M28" s="54"/>
      <c r="N28" s="54"/>
      <c r="O28" s="54"/>
      <c r="P28" s="54"/>
      <c r="Q28" s="54"/>
      <c r="R28" s="54"/>
      <c r="S28" s="54"/>
      <c r="T28" s="57"/>
      <c r="U28" s="476"/>
      <c r="V28" s="22"/>
      <c r="W28" s="66"/>
      <c r="X28" s="458"/>
      <c r="Y28" s="394"/>
      <c r="Z28" s="394"/>
      <c r="AA28" s="394"/>
      <c r="AB28" s="394"/>
      <c r="AC28" s="198"/>
    </row>
    <row r="29" spans="1:29" ht="15">
      <c r="A29" s="394"/>
      <c r="B29" s="5916"/>
      <c r="C29" s="276" t="s">
        <v>1116</v>
      </c>
      <c r="D29" s="61"/>
      <c r="E29" s="335"/>
      <c r="F29" s="335"/>
      <c r="G29" s="2139"/>
      <c r="H29" s="5472">
        <v>4</v>
      </c>
      <c r="I29" s="6828" t="str">
        <f>IF(X29&lt;&gt;"",X29,IF(AND(K10="",P11=""),"",SUM('Sch. 1'!AC53,'Sch. 1'!AC55,'Sch. 1'!AC56,'Sch. 1'!AC57,'Sch. 1'!AC58,'Sch. 1'!AC59,'Sch. 1'!AC60,'Sch. 1'!AC61,'Sch. 1'!AC62,'Sch. 1'!AC68,'Sch. 1'!AC90)))</f>
        <v/>
      </c>
      <c r="J29" s="6829"/>
      <c r="K29" s="2728"/>
      <c r="L29" s="54"/>
      <c r="M29" s="54"/>
      <c r="N29" s="54"/>
      <c r="O29" s="54"/>
      <c r="P29" s="54"/>
      <c r="Q29" s="54"/>
      <c r="R29" s="54"/>
      <c r="S29" s="54"/>
      <c r="T29" s="57"/>
      <c r="U29" s="476"/>
      <c r="V29" s="22"/>
      <c r="W29" s="65">
        <v>4</v>
      </c>
      <c r="X29" s="2933"/>
      <c r="Y29" s="394"/>
      <c r="Z29" s="394"/>
      <c r="AA29" s="394"/>
      <c r="AB29" s="394"/>
      <c r="AC29" s="198"/>
    </row>
    <row r="30" spans="1:29" ht="15.75" customHeight="1">
      <c r="A30" s="394"/>
      <c r="B30" s="5916">
        <v>5</v>
      </c>
      <c r="C30" s="276" t="s">
        <v>1117</v>
      </c>
      <c r="D30" s="22"/>
      <c r="E30" s="22"/>
      <c r="F30" s="22"/>
      <c r="G30" s="22"/>
      <c r="H30" s="2728"/>
      <c r="I30" s="22"/>
      <c r="J30" s="2139" t="s">
        <v>1118</v>
      </c>
      <c r="K30" s="2916" t="s">
        <v>682</v>
      </c>
      <c r="L30" s="6833" t="str">
        <f>IF(X30&lt;&gt;"",ROUND(X30,0),IF(OR(NOT(Yourself),Q15,W13="No",I27=""),"",SUM(I27,-I29)))</f>
        <v/>
      </c>
      <c r="M30" s="6811"/>
      <c r="N30" s="6811"/>
      <c r="O30" s="595"/>
      <c r="P30" s="60" t="s">
        <v>1119</v>
      </c>
      <c r="Q30" s="6833" t="str">
        <f>IF(AA30&lt;&gt;"",ROUND(AA30,0),IF(OR(Q15,File_Marr_Joint="",R17,W13="No",I27=""),"",(I27-I29)))</f>
        <v/>
      </c>
      <c r="R30" s="6811"/>
      <c r="S30" s="6811"/>
      <c r="T30" s="208"/>
      <c r="U30" s="514"/>
      <c r="V30" s="22"/>
      <c r="W30" s="65" t="s">
        <v>682</v>
      </c>
      <c r="X30" s="2933"/>
      <c r="Y30" s="65" t="s">
        <v>1119</v>
      </c>
      <c r="Z30" s="65"/>
      <c r="AA30" s="2933"/>
      <c r="AB30" s="394"/>
      <c r="AC30" s="198"/>
    </row>
    <row r="31" spans="1:29" ht="15.75" customHeight="1">
      <c r="A31" s="394"/>
      <c r="B31" s="5916">
        <v>6</v>
      </c>
      <c r="C31" s="276" t="s">
        <v>1120</v>
      </c>
      <c r="D31" s="22"/>
      <c r="E31" s="22"/>
      <c r="F31" s="22"/>
      <c r="G31" s="22"/>
      <c r="H31" s="22"/>
      <c r="I31" s="22"/>
      <c r="J31" s="22"/>
      <c r="K31" s="2728"/>
      <c r="L31" s="54"/>
      <c r="M31" s="54"/>
      <c r="N31" s="54"/>
      <c r="O31" s="54"/>
      <c r="P31" s="54"/>
      <c r="Q31" s="54"/>
      <c r="R31" s="54"/>
      <c r="S31" s="54"/>
      <c r="T31" s="57"/>
      <c r="U31" s="476"/>
      <c r="V31" s="22"/>
      <c r="W31" s="66"/>
      <c r="X31" s="458"/>
      <c r="Y31" s="66"/>
      <c r="Z31" s="66"/>
      <c r="AA31" s="458"/>
      <c r="AB31" s="394"/>
      <c r="AC31" s="198"/>
    </row>
    <row r="32" spans="1:29" ht="6" customHeight="1" thickBot="1">
      <c r="A32" s="394"/>
      <c r="B32" s="5468"/>
      <c r="C32" s="22"/>
      <c r="D32" s="22"/>
      <c r="E32" s="22"/>
      <c r="F32" s="22"/>
      <c r="G32" s="22"/>
      <c r="H32" s="22"/>
      <c r="I32" s="22"/>
      <c r="J32" s="22"/>
      <c r="K32" s="2728"/>
      <c r="L32" s="54"/>
      <c r="M32" s="54"/>
      <c r="N32" s="54"/>
      <c r="O32" s="54"/>
      <c r="P32" s="54"/>
      <c r="Q32" s="54"/>
      <c r="R32" s="54"/>
      <c r="S32" s="54"/>
      <c r="T32" s="57"/>
      <c r="U32" s="476"/>
      <c r="V32" s="22"/>
      <c r="W32" s="22"/>
      <c r="X32" s="335"/>
      <c r="Y32" s="198"/>
      <c r="Z32" s="198"/>
      <c r="AA32" s="198"/>
      <c r="AB32" s="198"/>
      <c r="AC32" s="198"/>
    </row>
    <row r="33" spans="1:40" ht="12.75" customHeight="1" thickBot="1">
      <c r="A33" s="394"/>
      <c r="B33" s="5468"/>
      <c r="C33" s="98" t="str">
        <f>IF(W13="No","",IF(OR(LEFT(L33,2)="No",LEFT(Q33,2)="No"),"X",""))</f>
        <v/>
      </c>
      <c r="D33" s="37"/>
      <c r="E33" s="235" t="s">
        <v>1121</v>
      </c>
      <c r="F33" s="235"/>
      <c r="G33" s="276" t="s">
        <v>1122</v>
      </c>
      <c r="H33" s="22"/>
      <c r="I33" s="2728"/>
      <c r="J33" s="2728"/>
      <c r="K33" s="54"/>
      <c r="L33" s="1633" t="str">
        <f>IF(OR(I27="",AND(K10="",P11="")),"",IF(L30&lt;L22,"Yes","No.  Stop."))</f>
        <v/>
      </c>
      <c r="M33" s="334"/>
      <c r="N33" s="334"/>
      <c r="O33" s="334"/>
      <c r="P33" s="335"/>
      <c r="Q33" s="1633" t="str">
        <f>IF(OR(I27="",File_Marr_Joint="",W13="No"),"",IF(Q30&lt;Q22,"Yes","No.  Stop."))</f>
        <v/>
      </c>
      <c r="R33" s="334"/>
      <c r="S33" s="334"/>
      <c r="T33" s="5473"/>
      <c r="U33" s="957"/>
      <c r="V33" s="22"/>
      <c r="W33" s="22"/>
      <c r="X33" s="335"/>
      <c r="Y33" s="198"/>
      <c r="Z33" s="198"/>
      <c r="AA33" s="198"/>
      <c r="AB33" s="198"/>
      <c r="AC33" s="198"/>
    </row>
    <row r="34" spans="1:40" ht="12" customHeight="1">
      <c r="A34" s="394"/>
      <c r="B34" s="5468"/>
      <c r="C34" s="37"/>
      <c r="D34" s="37"/>
      <c r="E34" s="235"/>
      <c r="F34" s="235"/>
      <c r="G34" s="276" t="s">
        <v>1123</v>
      </c>
      <c r="H34" s="22"/>
      <c r="I34" s="2728"/>
      <c r="J34" s="2728"/>
      <c r="K34" s="54"/>
      <c r="L34" s="335"/>
      <c r="M34" s="335"/>
      <c r="N34" s="335"/>
      <c r="O34" s="335"/>
      <c r="P34" s="335"/>
      <c r="Q34" s="780"/>
      <c r="R34" s="333"/>
      <c r="S34" s="333"/>
      <c r="T34" s="57"/>
      <c r="U34" s="476"/>
      <c r="V34" s="22"/>
      <c r="W34" s="22"/>
      <c r="X34" s="335"/>
      <c r="Y34" s="198"/>
      <c r="Z34" s="198"/>
      <c r="AA34" s="198"/>
      <c r="AB34" s="198"/>
      <c r="AC34" s="198"/>
    </row>
    <row r="35" spans="1:40" ht="6" customHeight="1" thickBot="1">
      <c r="A35" s="394"/>
      <c r="B35" s="5468"/>
      <c r="C35" s="37"/>
      <c r="D35" s="37"/>
      <c r="E35" s="235"/>
      <c r="F35" s="235"/>
      <c r="G35" s="276"/>
      <c r="H35" s="22"/>
      <c r="I35" s="2728"/>
      <c r="J35" s="2728"/>
      <c r="K35" s="54"/>
      <c r="L35" s="335"/>
      <c r="M35" s="335"/>
      <c r="N35" s="335"/>
      <c r="O35" s="335"/>
      <c r="P35" s="335"/>
      <c r="Q35" s="780"/>
      <c r="R35" s="333"/>
      <c r="S35" s="333"/>
      <c r="T35" s="57"/>
      <c r="U35" s="476"/>
      <c r="V35" s="22"/>
      <c r="W35" s="22"/>
      <c r="X35" s="335"/>
      <c r="Y35" s="198"/>
      <c r="Z35" s="198"/>
      <c r="AA35" s="198"/>
      <c r="AB35" s="198"/>
      <c r="AC35" s="198"/>
    </row>
    <row r="36" spans="1:40" ht="12.75" customHeight="1" thickBot="1">
      <c r="A36" s="394"/>
      <c r="B36" s="5468"/>
      <c r="C36" s="98" t="str">
        <f>IF(W13="No","",IF(OR(LEFT(L33,3)="Yes",LEFT(Q33,3)="Yes"),"X",""))</f>
        <v/>
      </c>
      <c r="D36" s="37"/>
      <c r="E36" s="235" t="s">
        <v>1069</v>
      </c>
      <c r="F36" s="235"/>
      <c r="G36" s="2095" t="s">
        <v>5540</v>
      </c>
      <c r="H36" s="23"/>
      <c r="I36" s="2728"/>
      <c r="J36" s="2728"/>
      <c r="K36" s="54"/>
      <c r="L36" s="335"/>
      <c r="M36" s="335"/>
      <c r="N36" s="335"/>
      <c r="O36" s="335"/>
      <c r="P36" s="335"/>
      <c r="Q36" s="333"/>
      <c r="R36" s="333"/>
      <c r="S36" s="333"/>
      <c r="T36" s="57"/>
      <c r="U36" s="476"/>
      <c r="V36" s="22"/>
      <c r="W36" s="22"/>
      <c r="X36" s="13"/>
      <c r="Y36" s="198"/>
      <c r="Z36" s="198"/>
      <c r="AA36" s="198"/>
      <c r="AB36" s="198"/>
      <c r="AC36" s="198"/>
    </row>
    <row r="37" spans="1:40" ht="15" customHeight="1">
      <c r="A37" s="394"/>
      <c r="B37" s="5468"/>
      <c r="C37" s="23"/>
      <c r="D37" s="23"/>
      <c r="E37" s="235"/>
      <c r="F37" s="235"/>
      <c r="G37" s="5927" t="s">
        <v>1124</v>
      </c>
      <c r="H37" s="22"/>
      <c r="I37" s="2728"/>
      <c r="J37" s="2728"/>
      <c r="K37" s="54"/>
      <c r="L37" s="335"/>
      <c r="M37" s="335"/>
      <c r="N37" s="335"/>
      <c r="O37" s="335"/>
      <c r="P37" s="335"/>
      <c r="Q37" s="333"/>
      <c r="R37" s="333"/>
      <c r="S37" s="333"/>
      <c r="T37" s="57"/>
      <c r="U37" s="476"/>
      <c r="V37" s="22"/>
      <c r="W37" s="22"/>
      <c r="X37" s="13"/>
      <c r="Y37" s="198"/>
      <c r="Z37" s="198"/>
      <c r="AA37" s="198"/>
      <c r="AB37" s="198"/>
      <c r="AC37" s="198"/>
    </row>
    <row r="38" spans="1:40" ht="12" customHeight="1">
      <c r="A38" s="394"/>
      <c r="B38" s="5468"/>
      <c r="C38" s="2728"/>
      <c r="D38" s="23"/>
      <c r="E38" s="5918" t="s">
        <v>1109</v>
      </c>
      <c r="F38" s="276" t="s">
        <v>1125</v>
      </c>
      <c r="G38" s="61"/>
      <c r="H38" s="22"/>
      <c r="I38" s="22"/>
      <c r="J38" s="2728"/>
      <c r="K38" s="54"/>
      <c r="L38" s="335"/>
      <c r="M38" s="333"/>
      <c r="N38" s="335"/>
      <c r="O38" s="335"/>
      <c r="P38" s="335"/>
      <c r="Q38" s="333"/>
      <c r="R38" s="333"/>
      <c r="S38" s="333"/>
      <c r="T38" s="57"/>
      <c r="U38" s="476"/>
      <c r="V38" s="22"/>
      <c r="W38" s="22"/>
      <c r="X38" s="13"/>
      <c r="Y38" s="198"/>
      <c r="Z38" s="198"/>
      <c r="AA38" s="198"/>
      <c r="AB38" s="198"/>
      <c r="AC38" s="198"/>
    </row>
    <row r="39" spans="1:40" ht="12" customHeight="1">
      <c r="A39" s="394"/>
      <c r="B39" s="5468"/>
      <c r="C39" s="2728"/>
      <c r="D39" s="23"/>
      <c r="E39" s="235"/>
      <c r="F39" s="276" t="str">
        <f>"result is "&amp;TEXT(X18,"$0,000")&amp;" or more, enter the applicable amount below on"</f>
        <v>result is $10,000 or more, enter the applicable amount below on</v>
      </c>
      <c r="G39" s="61"/>
      <c r="H39" s="22"/>
      <c r="I39" s="22"/>
      <c r="J39" s="2728"/>
      <c r="K39" s="54"/>
      <c r="L39" s="335"/>
      <c r="M39" s="335"/>
      <c r="N39" s="335"/>
      <c r="O39" s="335"/>
      <c r="P39" s="335"/>
      <c r="Q39" s="333"/>
      <c r="R39" s="333"/>
      <c r="S39" s="333"/>
      <c r="T39" s="57"/>
      <c r="U39" s="476"/>
      <c r="V39" s="22"/>
      <c r="W39" s="22"/>
      <c r="X39" s="13"/>
      <c r="Y39" s="198"/>
      <c r="Z39" s="198"/>
      <c r="AA39" s="198"/>
      <c r="AB39" s="198"/>
      <c r="AC39" s="198"/>
    </row>
    <row r="40" spans="1:40" ht="12" customHeight="1">
      <c r="A40" s="394"/>
      <c r="B40" s="5468"/>
      <c r="C40" s="2728"/>
      <c r="D40" s="23"/>
      <c r="E40" s="235"/>
      <c r="F40" s="276" t="s">
        <v>1126</v>
      </c>
      <c r="G40" s="61"/>
      <c r="H40" s="22"/>
      <c r="I40" s="22"/>
      <c r="J40" s="2728"/>
      <c r="K40" s="54"/>
      <c r="L40" s="335"/>
      <c r="M40" s="335"/>
      <c r="N40" s="335"/>
      <c r="O40" s="335"/>
      <c r="P40" s="335"/>
      <c r="Q40" s="333"/>
      <c r="R40" s="333"/>
      <c r="S40" s="333"/>
      <c r="T40" s="57"/>
      <c r="U40" s="476"/>
      <c r="V40" s="22"/>
      <c r="W40" s="22"/>
      <c r="X40" s="13"/>
      <c r="Y40" s="198"/>
      <c r="Z40" s="198"/>
      <c r="AA40" s="198"/>
      <c r="AB40" s="198"/>
      <c r="AC40" s="198"/>
    </row>
    <row r="41" spans="1:40" ht="12" customHeight="1">
      <c r="A41" s="394"/>
      <c r="B41" s="5468"/>
      <c r="C41" s="2728"/>
      <c r="D41" s="23"/>
      <c r="E41" s="235"/>
      <c r="F41" s="5919" t="str">
        <f>"i. "&amp;TEXT($X$9,"$0,000")&amp;", if under age 50 at the end of "&amp;TaxYear&amp;"."</f>
        <v>i. $6,500, if under age 50 at the end of 2023.</v>
      </c>
      <c r="G41" s="61"/>
      <c r="H41" s="61"/>
      <c r="I41" s="22"/>
      <c r="J41" s="2728"/>
      <c r="K41" s="54"/>
      <c r="L41" s="335"/>
      <c r="M41" s="335"/>
      <c r="N41" s="335"/>
      <c r="O41" s="335"/>
      <c r="P41" s="335"/>
      <c r="Q41" s="333"/>
      <c r="R41" s="333"/>
      <c r="S41" s="333"/>
      <c r="T41" s="57"/>
      <c r="U41" s="476"/>
      <c r="V41" s="22"/>
      <c r="W41" s="23" t="s">
        <v>1113</v>
      </c>
      <c r="X41" s="23"/>
      <c r="Y41" s="198"/>
      <c r="Z41" s="198"/>
      <c r="AA41" s="198"/>
      <c r="AB41" s="198"/>
      <c r="AC41" s="198"/>
    </row>
    <row r="42" spans="1:40" s="163" customFormat="1" ht="12" customHeight="1">
      <c r="A42" s="3031"/>
      <c r="B42" s="5474"/>
      <c r="C42" s="5475"/>
      <c r="D42" s="23"/>
      <c r="E42" s="276"/>
      <c r="F42" s="5919" t="str">
        <f>"ii. "&amp;TEXT($X$11,"$0,000")&amp;", if age 50 or older at the"</f>
        <v>ii. $7,500, if age 50 or older at the</v>
      </c>
      <c r="G42" s="61"/>
      <c r="H42" s="61"/>
      <c r="I42" s="61"/>
      <c r="J42" s="5475"/>
      <c r="K42" s="106"/>
      <c r="L42" s="335"/>
      <c r="M42" s="335"/>
      <c r="N42" s="335"/>
      <c r="O42" s="335"/>
      <c r="P42" s="335"/>
      <c r="Q42" s="333"/>
      <c r="R42" s="333"/>
      <c r="S42" s="333"/>
      <c r="T42" s="5476"/>
      <c r="U42" s="5477"/>
      <c r="V42" s="61"/>
      <c r="W42" s="6847" t="s">
        <v>867</v>
      </c>
      <c r="X42" s="6848"/>
      <c r="Y42" s="6848"/>
      <c r="Z42" s="5478"/>
      <c r="AA42" s="5478"/>
      <c r="AB42" s="5478"/>
      <c r="AC42" s="5478"/>
      <c r="AD42" s="2044"/>
      <c r="AE42" s="2044"/>
      <c r="AF42" s="2044"/>
      <c r="AG42" s="2044"/>
      <c r="AH42" s="2044"/>
      <c r="AI42" s="2044"/>
      <c r="AJ42" s="2044"/>
      <c r="AK42" s="2044"/>
      <c r="AL42" s="2044"/>
      <c r="AM42" s="2044"/>
      <c r="AN42" s="2044"/>
    </row>
    <row r="43" spans="1:40" s="163" customFormat="1" ht="12" customHeight="1">
      <c r="A43" s="3031"/>
      <c r="B43" s="5474"/>
      <c r="C43" s="5475"/>
      <c r="D43" s="23"/>
      <c r="E43" s="276"/>
      <c r="F43" s="5919" t="str">
        <f>"   end of "&amp;TaxYear&amp;"."</f>
        <v xml:space="preserve">   end of 2023.</v>
      </c>
      <c r="G43" s="61"/>
      <c r="H43" s="61"/>
      <c r="I43" s="61"/>
      <c r="J43" s="5475"/>
      <c r="K43" s="106"/>
      <c r="L43" s="335"/>
      <c r="M43" s="335"/>
      <c r="N43" s="335"/>
      <c r="O43" s="335"/>
      <c r="P43" s="335"/>
      <c r="Q43" s="333"/>
      <c r="R43" s="333"/>
      <c r="S43" s="333"/>
      <c r="T43" s="5476"/>
      <c r="U43" s="5477"/>
      <c r="V43" s="61"/>
      <c r="W43" s="66"/>
      <c r="X43" s="458"/>
      <c r="Y43" s="66"/>
      <c r="Z43" s="66"/>
      <c r="AA43" s="458"/>
      <c r="AB43" s="394"/>
      <c r="AC43" s="5478"/>
      <c r="AD43" s="2044"/>
      <c r="AE43" s="2044"/>
      <c r="AF43" s="2044"/>
      <c r="AG43" s="2044"/>
      <c r="AH43" s="2044"/>
      <c r="AI43" s="2044"/>
      <c r="AJ43" s="2044"/>
      <c r="AK43" s="2044"/>
      <c r="AL43" s="2044"/>
      <c r="AM43" s="2044"/>
      <c r="AN43" s="2044"/>
    </row>
    <row r="44" spans="1:40" ht="12" customHeight="1">
      <c r="A44" s="394"/>
      <c r="B44" s="5468"/>
      <c r="C44" s="2728"/>
      <c r="D44" s="23"/>
      <c r="E44" s="5920"/>
      <c r="F44" s="276" t="str">
        <f>"If the result is less than "&amp;TEXT(X18,"$0,000")&amp;", go to line 7."</f>
        <v>If the result is less than $10,000, go to line 7.</v>
      </c>
      <c r="G44" s="61"/>
      <c r="H44" s="22"/>
      <c r="I44" s="22"/>
      <c r="J44" s="2728"/>
      <c r="K44" s="2916" t="s">
        <v>1127</v>
      </c>
      <c r="L44" s="6833" t="str">
        <f>IF(X44&lt;&gt;"",ROUND(X44,0),IF(OR(BadBirthdate_Yours,L22="",$W$13="No",I27=""),"",IF(LEFT(L33,2)="No","",L22-L30)))</f>
        <v/>
      </c>
      <c r="M44" s="6811"/>
      <c r="N44" s="6811"/>
      <c r="O44" s="595"/>
      <c r="P44" s="2916" t="s">
        <v>1128</v>
      </c>
      <c r="Q44" s="6833" t="str">
        <f>IF(AA44&lt;&gt;"",ROUND(AA44,0),IF(OR(Q15,R17,File_Marr_Joint="",I27=""),"",IF(OR(AND(File_Marr_Sep&lt;&gt;"",LivedApart),Q22="",$W$13="No"),"",IF(LEFT(Q33,2)="No","",Q22-Q30))))</f>
        <v/>
      </c>
      <c r="R44" s="6811"/>
      <c r="S44" s="6811"/>
      <c r="T44" s="315"/>
      <c r="U44" s="504"/>
      <c r="V44" s="22"/>
      <c r="W44" s="65" t="s">
        <v>1129</v>
      </c>
      <c r="X44" s="2934"/>
      <c r="Y44" s="65" t="s">
        <v>1130</v>
      </c>
      <c r="Z44" s="65"/>
      <c r="AA44" s="2934"/>
      <c r="AB44" s="394"/>
      <c r="AC44" s="198"/>
    </row>
    <row r="45" spans="1:40" ht="12" customHeight="1">
      <c r="A45" s="394"/>
      <c r="B45" s="5468"/>
      <c r="C45" s="2728"/>
      <c r="D45" s="23"/>
      <c r="E45" s="5918" t="s">
        <v>1109</v>
      </c>
      <c r="F45" s="276" t="s">
        <v>1131</v>
      </c>
      <c r="G45" s="61"/>
      <c r="H45" s="22"/>
      <c r="I45" s="22"/>
      <c r="J45" s="2728"/>
      <c r="K45" s="54"/>
      <c r="L45" s="6843"/>
      <c r="M45" s="6844"/>
      <c r="N45" s="6844"/>
      <c r="O45" s="335"/>
      <c r="P45" s="335"/>
      <c r="Q45" s="6832" t="str">
        <f>IF(OR(File_Marr_Joint="",W13="No"),"",IF(OR(LivedApart,AND(File_Marr_Joint="",File_Marr_Sep="")),"",IF(LEFT(Q33,2)="No","",Q22-Q30)))</f>
        <v/>
      </c>
      <c r="R45" s="6832"/>
      <c r="S45" s="6832"/>
      <c r="T45" s="57"/>
      <c r="U45" s="476"/>
      <c r="V45" s="22"/>
      <c r="W45" s="66"/>
      <c r="X45" s="458"/>
      <c r="Y45" s="66"/>
      <c r="Z45" s="66"/>
      <c r="AA45" s="458"/>
      <c r="AB45" s="394"/>
      <c r="AC45" s="198"/>
    </row>
    <row r="46" spans="1:40" ht="12" customHeight="1">
      <c r="A46" s="394"/>
      <c r="B46" s="5468"/>
      <c r="C46" s="2728"/>
      <c r="D46" s="23"/>
      <c r="E46" s="235"/>
      <c r="F46" s="276" t="str">
        <f>TEXT(2*X18,"$0,000")&amp;" or more ("&amp;TEXT(X18,"$0,000")&amp;" or more in the column for the IRA of"</f>
        <v>$20,000 or more ($10,000 or more in the column for the IRA of</v>
      </c>
      <c r="G46" s="61"/>
      <c r="H46" s="22"/>
      <c r="I46" s="22"/>
      <c r="J46" s="2728"/>
      <c r="K46" s="54"/>
      <c r="L46" s="6832">
        <f>IF(K10&lt;&gt;"",2*$X$18,$X$18)</f>
        <v>10000</v>
      </c>
      <c r="M46" s="6832"/>
      <c r="N46" s="6832"/>
      <c r="O46" s="335"/>
      <c r="P46" s="335"/>
      <c r="Q46" s="6832">
        <f>IF(P11&lt;&gt;"",2*$X$18,$X$18)</f>
        <v>10000</v>
      </c>
      <c r="R46" s="6832"/>
      <c r="S46" s="6832"/>
      <c r="T46" s="57"/>
      <c r="U46" s="476"/>
      <c r="V46" s="22"/>
      <c r="W46" s="22"/>
      <c r="X46" s="13"/>
      <c r="Y46" s="198"/>
      <c r="Z46" s="198"/>
      <c r="AA46" s="198"/>
      <c r="AB46" s="198"/>
      <c r="AC46" s="198"/>
    </row>
    <row r="47" spans="1:40" ht="12" customHeight="1">
      <c r="A47" s="394"/>
      <c r="B47" s="5468"/>
      <c r="C47" s="2728"/>
      <c r="D47" s="23"/>
      <c r="E47" s="235"/>
      <c r="F47" s="276" t="s">
        <v>1132</v>
      </c>
      <c r="G47" s="61"/>
      <c r="H47" s="22"/>
      <c r="I47" s="22"/>
      <c r="J47" s="2728"/>
      <c r="K47" s="54"/>
      <c r="L47" s="335"/>
      <c r="M47" s="335"/>
      <c r="N47" s="335"/>
      <c r="O47" s="335"/>
      <c r="P47" s="335"/>
      <c r="Q47" s="6832"/>
      <c r="R47" s="6832"/>
      <c r="S47" s="6832"/>
      <c r="T47" s="57"/>
      <c r="U47" s="476"/>
      <c r="V47" s="22"/>
      <c r="W47" s="22"/>
      <c r="X47" s="13"/>
      <c r="Y47" s="198"/>
      <c r="Z47" s="198"/>
      <c r="AA47" s="198"/>
      <c r="AB47" s="198"/>
      <c r="AC47" s="198"/>
    </row>
    <row r="48" spans="1:40" ht="12" customHeight="1">
      <c r="A48" s="394"/>
      <c r="B48" s="5468"/>
      <c r="C48" s="2728"/>
      <c r="D48" s="23"/>
      <c r="E48" s="235"/>
      <c r="F48" s="276" t="s">
        <v>1133</v>
      </c>
      <c r="G48" s="61"/>
      <c r="H48" s="22"/>
      <c r="I48" s="22"/>
      <c r="J48" s="2728"/>
      <c r="K48" s="54"/>
      <c r="L48" s="335"/>
      <c r="M48" s="335"/>
      <c r="N48" s="335"/>
      <c r="O48" s="335"/>
      <c r="P48" s="335"/>
      <c r="Q48" s="333"/>
      <c r="R48" s="333"/>
      <c r="S48" s="333"/>
      <c r="T48" s="57"/>
      <c r="U48" s="476"/>
      <c r="V48" s="22"/>
      <c r="W48" s="22"/>
      <c r="X48" s="13"/>
      <c r="Y48" s="198"/>
      <c r="Z48" s="198"/>
      <c r="AA48" s="198"/>
      <c r="AB48" s="198"/>
      <c r="AC48" s="198"/>
    </row>
    <row r="49" spans="1:40" ht="12" customHeight="1">
      <c r="A49" s="394"/>
      <c r="B49" s="5468"/>
      <c r="C49" s="2728"/>
      <c r="D49" s="23"/>
      <c r="E49" s="235"/>
      <c r="F49" s="5919" t="str">
        <f>"i. "&amp;TEXT($X$9,"$0,000")&amp;", if under age 50 at the end of "&amp;TaxYear&amp;"."</f>
        <v>i. $6,500, if under age 50 at the end of 2023.</v>
      </c>
      <c r="G49" s="61"/>
      <c r="H49" s="61"/>
      <c r="I49" s="22"/>
      <c r="J49" s="2728"/>
      <c r="K49" s="54"/>
      <c r="L49" s="335"/>
      <c r="M49" s="335"/>
      <c r="N49" s="335"/>
      <c r="O49" s="335"/>
      <c r="P49" s="335"/>
      <c r="Q49" s="333"/>
      <c r="R49" s="333"/>
      <c r="S49" s="333"/>
      <c r="T49" s="57"/>
      <c r="U49" s="476"/>
      <c r="V49" s="22"/>
      <c r="W49" s="22"/>
      <c r="X49" s="13"/>
      <c r="Y49" s="198"/>
      <c r="Z49" s="198"/>
      <c r="AA49" s="198"/>
      <c r="AB49" s="198"/>
      <c r="AC49" s="198"/>
    </row>
    <row r="50" spans="1:40" s="163" customFormat="1" ht="12" customHeight="1">
      <c r="A50" s="3031"/>
      <c r="B50" s="5474"/>
      <c r="C50" s="5475"/>
      <c r="D50" s="23"/>
      <c r="E50" s="276"/>
      <c r="F50" s="5919" t="str">
        <f>"ii. "&amp;TEXT($X$11,"$0,000")&amp;", if age 50 or older at the"</f>
        <v>ii. $7,500, if age 50 or older at the</v>
      </c>
      <c r="G50" s="61"/>
      <c r="H50" s="61"/>
      <c r="I50" s="61"/>
      <c r="J50" s="5475"/>
      <c r="K50" s="106"/>
      <c r="L50" s="335"/>
      <c r="M50" s="335"/>
      <c r="N50" s="335"/>
      <c r="O50" s="335"/>
      <c r="P50" s="335"/>
      <c r="Q50" s="333"/>
      <c r="R50" s="333"/>
      <c r="S50" s="333"/>
      <c r="T50" s="5476"/>
      <c r="U50" s="5477"/>
      <c r="V50" s="61"/>
      <c r="W50" s="61"/>
      <c r="X50" s="13"/>
      <c r="Y50" s="5478"/>
      <c r="Z50" s="5478"/>
      <c r="AA50" s="5478"/>
      <c r="AB50" s="5478"/>
      <c r="AC50" s="5478"/>
      <c r="AD50" s="2044"/>
      <c r="AE50" s="2044"/>
      <c r="AF50" s="2044"/>
      <c r="AG50" s="2044"/>
      <c r="AH50" s="2044"/>
      <c r="AI50" s="2044"/>
      <c r="AJ50" s="2044"/>
      <c r="AK50" s="2044"/>
      <c r="AL50" s="2044"/>
      <c r="AM50" s="2044"/>
      <c r="AN50" s="2044"/>
    </row>
    <row r="51" spans="1:40" s="163" customFormat="1" ht="12" customHeight="1">
      <c r="A51" s="3031"/>
      <c r="B51" s="5474"/>
      <c r="C51" s="5475"/>
      <c r="D51" s="23"/>
      <c r="E51" s="276"/>
      <c r="F51" s="5919" t="str">
        <f>"   end of "&amp;TaxYear&amp;"."</f>
        <v xml:space="preserve">   end of 2023.</v>
      </c>
      <c r="G51" s="61"/>
      <c r="H51" s="61"/>
      <c r="I51" s="61"/>
      <c r="J51" s="5475"/>
      <c r="K51" s="106"/>
      <c r="L51" s="335"/>
      <c r="M51" s="335"/>
      <c r="N51" s="335"/>
      <c r="O51" s="335"/>
      <c r="P51" s="335"/>
      <c r="Q51" s="333"/>
      <c r="R51" s="333"/>
      <c r="S51" s="333"/>
      <c r="T51" s="5476"/>
      <c r="U51" s="5477"/>
      <c r="V51" s="61"/>
      <c r="W51" s="61"/>
      <c r="X51" s="13"/>
      <c r="Y51" s="5478"/>
      <c r="Z51" s="5478"/>
      <c r="AA51" s="5478"/>
      <c r="AB51" s="5478"/>
      <c r="AC51" s="5478"/>
      <c r="AD51" s="2044"/>
      <c r="AE51" s="2044"/>
      <c r="AF51" s="2044"/>
      <c r="AG51" s="2044"/>
      <c r="AH51" s="2044"/>
      <c r="AI51" s="2044"/>
      <c r="AJ51" s="2044"/>
      <c r="AK51" s="2044"/>
      <c r="AL51" s="2044"/>
      <c r="AM51" s="2044"/>
      <c r="AN51" s="2044"/>
    </row>
    <row r="52" spans="1:40" ht="12" customHeight="1">
      <c r="A52" s="394"/>
      <c r="B52" s="5468"/>
      <c r="C52" s="5475"/>
      <c r="D52" s="23"/>
      <c r="E52" s="5920"/>
      <c r="F52" s="276" t="s">
        <v>1134</v>
      </c>
      <c r="G52" s="61"/>
      <c r="H52" s="22"/>
      <c r="I52" s="22"/>
      <c r="J52" s="5475"/>
      <c r="K52" s="106"/>
      <c r="L52" s="335"/>
      <c r="M52" s="335"/>
      <c r="N52" s="335"/>
      <c r="O52" s="335"/>
      <c r="P52" s="335"/>
      <c r="Q52" s="333"/>
      <c r="R52" s="333"/>
      <c r="S52" s="333"/>
      <c r="T52" s="5476"/>
      <c r="U52" s="504"/>
      <c r="V52" s="22"/>
      <c r="W52" s="22"/>
      <c r="X52" s="13"/>
      <c r="Y52" s="198"/>
      <c r="Z52" s="198"/>
      <c r="AA52" s="198"/>
      <c r="AB52" s="198"/>
      <c r="AC52" s="198"/>
    </row>
    <row r="53" spans="1:40" ht="12" customHeight="1" thickBot="1">
      <c r="A53" s="394"/>
      <c r="B53" s="5479"/>
      <c r="C53" s="611"/>
      <c r="D53" s="611"/>
      <c r="E53" s="5921"/>
      <c r="F53" s="5921"/>
      <c r="G53" s="34"/>
      <c r="H53" s="34"/>
      <c r="I53" s="5480"/>
      <c r="J53" s="5480"/>
      <c r="K53" s="5481"/>
      <c r="L53" s="5482"/>
      <c r="M53" s="612"/>
      <c r="N53" s="612"/>
      <c r="O53" s="5480"/>
      <c r="P53" s="5480"/>
      <c r="Q53" s="5482"/>
      <c r="R53" s="612"/>
      <c r="S53" s="612"/>
      <c r="T53" s="613"/>
      <c r="U53" s="504"/>
      <c r="V53" s="22"/>
      <c r="W53" s="22"/>
      <c r="X53" s="13"/>
      <c r="Y53" s="198"/>
      <c r="Z53" s="198"/>
      <c r="AA53" s="198"/>
      <c r="AB53" s="198"/>
      <c r="AC53" s="198"/>
    </row>
    <row r="54" spans="1:40" ht="1.5" customHeight="1">
      <c r="A54" s="394"/>
      <c r="B54" s="5483"/>
      <c r="C54" s="614"/>
      <c r="D54" s="614"/>
      <c r="E54" s="5484"/>
      <c r="F54" s="5484"/>
      <c r="G54" s="615"/>
      <c r="H54" s="615"/>
      <c r="I54" s="5485"/>
      <c r="J54" s="5485"/>
      <c r="K54" s="5486"/>
      <c r="L54" s="5487"/>
      <c r="M54" s="616"/>
      <c r="N54" s="616"/>
      <c r="O54" s="5485"/>
      <c r="P54" s="5485"/>
      <c r="Q54" s="5487"/>
      <c r="R54" s="616"/>
      <c r="S54" s="616"/>
      <c r="T54" s="617"/>
      <c r="U54" s="504"/>
      <c r="V54" s="22"/>
      <c r="W54" s="22"/>
      <c r="X54" s="13"/>
      <c r="Y54" s="198"/>
      <c r="Z54" s="198"/>
      <c r="AA54" s="198"/>
      <c r="AB54" s="198"/>
      <c r="AC54" s="198"/>
    </row>
    <row r="55" spans="1:40" ht="22.5" customHeight="1">
      <c r="A55" s="394"/>
      <c r="B55" s="3496" t="str">
        <f>B2&amp;"  -  Continued"</f>
        <v>IRA Deduction Worksheet – Schedule 1, Line 20  -  Continued</v>
      </c>
      <c r="C55" s="25"/>
      <c r="D55" s="25"/>
      <c r="E55" s="25"/>
      <c r="F55" s="25"/>
      <c r="G55" s="25"/>
      <c r="H55" s="3495"/>
      <c r="I55" s="25"/>
      <c r="J55" s="25"/>
      <c r="K55" s="25"/>
      <c r="L55" s="25"/>
      <c r="M55" s="25"/>
      <c r="N55" s="25"/>
      <c r="O55" s="25"/>
      <c r="P55" s="245"/>
      <c r="Q55" s="245"/>
      <c r="R55" s="245"/>
      <c r="S55" s="619"/>
      <c r="T55" s="610"/>
      <c r="U55" s="510"/>
      <c r="V55" s="24"/>
      <c r="W55" s="24"/>
      <c r="X55" s="24"/>
      <c r="Y55" s="198"/>
      <c r="Z55" s="198"/>
      <c r="AA55" s="198"/>
      <c r="AB55" s="198"/>
      <c r="AC55" s="198"/>
    </row>
    <row r="56" spans="1:40" s="407" customFormat="1" ht="21.75" customHeight="1">
      <c r="A56" s="424"/>
      <c r="B56" s="517"/>
      <c r="C56" s="248"/>
      <c r="D56" s="248"/>
      <c r="E56" s="248"/>
      <c r="F56" s="248"/>
      <c r="G56" s="249"/>
      <c r="H56" s="247"/>
      <c r="I56" s="247"/>
      <c r="J56" s="5466"/>
      <c r="K56" s="518"/>
      <c r="L56" s="5467" t="s">
        <v>1100</v>
      </c>
      <c r="M56" s="518"/>
      <c r="N56" s="519" t="s">
        <v>1101</v>
      </c>
      <c r="O56" s="519"/>
      <c r="P56" s="518"/>
      <c r="Q56" s="518"/>
      <c r="R56" s="518"/>
      <c r="S56" s="518"/>
      <c r="T56" s="246"/>
      <c r="U56" s="511"/>
      <c r="V56" s="520"/>
      <c r="W56" s="520"/>
      <c r="X56" s="520"/>
      <c r="Y56" s="521"/>
      <c r="Z56" s="521"/>
      <c r="AA56" s="521"/>
      <c r="AB56" s="521"/>
      <c r="AC56" s="521"/>
      <c r="AD56" s="2045"/>
      <c r="AE56" s="2045"/>
      <c r="AF56" s="2038"/>
      <c r="AG56" s="2038"/>
      <c r="AH56" s="2038"/>
      <c r="AI56" s="2045"/>
      <c r="AJ56" s="2045"/>
      <c r="AK56" s="2045"/>
      <c r="AL56" s="2045"/>
      <c r="AM56" s="2045"/>
      <c r="AN56" s="2045"/>
    </row>
    <row r="57" spans="1:40" ht="12" customHeight="1">
      <c r="A57" s="394"/>
      <c r="B57" s="5916">
        <v>7</v>
      </c>
      <c r="C57" s="5922" t="s">
        <v>1135</v>
      </c>
      <c r="D57" s="5922"/>
      <c r="E57" s="22"/>
      <c r="F57" s="22"/>
      <c r="G57" s="22"/>
      <c r="H57" s="22"/>
      <c r="I57" s="657"/>
      <c r="J57" s="5488"/>
      <c r="K57" s="5489" t="s">
        <v>1136</v>
      </c>
      <c r="L57" s="6830">
        <f>IF(AND(L44&gt;$X$18,YourAge&lt;50),$X$9,IF(L44&gt;$X$18,$X$11,IF(YourAge&lt;50,ROUNDUP($AA$58*L44,-1),ROUNDUP($AA$59*L44,-1))))</f>
        <v>7500</v>
      </c>
      <c r="M57" s="6831"/>
      <c r="N57" s="6831"/>
      <c r="O57" s="5488"/>
      <c r="P57" s="5488"/>
      <c r="Q57" s="6830">
        <f>IF(L57&lt;$AA$57,$AA$57,L57)</f>
        <v>7500</v>
      </c>
      <c r="R57" s="6831"/>
      <c r="S57" s="6831"/>
      <c r="T57" s="622"/>
      <c r="U57" s="623"/>
      <c r="V57" s="624"/>
      <c r="W57" s="624"/>
      <c r="X57" s="624"/>
      <c r="Y57" s="624"/>
      <c r="Z57" s="624"/>
      <c r="AA57" s="805">
        <v>200</v>
      </c>
      <c r="AB57" s="198"/>
      <c r="AC57" s="198"/>
    </row>
    <row r="58" spans="1:40" ht="15">
      <c r="A58" s="394"/>
      <c r="B58" s="5916"/>
      <c r="C58" s="276" t="s">
        <v>1137</v>
      </c>
      <c r="D58" s="276"/>
      <c r="E58" s="92"/>
      <c r="F58" s="92"/>
      <c r="G58" s="92"/>
      <c r="H58" s="2728"/>
      <c r="I58" s="335"/>
      <c r="J58" s="13"/>
      <c r="K58" s="5489" t="s">
        <v>1138</v>
      </c>
      <c r="L58" s="6830" t="str">
        <f>IF(YourAge="?","",IF(AND(L44&gt;L46,YourAge&lt;50),$X$9,IF(L44&gt;L46,$X$11,IF(ROUNDUP(L60*L44,-1)&lt;$AA$57,$AA$57,ROUNDUP(L60*L44,-1)))))</f>
        <v/>
      </c>
      <c r="M58" s="6831"/>
      <c r="N58" s="6831"/>
      <c r="O58" s="609"/>
      <c r="P58" s="5489"/>
      <c r="Q58" s="6830">
        <f>IF(SpouseAge="®","",IF(AND(Q44&gt;Q46,SpouseAge&lt;50),$X$9,IF(AND(Q44&gt;Q46),$X$11,IF(ROUNDUP(Q60*Q44,-1)&lt;$AA$57,$AA$57,ROUNDUP(Q60*Q44,-1)))))</f>
        <v>7500</v>
      </c>
      <c r="R58" s="6831"/>
      <c r="S58" s="6831"/>
      <c r="T58" s="625"/>
      <c r="U58" s="623"/>
      <c r="V58" s="335"/>
      <c r="W58" s="335"/>
      <c r="X58" s="335"/>
      <c r="Y58" s="335"/>
      <c r="Z58" s="335"/>
      <c r="AA58" s="805">
        <v>0.65</v>
      </c>
      <c r="AB58" s="198"/>
      <c r="AC58" s="198"/>
    </row>
    <row r="59" spans="1:40" ht="15">
      <c r="A59" s="394"/>
      <c r="B59" s="5916"/>
      <c r="C59" s="276" t="str">
        <f>"example, increase $490.30 to $500). If the result is "&amp;TEXT(AA57,"$0")&amp;", or more, enter the"</f>
        <v>example, increase $490.30 to $500). If the result is $200, or more, enter the</v>
      </c>
      <c r="D59" s="276"/>
      <c r="E59" s="92"/>
      <c r="F59" s="92"/>
      <c r="G59" s="92"/>
      <c r="H59" s="2728"/>
      <c r="I59" s="626"/>
      <c r="J59" s="626"/>
      <c r="K59" s="626"/>
      <c r="L59" s="626"/>
      <c r="M59" s="626"/>
      <c r="N59" s="626"/>
      <c r="O59" s="626"/>
      <c r="P59" s="626"/>
      <c r="Q59" s="626"/>
      <c r="R59" s="626"/>
      <c r="S59" s="626"/>
      <c r="T59" s="625"/>
      <c r="U59" s="623"/>
      <c r="V59" s="335"/>
      <c r="W59" s="335"/>
      <c r="X59" s="335"/>
      <c r="Y59" s="335"/>
      <c r="Z59" s="335"/>
      <c r="AA59" s="805">
        <v>0.75</v>
      </c>
      <c r="AB59" s="198"/>
      <c r="AC59" s="198"/>
    </row>
    <row r="60" spans="1:40" ht="15">
      <c r="A60" s="394"/>
      <c r="B60" s="5916"/>
      <c r="C60" s="276" t="str">
        <f>"result. But if it is less than "&amp;TEXT(AA57,"$0")&amp;", enter "&amp;TEXT(AA57,"$0")&amp;"."</f>
        <v>result. But if it is less than $200, enter $200.</v>
      </c>
      <c r="D60" s="276"/>
      <c r="E60" s="92"/>
      <c r="F60" s="92"/>
      <c r="G60" s="92"/>
      <c r="H60" s="2728"/>
      <c r="I60" s="626"/>
      <c r="J60" s="626"/>
      <c r="K60" s="626"/>
      <c r="L60" s="1029">
        <f>IF(AND(K10&lt;&gt;"",YourAge&lt;50),AA60,IF(K10&lt;&gt;"",AA61,IF(YourAge&lt;50,AA58,AA59)))</f>
        <v>0.75</v>
      </c>
      <c r="M60" s="626"/>
      <c r="N60" s="626"/>
      <c r="O60" s="626"/>
      <c r="P60" s="626"/>
      <c r="Q60" s="1029">
        <f>IF(AND(P11&lt;&gt;"",SpouseAge&lt;50),AA60,IF(P11&lt;&gt;"",AA61,IF(SpouseAge&lt;50,AA58,AA59)))</f>
        <v>0.75</v>
      </c>
      <c r="R60" s="626"/>
      <c r="S60" s="626"/>
      <c r="T60" s="625"/>
      <c r="U60" s="623"/>
      <c r="V60" s="335"/>
      <c r="W60" s="23" t="s">
        <v>1113</v>
      </c>
      <c r="X60" s="23"/>
      <c r="Y60" s="198"/>
      <c r="Z60" s="335"/>
      <c r="AA60" s="805">
        <v>0.32500000000000001</v>
      </c>
      <c r="AB60" s="198"/>
      <c r="AC60" s="198"/>
    </row>
    <row r="61" spans="1:40" ht="15">
      <c r="A61" s="394"/>
      <c r="B61" s="5916"/>
      <c r="C61" s="5918" t="s">
        <v>1109</v>
      </c>
      <c r="D61" s="276" t="str">
        <f>"Single, head of household, or married filing separately, multiply by "&amp;TEXT(AA58,"0%")</f>
        <v>Single, head of household, or married filing separately, multiply by 65%</v>
      </c>
      <c r="E61" s="92"/>
      <c r="F61" s="92"/>
      <c r="G61" s="92"/>
      <c r="H61" s="2728"/>
      <c r="I61" s="626"/>
      <c r="J61" s="658"/>
      <c r="K61" s="621"/>
      <c r="L61" s="164"/>
      <c r="M61" s="164"/>
      <c r="N61" s="164"/>
      <c r="O61" s="164"/>
      <c r="P61" s="164"/>
      <c r="Q61" s="164"/>
      <c r="R61" s="626"/>
      <c r="S61" s="618" t="str">
        <f>IF(AND(K10&lt;&gt;"",File_Marr_Joint="",YourAge="®"),"Birthdate information needed on 'Form 1040 or 1040-SR', Row 73.",IF(AND(P11&lt;&gt;"",File_Marr_Joint&lt;&gt;"",SpouseAge=""),"Birthdate information needed on 'Form 1040 or 1040-SR', Rows 73 &amp; 75.",""))</f>
        <v/>
      </c>
      <c r="T61" s="625"/>
      <c r="U61" s="623"/>
      <c r="V61" s="335"/>
      <c r="W61" s="6847" t="s">
        <v>867</v>
      </c>
      <c r="X61" s="6848"/>
      <c r="Y61" s="6848"/>
      <c r="Z61" s="335"/>
      <c r="AA61" s="805">
        <v>0.375</v>
      </c>
      <c r="AB61" s="198"/>
      <c r="AC61" s="198"/>
    </row>
    <row r="62" spans="1:40" ht="15">
      <c r="A62" s="394"/>
      <c r="B62" s="5916"/>
      <c r="C62" s="276"/>
      <c r="D62" s="276" t="str">
        <f>"("&amp;TEXT(AA58,"0.00")&amp;")(or by "&amp;TEXT(AA59,"0%")&amp;" ("&amp;TEXT(AA59,"0.00")&amp;") in the column for the IRA of a person who is age"</f>
        <v>(0.65)(or by 75% (0.75) in the column for the IRA of a person who is age</v>
      </c>
      <c r="E62" s="92"/>
      <c r="F62" s="92"/>
      <c r="G62" s="92"/>
      <c r="H62" s="2728"/>
      <c r="I62" s="54"/>
      <c r="J62" s="54"/>
      <c r="K62" s="2728"/>
      <c r="L62" s="164"/>
      <c r="M62" s="164"/>
      <c r="N62" s="647"/>
      <c r="O62" s="164"/>
      <c r="P62" s="333"/>
      <c r="Q62" s="333"/>
      <c r="R62" s="333"/>
      <c r="S62" s="618" t="str">
        <f>IF(AND(K10&lt;&gt;"",DependentYOU="",YourAge="®"),"Your birthdate is needed on Form 1040 or 1040-SR, Column AF.","")</f>
        <v/>
      </c>
      <c r="T62" s="57"/>
      <c r="U62" s="476"/>
      <c r="V62" s="22"/>
      <c r="W62" s="66"/>
      <c r="X62" s="458"/>
      <c r="Y62" s="66"/>
      <c r="Z62" s="66"/>
      <c r="AA62" s="458"/>
      <c r="AB62" s="394"/>
      <c r="AC62" s="198"/>
    </row>
    <row r="63" spans="1:40" ht="15">
      <c r="A63" s="394"/>
      <c r="B63" s="5916"/>
      <c r="C63" s="276"/>
      <c r="D63" s="276" t="str">
        <f>"50 or older at the end of "&amp;TaxYear&amp;")"</f>
        <v>50 or older at the end of 2023)</v>
      </c>
      <c r="E63" s="54"/>
      <c r="F63" s="54"/>
      <c r="G63" s="54"/>
      <c r="H63" s="2728"/>
      <c r="I63" s="54"/>
      <c r="J63" s="60" t="s">
        <v>705</v>
      </c>
      <c r="K63" s="2916" t="s">
        <v>1139</v>
      </c>
      <c r="L63" s="6833" t="str">
        <f>IF(X63&lt;&gt;"",ROUND(X63,0),IF(OR(NOT(Yourself),Q15,BadBirthdate_Yours,LEFT(L33,3)="No."),"",IF(AND(K10="",YourAge&lt;50),$X$9,IF(AND(K10="",YourAge&gt;=50),$X$11,IF(OR(File_Single&lt;&gt;"",File_Head&lt;&gt;"",File_Marr_Sep&lt;&gt;""),Q57,IF(OR(File_Marr_Joint&lt;&gt;"",File_Qual_Widow&lt;&gt;""),L58,""))))))</f>
        <v/>
      </c>
      <c r="M63" s="6811"/>
      <c r="N63" s="6811"/>
      <c r="O63" s="595"/>
      <c r="P63" s="2916" t="s">
        <v>1140</v>
      </c>
      <c r="Q63" s="6833" t="str">
        <f>IF(AA63&lt;&gt;"",ROUND(AA63,0),IF(OR(R17,Q15,File_Marr_Joint="",SpouseAge="",LEFT(Q33,3)="No."),"",IF(AND(K10="",P11="",SpouseAge&lt;50),$X$9,IF(AND(K10="",P11="",SpouseAge&gt;=50),$X$11,Q58))))</f>
        <v/>
      </c>
      <c r="R63" s="6811"/>
      <c r="S63" s="6811"/>
      <c r="T63" s="315"/>
      <c r="U63" s="504"/>
      <c r="V63" s="22"/>
      <c r="W63" s="65" t="s">
        <v>402</v>
      </c>
      <c r="X63" s="2933"/>
      <c r="Y63" s="65" t="s">
        <v>404</v>
      </c>
      <c r="Z63" s="65"/>
      <c r="AA63" s="2933"/>
      <c r="AB63" s="394"/>
      <c r="AC63" s="198"/>
    </row>
    <row r="64" spans="1:40" ht="15">
      <c r="A64" s="394"/>
      <c r="B64" s="5916"/>
      <c r="C64" s="5918" t="s">
        <v>1109</v>
      </c>
      <c r="D64" s="276" t="str">
        <f>"Married filing jointly or qualifying widow(er), multiply by "&amp;TEXT(AA60,"0.0%")&amp;" ("&amp;TEXT(AA60,"0.000")&amp;")"</f>
        <v>Married filing jointly or qualifying widow(er), multiply by 32.5% (0.325)</v>
      </c>
      <c r="E64" s="92"/>
      <c r="F64" s="92"/>
      <c r="G64" s="92"/>
      <c r="H64" s="2728"/>
      <c r="I64" s="54"/>
      <c r="J64" s="54"/>
      <c r="K64" s="2728"/>
      <c r="L64" s="164"/>
      <c r="M64" s="164"/>
      <c r="N64" s="164"/>
      <c r="O64" s="164"/>
      <c r="P64" s="333"/>
      <c r="Q64" s="333"/>
      <c r="R64" s="333"/>
      <c r="S64" s="333"/>
      <c r="T64" s="57"/>
      <c r="U64" s="476"/>
      <c r="V64" s="22"/>
      <c r="W64" s="66"/>
      <c r="X64" s="458"/>
      <c r="Y64" s="66"/>
      <c r="Z64" s="66"/>
      <c r="AA64" s="458"/>
      <c r="AB64" s="394"/>
      <c r="AC64" s="198"/>
    </row>
    <row r="65" spans="1:29" ht="15">
      <c r="A65" s="394"/>
      <c r="B65" s="5916"/>
      <c r="C65" s="276"/>
      <c r="D65" s="276" t="str">
        <f>"(or by "&amp;TEXT(AA61,"0.0%")&amp;" ("&amp;TEXT(AA61,"0.000")&amp;") in the column for the IRA of a person who is age 50 or"</f>
        <v>(or by 37.5% (0.375) in the column for the IRA of a person who is age 50 or</v>
      </c>
      <c r="E65" s="92"/>
      <c r="F65" s="92"/>
      <c r="G65" s="92"/>
      <c r="H65" s="2728"/>
      <c r="I65" s="54"/>
      <c r="J65" s="54"/>
      <c r="K65" s="2728"/>
      <c r="L65" s="164"/>
      <c r="M65" s="164"/>
      <c r="N65" s="164"/>
      <c r="O65" s="164"/>
      <c r="P65" s="333"/>
      <c r="Q65" s="333"/>
      <c r="R65" s="333"/>
      <c r="S65" s="333"/>
      <c r="T65" s="57"/>
      <c r="U65" s="476"/>
      <c r="V65" s="22"/>
      <c r="W65" s="66"/>
      <c r="X65" s="458"/>
      <c r="Y65" s="66"/>
      <c r="Z65" s="66"/>
      <c r="AA65" s="458"/>
      <c r="AB65" s="394"/>
      <c r="AC65" s="198"/>
    </row>
    <row r="66" spans="1:29" ht="15">
      <c r="A66" s="394"/>
      <c r="B66" s="5916"/>
      <c r="C66" s="276"/>
      <c r="D66" s="276" t="str">
        <f>"older at the end of "&amp;TaxYear&amp;"). But if you checked “No” on either line 1a"</f>
        <v>older at the end of 2023). But if you checked “No” on either line 1a</v>
      </c>
      <c r="E66" s="92"/>
      <c r="F66" s="92"/>
      <c r="G66" s="92"/>
      <c r="H66" s="2728"/>
      <c r="I66" s="54"/>
      <c r="J66" s="54"/>
      <c r="K66" s="2728"/>
      <c r="L66" s="164"/>
      <c r="M66" s="164"/>
      <c r="N66" s="164"/>
      <c r="O66" s="164"/>
      <c r="P66" s="333"/>
      <c r="Q66" s="333"/>
      <c r="R66" s="333"/>
      <c r="S66" s="333"/>
      <c r="T66" s="57"/>
      <c r="U66" s="476"/>
      <c r="V66" s="22"/>
      <c r="W66" s="66"/>
      <c r="X66" s="458"/>
      <c r="Y66" s="66"/>
      <c r="Z66" s="66"/>
      <c r="AA66" s="458"/>
      <c r="AB66" s="394"/>
      <c r="AC66" s="198"/>
    </row>
    <row r="67" spans="1:29" ht="15">
      <c r="A67" s="394"/>
      <c r="B67" s="5916"/>
      <c r="C67" s="276"/>
      <c r="D67" s="276" t="s">
        <v>1141</v>
      </c>
      <c r="E67" s="92"/>
      <c r="F67" s="92"/>
      <c r="G67" s="92"/>
      <c r="H67" s="2728"/>
      <c r="I67" s="54"/>
      <c r="J67" s="54"/>
      <c r="K67" s="2728"/>
      <c r="L67" s="164"/>
      <c r="M67" s="164"/>
      <c r="N67" s="164"/>
      <c r="O67" s="164"/>
      <c r="P67" s="333"/>
      <c r="Q67" s="333"/>
      <c r="R67" s="333"/>
      <c r="S67" s="333"/>
      <c r="T67" s="57"/>
      <c r="U67" s="476"/>
      <c r="V67" s="22"/>
      <c r="W67" s="66"/>
      <c r="X67" s="458"/>
      <c r="Y67" s="66"/>
      <c r="Z67" s="66"/>
      <c r="AA67" s="458"/>
      <c r="AB67" s="394"/>
      <c r="AC67" s="198"/>
    </row>
    <row r="68" spans="1:29" ht="15">
      <c r="A68" s="394"/>
      <c r="B68" s="5916"/>
      <c r="C68" s="276"/>
      <c r="D68" s="276" t="str">
        <f>"retirement plan, multiply by "&amp;TEXT(AA58,"0%")&amp;" ("&amp;TEXT(AA58,"0.00")&amp;") (or by "&amp;TEXT(AA59,"0%")&amp;" ("&amp;TEXT(AA59,"0.00")&amp;") if age 50 or"</f>
        <v>retirement plan, multiply by 65% (0.65) (or by 75% (0.75) if age 50 or</v>
      </c>
      <c r="E68" s="92"/>
      <c r="F68" s="92"/>
      <c r="G68" s="92"/>
      <c r="H68" s="2728"/>
      <c r="I68" s="54"/>
      <c r="J68" s="54"/>
      <c r="K68" s="2728"/>
      <c r="L68" s="164"/>
      <c r="M68" s="164"/>
      <c r="N68" s="164"/>
      <c r="O68" s="164"/>
      <c r="P68" s="333"/>
      <c r="Q68" s="333"/>
      <c r="R68" s="333"/>
      <c r="S68" s="333"/>
      <c r="T68" s="57"/>
      <c r="U68" s="476"/>
      <c r="V68" s="22"/>
      <c r="W68" s="66"/>
      <c r="X68" s="458"/>
      <c r="Y68" s="66"/>
      <c r="Z68" s="66"/>
      <c r="AA68" s="458"/>
      <c r="AB68" s="394"/>
      <c r="AC68" s="198"/>
    </row>
    <row r="69" spans="1:29" ht="15">
      <c r="A69" s="394"/>
      <c r="B69" s="5916"/>
      <c r="C69" s="276"/>
      <c r="D69" s="276" t="str">
        <f>"older at the end of "&amp;TaxYear&amp;")."</f>
        <v>older at the end of 2023).</v>
      </c>
      <c r="E69" s="92"/>
      <c r="F69" s="92"/>
      <c r="G69" s="92"/>
      <c r="H69" s="2728"/>
      <c r="I69" s="54"/>
      <c r="J69" s="54"/>
      <c r="K69" s="2728"/>
      <c r="L69" s="164"/>
      <c r="M69" s="164"/>
      <c r="N69" s="164"/>
      <c r="O69" s="164"/>
      <c r="P69" s="333"/>
      <c r="Q69" s="333"/>
      <c r="R69" s="333"/>
      <c r="S69" s="333"/>
      <c r="T69" s="57"/>
      <c r="U69" s="476"/>
      <c r="V69" s="22"/>
      <c r="W69" s="66"/>
      <c r="X69" s="458"/>
      <c r="Y69" s="66"/>
      <c r="Z69" s="66"/>
      <c r="AA69" s="458"/>
      <c r="AB69" s="394"/>
      <c r="AC69" s="198"/>
    </row>
    <row r="70" spans="1:29" ht="12.75" customHeight="1">
      <c r="A70" s="394"/>
      <c r="B70" s="5916">
        <v>8</v>
      </c>
      <c r="C70" s="276" t="s">
        <v>1142</v>
      </c>
      <c r="D70" s="276"/>
      <c r="E70" s="54"/>
      <c r="F70" s="54"/>
      <c r="G70" s="54"/>
      <c r="H70" s="2728"/>
      <c r="I70" s="54"/>
      <c r="J70" s="54"/>
      <c r="K70" s="2916"/>
      <c r="L70" s="578"/>
      <c r="M70" s="597"/>
      <c r="N70" s="216"/>
      <c r="O70" s="110"/>
      <c r="P70" s="2916"/>
      <c r="Q70" s="212"/>
      <c r="R70" s="22"/>
      <c r="S70" s="279"/>
      <c r="T70" s="315"/>
      <c r="U70" s="504"/>
      <c r="V70" s="22"/>
      <c r="W70" s="66"/>
      <c r="X70" s="458"/>
      <c r="Y70" s="66"/>
      <c r="Z70" s="66"/>
      <c r="AA70" s="458"/>
      <c r="AB70" s="394"/>
      <c r="AC70" s="198"/>
    </row>
    <row r="71" spans="1:29" ht="12.75" customHeight="1">
      <c r="A71" s="394"/>
      <c r="B71" s="5916"/>
      <c r="C71" s="5918" t="s">
        <v>1109</v>
      </c>
      <c r="D71" s="5917" t="s">
        <v>1143</v>
      </c>
      <c r="E71" s="54"/>
      <c r="F71" s="54"/>
      <c r="G71" s="54"/>
      <c r="H71" s="2728"/>
      <c r="I71" s="54"/>
      <c r="J71" s="54"/>
      <c r="K71" s="2916"/>
      <c r="L71" s="578"/>
      <c r="M71" s="110"/>
      <c r="N71" s="110"/>
      <c r="O71" s="110"/>
      <c r="P71" s="2916"/>
      <c r="Q71" s="212"/>
      <c r="R71" s="22"/>
      <c r="S71" s="22"/>
      <c r="T71" s="315"/>
      <c r="U71" s="504"/>
      <c r="V71" s="22"/>
      <c r="W71" s="23" t="s">
        <v>1113</v>
      </c>
      <c r="X71" s="23"/>
      <c r="Y71" s="198"/>
      <c r="Z71" s="198"/>
      <c r="AA71" s="198"/>
      <c r="AB71" s="198"/>
      <c r="AC71" s="198"/>
    </row>
    <row r="72" spans="1:29" ht="12.75" customHeight="1">
      <c r="A72" s="394"/>
      <c r="B72" s="5916"/>
      <c r="C72" s="276"/>
      <c r="D72" s="5917" t="s">
        <v>1144</v>
      </c>
      <c r="E72" s="106"/>
      <c r="F72" s="54"/>
      <c r="G72" s="54"/>
      <c r="H72" s="2728"/>
      <c r="I72" s="54"/>
      <c r="J72" s="54"/>
      <c r="K72" s="2916"/>
      <c r="L72" s="578"/>
      <c r="M72" s="110"/>
      <c r="N72" s="110"/>
      <c r="O72" s="110"/>
      <c r="P72" s="2916"/>
      <c r="Q72" s="212"/>
      <c r="R72" s="22"/>
      <c r="S72" s="22"/>
      <c r="T72" s="315"/>
      <c r="U72" s="504"/>
      <c r="V72" s="22"/>
      <c r="W72" s="6847" t="s">
        <v>867</v>
      </c>
      <c r="X72" s="6848"/>
      <c r="Y72" s="6848"/>
      <c r="Z72" s="198"/>
      <c r="AA72" s="198"/>
      <c r="AB72" s="198"/>
      <c r="AC72" s="198"/>
    </row>
    <row r="73" spans="1:29" ht="12.75" customHeight="1">
      <c r="A73" s="394"/>
      <c r="B73" s="5916"/>
      <c r="C73" s="276"/>
      <c r="D73" s="5917" t="s">
        <v>1145</v>
      </c>
      <c r="E73" s="106"/>
      <c r="F73" s="54"/>
      <c r="G73" s="54"/>
      <c r="H73" s="2728"/>
      <c r="I73" s="54"/>
      <c r="J73" s="54"/>
      <c r="K73" s="2916"/>
      <c r="L73" s="578"/>
      <c r="M73" s="110"/>
      <c r="N73" s="110"/>
      <c r="O73" s="110"/>
      <c r="P73" s="2916"/>
      <c r="Q73" s="212"/>
      <c r="R73" s="22"/>
      <c r="S73" s="22"/>
      <c r="T73" s="315"/>
      <c r="U73" s="504"/>
      <c r="V73" s="22"/>
      <c r="W73" s="66"/>
      <c r="X73" s="458"/>
      <c r="Y73" s="394"/>
      <c r="Z73" s="394"/>
      <c r="AA73" s="198"/>
      <c r="AB73" s="198"/>
      <c r="AC73" s="198"/>
    </row>
    <row r="74" spans="1:29" ht="12.75" customHeight="1">
      <c r="A74" s="394"/>
      <c r="B74" s="5916"/>
      <c r="C74" s="5918" t="s">
        <v>1109</v>
      </c>
      <c r="D74" s="5917" t="s">
        <v>1146</v>
      </c>
      <c r="E74" s="54"/>
      <c r="F74" s="54"/>
      <c r="G74" s="54"/>
      <c r="H74" s="2728">
        <f>B70</f>
        <v>8</v>
      </c>
      <c r="I74" s="6828">
        <f>IF(X74&lt;&gt;"",ROUND(X74,0),ROUND(SUM(W2_Wages,AlimonyRcvd,X79),2))</f>
        <v>0</v>
      </c>
      <c r="J74" s="6828"/>
      <c r="K74" s="2916"/>
      <c r="L74" s="578"/>
      <c r="M74" s="110"/>
      <c r="N74" s="110"/>
      <c r="O74" s="110"/>
      <c r="P74" s="2916"/>
      <c r="Q74" s="212"/>
      <c r="R74" s="22"/>
      <c r="S74" s="22"/>
      <c r="T74" s="315"/>
      <c r="U74" s="504"/>
      <c r="V74" s="22"/>
      <c r="W74" s="5490" t="s">
        <v>268</v>
      </c>
      <c r="X74" s="2933"/>
      <c r="Y74" s="394"/>
      <c r="Z74" s="394"/>
      <c r="AA74" s="198"/>
      <c r="AB74" s="198"/>
      <c r="AC74" s="198"/>
    </row>
    <row r="75" spans="1:29" ht="12.75" customHeight="1">
      <c r="A75" s="394"/>
      <c r="B75" s="5916"/>
      <c r="C75" s="276"/>
      <c r="D75" s="5917" t="s">
        <v>1147</v>
      </c>
      <c r="E75" s="54"/>
      <c r="F75" s="54"/>
      <c r="G75" s="54"/>
      <c r="H75" s="2728"/>
      <c r="I75" s="54"/>
      <c r="J75" s="54"/>
      <c r="K75" s="2916"/>
      <c r="L75" s="578"/>
      <c r="M75" s="110"/>
      <c r="N75" s="110"/>
      <c r="O75" s="110"/>
      <c r="P75" s="2916"/>
      <c r="Q75" s="212"/>
      <c r="R75" s="22"/>
      <c r="S75" s="22"/>
      <c r="T75" s="315"/>
      <c r="U75" s="504"/>
      <c r="V75" s="22"/>
      <c r="W75" s="66"/>
      <c r="X75" s="458"/>
      <c r="Y75" s="394"/>
      <c r="Z75" s="394"/>
      <c r="AA75" s="198"/>
      <c r="AB75" s="198"/>
      <c r="AC75" s="198"/>
    </row>
    <row r="76" spans="1:29" ht="12.75" customHeight="1">
      <c r="A76" s="394"/>
      <c r="B76" s="5916"/>
      <c r="C76" s="5918" t="s">
        <v>1109</v>
      </c>
      <c r="D76" s="5917" t="s">
        <v>1148</v>
      </c>
      <c r="E76" s="106"/>
      <c r="F76" s="54"/>
      <c r="G76" s="54"/>
      <c r="H76" s="2728"/>
      <c r="I76" s="54"/>
      <c r="J76" s="54"/>
      <c r="K76" s="2916"/>
      <c r="L76" s="578"/>
      <c r="M76" s="110"/>
      <c r="N76" s="110"/>
      <c r="O76" s="110"/>
      <c r="P76" s="2916"/>
      <c r="Q76" s="212"/>
      <c r="R76" s="22"/>
      <c r="S76" s="22"/>
      <c r="T76" s="315"/>
      <c r="U76" s="504"/>
      <c r="V76" s="22"/>
      <c r="W76" s="4955"/>
      <c r="X76" s="4956"/>
      <c r="Y76" s="4957"/>
      <c r="Z76" s="4957"/>
      <c r="AA76" s="198"/>
      <c r="AB76" s="198"/>
      <c r="AC76" s="198"/>
    </row>
    <row r="77" spans="1:29" ht="12.75" customHeight="1">
      <c r="A77" s="394"/>
      <c r="B77" s="5916"/>
      <c r="C77" s="5918"/>
      <c r="D77" s="5917" t="s">
        <v>1149</v>
      </c>
      <c r="E77" s="106"/>
      <c r="F77" s="54"/>
      <c r="G77" s="54"/>
      <c r="H77" s="2728"/>
      <c r="I77" s="54"/>
      <c r="J77" s="54"/>
      <c r="K77" s="2916"/>
      <c r="L77" s="578"/>
      <c r="M77" s="110"/>
      <c r="N77" s="110"/>
      <c r="O77" s="110"/>
      <c r="P77" s="2916"/>
      <c r="Q77" s="212"/>
      <c r="R77" s="22"/>
      <c r="S77" s="22"/>
      <c r="T77" s="315"/>
      <c r="U77" s="504"/>
      <c r="V77" s="22"/>
      <c r="W77" s="66"/>
      <c r="X77" s="4959" t="s">
        <v>1150</v>
      </c>
      <c r="Y77" s="581"/>
      <c r="Z77" s="581"/>
      <c r="AA77" s="198"/>
      <c r="AB77" s="198"/>
      <c r="AC77" s="198"/>
    </row>
    <row r="78" spans="1:29" ht="15">
      <c r="A78" s="394"/>
      <c r="B78" s="5916"/>
      <c r="C78" s="276"/>
      <c r="D78" s="5917" t="s">
        <v>1151</v>
      </c>
      <c r="E78" s="106"/>
      <c r="F78" s="54"/>
      <c r="G78" s="54"/>
      <c r="H78" s="2728"/>
      <c r="I78" s="54"/>
      <c r="J78" s="54"/>
      <c r="K78" s="2916"/>
      <c r="L78" s="578"/>
      <c r="M78" s="110"/>
      <c r="N78" s="110"/>
      <c r="O78" s="110"/>
      <c r="P78" s="2916"/>
      <c r="Q78" s="212"/>
      <c r="R78" s="22"/>
      <c r="S78" s="22"/>
      <c r="T78" s="315"/>
      <c r="U78" s="504"/>
      <c r="V78" s="54"/>
      <c r="W78" s="66"/>
      <c r="X78" s="580" t="s">
        <v>1152</v>
      </c>
      <c r="Y78" s="581" t="s">
        <v>1153</v>
      </c>
      <c r="Z78" s="581"/>
      <c r="AA78" s="198"/>
      <c r="AB78" s="198"/>
      <c r="AC78" s="198"/>
    </row>
    <row r="79" spans="1:29" ht="13.5" customHeight="1">
      <c r="A79" s="394"/>
      <c r="B79" s="5916">
        <v>9</v>
      </c>
      <c r="C79" s="276" t="s">
        <v>1154</v>
      </c>
      <c r="D79" s="276"/>
      <c r="E79" s="54"/>
      <c r="F79" s="54"/>
      <c r="G79" s="54"/>
      <c r="H79" s="2728"/>
      <c r="I79" s="54"/>
      <c r="J79" s="54"/>
      <c r="K79" s="2916"/>
      <c r="L79" s="578"/>
      <c r="M79" s="110"/>
      <c r="N79" s="110"/>
      <c r="O79" s="110"/>
      <c r="P79" s="2916"/>
      <c r="Q79" s="212"/>
      <c r="R79" s="22"/>
      <c r="S79" s="22"/>
      <c r="T79" s="315"/>
      <c r="U79" s="504"/>
      <c r="V79" s="54"/>
      <c r="W79" s="5490" t="s">
        <v>1155</v>
      </c>
      <c r="X79" s="4958">
        <f>CombatPayNoTax</f>
        <v>0</v>
      </c>
      <c r="Y79" s="5491" t="s">
        <v>1156</v>
      </c>
      <c r="Z79" s="5491"/>
      <c r="AA79" s="198"/>
      <c r="AB79" s="198"/>
      <c r="AC79" s="198"/>
    </row>
    <row r="80" spans="1:29" ht="13.5" customHeight="1">
      <c r="A80" s="394"/>
      <c r="B80" s="5916"/>
      <c r="C80" s="276" t="s">
        <v>1157</v>
      </c>
      <c r="D80" s="276"/>
      <c r="E80" s="54"/>
      <c r="F80" s="54"/>
      <c r="G80" s="54"/>
      <c r="H80" s="2728"/>
      <c r="I80" s="54"/>
      <c r="J80" s="54"/>
      <c r="K80" s="2916"/>
      <c r="L80" s="578"/>
      <c r="M80" s="110"/>
      <c r="N80" s="110"/>
      <c r="O80" s="110"/>
      <c r="P80" s="2916"/>
      <c r="Q80" s="212"/>
      <c r="R80" s="22"/>
      <c r="S80" s="22"/>
      <c r="T80" s="315"/>
      <c r="U80" s="504"/>
      <c r="V80" s="54"/>
      <c r="W80" s="66"/>
      <c r="X80" s="579" t="s">
        <v>1158</v>
      </c>
      <c r="Y80" s="394"/>
      <c r="Z80" s="394"/>
      <c r="AA80" s="198"/>
      <c r="AB80" s="198"/>
      <c r="AC80" s="198"/>
    </row>
    <row r="81" spans="1:40" ht="13.5" customHeight="1">
      <c r="A81" s="394"/>
      <c r="B81" s="5916"/>
      <c r="C81" s="276" t="s">
        <v>1159</v>
      </c>
      <c r="D81" s="276"/>
      <c r="E81" s="54"/>
      <c r="F81" s="54"/>
      <c r="G81" s="54"/>
      <c r="H81" s="2728"/>
      <c r="I81" s="54"/>
      <c r="J81" s="54"/>
      <c r="K81" s="2916"/>
      <c r="L81" s="578"/>
      <c r="M81" s="110"/>
      <c r="N81" s="110"/>
      <c r="O81" s="110"/>
      <c r="P81" s="2916"/>
      <c r="Q81" s="212"/>
      <c r="R81" s="22"/>
      <c r="S81" s="22"/>
      <c r="T81" s="315"/>
      <c r="U81" s="504"/>
      <c r="V81" s="22"/>
      <c r="W81" s="22"/>
      <c r="X81" s="22"/>
      <c r="Y81" s="198"/>
      <c r="Z81" s="198"/>
      <c r="AA81" s="198"/>
      <c r="AB81" s="198"/>
      <c r="AC81" s="198"/>
    </row>
    <row r="82" spans="1:40" ht="13.5" customHeight="1">
      <c r="A82" s="394"/>
      <c r="B82" s="5916"/>
      <c r="C82" s="276" t="s">
        <v>1160</v>
      </c>
      <c r="D82" s="276"/>
      <c r="E82" s="54"/>
      <c r="F82" s="54"/>
      <c r="G82" s="54"/>
      <c r="H82" s="2728"/>
      <c r="I82" s="54"/>
      <c r="J82" s="54"/>
      <c r="K82" s="2916"/>
      <c r="L82" s="578"/>
      <c r="M82" s="110"/>
      <c r="N82" s="110"/>
      <c r="O82" s="110"/>
      <c r="P82" s="2916"/>
      <c r="Q82" s="212"/>
      <c r="R82" s="22"/>
      <c r="S82" s="22"/>
      <c r="T82" s="315"/>
      <c r="U82" s="504"/>
      <c r="V82" s="22"/>
      <c r="W82" s="23"/>
      <c r="X82" s="23"/>
      <c r="Y82" s="198"/>
      <c r="Z82" s="198"/>
      <c r="AA82" s="198"/>
      <c r="AB82" s="198"/>
      <c r="AC82" s="198"/>
    </row>
    <row r="83" spans="1:40" ht="13.5" customHeight="1">
      <c r="A83" s="394"/>
      <c r="B83" s="5916"/>
      <c r="C83" s="276" t="s">
        <v>1161</v>
      </c>
      <c r="D83" s="276"/>
      <c r="E83" s="54"/>
      <c r="F83" s="54"/>
      <c r="G83" s="54"/>
      <c r="H83" s="2728"/>
      <c r="I83" s="54"/>
      <c r="J83" s="54"/>
      <c r="K83" s="2916"/>
      <c r="L83" s="578"/>
      <c r="M83" s="110"/>
      <c r="N83" s="110"/>
      <c r="O83" s="110"/>
      <c r="P83" s="2916"/>
      <c r="Q83" s="212"/>
      <c r="R83" s="22"/>
      <c r="S83" s="22"/>
      <c r="T83" s="315"/>
      <c r="U83" s="504"/>
      <c r="V83" s="22"/>
      <c r="W83" s="6847"/>
      <c r="X83" s="6848"/>
      <c r="Y83" s="6848"/>
      <c r="Z83" s="198"/>
      <c r="AA83" s="198"/>
      <c r="AB83" s="198"/>
      <c r="AC83" s="198"/>
    </row>
    <row r="84" spans="1:40" ht="13.5" customHeight="1">
      <c r="A84" s="394"/>
      <c r="B84" s="5916"/>
      <c r="C84" s="276" t="s">
        <v>1162</v>
      </c>
      <c r="D84" s="276"/>
      <c r="E84" s="54"/>
      <c r="F84" s="5917" t="s">
        <v>725</v>
      </c>
      <c r="G84" s="54"/>
      <c r="H84" s="2728"/>
      <c r="I84" s="54"/>
      <c r="J84" s="54"/>
      <c r="K84" s="2916"/>
      <c r="L84" s="578"/>
      <c r="M84" s="110"/>
      <c r="N84" s="110"/>
      <c r="O84" s="110"/>
      <c r="P84" s="2916"/>
      <c r="Q84" s="212"/>
      <c r="R84" s="22"/>
      <c r="S84" s="22"/>
      <c r="T84" s="315"/>
      <c r="U84" s="504"/>
      <c r="V84" s="22"/>
      <c r="W84" s="6847"/>
      <c r="X84" s="6848"/>
      <c r="Y84" s="6848"/>
      <c r="Z84" s="198"/>
      <c r="AA84" s="198"/>
      <c r="AB84" s="198"/>
      <c r="AC84" s="198"/>
    </row>
    <row r="85" spans="1:40" ht="15.75" customHeight="1">
      <c r="A85" s="394"/>
      <c r="B85" s="5916"/>
      <c r="C85" s="276" t="s">
        <v>5537</v>
      </c>
      <c r="D85" s="276"/>
      <c r="E85" s="54"/>
      <c r="F85" s="54"/>
      <c r="G85" s="54"/>
      <c r="H85" s="2728">
        <f>B79</f>
        <v>9</v>
      </c>
      <c r="I85" s="6827"/>
      <c r="J85" s="6827"/>
      <c r="K85" s="2916"/>
      <c r="L85" s="578"/>
      <c r="M85" s="110"/>
      <c r="N85" s="110"/>
      <c r="O85" s="110"/>
      <c r="P85" s="2916"/>
      <c r="Q85" s="212"/>
      <c r="R85" s="22"/>
      <c r="S85" s="22"/>
      <c r="T85" s="315"/>
      <c r="U85" s="504"/>
      <c r="V85" s="22"/>
      <c r="W85" s="6847"/>
      <c r="X85" s="6848"/>
      <c r="Y85" s="6848"/>
      <c r="Z85" s="198"/>
      <c r="AA85" s="198"/>
      <c r="AB85" s="198"/>
      <c r="AC85" s="198"/>
    </row>
    <row r="86" spans="1:40" s="587" customFormat="1" ht="18" customHeight="1">
      <c r="A86" s="582"/>
      <c r="B86" s="5916">
        <v>10</v>
      </c>
      <c r="C86" s="5923" t="s">
        <v>1163</v>
      </c>
      <c r="D86" s="5923"/>
      <c r="E86" s="311"/>
      <c r="F86" s="311"/>
      <c r="G86" s="60" t="s">
        <v>1164</v>
      </c>
      <c r="H86" s="5419">
        <f>B86</f>
        <v>10</v>
      </c>
      <c r="I86" s="6828">
        <f>ROUND(SUM(I74,I85),2)</f>
        <v>0</v>
      </c>
      <c r="J86" s="6828"/>
      <c r="K86" s="5492"/>
      <c r="L86" s="583"/>
      <c r="M86" s="584"/>
      <c r="N86" s="584"/>
      <c r="O86" s="584"/>
      <c r="P86" s="5492"/>
      <c r="Q86" s="311"/>
      <c r="R86" s="311"/>
      <c r="S86" s="311"/>
      <c r="T86" s="585"/>
      <c r="U86" s="586"/>
      <c r="V86" s="311"/>
      <c r="W86" s="6847"/>
      <c r="X86" s="6848"/>
      <c r="Y86" s="6848"/>
      <c r="Z86" s="198"/>
      <c r="AA86" s="311"/>
      <c r="AB86" s="311"/>
      <c r="AC86" s="311"/>
      <c r="AD86" s="2038"/>
      <c r="AE86" s="2038"/>
      <c r="AF86" s="2038"/>
      <c r="AG86" s="2038"/>
      <c r="AH86" s="2038"/>
      <c r="AI86" s="2038"/>
      <c r="AJ86" s="2038"/>
      <c r="AK86" s="2038"/>
      <c r="AL86" s="2038"/>
      <c r="AM86" s="2038"/>
      <c r="AN86" s="2038"/>
    </row>
    <row r="87" spans="1:40" ht="6.75" customHeight="1" thickBot="1">
      <c r="A87" s="394"/>
      <c r="B87" s="5468"/>
      <c r="C87" s="22"/>
      <c r="D87" s="22"/>
      <c r="E87" s="108"/>
      <c r="F87" s="108"/>
      <c r="G87" s="108"/>
      <c r="H87" s="2728"/>
      <c r="I87" s="212"/>
      <c r="J87" s="212"/>
      <c r="K87" s="2728"/>
      <c r="L87" s="54"/>
      <c r="M87" s="54"/>
      <c r="N87" s="54"/>
      <c r="O87" s="54"/>
      <c r="P87" s="54"/>
      <c r="Q87" s="54"/>
      <c r="R87" s="54"/>
      <c r="S87" s="54"/>
      <c r="T87" s="57"/>
      <c r="U87" s="476"/>
      <c r="V87" s="22"/>
      <c r="W87" s="6847"/>
      <c r="X87" s="6848"/>
      <c r="Y87" s="6848"/>
      <c r="Z87" s="198"/>
      <c r="AA87" s="198"/>
      <c r="AB87" s="198"/>
      <c r="AC87" s="198"/>
    </row>
    <row r="88" spans="1:40" ht="13.5" customHeight="1">
      <c r="A88" s="394"/>
      <c r="B88" s="5468"/>
      <c r="C88" s="204"/>
      <c r="D88" s="204"/>
      <c r="E88" s="5453"/>
      <c r="F88" s="5453"/>
      <c r="G88" s="4091" t="str">
        <f>"If married filing jointly and line "&amp;B86&amp;" is less than "&amp;TEXT(X88,"$0,000")&amp;" ("&amp;TEXT(X89,"$0,000")&amp;" if one"</f>
        <v>If married filing jointly and line 10 is less than $13,000 ($14,000 if one</v>
      </c>
      <c r="H88" s="55"/>
      <c r="I88" s="55"/>
      <c r="J88" s="55"/>
      <c r="K88" s="5493"/>
      <c r="L88" s="54"/>
      <c r="M88" s="54"/>
      <c r="N88" s="54"/>
      <c r="O88" s="54"/>
      <c r="P88" s="2728"/>
      <c r="Q88" s="54"/>
      <c r="R88" s="54"/>
      <c r="S88" s="54"/>
      <c r="T88" s="57"/>
      <c r="U88" s="476"/>
      <c r="V88" s="22"/>
      <c r="W88" s="22"/>
      <c r="X88" s="4019">
        <v>13000</v>
      </c>
      <c r="Y88" s="198"/>
      <c r="Z88" s="198"/>
      <c r="AA88" s="198"/>
      <c r="AB88" s="198"/>
      <c r="AC88" s="198"/>
    </row>
    <row r="89" spans="1:40" ht="13.5" customHeight="1">
      <c r="A89" s="394"/>
      <c r="B89" s="5468"/>
      <c r="C89" s="198"/>
      <c r="D89" s="198"/>
      <c r="E89" s="5472"/>
      <c r="F89" s="5472"/>
      <c r="G89" s="357" t="str">
        <f>"spouse is age 50 or older at the end of "&amp;TaxYear&amp;"; "&amp;TEXT(X90,"$0,000")&amp;" if both "</f>
        <v xml:space="preserve">spouse is age 50 or older at the end of 2023; $15,000 if both </v>
      </c>
      <c r="H89" s="5494"/>
      <c r="I89" s="5494"/>
      <c r="J89" s="5494"/>
      <c r="K89" s="2728"/>
      <c r="L89" s="59"/>
      <c r="M89" s="59"/>
      <c r="N89" s="59"/>
      <c r="O89" s="59"/>
      <c r="P89" s="2728"/>
      <c r="Q89" s="54"/>
      <c r="R89" s="54"/>
      <c r="S89" s="54"/>
      <c r="T89" s="57"/>
      <c r="U89" s="476"/>
      <c r="V89" s="22"/>
      <c r="W89" s="22"/>
      <c r="X89" s="4019">
        <v>14000</v>
      </c>
      <c r="Y89" s="198"/>
      <c r="Z89" s="198"/>
      <c r="AA89" s="198"/>
      <c r="AB89" s="198"/>
      <c r="AC89" s="198"/>
    </row>
    <row r="90" spans="1:40" ht="13.5" customHeight="1">
      <c r="A90" s="394"/>
      <c r="B90" s="5468"/>
      <c r="C90" s="198"/>
      <c r="D90" s="198"/>
      <c r="E90" s="5472"/>
      <c r="F90" s="5472"/>
      <c r="G90" s="357" t="str">
        <f>"spouses are age 50 or older at  the end of  "&amp;TaxYear&amp;"), "</f>
        <v xml:space="preserve">spouses are age 50 or older at  the end of  2023), </v>
      </c>
      <c r="H90" s="522"/>
      <c r="I90" s="4090" t="s">
        <v>1165</v>
      </c>
      <c r="J90" s="4090"/>
      <c r="K90" s="2728"/>
      <c r="L90" s="59"/>
      <c r="M90" s="59"/>
      <c r="N90" s="59"/>
      <c r="O90" s="59"/>
      <c r="P90" s="2728"/>
      <c r="Q90" s="54"/>
      <c r="R90" s="54"/>
      <c r="S90" s="54"/>
      <c r="T90" s="57"/>
      <c r="U90" s="476"/>
      <c r="V90" s="22"/>
      <c r="W90" s="22"/>
      <c r="X90" s="4019">
        <v>15000</v>
      </c>
      <c r="Y90" s="198"/>
      <c r="Z90" s="198"/>
      <c r="AA90" s="198"/>
      <c r="AB90" s="198"/>
      <c r="AC90" s="198"/>
    </row>
    <row r="91" spans="1:40" ht="13.5" customHeight="1">
      <c r="A91" s="394"/>
      <c r="B91" s="5468"/>
      <c r="C91" s="198"/>
      <c r="D91" s="198"/>
      <c r="E91" s="5472"/>
      <c r="F91" s="5472"/>
      <c r="G91" s="357" t="s">
        <v>1166</v>
      </c>
      <c r="H91" s="88"/>
      <c r="I91" s="309"/>
      <c r="J91" s="309"/>
      <c r="K91" s="5495"/>
      <c r="L91" s="5495">
        <f>IF(AND(YourAge&gt;=50,SpouseAge&gt;=50),X90,IF(OR(YourAge&gt;=50,SpouseAge&gt;=50),X89,X88))</f>
        <v>15000</v>
      </c>
      <c r="M91" s="5495"/>
      <c r="N91" s="5495"/>
      <c r="O91" s="5495"/>
      <c r="P91" s="2728"/>
      <c r="Q91" s="54"/>
      <c r="R91" s="54"/>
      <c r="S91" s="54"/>
      <c r="T91" s="57"/>
      <c r="U91" s="476"/>
      <c r="V91" s="22"/>
      <c r="W91" s="22"/>
      <c r="X91" s="805" t="str">
        <f>"April 15, "&amp;TaxYear+1</f>
        <v>April 15, 2024</v>
      </c>
      <c r="Y91" s="1392">
        <f>WEEKDAY(X91)</f>
        <v>2</v>
      </c>
      <c r="Z91" s="198"/>
      <c r="AA91" s="198"/>
      <c r="AB91" s="198"/>
      <c r="AC91" s="198"/>
    </row>
    <row r="92" spans="1:40" ht="13.5" customHeight="1" thickBot="1">
      <c r="A92" s="394"/>
      <c r="B92" s="5468"/>
      <c r="C92" s="207"/>
      <c r="D92" s="207"/>
      <c r="E92" s="5496"/>
      <c r="F92" s="5496"/>
      <c r="G92" s="330" t="str">
        <f>IF(AND(L63="",Q63=""),"",IF(AND(File_Marr_Joint&lt;&gt;"",I86&lt;L91),"STOP HERE and see Publication 590 to figure your IRA deduction.",""))</f>
        <v/>
      </c>
      <c r="H92" s="213"/>
      <c r="I92" s="213"/>
      <c r="J92" s="213"/>
      <c r="K92" s="5497"/>
      <c r="L92" s="59"/>
      <c r="M92" s="59"/>
      <c r="N92" s="59"/>
      <c r="O92" s="59"/>
      <c r="P92" s="2728"/>
      <c r="Q92" s="59" t="str">
        <f>IF(AND(File_Marr_Joint&lt;&gt;"",I85&lt;4000,),"See Pub. 590 (below)","")</f>
        <v/>
      </c>
      <c r="R92" s="59"/>
      <c r="S92" s="59"/>
      <c r="T92" s="105"/>
      <c r="U92" s="513"/>
      <c r="V92" s="22"/>
      <c r="W92" s="22"/>
      <c r="X92" s="805"/>
      <c r="Y92" s="1392"/>
      <c r="Z92" s="198"/>
      <c r="AA92" s="198"/>
      <c r="AB92" s="198"/>
      <c r="AC92" s="198"/>
    </row>
    <row r="93" spans="1:40" ht="15">
      <c r="A93" s="394"/>
      <c r="B93" s="5916">
        <v>11</v>
      </c>
      <c r="C93" s="5924" t="s">
        <v>1167</v>
      </c>
      <c r="D93" s="5924"/>
      <c r="E93" s="92"/>
      <c r="F93" s="92"/>
      <c r="G93" s="92"/>
      <c r="H93" s="92"/>
      <c r="I93" s="92"/>
      <c r="J93" s="92"/>
      <c r="K93" s="2728"/>
      <c r="L93" s="59"/>
      <c r="M93" s="59"/>
      <c r="N93" s="59"/>
      <c r="O93" s="59"/>
      <c r="P93" s="2728"/>
      <c r="Q93" s="54"/>
      <c r="R93" s="54"/>
      <c r="S93" s="54"/>
      <c r="T93" s="57"/>
      <c r="U93" s="476"/>
      <c r="V93" s="22"/>
      <c r="W93" s="22"/>
      <c r="X93" s="4607" t="str">
        <f>IF(Y91=6,X91+3,IF(Y91=7,X91+2,IF(Y91=1,X91+1,X91)))</f>
        <v>April 15, 2024</v>
      </c>
      <c r="Y93" s="1392"/>
      <c r="Z93" s="198"/>
      <c r="AA93" s="198"/>
      <c r="AB93" s="198"/>
      <c r="AC93" s="198"/>
    </row>
    <row r="94" spans="1:40" ht="15">
      <c r="A94" s="394"/>
      <c r="B94" s="5916"/>
      <c r="C94" s="5924" t="str">
        <f>"of your "&amp;TaxYear&amp;" return not counting extensions ("&amp;TEXT(TaxDay,"mmmm dd, yyyy")&amp;" for most people),"</f>
        <v>of your 2023 return not counting extensions (April 15, 2024 for most people),</v>
      </c>
      <c r="D94" s="5924"/>
      <c r="E94" s="92"/>
      <c r="F94" s="92"/>
      <c r="G94" s="92"/>
      <c r="H94" s="92"/>
      <c r="I94" s="92"/>
      <c r="J94" s="92"/>
      <c r="K94" s="2728"/>
      <c r="L94" s="59"/>
      <c r="M94" s="59"/>
      <c r="N94" s="59"/>
      <c r="O94" s="59"/>
      <c r="P94" s="2728"/>
      <c r="Q94" s="54"/>
      <c r="R94" s="54"/>
      <c r="S94" s="54"/>
      <c r="T94" s="57"/>
      <c r="U94" s="476"/>
      <c r="V94" s="22"/>
      <c r="W94" s="22"/>
      <c r="X94" s="2590"/>
      <c r="Y94" s="198"/>
      <c r="Z94" s="198"/>
      <c r="AA94" s="198"/>
      <c r="AB94" s="198"/>
      <c r="AC94" s="198"/>
    </row>
    <row r="95" spans="1:40" ht="12.75" customHeight="1">
      <c r="A95" s="394"/>
      <c r="B95" s="5916"/>
      <c r="C95" s="5924" t="str">
        <f>"for "&amp;TaxYear&amp;" to your IRA on line 11a and to your spouse's IRA on line 11b"</f>
        <v>for 2023 to your IRA on line 11a and to your spouse's IRA on line 11b</v>
      </c>
      <c r="D95" s="5924"/>
      <c r="E95" s="92"/>
      <c r="F95" s="92"/>
      <c r="G95" s="92"/>
      <c r="H95" s="92"/>
      <c r="I95" s="92"/>
      <c r="J95" s="60" t="s">
        <v>930</v>
      </c>
      <c r="K95" s="2916" t="s">
        <v>1168</v>
      </c>
      <c r="L95" s="6827"/>
      <c r="M95" s="6827"/>
      <c r="N95" s="6837"/>
      <c r="O95" s="596"/>
      <c r="P95" s="2916" t="s">
        <v>1169</v>
      </c>
      <c r="Q95" s="6827"/>
      <c r="R95" s="6827"/>
      <c r="S95" s="6837"/>
      <c r="T95" s="331"/>
      <c r="U95" s="515"/>
      <c r="V95" s="22"/>
      <c r="W95" s="22"/>
      <c r="X95" s="2590"/>
      <c r="Y95" s="198"/>
      <c r="Z95" s="198"/>
      <c r="AA95" s="198"/>
      <c r="AB95" s="198"/>
      <c r="AC95" s="198"/>
    </row>
    <row r="96" spans="1:40" s="39" customFormat="1" ht="17.25" customHeight="1">
      <c r="A96" s="66"/>
      <c r="B96" s="5916">
        <v>12</v>
      </c>
      <c r="C96" s="276" t="s">
        <v>5538</v>
      </c>
      <c r="D96" s="276"/>
      <c r="E96" s="92"/>
      <c r="F96" s="92"/>
      <c r="G96" s="92"/>
      <c r="H96" s="92"/>
      <c r="I96" s="92"/>
      <c r="J96" s="92"/>
      <c r="K96" s="2728"/>
      <c r="L96" s="5498">
        <f>IF(L95="",0,L95)</f>
        <v>0</v>
      </c>
      <c r="M96" s="5498"/>
      <c r="N96" s="5498"/>
      <c r="O96" s="5498"/>
      <c r="P96" s="2728"/>
      <c r="Q96" s="5498">
        <f>IF(Q95="",0,Q95)</f>
        <v>0</v>
      </c>
      <c r="R96" s="5498"/>
      <c r="S96" s="5498"/>
      <c r="T96" s="5499"/>
      <c r="U96" s="5500"/>
      <c r="V96" s="22"/>
      <c r="W96" s="23" t="s">
        <v>1113</v>
      </c>
      <c r="X96" s="23"/>
      <c r="Y96" s="198"/>
      <c r="Z96" s="198"/>
      <c r="AA96" s="198"/>
      <c r="AB96" s="198"/>
      <c r="AC96" s="22"/>
      <c r="AD96" s="2038"/>
      <c r="AE96" s="2038"/>
      <c r="AF96" s="2038"/>
      <c r="AG96" s="2038"/>
      <c r="AH96" s="2038"/>
      <c r="AI96" s="2038"/>
      <c r="AJ96" s="2038"/>
      <c r="AK96" s="2038"/>
      <c r="AL96" s="2038"/>
      <c r="AM96" s="2038"/>
      <c r="AN96" s="2038"/>
    </row>
    <row r="97" spans="1:29" ht="12.75" customHeight="1">
      <c r="A97" s="394"/>
      <c r="B97" s="5925"/>
      <c r="C97" s="276" t="s">
        <v>5539</v>
      </c>
      <c r="D97" s="276"/>
      <c r="E97" s="92"/>
      <c r="F97" s="92"/>
      <c r="G97" s="92"/>
      <c r="H97" s="92"/>
      <c r="I97" s="92"/>
      <c r="J97" s="92"/>
      <c r="K97" s="5501"/>
      <c r="L97" s="59"/>
      <c r="M97" s="59"/>
      <c r="N97" s="59"/>
      <c r="O97" s="59"/>
      <c r="P97" s="2728"/>
      <c r="Q97" s="54"/>
      <c r="R97" s="54"/>
      <c r="S97" s="54"/>
      <c r="T97" s="57"/>
      <c r="U97" s="476"/>
      <c r="V97" s="22"/>
      <c r="W97" s="6847" t="s">
        <v>867</v>
      </c>
      <c r="X97" s="6848"/>
      <c r="Y97" s="6848"/>
      <c r="Z97" s="198"/>
      <c r="AA97" s="198"/>
      <c r="AB97" s="198"/>
      <c r="AC97" s="198"/>
    </row>
    <row r="98" spans="1:29" ht="15">
      <c r="A98" s="394"/>
      <c r="B98" s="5925"/>
      <c r="C98" s="276" t="s">
        <v>1170</v>
      </c>
      <c r="D98" s="276"/>
      <c r="E98" s="92"/>
      <c r="F98" s="92"/>
      <c r="G98" s="92"/>
      <c r="H98" s="92"/>
      <c r="I98" s="92"/>
      <c r="J98" s="92"/>
      <c r="K98" s="5501"/>
      <c r="L98" s="59"/>
      <c r="M98" s="59"/>
      <c r="N98" s="59"/>
      <c r="O98" s="59"/>
      <c r="P98" s="2728"/>
      <c r="Q98" s="54"/>
      <c r="R98" s="54"/>
      <c r="S98" s="54"/>
      <c r="T98" s="57"/>
      <c r="U98" s="476"/>
      <c r="V98" s="22"/>
      <c r="W98" s="66"/>
      <c r="X98" s="458"/>
      <c r="Y98" s="66"/>
      <c r="Z98" s="66"/>
      <c r="AA98" s="458"/>
      <c r="AB98" s="394"/>
      <c r="AC98" s="198"/>
    </row>
    <row r="99" spans="1:29" ht="15">
      <c r="A99" s="394"/>
      <c r="B99" s="5925"/>
      <c r="C99" s="276" t="s">
        <v>5694</v>
      </c>
      <c r="D99" s="276"/>
      <c r="E99" s="88"/>
      <c r="F99" s="88"/>
      <c r="G99" s="88"/>
      <c r="H99" s="88"/>
      <c r="I99" s="88"/>
      <c r="J99" s="60"/>
      <c r="K99" s="2916" t="s">
        <v>1172</v>
      </c>
      <c r="L99" s="6833" t="str">
        <f>IF(X99&lt;&gt;"",ROUND(X99,0),IF(OR(NOT(Yourself),Q15,BadBirthdate_Yours,LEFT(G92,4)="STOP",LEFT(L33,2)="No"),"",MIN(L63,I86,L96)))</f>
        <v/>
      </c>
      <c r="M99" s="6811"/>
      <c r="N99" s="6811"/>
      <c r="O99" s="39"/>
      <c r="P99" s="2916" t="s">
        <v>1173</v>
      </c>
      <c r="Q99" s="6833" t="str">
        <f>IF(AA99&lt;&gt;"",ROUND(AA99,0),IF(OR(LEFT(G92,4)="STOP",Q63=""),"",IF(LEFT(Q33,2)="No","",MIN(Q63,I86,Q96))))</f>
        <v/>
      </c>
      <c r="R99" s="6811"/>
      <c r="S99" s="6811"/>
      <c r="T99" s="208"/>
      <c r="U99" s="514"/>
      <c r="V99" s="22"/>
      <c r="W99" s="66"/>
      <c r="X99" s="566"/>
      <c r="Y99" s="66"/>
      <c r="Z99" s="66"/>
      <c r="AA99" s="566"/>
      <c r="AB99" s="394"/>
      <c r="AC99" s="198"/>
    </row>
    <row r="100" spans="1:29" ht="15.75" thickBot="1">
      <c r="A100" s="394"/>
      <c r="B100" s="5926"/>
      <c r="C100" s="5921"/>
      <c r="D100" s="5921"/>
      <c r="E100" s="63"/>
      <c r="F100" s="63"/>
      <c r="G100" s="63"/>
      <c r="H100" s="63"/>
      <c r="I100" s="63"/>
      <c r="J100" s="63"/>
      <c r="K100" s="5497"/>
      <c r="L100" s="63"/>
      <c r="M100" s="63"/>
      <c r="N100" s="63"/>
      <c r="O100" s="63"/>
      <c r="P100" s="5497"/>
      <c r="Q100" s="63"/>
      <c r="R100" s="63"/>
      <c r="S100" s="63"/>
      <c r="T100" s="64"/>
      <c r="U100" s="476"/>
      <c r="V100" s="22"/>
      <c r="W100" s="66"/>
      <c r="X100" s="458"/>
      <c r="Y100" s="66"/>
      <c r="Z100" s="66"/>
      <c r="AA100" s="458"/>
      <c r="AB100" s="394"/>
      <c r="AC100" s="198"/>
    </row>
    <row r="101" spans="1:29">
      <c r="A101" s="394"/>
      <c r="B101" s="5502"/>
      <c r="C101" s="5472"/>
      <c r="D101" s="5472"/>
      <c r="E101" s="72"/>
      <c r="F101" s="72"/>
      <c r="G101" s="72"/>
      <c r="H101" s="2728"/>
      <c r="I101" s="54"/>
      <c r="J101" s="54"/>
      <c r="K101" s="2728"/>
      <c r="L101" s="54"/>
      <c r="M101" s="54"/>
      <c r="N101" s="54"/>
      <c r="O101" s="54"/>
      <c r="P101" s="54"/>
      <c r="Q101" s="54"/>
      <c r="R101" s="54"/>
      <c r="S101" s="54"/>
      <c r="T101" s="57"/>
      <c r="U101" s="476"/>
      <c r="V101" s="22"/>
      <c r="W101" s="22"/>
      <c r="X101" s="22"/>
      <c r="Y101" s="198"/>
      <c r="Z101" s="198"/>
      <c r="AA101" s="198"/>
      <c r="AB101" s="198"/>
      <c r="AC101" s="198"/>
    </row>
    <row r="102" spans="1:29" ht="15.75">
      <c r="A102" s="394"/>
      <c r="B102" s="320"/>
      <c r="C102" s="5472"/>
      <c r="D102" s="5472"/>
      <c r="E102" s="72"/>
      <c r="F102" s="72"/>
      <c r="G102" s="72"/>
      <c r="H102" s="2728"/>
      <c r="I102" s="54"/>
      <c r="J102" s="54"/>
      <c r="K102" s="2637" t="s">
        <v>1174</v>
      </c>
      <c r="L102" s="6834" t="str">
        <f>IF(AND(L99="",Q99=""),"",IF(Q99="",L99,SUM(L99,Q99)))</f>
        <v/>
      </c>
      <c r="M102" s="6835"/>
      <c r="N102" s="6836"/>
      <c r="O102" s="39"/>
      <c r="P102" s="54"/>
      <c r="Q102" s="54"/>
      <c r="R102" s="54"/>
      <c r="S102" s="54"/>
      <c r="T102" s="57"/>
      <c r="U102" s="476"/>
      <c r="V102" s="22"/>
      <c r="W102" s="22"/>
      <c r="X102" s="198"/>
      <c r="Y102" s="198"/>
      <c r="Z102" s="198"/>
      <c r="AA102" s="198"/>
      <c r="AB102" s="198"/>
      <c r="AC102" s="198"/>
    </row>
    <row r="103" spans="1:29" ht="16.5" thickBot="1">
      <c r="A103" s="394"/>
      <c r="B103" s="321"/>
      <c r="C103" s="5496"/>
      <c r="D103" s="5496"/>
      <c r="E103" s="94"/>
      <c r="F103" s="94"/>
      <c r="G103" s="94"/>
      <c r="H103" s="5497"/>
      <c r="I103" s="63"/>
      <c r="J103" s="63"/>
      <c r="K103" s="5503"/>
      <c r="L103" s="214"/>
      <c r="M103" s="214"/>
      <c r="N103" s="214"/>
      <c r="O103" s="214"/>
      <c r="P103" s="63"/>
      <c r="Q103" s="63"/>
      <c r="R103" s="63"/>
      <c r="S103" s="63"/>
      <c r="T103" s="64"/>
      <c r="U103" s="476"/>
      <c r="V103" s="22"/>
      <c r="W103" s="22"/>
      <c r="X103" s="198"/>
      <c r="Y103" s="198"/>
      <c r="Z103" s="198"/>
      <c r="AA103" s="198"/>
      <c r="AB103" s="198"/>
      <c r="AC103" s="198"/>
    </row>
    <row r="104" spans="1:29">
      <c r="A104" s="394"/>
      <c r="B104" s="394"/>
      <c r="C104" s="394"/>
      <c r="D104" s="394"/>
      <c r="E104" s="394"/>
      <c r="F104" s="394"/>
      <c r="G104" s="394"/>
      <c r="H104" s="394"/>
      <c r="I104" s="394"/>
      <c r="J104" s="394"/>
      <c r="K104" s="394"/>
      <c r="L104" s="394"/>
      <c r="M104" s="394"/>
      <c r="N104" s="394"/>
      <c r="O104" s="394"/>
      <c r="P104" s="394"/>
      <c r="Q104" s="394"/>
      <c r="R104" s="394"/>
      <c r="S104" s="394"/>
      <c r="T104" s="394"/>
      <c r="U104" s="394"/>
      <c r="V104" s="198"/>
      <c r="W104" s="198"/>
      <c r="X104" s="198"/>
      <c r="Y104" s="198"/>
      <c r="Z104" s="198"/>
      <c r="AA104" s="198"/>
      <c r="AB104" s="198"/>
      <c r="AC104" s="198"/>
    </row>
    <row r="105" spans="1:29">
      <c r="A105" s="198"/>
      <c r="B105" s="198"/>
      <c r="C105" s="198"/>
      <c r="D105" s="198"/>
      <c r="E105" s="198"/>
      <c r="F105" s="198"/>
      <c r="G105" s="198"/>
      <c r="H105" s="198"/>
      <c r="I105" s="198"/>
      <c r="J105" s="198"/>
      <c r="K105" s="198"/>
      <c r="L105" s="198"/>
      <c r="M105" s="198"/>
      <c r="N105" s="198"/>
      <c r="O105" s="198"/>
      <c r="P105" s="198"/>
      <c r="Q105" s="198"/>
      <c r="R105" s="198"/>
      <c r="S105" s="198"/>
      <c r="T105" s="198"/>
      <c r="U105" s="198"/>
      <c r="V105" s="198"/>
      <c r="W105" s="198"/>
      <c r="X105" s="198"/>
      <c r="Y105" s="198"/>
      <c r="Z105" s="198"/>
      <c r="AA105" s="198"/>
      <c r="AB105" s="198"/>
      <c r="AC105" s="198"/>
    </row>
    <row r="106" spans="1:29">
      <c r="A106" s="198"/>
      <c r="B106" s="198"/>
      <c r="C106" s="198"/>
      <c r="D106" s="198"/>
      <c r="E106" s="198"/>
      <c r="F106" s="198"/>
      <c r="G106" s="198"/>
      <c r="H106" s="198"/>
      <c r="I106" s="198"/>
      <c r="J106" s="198"/>
      <c r="K106" s="198"/>
      <c r="L106" s="198"/>
      <c r="M106" s="198"/>
      <c r="N106" s="198"/>
      <c r="O106" s="198"/>
      <c r="P106" s="198"/>
      <c r="Q106" s="198"/>
      <c r="R106" s="198"/>
      <c r="S106" s="198"/>
      <c r="T106" s="198"/>
      <c r="U106" s="198"/>
      <c r="V106" s="198"/>
      <c r="W106" s="198"/>
      <c r="X106" s="198"/>
      <c r="Y106" s="198"/>
      <c r="Z106" s="198"/>
      <c r="AA106" s="198"/>
      <c r="AB106" s="198"/>
      <c r="AC106" s="198"/>
    </row>
  </sheetData>
  <sheetProtection algorithmName="SHA-512" hashValue="JWhPf0P6B1DLSlVM/3ep+ge95PW/++C3wl1HVN01PCdLEayuisHFucCJOeKeEKa8rTJPDfLvtHdAVLUzcQRguQ==" saltValue="llNubXjvY9tCG06w0jcxnQ==" spinCount="100000" sheet="1" objects="1" scenarios="1"/>
  <mergeCells count="43">
    <mergeCell ref="W25:Y25"/>
    <mergeCell ref="W72:Y72"/>
    <mergeCell ref="W97:Y97"/>
    <mergeCell ref="W42:Y42"/>
    <mergeCell ref="W61:Y61"/>
    <mergeCell ref="W83:Y83"/>
    <mergeCell ref="W84:Y84"/>
    <mergeCell ref="W85:Y85"/>
    <mergeCell ref="W86:Y86"/>
    <mergeCell ref="W87:Y87"/>
    <mergeCell ref="W27:Y27"/>
    <mergeCell ref="Q15:R15"/>
    <mergeCell ref="L23:N23"/>
    <mergeCell ref="Q23:S23"/>
    <mergeCell ref="L45:N45"/>
    <mergeCell ref="Q22:S22"/>
    <mergeCell ref="L22:N22"/>
    <mergeCell ref="R17:T17"/>
    <mergeCell ref="L26:N26"/>
    <mergeCell ref="I86:J86"/>
    <mergeCell ref="I85:J85"/>
    <mergeCell ref="L102:N102"/>
    <mergeCell ref="L95:N95"/>
    <mergeCell ref="Q95:S95"/>
    <mergeCell ref="Q99:S99"/>
    <mergeCell ref="L99:N99"/>
    <mergeCell ref="L63:N63"/>
    <mergeCell ref="I74:J74"/>
    <mergeCell ref="Q30:S30"/>
    <mergeCell ref="Q44:S44"/>
    <mergeCell ref="Q63:S63"/>
    <mergeCell ref="Q46:S46"/>
    <mergeCell ref="L30:N30"/>
    <mergeCell ref="L57:N57"/>
    <mergeCell ref="L58:N58"/>
    <mergeCell ref="L44:N44"/>
    <mergeCell ref="I27:J27"/>
    <mergeCell ref="I29:J29"/>
    <mergeCell ref="Q57:S57"/>
    <mergeCell ref="Q58:S58"/>
    <mergeCell ref="Q47:S47"/>
    <mergeCell ref="Q45:S45"/>
    <mergeCell ref="L46:N46"/>
  </mergeCells>
  <phoneticPr fontId="12" type="noConversion"/>
  <conditionalFormatting sqref="F84">
    <cfRule type="expression" dxfId="2845" priority="21">
      <formula>$I$85&lt;0</formula>
    </cfRule>
  </conditionalFormatting>
  <conditionalFormatting sqref="I27:J27">
    <cfRule type="expression" dxfId="2844" priority="17">
      <formula>IF(NoColor,1,0)</formula>
    </cfRule>
  </conditionalFormatting>
  <conditionalFormatting sqref="I29:J29">
    <cfRule type="expression" dxfId="2843" priority="41">
      <formula>IF(NoColor,1,0)</formula>
    </cfRule>
  </conditionalFormatting>
  <conditionalFormatting sqref="I74:J74">
    <cfRule type="expression" dxfId="2842" priority="32">
      <formula>IF(NoColor,1,0)</formula>
    </cfRule>
  </conditionalFormatting>
  <conditionalFormatting sqref="I85:J86">
    <cfRule type="expression" dxfId="2841" priority="26">
      <formula>IF(NoColor,1,0)</formula>
    </cfRule>
  </conditionalFormatting>
  <conditionalFormatting sqref="K10">
    <cfRule type="expression" dxfId="2840" priority="30">
      <formula>IF(NoColor,1,0)</formula>
    </cfRule>
  </conditionalFormatting>
  <conditionalFormatting sqref="L95:M95">
    <cfRule type="expression" dxfId="2839" priority="48">
      <formula>IF(NoColor,1,0)</formula>
    </cfRule>
  </conditionalFormatting>
  <conditionalFormatting sqref="L22:N22">
    <cfRule type="expression" dxfId="2838" priority="44">
      <formula>IF(NoColor,1,0)</formula>
    </cfRule>
  </conditionalFormatting>
  <conditionalFormatting sqref="L30:N30">
    <cfRule type="expression" dxfId="2837" priority="43">
      <formula>IF(NoColor,1,0)</formula>
    </cfRule>
  </conditionalFormatting>
  <conditionalFormatting sqref="L44:N44">
    <cfRule type="expression" dxfId="2836" priority="42">
      <formula>IF(NoColor,1,0)</formula>
    </cfRule>
  </conditionalFormatting>
  <conditionalFormatting sqref="L63:N63">
    <cfRule type="expression" dxfId="2835" priority="35">
      <formula>IF(NoColor,1,0)</formula>
    </cfRule>
  </conditionalFormatting>
  <conditionalFormatting sqref="L99:N99">
    <cfRule type="expression" dxfId="2834" priority="34">
      <formula>IF(NoColor,1,0)</formula>
    </cfRule>
  </conditionalFormatting>
  <conditionalFormatting sqref="L102:N102">
    <cfRule type="expression" dxfId="2833" priority="33">
      <formula>IF(NoColor,1,0)</formula>
    </cfRule>
  </conditionalFormatting>
  <conditionalFormatting sqref="M10">
    <cfRule type="expression" dxfId="2832" priority="29">
      <formula>IF(NoColor,1,0)</formula>
    </cfRule>
  </conditionalFormatting>
  <conditionalFormatting sqref="P11">
    <cfRule type="expression" dxfId="2831" priority="51">
      <formula>IF(NoColor,1,0)</formula>
    </cfRule>
  </conditionalFormatting>
  <conditionalFormatting sqref="Q95:R95">
    <cfRule type="expression" dxfId="2830" priority="47">
      <formula>IF(NoColor,1,0)</formula>
    </cfRule>
  </conditionalFormatting>
  <conditionalFormatting sqref="Q22:S22">
    <cfRule type="expression" dxfId="2829" priority="19">
      <formula>IF(NoColor,1,0)</formula>
    </cfRule>
  </conditionalFormatting>
  <conditionalFormatting sqref="Q30:S30">
    <cfRule type="expression" dxfId="2828" priority="39">
      <formula>IF(NoColor,1,0)</formula>
    </cfRule>
  </conditionalFormatting>
  <conditionalFormatting sqref="Q44:S44">
    <cfRule type="expression" dxfId="2827" priority="38">
      <formula>IF(NoColor,1,0)</formula>
    </cfRule>
  </conditionalFormatting>
  <conditionalFormatting sqref="Q63:S63">
    <cfRule type="expression" dxfId="2826" priority="37">
      <formula>IF(NoColor,1,0)</formula>
    </cfRule>
  </conditionalFormatting>
  <conditionalFormatting sqref="Q99:S99">
    <cfRule type="expression" dxfId="2825" priority="36">
      <formula>IF(NoColor,1,0)</formula>
    </cfRule>
  </conditionalFormatting>
  <conditionalFormatting sqref="R11">
    <cfRule type="expression" dxfId="2824" priority="45">
      <formula>IF(NoColor,1,0)</formula>
    </cfRule>
  </conditionalFormatting>
  <conditionalFormatting sqref="V26:W26">
    <cfRule type="expression" dxfId="2823" priority="5">
      <formula>File_Marr_Sep=""</formula>
    </cfRule>
  </conditionalFormatting>
  <conditionalFormatting sqref="V19:Y25">
    <cfRule type="expression" dxfId="2822" priority="22">
      <formula>File_Marr_Sep=""</formula>
    </cfRule>
  </conditionalFormatting>
  <conditionalFormatting sqref="W20:W27">
    <cfRule type="expression" dxfId="2821" priority="4">
      <formula>LivedApartAnswered</formula>
    </cfRule>
  </conditionalFormatting>
  <conditionalFormatting sqref="W27:Y27">
    <cfRule type="expression" dxfId="2820" priority="1">
      <formula>File_Marr_Sep=""</formula>
    </cfRule>
  </conditionalFormatting>
  <conditionalFormatting sqref="X25:Y25">
    <cfRule type="expression" dxfId="2819" priority="23">
      <formula>LivedApartAnswered</formula>
    </cfRule>
  </conditionalFormatting>
  <conditionalFormatting sqref="X27:Y27">
    <cfRule type="expression" dxfId="2818" priority="2">
      <formula>LivedApartAnswered</formula>
    </cfRule>
  </conditionalFormatting>
  <pageMargins left="0.75" right="0.25" top="0.36" bottom="0.28999999999999998" header="0.36" footer="0.21"/>
  <pageSetup scale="73" fitToHeight="0" orientation="portrait" r:id="rId1"/>
  <rowBreaks count="1" manualBreakCount="1">
    <brk id="53" min="1" max="19"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38"/>
  <sheetViews>
    <sheetView zoomScaleNormal="100" zoomScaleSheetLayoutView="100" workbookViewId="0"/>
  </sheetViews>
  <sheetFormatPr defaultRowHeight="12.75"/>
  <cols>
    <col min="1" max="1" width="3.140625" customWidth="1"/>
    <col min="2" max="2" width="8.140625" style="39" customWidth="1"/>
    <col min="3" max="3" width="2.7109375" style="39" customWidth="1"/>
    <col min="4" max="4" width="8.85546875" style="39" customWidth="1"/>
    <col min="5" max="5" width="20.42578125" style="39" customWidth="1"/>
    <col min="6" max="6" width="10.140625" style="39" customWidth="1"/>
    <col min="7" max="7" width="15.28515625" style="39" customWidth="1"/>
    <col min="8" max="8" width="17.140625" style="39" customWidth="1"/>
    <col min="9" max="9" width="3.28515625" style="39" customWidth="1"/>
    <col min="10" max="10" width="12.85546875" style="39" customWidth="1"/>
    <col min="11" max="11" width="7.140625" style="39" customWidth="1"/>
    <col min="12" max="12" width="11.28515625" style="39" customWidth="1"/>
    <col min="13" max="13" width="2.7109375" style="39" customWidth="1"/>
    <col min="14" max="14" width="3.5703125" customWidth="1"/>
    <col min="15" max="15" width="10.7109375" style="2935" customWidth="1"/>
    <col min="16" max="26" width="10.7109375" style="2690" customWidth="1"/>
    <col min="27" max="28" width="10.7109375" customWidth="1"/>
  </cols>
  <sheetData>
    <row r="1" spans="1:26" ht="16.5" customHeight="1" thickBot="1">
      <c r="A1" s="808"/>
      <c r="B1" s="808"/>
      <c r="C1" s="808"/>
      <c r="D1" s="808"/>
      <c r="E1" s="808"/>
      <c r="F1" s="808"/>
      <c r="G1" s="808"/>
      <c r="H1" s="808"/>
      <c r="I1" s="808"/>
      <c r="J1" s="808"/>
      <c r="K1" s="808"/>
      <c r="L1" s="808"/>
      <c r="M1" s="808"/>
      <c r="N1" s="780"/>
      <c r="O1" s="2936" t="s">
        <v>241</v>
      </c>
      <c r="P1" s="2038"/>
      <c r="Q1" s="2038"/>
      <c r="R1" s="2038"/>
      <c r="S1" s="2038"/>
      <c r="T1" s="2038"/>
      <c r="U1" s="2038"/>
      <c r="V1" s="2038"/>
      <c r="W1" s="2038"/>
      <c r="X1" s="2038"/>
      <c r="Y1" s="2038"/>
      <c r="Z1" s="2038"/>
    </row>
    <row r="2" spans="1:26" ht="18.75" customHeight="1">
      <c r="A2" s="808"/>
      <c r="B2" s="5504"/>
      <c r="C2" s="5505"/>
      <c r="D2" s="2729"/>
      <c r="E2" s="695"/>
      <c r="F2" s="695"/>
      <c r="G2" s="695"/>
      <c r="H2" s="695"/>
      <c r="I2" s="695"/>
      <c r="J2" s="633"/>
      <c r="K2" s="2559" t="s">
        <v>1057</v>
      </c>
      <c r="L2" s="695"/>
      <c r="M2" s="82"/>
      <c r="N2" s="780"/>
      <c r="O2" s="2937" t="s">
        <v>319</v>
      </c>
      <c r="P2" s="2038"/>
      <c r="Q2" s="2038"/>
      <c r="R2" s="2038"/>
      <c r="S2" s="2038"/>
      <c r="T2" s="2038"/>
      <c r="U2" s="2038"/>
      <c r="V2" s="2038"/>
      <c r="W2" s="2038"/>
      <c r="X2" s="2038"/>
      <c r="Y2" s="2038"/>
      <c r="Z2" s="2038"/>
    </row>
    <row r="3" spans="1:26" ht="14.25" customHeight="1">
      <c r="A3" s="780"/>
      <c r="B3" s="675" t="s">
        <v>1175</v>
      </c>
      <c r="C3" s="1972"/>
      <c r="D3" s="61"/>
      <c r="E3" s="61"/>
      <c r="F3" s="61"/>
      <c r="G3" s="61"/>
      <c r="H3" s="61"/>
      <c r="I3" s="61"/>
      <c r="J3" s="714"/>
      <c r="K3" s="1414"/>
      <c r="L3" s="61"/>
      <c r="M3" s="83"/>
      <c r="N3" s="780"/>
      <c r="O3" s="2696"/>
      <c r="P3" s="2038"/>
      <c r="Q3" s="2038"/>
      <c r="R3" s="2038"/>
      <c r="S3" s="2038"/>
      <c r="T3" s="2038"/>
      <c r="U3" s="2038"/>
      <c r="V3" s="2038"/>
      <c r="W3" s="2038"/>
      <c r="X3" s="2038"/>
      <c r="Y3" s="2038"/>
      <c r="Z3" s="2038"/>
    </row>
    <row r="4" spans="1:26" ht="14.25" customHeight="1">
      <c r="A4" s="808"/>
      <c r="B4" s="5506"/>
      <c r="C4" s="23" t="s">
        <v>1058</v>
      </c>
      <c r="D4" s="23"/>
      <c r="E4" s="61"/>
      <c r="F4" s="4793"/>
      <c r="G4" s="632"/>
      <c r="H4" s="4794"/>
      <c r="I4" s="219"/>
      <c r="J4" s="219"/>
      <c r="K4" s="219"/>
      <c r="L4" s="13"/>
      <c r="M4" s="83"/>
      <c r="N4" s="780"/>
      <c r="O4" s="2696"/>
      <c r="P4" s="2038"/>
      <c r="Q4" s="2038"/>
      <c r="R4" s="2038"/>
      <c r="S4" s="2038"/>
      <c r="T4" s="2038"/>
      <c r="U4" s="2038"/>
      <c r="V4" s="2038"/>
      <c r="W4" s="2038"/>
      <c r="X4" s="2038"/>
      <c r="Y4" s="2038"/>
      <c r="Z4" s="2038"/>
    </row>
    <row r="5" spans="1:26" ht="14.25" customHeight="1">
      <c r="A5" s="808"/>
      <c r="B5" s="1420" t="s">
        <v>1059</v>
      </c>
      <c r="C5" s="61" t="s">
        <v>1176</v>
      </c>
      <c r="D5" s="23"/>
      <c r="E5" s="61"/>
      <c r="F5" s="4793"/>
      <c r="G5" s="632"/>
      <c r="H5" s="4794"/>
      <c r="I5" s="219"/>
      <c r="J5" s="219"/>
      <c r="K5" s="219"/>
      <c r="L5" s="13"/>
      <c r="M5" s="83"/>
      <c r="N5" s="780"/>
      <c r="O5" s="2696"/>
      <c r="P5" s="2038"/>
      <c r="Q5" s="2038"/>
      <c r="R5" s="2038"/>
      <c r="S5" s="2038"/>
      <c r="T5" s="2038"/>
      <c r="U5" s="2038"/>
      <c r="V5" s="2038"/>
      <c r="W5" s="2038"/>
      <c r="X5" s="2038"/>
      <c r="Y5" s="2038"/>
      <c r="Z5" s="2038"/>
    </row>
    <row r="6" spans="1:26" ht="14.25" customHeight="1">
      <c r="A6" s="808"/>
      <c r="B6" s="1420"/>
      <c r="C6" s="61" t="s">
        <v>1177</v>
      </c>
      <c r="D6" s="23"/>
      <c r="E6" s="61"/>
      <c r="F6" s="4793"/>
      <c r="G6" s="632"/>
      <c r="H6" s="4794"/>
      <c r="I6" s="219"/>
      <c r="J6" s="219"/>
      <c r="K6" s="219"/>
      <c r="L6" s="13"/>
      <c r="M6" s="83"/>
      <c r="N6" s="780"/>
      <c r="O6" s="2696"/>
      <c r="P6" s="2038"/>
      <c r="Q6" s="2038"/>
      <c r="R6" s="2038"/>
      <c r="S6" s="2038"/>
      <c r="T6" s="2038"/>
      <c r="U6" s="2038"/>
      <c r="V6" s="2038"/>
      <c r="W6" s="2038"/>
      <c r="X6" s="2038"/>
      <c r="Y6" s="2038"/>
      <c r="Z6" s="2038"/>
    </row>
    <row r="7" spans="1:26" ht="14.25" customHeight="1">
      <c r="A7" s="808"/>
      <c r="B7" s="1420" t="s">
        <v>1059</v>
      </c>
      <c r="C7" s="61" t="s">
        <v>1178</v>
      </c>
      <c r="D7" s="23"/>
      <c r="E7" s="61"/>
      <c r="F7" s="4793"/>
      <c r="G7" s="632"/>
      <c r="H7" s="4794"/>
      <c r="I7" s="219"/>
      <c r="J7" s="219"/>
      <c r="K7" s="219"/>
      <c r="L7" s="13"/>
      <c r="M7" s="83"/>
      <c r="N7" s="780"/>
      <c r="O7" s="2696"/>
      <c r="P7" s="2038"/>
      <c r="Q7" s="2038"/>
      <c r="R7" s="2038"/>
      <c r="S7" s="2038"/>
      <c r="T7" s="2038"/>
      <c r="U7" s="2038"/>
      <c r="V7" s="2038"/>
      <c r="W7" s="2038"/>
      <c r="X7" s="2038"/>
      <c r="Y7" s="2038"/>
      <c r="Z7" s="2038"/>
    </row>
    <row r="8" spans="1:26" ht="14.25" customHeight="1">
      <c r="A8" s="808"/>
      <c r="B8" s="5507"/>
      <c r="C8" s="851" t="s">
        <v>1179</v>
      </c>
      <c r="D8" s="5508"/>
      <c r="E8" s="851"/>
      <c r="F8" s="5509"/>
      <c r="G8" s="1424"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5510"/>
      <c r="I8" s="5511"/>
      <c r="J8" s="5511"/>
      <c r="K8" s="5511"/>
      <c r="L8" s="5157"/>
      <c r="M8" s="1421"/>
      <c r="N8" s="780"/>
      <c r="O8" s="2696"/>
      <c r="P8" s="2038"/>
      <c r="Q8" s="2038"/>
      <c r="R8" s="2038"/>
      <c r="S8" s="2038"/>
      <c r="T8" s="2038"/>
      <c r="U8" s="2038"/>
      <c r="V8" s="2038"/>
      <c r="W8" s="2038"/>
      <c r="X8" s="2038"/>
      <c r="Y8" s="2038"/>
      <c r="Z8" s="2038"/>
    </row>
    <row r="9" spans="1:26" ht="14.25" customHeight="1">
      <c r="A9" s="808"/>
      <c r="B9" s="5506"/>
      <c r="C9" s="61"/>
      <c r="D9" s="23"/>
      <c r="E9" s="61"/>
      <c r="F9" s="4793"/>
      <c r="G9" s="632"/>
      <c r="H9" s="4794"/>
      <c r="I9" s="219"/>
      <c r="J9" s="219"/>
      <c r="K9" s="219"/>
      <c r="L9" s="13" t="b">
        <f>OR(L11="",NumFileStatusBoxes&lt;&gt;1,File_Marr_Sep&lt;&gt;"",Form2555_Used,DependentYOU&lt;&gt;"",DependentSPOUSE&lt;&gt;"")</f>
        <v>1</v>
      </c>
      <c r="M9" s="83"/>
      <c r="N9" s="780"/>
      <c r="O9" s="2696"/>
      <c r="P9" s="2038"/>
      <c r="Q9" s="2038"/>
      <c r="R9" s="2038"/>
      <c r="S9" s="2038"/>
      <c r="T9" s="2038"/>
      <c r="U9" s="2038"/>
      <c r="V9" s="2038"/>
      <c r="W9" s="2038"/>
      <c r="X9" s="2038"/>
      <c r="Y9" s="2038"/>
      <c r="Z9" s="2038"/>
    </row>
    <row r="10" spans="1:26" ht="14.25" customHeight="1">
      <c r="A10" s="808"/>
      <c r="B10" s="942" t="s">
        <v>167</v>
      </c>
      <c r="C10" s="1299"/>
      <c r="D10" s="61" t="str">
        <f>"Enter the total interest you paid in "&amp;TaxYear&amp;" on qualified student loans "</f>
        <v xml:space="preserve">Enter the total interest you paid in 2023 on qualified student loans </v>
      </c>
      <c r="E10" s="61"/>
      <c r="F10" s="61"/>
      <c r="G10" s="632"/>
      <c r="H10" s="706" t="s">
        <v>5698</v>
      </c>
      <c r="I10" s="219"/>
      <c r="J10" s="13"/>
      <c r="K10" s="13"/>
      <c r="L10" s="13"/>
      <c r="M10" s="83"/>
      <c r="N10" s="780"/>
      <c r="O10" s="2696"/>
      <c r="P10" s="2038"/>
      <c r="Q10" s="2038"/>
      <c r="R10" s="2038"/>
      <c r="S10" s="2038"/>
      <c r="T10" s="2038"/>
      <c r="U10" s="2038"/>
      <c r="V10" s="2038"/>
      <c r="W10" s="2038"/>
      <c r="X10" s="2038"/>
      <c r="Y10" s="2038"/>
      <c r="Z10" s="2038"/>
    </row>
    <row r="11" spans="1:26" ht="14.25" customHeight="1">
      <c r="A11" s="808"/>
      <c r="B11" s="942"/>
      <c r="C11" s="1299"/>
      <c r="D11" s="61" t="str">
        <f>"enter more than "&amp;TEXT(L12,"$0,000")</f>
        <v>enter more than $2,500</v>
      </c>
      <c r="E11" s="61"/>
      <c r="F11" s="61"/>
      <c r="G11" s="632"/>
      <c r="H11" s="219"/>
      <c r="I11" s="219"/>
      <c r="J11" s="13"/>
      <c r="K11" s="2129" t="str">
        <f>".   .   .   .   .   .   .   .   .   .   .   .   .   .   .   .   .   .   .   .   .   .   .   .   .   .   .   .   .   .   .   .   .   1."</f>
        <v>.   .   .   .   .   .   .   .   .   .   .   .   .   .   .   .   .   .   .   .   .   .   .   .   .   .   .   .   .   .   .   .   .   1.</v>
      </c>
      <c r="L11" s="4500"/>
      <c r="M11" s="83"/>
      <c r="N11" s="780"/>
      <c r="O11" s="2696"/>
      <c r="P11" s="2038"/>
      <c r="Q11" s="2038"/>
      <c r="R11" s="2038"/>
      <c r="S11" s="2038"/>
      <c r="T11" s="2038"/>
      <c r="U11" s="2038"/>
      <c r="V11" s="2038"/>
      <c r="W11" s="2038"/>
      <c r="X11" s="2038"/>
      <c r="Y11" s="2038"/>
      <c r="Z11" s="2038"/>
    </row>
    <row r="12" spans="1:26" ht="14.25" customHeight="1">
      <c r="A12" s="808"/>
      <c r="B12" s="942"/>
      <c r="C12" s="23"/>
      <c r="D12" s="23"/>
      <c r="E12" s="22"/>
      <c r="F12" s="22"/>
      <c r="G12" s="22"/>
      <c r="H12" s="219"/>
      <c r="I12" s="219"/>
      <c r="J12" s="13"/>
      <c r="K12" s="13" t="b">
        <f>IF(L11&gt;L12,TRUE,FALSE)</f>
        <v>0</v>
      </c>
      <c r="L12" s="13">
        <v>2500</v>
      </c>
      <c r="M12" s="83"/>
      <c r="N12" s="780"/>
      <c r="O12" s="2696"/>
      <c r="P12" s="2038"/>
      <c r="Q12" s="2038"/>
      <c r="R12" s="2038"/>
      <c r="S12" s="2038"/>
      <c r="T12" s="2038"/>
      <c r="U12" s="2038"/>
      <c r="V12" s="2038"/>
      <c r="W12" s="2038"/>
      <c r="X12" s="2038"/>
      <c r="Y12" s="2038"/>
      <c r="Z12" s="2038"/>
    </row>
    <row r="13" spans="1:26" ht="14.25" customHeight="1">
      <c r="A13" s="808"/>
      <c r="B13" s="942" t="s">
        <v>171</v>
      </c>
      <c r="C13" s="1299"/>
      <c r="D13" s="61" t="s">
        <v>1114</v>
      </c>
      <c r="E13" s="61"/>
      <c r="F13" s="61"/>
      <c r="G13" s="632"/>
      <c r="H13" s="2129" t="s">
        <v>1180</v>
      </c>
      <c r="I13" s="944" t="s">
        <v>171</v>
      </c>
      <c r="J13" s="5512" t="str">
        <f>IF(OR(K12,Line33_NOT),"",Total_Income)</f>
        <v/>
      </c>
      <c r="K13" s="2129"/>
      <c r="L13" s="296"/>
      <c r="M13" s="83"/>
      <c r="N13" s="780"/>
      <c r="O13" s="2696"/>
      <c r="P13" s="2038"/>
      <c r="Q13" s="2038"/>
      <c r="R13" s="2038"/>
      <c r="S13" s="2038"/>
      <c r="T13" s="2038"/>
      <c r="U13" s="2038"/>
      <c r="V13" s="2038"/>
      <c r="W13" s="2038"/>
      <c r="X13" s="2038"/>
      <c r="Y13" s="2038"/>
      <c r="Z13" s="2038"/>
    </row>
    <row r="14" spans="1:26" ht="14.25" customHeight="1">
      <c r="A14" s="808"/>
      <c r="B14" s="942"/>
      <c r="C14" s="23"/>
      <c r="D14" s="61"/>
      <c r="E14" s="22"/>
      <c r="F14" s="22"/>
      <c r="G14" s="22"/>
      <c r="H14" s="219"/>
      <c r="I14" s="219"/>
      <c r="J14" s="13"/>
      <c r="K14" s="13"/>
      <c r="L14" s="13"/>
      <c r="M14" s="83"/>
      <c r="N14" s="780"/>
      <c r="O14" s="2696"/>
      <c r="P14" s="2038"/>
      <c r="Q14" s="2038"/>
      <c r="R14" s="2038"/>
      <c r="S14" s="2038"/>
      <c r="T14" s="2038"/>
      <c r="U14" s="2038"/>
      <c r="V14" s="2038"/>
      <c r="W14" s="2038"/>
      <c r="X14" s="2038"/>
      <c r="Y14" s="2038"/>
      <c r="Z14" s="2038"/>
    </row>
    <row r="15" spans="1:26" ht="14.25" customHeight="1">
      <c r="A15" s="808"/>
      <c r="B15" s="942" t="s">
        <v>177</v>
      </c>
      <c r="C15" s="23"/>
      <c r="D15" s="61" t="s">
        <v>1181</v>
      </c>
      <c r="E15" s="22"/>
      <c r="F15" s="22"/>
      <c r="G15" s="22"/>
      <c r="H15" s="2129"/>
      <c r="I15" s="2129" t="str">
        <f>"3."</f>
        <v>3.</v>
      </c>
      <c r="J15" s="5512" t="str">
        <f>IF(OR(K12,Line33_NOT),"",SUM(SUM('Sch. 1'!AC53,'Sch. 1'!AC55,'Sch. 1'!AC56,'Sch. 1'!AC57,'Sch. 1'!AC58,'Sch. 1'!AC59,'Sch. 1'!AC60,'Sch. 1'!AC61,'Sch. 1'!AC62,IRADeduct,'Sch. 1'!AC68,'Sch. 1'!AC90)))</f>
        <v/>
      </c>
      <c r="K15" s="13"/>
      <c r="L15" s="13"/>
      <c r="M15" s="83"/>
      <c r="N15" s="780"/>
      <c r="O15" s="2696"/>
      <c r="P15" s="2038"/>
      <c r="Q15" s="2038"/>
      <c r="R15" s="2038"/>
      <c r="S15" s="2038"/>
      <c r="T15" s="2038"/>
      <c r="U15" s="2038"/>
      <c r="V15" s="2038"/>
      <c r="W15" s="2038"/>
      <c r="X15" s="2038"/>
      <c r="Y15" s="2038"/>
      <c r="Z15" s="2038"/>
    </row>
    <row r="16" spans="1:26" ht="14.25" customHeight="1">
      <c r="A16" s="808"/>
      <c r="B16" s="942"/>
      <c r="C16" s="23"/>
      <c r="D16" s="23"/>
      <c r="E16" s="22"/>
      <c r="F16" s="22"/>
      <c r="G16" s="22"/>
      <c r="H16" s="219"/>
      <c r="I16" s="219"/>
      <c r="J16" s="13"/>
      <c r="K16" s="13"/>
      <c r="L16" s="13"/>
      <c r="M16" s="83"/>
      <c r="N16" s="780"/>
      <c r="O16" s="2696"/>
      <c r="P16" s="2038"/>
      <c r="Q16" s="2038"/>
      <c r="R16" s="2038"/>
      <c r="S16" s="2038"/>
      <c r="T16" s="2038"/>
      <c r="U16" s="2038"/>
      <c r="V16" s="2038"/>
      <c r="W16" s="2038"/>
      <c r="X16" s="2038"/>
      <c r="Y16" s="2038"/>
      <c r="Z16" s="2038"/>
    </row>
    <row r="17" spans="1:26" ht="14.25" customHeight="1">
      <c r="A17" s="808"/>
      <c r="B17" s="942" t="s">
        <v>182</v>
      </c>
      <c r="C17" s="1299"/>
      <c r="D17" s="61" t="s">
        <v>1182</v>
      </c>
      <c r="E17" s="61"/>
      <c r="F17" s="61"/>
      <c r="G17" s="632"/>
      <c r="H17" s="2129" t="s">
        <v>705</v>
      </c>
      <c r="I17" s="2129" t="str">
        <f>"4."</f>
        <v>4.</v>
      </c>
      <c r="J17" s="5512" t="str">
        <f>IF(OR(K12,Line33_NOT),"",SUM(J13,-J15))</f>
        <v/>
      </c>
      <c r="K17" s="2129"/>
      <c r="L17" s="296"/>
      <c r="M17" s="83"/>
      <c r="N17" s="780"/>
      <c r="O17" s="2696"/>
      <c r="P17" s="2038"/>
      <c r="Q17" s="2038"/>
      <c r="R17" s="2038"/>
      <c r="S17" s="2038"/>
      <c r="T17" s="2038"/>
      <c r="U17" s="2038"/>
      <c r="V17" s="2038"/>
      <c r="W17" s="2038"/>
      <c r="X17" s="2038"/>
      <c r="Y17" s="2038"/>
      <c r="Z17" s="2038"/>
    </row>
    <row r="18" spans="1:26" ht="14.25" customHeight="1">
      <c r="A18" s="808"/>
      <c r="B18" s="942"/>
      <c r="C18" s="23"/>
      <c r="D18" s="23"/>
      <c r="E18" s="22"/>
      <c r="F18" s="22"/>
      <c r="G18" s="22"/>
      <c r="H18" s="219"/>
      <c r="I18" s="219"/>
      <c r="J18" s="13"/>
      <c r="K18" s="13"/>
      <c r="L18" s="13"/>
      <c r="M18" s="83"/>
      <c r="N18" s="780"/>
      <c r="O18" s="2696"/>
      <c r="P18" s="2038"/>
      <c r="Q18" s="2038"/>
      <c r="R18" s="2038"/>
      <c r="S18" s="2038"/>
      <c r="T18" s="2038"/>
      <c r="U18" s="2038"/>
      <c r="V18" s="2038"/>
      <c r="W18" s="2038"/>
      <c r="X18" s="2038"/>
      <c r="Y18" s="2038"/>
      <c r="Z18" s="2038"/>
    </row>
    <row r="19" spans="1:26" ht="14.25" customHeight="1">
      <c r="A19" s="808"/>
      <c r="B19" s="942" t="s">
        <v>198</v>
      </c>
      <c r="C19" s="23"/>
      <c r="D19" s="61" t="s">
        <v>1183</v>
      </c>
      <c r="E19" s="22"/>
      <c r="F19" s="22"/>
      <c r="G19" s="22"/>
      <c r="H19" s="219"/>
      <c r="I19" s="219"/>
      <c r="J19" s="13"/>
      <c r="K19" s="13"/>
      <c r="L19" s="13"/>
      <c r="M19" s="83"/>
      <c r="N19" s="780"/>
      <c r="O19" s="2696"/>
      <c r="P19" s="2038"/>
      <c r="Q19" s="2038"/>
      <c r="R19" s="2038"/>
      <c r="S19" s="2038"/>
      <c r="T19" s="2038"/>
      <c r="U19" s="2038"/>
      <c r="V19" s="2038"/>
      <c r="W19" s="2038"/>
      <c r="X19" s="2038"/>
      <c r="Y19" s="2038"/>
      <c r="Z19" s="2038"/>
    </row>
    <row r="20" spans="1:26" ht="14.25" customHeight="1">
      <c r="A20" s="808"/>
      <c r="B20" s="942"/>
      <c r="C20" s="23"/>
      <c r="D20" s="61" t="str">
        <f>"Single, head of household, or qualifying widow(er) — "&amp;TEXT(L20,"$0,000")</f>
        <v>Single, head of household, or qualifying widow(er) — $75,000</v>
      </c>
      <c r="E20" s="22"/>
      <c r="F20" s="22"/>
      <c r="G20" s="22"/>
      <c r="H20" s="44"/>
      <c r="I20" s="2129" t="str">
        <f>".   .   .   .   5."</f>
        <v>.   .   .   .   5.</v>
      </c>
      <c r="J20" s="5512" t="str">
        <f>IF(Line33_NOT,"",IF(NumFileStatusBoxes&lt;&gt;1,"Filing status?",IF(OR(K12,Line33_NOT),"",IF(File_Marr_Joint&lt;&gt;"",L21,IF(OR(File_Single&lt;&gt;"",File_Head&lt;&gt;"",File_Qual_Widow&lt;&gt;""),L20,IF(File_Marr_Sep&lt;&gt;"","","Filing status?"))))))</f>
        <v/>
      </c>
      <c r="K20" s="13"/>
      <c r="L20" s="13">
        <v>75000</v>
      </c>
      <c r="M20" s="83"/>
      <c r="N20" s="780"/>
      <c r="O20" s="2696"/>
      <c r="P20" s="2038"/>
      <c r="Q20" s="2038"/>
      <c r="R20" s="2038"/>
      <c r="S20" s="2038"/>
      <c r="T20" s="2038"/>
      <c r="U20" s="2038"/>
      <c r="V20" s="2038"/>
      <c r="W20" s="2038"/>
      <c r="X20" s="2038"/>
      <c r="Y20" s="2038"/>
      <c r="Z20" s="2038"/>
    </row>
    <row r="21" spans="1:26" ht="14.25" customHeight="1">
      <c r="A21" s="808"/>
      <c r="B21" s="942"/>
      <c r="C21" s="23"/>
      <c r="D21" s="688" t="str">
        <f>"Married filing jointly — "&amp;TEXT(L21,"$0,000")</f>
        <v>Married filing jointly — $155,000</v>
      </c>
      <c r="E21" s="22"/>
      <c r="F21" s="688"/>
      <c r="G21" s="22"/>
      <c r="H21" s="688"/>
      <c r="I21" s="219"/>
      <c r="J21" s="13"/>
      <c r="K21" s="13"/>
      <c r="L21" s="5513">
        <v>155000</v>
      </c>
      <c r="M21" s="83"/>
      <c r="N21" s="780"/>
      <c r="O21" s="2696"/>
      <c r="P21" s="2038"/>
      <c r="Q21" s="2038"/>
      <c r="R21" s="2038"/>
      <c r="S21" s="2038"/>
      <c r="T21" s="2038"/>
      <c r="U21" s="2038"/>
      <c r="V21" s="2038"/>
      <c r="W21" s="2038"/>
      <c r="X21" s="2038"/>
      <c r="Y21" s="2038"/>
      <c r="Z21" s="2038"/>
    </row>
    <row r="22" spans="1:26" ht="25.5" customHeight="1">
      <c r="A22" s="808"/>
      <c r="B22" s="942" t="s">
        <v>202</v>
      </c>
      <c r="C22" s="23"/>
      <c r="D22" s="61" t="s">
        <v>1184</v>
      </c>
      <c r="E22" s="22"/>
      <c r="F22" s="22"/>
      <c r="G22" s="22"/>
      <c r="H22" s="219"/>
      <c r="I22" s="219"/>
      <c r="J22" s="13" t="b">
        <f>J17&gt;J20</f>
        <v>0</v>
      </c>
      <c r="K22" s="13"/>
      <c r="L22" s="13"/>
      <c r="M22" s="83"/>
      <c r="N22" s="780"/>
      <c r="O22" s="2696"/>
      <c r="P22" s="2038"/>
      <c r="Q22" s="2038"/>
      <c r="R22" s="2038"/>
      <c r="S22" s="2038"/>
      <c r="T22" s="2038"/>
      <c r="U22" s="2038"/>
      <c r="V22" s="2038"/>
      <c r="W22" s="2038"/>
      <c r="X22" s="2038"/>
      <c r="Y22" s="2038"/>
      <c r="Z22" s="2038"/>
    </row>
    <row r="23" spans="1:26" ht="14.25" customHeight="1">
      <c r="A23" s="808"/>
      <c r="B23" s="942"/>
      <c r="C23" s="23"/>
      <c r="D23" s="23"/>
      <c r="E23" s="22"/>
      <c r="F23" s="22"/>
      <c r="G23" s="22"/>
      <c r="H23" s="219"/>
      <c r="I23" s="219"/>
      <c r="J23" s="13"/>
      <c r="K23" s="13"/>
      <c r="L23" s="13"/>
      <c r="M23" s="83"/>
      <c r="N23" s="780"/>
      <c r="O23" s="2696"/>
      <c r="P23" s="2038"/>
      <c r="Q23" s="2038"/>
      <c r="R23" s="2038"/>
      <c r="S23" s="2038"/>
      <c r="T23" s="2038"/>
      <c r="U23" s="2038"/>
      <c r="V23" s="2038"/>
      <c r="W23" s="2038"/>
      <c r="X23" s="2038"/>
      <c r="Y23" s="2038"/>
      <c r="Z23" s="2038"/>
    </row>
    <row r="24" spans="1:26" ht="14.25" customHeight="1">
      <c r="A24" s="808"/>
      <c r="B24" s="942"/>
      <c r="C24" s="5514" t="str">
        <f>IF(OR(NumFileStatusBoxes&lt;&gt;1,K12,Line33_NOT),"",IF(J22,"","X"))</f>
        <v/>
      </c>
      <c r="D24" s="37" t="s">
        <v>1185</v>
      </c>
      <c r="E24" s="61" t="s">
        <v>1186</v>
      </c>
      <c r="F24" s="22"/>
      <c r="G24" s="22"/>
      <c r="H24" s="219"/>
      <c r="I24" s="219"/>
      <c r="J24" s="13"/>
      <c r="K24" s="13"/>
      <c r="L24" s="13"/>
      <c r="M24" s="83"/>
      <c r="N24" s="780"/>
      <c r="O24" s="2696"/>
      <c r="P24" s="2038"/>
      <c r="Q24" s="2038"/>
      <c r="R24" s="2038"/>
      <c r="S24" s="2038"/>
      <c r="T24" s="2038"/>
      <c r="U24" s="2038"/>
      <c r="V24" s="2038"/>
      <c r="W24" s="2038"/>
      <c r="X24" s="2038"/>
      <c r="Y24" s="2038"/>
      <c r="Z24" s="2038"/>
    </row>
    <row r="25" spans="1:26" ht="14.25" customHeight="1">
      <c r="A25" s="808"/>
      <c r="B25" s="942"/>
      <c r="C25" s="23"/>
      <c r="D25" s="23"/>
      <c r="E25" s="22"/>
      <c r="F25" s="22"/>
      <c r="G25" s="22"/>
      <c r="H25" s="219"/>
      <c r="I25" s="219"/>
      <c r="J25" s="13"/>
      <c r="K25" s="13"/>
      <c r="L25" s="13"/>
      <c r="M25" s="83"/>
      <c r="N25" s="780"/>
      <c r="O25" s="2696"/>
      <c r="P25" s="2038"/>
      <c r="Q25" s="2038"/>
      <c r="R25" s="2038"/>
      <c r="S25" s="2038"/>
      <c r="T25" s="2038"/>
      <c r="U25" s="2038"/>
      <c r="V25" s="2038"/>
      <c r="W25" s="2038"/>
      <c r="X25" s="2038"/>
      <c r="Y25" s="2038"/>
      <c r="Z25" s="2038"/>
    </row>
    <row r="26" spans="1:26" ht="14.25" customHeight="1">
      <c r="A26" s="808"/>
      <c r="B26" s="942"/>
      <c r="C26" s="5514" t="str">
        <f>IF(OR(NumFileStatusBoxes&lt;&gt;1,K12,Line33_NOT),"",IF(J22,"X",""))</f>
        <v/>
      </c>
      <c r="D26" s="37" t="s">
        <v>1069</v>
      </c>
      <c r="E26" s="61" t="s">
        <v>1187</v>
      </c>
      <c r="F26" s="22"/>
      <c r="G26" s="22"/>
      <c r="H26" s="5515"/>
      <c r="I26" s="2129" t="str">
        <f>".   .   .   .   .   .   .   .   .   .   .   .   .   .   .   .   .   6."</f>
        <v>.   .   .   .   .   .   .   .   .   .   .   .   .   .   .   .   .   6.</v>
      </c>
      <c r="J26" s="5516" t="str">
        <f>IF(OR(NumFileStatusBoxes&lt;&gt;1,K12,Line33_NOT,C24="X"),"",SUM(J17,-J20))</f>
        <v/>
      </c>
      <c r="K26" s="2129"/>
      <c r="L26" s="3454"/>
      <c r="M26" s="83"/>
      <c r="N26" s="780"/>
      <c r="O26" s="2696"/>
      <c r="P26" s="2038"/>
      <c r="Q26" s="2038"/>
      <c r="R26" s="2038"/>
      <c r="S26" s="2038"/>
      <c r="T26" s="2038"/>
      <c r="U26" s="2038"/>
      <c r="V26" s="2038"/>
      <c r="W26" s="2038"/>
      <c r="X26" s="2038"/>
      <c r="Y26" s="2038"/>
      <c r="Z26" s="2038"/>
    </row>
    <row r="27" spans="1:26" ht="14.25" customHeight="1">
      <c r="A27" s="808"/>
      <c r="B27" s="942"/>
      <c r="C27" s="1299"/>
      <c r="D27" s="61"/>
      <c r="E27" s="61"/>
      <c r="F27" s="61"/>
      <c r="G27" s="632"/>
      <c r="H27" s="219"/>
      <c r="I27" s="219"/>
      <c r="J27" s="13"/>
      <c r="K27" s="22"/>
      <c r="L27" s="13">
        <v>15000</v>
      </c>
      <c r="M27" s="83"/>
      <c r="N27" s="780"/>
      <c r="O27" s="2696"/>
      <c r="P27" s="2038"/>
      <c r="Q27" s="2038"/>
      <c r="R27" s="2038"/>
      <c r="S27" s="2038"/>
      <c r="T27" s="2038"/>
      <c r="U27" s="2038"/>
      <c r="V27" s="2038"/>
      <c r="W27" s="2038"/>
      <c r="X27" s="2038"/>
      <c r="Y27" s="2038"/>
      <c r="Z27" s="2038"/>
    </row>
    <row r="28" spans="1:26" ht="14.25" customHeight="1">
      <c r="A28" s="808"/>
      <c r="B28" s="942" t="s">
        <v>215</v>
      </c>
      <c r="C28" s="23"/>
      <c r="D28" s="61" t="str">
        <f>"Divide line 6 by "&amp;TEXT(L27,"$0,000")&amp;" ("&amp;TEXT(L28,"$0,000")&amp;" if married filing jointly). Enter the result as a decimal"</f>
        <v>Divide line 6 by $15,000 ($30,000 if married filing jointly). Enter the result as a decimal</v>
      </c>
      <c r="E28" s="61"/>
      <c r="F28" s="22"/>
      <c r="G28" s="22"/>
      <c r="H28" s="219"/>
      <c r="I28" s="219"/>
      <c r="J28" s="13"/>
      <c r="K28" s="13"/>
      <c r="L28" s="13">
        <v>30000</v>
      </c>
      <c r="M28" s="83"/>
      <c r="N28" s="780"/>
      <c r="O28" s="2696"/>
      <c r="P28" s="2038"/>
      <c r="Q28" s="2038"/>
      <c r="R28" s="2038"/>
      <c r="S28" s="2038"/>
      <c r="T28" s="2038"/>
      <c r="U28" s="2038"/>
      <c r="V28" s="2038"/>
      <c r="W28" s="2038"/>
      <c r="X28" s="2038"/>
      <c r="Y28" s="2038"/>
      <c r="Z28" s="2038"/>
    </row>
    <row r="29" spans="1:26" ht="14.25" customHeight="1">
      <c r="A29" s="808"/>
      <c r="B29" s="942"/>
      <c r="C29" s="1299"/>
      <c r="D29" s="61" t="s">
        <v>1188</v>
      </c>
      <c r="E29" s="61"/>
      <c r="F29" s="61"/>
      <c r="G29" s="632"/>
      <c r="H29" s="219"/>
      <c r="I29" s="219"/>
      <c r="J29" s="13"/>
      <c r="K29" s="2129" t="str">
        <f>".   .   .   .   .   .   .   .   7."</f>
        <v>.   .   .   .   .   .   .   .   7.</v>
      </c>
      <c r="L29" s="5517" t="str">
        <f>IF(OR(NumFileStatusBoxes&lt;&gt;1,K12,Line33_NOT,C24="X"),"",IF(File_Marr_Joint&lt;&gt;"",H30,G30))</f>
        <v/>
      </c>
      <c r="M29" s="83"/>
      <c r="N29" s="780"/>
      <c r="O29" s="2696"/>
      <c r="P29" s="2038"/>
      <c r="Q29" s="2038"/>
      <c r="R29" s="2038"/>
      <c r="S29" s="2038"/>
      <c r="T29" s="2038"/>
      <c r="U29" s="2038"/>
      <c r="V29" s="2038"/>
      <c r="W29" s="2038"/>
      <c r="X29" s="2038"/>
      <c r="Y29" s="2038"/>
      <c r="Z29" s="2038"/>
    </row>
    <row r="30" spans="1:26" ht="14.25" customHeight="1">
      <c r="A30" s="808"/>
      <c r="B30" s="942"/>
      <c r="C30" s="1299"/>
      <c r="D30" s="61"/>
      <c r="E30" s="61"/>
      <c r="F30" s="61"/>
      <c r="G30" s="1425" t="str">
        <f>IF(J26="","",IF(ROUND(J26/L27,3)&gt;1,1,ROUND(J26/L27,3)))</f>
        <v/>
      </c>
      <c r="H30" s="1425" t="str">
        <f>IF(J26="","",IF(ROUND(J26/L28,3)&gt;1,1,ROUND(J26/L28,3)))</f>
        <v/>
      </c>
      <c r="I30" s="219"/>
      <c r="J30" s="13"/>
      <c r="K30" s="22"/>
      <c r="L30" s="13"/>
      <c r="M30" s="83"/>
      <c r="N30" s="780"/>
      <c r="O30" s="2696"/>
      <c r="P30" s="2038"/>
      <c r="Q30" s="2038"/>
      <c r="R30" s="2038"/>
      <c r="S30" s="2038"/>
      <c r="T30" s="2038"/>
      <c r="U30" s="2038"/>
      <c r="V30" s="2038"/>
      <c r="W30" s="2038"/>
      <c r="X30" s="2038"/>
      <c r="Y30" s="2038"/>
      <c r="Z30" s="2038"/>
    </row>
    <row r="31" spans="1:26" ht="14.25" customHeight="1">
      <c r="A31" s="808"/>
      <c r="B31" s="942" t="s">
        <v>217</v>
      </c>
      <c r="C31" s="23"/>
      <c r="D31" s="61" t="s">
        <v>1189</v>
      </c>
      <c r="E31" s="22"/>
      <c r="F31" s="22"/>
      <c r="G31" s="22"/>
      <c r="H31" s="219"/>
      <c r="I31" s="219"/>
      <c r="J31" s="13"/>
      <c r="K31" s="2129" t="str">
        <f>".   .   .   .   .   .   .   .   .   .   .   .   .   .   .   .   .   .   .   .   .   .   .   .   .   .   .   .   .   .   .   .   .   .   .   8."</f>
        <v>.   .   .   .   .   .   .   .   .   .   .   .   .   .   .   .   .   .   .   .   .   .   .   .   .   .   .   .   .   .   .   .   .   .   .   8.</v>
      </c>
      <c r="L31" s="5512" t="str">
        <f>IF(OR(NumFileStatusBoxes&lt;&gt;1,K12,Line33_NOT),"",IF(C24="X",0,ROUND(L11*L29,0)))</f>
        <v/>
      </c>
      <c r="M31" s="83"/>
      <c r="N31" s="780"/>
      <c r="O31" s="2696"/>
      <c r="P31" s="2038"/>
      <c r="Q31" s="2038"/>
      <c r="R31" s="2038"/>
      <c r="S31" s="2038"/>
      <c r="T31" s="2038"/>
      <c r="U31" s="2038"/>
      <c r="V31" s="2038"/>
      <c r="W31" s="2038"/>
      <c r="X31" s="2038"/>
      <c r="Y31" s="2038"/>
      <c r="Z31" s="2038"/>
    </row>
    <row r="32" spans="1:26" ht="14.25" customHeight="1">
      <c r="A32" s="808"/>
      <c r="B32" s="942"/>
      <c r="C32" s="1299"/>
      <c r="D32" s="61"/>
      <c r="E32" s="61"/>
      <c r="F32" s="61"/>
      <c r="G32" s="632"/>
      <c r="H32" s="219"/>
      <c r="I32" s="219"/>
      <c r="J32" s="13"/>
      <c r="K32" s="22"/>
      <c r="L32" s="13"/>
      <c r="M32" s="83"/>
      <c r="N32" s="780"/>
      <c r="O32" s="2696"/>
      <c r="P32" s="2038"/>
      <c r="Q32" s="2038"/>
      <c r="R32" s="2038"/>
      <c r="S32" s="2038"/>
      <c r="T32" s="2038"/>
      <c r="U32" s="2038"/>
      <c r="V32" s="2038"/>
      <c r="W32" s="2038"/>
      <c r="X32" s="2038"/>
      <c r="Y32" s="2038"/>
      <c r="Z32" s="2038"/>
    </row>
    <row r="33" spans="1:26" ht="14.25" customHeight="1">
      <c r="A33" s="808"/>
      <c r="B33" s="942" t="s">
        <v>222</v>
      </c>
      <c r="C33" s="1299"/>
      <c r="D33" s="61" t="s">
        <v>1190</v>
      </c>
      <c r="E33" s="61"/>
      <c r="F33" s="61"/>
      <c r="G33" s="632"/>
      <c r="H33" s="219"/>
      <c r="I33" s="219"/>
      <c r="J33" s="13"/>
      <c r="K33" s="22"/>
      <c r="L33" s="13"/>
      <c r="M33" s="83"/>
      <c r="N33" s="780"/>
      <c r="O33" s="2696"/>
      <c r="P33" s="2038"/>
      <c r="Q33" s="2038"/>
      <c r="R33" s="2038"/>
      <c r="S33" s="2038"/>
      <c r="T33" s="2038"/>
      <c r="U33" s="2038"/>
      <c r="V33" s="2038"/>
      <c r="W33" s="2038"/>
      <c r="X33" s="2038"/>
      <c r="Y33" s="2038"/>
      <c r="Z33" s="2038"/>
    </row>
    <row r="34" spans="1:26" ht="14.25" customHeight="1">
      <c r="A34" s="1382"/>
      <c r="B34" s="942"/>
      <c r="C34" s="1299"/>
      <c r="D34" s="61" t="s">
        <v>5695</v>
      </c>
      <c r="E34" s="61"/>
      <c r="F34" s="61"/>
      <c r="G34" s="632"/>
      <c r="H34" s="219"/>
      <c r="I34" s="219"/>
      <c r="J34" s="13"/>
      <c r="K34" s="2129" t="str">
        <f>" .   9."</f>
        <v xml:space="preserve"> .   9.</v>
      </c>
      <c r="L34" s="5512" t="str">
        <f>IF(OR(NumFileStatusBoxes&lt;&gt;1,K12,Line33_NOT),"",SUM(L11,-L31))</f>
        <v/>
      </c>
      <c r="M34" s="83"/>
      <c r="N34" s="780"/>
      <c r="O34" s="2696"/>
      <c r="P34" s="2038"/>
      <c r="Q34" s="2038"/>
      <c r="R34" s="2038"/>
      <c r="S34" s="2038"/>
      <c r="T34" s="2038"/>
      <c r="U34" s="2038"/>
      <c r="V34" s="2038"/>
      <c r="W34" s="2038"/>
      <c r="X34" s="2038"/>
      <c r="Y34" s="2038"/>
      <c r="Z34" s="2038"/>
    </row>
    <row r="35" spans="1:26" ht="13.5" customHeight="1" thickBot="1">
      <c r="A35" s="808"/>
      <c r="B35" s="3132"/>
      <c r="C35" s="5518"/>
      <c r="D35" s="1113"/>
      <c r="E35" s="1113"/>
      <c r="F35" s="1113"/>
      <c r="G35" s="1416"/>
      <c r="H35" s="1422"/>
      <c r="I35" s="1422"/>
      <c r="J35" s="1423"/>
      <c r="K35" s="34"/>
      <c r="L35" s="1423"/>
      <c r="M35" s="84"/>
      <c r="N35" s="780"/>
      <c r="O35" s="2696"/>
      <c r="P35" s="2038"/>
      <c r="Q35" s="2038"/>
      <c r="R35" s="2038"/>
      <c r="S35" s="2038"/>
      <c r="T35" s="2038"/>
      <c r="U35" s="2038"/>
      <c r="V35" s="2038"/>
      <c r="W35" s="2038"/>
      <c r="X35" s="2038"/>
      <c r="Y35" s="2038"/>
      <c r="Z35" s="2038"/>
    </row>
    <row r="36" spans="1:26" ht="19.5" customHeight="1">
      <c r="A36" s="2693"/>
      <c r="B36" s="808"/>
      <c r="C36" s="808"/>
      <c r="D36" s="808"/>
      <c r="E36" s="808"/>
      <c r="F36" s="808"/>
      <c r="G36" s="808"/>
      <c r="H36" s="808"/>
      <c r="I36" s="808"/>
      <c r="J36" s="808"/>
      <c r="K36" s="808"/>
      <c r="L36" s="808"/>
      <c r="M36" s="808"/>
      <c r="N36" s="780"/>
      <c r="O36" s="2696"/>
      <c r="P36" s="2038"/>
      <c r="Q36" s="2038"/>
      <c r="R36" s="2038"/>
      <c r="S36" s="2038"/>
      <c r="T36" s="2038"/>
      <c r="U36" s="2038"/>
      <c r="V36" s="2038"/>
      <c r="W36" s="2038"/>
      <c r="X36" s="2038"/>
      <c r="Y36" s="2038"/>
      <c r="Z36" s="2038"/>
    </row>
    <row r="38" spans="1:26" ht="13.5" customHeight="1"/>
  </sheetData>
  <sheetProtection algorithmName="SHA-512" hashValue="06nPYTzHPkDz5Dz1CV/cYZQdcoBVnP4DXe1hPvI5eOA/UdY955WnQeWMHNi0r4NfWtfH4flGvrLAnku53f3O1g==" saltValue="8GKOhdsFuGejnB9RKXPtqw==" spinCount="100000" sheet="1" objects="1" scenarios="1"/>
  <conditionalFormatting sqref="C24">
    <cfRule type="expression" dxfId="2817" priority="16">
      <formula>IF(NoColor,1,0)</formula>
    </cfRule>
  </conditionalFormatting>
  <conditionalFormatting sqref="C26">
    <cfRule type="expression" dxfId="2816" priority="15">
      <formula>IF(NoColor,1,0)</formula>
    </cfRule>
  </conditionalFormatting>
  <conditionalFormatting sqref="D11">
    <cfRule type="expression" dxfId="2815" priority="5">
      <formula>IF($K$12,1,0)</formula>
    </cfRule>
  </conditionalFormatting>
  <conditionalFormatting sqref="J13">
    <cfRule type="expression" dxfId="2814" priority="13">
      <formula>IF(NoColor,1,0)</formula>
    </cfRule>
  </conditionalFormatting>
  <conditionalFormatting sqref="J15">
    <cfRule type="expression" dxfId="2813" priority="11">
      <formula>IF(NoColor,1,0)</formula>
    </cfRule>
  </conditionalFormatting>
  <conditionalFormatting sqref="J17">
    <cfRule type="expression" dxfId="2812" priority="10">
      <formula>IF(NoColor,1,0)</formula>
    </cfRule>
  </conditionalFormatting>
  <conditionalFormatting sqref="J20">
    <cfRule type="expression" dxfId="2811" priority="9">
      <formula>IF(NoColor,1,0)</formula>
    </cfRule>
  </conditionalFormatting>
  <conditionalFormatting sqref="J26">
    <cfRule type="expression" dxfId="2810" priority="8">
      <formula>IF(NoColor,1,0)</formula>
    </cfRule>
  </conditionalFormatting>
  <conditionalFormatting sqref="L11">
    <cfRule type="expression" dxfId="2809" priority="12">
      <formula>IF(NoColor,1,0)</formula>
    </cfRule>
  </conditionalFormatting>
  <conditionalFormatting sqref="L29">
    <cfRule type="expression" dxfId="2808" priority="14">
      <formula>IF(NoColor,1,0)</formula>
    </cfRule>
  </conditionalFormatting>
  <conditionalFormatting sqref="L31">
    <cfRule type="expression" dxfId="2807" priority="7">
      <formula>IF(NoColor,1,0)</formula>
    </cfRule>
  </conditionalFormatting>
  <conditionalFormatting sqref="L34">
    <cfRule type="expression" dxfId="2806" priority="6">
      <formula>IF(NoColor,1,0)</formula>
    </cfRule>
  </conditionalFormatting>
  <pageMargins left="0.75" right="0.25" top="0.36" bottom="0.28999999999999998" header="0.36" footer="0.21"/>
  <pageSetup scale="81"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Z78"/>
  <sheetViews>
    <sheetView zoomScaleNormal="100" zoomScaleSheetLayoutView="115" workbookViewId="0"/>
  </sheetViews>
  <sheetFormatPr defaultColWidth="3.42578125" defaultRowHeight="12.75"/>
  <cols>
    <col min="1" max="1" width="3.42578125" style="39"/>
    <col min="2" max="2" width="3.28515625" style="39" customWidth="1"/>
    <col min="3" max="3" width="3.85546875" style="39" customWidth="1"/>
    <col min="4" max="4" width="2.5703125" style="118" customWidth="1"/>
    <col min="5" max="5" width="3.85546875" style="39" customWidth="1"/>
    <col min="6" max="6" width="5.7109375" style="39" customWidth="1"/>
    <col min="7" max="20" width="3.42578125" style="39" customWidth="1"/>
    <col min="21" max="21" width="2.140625" style="39" customWidth="1"/>
    <col min="22" max="22" width="5.7109375" style="39" customWidth="1"/>
    <col min="23" max="26" width="3.42578125" style="39" customWidth="1"/>
    <col min="27" max="27" width="2" style="39" customWidth="1"/>
    <col min="28" max="28" width="5.7109375" style="39" customWidth="1"/>
    <col min="29" max="34" width="3.42578125" style="39"/>
    <col min="35" max="35" width="2.140625" style="39" customWidth="1"/>
    <col min="36" max="36" width="15" style="39" customWidth="1"/>
    <col min="37" max="37" width="2.5703125" style="39" customWidth="1"/>
    <col min="38" max="39" width="12.140625" style="39" customWidth="1"/>
    <col min="40" max="40" width="15.140625" style="39" hidden="1" customWidth="1"/>
    <col min="41" max="41" width="3.7109375" style="39" customWidth="1"/>
    <col min="42" max="42" width="10.7109375" style="2691" customWidth="1"/>
    <col min="43" max="52" width="10.7109375" style="2690" customWidth="1"/>
    <col min="53" max="16384" width="3.42578125" style="39"/>
  </cols>
  <sheetData>
    <row r="1" spans="1:52" ht="18">
      <c r="A1" s="2162"/>
      <c r="B1" s="2162"/>
      <c r="C1" s="2162"/>
      <c r="D1" s="3103"/>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808"/>
      <c r="AJ1" s="260"/>
      <c r="AK1" s="260"/>
      <c r="AP1" s="4602" t="s">
        <v>241</v>
      </c>
      <c r="AQ1" s="2038"/>
      <c r="AR1" s="2038"/>
      <c r="AS1" s="2038"/>
      <c r="AT1" s="2396"/>
      <c r="AU1" s="2038"/>
      <c r="AV1" s="2038"/>
      <c r="AW1" s="2038"/>
      <c r="AX1" s="2396"/>
      <c r="AY1" s="2038"/>
      <c r="AZ1" s="2038"/>
    </row>
    <row r="2" spans="1:52" ht="11.25" customHeight="1">
      <c r="A2" s="2162"/>
      <c r="B2" s="6744" t="s">
        <v>1191</v>
      </c>
      <c r="C2" s="6745"/>
      <c r="D2" s="6745"/>
      <c r="E2" s="6745"/>
      <c r="F2" s="6746"/>
      <c r="G2" s="808"/>
      <c r="H2" s="808"/>
      <c r="I2" s="808"/>
      <c r="J2" s="808"/>
      <c r="K2" s="808"/>
      <c r="L2" s="808"/>
      <c r="M2" s="808"/>
      <c r="N2" s="808"/>
      <c r="O2" s="808"/>
      <c r="P2" s="808"/>
      <c r="Q2" s="808"/>
      <c r="R2" s="808"/>
      <c r="S2" s="808"/>
      <c r="T2" s="808"/>
      <c r="U2" s="808"/>
      <c r="V2" s="808"/>
      <c r="W2" s="808"/>
      <c r="X2" s="808"/>
      <c r="Y2" s="808"/>
      <c r="Z2" s="808"/>
      <c r="AA2" s="808"/>
      <c r="AB2" s="6730" t="s">
        <v>576</v>
      </c>
      <c r="AC2" s="6731"/>
      <c r="AD2" s="6731"/>
      <c r="AE2" s="6731"/>
      <c r="AF2" s="6731"/>
      <c r="AG2" s="6731"/>
      <c r="AH2" s="2162"/>
      <c r="AI2" s="808"/>
      <c r="AJ2" s="260"/>
      <c r="AK2" s="260"/>
      <c r="AP2" s="2725"/>
      <c r="AQ2" s="2038"/>
      <c r="AR2" s="2038"/>
      <c r="AS2" s="2038"/>
      <c r="AT2" s="2038"/>
      <c r="AU2" s="2038"/>
      <c r="AV2" s="2038"/>
      <c r="AW2" s="2038"/>
      <c r="AX2" s="2038"/>
      <c r="AY2" s="2038"/>
      <c r="AZ2" s="2038"/>
    </row>
    <row r="3" spans="1:52" ht="16.5" customHeight="1">
      <c r="A3" s="2162"/>
      <c r="B3" s="6745"/>
      <c r="C3" s="6745"/>
      <c r="D3" s="6745"/>
      <c r="E3" s="6745"/>
      <c r="F3" s="6746"/>
      <c r="G3" s="2384" t="s">
        <v>1192</v>
      </c>
      <c r="H3" s="2385"/>
      <c r="I3" s="2385"/>
      <c r="J3" s="2385"/>
      <c r="K3" s="2385"/>
      <c r="L3" s="2385"/>
      <c r="M3" s="2385"/>
      <c r="N3" s="2385"/>
      <c r="O3" s="2385"/>
      <c r="P3" s="2385"/>
      <c r="Q3" s="2385"/>
      <c r="R3" s="2385"/>
      <c r="S3" s="2385"/>
      <c r="T3" s="2385"/>
      <c r="U3" s="2385"/>
      <c r="V3" s="2385"/>
      <c r="W3" s="2385"/>
      <c r="X3" s="2385"/>
      <c r="Y3" s="2385"/>
      <c r="Z3" s="2385"/>
      <c r="AA3" s="2386"/>
      <c r="AB3" s="6863">
        <f>TaxYear</f>
        <v>2023</v>
      </c>
      <c r="AC3" s="6864"/>
      <c r="AD3" s="6864"/>
      <c r="AE3" s="6864"/>
      <c r="AF3" s="6864"/>
      <c r="AG3" s="6864"/>
      <c r="AH3" s="2162"/>
      <c r="AI3" s="808"/>
      <c r="AJ3" s="260"/>
      <c r="AK3" s="260"/>
      <c r="AP3" s="2725"/>
      <c r="AQ3" s="2038"/>
      <c r="AR3" s="2038"/>
      <c r="AS3" s="2038"/>
      <c r="AT3" s="2038"/>
      <c r="AU3" s="2038"/>
      <c r="AV3" s="2038"/>
      <c r="AW3" s="2038"/>
      <c r="AX3" s="2038"/>
      <c r="AY3" s="2038"/>
      <c r="AZ3" s="2038"/>
    </row>
    <row r="4" spans="1:52" ht="14.25" customHeight="1">
      <c r="A4" s="2162"/>
      <c r="B4" s="6872" t="s">
        <v>1193</v>
      </c>
      <c r="C4" s="6872"/>
      <c r="D4" s="6872"/>
      <c r="E4" s="6872"/>
      <c r="F4" s="6873"/>
      <c r="G4" s="2390"/>
      <c r="H4" s="808"/>
      <c r="I4" s="808"/>
      <c r="J4" s="808"/>
      <c r="K4" s="808"/>
      <c r="L4" s="808"/>
      <c r="M4" s="808"/>
      <c r="N4" s="808"/>
      <c r="O4" s="808"/>
      <c r="P4" s="808"/>
      <c r="Q4" s="808"/>
      <c r="R4" s="808"/>
      <c r="S4" s="808"/>
      <c r="T4" s="808"/>
      <c r="U4" s="808"/>
      <c r="V4" s="808"/>
      <c r="W4" s="808"/>
      <c r="X4" s="808"/>
      <c r="Y4" s="808"/>
      <c r="Z4" s="808"/>
      <c r="AA4" s="808"/>
      <c r="AB4" s="6865"/>
      <c r="AC4" s="6733"/>
      <c r="AD4" s="6733"/>
      <c r="AE4" s="6733"/>
      <c r="AF4" s="6733"/>
      <c r="AG4" s="6733"/>
      <c r="AH4" s="2162"/>
      <c r="AI4" s="808"/>
      <c r="AJ4" s="260"/>
      <c r="AK4" s="260"/>
      <c r="AP4" s="2725"/>
      <c r="AQ4" s="2038"/>
      <c r="AR4" s="2038"/>
      <c r="AS4" s="2038"/>
      <c r="AT4" s="2038"/>
      <c r="AU4" s="2038"/>
      <c r="AV4" s="2038"/>
      <c r="AW4" s="2038"/>
      <c r="AX4" s="2038"/>
      <c r="AY4" s="2038"/>
      <c r="AZ4" s="2038"/>
    </row>
    <row r="5" spans="1:52" ht="14.25" customHeight="1">
      <c r="A5" s="2162"/>
      <c r="B5" s="6872"/>
      <c r="C5" s="6872"/>
      <c r="D5" s="6872"/>
      <c r="E5" s="6872"/>
      <c r="F5" s="6873"/>
      <c r="G5" s="894"/>
      <c r="H5" s="808"/>
      <c r="I5" s="808"/>
      <c r="J5" s="808"/>
      <c r="K5" s="899" t="s">
        <v>880</v>
      </c>
      <c r="L5" s="899"/>
      <c r="M5" s="899"/>
      <c r="N5" s="899"/>
      <c r="O5" s="808"/>
      <c r="P5" s="899"/>
      <c r="Q5" s="808"/>
      <c r="R5" s="808"/>
      <c r="S5" s="808"/>
      <c r="T5" s="808"/>
      <c r="U5" s="808"/>
      <c r="V5" s="808"/>
      <c r="W5" s="808"/>
      <c r="X5" s="808"/>
      <c r="Y5" s="808"/>
      <c r="Z5" s="808"/>
      <c r="AA5" s="808"/>
      <c r="AB5" s="2382"/>
      <c r="AC5" s="6868" t="s">
        <v>1194</v>
      </c>
      <c r="AD5" s="6869"/>
      <c r="AE5" s="6869"/>
      <c r="AF5" s="6869"/>
      <c r="AG5" s="6869"/>
      <c r="AH5" s="2162"/>
      <c r="AI5" s="808"/>
      <c r="AJ5" s="260"/>
      <c r="AK5" s="260"/>
      <c r="AP5" s="2725"/>
      <c r="AQ5" s="2038"/>
      <c r="AR5" s="2038"/>
      <c r="AS5" s="2038"/>
      <c r="AT5" s="2038"/>
      <c r="AU5" s="2038"/>
      <c r="AV5" s="2038"/>
      <c r="AW5" s="2038"/>
      <c r="AX5" s="2038"/>
      <c r="AY5" s="2038"/>
      <c r="AZ5" s="2038"/>
    </row>
    <row r="6" spans="1:52" ht="14.25" customHeight="1" thickBot="1">
      <c r="A6" s="2162"/>
      <c r="B6" s="6866" t="s">
        <v>537</v>
      </c>
      <c r="C6" s="6866"/>
      <c r="D6" s="6866"/>
      <c r="E6" s="6866"/>
      <c r="F6" s="6867"/>
      <c r="G6" s="2399" t="s">
        <v>882</v>
      </c>
      <c r="H6" s="2400"/>
      <c r="I6" s="2399"/>
      <c r="J6" s="2401"/>
      <c r="K6" s="2400"/>
      <c r="L6" s="2400"/>
      <c r="M6" s="2400"/>
      <c r="N6" s="2400"/>
      <c r="O6" s="2400"/>
      <c r="P6" s="2400"/>
      <c r="Q6" s="2400"/>
      <c r="R6" s="2400"/>
      <c r="S6" s="2400"/>
      <c r="T6" s="2400"/>
      <c r="U6" s="2400"/>
      <c r="V6" s="2400"/>
      <c r="W6" s="2400"/>
      <c r="X6" s="2400"/>
      <c r="Y6" s="2400"/>
      <c r="Z6" s="2400"/>
      <c r="AA6" s="2400"/>
      <c r="AB6" s="2383"/>
      <c r="AC6" s="6870" t="s">
        <v>1195</v>
      </c>
      <c r="AD6" s="6871"/>
      <c r="AE6" s="6871"/>
      <c r="AF6" s="6871"/>
      <c r="AG6" s="6871"/>
      <c r="AH6" s="2162"/>
      <c r="AI6" s="808"/>
      <c r="AJ6" s="260"/>
      <c r="AK6" s="260"/>
      <c r="AP6" s="2725"/>
      <c r="AQ6" s="2038"/>
      <c r="AR6" s="2038"/>
      <c r="AS6" s="2038"/>
      <c r="AT6" s="2038"/>
      <c r="AU6" s="2038"/>
      <c r="AV6" s="2038"/>
      <c r="AW6" s="2038"/>
      <c r="AX6" s="2038"/>
      <c r="AY6" s="2038"/>
      <c r="AZ6" s="2038"/>
    </row>
    <row r="7" spans="1:52">
      <c r="A7" s="2162"/>
      <c r="B7" s="892" t="s">
        <v>883</v>
      </c>
      <c r="C7" s="808"/>
      <c r="D7" s="899"/>
      <c r="E7" s="808"/>
      <c r="F7" s="808"/>
      <c r="G7" s="808"/>
      <c r="H7" s="808"/>
      <c r="I7" s="808"/>
      <c r="J7" s="808"/>
      <c r="K7" s="808"/>
      <c r="L7" s="808"/>
      <c r="M7" s="808"/>
      <c r="N7" s="808"/>
      <c r="O7" s="808"/>
      <c r="P7" s="808"/>
      <c r="Q7" s="808"/>
      <c r="R7" s="808"/>
      <c r="S7" s="808"/>
      <c r="T7" s="808"/>
      <c r="U7" s="808"/>
      <c r="V7" s="808"/>
      <c r="W7" s="808"/>
      <c r="X7" s="808"/>
      <c r="Y7" s="808"/>
      <c r="Z7" s="808"/>
      <c r="AA7" s="808"/>
      <c r="AB7" s="2394" t="s">
        <v>1196</v>
      </c>
      <c r="AC7" s="890"/>
      <c r="AD7" s="890"/>
      <c r="AE7" s="890"/>
      <c r="AF7" s="890"/>
      <c r="AG7" s="890"/>
      <c r="AH7" s="2162"/>
      <c r="AI7" s="808"/>
      <c r="AJ7" s="6706" t="s">
        <v>637</v>
      </c>
      <c r="AK7" s="260"/>
      <c r="AP7" s="2725"/>
      <c r="AQ7" s="2038"/>
      <c r="AR7" s="2038"/>
      <c r="AS7" s="2038"/>
      <c r="AT7" s="2038"/>
      <c r="AU7" s="2038"/>
      <c r="AV7" s="2038"/>
      <c r="AW7" s="2038"/>
      <c r="AX7" s="2038"/>
      <c r="AY7" s="2038"/>
      <c r="AZ7" s="2038"/>
    </row>
    <row r="8" spans="1:52" ht="9.75" customHeight="1">
      <c r="A8" s="2162"/>
      <c r="B8" s="6750" t="str">
        <f>Names</f>
        <v/>
      </c>
      <c r="C8" s="6751"/>
      <c r="D8" s="6751"/>
      <c r="E8" s="6751"/>
      <c r="F8" s="6751"/>
      <c r="G8" s="6751"/>
      <c r="H8" s="6751"/>
      <c r="I8" s="6751"/>
      <c r="J8" s="6751"/>
      <c r="K8" s="6751"/>
      <c r="L8" s="6751"/>
      <c r="M8" s="6751"/>
      <c r="N8" s="6751"/>
      <c r="O8" s="6751"/>
      <c r="P8" s="6751"/>
      <c r="Q8" s="6751"/>
      <c r="R8" s="6751"/>
      <c r="S8" s="6751"/>
      <c r="T8" s="6751"/>
      <c r="U8" s="6751"/>
      <c r="V8" s="6751"/>
      <c r="W8" s="6751"/>
      <c r="X8" s="6751"/>
      <c r="Y8" s="6751"/>
      <c r="Z8" s="6751"/>
      <c r="AA8" s="6752"/>
      <c r="AB8" s="6732">
        <f>IF(NoSSN,"",SS_Yours)</f>
        <v>1010001</v>
      </c>
      <c r="AC8" s="6733"/>
      <c r="AD8" s="6733"/>
      <c r="AE8" s="6733"/>
      <c r="AF8" s="6733"/>
      <c r="AG8" s="6733"/>
      <c r="AH8" s="2162"/>
      <c r="AI8" s="808"/>
      <c r="AJ8" s="6707"/>
      <c r="AK8" s="260"/>
      <c r="AP8" s="2725"/>
      <c r="AQ8" s="2038"/>
      <c r="AR8" s="2038"/>
      <c r="AS8" s="2038"/>
      <c r="AT8" s="2038"/>
      <c r="AU8" s="2038"/>
      <c r="AV8" s="2038"/>
      <c r="AW8" s="2038"/>
      <c r="AX8" s="2038"/>
      <c r="AY8" s="2038"/>
      <c r="AZ8" s="2038"/>
    </row>
    <row r="9" spans="1:52" ht="9.75" customHeight="1">
      <c r="A9" s="2162"/>
      <c r="B9" s="6339"/>
      <c r="C9" s="6339"/>
      <c r="D9" s="6339"/>
      <c r="E9" s="6339"/>
      <c r="F9" s="6339"/>
      <c r="G9" s="6339"/>
      <c r="H9" s="6339"/>
      <c r="I9" s="6339"/>
      <c r="J9" s="6339"/>
      <c r="K9" s="6339"/>
      <c r="L9" s="6339"/>
      <c r="M9" s="6339"/>
      <c r="N9" s="6339"/>
      <c r="O9" s="6339"/>
      <c r="P9" s="6339"/>
      <c r="Q9" s="6339"/>
      <c r="R9" s="6339"/>
      <c r="S9" s="6339"/>
      <c r="T9" s="6339"/>
      <c r="U9" s="6339"/>
      <c r="V9" s="6339"/>
      <c r="W9" s="6339"/>
      <c r="X9" s="6339"/>
      <c r="Y9" s="6339"/>
      <c r="Z9" s="6339"/>
      <c r="AA9" s="6753"/>
      <c r="AB9" s="6734"/>
      <c r="AC9" s="6731"/>
      <c r="AD9" s="6731"/>
      <c r="AE9" s="6731"/>
      <c r="AF9" s="6731"/>
      <c r="AG9" s="6731"/>
      <c r="AH9" s="2162"/>
      <c r="AI9" s="808"/>
      <c r="AJ9" s="6708"/>
      <c r="AK9" s="260"/>
      <c r="AP9" s="2725"/>
      <c r="AQ9" s="2038"/>
      <c r="AR9" s="2038"/>
      <c r="AS9" s="2038"/>
      <c r="AT9" s="2038"/>
      <c r="AU9" s="2038"/>
      <c r="AV9" s="2038"/>
      <c r="AW9" s="2038"/>
      <c r="AX9" s="2038"/>
      <c r="AY9" s="2038"/>
      <c r="AZ9" s="2038"/>
    </row>
    <row r="10" spans="1:52" ht="22.5" customHeight="1">
      <c r="A10" s="2162"/>
      <c r="B10" s="6888" t="s">
        <v>884</v>
      </c>
      <c r="C10" s="6889"/>
      <c r="D10" s="6890"/>
      <c r="E10" s="2452"/>
      <c r="F10" s="3728" t="s">
        <v>1197</v>
      </c>
      <c r="G10" s="2452"/>
      <c r="H10" s="2452"/>
      <c r="I10" s="2452"/>
      <c r="J10" s="2452"/>
      <c r="K10" s="2452"/>
      <c r="L10" s="1122"/>
      <c r="M10" s="1122"/>
      <c r="N10" s="1122"/>
      <c r="O10" s="1122"/>
      <c r="P10" s="1122"/>
      <c r="Q10" s="1122"/>
      <c r="R10" s="1122"/>
      <c r="S10" s="1122"/>
      <c r="T10" s="1122"/>
      <c r="U10" s="1122"/>
      <c r="V10" s="1122"/>
      <c r="W10" s="1122"/>
      <c r="X10" s="1122"/>
      <c r="Y10" s="1122"/>
      <c r="Z10" s="1122"/>
      <c r="AA10" s="1122"/>
      <c r="AB10" s="1122"/>
      <c r="AC10" s="1122"/>
      <c r="AD10" s="1122"/>
      <c r="AE10" s="1122"/>
      <c r="AF10" s="1122"/>
      <c r="AG10" s="1122"/>
      <c r="AH10" s="2162"/>
      <c r="AI10" s="808"/>
      <c r="AJ10" s="260"/>
      <c r="AK10" s="260"/>
      <c r="AL10" s="118" t="s">
        <v>886</v>
      </c>
      <c r="AP10" s="2725"/>
      <c r="AQ10" s="2038"/>
      <c r="AR10" s="2038"/>
      <c r="AS10" s="2038"/>
      <c r="AT10" s="2038"/>
      <c r="AU10" s="2038"/>
      <c r="AV10" s="2038"/>
      <c r="AW10" s="2038"/>
      <c r="AX10" s="2038"/>
      <c r="AY10" s="2038"/>
      <c r="AZ10" s="2038"/>
    </row>
    <row r="11" spans="1:52" ht="18.75" customHeight="1">
      <c r="A11" s="2162"/>
      <c r="B11" s="808"/>
      <c r="C11" s="1376">
        <v>1</v>
      </c>
      <c r="D11" s="1145"/>
      <c r="E11" s="2112" t="s">
        <v>1198</v>
      </c>
      <c r="F11" s="808"/>
      <c r="G11" s="808"/>
      <c r="H11" s="808"/>
      <c r="I11" s="808"/>
      <c r="J11" s="808"/>
      <c r="K11" s="808"/>
      <c r="L11" s="808"/>
      <c r="M11" s="808"/>
      <c r="N11" s="808"/>
      <c r="O11" s="808"/>
      <c r="P11" s="808"/>
      <c r="Q11" s="808"/>
      <c r="R11" s="808"/>
      <c r="S11" s="808"/>
      <c r="T11" s="808"/>
      <c r="U11" s="808"/>
      <c r="V11" s="808"/>
      <c r="W11" s="2121"/>
      <c r="X11" s="2119"/>
      <c r="Y11" s="808"/>
      <c r="Z11" s="808"/>
      <c r="AA11" s="1128" t="s">
        <v>917</v>
      </c>
      <c r="AB11" s="1706">
        <v>1</v>
      </c>
      <c r="AC11" s="6874" t="str">
        <f>IF(AJ11&lt;&gt;"",ROUND(AJ11,0),IF(OR(NOT(F6251_Needed),FilingStatusError),"",AMT))</f>
        <v/>
      </c>
      <c r="AD11" s="6875"/>
      <c r="AE11" s="6875"/>
      <c r="AF11" s="6875"/>
      <c r="AG11" s="6875"/>
      <c r="AH11" s="2162"/>
      <c r="AI11" s="808"/>
      <c r="AJ11" s="2266"/>
      <c r="AK11" s="260"/>
      <c r="AL11" s="181" t="s">
        <v>1199</v>
      </c>
      <c r="AP11" s="2725"/>
      <c r="AQ11" s="2038"/>
      <c r="AR11" s="2038"/>
      <c r="AS11" s="2038"/>
      <c r="AT11" s="2038"/>
      <c r="AU11" s="2038"/>
      <c r="AV11" s="2038"/>
      <c r="AW11" s="2038"/>
      <c r="AX11" s="2038"/>
      <c r="AY11" s="2038"/>
      <c r="AZ11" s="2038"/>
    </row>
    <row r="12" spans="1:52" ht="18.75" customHeight="1">
      <c r="A12" s="2162"/>
      <c r="B12" s="808"/>
      <c r="C12" s="1376">
        <v>2</v>
      </c>
      <c r="D12" s="1145"/>
      <c r="E12" s="2112" t="s">
        <v>1200</v>
      </c>
      <c r="F12" s="808"/>
      <c r="G12" s="808"/>
      <c r="H12" s="808"/>
      <c r="I12" s="808"/>
      <c r="J12" s="808"/>
      <c r="K12" s="808"/>
      <c r="L12" s="808"/>
      <c r="M12" s="808"/>
      <c r="N12" s="808"/>
      <c r="O12" s="808"/>
      <c r="P12" s="808"/>
      <c r="Q12" s="808"/>
      <c r="R12" s="808"/>
      <c r="S12" s="808"/>
      <c r="T12" s="808"/>
      <c r="U12" s="808"/>
      <c r="V12" s="808"/>
      <c r="W12" s="2121"/>
      <c r="X12" s="2119"/>
      <c r="Y12" s="808"/>
      <c r="Z12" s="808"/>
      <c r="AA12" s="1128" t="s">
        <v>914</v>
      </c>
      <c r="AB12" s="1706">
        <v>2</v>
      </c>
      <c r="AC12" s="6874" t="str">
        <f>IF(AJ12&lt;&gt;"",ROUND(AJ12,0),PTC_Excess)</f>
        <v/>
      </c>
      <c r="AD12" s="6875"/>
      <c r="AE12" s="6875"/>
      <c r="AF12" s="6875"/>
      <c r="AG12" s="6875"/>
      <c r="AH12" s="2162"/>
      <c r="AI12" s="808"/>
      <c r="AJ12" s="2266"/>
      <c r="AK12" s="260"/>
      <c r="AL12" s="181" t="s">
        <v>1201</v>
      </c>
      <c r="AP12" s="2725"/>
      <c r="AQ12" s="2038"/>
      <c r="AR12" s="2038"/>
      <c r="AS12" s="2038"/>
      <c r="AT12" s="2038"/>
      <c r="AU12" s="2038"/>
      <c r="AV12" s="2038"/>
      <c r="AW12" s="2038"/>
      <c r="AX12" s="2038"/>
      <c r="AY12" s="2038"/>
      <c r="AZ12" s="2038"/>
    </row>
    <row r="13" spans="1:52" ht="18.75" customHeight="1" thickBot="1">
      <c r="A13" s="2162"/>
      <c r="B13" s="896"/>
      <c r="C13" s="3286">
        <v>3</v>
      </c>
      <c r="D13" s="4292"/>
      <c r="E13" s="2122" t="s">
        <v>1202</v>
      </c>
      <c r="F13" s="896"/>
      <c r="G13" s="896"/>
      <c r="H13" s="896"/>
      <c r="I13" s="896"/>
      <c r="J13" s="896"/>
      <c r="K13" s="896"/>
      <c r="L13" s="896"/>
      <c r="M13" s="896"/>
      <c r="N13" s="896"/>
      <c r="O13" s="896"/>
      <c r="P13" s="896"/>
      <c r="Q13" s="896"/>
      <c r="R13" s="896"/>
      <c r="S13" s="896"/>
      <c r="T13" s="896"/>
      <c r="U13" s="896"/>
      <c r="V13" s="896"/>
      <c r="W13" s="3287"/>
      <c r="X13" s="3288"/>
      <c r="Y13" s="896"/>
      <c r="Z13" s="896"/>
      <c r="AA13" s="2629" t="s">
        <v>1203</v>
      </c>
      <c r="AB13" s="2100">
        <v>3</v>
      </c>
      <c r="AC13" s="6886">
        <f>IF(AJ13&lt;&gt;"",ROUND(AJ13,0),SUM(AC11:AC12))</f>
        <v>0</v>
      </c>
      <c r="AD13" s="6887"/>
      <c r="AE13" s="6887"/>
      <c r="AF13" s="6887"/>
      <c r="AG13" s="6887"/>
      <c r="AH13" s="2162"/>
      <c r="AI13" s="808"/>
      <c r="AJ13" s="2266"/>
      <c r="AK13" s="260"/>
      <c r="AP13" s="2725"/>
      <c r="AQ13" s="2038"/>
      <c r="AR13" s="2038"/>
      <c r="AS13" s="2038"/>
      <c r="AT13" s="2038"/>
      <c r="AU13" s="2038"/>
      <c r="AV13" s="2038"/>
      <c r="AW13" s="2038"/>
      <c r="AX13" s="2038"/>
      <c r="AY13" s="2038"/>
      <c r="AZ13" s="2038"/>
    </row>
    <row r="14" spans="1:52" ht="22.5" customHeight="1">
      <c r="A14" s="2162"/>
      <c r="B14" s="6876" t="s">
        <v>982</v>
      </c>
      <c r="C14" s="6877"/>
      <c r="D14" s="6878"/>
      <c r="E14" s="2472"/>
      <c r="F14" s="3727" t="s">
        <v>1204</v>
      </c>
      <c r="G14" s="2472"/>
      <c r="H14" s="2472"/>
      <c r="I14" s="2472"/>
      <c r="J14" s="2472"/>
      <c r="K14" s="2472"/>
      <c r="L14" s="1121"/>
      <c r="M14" s="1121"/>
      <c r="N14" s="1121"/>
      <c r="O14" s="1121"/>
      <c r="P14" s="1121"/>
      <c r="Q14" s="1121"/>
      <c r="R14" s="1121"/>
      <c r="S14" s="1121"/>
      <c r="T14" s="1121"/>
      <c r="U14" s="1121"/>
      <c r="V14" s="1121"/>
      <c r="W14" s="1121"/>
      <c r="X14" s="1121"/>
      <c r="Y14" s="1121"/>
      <c r="Z14" s="1121"/>
      <c r="AA14" s="1121"/>
      <c r="AB14" s="1121"/>
      <c r="AC14" s="1121"/>
      <c r="AD14" s="1121"/>
      <c r="AE14" s="1121"/>
      <c r="AF14" s="1121"/>
      <c r="AG14" s="1121"/>
      <c r="AH14" s="2162"/>
      <c r="AI14" s="808"/>
      <c r="AJ14" s="260"/>
      <c r="AK14" s="260"/>
      <c r="AP14" s="2725"/>
      <c r="AQ14" s="2038"/>
      <c r="AR14" s="2038"/>
      <c r="AS14" s="2038"/>
      <c r="AT14" s="2038"/>
      <c r="AU14" s="2038"/>
      <c r="AV14" s="2038"/>
      <c r="AW14" s="2038"/>
      <c r="AX14" s="2038"/>
      <c r="AY14" s="2038"/>
      <c r="AZ14" s="2038"/>
    </row>
    <row r="15" spans="1:52" ht="18" customHeight="1">
      <c r="A15" s="2162"/>
      <c r="B15" s="808"/>
      <c r="C15" s="1376">
        <v>4</v>
      </c>
      <c r="D15" s="1145"/>
      <c r="E15" s="2112" t="s">
        <v>1205</v>
      </c>
      <c r="F15" s="808"/>
      <c r="G15" s="808"/>
      <c r="H15" s="808"/>
      <c r="I15" s="808"/>
      <c r="J15" s="808"/>
      <c r="K15" s="808"/>
      <c r="L15" s="808"/>
      <c r="M15" s="808"/>
      <c r="N15" s="808"/>
      <c r="O15" s="808"/>
      <c r="P15" s="808"/>
      <c r="Q15" s="808"/>
      <c r="R15" s="808"/>
      <c r="S15" s="808"/>
      <c r="T15" s="808"/>
      <c r="U15" s="808"/>
      <c r="V15" s="808"/>
      <c r="W15" s="2121"/>
      <c r="X15" s="2119"/>
      <c r="Y15" s="808"/>
      <c r="Z15" s="808"/>
      <c r="AA15" s="1128" t="s">
        <v>898</v>
      </c>
      <c r="AB15" s="1706">
        <v>4</v>
      </c>
      <c r="AC15" s="6874">
        <f>IF(AJ15&lt;&gt;"",ROUND(AJ15,0),SchSE_Tax)</f>
        <v>0</v>
      </c>
      <c r="AD15" s="6875"/>
      <c r="AE15" s="6875"/>
      <c r="AF15" s="6875"/>
      <c r="AG15" s="6875"/>
      <c r="AH15" s="2162"/>
      <c r="AI15" s="808"/>
      <c r="AJ15" s="2266"/>
      <c r="AK15" s="260"/>
      <c r="AL15" s="181" t="s">
        <v>1206</v>
      </c>
      <c r="AN15" s="2611"/>
      <c r="AP15" s="2725"/>
      <c r="AQ15" s="2038"/>
      <c r="AR15" s="2038"/>
      <c r="AS15" s="2038"/>
      <c r="AT15" s="2038"/>
      <c r="AU15" s="2038"/>
      <c r="AV15" s="2038"/>
      <c r="AW15" s="2038"/>
      <c r="AX15" s="2038"/>
      <c r="AY15" s="2038"/>
      <c r="AZ15" s="2038"/>
    </row>
    <row r="16" spans="1:52" ht="18" customHeight="1">
      <c r="A16" s="2162"/>
      <c r="B16" s="808"/>
      <c r="C16" s="1376">
        <v>5</v>
      </c>
      <c r="D16" s="1145"/>
      <c r="E16" s="2112" t="s">
        <v>1207</v>
      </c>
      <c r="F16" s="808"/>
      <c r="G16" s="808"/>
      <c r="H16" s="808"/>
      <c r="I16" s="808"/>
      <c r="J16" s="808"/>
      <c r="K16" s="808"/>
      <c r="L16" s="808"/>
      <c r="M16" s="808"/>
      <c r="N16" s="808"/>
      <c r="O16" s="808"/>
      <c r="P16" s="808"/>
      <c r="Q16" s="808"/>
      <c r="R16" s="808"/>
      <c r="S16" s="808"/>
      <c r="T16" s="808"/>
      <c r="U16" s="808"/>
      <c r="V16" s="2387"/>
      <c r="W16" s="6860"/>
      <c r="X16" s="6861"/>
      <c r="Y16" s="6861"/>
      <c r="Z16" s="6861"/>
      <c r="AA16" s="6862"/>
      <c r="AB16" s="2415"/>
      <c r="AC16" s="6891"/>
      <c r="AD16" s="6892"/>
      <c r="AE16" s="6892"/>
      <c r="AF16" s="6892"/>
      <c r="AG16" s="6892"/>
      <c r="AH16" s="2162"/>
      <c r="AI16" s="808"/>
      <c r="AJ16" s="260"/>
      <c r="AK16" s="260"/>
      <c r="AL16" s="2611"/>
      <c r="AN16" s="2611"/>
      <c r="AP16" s="2725"/>
      <c r="AQ16" s="2038"/>
      <c r="AR16" s="2038"/>
      <c r="AS16" s="2038"/>
      <c r="AT16" s="2038"/>
      <c r="AU16" s="2038"/>
      <c r="AV16" s="2038"/>
      <c r="AW16" s="2038"/>
      <c r="AX16" s="2038"/>
      <c r="AY16" s="2038"/>
      <c r="AZ16" s="2038"/>
    </row>
    <row r="17" spans="1:52" ht="18" customHeight="1">
      <c r="A17" s="2162"/>
      <c r="B17" s="808"/>
      <c r="C17" s="1376"/>
      <c r="D17" s="1145"/>
      <c r="E17" s="2112" t="s">
        <v>1208</v>
      </c>
      <c r="F17" s="808"/>
      <c r="G17" s="808"/>
      <c r="H17" s="808"/>
      <c r="I17" s="808"/>
      <c r="J17" s="808"/>
      <c r="K17" s="808"/>
      <c r="L17" s="808"/>
      <c r="M17" s="808"/>
      <c r="N17" s="808"/>
      <c r="O17" s="808"/>
      <c r="P17" s="808"/>
      <c r="Q17" s="808"/>
      <c r="R17" s="808"/>
      <c r="S17" s="808"/>
      <c r="T17" s="808"/>
      <c r="U17" s="1128" t="s">
        <v>896</v>
      </c>
      <c r="V17" s="1125">
        <v>5</v>
      </c>
      <c r="W17" s="6714"/>
      <c r="X17" s="6879"/>
      <c r="Y17" s="6879"/>
      <c r="Z17" s="6879"/>
      <c r="AA17" s="6880"/>
      <c r="AB17" s="2416"/>
      <c r="AC17" s="4136"/>
      <c r="AD17" s="1108"/>
      <c r="AE17" s="1108"/>
      <c r="AF17" s="1108"/>
      <c r="AG17" s="1108"/>
      <c r="AH17" s="2162"/>
      <c r="AI17" s="808"/>
      <c r="AJ17" s="260"/>
      <c r="AK17" s="260"/>
      <c r="AL17" s="2611"/>
      <c r="AN17" s="2611">
        <f>ROUND(W17,0)</f>
        <v>0</v>
      </c>
      <c r="AP17" s="2725"/>
      <c r="AQ17" s="2038"/>
      <c r="AR17" s="2038"/>
      <c r="AS17" s="2038"/>
      <c r="AT17" s="2038"/>
      <c r="AU17" s="2038"/>
      <c r="AV17" s="2038"/>
      <c r="AW17" s="2038"/>
      <c r="AX17" s="2038"/>
      <c r="AY17" s="2038"/>
      <c r="AZ17" s="2038"/>
    </row>
    <row r="18" spans="1:52" ht="18" customHeight="1">
      <c r="A18" s="2162"/>
      <c r="B18" s="808"/>
      <c r="C18" s="1376">
        <v>6</v>
      </c>
      <c r="D18" s="1145"/>
      <c r="E18" s="2112" t="s">
        <v>1209</v>
      </c>
      <c r="F18" s="808"/>
      <c r="G18" s="808"/>
      <c r="H18" s="808"/>
      <c r="I18" s="808"/>
      <c r="J18" s="808"/>
      <c r="K18" s="808"/>
      <c r="L18" s="808"/>
      <c r="M18" s="808"/>
      <c r="N18" s="808"/>
      <c r="O18" s="808"/>
      <c r="P18" s="808"/>
      <c r="Q18" s="808"/>
      <c r="R18" s="808"/>
      <c r="S18" s="808"/>
      <c r="T18" s="808"/>
      <c r="U18" s="808"/>
      <c r="V18" s="2387"/>
      <c r="W18" s="6860"/>
      <c r="X18" s="6861"/>
      <c r="Y18" s="6861"/>
      <c r="Z18" s="6861"/>
      <c r="AA18" s="6862"/>
      <c r="AB18" s="2416"/>
      <c r="AC18" s="4136"/>
      <c r="AD18" s="1108"/>
      <c r="AE18" s="1108"/>
      <c r="AF18" s="1108"/>
      <c r="AG18" s="1108"/>
      <c r="AH18" s="2162"/>
      <c r="AI18" s="808"/>
      <c r="AJ18" s="260"/>
      <c r="AK18" s="260"/>
      <c r="AL18" s="2611"/>
      <c r="AN18" s="2611"/>
      <c r="AP18" s="2725"/>
      <c r="AQ18" s="2038"/>
      <c r="AR18" s="2038"/>
      <c r="AS18" s="2038"/>
      <c r="AT18" s="2038"/>
      <c r="AU18" s="2038"/>
      <c r="AV18" s="2038"/>
      <c r="AW18" s="2038"/>
      <c r="AX18" s="2038"/>
      <c r="AY18" s="2038"/>
      <c r="AZ18" s="2038"/>
    </row>
    <row r="19" spans="1:52" ht="18" customHeight="1">
      <c r="A19" s="2162"/>
      <c r="B19" s="808"/>
      <c r="C19" s="1376"/>
      <c r="D19" s="1145"/>
      <c r="E19" s="2112" t="s">
        <v>1210</v>
      </c>
      <c r="F19" s="808"/>
      <c r="G19" s="808"/>
      <c r="H19" s="808"/>
      <c r="I19" s="808"/>
      <c r="J19" s="808"/>
      <c r="K19" s="808"/>
      <c r="L19" s="808"/>
      <c r="M19" s="808"/>
      <c r="N19" s="808"/>
      <c r="O19" s="808"/>
      <c r="P19" s="808"/>
      <c r="Q19" s="808"/>
      <c r="R19" s="808"/>
      <c r="S19" s="808"/>
      <c r="T19" s="808"/>
      <c r="U19" s="1128" t="s">
        <v>1211</v>
      </c>
      <c r="V19" s="1125">
        <v>6</v>
      </c>
      <c r="W19" s="6714"/>
      <c r="X19" s="6879"/>
      <c r="Y19" s="6879"/>
      <c r="Z19" s="6879"/>
      <c r="AA19" s="6880"/>
      <c r="AB19" s="2416"/>
      <c r="AC19" s="4136"/>
      <c r="AD19" s="1108"/>
      <c r="AE19" s="1108"/>
      <c r="AF19" s="1108"/>
      <c r="AG19" s="1108"/>
      <c r="AH19" s="2162"/>
      <c r="AI19" s="808"/>
      <c r="AJ19" s="260"/>
      <c r="AK19" s="260"/>
      <c r="AL19" s="2611"/>
      <c r="AN19" s="2611">
        <f>ROUND(W19,0)</f>
        <v>0</v>
      </c>
      <c r="AP19" s="2725"/>
      <c r="AQ19" s="2038"/>
      <c r="AR19" s="2038"/>
      <c r="AS19" s="2038"/>
      <c r="AT19" s="2038"/>
      <c r="AU19" s="2038"/>
      <c r="AV19" s="2038"/>
      <c r="AW19" s="2038"/>
      <c r="AX19" s="2038"/>
      <c r="AY19" s="2038"/>
      <c r="AZ19" s="2038"/>
    </row>
    <row r="20" spans="1:52" ht="18" customHeight="1">
      <c r="A20" s="2162"/>
      <c r="B20" s="808"/>
      <c r="C20" s="1376">
        <v>7</v>
      </c>
      <c r="D20" s="1145"/>
      <c r="E20" s="2112" t="s">
        <v>1212</v>
      </c>
      <c r="F20" s="808"/>
      <c r="G20" s="808"/>
      <c r="H20" s="808"/>
      <c r="I20" s="808"/>
      <c r="J20" s="808"/>
      <c r="K20" s="808"/>
      <c r="L20" s="808"/>
      <c r="M20" s="808"/>
      <c r="N20" s="808"/>
      <c r="O20" s="808"/>
      <c r="P20" s="808"/>
      <c r="Q20" s="808"/>
      <c r="R20" s="808"/>
      <c r="S20" s="808"/>
      <c r="T20" s="808"/>
      <c r="U20" s="808"/>
      <c r="V20" s="808"/>
      <c r="W20" s="2121"/>
      <c r="X20" s="2119"/>
      <c r="Y20" s="808"/>
      <c r="Z20" s="808"/>
      <c r="AA20" s="1128" t="s">
        <v>994</v>
      </c>
      <c r="AB20" s="1125">
        <v>7</v>
      </c>
      <c r="AC20" s="6884" t="str">
        <f>IF(AND(W17="",W19=""),"",SUM(AN17,AN19))</f>
        <v/>
      </c>
      <c r="AD20" s="6885"/>
      <c r="AE20" s="6885"/>
      <c r="AF20" s="6885"/>
      <c r="AG20" s="6885"/>
      <c r="AH20" s="2162"/>
      <c r="AI20" s="808"/>
      <c r="AJ20" s="260"/>
      <c r="AK20" s="260"/>
      <c r="AN20" s="2611" t="str">
        <f>AC20</f>
        <v/>
      </c>
      <c r="AP20" s="2725"/>
      <c r="AQ20" s="2038"/>
      <c r="AR20" s="2038"/>
      <c r="AS20" s="2038"/>
      <c r="AT20" s="2038"/>
      <c r="AU20" s="2038"/>
      <c r="AV20" s="2038"/>
      <c r="AW20" s="2038"/>
      <c r="AX20" s="2038"/>
      <c r="AY20" s="2038"/>
      <c r="AZ20" s="2038"/>
    </row>
    <row r="21" spans="1:52" ht="18" customHeight="1">
      <c r="A21" s="2162"/>
      <c r="B21" s="808"/>
      <c r="C21" s="1376">
        <v>8</v>
      </c>
      <c r="D21" s="1145"/>
      <c r="E21" s="2112" t="s">
        <v>1213</v>
      </c>
      <c r="F21" s="808"/>
      <c r="G21" s="808"/>
      <c r="H21" s="808"/>
      <c r="I21" s="808"/>
      <c r="J21" s="808"/>
      <c r="K21" s="808"/>
      <c r="L21" s="808"/>
      <c r="M21" s="808"/>
      <c r="N21" s="808"/>
      <c r="O21" s="808"/>
      <c r="P21" s="808"/>
      <c r="Q21" s="808"/>
      <c r="R21" s="808"/>
      <c r="S21" s="808"/>
      <c r="T21" s="808"/>
      <c r="U21" s="808"/>
      <c r="V21" s="808"/>
      <c r="W21" s="2121"/>
      <c r="X21" s="2119"/>
      <c r="Y21" s="808"/>
      <c r="Z21" s="808"/>
      <c r="AA21" s="1128" t="s">
        <v>934</v>
      </c>
      <c r="AB21" s="2389"/>
      <c r="AC21" s="6893"/>
      <c r="AD21" s="6894"/>
      <c r="AE21" s="6894"/>
      <c r="AF21" s="6894"/>
      <c r="AG21" s="6894"/>
      <c r="AH21" s="2162"/>
      <c r="AI21" s="808"/>
      <c r="AJ21" s="260"/>
      <c r="AK21" s="260"/>
      <c r="AN21" s="2611"/>
      <c r="AP21" s="2725"/>
      <c r="AQ21" s="2038"/>
      <c r="AR21" s="2038"/>
      <c r="AS21" s="2038"/>
      <c r="AT21" s="2038"/>
      <c r="AU21" s="2038"/>
      <c r="AV21" s="2038"/>
      <c r="AW21" s="2038"/>
      <c r="AX21" s="2038"/>
      <c r="AY21" s="2038"/>
      <c r="AZ21" s="2038"/>
    </row>
    <row r="22" spans="1:52" ht="18" customHeight="1">
      <c r="A22" s="2162"/>
      <c r="B22" s="808"/>
      <c r="C22" s="1376"/>
      <c r="D22" s="1145"/>
      <c r="E22" s="2112" t="s">
        <v>1214</v>
      </c>
      <c r="F22" s="808"/>
      <c r="G22" s="808"/>
      <c r="H22" s="808"/>
      <c r="I22" s="808"/>
      <c r="J22" s="808"/>
      <c r="K22" s="808"/>
      <c r="L22" s="808"/>
      <c r="M22" s="808"/>
      <c r="N22" s="808"/>
      <c r="O22" s="808"/>
      <c r="P22" s="808"/>
      <c r="Q22" s="808"/>
      <c r="R22" s="808"/>
      <c r="S22" s="808"/>
      <c r="T22" s="808"/>
      <c r="U22" s="808"/>
      <c r="V22" s="808"/>
      <c r="W22" s="2121"/>
      <c r="X22" s="2119"/>
      <c r="Y22" s="1128" t="s">
        <v>1005</v>
      </c>
      <c r="Z22" s="1114"/>
      <c r="AA22" s="1128"/>
      <c r="AB22" s="1125">
        <v>8</v>
      </c>
      <c r="AC22" s="6859"/>
      <c r="AD22" s="6729"/>
      <c r="AE22" s="6729"/>
      <c r="AF22" s="6729"/>
      <c r="AG22" s="6729"/>
      <c r="AH22" s="2162"/>
      <c r="AI22" s="808"/>
      <c r="AJ22" s="260"/>
      <c r="AK22" s="260"/>
      <c r="AN22" s="2611">
        <f>ROUND(AC22,0)</f>
        <v>0</v>
      </c>
      <c r="AP22" s="2725"/>
      <c r="AQ22" s="2038"/>
      <c r="AR22" s="2038"/>
      <c r="AS22" s="2038"/>
      <c r="AT22" s="2038"/>
      <c r="AU22" s="2038"/>
      <c r="AV22" s="2038"/>
      <c r="AW22" s="2038"/>
      <c r="AX22" s="2038"/>
      <c r="AY22" s="2038"/>
      <c r="AZ22" s="2038"/>
    </row>
    <row r="23" spans="1:52" ht="18" customHeight="1">
      <c r="A23" s="2162"/>
      <c r="B23" s="808"/>
      <c r="C23" s="1376">
        <v>9</v>
      </c>
      <c r="D23" s="1145"/>
      <c r="E23" s="2112" t="s">
        <v>1215</v>
      </c>
      <c r="F23" s="808"/>
      <c r="G23" s="808"/>
      <c r="H23" s="808"/>
      <c r="I23" s="808"/>
      <c r="J23" s="808"/>
      <c r="K23" s="808"/>
      <c r="L23" s="808"/>
      <c r="M23" s="808"/>
      <c r="N23" s="808"/>
      <c r="O23" s="808"/>
      <c r="P23" s="808"/>
      <c r="Q23" s="808"/>
      <c r="R23" s="808"/>
      <c r="S23" s="808"/>
      <c r="T23" s="808"/>
      <c r="U23" s="808"/>
      <c r="V23" s="808"/>
      <c r="W23" s="2121"/>
      <c r="X23" s="2119"/>
      <c r="Y23" s="808"/>
      <c r="Z23" s="808"/>
      <c r="AA23" s="1128" t="s">
        <v>1012</v>
      </c>
      <c r="AB23" s="1125">
        <v>9</v>
      </c>
      <c r="AC23" s="6859"/>
      <c r="AD23" s="6881"/>
      <c r="AE23" s="6881"/>
      <c r="AF23" s="6881"/>
      <c r="AG23" s="6881"/>
      <c r="AH23" s="2162"/>
      <c r="AI23" s="808"/>
      <c r="AJ23" s="260"/>
      <c r="AK23" s="260"/>
      <c r="AL23" s="3295"/>
      <c r="AM23" s="902"/>
      <c r="AN23" s="2611">
        <f>ROUND(AC23,0)</f>
        <v>0</v>
      </c>
      <c r="AO23" s="902"/>
      <c r="AP23" s="2725"/>
      <c r="AQ23" s="2038"/>
      <c r="AR23" s="2038"/>
      <c r="AS23" s="2038"/>
      <c r="AT23" s="2038"/>
      <c r="AU23" s="2038"/>
      <c r="AV23" s="2038"/>
      <c r="AW23" s="2038"/>
      <c r="AX23" s="2038"/>
      <c r="AY23" s="2038"/>
      <c r="AZ23" s="2038"/>
    </row>
    <row r="24" spans="1:52" ht="18" customHeight="1">
      <c r="A24" s="2162"/>
      <c r="B24" s="808"/>
      <c r="C24" s="1376">
        <v>10</v>
      </c>
      <c r="D24" s="1145"/>
      <c r="E24" s="2112" t="s">
        <v>1216</v>
      </c>
      <c r="F24" s="808"/>
      <c r="G24" s="808"/>
      <c r="H24" s="808"/>
      <c r="I24" s="808"/>
      <c r="J24" s="808"/>
      <c r="K24" s="808"/>
      <c r="L24" s="808"/>
      <c r="M24" s="808"/>
      <c r="N24" s="808"/>
      <c r="O24" s="808"/>
      <c r="P24" s="808"/>
      <c r="Q24" s="808"/>
      <c r="R24" s="808"/>
      <c r="S24" s="808"/>
      <c r="T24" s="808"/>
      <c r="U24" s="808"/>
      <c r="V24" s="808"/>
      <c r="W24" s="2121"/>
      <c r="X24" s="2119"/>
      <c r="Y24" s="808"/>
      <c r="Z24" s="808"/>
      <c r="AA24" s="1128" t="s">
        <v>1217</v>
      </c>
      <c r="AB24" s="1706">
        <v>10</v>
      </c>
      <c r="AC24" s="6882"/>
      <c r="AD24" s="6883"/>
      <c r="AE24" s="6883"/>
      <c r="AF24" s="6883"/>
      <c r="AG24" s="6883"/>
      <c r="AH24" s="2162"/>
      <c r="AI24" s="808"/>
      <c r="AJ24" s="260"/>
      <c r="AK24" s="260"/>
      <c r="AL24" s="3295"/>
      <c r="AM24" s="902"/>
      <c r="AN24" s="2611">
        <f>ROUND(AC24,0)</f>
        <v>0</v>
      </c>
      <c r="AO24" s="902"/>
      <c r="AP24" s="2725"/>
      <c r="AQ24" s="2038"/>
      <c r="AR24" s="2038"/>
      <c r="AS24" s="2038"/>
      <c r="AT24" s="2038"/>
      <c r="AU24" s="2038"/>
      <c r="AV24" s="2038"/>
      <c r="AW24" s="2038"/>
      <c r="AX24" s="2038"/>
      <c r="AY24" s="2038"/>
      <c r="AZ24" s="2038"/>
    </row>
    <row r="25" spans="1:52" ht="18" customHeight="1">
      <c r="A25" s="2162"/>
      <c r="B25" s="808"/>
      <c r="C25" s="1376">
        <v>11</v>
      </c>
      <c r="D25" s="1145"/>
      <c r="E25" s="2112" t="s">
        <v>1218</v>
      </c>
      <c r="F25" s="808"/>
      <c r="G25" s="808"/>
      <c r="H25" s="808"/>
      <c r="I25" s="808"/>
      <c r="J25" s="808"/>
      <c r="K25" s="808"/>
      <c r="L25" s="808"/>
      <c r="M25" s="808"/>
      <c r="N25" s="808"/>
      <c r="O25" s="808"/>
      <c r="P25" s="808"/>
      <c r="Q25" s="808"/>
      <c r="R25" s="808"/>
      <c r="S25" s="808"/>
      <c r="T25" s="808"/>
      <c r="U25" s="808"/>
      <c r="V25" s="808"/>
      <c r="W25" s="2121"/>
      <c r="X25" s="2119"/>
      <c r="Y25" s="808"/>
      <c r="Z25" s="808"/>
      <c r="AA25" s="1128" t="s">
        <v>917</v>
      </c>
      <c r="AB25" s="1706">
        <v>11</v>
      </c>
      <c r="AC25" s="6855" t="str">
        <f>IF(AJ25&lt;&gt;"",ROUND(AJ25,0),F8959_Tax)</f>
        <v/>
      </c>
      <c r="AD25" s="6856"/>
      <c r="AE25" s="6856"/>
      <c r="AF25" s="6856"/>
      <c r="AG25" s="6856"/>
      <c r="AH25" s="2162"/>
      <c r="AI25" s="808"/>
      <c r="AJ25" s="2266"/>
      <c r="AK25" s="260"/>
      <c r="AL25" s="181" t="s">
        <v>1219</v>
      </c>
      <c r="AM25" s="902"/>
      <c r="AN25" s="2611">
        <f>IF(AC25="",0,AC25)</f>
        <v>0</v>
      </c>
      <c r="AO25" s="902"/>
      <c r="AP25" s="2725"/>
      <c r="AQ25" s="2038"/>
      <c r="AR25" s="2038"/>
      <c r="AS25" s="2038"/>
      <c r="AT25" s="2038"/>
      <c r="AU25" s="2038"/>
      <c r="AV25" s="2038"/>
      <c r="AW25" s="2038"/>
      <c r="AX25" s="2038"/>
      <c r="AY25" s="2038"/>
      <c r="AZ25" s="2038"/>
    </row>
    <row r="26" spans="1:52" ht="18" customHeight="1">
      <c r="A26" s="2162"/>
      <c r="B26" s="808"/>
      <c r="C26" s="1376">
        <v>12</v>
      </c>
      <c r="D26" s="1145"/>
      <c r="E26" s="2112" t="s">
        <v>1220</v>
      </c>
      <c r="F26" s="808"/>
      <c r="G26" s="808"/>
      <c r="H26" s="808"/>
      <c r="I26" s="808"/>
      <c r="J26" s="808"/>
      <c r="K26" s="808"/>
      <c r="L26" s="808"/>
      <c r="M26" s="808"/>
      <c r="N26" s="808"/>
      <c r="O26" s="808"/>
      <c r="P26" s="808"/>
      <c r="Q26" s="808"/>
      <c r="R26" s="808"/>
      <c r="S26" s="808"/>
      <c r="T26" s="808"/>
      <c r="U26" s="808"/>
      <c r="V26" s="808"/>
      <c r="W26" s="2121"/>
      <c r="X26" s="2119"/>
      <c r="Y26" s="808"/>
      <c r="Z26" s="808"/>
      <c r="AA26" s="1128" t="s">
        <v>1034</v>
      </c>
      <c r="AB26" s="1706">
        <v>12</v>
      </c>
      <c r="AC26" s="6855" t="str">
        <f>IF(AJ26&lt;&gt;"",ROUND(AJ26,0),F8960_Tax)</f>
        <v/>
      </c>
      <c r="AD26" s="6856"/>
      <c r="AE26" s="6856"/>
      <c r="AF26" s="6856"/>
      <c r="AG26" s="6856"/>
      <c r="AH26" s="2162"/>
      <c r="AI26" s="808"/>
      <c r="AJ26" s="2266"/>
      <c r="AK26" s="260"/>
      <c r="AL26" s="181" t="s">
        <v>1221</v>
      </c>
      <c r="AM26" s="902"/>
      <c r="AN26" s="2611">
        <f>IF(AC26="",0,AC26)</f>
        <v>0</v>
      </c>
      <c r="AO26" s="902"/>
      <c r="AP26" s="2725"/>
      <c r="AQ26" s="2038"/>
      <c r="AR26" s="2038"/>
      <c r="AS26" s="2038"/>
      <c r="AT26" s="2038"/>
      <c r="AU26" s="2038"/>
      <c r="AV26" s="2038"/>
      <c r="AW26" s="2038"/>
      <c r="AX26" s="2038"/>
      <c r="AY26" s="2038"/>
      <c r="AZ26" s="2038"/>
    </row>
    <row r="27" spans="1:52" ht="18" customHeight="1">
      <c r="A27" s="2162"/>
      <c r="B27" s="808"/>
      <c r="C27" s="1376">
        <v>13</v>
      </c>
      <c r="D27" s="1145"/>
      <c r="E27" s="2112" t="s">
        <v>1222</v>
      </c>
      <c r="F27" s="808"/>
      <c r="G27" s="808"/>
      <c r="H27" s="808"/>
      <c r="I27" s="808"/>
      <c r="J27" s="808"/>
      <c r="K27" s="808"/>
      <c r="L27" s="808"/>
      <c r="M27" s="808"/>
      <c r="N27" s="808"/>
      <c r="O27" s="808"/>
      <c r="P27" s="808"/>
      <c r="Q27" s="808"/>
      <c r="R27" s="808"/>
      <c r="S27" s="808"/>
      <c r="T27" s="808"/>
      <c r="U27" s="808"/>
      <c r="V27" s="808"/>
      <c r="W27" s="2121"/>
      <c r="X27" s="2119"/>
      <c r="Y27" s="808"/>
      <c r="Z27" s="808"/>
      <c r="AA27" s="1128"/>
      <c r="AB27" s="2389"/>
      <c r="AC27" s="6857"/>
      <c r="AD27" s="6858"/>
      <c r="AE27" s="6858"/>
      <c r="AF27" s="6858"/>
      <c r="AG27" s="6858"/>
      <c r="AH27" s="2162"/>
      <c r="AI27" s="808"/>
      <c r="AJ27" s="260"/>
      <c r="AK27" s="260"/>
      <c r="AL27" s="3295"/>
      <c r="AM27" s="902"/>
      <c r="AN27" s="4290"/>
      <c r="AO27" s="902"/>
      <c r="AP27" s="2725"/>
      <c r="AQ27" s="2038"/>
      <c r="AR27" s="2038"/>
      <c r="AS27" s="2038"/>
      <c r="AT27" s="2038"/>
      <c r="AU27" s="2038"/>
      <c r="AV27" s="2038"/>
      <c r="AW27" s="2038"/>
      <c r="AX27" s="2038"/>
      <c r="AY27" s="2038"/>
      <c r="AZ27" s="2038"/>
    </row>
    <row r="28" spans="1:52" ht="18" customHeight="1">
      <c r="A28" s="2162"/>
      <c r="B28" s="808"/>
      <c r="C28" s="1376"/>
      <c r="D28" s="1145"/>
      <c r="E28" s="2112" t="s">
        <v>1223</v>
      </c>
      <c r="F28" s="808"/>
      <c r="G28" s="808"/>
      <c r="H28" s="808"/>
      <c r="I28" s="808"/>
      <c r="J28" s="808"/>
      <c r="K28" s="808"/>
      <c r="L28" s="808"/>
      <c r="M28" s="808"/>
      <c r="N28" s="808"/>
      <c r="O28" s="808"/>
      <c r="P28" s="808"/>
      <c r="Q28" s="808"/>
      <c r="R28" s="808"/>
      <c r="S28" s="808"/>
      <c r="T28" s="808"/>
      <c r="U28" s="808"/>
      <c r="V28" s="808"/>
      <c r="W28" s="2121"/>
      <c r="X28" s="2119"/>
      <c r="Y28" s="808"/>
      <c r="Z28" s="808"/>
      <c r="AA28" s="1128" t="s">
        <v>1005</v>
      </c>
      <c r="AB28" s="1125">
        <v>13</v>
      </c>
      <c r="AC28" s="6859"/>
      <c r="AD28" s="6729"/>
      <c r="AE28" s="6729"/>
      <c r="AF28" s="6729"/>
      <c r="AG28" s="6729"/>
      <c r="AH28" s="2162"/>
      <c r="AI28" s="808"/>
      <c r="AJ28" s="260"/>
      <c r="AK28" s="260"/>
      <c r="AL28" s="3295"/>
      <c r="AM28" s="902"/>
      <c r="AN28" s="2611">
        <f>ROUND(AC28,0)</f>
        <v>0</v>
      </c>
      <c r="AO28" s="902"/>
      <c r="AP28" s="2725"/>
      <c r="AQ28" s="2038"/>
      <c r="AR28" s="2038"/>
      <c r="AS28" s="2038"/>
      <c r="AT28" s="2038"/>
      <c r="AU28" s="2038"/>
      <c r="AV28" s="2038"/>
      <c r="AW28" s="2038"/>
      <c r="AX28" s="2038"/>
      <c r="AY28" s="2038"/>
      <c r="AZ28" s="2038"/>
    </row>
    <row r="29" spans="1:52" ht="18" customHeight="1">
      <c r="A29" s="2162"/>
      <c r="B29" s="899"/>
      <c r="C29" s="899">
        <v>14</v>
      </c>
      <c r="D29" s="899"/>
      <c r="E29" s="2112" t="s">
        <v>1224</v>
      </c>
      <c r="F29" s="808"/>
      <c r="G29" s="808"/>
      <c r="H29" s="808"/>
      <c r="I29" s="808"/>
      <c r="J29" s="808"/>
      <c r="K29" s="808"/>
      <c r="L29" s="808"/>
      <c r="M29" s="808"/>
      <c r="N29" s="808"/>
      <c r="O29" s="808"/>
      <c r="P29" s="808"/>
      <c r="Q29" s="808"/>
      <c r="R29" s="808"/>
      <c r="S29" s="808"/>
      <c r="T29" s="808"/>
      <c r="U29" s="808"/>
      <c r="V29" s="808"/>
      <c r="W29" s="808"/>
      <c r="X29" s="808"/>
      <c r="Y29" s="808"/>
      <c r="Z29" s="808"/>
      <c r="AA29" s="808"/>
      <c r="AB29" s="2389"/>
      <c r="AC29" s="6857"/>
      <c r="AD29" s="6858"/>
      <c r="AE29" s="6858"/>
      <c r="AF29" s="6858"/>
      <c r="AG29" s="6858"/>
      <c r="AH29" s="2162"/>
      <c r="AI29" s="808"/>
      <c r="AJ29" s="260"/>
      <c r="AK29" s="260"/>
      <c r="AL29" s="3295"/>
      <c r="AM29" s="902"/>
      <c r="AN29" s="4290"/>
      <c r="AO29" s="902"/>
      <c r="AP29" s="2725"/>
      <c r="AQ29" s="2038"/>
      <c r="AR29" s="2038"/>
      <c r="AS29" s="2038"/>
      <c r="AT29" s="2038"/>
      <c r="AU29" s="2038"/>
      <c r="AV29" s="2038"/>
      <c r="AW29" s="2038"/>
      <c r="AX29" s="2038"/>
      <c r="AY29" s="2038"/>
      <c r="AZ29" s="2038"/>
    </row>
    <row r="30" spans="1:52" ht="18" customHeight="1">
      <c r="A30" s="2162"/>
      <c r="B30" s="899"/>
      <c r="C30" s="899"/>
      <c r="D30" s="899"/>
      <c r="E30" s="2112" t="s">
        <v>1225</v>
      </c>
      <c r="F30" s="808"/>
      <c r="G30" s="808"/>
      <c r="H30" s="808"/>
      <c r="I30" s="808"/>
      <c r="J30" s="808"/>
      <c r="K30" s="808"/>
      <c r="L30" s="808"/>
      <c r="M30" s="808"/>
      <c r="N30" s="808"/>
      <c r="O30" s="808"/>
      <c r="P30" s="808"/>
      <c r="Q30" s="808"/>
      <c r="R30" s="808"/>
      <c r="S30" s="808"/>
      <c r="T30" s="808"/>
      <c r="U30" s="808"/>
      <c r="V30" s="808"/>
      <c r="W30" s="808"/>
      <c r="X30" s="808"/>
      <c r="Y30" s="808"/>
      <c r="Z30" s="808"/>
      <c r="AA30" s="1128" t="s">
        <v>1226</v>
      </c>
      <c r="AB30" s="1125">
        <v>14</v>
      </c>
      <c r="AC30" s="6859"/>
      <c r="AD30" s="6729"/>
      <c r="AE30" s="6729"/>
      <c r="AF30" s="6729"/>
      <c r="AG30" s="6729"/>
      <c r="AH30" s="2162"/>
      <c r="AI30" s="808"/>
      <c r="AJ30" s="260"/>
      <c r="AK30" s="260"/>
      <c r="AL30" s="3295"/>
      <c r="AM30" s="902"/>
      <c r="AN30" s="2611">
        <f>ROUND(AC30,0)</f>
        <v>0</v>
      </c>
      <c r="AO30" s="902"/>
      <c r="AP30" s="2725"/>
      <c r="AQ30" s="2038"/>
      <c r="AR30" s="2038"/>
      <c r="AS30" s="2038"/>
      <c r="AT30" s="2038"/>
      <c r="AU30" s="2038"/>
      <c r="AV30" s="2038"/>
      <c r="AW30" s="2038"/>
      <c r="AX30" s="2038"/>
      <c r="AY30" s="2038"/>
      <c r="AZ30" s="2038"/>
    </row>
    <row r="31" spans="1:52" ht="18" customHeight="1">
      <c r="A31" s="2162"/>
      <c r="B31" s="899"/>
      <c r="C31" s="899">
        <v>15</v>
      </c>
      <c r="D31" s="899"/>
      <c r="E31" s="2112" t="s">
        <v>1227</v>
      </c>
      <c r="F31" s="808"/>
      <c r="G31" s="808"/>
      <c r="H31" s="808"/>
      <c r="I31" s="808"/>
      <c r="J31" s="808"/>
      <c r="K31" s="808"/>
      <c r="L31" s="808"/>
      <c r="M31" s="808"/>
      <c r="N31" s="808"/>
      <c r="O31" s="808"/>
      <c r="P31" s="808"/>
      <c r="Q31" s="808"/>
      <c r="R31" s="808"/>
      <c r="S31" s="808"/>
      <c r="T31" s="808"/>
      <c r="U31" s="808"/>
      <c r="V31" s="808"/>
      <c r="W31" s="808"/>
      <c r="X31" s="808"/>
      <c r="Y31" s="808"/>
      <c r="Z31" s="808"/>
      <c r="AA31" s="808"/>
      <c r="AB31" s="2389"/>
      <c r="AC31" s="6857"/>
      <c r="AD31" s="6858"/>
      <c r="AE31" s="6858"/>
      <c r="AF31" s="6858"/>
      <c r="AG31" s="6858"/>
      <c r="AH31" s="2162"/>
      <c r="AI31" s="808"/>
      <c r="AJ31" s="260"/>
      <c r="AK31" s="260"/>
      <c r="AL31" s="3295"/>
      <c r="AM31" s="902"/>
      <c r="AN31" s="4290"/>
      <c r="AO31" s="902"/>
      <c r="AP31" s="2725"/>
      <c r="AQ31" s="2038"/>
      <c r="AR31" s="2038"/>
      <c r="AS31" s="2038"/>
      <c r="AT31" s="2038"/>
      <c r="AU31" s="2038"/>
      <c r="AV31" s="2038"/>
      <c r="AW31" s="2038"/>
      <c r="AX31" s="2038"/>
      <c r="AY31" s="2038"/>
      <c r="AZ31" s="2038"/>
    </row>
    <row r="32" spans="1:52" ht="18" customHeight="1">
      <c r="A32" s="2162"/>
      <c r="B32" s="899"/>
      <c r="C32" s="899"/>
      <c r="D32" s="899"/>
      <c r="E32" s="2112" t="s">
        <v>1228</v>
      </c>
      <c r="F32" s="808"/>
      <c r="G32" s="808"/>
      <c r="H32" s="808"/>
      <c r="I32" s="808"/>
      <c r="J32" s="808"/>
      <c r="K32" s="808"/>
      <c r="L32" s="808"/>
      <c r="M32" s="808"/>
      <c r="N32" s="808"/>
      <c r="O32" s="808"/>
      <c r="P32" s="808"/>
      <c r="Q32" s="808"/>
      <c r="R32" s="808"/>
      <c r="S32" s="808"/>
      <c r="T32" s="808"/>
      <c r="U32" s="808"/>
      <c r="V32" s="808"/>
      <c r="W32" s="808"/>
      <c r="X32" s="808"/>
      <c r="Y32" s="808"/>
      <c r="Z32" s="808"/>
      <c r="AA32" s="1128" t="s">
        <v>1229</v>
      </c>
      <c r="AB32" s="1125">
        <v>15</v>
      </c>
      <c r="AC32" s="6859"/>
      <c r="AD32" s="6729"/>
      <c r="AE32" s="6729"/>
      <c r="AF32" s="6729"/>
      <c r="AG32" s="6729"/>
      <c r="AH32" s="2162"/>
      <c r="AI32" s="808"/>
      <c r="AJ32" s="260"/>
      <c r="AK32" s="260"/>
      <c r="AL32" s="3295"/>
      <c r="AM32" s="902"/>
      <c r="AN32" s="2611">
        <f>ROUND(AC32,0)</f>
        <v>0</v>
      </c>
      <c r="AO32" s="902"/>
      <c r="AP32" s="2725"/>
      <c r="AQ32" s="2038"/>
      <c r="AR32" s="2038"/>
      <c r="AS32" s="2038"/>
      <c r="AT32" s="2038"/>
      <c r="AU32" s="2038"/>
      <c r="AV32" s="2038"/>
      <c r="AW32" s="2038"/>
      <c r="AX32" s="2038"/>
      <c r="AY32" s="2038"/>
      <c r="AZ32" s="2038"/>
    </row>
    <row r="33" spans="1:52" ht="18" customHeight="1">
      <c r="A33" s="2162"/>
      <c r="B33" s="899"/>
      <c r="C33" s="899">
        <v>16</v>
      </c>
      <c r="D33" s="899"/>
      <c r="E33" s="2112" t="s">
        <v>1230</v>
      </c>
      <c r="F33" s="808"/>
      <c r="G33" s="808"/>
      <c r="H33" s="808"/>
      <c r="I33" s="808"/>
      <c r="J33" s="808"/>
      <c r="K33" s="808"/>
      <c r="L33" s="808"/>
      <c r="M33" s="808"/>
      <c r="N33" s="808"/>
      <c r="O33" s="808"/>
      <c r="P33" s="808"/>
      <c r="Q33" s="808"/>
      <c r="R33" s="808"/>
      <c r="S33" s="808"/>
      <c r="T33" s="808"/>
      <c r="U33" s="808"/>
      <c r="V33" s="808"/>
      <c r="W33" s="808"/>
      <c r="X33" s="808"/>
      <c r="Y33" s="808"/>
      <c r="Z33" s="808"/>
      <c r="AA33" s="1128" t="s">
        <v>930</v>
      </c>
      <c r="AB33" s="1125">
        <v>16</v>
      </c>
      <c r="AC33" s="6859"/>
      <c r="AD33" s="6729"/>
      <c r="AE33" s="6729"/>
      <c r="AF33" s="6729"/>
      <c r="AG33" s="6729"/>
      <c r="AH33" s="2162"/>
      <c r="AI33" s="808"/>
      <c r="AJ33" s="260"/>
      <c r="AK33" s="260"/>
      <c r="AL33" s="3295"/>
      <c r="AM33" s="902"/>
      <c r="AN33" s="2611">
        <f>ROUND(AC33,0)</f>
        <v>0</v>
      </c>
      <c r="AO33" s="902"/>
      <c r="AP33" s="2725"/>
      <c r="AQ33" s="2038"/>
      <c r="AR33" s="2038"/>
      <c r="AS33" s="2038"/>
      <c r="AT33" s="2038"/>
      <c r="AU33" s="2038"/>
      <c r="AV33" s="2038"/>
      <c r="AW33" s="2038"/>
      <c r="AX33" s="2038"/>
      <c r="AY33" s="2038"/>
      <c r="AZ33" s="2038"/>
    </row>
    <row r="34" spans="1:52" ht="15.75" thickBot="1">
      <c r="A34" s="2162"/>
      <c r="B34" s="808"/>
      <c r="C34" s="1376"/>
      <c r="D34" s="1145"/>
      <c r="E34" s="808"/>
      <c r="F34" s="808"/>
      <c r="G34" s="808"/>
      <c r="H34" s="808"/>
      <c r="I34" s="808"/>
      <c r="J34" s="808"/>
      <c r="K34" s="808"/>
      <c r="L34" s="808"/>
      <c r="M34" s="808"/>
      <c r="N34" s="808"/>
      <c r="O34" s="808"/>
      <c r="P34" s="808"/>
      <c r="Q34" s="808"/>
      <c r="R34" s="808"/>
      <c r="S34" s="808"/>
      <c r="T34" s="808"/>
      <c r="U34" s="808"/>
      <c r="V34" s="808"/>
      <c r="W34" s="808"/>
      <c r="X34" s="808"/>
      <c r="Y34" s="808"/>
      <c r="Z34" s="808"/>
      <c r="AA34" s="808"/>
      <c r="AB34" s="808"/>
      <c r="AC34" s="808"/>
      <c r="AD34" s="808"/>
      <c r="AE34" s="808"/>
      <c r="AF34" s="808"/>
      <c r="AG34" s="4291" t="s">
        <v>1231</v>
      </c>
      <c r="AH34" s="2162"/>
      <c r="AI34" s="808"/>
      <c r="AJ34" s="260"/>
      <c r="AK34" s="260"/>
      <c r="AL34" s="3295"/>
      <c r="AM34" s="902"/>
      <c r="AN34" s="4290">
        <f>SUM(AN20:AN33)</f>
        <v>0</v>
      </c>
      <c r="AO34" s="902"/>
      <c r="AP34" s="2725"/>
      <c r="AQ34" s="2038"/>
      <c r="AR34" s="2038"/>
      <c r="AS34" s="2038"/>
      <c r="AT34" s="2038"/>
      <c r="AU34" s="2038"/>
      <c r="AV34" s="2038"/>
      <c r="AW34" s="2038"/>
      <c r="AX34" s="2038"/>
      <c r="AY34" s="2038"/>
      <c r="AZ34" s="2038"/>
    </row>
    <row r="35" spans="1:52" ht="16.5" customHeight="1">
      <c r="A35" s="2162"/>
      <c r="B35" s="3284" t="s">
        <v>979</v>
      </c>
      <c r="C35" s="2376"/>
      <c r="D35" s="4293"/>
      <c r="E35" s="2377"/>
      <c r="F35" s="2377"/>
      <c r="G35" s="2377"/>
      <c r="H35" s="2377"/>
      <c r="I35" s="2377"/>
      <c r="J35" s="2377"/>
      <c r="K35" s="2377"/>
      <c r="L35" s="2377"/>
      <c r="M35" s="2377"/>
      <c r="N35" s="2377"/>
      <c r="O35" s="2377"/>
      <c r="P35" s="2377"/>
      <c r="Q35" s="2377"/>
      <c r="R35" s="2377"/>
      <c r="S35" s="2377"/>
      <c r="T35" s="3285"/>
      <c r="U35" s="3285"/>
      <c r="V35" s="3290"/>
      <c r="W35" s="3290" t="s">
        <v>1232</v>
      </c>
      <c r="X35" s="2377"/>
      <c r="Y35" s="2377"/>
      <c r="Z35" s="2377"/>
      <c r="AA35" s="2377"/>
      <c r="AB35" s="2377"/>
      <c r="AC35" s="2377"/>
      <c r="AD35" s="2377"/>
      <c r="AE35" s="2377"/>
      <c r="AF35" s="2377"/>
      <c r="AG35" s="2374" t="str">
        <f>"Schedule 2 (Form 1040) "&amp;TaxYear</f>
        <v>Schedule 2 (Form 1040) 2023</v>
      </c>
      <c r="AH35" s="2162"/>
      <c r="AI35" s="808"/>
      <c r="AJ35" s="260"/>
      <c r="AK35" s="260"/>
      <c r="AL35" s="3295"/>
      <c r="AM35" s="902"/>
      <c r="AN35" s="4290"/>
      <c r="AO35" s="902"/>
      <c r="AP35" s="2725"/>
      <c r="AQ35" s="2038"/>
      <c r="AR35" s="2038"/>
      <c r="AS35" s="2038"/>
      <c r="AT35" s="2038"/>
      <c r="AU35" s="2038"/>
      <c r="AV35" s="2038"/>
      <c r="AW35" s="2038"/>
      <c r="AX35" s="2038"/>
      <c r="AY35" s="2038"/>
      <c r="AZ35" s="2038"/>
    </row>
    <row r="36" spans="1:52" ht="14.25" customHeight="1" thickBot="1">
      <c r="A36" s="2162"/>
      <c r="B36" s="4174" t="str">
        <f>"Schedule 2 (Form 1040)  "&amp;TaxYear</f>
        <v>Schedule 2 (Form 1040)  2023</v>
      </c>
      <c r="C36" s="4169"/>
      <c r="D36" s="4294"/>
      <c r="E36" s="964"/>
      <c r="F36" s="964"/>
      <c r="G36" s="964"/>
      <c r="H36" s="964"/>
      <c r="I36" s="964"/>
      <c r="J36" s="964"/>
      <c r="K36" s="964"/>
      <c r="L36" s="964"/>
      <c r="M36" s="964"/>
      <c r="N36" s="964"/>
      <c r="O36" s="964"/>
      <c r="P36" s="964"/>
      <c r="Q36" s="964"/>
      <c r="R36" s="964"/>
      <c r="S36" s="964"/>
      <c r="T36" s="4175"/>
      <c r="U36" s="4175"/>
      <c r="V36" s="964"/>
      <c r="W36" s="2957"/>
      <c r="X36" s="964"/>
      <c r="Y36" s="964"/>
      <c r="Z36" s="964"/>
      <c r="AA36" s="964"/>
      <c r="AB36" s="964"/>
      <c r="AC36" s="964"/>
      <c r="AD36" s="964"/>
      <c r="AE36" s="964"/>
      <c r="AF36" s="964"/>
      <c r="AG36" s="2644" t="s">
        <v>981</v>
      </c>
      <c r="AH36" s="2162"/>
      <c r="AI36" s="808"/>
      <c r="AJ36" s="260"/>
      <c r="AK36" s="260"/>
      <c r="AL36" s="3295"/>
      <c r="AM36" s="902"/>
      <c r="AN36" s="4290"/>
      <c r="AO36" s="902"/>
      <c r="AP36" s="2725"/>
      <c r="AQ36" s="2038"/>
      <c r="AR36" s="2038"/>
      <c r="AS36" s="2038"/>
      <c r="AT36" s="2038"/>
      <c r="AU36" s="2038"/>
      <c r="AV36" s="2038"/>
      <c r="AW36" s="2038"/>
      <c r="AX36" s="2038"/>
      <c r="AY36" s="2038"/>
      <c r="AZ36" s="2038"/>
    </row>
    <row r="37" spans="1:52" ht="20.25" customHeight="1" thickTop="1">
      <c r="A37" s="2162"/>
      <c r="B37" s="6852" t="s">
        <v>982</v>
      </c>
      <c r="C37" s="6853"/>
      <c r="D37" s="6854"/>
      <c r="E37" s="4164"/>
      <c r="F37" s="4166" t="s">
        <v>1233</v>
      </c>
      <c r="G37" s="4164"/>
      <c r="H37" s="4164"/>
      <c r="I37" s="4164"/>
      <c r="J37" s="4164"/>
      <c r="K37" s="4164"/>
      <c r="L37" s="4165"/>
      <c r="M37" s="4165"/>
      <c r="N37" s="4165"/>
      <c r="O37" s="4165"/>
      <c r="P37" s="4165"/>
      <c r="Q37" s="4165"/>
      <c r="R37" s="4165"/>
      <c r="S37" s="4165"/>
      <c r="T37" s="4165"/>
      <c r="U37" s="4165"/>
      <c r="V37" s="4165"/>
      <c r="W37" s="4165"/>
      <c r="X37" s="4165"/>
      <c r="Y37" s="4165"/>
      <c r="Z37" s="4165"/>
      <c r="AA37" s="4165"/>
      <c r="AB37" s="4165"/>
      <c r="AC37" s="4165"/>
      <c r="AD37" s="4165"/>
      <c r="AE37" s="4165"/>
      <c r="AF37" s="4165"/>
      <c r="AG37" s="4165"/>
      <c r="AH37" s="2162"/>
      <c r="AI37" s="808"/>
      <c r="AJ37" s="260"/>
      <c r="AK37" s="260"/>
      <c r="AL37" s="118" t="s">
        <v>886</v>
      </c>
      <c r="AM37" s="902"/>
      <c r="AN37" s="4290"/>
      <c r="AO37" s="902"/>
      <c r="AP37" s="2725"/>
      <c r="AQ37" s="2038"/>
      <c r="AR37" s="2038"/>
      <c r="AS37" s="2038"/>
      <c r="AT37" s="2038"/>
      <c r="AU37" s="2038"/>
      <c r="AV37" s="2038"/>
      <c r="AW37" s="2038"/>
      <c r="AX37" s="2038"/>
      <c r="AY37" s="2038"/>
      <c r="AZ37" s="2038"/>
    </row>
    <row r="38" spans="1:52" ht="22.5" customHeight="1">
      <c r="A38" s="2162"/>
      <c r="B38" s="899"/>
      <c r="C38" s="899">
        <v>17</v>
      </c>
      <c r="D38" s="899"/>
      <c r="E38" s="2112" t="s">
        <v>1234</v>
      </c>
      <c r="F38" s="808"/>
      <c r="G38" s="808"/>
      <c r="H38" s="808"/>
      <c r="I38" s="808"/>
      <c r="J38" s="808"/>
      <c r="K38" s="808"/>
      <c r="L38" s="808"/>
      <c r="M38" s="808"/>
      <c r="N38" s="808"/>
      <c r="O38" s="808"/>
      <c r="P38" s="808"/>
      <c r="Q38" s="808"/>
      <c r="R38" s="808"/>
      <c r="S38" s="808"/>
      <c r="T38" s="808"/>
      <c r="U38" s="808"/>
      <c r="V38" s="1123"/>
      <c r="W38" s="808"/>
      <c r="X38" s="808"/>
      <c r="Y38" s="808"/>
      <c r="Z38" s="808"/>
      <c r="AA38" s="808"/>
      <c r="AB38" s="2415"/>
      <c r="AC38" s="4139" t="s">
        <v>1235</v>
      </c>
      <c r="AD38" s="4140"/>
      <c r="AE38" s="4140"/>
      <c r="AF38" s="4140"/>
      <c r="AG38" s="4140"/>
      <c r="AH38" s="2162"/>
      <c r="AI38" s="808"/>
      <c r="AJ38" s="260"/>
      <c r="AK38" s="260"/>
      <c r="AL38" s="3295"/>
      <c r="AM38" s="902"/>
      <c r="AN38" s="4290"/>
      <c r="AO38" s="902"/>
      <c r="AP38" s="2725"/>
      <c r="AQ38" s="2038"/>
      <c r="AR38" s="2038"/>
      <c r="AS38" s="2038"/>
      <c r="AT38" s="2038"/>
      <c r="AU38" s="2038"/>
      <c r="AV38" s="2038"/>
      <c r="AW38" s="2038"/>
      <c r="AX38" s="2038"/>
      <c r="AY38" s="2038"/>
      <c r="AZ38" s="2038"/>
    </row>
    <row r="39" spans="1:52" ht="15" customHeight="1">
      <c r="A39" s="2162"/>
      <c r="B39" s="808"/>
      <c r="C39" s="808"/>
      <c r="D39" s="899" t="s">
        <v>640</v>
      </c>
      <c r="E39" s="2112" t="s">
        <v>5700</v>
      </c>
      <c r="F39" s="808"/>
      <c r="G39" s="808"/>
      <c r="H39" s="808"/>
      <c r="I39" s="808"/>
      <c r="J39" s="808"/>
      <c r="K39" s="808"/>
      <c r="L39" s="808"/>
      <c r="M39" s="808"/>
      <c r="N39" s="808"/>
      <c r="O39" s="808"/>
      <c r="P39" s="808"/>
      <c r="Q39" s="808"/>
      <c r="R39" s="2121"/>
      <c r="S39" s="2119"/>
      <c r="T39" s="808"/>
      <c r="U39" s="808"/>
      <c r="V39" s="2387"/>
      <c r="W39" s="6860"/>
      <c r="X39" s="6861"/>
      <c r="Y39" s="6861"/>
      <c r="Z39" s="6861"/>
      <c r="AA39" s="6862"/>
      <c r="AB39" s="4295"/>
      <c r="AC39" s="4136"/>
      <c r="AD39" s="4141"/>
      <c r="AE39" s="4141"/>
      <c r="AF39" s="4141"/>
      <c r="AG39" s="4141"/>
      <c r="AH39" s="2162"/>
      <c r="AI39" s="892"/>
      <c r="AJ39" s="260"/>
      <c r="AK39" s="260"/>
      <c r="AL39" s="3295"/>
      <c r="AM39" s="902"/>
      <c r="AN39" s="4290"/>
      <c r="AO39" s="902"/>
      <c r="AP39" s="2725"/>
      <c r="AQ39" s="2038"/>
      <c r="AR39" s="2038"/>
      <c r="AS39" s="2038"/>
      <c r="AT39" s="2038"/>
      <c r="AU39" s="2038"/>
      <c r="AV39" s="2038"/>
      <c r="AW39" s="2038"/>
      <c r="AX39" s="2038"/>
      <c r="AY39" s="2038"/>
      <c r="AZ39" s="2038"/>
    </row>
    <row r="40" spans="1:52" ht="15" customHeight="1">
      <c r="A40" s="2162"/>
      <c r="B40" s="808"/>
      <c r="C40" s="808"/>
      <c r="D40" s="899"/>
      <c r="E40" s="6849"/>
      <c r="F40" s="6849"/>
      <c r="G40" s="6849"/>
      <c r="H40" s="6849"/>
      <c r="I40" s="6849"/>
      <c r="J40" s="6849"/>
      <c r="K40" s="6849"/>
      <c r="L40" s="6849"/>
      <c r="M40" s="6849"/>
      <c r="N40" s="6849"/>
      <c r="O40" s="6849"/>
      <c r="P40" s="6849"/>
      <c r="Q40" s="6849"/>
      <c r="R40" s="6849"/>
      <c r="S40" s="6849"/>
      <c r="T40" s="6849"/>
      <c r="U40" s="1128"/>
      <c r="V40" s="1125" t="s">
        <v>1236</v>
      </c>
      <c r="W40" s="6714"/>
      <c r="X40" s="6879"/>
      <c r="Y40" s="6879"/>
      <c r="Z40" s="6879"/>
      <c r="AA40" s="6880"/>
      <c r="AB40" s="4295"/>
      <c r="AC40" s="6850">
        <f>ROUND(W40,0)</f>
        <v>0</v>
      </c>
      <c r="AD40" s="6851"/>
      <c r="AE40" s="6851"/>
      <c r="AF40" s="6851"/>
      <c r="AG40" s="6851"/>
      <c r="AH40" s="2162"/>
      <c r="AI40" s="892"/>
      <c r="AJ40" s="260"/>
      <c r="AK40" s="260"/>
      <c r="AL40" s="3295"/>
      <c r="AM40" s="902"/>
      <c r="AN40" s="4290">
        <f>ROUND(W40,0)</f>
        <v>0</v>
      </c>
      <c r="AO40" s="902"/>
      <c r="AP40" s="2725"/>
      <c r="AQ40" s="2038"/>
      <c r="AR40" s="2038"/>
      <c r="AS40" s="2038"/>
      <c r="AT40" s="2038"/>
      <c r="AU40" s="2038"/>
      <c r="AV40" s="2038"/>
      <c r="AW40" s="2038"/>
      <c r="AX40" s="2038"/>
      <c r="AY40" s="2038"/>
      <c r="AZ40" s="2038"/>
    </row>
    <row r="41" spans="1:52" ht="15" customHeight="1">
      <c r="A41" s="2162"/>
      <c r="B41" s="808"/>
      <c r="C41" s="808"/>
      <c r="D41" s="899" t="s">
        <v>644</v>
      </c>
      <c r="E41" s="2112" t="s">
        <v>5492</v>
      </c>
      <c r="F41" s="808"/>
      <c r="G41" s="808"/>
      <c r="H41" s="808"/>
      <c r="I41" s="808"/>
      <c r="J41" s="808"/>
      <c r="K41" s="808"/>
      <c r="L41" s="808"/>
      <c r="M41" s="808"/>
      <c r="N41" s="808"/>
      <c r="O41" s="808"/>
      <c r="P41" s="808"/>
      <c r="Q41" s="808"/>
      <c r="R41" s="2121"/>
      <c r="S41" s="2119"/>
      <c r="T41" s="808"/>
      <c r="U41" s="808"/>
      <c r="V41" s="2387"/>
      <c r="W41" s="6860"/>
      <c r="X41" s="6861"/>
      <c r="Y41" s="6861"/>
      <c r="Z41" s="6861"/>
      <c r="AA41" s="6862"/>
      <c r="AB41" s="4295"/>
      <c r="AC41" s="4375"/>
      <c r="AD41" s="4408"/>
      <c r="AE41" s="4408"/>
      <c r="AF41" s="4408"/>
      <c r="AG41" s="4408"/>
      <c r="AH41" s="2162"/>
      <c r="AI41" s="892"/>
      <c r="AJ41" s="6706" t="s">
        <v>637</v>
      </c>
      <c r="AK41" s="260"/>
      <c r="AL41" s="3295"/>
      <c r="AM41" s="902"/>
      <c r="AN41" s="4290"/>
      <c r="AO41" s="902"/>
      <c r="AP41" s="2725"/>
      <c r="AQ41" s="2038"/>
      <c r="AR41" s="2038"/>
      <c r="AS41" s="2038"/>
      <c r="AT41" s="2038"/>
      <c r="AU41" s="2038"/>
      <c r="AV41" s="2038"/>
      <c r="AW41" s="2038"/>
      <c r="AX41" s="2038"/>
      <c r="AY41" s="2038"/>
      <c r="AZ41" s="2038"/>
    </row>
    <row r="42" spans="1:52" ht="15" customHeight="1">
      <c r="A42" s="2162"/>
      <c r="B42" s="808"/>
      <c r="C42" s="808"/>
      <c r="D42" s="899"/>
      <c r="E42" s="2112" t="s">
        <v>5491</v>
      </c>
      <c r="F42" s="808"/>
      <c r="G42" s="808"/>
      <c r="H42" s="808"/>
      <c r="I42" s="808"/>
      <c r="J42" s="808"/>
      <c r="K42" s="808"/>
      <c r="L42" s="808"/>
      <c r="M42" s="808"/>
      <c r="N42" s="808"/>
      <c r="O42" s="808"/>
      <c r="P42" s="808"/>
      <c r="Q42" s="808"/>
      <c r="R42" s="2121"/>
      <c r="S42" s="2119"/>
      <c r="T42" s="808"/>
      <c r="U42" s="1128" t="s">
        <v>911</v>
      </c>
      <c r="V42" s="1125" t="s">
        <v>1237</v>
      </c>
      <c r="W42" s="6714"/>
      <c r="X42" s="6879"/>
      <c r="Y42" s="6879"/>
      <c r="Z42" s="6879"/>
      <c r="AA42" s="6880"/>
      <c r="AB42" s="4295"/>
      <c r="AC42" s="6850">
        <f>ROUND(W42,0)</f>
        <v>0</v>
      </c>
      <c r="AD42" s="6851"/>
      <c r="AE42" s="6851"/>
      <c r="AF42" s="6851"/>
      <c r="AG42" s="6851"/>
      <c r="AH42" s="2162"/>
      <c r="AI42" s="892"/>
      <c r="AJ42" s="6908"/>
      <c r="AK42" s="260"/>
      <c r="AL42" s="3295"/>
      <c r="AM42" s="902"/>
      <c r="AN42" s="4290">
        <f>ROUND(W42,0)</f>
        <v>0</v>
      </c>
      <c r="AO42" s="902"/>
      <c r="AP42" s="2725"/>
      <c r="AQ42" s="2038"/>
      <c r="AR42" s="2038"/>
      <c r="AS42" s="2038"/>
      <c r="AT42" s="2038"/>
      <c r="AU42" s="2038"/>
      <c r="AV42" s="2038"/>
      <c r="AW42" s="2038"/>
      <c r="AX42" s="2038"/>
      <c r="AY42" s="2038"/>
      <c r="AZ42" s="2038"/>
    </row>
    <row r="43" spans="1:52" ht="15" customHeight="1">
      <c r="A43" s="2162"/>
      <c r="B43" s="808"/>
      <c r="C43" s="808"/>
      <c r="D43" s="899" t="s">
        <v>648</v>
      </c>
      <c r="E43" s="2112" t="s">
        <v>1238</v>
      </c>
      <c r="F43" s="808"/>
      <c r="G43" s="808"/>
      <c r="H43" s="808"/>
      <c r="I43" s="808"/>
      <c r="J43" s="808"/>
      <c r="K43" s="808"/>
      <c r="L43" s="808"/>
      <c r="M43" s="808"/>
      <c r="N43" s="808"/>
      <c r="O43" s="808"/>
      <c r="P43" s="808"/>
      <c r="Q43" s="808"/>
      <c r="R43" s="2121"/>
      <c r="S43" s="2119"/>
      <c r="T43" s="808"/>
      <c r="U43" s="1128" t="s">
        <v>939</v>
      </c>
      <c r="V43" s="1125" t="s">
        <v>1239</v>
      </c>
      <c r="W43" s="6895">
        <f>IF(AJ43&lt;&gt;"",ROUND(AJ43,0),F8889_Line17b)</f>
        <v>0</v>
      </c>
      <c r="X43" s="6896"/>
      <c r="Y43" s="6896"/>
      <c r="Z43" s="6896"/>
      <c r="AA43" s="6897"/>
      <c r="AB43" s="4295"/>
      <c r="AC43" s="6850">
        <f>ROUND(W43,0)</f>
        <v>0</v>
      </c>
      <c r="AD43" s="6851"/>
      <c r="AE43" s="6851"/>
      <c r="AF43" s="6851"/>
      <c r="AG43" s="6851"/>
      <c r="AH43" s="2162"/>
      <c r="AI43" s="892"/>
      <c r="AJ43" s="2266"/>
      <c r="AK43" s="260"/>
      <c r="AL43" s="181" t="s">
        <v>5493</v>
      </c>
      <c r="AM43" s="902"/>
      <c r="AN43" s="4290">
        <f>ROUND(W43,0)</f>
        <v>0</v>
      </c>
      <c r="AO43" s="902"/>
      <c r="AP43" s="2725"/>
      <c r="AQ43" s="2038"/>
      <c r="AR43" s="2038"/>
      <c r="AS43" s="2038"/>
      <c r="AT43" s="2038"/>
      <c r="AU43" s="2038"/>
      <c r="AV43" s="2038"/>
      <c r="AW43" s="2038"/>
      <c r="AX43" s="2038"/>
      <c r="AY43" s="2038"/>
      <c r="AZ43" s="2038"/>
    </row>
    <row r="44" spans="1:52" ht="15" customHeight="1">
      <c r="A44" s="2162"/>
      <c r="B44" s="808"/>
      <c r="C44" s="808"/>
      <c r="D44" s="899" t="s">
        <v>652</v>
      </c>
      <c r="E44" s="2112" t="s">
        <v>1240</v>
      </c>
      <c r="F44" s="808"/>
      <c r="G44" s="808"/>
      <c r="H44" s="808"/>
      <c r="I44" s="808"/>
      <c r="J44" s="808"/>
      <c r="K44" s="808"/>
      <c r="L44" s="808"/>
      <c r="M44" s="808"/>
      <c r="N44" s="808"/>
      <c r="O44" s="808"/>
      <c r="P44" s="808"/>
      <c r="Q44" s="808"/>
      <c r="R44" s="2121"/>
      <c r="S44" s="2119"/>
      <c r="T44" s="808"/>
      <c r="U44" s="808"/>
      <c r="V44" s="2387"/>
      <c r="W44" s="6860"/>
      <c r="X44" s="6861"/>
      <c r="Y44" s="6861"/>
      <c r="Z44" s="6861"/>
      <c r="AA44" s="6862"/>
      <c r="AB44" s="4295"/>
      <c r="AC44" s="4375"/>
      <c r="AD44" s="4408"/>
      <c r="AE44" s="4408"/>
      <c r="AF44" s="4408"/>
      <c r="AG44" s="4408"/>
      <c r="AH44" s="2162"/>
      <c r="AI44" s="892"/>
      <c r="AJ44" s="260"/>
      <c r="AK44" s="260"/>
      <c r="AL44" s="3295"/>
      <c r="AM44" s="902"/>
      <c r="AN44" s="4290"/>
      <c r="AO44" s="902"/>
      <c r="AP44" s="2725"/>
      <c r="AQ44" s="2038"/>
      <c r="AR44" s="2038"/>
      <c r="AS44" s="2038"/>
      <c r="AT44" s="2038"/>
      <c r="AU44" s="2038"/>
      <c r="AV44" s="2038"/>
      <c r="AW44" s="2038"/>
      <c r="AX44" s="2038"/>
      <c r="AY44" s="2038"/>
      <c r="AZ44" s="2038"/>
    </row>
    <row r="45" spans="1:52" ht="15" customHeight="1">
      <c r="A45" s="2162"/>
      <c r="B45" s="808"/>
      <c r="C45" s="808"/>
      <c r="D45" s="899"/>
      <c r="E45" s="2112" t="s">
        <v>1241</v>
      </c>
      <c r="F45" s="808"/>
      <c r="G45" s="808"/>
      <c r="H45" s="808"/>
      <c r="I45" s="808"/>
      <c r="J45" s="808"/>
      <c r="K45" s="808"/>
      <c r="L45" s="808"/>
      <c r="M45" s="808"/>
      <c r="N45" s="808"/>
      <c r="O45" s="808"/>
      <c r="P45" s="808"/>
      <c r="Q45" s="808"/>
      <c r="R45" s="2121"/>
      <c r="S45" s="2119"/>
      <c r="T45" s="808"/>
      <c r="U45" s="1128" t="s">
        <v>922</v>
      </c>
      <c r="V45" s="1125" t="s">
        <v>1242</v>
      </c>
      <c r="W45" s="6895">
        <f>IF(AJ45&lt;&gt;"",ROUND(AJ45,0),F8889_Line21)</f>
        <v>0</v>
      </c>
      <c r="X45" s="6896"/>
      <c r="Y45" s="6896"/>
      <c r="Z45" s="6896"/>
      <c r="AA45" s="6897"/>
      <c r="AB45" s="4295"/>
      <c r="AC45" s="6850">
        <f>ROUND(W45,0)</f>
        <v>0</v>
      </c>
      <c r="AD45" s="6851"/>
      <c r="AE45" s="6851"/>
      <c r="AF45" s="6851"/>
      <c r="AG45" s="6851"/>
      <c r="AH45" s="2162"/>
      <c r="AI45" s="892"/>
      <c r="AJ45" s="2266"/>
      <c r="AK45" s="260"/>
      <c r="AL45" s="181" t="s">
        <v>1243</v>
      </c>
      <c r="AM45" s="902"/>
      <c r="AN45" s="4290">
        <f>ROUND(W45,0)</f>
        <v>0</v>
      </c>
      <c r="AO45" s="902"/>
      <c r="AP45" s="2725"/>
      <c r="AQ45" s="2038"/>
      <c r="AR45" s="2038"/>
      <c r="AS45" s="2038"/>
      <c r="AT45" s="2038"/>
      <c r="AU45" s="2038"/>
      <c r="AV45" s="2038"/>
      <c r="AW45" s="2038"/>
      <c r="AX45" s="2038"/>
      <c r="AY45" s="2038"/>
      <c r="AZ45" s="2038"/>
    </row>
    <row r="46" spans="1:52" ht="15" customHeight="1">
      <c r="A46" s="2162"/>
      <c r="B46" s="808"/>
      <c r="C46" s="808"/>
      <c r="D46" s="899" t="s">
        <v>656</v>
      </c>
      <c r="E46" s="2112" t="s">
        <v>1244</v>
      </c>
      <c r="F46" s="808"/>
      <c r="G46" s="808"/>
      <c r="H46" s="808"/>
      <c r="I46" s="808"/>
      <c r="J46" s="808"/>
      <c r="K46" s="808"/>
      <c r="L46" s="808"/>
      <c r="M46" s="808"/>
      <c r="N46" s="808"/>
      <c r="O46" s="808"/>
      <c r="P46" s="808"/>
      <c r="Q46" s="808"/>
      <c r="R46" s="2121"/>
      <c r="S46" s="2119"/>
      <c r="T46" s="808"/>
      <c r="U46" s="1128" t="s">
        <v>1245</v>
      </c>
      <c r="V46" s="1125" t="s">
        <v>1246</v>
      </c>
      <c r="W46" s="6714"/>
      <c r="X46" s="6879"/>
      <c r="Y46" s="6879"/>
      <c r="Z46" s="6879"/>
      <c r="AA46" s="6880"/>
      <c r="AB46" s="4295"/>
      <c r="AC46" s="6850">
        <f>ROUND(W46,0)</f>
        <v>0</v>
      </c>
      <c r="AD46" s="6851"/>
      <c r="AE46" s="6851"/>
      <c r="AF46" s="6851"/>
      <c r="AG46" s="6851"/>
      <c r="AH46" s="2162"/>
      <c r="AI46" s="892"/>
      <c r="AJ46" s="260"/>
      <c r="AK46" s="260"/>
      <c r="AL46" s="3295"/>
      <c r="AM46" s="902"/>
      <c r="AN46" s="4290">
        <f>ROUND(W46,0)</f>
        <v>0</v>
      </c>
      <c r="AO46" s="902"/>
      <c r="AP46" s="2725"/>
      <c r="AQ46" s="2038"/>
      <c r="AR46" s="2038"/>
      <c r="AS46" s="2038"/>
      <c r="AT46" s="2038"/>
      <c r="AU46" s="2038"/>
      <c r="AV46" s="2038"/>
      <c r="AW46" s="2038"/>
      <c r="AX46" s="2038"/>
      <c r="AY46" s="2038"/>
      <c r="AZ46" s="2038"/>
    </row>
    <row r="47" spans="1:52" ht="15" customHeight="1">
      <c r="A47" s="2162"/>
      <c r="B47" s="808"/>
      <c r="C47" s="808"/>
      <c r="D47" s="899" t="s">
        <v>659</v>
      </c>
      <c r="E47" s="2112" t="s">
        <v>1247</v>
      </c>
      <c r="F47" s="808"/>
      <c r="G47" s="808"/>
      <c r="H47" s="808"/>
      <c r="I47" s="808"/>
      <c r="J47" s="808"/>
      <c r="K47" s="808"/>
      <c r="L47" s="808"/>
      <c r="M47" s="808"/>
      <c r="N47" s="808"/>
      <c r="O47" s="808"/>
      <c r="P47" s="808"/>
      <c r="Q47" s="808"/>
      <c r="R47" s="2121"/>
      <c r="S47" s="2119"/>
      <c r="T47" s="808"/>
      <c r="U47" s="808"/>
      <c r="V47" s="2387"/>
      <c r="W47" s="6860"/>
      <c r="X47" s="6861"/>
      <c r="Y47" s="6861"/>
      <c r="Z47" s="6861"/>
      <c r="AA47" s="6862"/>
      <c r="AB47" s="4295"/>
      <c r="AC47" s="4375"/>
      <c r="AD47" s="4408"/>
      <c r="AE47" s="4408"/>
      <c r="AF47" s="4408"/>
      <c r="AG47" s="4408"/>
      <c r="AH47" s="2162"/>
      <c r="AI47" s="892"/>
      <c r="AJ47" s="260"/>
      <c r="AK47" s="260"/>
      <c r="AL47" s="3295"/>
      <c r="AM47" s="902"/>
      <c r="AN47" s="4290"/>
      <c r="AO47" s="902"/>
      <c r="AP47" s="2725"/>
      <c r="AQ47" s="2038"/>
      <c r="AR47" s="2038"/>
      <c r="AS47" s="2038"/>
      <c r="AT47" s="2038"/>
      <c r="AU47" s="2038"/>
      <c r="AV47" s="2038"/>
      <c r="AW47" s="2038"/>
      <c r="AX47" s="2038"/>
      <c r="AY47" s="2038"/>
      <c r="AZ47" s="2038"/>
    </row>
    <row r="48" spans="1:52" ht="15" customHeight="1">
      <c r="A48" s="2162"/>
      <c r="B48" s="808"/>
      <c r="C48" s="808"/>
      <c r="D48" s="899"/>
      <c r="E48" s="2112" t="s">
        <v>1248</v>
      </c>
      <c r="F48" s="808"/>
      <c r="G48" s="808"/>
      <c r="H48" s="808"/>
      <c r="I48" s="808"/>
      <c r="J48" s="808"/>
      <c r="K48" s="808"/>
      <c r="L48" s="808"/>
      <c r="M48" s="808"/>
      <c r="N48" s="808"/>
      <c r="O48" s="808"/>
      <c r="P48" s="808"/>
      <c r="Q48" s="808"/>
      <c r="R48" s="2121"/>
      <c r="S48" s="2119"/>
      <c r="T48" s="808"/>
      <c r="U48" s="1128" t="s">
        <v>1005</v>
      </c>
      <c r="V48" s="1125" t="s">
        <v>1249</v>
      </c>
      <c r="W48" s="6714"/>
      <c r="X48" s="6879"/>
      <c r="Y48" s="6879"/>
      <c r="Z48" s="6879"/>
      <c r="AA48" s="6880"/>
      <c r="AB48" s="4295"/>
      <c r="AC48" s="6850">
        <f>ROUND(W48,0)</f>
        <v>0</v>
      </c>
      <c r="AD48" s="6851"/>
      <c r="AE48" s="6851"/>
      <c r="AF48" s="6851"/>
      <c r="AG48" s="6851"/>
      <c r="AH48" s="2162"/>
      <c r="AI48" s="892"/>
      <c r="AJ48" s="260"/>
      <c r="AK48" s="260"/>
      <c r="AL48" s="3295"/>
      <c r="AM48" s="902"/>
      <c r="AN48" s="4290">
        <f>ROUND(W48,0)</f>
        <v>0</v>
      </c>
      <c r="AO48" s="902"/>
      <c r="AP48" s="2725"/>
      <c r="AQ48" s="2038"/>
      <c r="AR48" s="2038"/>
      <c r="AS48" s="2038"/>
      <c r="AT48" s="2038"/>
      <c r="AU48" s="2038"/>
      <c r="AV48" s="2038"/>
      <c r="AW48" s="2038"/>
      <c r="AX48" s="2038"/>
      <c r="AY48" s="2038"/>
      <c r="AZ48" s="2038"/>
    </row>
    <row r="49" spans="1:52" ht="15" customHeight="1">
      <c r="A49" s="2162"/>
      <c r="B49" s="808"/>
      <c r="C49" s="808"/>
      <c r="D49" s="899" t="s">
        <v>663</v>
      </c>
      <c r="E49" s="2112" t="s">
        <v>1250</v>
      </c>
      <c r="F49" s="808"/>
      <c r="G49" s="808"/>
      <c r="H49" s="808"/>
      <c r="I49" s="808"/>
      <c r="J49" s="808"/>
      <c r="K49" s="808"/>
      <c r="L49" s="808"/>
      <c r="M49" s="808"/>
      <c r="N49" s="808"/>
      <c r="O49" s="808"/>
      <c r="P49" s="808"/>
      <c r="Q49" s="808"/>
      <c r="R49" s="2121"/>
      <c r="S49" s="2119"/>
      <c r="T49" s="808"/>
      <c r="U49" s="808"/>
      <c r="V49" s="2387"/>
      <c r="W49" s="6860"/>
      <c r="X49" s="6861"/>
      <c r="Y49" s="6861"/>
      <c r="Z49" s="6861"/>
      <c r="AA49" s="6862"/>
      <c r="AB49" s="4295"/>
      <c r="AC49" s="4375"/>
      <c r="AD49" s="4408"/>
      <c r="AE49" s="4408"/>
      <c r="AF49" s="4408"/>
      <c r="AG49" s="4408"/>
      <c r="AH49" s="2162"/>
      <c r="AI49" s="892"/>
      <c r="AJ49" s="260"/>
      <c r="AK49" s="260"/>
      <c r="AL49" s="3295"/>
      <c r="AM49" s="902"/>
      <c r="AN49" s="4290"/>
      <c r="AO49" s="902"/>
      <c r="AP49" s="2725"/>
      <c r="AQ49" s="2038"/>
      <c r="AR49" s="2038"/>
      <c r="AS49" s="2038"/>
      <c r="AT49" s="2038"/>
      <c r="AU49" s="2038"/>
      <c r="AV49" s="2038"/>
      <c r="AW49" s="2038"/>
      <c r="AX49" s="2038"/>
      <c r="AY49" s="2038"/>
      <c r="AZ49" s="2038"/>
    </row>
    <row r="50" spans="1:52" ht="15" customHeight="1">
      <c r="A50" s="2162"/>
      <c r="B50" s="808"/>
      <c r="C50" s="808"/>
      <c r="D50" s="899"/>
      <c r="E50" s="2112" t="s">
        <v>1251</v>
      </c>
      <c r="F50" s="808"/>
      <c r="G50" s="808"/>
      <c r="H50" s="808"/>
      <c r="I50" s="808"/>
      <c r="J50" s="808"/>
      <c r="K50" s="808"/>
      <c r="L50" s="808"/>
      <c r="M50" s="808"/>
      <c r="N50" s="808"/>
      <c r="O50" s="808"/>
      <c r="P50" s="808"/>
      <c r="Q50" s="808"/>
      <c r="R50" s="2121"/>
      <c r="S50" s="2119"/>
      <c r="T50" s="808"/>
      <c r="U50" s="1128" t="s">
        <v>914</v>
      </c>
      <c r="V50" s="1125" t="s">
        <v>1252</v>
      </c>
      <c r="W50" s="6714"/>
      <c r="X50" s="6879"/>
      <c r="Y50" s="6879"/>
      <c r="Z50" s="6879"/>
      <c r="AA50" s="6880"/>
      <c r="AB50" s="4295"/>
      <c r="AC50" s="6850">
        <f>ROUND(W50,0)</f>
        <v>0</v>
      </c>
      <c r="AD50" s="6851"/>
      <c r="AE50" s="6851"/>
      <c r="AF50" s="6851"/>
      <c r="AG50" s="6851"/>
      <c r="AH50" s="2162"/>
      <c r="AI50" s="892"/>
      <c r="AJ50" s="260"/>
      <c r="AK50" s="260"/>
      <c r="AL50" s="3295"/>
      <c r="AM50" s="902"/>
      <c r="AN50" s="4290">
        <f>ROUND(W50,0)</f>
        <v>0</v>
      </c>
      <c r="AO50" s="902"/>
      <c r="AP50" s="2725"/>
      <c r="AQ50" s="2038"/>
      <c r="AR50" s="2038"/>
      <c r="AS50" s="2038"/>
      <c r="AT50" s="2038"/>
      <c r="AU50" s="2038"/>
      <c r="AV50" s="2038"/>
      <c r="AW50" s="2038"/>
      <c r="AX50" s="2038"/>
      <c r="AY50" s="2038"/>
      <c r="AZ50" s="2038"/>
    </row>
    <row r="51" spans="1:52" ht="15" customHeight="1">
      <c r="A51" s="2162"/>
      <c r="B51" s="808"/>
      <c r="C51" s="808"/>
      <c r="D51" s="899" t="s">
        <v>668</v>
      </c>
      <c r="E51" s="2112" t="s">
        <v>1253</v>
      </c>
      <c r="F51" s="808"/>
      <c r="G51" s="808"/>
      <c r="H51" s="808"/>
      <c r="I51" s="808"/>
      <c r="J51" s="808"/>
      <c r="K51" s="808"/>
      <c r="L51" s="808"/>
      <c r="M51" s="808"/>
      <c r="N51" s="808"/>
      <c r="O51" s="808"/>
      <c r="P51" s="808"/>
      <c r="Q51" s="808"/>
      <c r="R51" s="2121"/>
      <c r="S51" s="2119"/>
      <c r="T51" s="808"/>
      <c r="U51" s="808"/>
      <c r="V51" s="2387"/>
      <c r="W51" s="6860"/>
      <c r="X51" s="6861"/>
      <c r="Y51" s="6861"/>
      <c r="Z51" s="6861"/>
      <c r="AA51" s="6862"/>
      <c r="AB51" s="4295"/>
      <c r="AC51" s="4375"/>
      <c r="AD51" s="4408"/>
      <c r="AE51" s="4408"/>
      <c r="AF51" s="4408"/>
      <c r="AG51" s="4408"/>
      <c r="AH51" s="2162"/>
      <c r="AI51" s="892"/>
      <c r="AJ51" s="260"/>
      <c r="AK51" s="260"/>
      <c r="AL51" s="3295"/>
      <c r="AM51" s="902"/>
      <c r="AN51" s="4290"/>
      <c r="AO51" s="902"/>
      <c r="AP51" s="2725"/>
      <c r="AQ51" s="2038"/>
      <c r="AR51" s="2038"/>
      <c r="AS51" s="2038"/>
      <c r="AT51" s="2038"/>
      <c r="AU51" s="2038"/>
      <c r="AV51" s="2038"/>
      <c r="AW51" s="2038"/>
      <c r="AX51" s="2038"/>
      <c r="AY51" s="2038"/>
      <c r="AZ51" s="2038"/>
    </row>
    <row r="52" spans="1:52" ht="15" customHeight="1">
      <c r="A52" s="2162"/>
      <c r="B52" s="808"/>
      <c r="C52" s="808"/>
      <c r="D52" s="899"/>
      <c r="E52" s="2112" t="s">
        <v>1254</v>
      </c>
      <c r="F52" s="808"/>
      <c r="G52" s="808"/>
      <c r="H52" s="808"/>
      <c r="I52" s="808"/>
      <c r="J52" s="808"/>
      <c r="K52" s="808"/>
      <c r="L52" s="808"/>
      <c r="M52" s="808"/>
      <c r="N52" s="808"/>
      <c r="O52" s="808"/>
      <c r="P52" s="808"/>
      <c r="Q52" s="808"/>
      <c r="R52" s="2121"/>
      <c r="S52" s="2119"/>
      <c r="T52" s="808"/>
      <c r="U52" s="1153" t="s">
        <v>697</v>
      </c>
      <c r="V52" s="1125" t="s">
        <v>1255</v>
      </c>
      <c r="W52" s="6714"/>
      <c r="X52" s="6879"/>
      <c r="Y52" s="6879"/>
      <c r="Z52" s="6879"/>
      <c r="AA52" s="6880"/>
      <c r="AB52" s="4295"/>
      <c r="AC52" s="6850">
        <f>ROUND(W52,0)</f>
        <v>0</v>
      </c>
      <c r="AD52" s="6851"/>
      <c r="AE52" s="6851"/>
      <c r="AF52" s="6851"/>
      <c r="AG52" s="6851"/>
      <c r="AH52" s="2162"/>
      <c r="AI52" s="892"/>
      <c r="AJ52" s="260"/>
      <c r="AK52" s="260"/>
      <c r="AL52" s="3295"/>
      <c r="AM52" s="902"/>
      <c r="AN52" s="4290">
        <f>ROUND(W52,0)</f>
        <v>0</v>
      </c>
      <c r="AO52" s="902"/>
      <c r="AP52" s="2725"/>
      <c r="AQ52" s="2038"/>
      <c r="AR52" s="2038"/>
      <c r="AS52" s="2038"/>
      <c r="AT52" s="2038"/>
      <c r="AU52" s="2038"/>
      <c r="AV52" s="2038"/>
      <c r="AW52" s="2038"/>
      <c r="AX52" s="2038"/>
      <c r="AY52" s="2038"/>
      <c r="AZ52" s="2038"/>
    </row>
    <row r="53" spans="1:52" ht="15" customHeight="1">
      <c r="A53" s="2162"/>
      <c r="B53" s="808"/>
      <c r="C53" s="808"/>
      <c r="D53" s="899" t="s">
        <v>672</v>
      </c>
      <c r="E53" s="2112" t="s">
        <v>1256</v>
      </c>
      <c r="F53" s="808"/>
      <c r="G53" s="808"/>
      <c r="H53" s="808"/>
      <c r="I53" s="808"/>
      <c r="J53" s="808"/>
      <c r="K53" s="808"/>
      <c r="L53" s="808"/>
      <c r="M53" s="808"/>
      <c r="N53" s="808"/>
      <c r="O53" s="808"/>
      <c r="P53" s="808"/>
      <c r="Q53" s="808"/>
      <c r="R53" s="2121"/>
      <c r="S53" s="2119"/>
      <c r="T53" s="808"/>
      <c r="U53" s="808"/>
      <c r="V53" s="2387"/>
      <c r="W53" s="6860"/>
      <c r="X53" s="6861"/>
      <c r="Y53" s="6861"/>
      <c r="Z53" s="6861"/>
      <c r="AA53" s="6862"/>
      <c r="AB53" s="4295"/>
      <c r="AC53" s="4375"/>
      <c r="AD53" s="4408"/>
      <c r="AE53" s="4408"/>
      <c r="AF53" s="4408"/>
      <c r="AG53" s="4408"/>
      <c r="AH53" s="2162"/>
      <c r="AI53" s="892"/>
      <c r="AJ53" s="260"/>
      <c r="AK53" s="260"/>
      <c r="AL53" s="3295"/>
      <c r="AM53" s="902"/>
      <c r="AN53" s="4290"/>
      <c r="AO53" s="902"/>
      <c r="AP53" s="2725"/>
      <c r="AQ53" s="2038"/>
      <c r="AR53" s="2038"/>
      <c r="AS53" s="2038"/>
      <c r="AT53" s="2038"/>
      <c r="AU53" s="2038"/>
      <c r="AV53" s="2038"/>
      <c r="AW53" s="2038"/>
      <c r="AX53" s="2038"/>
      <c r="AY53" s="2038"/>
      <c r="AZ53" s="2038"/>
    </row>
    <row r="54" spans="1:52" ht="15" customHeight="1">
      <c r="A54" s="2162"/>
      <c r="B54" s="808"/>
      <c r="C54" s="808"/>
      <c r="D54" s="899"/>
      <c r="E54" s="2112" t="s">
        <v>1257</v>
      </c>
      <c r="F54" s="808"/>
      <c r="G54" s="808"/>
      <c r="H54" s="808"/>
      <c r="I54" s="808"/>
      <c r="J54" s="808"/>
      <c r="K54" s="808"/>
      <c r="L54" s="808"/>
      <c r="M54" s="808"/>
      <c r="N54" s="808"/>
      <c r="O54" s="808"/>
      <c r="P54" s="808"/>
      <c r="Q54" s="808"/>
      <c r="R54" s="2121"/>
      <c r="S54" s="2119"/>
      <c r="T54" s="808"/>
      <c r="U54" s="1128" t="s">
        <v>914</v>
      </c>
      <c r="V54" s="1125" t="s">
        <v>1258</v>
      </c>
      <c r="W54" s="6714"/>
      <c r="X54" s="6879"/>
      <c r="Y54" s="6879"/>
      <c r="Z54" s="6879"/>
      <c r="AA54" s="6880"/>
      <c r="AB54" s="4295"/>
      <c r="AC54" s="6850">
        <f>ROUND(W54,0)</f>
        <v>0</v>
      </c>
      <c r="AD54" s="6851"/>
      <c r="AE54" s="6851"/>
      <c r="AF54" s="6851"/>
      <c r="AG54" s="6851"/>
      <c r="AH54" s="2162"/>
      <c r="AI54" s="892"/>
      <c r="AJ54" s="260"/>
      <c r="AK54" s="260"/>
      <c r="AL54" s="3295"/>
      <c r="AM54" s="902"/>
      <c r="AN54" s="4290">
        <f>ROUND(W54,0)</f>
        <v>0</v>
      </c>
      <c r="AO54" s="902"/>
      <c r="AP54" s="2725"/>
      <c r="AQ54" s="2038"/>
      <c r="AR54" s="2038"/>
      <c r="AS54" s="2038"/>
      <c r="AT54" s="2038"/>
      <c r="AU54" s="2038"/>
      <c r="AV54" s="2038"/>
      <c r="AW54" s="2038"/>
      <c r="AX54" s="2038"/>
      <c r="AY54" s="2038"/>
      <c r="AZ54" s="2038"/>
    </row>
    <row r="55" spans="1:52" ht="15" customHeight="1">
      <c r="A55" s="2162"/>
      <c r="B55" s="808"/>
      <c r="C55" s="808"/>
      <c r="D55" s="899" t="s">
        <v>928</v>
      </c>
      <c r="E55" s="2112" t="s">
        <v>1259</v>
      </c>
      <c r="F55" s="808"/>
      <c r="G55" s="808"/>
      <c r="H55" s="808"/>
      <c r="I55" s="808"/>
      <c r="J55" s="808"/>
      <c r="K55" s="808"/>
      <c r="L55" s="808"/>
      <c r="M55" s="808"/>
      <c r="N55" s="808"/>
      <c r="O55" s="808"/>
      <c r="P55" s="808"/>
      <c r="Q55" s="808"/>
      <c r="R55" s="2121"/>
      <c r="S55" s="2119"/>
      <c r="T55" s="808"/>
      <c r="U55" s="1128" t="s">
        <v>990</v>
      </c>
      <c r="V55" s="1125" t="s">
        <v>1260</v>
      </c>
      <c r="W55" s="6714"/>
      <c r="X55" s="6879"/>
      <c r="Y55" s="6879"/>
      <c r="Z55" s="6879"/>
      <c r="AA55" s="6880"/>
      <c r="AB55" s="4295"/>
      <c r="AC55" s="6850">
        <f>ROUND(W55,0)</f>
        <v>0</v>
      </c>
      <c r="AD55" s="6851"/>
      <c r="AE55" s="6851"/>
      <c r="AF55" s="6851"/>
      <c r="AG55" s="6851"/>
      <c r="AH55" s="2162"/>
      <c r="AI55" s="892"/>
      <c r="AJ55" s="260"/>
      <c r="AK55" s="260"/>
      <c r="AL55" s="3295"/>
      <c r="AM55" s="902"/>
      <c r="AN55" s="4290">
        <f>ROUND(W55,0)</f>
        <v>0</v>
      </c>
      <c r="AO55" s="902"/>
      <c r="AP55" s="2725"/>
      <c r="AQ55" s="2038"/>
      <c r="AR55" s="2038"/>
      <c r="AS55" s="2038"/>
      <c r="AT55" s="2038"/>
      <c r="AU55" s="2038"/>
      <c r="AV55" s="2038"/>
      <c r="AW55" s="2038"/>
      <c r="AX55" s="2038"/>
      <c r="AY55" s="2038"/>
      <c r="AZ55" s="2038"/>
    </row>
    <row r="56" spans="1:52" ht="15" customHeight="1">
      <c r="A56" s="2162"/>
      <c r="B56" s="808"/>
      <c r="C56" s="808"/>
      <c r="D56" s="899" t="s">
        <v>932</v>
      </c>
      <c r="E56" s="2112" t="s">
        <v>1261</v>
      </c>
      <c r="F56" s="808"/>
      <c r="G56" s="808"/>
      <c r="H56" s="808"/>
      <c r="I56" s="808"/>
      <c r="J56" s="808"/>
      <c r="K56" s="808"/>
      <c r="L56" s="808"/>
      <c r="M56" s="808"/>
      <c r="N56" s="808"/>
      <c r="O56" s="808"/>
      <c r="P56" s="808"/>
      <c r="Q56" s="808"/>
      <c r="R56" s="2121"/>
      <c r="S56" s="2119"/>
      <c r="T56" s="808"/>
      <c r="U56" s="1128" t="s">
        <v>1037</v>
      </c>
      <c r="V56" s="1125" t="s">
        <v>1262</v>
      </c>
      <c r="W56" s="6714"/>
      <c r="X56" s="6879"/>
      <c r="Y56" s="6879"/>
      <c r="Z56" s="6879"/>
      <c r="AA56" s="6880"/>
      <c r="AB56" s="4295"/>
      <c r="AC56" s="6850">
        <f>ROUND(W56,0)</f>
        <v>0</v>
      </c>
      <c r="AD56" s="6851"/>
      <c r="AE56" s="6851"/>
      <c r="AF56" s="6851"/>
      <c r="AG56" s="6851"/>
      <c r="AH56" s="2162"/>
      <c r="AI56" s="892"/>
      <c r="AJ56" s="260"/>
      <c r="AK56" s="260"/>
      <c r="AL56" s="3295"/>
      <c r="AM56" s="902"/>
      <c r="AN56" s="4290">
        <f>ROUND(W56,0)</f>
        <v>0</v>
      </c>
      <c r="AO56" s="902"/>
      <c r="AP56" s="2725"/>
      <c r="AQ56" s="2038"/>
      <c r="AR56" s="2038"/>
      <c r="AS56" s="2038"/>
      <c r="AT56" s="2038"/>
      <c r="AU56" s="2038"/>
      <c r="AV56" s="2038"/>
      <c r="AW56" s="2038"/>
      <c r="AX56" s="2038"/>
      <c r="AY56" s="2038"/>
      <c r="AZ56" s="2038"/>
    </row>
    <row r="57" spans="1:52" ht="15" customHeight="1">
      <c r="A57" s="2162"/>
      <c r="B57" s="808"/>
      <c r="C57" s="808"/>
      <c r="D57" s="899" t="s">
        <v>936</v>
      </c>
      <c r="E57" s="2112" t="s">
        <v>1263</v>
      </c>
      <c r="F57" s="808"/>
      <c r="G57" s="808"/>
      <c r="H57" s="808"/>
      <c r="I57" s="808"/>
      <c r="J57" s="808"/>
      <c r="K57" s="808"/>
      <c r="L57" s="808"/>
      <c r="M57" s="808"/>
      <c r="N57" s="808"/>
      <c r="O57" s="808"/>
      <c r="P57" s="808"/>
      <c r="Q57" s="808"/>
      <c r="R57" s="2121"/>
      <c r="S57" s="2119"/>
      <c r="T57" s="808"/>
      <c r="U57" s="1128" t="s">
        <v>888</v>
      </c>
      <c r="V57" s="1125" t="s">
        <v>1264</v>
      </c>
      <c r="W57" s="6714"/>
      <c r="X57" s="6879"/>
      <c r="Y57" s="6879"/>
      <c r="Z57" s="6879"/>
      <c r="AA57" s="6880"/>
      <c r="AB57" s="4295"/>
      <c r="AC57" s="6850">
        <f>ROUND(W57,0)</f>
        <v>0</v>
      </c>
      <c r="AD57" s="6851"/>
      <c r="AE57" s="6851"/>
      <c r="AF57" s="6851"/>
      <c r="AG57" s="6851"/>
      <c r="AH57" s="2162"/>
      <c r="AI57" s="892"/>
      <c r="AJ57" s="260"/>
      <c r="AK57" s="260"/>
      <c r="AL57" s="3295"/>
      <c r="AM57" s="902"/>
      <c r="AN57" s="4290">
        <f>ROUND(W57,0)</f>
        <v>0</v>
      </c>
      <c r="AO57" s="902"/>
      <c r="AP57" s="2725"/>
      <c r="AQ57" s="2038"/>
      <c r="AR57" s="2038"/>
      <c r="AS57" s="2038"/>
      <c r="AT57" s="2038"/>
      <c r="AU57" s="2038"/>
      <c r="AV57" s="2038"/>
      <c r="AW57" s="2038"/>
      <c r="AX57" s="2038"/>
      <c r="AY57" s="2038"/>
      <c r="AZ57" s="2038"/>
    </row>
    <row r="58" spans="1:52" ht="15" customHeight="1">
      <c r="A58" s="2162"/>
      <c r="B58" s="808"/>
      <c r="C58" s="808"/>
      <c r="D58" s="899" t="s">
        <v>941</v>
      </c>
      <c r="E58" s="2112" t="s">
        <v>1265</v>
      </c>
      <c r="F58" s="808"/>
      <c r="G58" s="808"/>
      <c r="H58" s="808"/>
      <c r="I58" s="808"/>
      <c r="J58" s="808"/>
      <c r="K58" s="808"/>
      <c r="L58" s="808"/>
      <c r="M58" s="808"/>
      <c r="N58" s="808"/>
      <c r="O58" s="808"/>
      <c r="P58" s="808"/>
      <c r="Q58" s="808"/>
      <c r="R58" s="2121"/>
      <c r="S58" s="2119"/>
      <c r="T58" s="808"/>
      <c r="U58" s="808"/>
      <c r="V58" s="2387"/>
      <c r="W58" s="6860"/>
      <c r="X58" s="6861"/>
      <c r="Y58" s="6861"/>
      <c r="Z58" s="6861"/>
      <c r="AA58" s="6862"/>
      <c r="AB58" s="4295"/>
      <c r="AC58" s="4375"/>
      <c r="AD58" s="4408"/>
      <c r="AE58" s="4408"/>
      <c r="AF58" s="4408"/>
      <c r="AG58" s="4408"/>
      <c r="AH58" s="2162"/>
      <c r="AI58" s="892"/>
      <c r="AJ58" s="260"/>
      <c r="AK58" s="260"/>
      <c r="AL58" s="3295"/>
      <c r="AM58" s="902"/>
      <c r="AN58" s="4290"/>
      <c r="AO58" s="902"/>
      <c r="AP58" s="2725"/>
      <c r="AQ58" s="2038"/>
      <c r="AR58" s="2038"/>
      <c r="AS58" s="2038"/>
      <c r="AT58" s="2038"/>
      <c r="AU58" s="2038"/>
      <c r="AV58" s="2038"/>
      <c r="AW58" s="2038"/>
      <c r="AX58" s="2038"/>
      <c r="AY58" s="2038"/>
      <c r="AZ58" s="2038"/>
    </row>
    <row r="59" spans="1:52" ht="15" customHeight="1">
      <c r="A59" s="2162"/>
      <c r="B59" s="808"/>
      <c r="C59" s="808"/>
      <c r="D59" s="899"/>
      <c r="E59" s="2112" t="s">
        <v>1266</v>
      </c>
      <c r="F59" s="808"/>
      <c r="G59" s="808"/>
      <c r="H59" s="808"/>
      <c r="I59" s="808"/>
      <c r="J59" s="808"/>
      <c r="K59" s="808"/>
      <c r="L59" s="808"/>
      <c r="M59" s="808"/>
      <c r="N59" s="808"/>
      <c r="O59" s="808"/>
      <c r="P59" s="808"/>
      <c r="Q59" s="808"/>
      <c r="R59" s="2121"/>
      <c r="S59" s="2119"/>
      <c r="T59" s="808"/>
      <c r="U59" s="1128" t="s">
        <v>1267</v>
      </c>
      <c r="V59" s="1125" t="s">
        <v>1268</v>
      </c>
      <c r="W59" s="6714"/>
      <c r="X59" s="6879"/>
      <c r="Y59" s="6879"/>
      <c r="Z59" s="6879"/>
      <c r="AA59" s="6880"/>
      <c r="AB59" s="4295"/>
      <c r="AC59" s="6850">
        <f>ROUND(W59,0)</f>
        <v>0</v>
      </c>
      <c r="AD59" s="6851"/>
      <c r="AE59" s="6851"/>
      <c r="AF59" s="6851"/>
      <c r="AG59" s="6851"/>
      <c r="AH59" s="2162"/>
      <c r="AI59" s="892"/>
      <c r="AJ59" s="260"/>
      <c r="AK59" s="260"/>
      <c r="AL59" s="3295"/>
      <c r="AM59" s="902"/>
      <c r="AN59" s="4290">
        <f>ROUND(W59,0)</f>
        <v>0</v>
      </c>
      <c r="AO59" s="902"/>
      <c r="AP59" s="2725"/>
      <c r="AQ59" s="2038"/>
      <c r="AR59" s="2038"/>
      <c r="AS59" s="2038"/>
      <c r="AT59" s="2038"/>
      <c r="AU59" s="2038"/>
      <c r="AV59" s="2038"/>
      <c r="AW59" s="2038"/>
      <c r="AX59" s="2038"/>
      <c r="AY59" s="2038"/>
      <c r="AZ59" s="2038"/>
    </row>
    <row r="60" spans="1:52" ht="15" customHeight="1">
      <c r="A60" s="2162"/>
      <c r="B60" s="808"/>
      <c r="C60" s="808"/>
      <c r="D60" s="899" t="s">
        <v>945</v>
      </c>
      <c r="E60" s="2112" t="s">
        <v>1269</v>
      </c>
      <c r="F60" s="808"/>
      <c r="G60" s="808"/>
      <c r="H60" s="808"/>
      <c r="I60" s="808"/>
      <c r="J60" s="808"/>
      <c r="K60" s="808"/>
      <c r="L60" s="808"/>
      <c r="M60" s="808"/>
      <c r="N60" s="808"/>
      <c r="O60" s="808"/>
      <c r="P60" s="808"/>
      <c r="Q60" s="808"/>
      <c r="R60" s="2121"/>
      <c r="S60" s="2119"/>
      <c r="T60" s="808"/>
      <c r="U60" s="808"/>
      <c r="V60" s="2387"/>
      <c r="W60" s="6860"/>
      <c r="X60" s="6861"/>
      <c r="Y60" s="6861"/>
      <c r="Z60" s="6861"/>
      <c r="AA60" s="6862"/>
      <c r="AB60" s="4295"/>
      <c r="AC60" s="4375"/>
      <c r="AD60" s="4408"/>
      <c r="AE60" s="4408"/>
      <c r="AF60" s="4408"/>
      <c r="AG60" s="4408"/>
      <c r="AH60" s="2162"/>
      <c r="AI60" s="892"/>
      <c r="AJ60" s="260"/>
      <c r="AK60" s="260"/>
      <c r="AL60" s="3295"/>
      <c r="AM60" s="902"/>
      <c r="AN60" s="4290"/>
      <c r="AO60" s="902"/>
      <c r="AP60" s="2725"/>
      <c r="AQ60" s="2038"/>
      <c r="AR60" s="2038"/>
      <c r="AS60" s="2038"/>
      <c r="AT60" s="2038"/>
      <c r="AU60" s="2038"/>
      <c r="AV60" s="2038"/>
      <c r="AW60" s="2038"/>
      <c r="AX60" s="2038"/>
      <c r="AY60" s="2038"/>
      <c r="AZ60" s="2038"/>
    </row>
    <row r="61" spans="1:52" ht="15" customHeight="1">
      <c r="A61" s="2162"/>
      <c r="B61" s="808"/>
      <c r="C61" s="808"/>
      <c r="D61" s="899"/>
      <c r="E61" s="2112" t="s">
        <v>1270</v>
      </c>
      <c r="F61" s="808"/>
      <c r="G61" s="808"/>
      <c r="H61" s="808"/>
      <c r="I61" s="808"/>
      <c r="J61" s="808"/>
      <c r="K61" s="808"/>
      <c r="L61" s="808"/>
      <c r="M61" s="808"/>
      <c r="N61" s="808"/>
      <c r="O61" s="808"/>
      <c r="P61" s="808"/>
      <c r="Q61" s="808"/>
      <c r="R61" s="2121"/>
      <c r="S61" s="2119"/>
      <c r="T61" s="808"/>
      <c r="U61" s="1128" t="s">
        <v>898</v>
      </c>
      <c r="V61" s="1125" t="s">
        <v>1271</v>
      </c>
      <c r="W61" s="6714"/>
      <c r="X61" s="6879"/>
      <c r="Y61" s="6879"/>
      <c r="Z61" s="6879"/>
      <c r="AA61" s="6880"/>
      <c r="AB61" s="4295"/>
      <c r="AC61" s="6850">
        <f>ROUND(W61,0)</f>
        <v>0</v>
      </c>
      <c r="AD61" s="6851"/>
      <c r="AE61" s="6851"/>
      <c r="AF61" s="6851"/>
      <c r="AG61" s="6851"/>
      <c r="AH61" s="2162"/>
      <c r="AI61" s="892"/>
      <c r="AJ61" s="260"/>
      <c r="AK61" s="260"/>
      <c r="AL61" s="3295"/>
      <c r="AM61" s="902"/>
      <c r="AN61" s="4290">
        <f>ROUND(W61,0)</f>
        <v>0</v>
      </c>
      <c r="AO61" s="902"/>
      <c r="AP61" s="2725"/>
      <c r="AQ61" s="2038"/>
      <c r="AR61" s="2038"/>
      <c r="AS61" s="2038"/>
      <c r="AT61" s="2038"/>
      <c r="AU61" s="2038"/>
      <c r="AV61" s="2038"/>
      <c r="AW61" s="2038"/>
      <c r="AX61" s="2038"/>
      <c r="AY61" s="2038"/>
      <c r="AZ61" s="2038"/>
    </row>
    <row r="62" spans="1:52" ht="15" customHeight="1">
      <c r="A62" s="2162"/>
      <c r="B62" s="808"/>
      <c r="C62" s="808"/>
      <c r="D62" s="899" t="s">
        <v>948</v>
      </c>
      <c r="E62" s="2112" t="s">
        <v>1272</v>
      </c>
      <c r="F62" s="808"/>
      <c r="G62" s="808"/>
      <c r="H62" s="808"/>
      <c r="I62" s="808"/>
      <c r="J62" s="808"/>
      <c r="K62" s="808"/>
      <c r="L62" s="808"/>
      <c r="M62" s="808"/>
      <c r="N62" s="808"/>
      <c r="O62" s="808"/>
      <c r="P62" s="808"/>
      <c r="Q62" s="808"/>
      <c r="R62" s="2121"/>
      <c r="S62" s="2119"/>
      <c r="T62" s="808"/>
      <c r="U62" s="808"/>
      <c r="V62" s="2387"/>
      <c r="W62" s="6860"/>
      <c r="X62" s="6861"/>
      <c r="Y62" s="6861"/>
      <c r="Z62" s="6861"/>
      <c r="AA62" s="6862"/>
      <c r="AB62" s="4295"/>
      <c r="AC62" s="4375"/>
      <c r="AD62" s="4408"/>
      <c r="AE62" s="4408"/>
      <c r="AF62" s="4408"/>
      <c r="AG62" s="4408"/>
      <c r="AH62" s="2162"/>
      <c r="AI62" s="892"/>
      <c r="AJ62" s="260"/>
      <c r="AK62" s="260"/>
      <c r="AL62" s="3295"/>
      <c r="AM62" s="902"/>
      <c r="AN62" s="4290"/>
      <c r="AO62" s="902"/>
      <c r="AP62" s="2725"/>
      <c r="AQ62" s="2038"/>
      <c r="AR62" s="2038"/>
      <c r="AS62" s="2038"/>
      <c r="AT62" s="2038"/>
      <c r="AU62" s="2038"/>
      <c r="AV62" s="2038"/>
      <c r="AW62" s="2038"/>
      <c r="AX62" s="2038"/>
      <c r="AY62" s="2038"/>
      <c r="AZ62" s="2038"/>
    </row>
    <row r="63" spans="1:52" ht="15" customHeight="1">
      <c r="A63" s="2162"/>
      <c r="B63" s="808"/>
      <c r="C63" s="808"/>
      <c r="D63" s="899"/>
      <c r="E63" s="2112" t="s">
        <v>1273</v>
      </c>
      <c r="F63" s="808"/>
      <c r="G63" s="808"/>
      <c r="H63" s="808"/>
      <c r="I63" s="808"/>
      <c r="J63" s="808"/>
      <c r="K63" s="808"/>
      <c r="L63" s="808"/>
      <c r="M63" s="808"/>
      <c r="N63" s="808"/>
      <c r="O63" s="808"/>
      <c r="P63" s="808"/>
      <c r="Q63" s="808"/>
      <c r="R63" s="2121"/>
      <c r="S63" s="2119"/>
      <c r="T63" s="808"/>
      <c r="U63" s="1128" t="s">
        <v>1046</v>
      </c>
      <c r="V63" s="1125" t="s">
        <v>1274</v>
      </c>
      <c r="W63" s="6714"/>
      <c r="X63" s="6879"/>
      <c r="Y63" s="6879"/>
      <c r="Z63" s="6879"/>
      <c r="AA63" s="6880"/>
      <c r="AB63" s="4295"/>
      <c r="AC63" s="6850">
        <f>ROUND(W63,0)</f>
        <v>0</v>
      </c>
      <c r="AD63" s="6851"/>
      <c r="AE63" s="6851"/>
      <c r="AF63" s="6851"/>
      <c r="AG63" s="6851"/>
      <c r="AH63" s="2162"/>
      <c r="AI63" s="892"/>
      <c r="AJ63" s="260"/>
      <c r="AK63" s="260"/>
      <c r="AL63" s="3295"/>
      <c r="AM63" s="902"/>
      <c r="AN63" s="4290">
        <f>ROUND(W63,0)</f>
        <v>0</v>
      </c>
      <c r="AO63" s="902"/>
      <c r="AP63" s="2725"/>
      <c r="AQ63" s="2038"/>
      <c r="AR63" s="2038"/>
      <c r="AS63" s="2038"/>
      <c r="AT63" s="2038"/>
      <c r="AU63" s="2038"/>
      <c r="AV63" s="2038"/>
      <c r="AW63" s="2038"/>
      <c r="AX63" s="2038"/>
      <c r="AY63" s="2038"/>
      <c r="AZ63" s="2038"/>
    </row>
    <row r="64" spans="1:52" ht="15" customHeight="1">
      <c r="A64" s="2162"/>
      <c r="B64" s="808"/>
      <c r="C64" s="808"/>
      <c r="D64" s="899" t="s">
        <v>952</v>
      </c>
      <c r="E64" s="2112" t="s">
        <v>1275</v>
      </c>
      <c r="F64" s="808"/>
      <c r="G64" s="808"/>
      <c r="H64" s="808"/>
      <c r="I64" s="808"/>
      <c r="J64" s="808"/>
      <c r="K64" s="808"/>
      <c r="L64" s="808"/>
      <c r="M64" s="808"/>
      <c r="N64" s="808"/>
      <c r="O64" s="808"/>
      <c r="P64" s="808"/>
      <c r="Q64" s="808"/>
      <c r="R64" s="2121"/>
      <c r="S64" s="2119"/>
      <c r="T64" s="808"/>
      <c r="U64" s="808"/>
      <c r="V64" s="2387"/>
      <c r="W64" s="6860"/>
      <c r="X64" s="6861"/>
      <c r="Y64" s="6861"/>
      <c r="Z64" s="6861"/>
      <c r="AA64" s="6862"/>
      <c r="AB64" s="4295"/>
      <c r="AC64" s="4375"/>
      <c r="AD64" s="4408"/>
      <c r="AE64" s="4408"/>
      <c r="AF64" s="4408"/>
      <c r="AG64" s="4408"/>
      <c r="AH64" s="2162"/>
      <c r="AI64" s="892"/>
      <c r="AJ64" s="260"/>
      <c r="AK64" s="260"/>
      <c r="AL64" s="3295"/>
      <c r="AM64" s="902"/>
      <c r="AN64" s="4290"/>
      <c r="AO64" s="902"/>
      <c r="AP64" s="2725"/>
      <c r="AQ64" s="2038"/>
      <c r="AR64" s="2038"/>
      <c r="AS64" s="2038"/>
      <c r="AT64" s="2038"/>
      <c r="AU64" s="2038"/>
      <c r="AV64" s="2038"/>
      <c r="AW64" s="2038"/>
      <c r="AX64" s="2038"/>
      <c r="AY64" s="2038"/>
      <c r="AZ64" s="2038"/>
    </row>
    <row r="65" spans="1:52" ht="15" customHeight="1">
      <c r="A65" s="2162"/>
      <c r="B65" s="808"/>
      <c r="C65" s="808"/>
      <c r="D65" s="899"/>
      <c r="E65" s="2112" t="s">
        <v>1276</v>
      </c>
      <c r="F65" s="808"/>
      <c r="G65" s="808"/>
      <c r="H65" s="808"/>
      <c r="I65" s="808"/>
      <c r="J65" s="808"/>
      <c r="K65" s="808"/>
      <c r="L65" s="808"/>
      <c r="M65" s="808"/>
      <c r="N65" s="808"/>
      <c r="O65" s="808"/>
      <c r="P65" s="808"/>
      <c r="Q65" s="808"/>
      <c r="R65" s="2121"/>
      <c r="S65" s="2119"/>
      <c r="T65" s="808"/>
      <c r="U65" s="1128" t="s">
        <v>1046</v>
      </c>
      <c r="V65" s="1125" t="s">
        <v>1277</v>
      </c>
      <c r="W65" s="6714"/>
      <c r="X65" s="6879"/>
      <c r="Y65" s="6879"/>
      <c r="Z65" s="6879"/>
      <c r="AA65" s="6880"/>
      <c r="AB65" s="4295"/>
      <c r="AC65" s="6850">
        <f>ROUND(W65,0)</f>
        <v>0</v>
      </c>
      <c r="AD65" s="6851"/>
      <c r="AE65" s="6851"/>
      <c r="AF65" s="6851"/>
      <c r="AG65" s="6851"/>
      <c r="AH65" s="2162"/>
      <c r="AI65" s="892"/>
      <c r="AJ65" s="260"/>
      <c r="AK65" s="260"/>
      <c r="AL65" s="3295"/>
      <c r="AM65" s="902"/>
      <c r="AN65" s="4290">
        <f>ROUND(W65,0)</f>
        <v>0</v>
      </c>
      <c r="AO65" s="902"/>
      <c r="AP65" s="2725"/>
      <c r="AQ65" s="2038"/>
      <c r="AR65" s="2038"/>
      <c r="AS65" s="2038"/>
      <c r="AT65" s="2038"/>
      <c r="AU65" s="2038"/>
      <c r="AV65" s="2038"/>
      <c r="AW65" s="2038"/>
      <c r="AX65" s="2038"/>
      <c r="AY65" s="2038"/>
      <c r="AZ65" s="2038"/>
    </row>
    <row r="66" spans="1:52" ht="15" customHeight="1">
      <c r="A66" s="2162"/>
      <c r="B66" s="808"/>
      <c r="C66" s="808"/>
      <c r="D66" s="899" t="s">
        <v>955</v>
      </c>
      <c r="E66" s="2112" t="s">
        <v>1278</v>
      </c>
      <c r="F66" s="808"/>
      <c r="G66" s="808"/>
      <c r="H66" s="808"/>
      <c r="I66" s="808"/>
      <c r="J66" s="808"/>
      <c r="K66" s="808"/>
      <c r="L66" s="808"/>
      <c r="M66" s="808"/>
      <c r="N66" s="808"/>
      <c r="O66" s="808"/>
      <c r="P66" s="808"/>
      <c r="Q66" s="808"/>
      <c r="R66" s="2121"/>
      <c r="S66" s="2119"/>
      <c r="T66" s="808"/>
      <c r="U66" s="1128" t="s">
        <v>930</v>
      </c>
      <c r="V66" s="1125" t="s">
        <v>1279</v>
      </c>
      <c r="W66" s="6714"/>
      <c r="X66" s="6879"/>
      <c r="Y66" s="6879"/>
      <c r="Z66" s="6879"/>
      <c r="AA66" s="6880"/>
      <c r="AB66" s="4295"/>
      <c r="AC66" s="6850">
        <f>ROUND(W66,0)</f>
        <v>0</v>
      </c>
      <c r="AD66" s="6851"/>
      <c r="AE66" s="6851"/>
      <c r="AF66" s="6851"/>
      <c r="AG66" s="6851"/>
      <c r="AH66" s="2162"/>
      <c r="AI66" s="892"/>
      <c r="AJ66" s="260"/>
      <c r="AK66" s="260"/>
      <c r="AL66" s="3295"/>
      <c r="AM66" s="902"/>
      <c r="AN66" s="4290">
        <f>ROUND(W66,0)</f>
        <v>0</v>
      </c>
      <c r="AO66" s="902"/>
      <c r="AP66" s="2725"/>
      <c r="AQ66" s="2038"/>
      <c r="AR66" s="2038"/>
      <c r="AS66" s="2038"/>
      <c r="AT66" s="2038"/>
      <c r="AU66" s="2038"/>
      <c r="AV66" s="2038"/>
      <c r="AW66" s="2038"/>
      <c r="AX66" s="2038"/>
      <c r="AY66" s="2038"/>
      <c r="AZ66" s="2038"/>
    </row>
    <row r="67" spans="1:52" ht="15" customHeight="1">
      <c r="A67" s="2162"/>
      <c r="B67" s="808"/>
      <c r="C67" s="808"/>
      <c r="D67" s="899" t="s">
        <v>675</v>
      </c>
      <c r="E67" s="2112" t="s">
        <v>1280</v>
      </c>
      <c r="F67" s="808"/>
      <c r="G67" s="808"/>
      <c r="H67" s="808"/>
      <c r="I67" s="808"/>
      <c r="J67" s="808"/>
      <c r="K67" s="808"/>
      <c r="L67" s="808"/>
      <c r="M67" s="808"/>
      <c r="N67" s="808"/>
      <c r="O67" s="6900"/>
      <c r="P67" s="6900"/>
      <c r="Q67" s="6900"/>
      <c r="R67" s="6900"/>
      <c r="S67" s="6900"/>
      <c r="T67" s="6900"/>
      <c r="U67" s="808"/>
      <c r="V67" s="2387"/>
      <c r="W67" s="6860"/>
      <c r="X67" s="6861"/>
      <c r="Y67" s="6861"/>
      <c r="Z67" s="6861"/>
      <c r="AA67" s="6862"/>
      <c r="AB67" s="4295"/>
      <c r="AC67" s="4375"/>
      <c r="AD67" s="4408"/>
      <c r="AE67" s="4408"/>
      <c r="AF67" s="4408"/>
      <c r="AG67" s="4408"/>
      <c r="AH67" s="2162"/>
      <c r="AI67" s="892"/>
      <c r="AJ67" s="6706" t="s">
        <v>637</v>
      </c>
      <c r="AK67" s="260"/>
      <c r="AL67" s="3295"/>
      <c r="AM67" s="902"/>
      <c r="AN67" s="4290"/>
      <c r="AO67" s="902"/>
      <c r="AP67" s="2725"/>
      <c r="AQ67" s="2038"/>
      <c r="AR67" s="2038"/>
      <c r="AS67" s="2038"/>
      <c r="AT67" s="2038"/>
      <c r="AU67" s="2038"/>
      <c r="AV67" s="2038"/>
      <c r="AW67" s="2038"/>
      <c r="AX67" s="2038"/>
      <c r="AY67" s="2038"/>
      <c r="AZ67" s="2038"/>
    </row>
    <row r="68" spans="1:52" ht="15" customHeight="1" thickBot="1">
      <c r="A68" s="2162"/>
      <c r="B68" s="808"/>
      <c r="C68" s="808"/>
      <c r="D68" s="899"/>
      <c r="E68" s="6900"/>
      <c r="F68" s="6900"/>
      <c r="G68" s="6900"/>
      <c r="H68" s="6900"/>
      <c r="I68" s="6900"/>
      <c r="J68" s="6900"/>
      <c r="K68" s="6900"/>
      <c r="L68" s="6900"/>
      <c r="M68" s="6900"/>
      <c r="N68" s="6900"/>
      <c r="O68" s="6900"/>
      <c r="P68" s="6900"/>
      <c r="Q68" s="6900"/>
      <c r="R68" s="6900"/>
      <c r="S68" s="6900"/>
      <c r="T68" s="6900"/>
      <c r="U68" s="1128"/>
      <c r="V68" s="1132" t="s">
        <v>1281</v>
      </c>
      <c r="W68" s="6905"/>
      <c r="X68" s="6906"/>
      <c r="Y68" s="6906"/>
      <c r="Z68" s="6906"/>
      <c r="AA68" s="6907"/>
      <c r="AB68" s="4295"/>
      <c r="AC68" s="6850">
        <f>ROUND(W68,0)</f>
        <v>0</v>
      </c>
      <c r="AD68" s="6851"/>
      <c r="AE68" s="6851"/>
      <c r="AF68" s="6851"/>
      <c r="AG68" s="6851"/>
      <c r="AH68" s="2162"/>
      <c r="AI68" s="892"/>
      <c r="AJ68" s="6908"/>
      <c r="AK68" s="260"/>
      <c r="AL68" s="3295"/>
      <c r="AM68" s="902"/>
      <c r="AN68" s="4290">
        <f>ROUND(W68,0)</f>
        <v>0</v>
      </c>
      <c r="AO68" s="902"/>
      <c r="AP68" s="2725"/>
      <c r="AQ68" s="2038"/>
      <c r="AR68" s="2038"/>
      <c r="AS68" s="2038"/>
      <c r="AT68" s="2038"/>
      <c r="AU68" s="2038"/>
      <c r="AV68" s="2038"/>
      <c r="AW68" s="2038"/>
      <c r="AX68" s="2038"/>
      <c r="AY68" s="2038"/>
      <c r="AZ68" s="2038"/>
    </row>
    <row r="69" spans="1:52" ht="20.25" customHeight="1">
      <c r="A69" s="2162"/>
      <c r="B69" s="808"/>
      <c r="C69" s="899">
        <v>18</v>
      </c>
      <c r="D69" s="899"/>
      <c r="E69" s="2112" t="s">
        <v>1282</v>
      </c>
      <c r="F69" s="808"/>
      <c r="G69" s="808"/>
      <c r="H69" s="808"/>
      <c r="I69" s="808"/>
      <c r="J69" s="808"/>
      <c r="K69" s="808"/>
      <c r="L69" s="808"/>
      <c r="M69" s="808"/>
      <c r="N69" s="808"/>
      <c r="O69" s="808"/>
      <c r="P69" s="808"/>
      <c r="Q69" s="808"/>
      <c r="R69" s="2121"/>
      <c r="S69" s="2119"/>
      <c r="T69" s="808"/>
      <c r="U69" s="808"/>
      <c r="V69" s="808"/>
      <c r="W69" s="808"/>
      <c r="X69" s="808"/>
      <c r="Y69" s="808"/>
      <c r="Z69" s="808"/>
      <c r="AA69" s="1128" t="s">
        <v>1034</v>
      </c>
      <c r="AB69" s="4133">
        <v>18</v>
      </c>
      <c r="AC69" s="6884">
        <f>IF(AJ69&lt;&gt;"",ROUND(AJ69,0),AN69)</f>
        <v>0</v>
      </c>
      <c r="AD69" s="6904"/>
      <c r="AE69" s="6904"/>
      <c r="AF69" s="6904"/>
      <c r="AG69" s="6904"/>
      <c r="AH69" s="2162"/>
      <c r="AI69" s="892"/>
      <c r="AJ69" s="2266"/>
      <c r="AK69" s="260"/>
      <c r="AL69" s="3295"/>
      <c r="AM69" s="902"/>
      <c r="AN69" s="4290">
        <f>SUM(AN40:AN68)</f>
        <v>0</v>
      </c>
      <c r="AO69" s="902"/>
      <c r="AP69" s="2725"/>
      <c r="AQ69" s="2038"/>
      <c r="AR69" s="2038"/>
      <c r="AS69" s="2038"/>
      <c r="AT69" s="2038"/>
      <c r="AU69" s="2038"/>
      <c r="AV69" s="2038"/>
      <c r="AW69" s="2038"/>
      <c r="AX69" s="2038"/>
      <c r="AY69" s="2038"/>
      <c r="AZ69" s="2038"/>
    </row>
    <row r="70" spans="1:52" ht="20.25" customHeight="1">
      <c r="A70" s="2162"/>
      <c r="B70" s="808"/>
      <c r="C70" s="899">
        <v>19</v>
      </c>
      <c r="D70" s="899"/>
      <c r="E70" s="2112" t="s">
        <v>784</v>
      </c>
      <c r="F70" s="808"/>
      <c r="G70" s="808"/>
      <c r="H70" s="808"/>
      <c r="I70" s="808"/>
      <c r="J70" s="808"/>
      <c r="K70" s="808"/>
      <c r="L70" s="808"/>
      <c r="M70" s="808"/>
      <c r="N70" s="808"/>
      <c r="O70" s="808"/>
      <c r="P70" s="808"/>
      <c r="Q70" s="808"/>
      <c r="R70" s="2121"/>
      <c r="S70" s="2119"/>
      <c r="T70" s="808"/>
      <c r="U70" s="808"/>
      <c r="V70" s="808"/>
      <c r="W70" s="808"/>
      <c r="X70" s="808"/>
      <c r="Y70" s="808"/>
      <c r="Z70" s="808"/>
      <c r="AA70" s="1128" t="s">
        <v>988</v>
      </c>
      <c r="AB70" s="4133">
        <v>19</v>
      </c>
      <c r="AC70" s="6901"/>
      <c r="AD70" s="6902"/>
      <c r="AE70" s="6902"/>
      <c r="AF70" s="6902"/>
      <c r="AG70" s="6903"/>
      <c r="AH70" s="2162"/>
      <c r="AI70" s="892"/>
      <c r="AJ70" s="2266"/>
      <c r="AK70" s="260"/>
      <c r="AL70" s="3295"/>
      <c r="AM70" s="902"/>
      <c r="AN70" s="4290"/>
      <c r="AO70" s="902"/>
      <c r="AP70" s="2725"/>
      <c r="AQ70" s="2038"/>
      <c r="AR70" s="2038"/>
      <c r="AS70" s="2038"/>
      <c r="AT70" s="2038"/>
      <c r="AU70" s="2038"/>
      <c r="AV70" s="2038"/>
      <c r="AW70" s="2038"/>
      <c r="AX70" s="2038"/>
      <c r="AY70" s="2038"/>
      <c r="AZ70" s="2038"/>
    </row>
    <row r="71" spans="1:52" ht="20.25" customHeight="1">
      <c r="A71" s="2162"/>
      <c r="B71" s="808"/>
      <c r="C71" s="899">
        <v>20</v>
      </c>
      <c r="D71" s="899"/>
      <c r="E71" s="2112" t="s">
        <v>1283</v>
      </c>
      <c r="F71" s="808"/>
      <c r="G71" s="808"/>
      <c r="H71" s="808"/>
      <c r="I71" s="808"/>
      <c r="J71" s="808"/>
      <c r="K71" s="808"/>
      <c r="L71" s="808"/>
      <c r="M71" s="808"/>
      <c r="N71" s="808"/>
      <c r="O71" s="808"/>
      <c r="P71" s="808"/>
      <c r="Q71" s="808"/>
      <c r="R71" s="2121"/>
      <c r="S71" s="2119"/>
      <c r="T71" s="808"/>
      <c r="U71" s="1128" t="s">
        <v>939</v>
      </c>
      <c r="V71" s="1125">
        <v>20</v>
      </c>
      <c r="W71" s="6714"/>
      <c r="X71" s="6879"/>
      <c r="Y71" s="6879"/>
      <c r="Z71" s="6879"/>
      <c r="AA71" s="6880"/>
      <c r="AB71" s="4295"/>
      <c r="AC71" s="4136"/>
      <c r="AD71" s="4141"/>
      <c r="AE71" s="4141"/>
      <c r="AF71" s="4141"/>
      <c r="AG71" s="4141"/>
      <c r="AH71" s="2162"/>
      <c r="AI71" s="892"/>
      <c r="AJ71" s="260"/>
      <c r="AK71" s="260"/>
      <c r="AL71" s="3295"/>
      <c r="AM71" s="902"/>
      <c r="AN71" s="4290"/>
      <c r="AO71" s="902"/>
      <c r="AP71" s="2725"/>
      <c r="AQ71" s="2038"/>
      <c r="AR71" s="2038"/>
      <c r="AS71" s="2038"/>
      <c r="AT71" s="2038"/>
      <c r="AU71" s="2038"/>
      <c r="AV71" s="2038"/>
      <c r="AW71" s="2038"/>
      <c r="AX71" s="2038"/>
      <c r="AY71" s="2038"/>
      <c r="AZ71" s="2038"/>
    </row>
    <row r="72" spans="1:52" ht="22.5" customHeight="1">
      <c r="A72" s="2162"/>
      <c r="B72" s="899"/>
      <c r="C72" s="899">
        <v>21</v>
      </c>
      <c r="D72" s="899"/>
      <c r="E72" s="2112" t="s">
        <v>1284</v>
      </c>
      <c r="F72" s="808"/>
      <c r="G72" s="808"/>
      <c r="H72" s="808"/>
      <c r="I72" s="808"/>
      <c r="J72" s="808"/>
      <c r="K72" s="808"/>
      <c r="L72" s="808"/>
      <c r="M72" s="808"/>
      <c r="N72" s="808"/>
      <c r="O72" s="808"/>
      <c r="P72" s="808"/>
      <c r="Q72" s="808"/>
      <c r="R72" s="808"/>
      <c r="S72" s="808"/>
      <c r="T72" s="808"/>
      <c r="U72" s="808"/>
      <c r="V72" s="808"/>
      <c r="W72" s="808"/>
      <c r="X72" s="808"/>
      <c r="Y72" s="808"/>
      <c r="Z72" s="808"/>
      <c r="AA72" s="808"/>
      <c r="AB72" s="4295"/>
      <c r="AC72" s="6857"/>
      <c r="AD72" s="6858"/>
      <c r="AE72" s="6858"/>
      <c r="AF72" s="6858"/>
      <c r="AG72" s="6858"/>
      <c r="AH72" s="2162"/>
      <c r="AI72" s="808"/>
      <c r="AJ72" s="260"/>
      <c r="AK72" s="260"/>
      <c r="AL72" s="3295"/>
      <c r="AM72" s="902"/>
      <c r="AN72" s="4290"/>
      <c r="AO72" s="902"/>
      <c r="AP72" s="2725"/>
      <c r="AQ72" s="2038"/>
      <c r="AR72" s="2038"/>
      <c r="AS72" s="2038"/>
      <c r="AT72" s="2038"/>
      <c r="AU72" s="2038"/>
      <c r="AV72" s="2038"/>
      <c r="AW72" s="2038"/>
      <c r="AX72" s="2038"/>
      <c r="AY72" s="2038"/>
      <c r="AZ72" s="2038"/>
    </row>
    <row r="73" spans="1:52" ht="18.75" customHeight="1" thickBot="1">
      <c r="A73" s="2162"/>
      <c r="B73" s="2337"/>
      <c r="C73" s="2337"/>
      <c r="D73" s="2337"/>
      <c r="E73" s="2122" t="s">
        <v>1285</v>
      </c>
      <c r="F73" s="896"/>
      <c r="G73" s="896"/>
      <c r="H73" s="896"/>
      <c r="I73" s="896"/>
      <c r="J73" s="896"/>
      <c r="K73" s="896"/>
      <c r="L73" s="896"/>
      <c r="M73" s="896"/>
      <c r="N73" s="896"/>
      <c r="O73" s="896"/>
      <c r="P73" s="896"/>
      <c r="Q73" s="896"/>
      <c r="R73" s="896"/>
      <c r="S73" s="896"/>
      <c r="T73" s="896"/>
      <c r="U73" s="896"/>
      <c r="V73" s="896"/>
      <c r="W73" s="896"/>
      <c r="X73" s="896"/>
      <c r="Y73" s="896"/>
      <c r="Z73" s="896"/>
      <c r="AA73" s="3614" t="s">
        <v>994</v>
      </c>
      <c r="AB73" s="1132">
        <v>21</v>
      </c>
      <c r="AC73" s="6898">
        <f>IF(AJ73&lt;&gt;"",ROUND(AJ73,0),SUM(SelfEmploymentTax,AN34,AC69))</f>
        <v>0</v>
      </c>
      <c r="AD73" s="6899"/>
      <c r="AE73" s="6899"/>
      <c r="AF73" s="6899"/>
      <c r="AG73" s="6899"/>
      <c r="AH73" s="2162"/>
      <c r="AI73" s="808"/>
      <c r="AJ73" s="2266"/>
      <c r="AK73" s="260"/>
      <c r="AL73" s="3295"/>
      <c r="AM73" s="902"/>
      <c r="AN73" s="4290"/>
      <c r="AO73" s="902"/>
      <c r="AP73" s="2725"/>
      <c r="AQ73" s="2038"/>
      <c r="AR73" s="2038"/>
      <c r="AS73" s="2038"/>
      <c r="AT73" s="2038"/>
      <c r="AU73" s="2038"/>
      <c r="AV73" s="2038"/>
      <c r="AW73" s="2038"/>
      <c r="AX73" s="2038"/>
      <c r="AY73" s="2038"/>
      <c r="AZ73" s="2038"/>
    </row>
    <row r="74" spans="1:52" ht="16.5" customHeight="1">
      <c r="A74" s="2162"/>
      <c r="B74" s="3284"/>
      <c r="C74" s="2376"/>
      <c r="D74" s="4293"/>
      <c r="E74" s="2377"/>
      <c r="F74" s="2377"/>
      <c r="G74" s="2377"/>
      <c r="H74" s="2377"/>
      <c r="I74" s="2377"/>
      <c r="J74" s="2377"/>
      <c r="K74" s="2377"/>
      <c r="L74" s="2377"/>
      <c r="M74" s="2377"/>
      <c r="N74" s="2377"/>
      <c r="O74" s="2377"/>
      <c r="P74" s="2377"/>
      <c r="Q74" s="2377"/>
      <c r="R74" s="2377"/>
      <c r="S74" s="2377"/>
      <c r="T74" s="3285"/>
      <c r="U74" s="3285"/>
      <c r="V74" s="3290"/>
      <c r="W74" s="2378"/>
      <c r="X74" s="2377"/>
      <c r="Y74" s="2377"/>
      <c r="Z74" s="2377"/>
      <c r="AA74" s="2377"/>
      <c r="AB74" s="2377"/>
      <c r="AC74" s="2377"/>
      <c r="AD74" s="2377"/>
      <c r="AE74" s="2377"/>
      <c r="AF74" s="2377"/>
      <c r="AG74" s="2374" t="str">
        <f>"Schedule 2 (Form 1040) "&amp;TaxYear</f>
        <v>Schedule 2 (Form 1040) 2023</v>
      </c>
      <c r="AH74" s="2162"/>
      <c r="AI74" s="808"/>
      <c r="AJ74" s="260"/>
      <c r="AK74" s="260"/>
      <c r="AL74" s="3295"/>
      <c r="AM74" s="902"/>
      <c r="AN74" s="4290"/>
      <c r="AO74" s="902"/>
      <c r="AP74" s="2725"/>
      <c r="AQ74" s="2038"/>
      <c r="AR74" s="2038"/>
      <c r="AS74" s="2038"/>
      <c r="AT74" s="2038"/>
      <c r="AU74" s="2038"/>
      <c r="AV74" s="2038"/>
      <c r="AW74" s="2038"/>
      <c r="AX74" s="2038"/>
      <c r="AY74" s="2038"/>
      <c r="AZ74" s="2038"/>
    </row>
    <row r="75" spans="1:52">
      <c r="A75" s="2162"/>
      <c r="B75" s="2162"/>
      <c r="C75" s="2162"/>
      <c r="D75" s="2162"/>
      <c r="E75" s="2162"/>
      <c r="F75" s="2162"/>
      <c r="G75" s="2162"/>
      <c r="H75" s="2162"/>
      <c r="I75" s="2162"/>
      <c r="J75" s="2162"/>
      <c r="K75" s="2162"/>
      <c r="L75" s="2162"/>
      <c r="M75" s="2162"/>
      <c r="N75" s="2162"/>
      <c r="O75" s="2162"/>
      <c r="P75" s="2162"/>
      <c r="Q75" s="2162"/>
      <c r="R75" s="2162"/>
      <c r="S75" s="2162"/>
      <c r="T75" s="2162"/>
      <c r="U75" s="2162"/>
      <c r="V75" s="2162"/>
      <c r="W75" s="2162"/>
      <c r="X75" s="2162"/>
      <c r="Y75" s="2162"/>
      <c r="Z75" s="2162"/>
      <c r="AA75" s="2162"/>
      <c r="AB75" s="2162"/>
      <c r="AC75" s="2162"/>
      <c r="AD75" s="2162"/>
      <c r="AE75" s="2162"/>
      <c r="AF75" s="2162"/>
      <c r="AG75" s="2162"/>
      <c r="AH75" s="2162"/>
      <c r="AJ75" s="260"/>
      <c r="AK75" s="260"/>
      <c r="AL75" s="3295"/>
      <c r="AM75" s="902"/>
      <c r="AN75" s="4290"/>
      <c r="AO75" s="902"/>
      <c r="AP75" s="2725"/>
      <c r="AQ75" s="2038"/>
      <c r="AR75" s="2038"/>
      <c r="AS75" s="2038"/>
      <c r="AT75" s="2038"/>
      <c r="AU75" s="2038"/>
      <c r="AV75" s="2038"/>
      <c r="AW75" s="2038"/>
      <c r="AX75" s="2038"/>
      <c r="AY75" s="2038"/>
      <c r="AZ75" s="2038"/>
    </row>
    <row r="78" spans="1:52">
      <c r="B78" s="5202" t="s">
        <v>46</v>
      </c>
    </row>
  </sheetData>
  <sheetProtection algorithmName="SHA-512" hashValue="he6Ww7f1+DHk7qC++Hx5MwMq2U0S2d2SW/tQG9iMj5dkGttXTgwLx42axOhYvlomKm47s2ues9ZxP3SYH+lPRw==" saltValue="oSxoM6l7DSH7atd0mr6mCA==" spinCount="100000" sheet="1" objects="1" scenarios="1"/>
  <mergeCells count="94">
    <mergeCell ref="AJ41:AJ42"/>
    <mergeCell ref="O67:T67"/>
    <mergeCell ref="AJ67:AJ68"/>
    <mergeCell ref="W64:AA64"/>
    <mergeCell ref="W65:AA65"/>
    <mergeCell ref="W66:AA66"/>
    <mergeCell ref="W67:AA67"/>
    <mergeCell ref="W59:AA59"/>
    <mergeCell ref="W60:AA60"/>
    <mergeCell ref="W61:AA61"/>
    <mergeCell ref="W62:AA62"/>
    <mergeCell ref="W63:AA63"/>
    <mergeCell ref="W54:AA54"/>
    <mergeCell ref="W55:AA55"/>
    <mergeCell ref="W57:AA57"/>
    <mergeCell ref="W58:AA58"/>
    <mergeCell ref="AC73:AG73"/>
    <mergeCell ref="E68:T68"/>
    <mergeCell ref="AC70:AG70"/>
    <mergeCell ref="W71:AA71"/>
    <mergeCell ref="AC72:AG72"/>
    <mergeCell ref="AC69:AG69"/>
    <mergeCell ref="W68:AA68"/>
    <mergeCell ref="W51:AA51"/>
    <mergeCell ref="W52:AA52"/>
    <mergeCell ref="W53:AA53"/>
    <mergeCell ref="W40:AA40"/>
    <mergeCell ref="W41:AA41"/>
    <mergeCell ref="W42:AA42"/>
    <mergeCell ref="W43:AA43"/>
    <mergeCell ref="W44:AA44"/>
    <mergeCell ref="W45:AA45"/>
    <mergeCell ref="W46:AA46"/>
    <mergeCell ref="W47:AA47"/>
    <mergeCell ref="W48:AA48"/>
    <mergeCell ref="W49:AA49"/>
    <mergeCell ref="W50:AA50"/>
    <mergeCell ref="W56:AA56"/>
    <mergeCell ref="AJ7:AJ9"/>
    <mergeCell ref="AC23:AG23"/>
    <mergeCell ref="AC24:AG24"/>
    <mergeCell ref="W16:AA16"/>
    <mergeCell ref="W17:AA17"/>
    <mergeCell ref="W18:AA18"/>
    <mergeCell ref="W19:AA19"/>
    <mergeCell ref="AC20:AG20"/>
    <mergeCell ref="AC13:AG13"/>
    <mergeCell ref="B8:AA9"/>
    <mergeCell ref="AB8:AG9"/>
    <mergeCell ref="B10:D10"/>
    <mergeCell ref="AC16:AG16"/>
    <mergeCell ref="AC21:AG21"/>
    <mergeCell ref="AC12:AG12"/>
    <mergeCell ref="AC43:AG43"/>
    <mergeCell ref="AC22:AG22"/>
    <mergeCell ref="AC27:AG27"/>
    <mergeCell ref="W39:AA39"/>
    <mergeCell ref="B2:F3"/>
    <mergeCell ref="AB2:AG2"/>
    <mergeCell ref="AB3:AG4"/>
    <mergeCell ref="B6:F6"/>
    <mergeCell ref="AC5:AG5"/>
    <mergeCell ref="AC6:AG6"/>
    <mergeCell ref="B4:F5"/>
    <mergeCell ref="AC11:AG11"/>
    <mergeCell ref="B14:D14"/>
    <mergeCell ref="AC15:AG15"/>
    <mergeCell ref="AC40:AG40"/>
    <mergeCell ref="AC42:AG42"/>
    <mergeCell ref="B37:D37"/>
    <mergeCell ref="AC25:AG25"/>
    <mergeCell ref="AC29:AG29"/>
    <mergeCell ref="AC33:AG33"/>
    <mergeCell ref="AC31:AG31"/>
    <mergeCell ref="AC28:AG28"/>
    <mergeCell ref="AC30:AG30"/>
    <mergeCell ref="AC32:AG32"/>
    <mergeCell ref="AC26:AG26"/>
    <mergeCell ref="E40:T40"/>
    <mergeCell ref="AC63:AG63"/>
    <mergeCell ref="AC65:AG65"/>
    <mergeCell ref="AC66:AG66"/>
    <mergeCell ref="AC68:AG68"/>
    <mergeCell ref="AC55:AG55"/>
    <mergeCell ref="AC56:AG56"/>
    <mergeCell ref="AC57:AG57"/>
    <mergeCell ref="AC59:AG59"/>
    <mergeCell ref="AC61:AG61"/>
    <mergeCell ref="AC45:AG45"/>
    <mergeCell ref="AC48:AG48"/>
    <mergeCell ref="AC50:AG50"/>
    <mergeCell ref="AC52:AG52"/>
    <mergeCell ref="AC54:AG54"/>
    <mergeCell ref="AC46:AG46"/>
  </mergeCells>
  <conditionalFormatting sqref="B8 AB8">
    <cfRule type="expression" dxfId="2805" priority="156">
      <formula>NoColor</formula>
    </cfRule>
  </conditionalFormatting>
  <conditionalFormatting sqref="E40:T40">
    <cfRule type="expression" dxfId="2804" priority="1">
      <formula>NoColor</formula>
    </cfRule>
  </conditionalFormatting>
  <conditionalFormatting sqref="E68:T68">
    <cfRule type="expression" dxfId="2803" priority="2">
      <formula>NoColor</formula>
    </cfRule>
  </conditionalFormatting>
  <conditionalFormatting sqref="G4">
    <cfRule type="expression" dxfId="2802" priority="126">
      <formula>NOT(Draft)</formula>
    </cfRule>
  </conditionalFormatting>
  <conditionalFormatting sqref="O67:T67">
    <cfRule type="expression" dxfId="2801" priority="3">
      <formula>NoColor</formula>
    </cfRule>
  </conditionalFormatting>
  <conditionalFormatting sqref="W16:AA19">
    <cfRule type="expression" dxfId="2800" priority="90">
      <formula>IF(NoColor,1,0)</formula>
    </cfRule>
  </conditionalFormatting>
  <conditionalFormatting sqref="W39:AA68">
    <cfRule type="expression" dxfId="2799" priority="5">
      <formula>IF(NoColor,1,0)</formula>
    </cfRule>
  </conditionalFormatting>
  <conditionalFormatting sqref="W71:AA71">
    <cfRule type="expression" dxfId="2798" priority="9">
      <formula>IF(NoColor,1,0)</formula>
    </cfRule>
  </conditionalFormatting>
  <conditionalFormatting sqref="Z22">
    <cfRule type="expression" dxfId="2797" priority="4">
      <formula>NoColor</formula>
    </cfRule>
  </conditionalFormatting>
  <conditionalFormatting sqref="AC22">
    <cfRule type="expression" dxfId="2796" priority="89">
      <formula>IF(NoColor,1,0)</formula>
    </cfRule>
  </conditionalFormatting>
  <conditionalFormatting sqref="AC28">
    <cfRule type="expression" dxfId="2795" priority="87">
      <formula>IF(NoColor,1,0)</formula>
    </cfRule>
  </conditionalFormatting>
  <conditionalFormatting sqref="AC30">
    <cfRule type="expression" dxfId="2794" priority="78">
      <formula>IF(NoColor,1,0)</formula>
    </cfRule>
  </conditionalFormatting>
  <conditionalFormatting sqref="AC32:AC33">
    <cfRule type="expression" dxfId="2793" priority="76">
      <formula>IF(NoColor,1,0)</formula>
    </cfRule>
  </conditionalFormatting>
  <conditionalFormatting sqref="AC38">
    <cfRule type="expression" dxfId="2792" priority="130">
      <formula>IF(NoColor,1,0)</formula>
    </cfRule>
  </conditionalFormatting>
  <conditionalFormatting sqref="AC73">
    <cfRule type="expression" dxfId="2791" priority="7">
      <formula>IF(NoColor,1,0)</formula>
    </cfRule>
  </conditionalFormatting>
  <conditionalFormatting sqref="AC11:AG13">
    <cfRule type="expression" dxfId="2790" priority="123">
      <formula>IF(NoColor,1,0)</formula>
    </cfRule>
  </conditionalFormatting>
  <conditionalFormatting sqref="AC15:AG21">
    <cfRule type="expression" dxfId="2789" priority="88">
      <formula>IF(NoColor,1,0)</formula>
    </cfRule>
  </conditionalFormatting>
  <conditionalFormatting sqref="AC23:AG27">
    <cfRule type="expression" dxfId="2788" priority="86">
      <formula>IF(NoColor,1,0)</formula>
    </cfRule>
  </conditionalFormatting>
  <conditionalFormatting sqref="AC29:AG29">
    <cfRule type="expression" dxfId="2787" priority="84">
      <formula>IF(NoColor,1,0)</formula>
    </cfRule>
  </conditionalFormatting>
  <conditionalFormatting sqref="AC31:AG31">
    <cfRule type="expression" dxfId="2786" priority="82">
      <formula>IF(NoColor,1,0)</formula>
    </cfRule>
  </conditionalFormatting>
  <conditionalFormatting sqref="AC69:AG69">
    <cfRule type="expression" dxfId="2785" priority="42">
      <formula>IF(NoColor,1,0)</formula>
    </cfRule>
  </conditionalFormatting>
  <conditionalFormatting sqref="AC72:AG72">
    <cfRule type="expression" dxfId="2784" priority="8">
      <formula>IF(NoColor,1,0)</formula>
    </cfRule>
  </conditionalFormatting>
  <pageMargins left="0.75" right="0.25" top="0.36" bottom="0.28999999999999998" header="0.36" footer="0.21"/>
  <pageSetup scale="85" fitToHeight="0" orientation="portrait" r:id="rId1"/>
  <rowBreaks count="1" manualBreakCount="1">
    <brk id="35"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Y63"/>
  <sheetViews>
    <sheetView zoomScaleNormal="100" zoomScaleSheetLayoutView="130" workbookViewId="0"/>
  </sheetViews>
  <sheetFormatPr defaultColWidth="3.42578125" defaultRowHeight="12.75"/>
  <cols>
    <col min="1" max="1" width="3.42578125" style="39"/>
    <col min="2" max="2" width="4.7109375" style="39" customWidth="1"/>
    <col min="3" max="3" width="2.5703125" style="39" customWidth="1"/>
    <col min="4" max="5" width="3.85546875" style="39" customWidth="1"/>
    <col min="6" max="6" width="5.7109375" style="39" customWidth="1"/>
    <col min="7" max="18" width="3.42578125" style="39" customWidth="1"/>
    <col min="19" max="19" width="7.140625" style="39" customWidth="1"/>
    <col min="20" max="20" width="7.28515625" style="39" customWidth="1"/>
    <col min="21" max="21" width="1.140625" style="39" customWidth="1"/>
    <col min="22" max="22" width="4.7109375" style="39" customWidth="1"/>
    <col min="23" max="26" width="4.28515625" style="39" customWidth="1"/>
    <col min="27" max="27" width="2" style="39" customWidth="1"/>
    <col min="28" max="28" width="5.7109375" style="39" customWidth="1"/>
    <col min="29" max="33" width="3.85546875" style="39" customWidth="1"/>
    <col min="34" max="34" width="3.42578125" style="39"/>
    <col min="35" max="35" width="2.140625" style="39" customWidth="1"/>
    <col min="36" max="36" width="15" style="39" customWidth="1"/>
    <col min="37" max="37" width="2.5703125" style="39" customWidth="1"/>
    <col min="38" max="38" width="21.85546875" style="39" customWidth="1"/>
    <col min="39" max="39" width="6.28515625" style="39" customWidth="1"/>
    <col min="40" max="40" width="3.42578125" style="39"/>
    <col min="41" max="41" width="10.7109375" style="2396" customWidth="1"/>
    <col min="42" max="51" width="10.7109375" style="2038" customWidth="1"/>
    <col min="52" max="53" width="3.42578125" style="39"/>
    <col min="54" max="64" width="3.28515625" style="39" customWidth="1"/>
    <col min="65" max="16384" width="3.42578125" style="39"/>
  </cols>
  <sheetData>
    <row r="1" spans="1:51" ht="15">
      <c r="A1" s="2162"/>
      <c r="B1" s="2162"/>
      <c r="C1" s="2162"/>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892"/>
      <c r="AJ1" s="260"/>
      <c r="AO1" s="2395" t="s">
        <v>241</v>
      </c>
    </row>
    <row r="2" spans="1:51" ht="12" customHeight="1">
      <c r="A2" s="2162"/>
      <c r="B2" s="6914" t="s">
        <v>1286</v>
      </c>
      <c r="C2" s="6915"/>
      <c r="D2" s="6915"/>
      <c r="E2" s="6915"/>
      <c r="F2" s="6916"/>
      <c r="G2" s="6923" t="s">
        <v>1287</v>
      </c>
      <c r="H2" s="6924"/>
      <c r="I2" s="6924"/>
      <c r="J2" s="6924"/>
      <c r="K2" s="6924"/>
      <c r="L2" s="6924"/>
      <c r="M2" s="6924"/>
      <c r="N2" s="6924"/>
      <c r="O2" s="6924"/>
      <c r="P2" s="6924"/>
      <c r="Q2" s="6924"/>
      <c r="R2" s="6924"/>
      <c r="S2" s="6924"/>
      <c r="T2" s="6924"/>
      <c r="U2" s="6924"/>
      <c r="V2" s="6924"/>
      <c r="W2" s="6924"/>
      <c r="X2" s="6924"/>
      <c r="Y2" s="6924"/>
      <c r="Z2" s="6924"/>
      <c r="AA2" s="6925"/>
      <c r="AB2" s="6917" t="s">
        <v>576</v>
      </c>
      <c r="AC2" s="6918"/>
      <c r="AD2" s="6918"/>
      <c r="AE2" s="6918"/>
      <c r="AF2" s="6918"/>
      <c r="AG2" s="6918"/>
      <c r="AH2" s="2162"/>
      <c r="AI2" s="892"/>
      <c r="AJ2" s="260"/>
    </row>
    <row r="3" spans="1:51" ht="16.5" customHeight="1">
      <c r="A3" s="2162"/>
      <c r="B3" s="6915"/>
      <c r="C3" s="6915"/>
      <c r="D3" s="6915"/>
      <c r="E3" s="6915"/>
      <c r="F3" s="6916"/>
      <c r="G3" s="6923"/>
      <c r="H3" s="6924"/>
      <c r="I3" s="6924"/>
      <c r="J3" s="6924"/>
      <c r="K3" s="6924"/>
      <c r="L3" s="6924"/>
      <c r="M3" s="6924"/>
      <c r="N3" s="6924"/>
      <c r="O3" s="6924"/>
      <c r="P3" s="6924"/>
      <c r="Q3" s="6924"/>
      <c r="R3" s="6924"/>
      <c r="S3" s="6924"/>
      <c r="T3" s="6924"/>
      <c r="U3" s="6924"/>
      <c r="V3" s="6924"/>
      <c r="W3" s="6924"/>
      <c r="X3" s="6924"/>
      <c r="Y3" s="6924"/>
      <c r="Z3" s="6924"/>
      <c r="AA3" s="6925"/>
      <c r="AB3" s="6863">
        <f>TaxYear</f>
        <v>2023</v>
      </c>
      <c r="AC3" s="6864"/>
      <c r="AD3" s="6864"/>
      <c r="AE3" s="6864"/>
      <c r="AF3" s="6864"/>
      <c r="AG3" s="6864"/>
      <c r="AH3" s="2162"/>
      <c r="AI3" s="892"/>
      <c r="AJ3" s="260"/>
    </row>
    <row r="4" spans="1:51" ht="14.25" customHeight="1">
      <c r="A4" s="2162"/>
      <c r="B4" s="6747"/>
      <c r="C4" s="6748"/>
      <c r="D4" s="6748"/>
      <c r="E4" s="6748"/>
      <c r="F4" s="6749"/>
      <c r="G4" s="2390"/>
      <c r="H4" s="808"/>
      <c r="I4" s="808"/>
      <c r="J4" s="808"/>
      <c r="K4" s="808"/>
      <c r="L4" s="808"/>
      <c r="M4" s="808"/>
      <c r="N4" s="808"/>
      <c r="O4" s="808"/>
      <c r="P4" s="808"/>
      <c r="Q4" s="1376" t="s">
        <v>880</v>
      </c>
      <c r="R4" s="808"/>
      <c r="S4" s="808"/>
      <c r="T4" s="808"/>
      <c r="U4" s="808"/>
      <c r="V4" s="808"/>
      <c r="W4" s="808"/>
      <c r="X4" s="808"/>
      <c r="Y4" s="808"/>
      <c r="Z4" s="808"/>
      <c r="AA4" s="808"/>
      <c r="AB4" s="6865"/>
      <c r="AC4" s="6733"/>
      <c r="AD4" s="6733"/>
      <c r="AE4" s="6733"/>
      <c r="AF4" s="6733"/>
      <c r="AG4" s="6733"/>
      <c r="AH4" s="2162"/>
      <c r="AI4" s="892"/>
      <c r="AJ4" s="260"/>
    </row>
    <row r="5" spans="1:51" ht="14.25" customHeight="1">
      <c r="A5" s="2162"/>
      <c r="B5" s="6872" t="s">
        <v>535</v>
      </c>
      <c r="C5" s="6872"/>
      <c r="D5" s="6872"/>
      <c r="E5" s="6872"/>
      <c r="F5" s="6873"/>
      <c r="G5" s="2485"/>
      <c r="H5" s="808"/>
      <c r="I5" s="808"/>
      <c r="J5" s="808"/>
      <c r="K5" s="808"/>
      <c r="L5" s="808"/>
      <c r="M5" s="899"/>
      <c r="N5" s="899"/>
      <c r="O5" s="899"/>
      <c r="P5" s="899"/>
      <c r="Q5" s="1376" t="s">
        <v>882</v>
      </c>
      <c r="R5" s="808"/>
      <c r="S5" s="808"/>
      <c r="T5" s="808"/>
      <c r="U5" s="808"/>
      <c r="V5" s="808"/>
      <c r="W5" s="808"/>
      <c r="X5" s="808"/>
      <c r="Y5" s="808"/>
      <c r="Z5" s="808"/>
      <c r="AA5" s="860"/>
      <c r="AB5" s="2382"/>
      <c r="AC5" s="6739" t="s">
        <v>1288</v>
      </c>
      <c r="AD5" s="6919"/>
      <c r="AE5" s="6919"/>
      <c r="AF5" s="6919"/>
      <c r="AG5" s="6919"/>
      <c r="AH5" s="2162"/>
      <c r="AI5" s="892"/>
      <c r="AJ5" s="260"/>
    </row>
    <row r="6" spans="1:51" ht="13.5" thickBot="1">
      <c r="A6" s="2162"/>
      <c r="B6" s="6921" t="s">
        <v>537</v>
      </c>
      <c r="C6" s="6921"/>
      <c r="D6" s="6921"/>
      <c r="E6" s="6921"/>
      <c r="F6" s="6922"/>
      <c r="G6" s="2399"/>
      <c r="H6" s="2400"/>
      <c r="I6" s="2399"/>
      <c r="J6" s="2401"/>
      <c r="K6" s="2400"/>
      <c r="L6" s="2400"/>
      <c r="M6" s="2400"/>
      <c r="N6" s="2400"/>
      <c r="O6" s="2400"/>
      <c r="P6" s="2400"/>
      <c r="Q6" s="2400"/>
      <c r="R6" s="2400"/>
      <c r="S6" s="2400"/>
      <c r="T6" s="2400"/>
      <c r="U6" s="2400"/>
      <c r="V6" s="2400"/>
      <c r="W6" s="2400"/>
      <c r="X6" s="2400"/>
      <c r="Y6" s="2400"/>
      <c r="Z6" s="2400"/>
      <c r="AA6" s="2400"/>
      <c r="AB6" s="2383"/>
      <c r="AC6" s="6920"/>
      <c r="AD6" s="6920"/>
      <c r="AE6" s="6920"/>
      <c r="AF6" s="6920"/>
      <c r="AG6" s="6920"/>
      <c r="AH6" s="2162"/>
      <c r="AI6" s="892"/>
      <c r="AJ6" s="260"/>
      <c r="AL6" s="902"/>
    </row>
    <row r="7" spans="1:51">
      <c r="A7" s="2162"/>
      <c r="B7" s="878" t="s">
        <v>883</v>
      </c>
      <c r="C7" s="808"/>
      <c r="D7" s="808"/>
      <c r="E7" s="808"/>
      <c r="F7" s="808"/>
      <c r="G7" s="808"/>
      <c r="H7" s="808"/>
      <c r="I7" s="808"/>
      <c r="J7" s="808"/>
      <c r="K7" s="808"/>
      <c r="L7" s="808"/>
      <c r="M7" s="808"/>
      <c r="N7" s="808"/>
      <c r="O7" s="808"/>
      <c r="P7" s="808"/>
      <c r="Q7" s="808"/>
      <c r="R7" s="808"/>
      <c r="S7" s="808"/>
      <c r="T7" s="808"/>
      <c r="U7" s="808"/>
      <c r="V7" s="808"/>
      <c r="W7" s="808"/>
      <c r="X7" s="808"/>
      <c r="Y7" s="808"/>
      <c r="Z7" s="808"/>
      <c r="AA7" s="808"/>
      <c r="AB7" s="4909" t="s">
        <v>586</v>
      </c>
      <c r="AC7" s="2411"/>
      <c r="AD7" s="2411"/>
      <c r="AE7" s="2411"/>
      <c r="AF7" s="2411"/>
      <c r="AG7" s="2411"/>
      <c r="AH7" s="2162"/>
      <c r="AI7" s="892"/>
      <c r="AJ7" s="6706" t="s">
        <v>637</v>
      </c>
      <c r="AL7" s="1874" t="b">
        <f>AND(ForeignTaxPaid&lt;&gt;"",ForeignTaxPaid&gt;0,ForeignTaxPaid_F1116=0)</f>
        <v>0</v>
      </c>
    </row>
    <row r="8" spans="1:51" ht="9.75" customHeight="1">
      <c r="A8" s="2162"/>
      <c r="B8" s="6750" t="str">
        <f>Names</f>
        <v/>
      </c>
      <c r="C8" s="6751"/>
      <c r="D8" s="6751"/>
      <c r="E8" s="6751"/>
      <c r="F8" s="6751"/>
      <c r="G8" s="6751"/>
      <c r="H8" s="6751"/>
      <c r="I8" s="6751"/>
      <c r="J8" s="6751"/>
      <c r="K8" s="6751"/>
      <c r="L8" s="6751"/>
      <c r="M8" s="6751"/>
      <c r="N8" s="6751"/>
      <c r="O8" s="6751"/>
      <c r="P8" s="6751"/>
      <c r="Q8" s="6751"/>
      <c r="R8" s="6751"/>
      <c r="S8" s="6751"/>
      <c r="T8" s="6751"/>
      <c r="U8" s="6751"/>
      <c r="V8" s="6751"/>
      <c r="W8" s="6751"/>
      <c r="X8" s="6751"/>
      <c r="Y8" s="6751"/>
      <c r="Z8" s="6751"/>
      <c r="AA8" s="6752"/>
      <c r="AB8" s="6732">
        <f>IF(NoSSN,"",SS_Yours)</f>
        <v>1010001</v>
      </c>
      <c r="AC8" s="6733"/>
      <c r="AD8" s="6733"/>
      <c r="AE8" s="6733"/>
      <c r="AF8" s="6733"/>
      <c r="AG8" s="6733"/>
      <c r="AH8" s="2162"/>
      <c r="AI8" s="892"/>
      <c r="AJ8" s="6707"/>
    </row>
    <row r="9" spans="1:51" ht="9.75" customHeight="1">
      <c r="A9" s="2162"/>
      <c r="B9" s="6339"/>
      <c r="C9" s="6339"/>
      <c r="D9" s="6339"/>
      <c r="E9" s="6339"/>
      <c r="F9" s="6339"/>
      <c r="G9" s="6339"/>
      <c r="H9" s="6339"/>
      <c r="I9" s="6339"/>
      <c r="J9" s="6339"/>
      <c r="K9" s="6339"/>
      <c r="L9" s="6339"/>
      <c r="M9" s="6339"/>
      <c r="N9" s="6339"/>
      <c r="O9" s="6339"/>
      <c r="P9" s="6339"/>
      <c r="Q9" s="6339"/>
      <c r="R9" s="6339"/>
      <c r="S9" s="6339"/>
      <c r="T9" s="6339"/>
      <c r="U9" s="6339"/>
      <c r="V9" s="6339"/>
      <c r="W9" s="6339"/>
      <c r="X9" s="6339"/>
      <c r="Y9" s="6339"/>
      <c r="Z9" s="6339"/>
      <c r="AA9" s="6753"/>
      <c r="AB9" s="6734"/>
      <c r="AC9" s="6731"/>
      <c r="AD9" s="6731"/>
      <c r="AE9" s="6731"/>
      <c r="AF9" s="6731"/>
      <c r="AG9" s="6731"/>
      <c r="AH9" s="2162"/>
      <c r="AI9" s="892"/>
      <c r="AJ9" s="6708"/>
    </row>
    <row r="10" spans="1:51" ht="23.25" customHeight="1">
      <c r="A10" s="2162"/>
      <c r="B10" s="6909" t="s">
        <v>884</v>
      </c>
      <c r="C10" s="6910"/>
      <c r="D10" s="6911"/>
      <c r="E10" s="2452"/>
      <c r="F10" s="3728" t="s">
        <v>1289</v>
      </c>
      <c r="G10" s="2452"/>
      <c r="H10" s="2452"/>
      <c r="I10" s="2452"/>
      <c r="J10" s="2452"/>
      <c r="K10" s="2452"/>
      <c r="L10" s="1122"/>
      <c r="M10" s="1122"/>
      <c r="N10" s="1122"/>
      <c r="O10" s="1122"/>
      <c r="P10" s="1122"/>
      <c r="Q10" s="1122"/>
      <c r="R10" s="1122"/>
      <c r="S10" s="1122"/>
      <c r="T10" s="1122"/>
      <c r="U10" s="1122"/>
      <c r="V10" s="1122"/>
      <c r="W10" s="1122"/>
      <c r="X10" s="1122"/>
      <c r="Y10" s="1122"/>
      <c r="Z10" s="1122"/>
      <c r="AA10" s="1122"/>
      <c r="AB10" s="1122"/>
      <c r="AC10" s="1122"/>
      <c r="AD10" s="1122"/>
      <c r="AE10" s="1122"/>
      <c r="AF10" s="1122"/>
      <c r="AG10" s="1122"/>
      <c r="AH10" s="2162"/>
      <c r="AI10" s="808"/>
      <c r="AJ10" s="260"/>
      <c r="AL10" s="6926" t="str">
        <f>IF(AL7,"See"&amp;CHAR(10)&amp;"Form 1116, Foreign Tax Credit,"&amp;CHAR(10)&amp;"to determine if the form"&amp;CHAR(10)&amp;"needs to be filed.","")</f>
        <v/>
      </c>
      <c r="AM10" s="6926"/>
      <c r="AO10" s="2038"/>
      <c r="AQ10" s="2396"/>
      <c r="AR10" s="2396"/>
      <c r="AS10" s="2396"/>
      <c r="AT10" s="2396"/>
      <c r="AU10" s="2396"/>
      <c r="AV10" s="2396"/>
      <c r="AW10" s="2396"/>
      <c r="AX10" s="2396"/>
      <c r="AY10" s="2396"/>
    </row>
    <row r="11" spans="1:51" ht="20.25" customHeight="1">
      <c r="A11" s="2162"/>
      <c r="B11" s="1366">
        <v>1</v>
      </c>
      <c r="C11" s="2177"/>
      <c r="D11" s="1108" t="s">
        <v>1290</v>
      </c>
      <c r="E11" s="892"/>
      <c r="F11" s="808"/>
      <c r="G11" s="808"/>
      <c r="H11" s="808"/>
      <c r="I11" s="808"/>
      <c r="J11" s="808"/>
      <c r="K11" s="808"/>
      <c r="L11" s="808"/>
      <c r="M11" s="808"/>
      <c r="N11" s="808"/>
      <c r="O11" s="808"/>
      <c r="P11" s="808"/>
      <c r="Q11" s="808"/>
      <c r="R11" s="2121"/>
      <c r="S11" s="2119"/>
      <c r="T11" s="808"/>
      <c r="U11" s="808"/>
      <c r="V11" s="808"/>
      <c r="W11" s="808"/>
      <c r="X11" s="808"/>
      <c r="Y11" s="808"/>
      <c r="Z11" s="808"/>
      <c r="AA11" s="1128" t="s">
        <v>898</v>
      </c>
      <c r="AB11" s="3721">
        <v>1</v>
      </c>
      <c r="AC11" s="6720" t="str">
        <f>IF(AJ11&lt;&gt;"",ROUND(AJ11,0),IF(AC12&gt;0,AC12,""))</f>
        <v/>
      </c>
      <c r="AD11" s="6721"/>
      <c r="AE11" s="6721"/>
      <c r="AF11" s="6721"/>
      <c r="AG11" s="6721"/>
      <c r="AH11" s="2162"/>
      <c r="AI11" s="892"/>
      <c r="AJ11" s="4625"/>
      <c r="AL11" s="6926"/>
      <c r="AM11" s="6926"/>
    </row>
    <row r="12" spans="1:51" ht="20.25" customHeight="1">
      <c r="A12" s="2162"/>
      <c r="B12" s="1366">
        <v>2</v>
      </c>
      <c r="C12" s="2177"/>
      <c r="D12" s="1108" t="s">
        <v>1291</v>
      </c>
      <c r="E12" s="892"/>
      <c r="F12" s="808"/>
      <c r="G12" s="808"/>
      <c r="H12" s="808"/>
      <c r="I12" s="808"/>
      <c r="J12" s="808"/>
      <c r="K12" s="808"/>
      <c r="L12" s="808"/>
      <c r="M12" s="808"/>
      <c r="N12" s="808"/>
      <c r="O12" s="808"/>
      <c r="P12" s="808"/>
      <c r="Q12" s="808"/>
      <c r="R12" s="2121"/>
      <c r="S12" s="2119"/>
      <c r="T12" s="808"/>
      <c r="U12" s="808"/>
      <c r="V12" s="808"/>
      <c r="W12" s="808"/>
      <c r="X12" s="808"/>
      <c r="Y12" s="808"/>
      <c r="Z12" s="808"/>
      <c r="AA12" s="1128"/>
      <c r="AB12" s="3725"/>
      <c r="AC12" s="6912">
        <f>IF(ForeignTaxPaid&gt;0,SUM(ForeignTaxCredit_1,ForeignTaxCredit_2,ForeignTaxCredit_3),0)</f>
        <v>0</v>
      </c>
      <c r="AD12" s="6913"/>
      <c r="AE12" s="6913"/>
      <c r="AF12" s="6913"/>
      <c r="AG12" s="6913"/>
      <c r="AH12" s="2162"/>
      <c r="AI12" s="892"/>
      <c r="AJ12" s="260"/>
      <c r="AL12" s="6926"/>
      <c r="AM12" s="6926"/>
    </row>
    <row r="13" spans="1:51" ht="20.25" customHeight="1">
      <c r="A13" s="2162"/>
      <c r="B13" s="1366"/>
      <c r="C13" s="2177"/>
      <c r="D13" s="1108" t="s">
        <v>1292</v>
      </c>
      <c r="E13" s="808"/>
      <c r="F13" s="808"/>
      <c r="G13" s="808"/>
      <c r="H13" s="808"/>
      <c r="I13" s="808"/>
      <c r="J13" s="808"/>
      <c r="K13" s="808"/>
      <c r="L13" s="808"/>
      <c r="M13" s="808"/>
      <c r="N13" s="808"/>
      <c r="O13" s="808"/>
      <c r="P13" s="808"/>
      <c r="Q13" s="808"/>
      <c r="R13" s="2121"/>
      <c r="S13" s="2119"/>
      <c r="T13" s="808"/>
      <c r="U13" s="808"/>
      <c r="V13" s="808"/>
      <c r="W13" s="808"/>
      <c r="X13" s="808"/>
      <c r="Y13" s="808"/>
      <c r="Z13" s="808"/>
      <c r="AA13" s="1128" t="s">
        <v>1293</v>
      </c>
      <c r="AB13" s="3724">
        <v>2</v>
      </c>
      <c r="AC13" s="6720" t="str">
        <f>IF(AJ13&lt;&gt;"",ROUND(AJ13,0),IF(F2441_NonRefund&gt;0,F2441_NonRefund,""))</f>
        <v/>
      </c>
      <c r="AD13" s="6721"/>
      <c r="AE13" s="6721"/>
      <c r="AF13" s="6721"/>
      <c r="AG13" s="6721"/>
      <c r="AH13" s="2162"/>
      <c r="AI13" s="892"/>
      <c r="AJ13" s="4625"/>
      <c r="AL13" s="4160"/>
      <c r="AM13" s="4160"/>
    </row>
    <row r="14" spans="1:51" ht="20.25" customHeight="1">
      <c r="A14" s="2162"/>
      <c r="B14" s="1366">
        <v>3</v>
      </c>
      <c r="C14" s="2177"/>
      <c r="D14" s="2446" t="s">
        <v>1294</v>
      </c>
      <c r="E14" s="892"/>
      <c r="F14" s="808"/>
      <c r="G14" s="808"/>
      <c r="H14" s="808"/>
      <c r="I14" s="808"/>
      <c r="J14" s="808"/>
      <c r="K14" s="808"/>
      <c r="L14" s="808"/>
      <c r="M14" s="808"/>
      <c r="N14" s="808"/>
      <c r="O14" s="808"/>
      <c r="P14" s="808"/>
      <c r="Q14" s="808"/>
      <c r="R14" s="2121"/>
      <c r="S14" s="2119"/>
      <c r="T14" s="808"/>
      <c r="U14" s="808"/>
      <c r="V14" s="808"/>
      <c r="W14" s="808"/>
      <c r="X14" s="808"/>
      <c r="Y14" s="808"/>
      <c r="Z14" s="808"/>
      <c r="AA14" s="1128" t="s">
        <v>1005</v>
      </c>
      <c r="AB14" s="3722">
        <v>3</v>
      </c>
      <c r="AC14" s="6701" t="str">
        <f>IF(AJ14&lt;&gt;"",ROUND(AJ14,0),EducationCredits_NR)</f>
        <v/>
      </c>
      <c r="AD14" s="6717"/>
      <c r="AE14" s="6717"/>
      <c r="AF14" s="6717"/>
      <c r="AG14" s="6717"/>
      <c r="AH14" s="2162"/>
      <c r="AI14" s="892"/>
      <c r="AJ14" s="4625"/>
      <c r="AL14" s="4160"/>
      <c r="AM14" s="4160"/>
    </row>
    <row r="15" spans="1:51" ht="20.25" customHeight="1">
      <c r="A15" s="2162"/>
      <c r="B15" s="1366">
        <v>4</v>
      </c>
      <c r="C15" s="2177"/>
      <c r="D15" s="1108" t="s">
        <v>1295</v>
      </c>
      <c r="E15" s="808"/>
      <c r="F15" s="808"/>
      <c r="G15" s="808"/>
      <c r="H15" s="808"/>
      <c r="I15" s="808"/>
      <c r="J15" s="808"/>
      <c r="K15" s="808"/>
      <c r="L15" s="808"/>
      <c r="M15" s="808"/>
      <c r="N15" s="808"/>
      <c r="O15" s="808"/>
      <c r="P15" s="808"/>
      <c r="Q15" s="808"/>
      <c r="R15" s="2121"/>
      <c r="S15" s="2119"/>
      <c r="T15" s="808"/>
      <c r="U15" s="808"/>
      <c r="V15" s="808"/>
      <c r="W15" s="808"/>
      <c r="X15" s="808"/>
      <c r="Y15" s="808"/>
      <c r="Z15" s="808"/>
      <c r="AA15" s="1128" t="s">
        <v>1012</v>
      </c>
      <c r="AB15" s="3722">
        <v>4</v>
      </c>
      <c r="AC15" s="6741" t="str">
        <f>IF(AJ15&lt;&gt;"",ROUND(AJ15,0),F8880_Credit)</f>
        <v/>
      </c>
      <c r="AD15" s="6742"/>
      <c r="AE15" s="6742"/>
      <c r="AF15" s="6742"/>
      <c r="AG15" s="6742"/>
      <c r="AH15" s="2162"/>
      <c r="AI15" s="892"/>
      <c r="AJ15" s="4625"/>
      <c r="AL15" s="2671">
        <f>IF(Retirement_Savings="",0,ROUND(Retirement_Savings,0))</f>
        <v>0</v>
      </c>
    </row>
    <row r="16" spans="1:51" ht="20.25" customHeight="1">
      <c r="A16" s="2162"/>
      <c r="B16" s="1366">
        <v>5</v>
      </c>
      <c r="C16" s="2177" t="s">
        <v>640</v>
      </c>
      <c r="D16" s="1108" t="s">
        <v>5494</v>
      </c>
      <c r="E16" s="808"/>
      <c r="F16" s="808"/>
      <c r="G16" s="808"/>
      <c r="H16" s="808"/>
      <c r="I16" s="808"/>
      <c r="J16" s="808"/>
      <c r="K16" s="808"/>
      <c r="L16" s="808"/>
      <c r="M16" s="808"/>
      <c r="N16" s="808"/>
      <c r="O16" s="808"/>
      <c r="P16" s="808"/>
      <c r="Q16" s="808"/>
      <c r="R16" s="2121"/>
      <c r="S16" s="2119"/>
      <c r="T16" s="808"/>
      <c r="U16" s="808"/>
      <c r="V16" s="808"/>
      <c r="W16" s="808"/>
      <c r="X16" s="808"/>
      <c r="Y16" s="808"/>
      <c r="Z16" s="808"/>
      <c r="AA16" s="1128" t="s">
        <v>911</v>
      </c>
      <c r="AB16" s="3722" t="s">
        <v>682</v>
      </c>
      <c r="AC16" s="6722"/>
      <c r="AD16" s="6723"/>
      <c r="AE16" s="6723"/>
      <c r="AF16" s="6723"/>
      <c r="AG16" s="6723"/>
      <c r="AH16" s="2162"/>
      <c r="AI16" s="892"/>
      <c r="AJ16" s="260"/>
      <c r="AL16" s="2671">
        <f>IF(AC16="",0,ROUND(AC16,0))</f>
        <v>0</v>
      </c>
    </row>
    <row r="17" spans="1:38" ht="20.25" customHeight="1">
      <c r="A17" s="2162"/>
      <c r="B17" s="1366"/>
      <c r="C17" s="2177" t="s">
        <v>644</v>
      </c>
      <c r="D17" s="1108" t="s">
        <v>5495</v>
      </c>
      <c r="E17" s="808"/>
      <c r="F17" s="808"/>
      <c r="G17" s="808"/>
      <c r="H17" s="808"/>
      <c r="I17" s="808"/>
      <c r="J17" s="808"/>
      <c r="K17" s="808"/>
      <c r="L17" s="808"/>
      <c r="M17" s="808"/>
      <c r="N17" s="808"/>
      <c r="O17" s="808"/>
      <c r="P17" s="808"/>
      <c r="Q17" s="808"/>
      <c r="R17" s="2121"/>
      <c r="S17" s="2119"/>
      <c r="T17" s="808"/>
      <c r="U17" s="808"/>
      <c r="V17" s="808"/>
      <c r="W17" s="808"/>
      <c r="X17" s="808"/>
      <c r="Y17" s="808"/>
      <c r="Z17" s="808"/>
      <c r="AA17" s="1128" t="s">
        <v>990</v>
      </c>
      <c r="AB17" s="3722" t="s">
        <v>1119</v>
      </c>
      <c r="AC17" s="6722"/>
      <c r="AD17" s="6723"/>
      <c r="AE17" s="6723"/>
      <c r="AF17" s="6723"/>
      <c r="AG17" s="6723"/>
      <c r="AH17" s="2162"/>
      <c r="AI17" s="892"/>
      <c r="AJ17" s="260"/>
      <c r="AL17" s="2671">
        <f>IF(AC17="",0,ROUND(AC17,0))</f>
        <v>0</v>
      </c>
    </row>
    <row r="18" spans="1:38" ht="20.25" customHeight="1">
      <c r="A18" s="2162"/>
      <c r="B18" s="1366">
        <v>6</v>
      </c>
      <c r="C18" s="2177"/>
      <c r="D18" s="1108" t="s">
        <v>1296</v>
      </c>
      <c r="E18" s="808"/>
      <c r="F18" s="808"/>
      <c r="G18" s="808"/>
      <c r="H18" s="808"/>
      <c r="I18" s="808"/>
      <c r="J18" s="808"/>
      <c r="K18" s="808"/>
      <c r="L18" s="808"/>
      <c r="M18" s="808"/>
      <c r="N18" s="808"/>
      <c r="O18" s="808"/>
      <c r="P18" s="808"/>
      <c r="Q18" s="808"/>
      <c r="R18" s="808"/>
      <c r="S18" s="808"/>
      <c r="T18" s="808"/>
      <c r="U18" s="808"/>
      <c r="V18" s="1126"/>
      <c r="W18" s="6941"/>
      <c r="X18" s="6942"/>
      <c r="Y18" s="6942"/>
      <c r="Z18" s="6942"/>
      <c r="AA18" s="6943"/>
      <c r="AB18" s="2416"/>
      <c r="AC18" s="6893"/>
      <c r="AD18" s="6936"/>
      <c r="AE18" s="6936"/>
      <c r="AF18" s="6936"/>
      <c r="AG18" s="6936"/>
      <c r="AH18" s="2162"/>
      <c r="AI18" s="892"/>
      <c r="AJ18" s="260"/>
      <c r="AL18" s="2671"/>
    </row>
    <row r="19" spans="1:38" ht="20.25" customHeight="1">
      <c r="A19" s="2162"/>
      <c r="B19" s="1366"/>
      <c r="C19" s="1895" t="s">
        <v>640</v>
      </c>
      <c r="D19" s="1108" t="s">
        <v>1297</v>
      </c>
      <c r="E19" s="808"/>
      <c r="F19" s="808"/>
      <c r="G19" s="808"/>
      <c r="H19" s="808"/>
      <c r="I19" s="808"/>
      <c r="J19" s="808"/>
      <c r="K19" s="808"/>
      <c r="L19" s="808"/>
      <c r="M19" s="808"/>
      <c r="N19" s="808"/>
      <c r="O19" s="808"/>
      <c r="P19" s="808"/>
      <c r="Q19" s="808"/>
      <c r="R19" s="808"/>
      <c r="S19" s="808"/>
      <c r="T19" s="808"/>
      <c r="U19" s="1128" t="s">
        <v>1298</v>
      </c>
      <c r="V19" s="3724" t="s">
        <v>1129</v>
      </c>
      <c r="W19" s="6859"/>
      <c r="X19" s="6729"/>
      <c r="Y19" s="6729"/>
      <c r="Z19" s="6729"/>
      <c r="AA19" s="6929"/>
      <c r="AB19" s="2416"/>
      <c r="AC19" s="6933">
        <f>IF(W19="",0,ROUND(W19,0))</f>
        <v>0</v>
      </c>
      <c r="AD19" s="6934"/>
      <c r="AE19" s="6934"/>
      <c r="AF19" s="6934"/>
      <c r="AG19" s="6934"/>
      <c r="AH19" s="2162"/>
      <c r="AI19" s="892"/>
      <c r="AJ19" s="260"/>
      <c r="AL19" s="2671"/>
    </row>
    <row r="20" spans="1:38" ht="20.25" customHeight="1">
      <c r="A20" s="2162"/>
      <c r="B20" s="1366"/>
      <c r="C20" s="1895" t="s">
        <v>644</v>
      </c>
      <c r="D20" s="1108" t="s">
        <v>1299</v>
      </c>
      <c r="E20" s="808"/>
      <c r="F20" s="808"/>
      <c r="G20" s="808"/>
      <c r="H20" s="808"/>
      <c r="I20" s="808"/>
      <c r="J20" s="808"/>
      <c r="K20" s="808"/>
      <c r="L20" s="808"/>
      <c r="M20" s="808"/>
      <c r="N20" s="808"/>
      <c r="O20" s="808"/>
      <c r="P20" s="808"/>
      <c r="Q20" s="808"/>
      <c r="R20" s="808"/>
      <c r="S20" s="808"/>
      <c r="T20" s="808"/>
      <c r="U20" s="1128" t="s">
        <v>1300</v>
      </c>
      <c r="V20" s="3724" t="s">
        <v>1130</v>
      </c>
      <c r="W20" s="6859"/>
      <c r="X20" s="6729"/>
      <c r="Y20" s="6729"/>
      <c r="Z20" s="6729"/>
      <c r="AA20" s="6929"/>
      <c r="AB20" s="2416"/>
      <c r="AC20" s="6933">
        <f t="shared" ref="AC20:AC31" si="0">IF(W20="",0,ROUND(W20,0))</f>
        <v>0</v>
      </c>
      <c r="AD20" s="6934"/>
      <c r="AE20" s="6934"/>
      <c r="AF20" s="6934"/>
      <c r="AG20" s="6934"/>
      <c r="AH20" s="2162"/>
      <c r="AI20" s="892"/>
      <c r="AJ20" s="260"/>
      <c r="AL20" s="2671"/>
    </row>
    <row r="21" spans="1:38" ht="20.25" customHeight="1">
      <c r="A21" s="2162"/>
      <c r="B21" s="1366"/>
      <c r="C21" s="1895" t="s">
        <v>648</v>
      </c>
      <c r="D21" s="1108" t="s">
        <v>1301</v>
      </c>
      <c r="E21" s="808"/>
      <c r="F21" s="808"/>
      <c r="G21" s="808"/>
      <c r="H21" s="808"/>
      <c r="I21" s="808"/>
      <c r="J21" s="808"/>
      <c r="K21" s="808"/>
      <c r="L21" s="808"/>
      <c r="M21" s="808"/>
      <c r="N21" s="808"/>
      <c r="O21" s="808"/>
      <c r="P21" s="808"/>
      <c r="Q21" s="808"/>
      <c r="R21" s="808"/>
      <c r="S21" s="808"/>
      <c r="T21" s="808"/>
      <c r="U21" s="1128" t="s">
        <v>1302</v>
      </c>
      <c r="V21" s="3724" t="s">
        <v>1303</v>
      </c>
      <c r="W21" s="6859"/>
      <c r="X21" s="6729"/>
      <c r="Y21" s="6729"/>
      <c r="Z21" s="6729"/>
      <c r="AA21" s="6929"/>
      <c r="AB21" s="2416"/>
      <c r="AC21" s="6933">
        <f t="shared" si="0"/>
        <v>0</v>
      </c>
      <c r="AD21" s="6934"/>
      <c r="AE21" s="6934"/>
      <c r="AF21" s="6934"/>
      <c r="AG21" s="6934"/>
      <c r="AH21" s="2162"/>
      <c r="AI21" s="892"/>
      <c r="AJ21" s="260"/>
      <c r="AL21" s="2671"/>
    </row>
    <row r="22" spans="1:38" ht="20.25" customHeight="1">
      <c r="A22" s="2162"/>
      <c r="B22" s="1366"/>
      <c r="C22" s="1895" t="s">
        <v>652</v>
      </c>
      <c r="D22" s="1108" t="s">
        <v>1304</v>
      </c>
      <c r="E22" s="808"/>
      <c r="F22" s="808"/>
      <c r="G22" s="808"/>
      <c r="H22" s="808"/>
      <c r="I22" s="808"/>
      <c r="J22" s="808"/>
      <c r="K22" s="808"/>
      <c r="L22" s="808"/>
      <c r="M22" s="808"/>
      <c r="N22" s="808"/>
      <c r="O22" s="808"/>
      <c r="P22" s="808"/>
      <c r="Q22" s="808"/>
      <c r="R22" s="808"/>
      <c r="S22" s="808"/>
      <c r="T22" s="808"/>
      <c r="U22" s="1128" t="s">
        <v>1300</v>
      </c>
      <c r="V22" s="3724" t="s">
        <v>1305</v>
      </c>
      <c r="W22" s="6938" t="str">
        <f>IF(AJ22&lt;&gt;"",ROUND(AJ22,0),SchR_Line22)</f>
        <v/>
      </c>
      <c r="X22" s="6939"/>
      <c r="Y22" s="6939"/>
      <c r="Z22" s="6939"/>
      <c r="AA22" s="6940"/>
      <c r="AB22" s="2416"/>
      <c r="AC22" s="6933">
        <f t="shared" si="0"/>
        <v>0</v>
      </c>
      <c r="AD22" s="6934"/>
      <c r="AE22" s="6934"/>
      <c r="AF22" s="6934"/>
      <c r="AG22" s="6934"/>
      <c r="AH22" s="2162"/>
      <c r="AI22" s="892"/>
      <c r="AJ22" s="4625"/>
      <c r="AL22" s="5931"/>
    </row>
    <row r="23" spans="1:38" ht="20.25" customHeight="1">
      <c r="A23" s="2162"/>
      <c r="B23" s="1366"/>
      <c r="C23" s="1895" t="s">
        <v>656</v>
      </c>
      <c r="D23" s="1108" t="s">
        <v>784</v>
      </c>
      <c r="E23" s="808"/>
      <c r="F23" s="808"/>
      <c r="G23" s="808"/>
      <c r="H23" s="808"/>
      <c r="I23" s="808"/>
      <c r="J23" s="808"/>
      <c r="K23" s="808"/>
      <c r="L23" s="808"/>
      <c r="M23" s="808"/>
      <c r="N23" s="808"/>
      <c r="O23" s="808"/>
      <c r="P23" s="808"/>
      <c r="Q23" s="808"/>
      <c r="R23" s="808"/>
      <c r="S23" s="808"/>
      <c r="T23" s="1128" t="s">
        <v>911</v>
      </c>
      <c r="U23" s="1128" t="s">
        <v>1306</v>
      </c>
      <c r="V23" s="3724" t="s">
        <v>1307</v>
      </c>
      <c r="W23" s="6930"/>
      <c r="X23" s="6931"/>
      <c r="Y23" s="6931"/>
      <c r="Z23" s="6931"/>
      <c r="AA23" s="6932"/>
      <c r="AB23" s="2416"/>
      <c r="AC23" s="6933">
        <f t="shared" si="0"/>
        <v>0</v>
      </c>
      <c r="AD23" s="6934"/>
      <c r="AE23" s="6934"/>
      <c r="AF23" s="6934"/>
      <c r="AG23" s="6934"/>
      <c r="AH23" s="2162"/>
      <c r="AI23" s="892"/>
      <c r="AJ23" s="260"/>
      <c r="AL23" s="2671"/>
    </row>
    <row r="24" spans="1:38" ht="20.25" customHeight="1">
      <c r="A24" s="2162"/>
      <c r="B24" s="1366"/>
      <c r="C24" s="1895" t="s">
        <v>659</v>
      </c>
      <c r="D24" s="1108" t="s">
        <v>5666</v>
      </c>
      <c r="E24" s="808"/>
      <c r="F24" s="808"/>
      <c r="G24" s="808"/>
      <c r="H24" s="808"/>
      <c r="I24" s="808"/>
      <c r="J24" s="808"/>
      <c r="K24" s="808"/>
      <c r="L24" s="808"/>
      <c r="M24" s="808"/>
      <c r="N24" s="808"/>
      <c r="O24" s="808"/>
      <c r="P24" s="808"/>
      <c r="Q24" s="808"/>
      <c r="R24" s="808"/>
      <c r="S24" s="808"/>
      <c r="T24" s="808"/>
      <c r="U24" s="1128" t="s">
        <v>2876</v>
      </c>
      <c r="V24" s="3724" t="s">
        <v>1309</v>
      </c>
      <c r="W24" s="6859"/>
      <c r="X24" s="6729"/>
      <c r="Y24" s="6729"/>
      <c r="Z24" s="6729"/>
      <c r="AA24" s="6929"/>
      <c r="AB24" s="2416"/>
      <c r="AC24" s="6933">
        <f t="shared" si="0"/>
        <v>0</v>
      </c>
      <c r="AD24" s="6934"/>
      <c r="AE24" s="6934"/>
      <c r="AF24" s="6934"/>
      <c r="AG24" s="6934"/>
      <c r="AH24" s="2162"/>
      <c r="AI24" s="892"/>
      <c r="AJ24" s="260"/>
      <c r="AL24" s="2671"/>
    </row>
    <row r="25" spans="1:38" ht="20.25" customHeight="1">
      <c r="A25" s="2162"/>
      <c r="B25" s="1366"/>
      <c r="C25" s="1895" t="s">
        <v>663</v>
      </c>
      <c r="D25" s="1108" t="s">
        <v>1310</v>
      </c>
      <c r="E25" s="808"/>
      <c r="F25" s="808"/>
      <c r="G25" s="808"/>
      <c r="H25" s="808"/>
      <c r="I25" s="808"/>
      <c r="J25" s="808"/>
      <c r="K25" s="808"/>
      <c r="L25" s="808"/>
      <c r="M25" s="808"/>
      <c r="N25" s="808"/>
      <c r="O25" s="808"/>
      <c r="P25" s="808"/>
      <c r="Q25" s="808"/>
      <c r="R25" s="808"/>
      <c r="S25" s="808"/>
      <c r="T25" s="808"/>
      <c r="U25" s="1128" t="s">
        <v>1298</v>
      </c>
      <c r="V25" s="3724" t="s">
        <v>1311</v>
      </c>
      <c r="W25" s="6859"/>
      <c r="X25" s="6729"/>
      <c r="Y25" s="6729"/>
      <c r="Z25" s="6729"/>
      <c r="AA25" s="6929"/>
      <c r="AB25" s="2416"/>
      <c r="AC25" s="6933">
        <f t="shared" si="0"/>
        <v>0</v>
      </c>
      <c r="AD25" s="6934"/>
      <c r="AE25" s="6934"/>
      <c r="AF25" s="6934"/>
      <c r="AG25" s="6934"/>
      <c r="AH25" s="2162"/>
      <c r="AI25" s="892"/>
      <c r="AJ25" s="260"/>
      <c r="AL25" s="2671"/>
    </row>
    <row r="26" spans="1:38" ht="20.25" customHeight="1">
      <c r="A26" s="2162"/>
      <c r="B26" s="1366"/>
      <c r="C26" s="1895" t="s">
        <v>668</v>
      </c>
      <c r="D26" s="1108" t="s">
        <v>1312</v>
      </c>
      <c r="E26" s="808"/>
      <c r="F26" s="808"/>
      <c r="G26" s="808"/>
      <c r="H26" s="808"/>
      <c r="I26" s="808"/>
      <c r="J26" s="808"/>
      <c r="K26" s="808"/>
      <c r="L26" s="808"/>
      <c r="M26" s="808"/>
      <c r="N26" s="808"/>
      <c r="O26" s="808"/>
      <c r="P26" s="808"/>
      <c r="Q26" s="808"/>
      <c r="R26" s="808"/>
      <c r="S26" s="808"/>
      <c r="T26" s="808"/>
      <c r="U26" s="1128" t="s">
        <v>1313</v>
      </c>
      <c r="V26" s="3724" t="s">
        <v>1314</v>
      </c>
      <c r="W26" s="6859"/>
      <c r="X26" s="6729"/>
      <c r="Y26" s="6729"/>
      <c r="Z26" s="6729"/>
      <c r="AA26" s="6929"/>
      <c r="AB26" s="2416"/>
      <c r="AC26" s="6933">
        <f t="shared" si="0"/>
        <v>0</v>
      </c>
      <c r="AD26" s="6934"/>
      <c r="AE26" s="6934"/>
      <c r="AF26" s="6934"/>
      <c r="AG26" s="6934"/>
      <c r="AH26" s="2162"/>
      <c r="AI26" s="892"/>
      <c r="AJ26" s="260"/>
      <c r="AL26" s="2671"/>
    </row>
    <row r="27" spans="1:38" ht="20.25" customHeight="1">
      <c r="A27" s="2162"/>
      <c r="B27" s="1366"/>
      <c r="C27" s="1895" t="s">
        <v>672</v>
      </c>
      <c r="D27" s="1108" t="s">
        <v>1315</v>
      </c>
      <c r="E27" s="808"/>
      <c r="F27" s="808"/>
      <c r="G27" s="808"/>
      <c r="H27" s="808"/>
      <c r="I27" s="808"/>
      <c r="J27" s="808"/>
      <c r="K27" s="808"/>
      <c r="L27" s="808"/>
      <c r="M27" s="808"/>
      <c r="N27" s="808"/>
      <c r="O27" s="808"/>
      <c r="P27" s="808"/>
      <c r="Q27" s="808"/>
      <c r="R27" s="808"/>
      <c r="S27" s="808"/>
      <c r="T27" s="808"/>
      <c r="U27" s="1128" t="s">
        <v>1306</v>
      </c>
      <c r="V27" s="3724" t="s">
        <v>1316</v>
      </c>
      <c r="W27" s="6859"/>
      <c r="X27" s="6729"/>
      <c r="Y27" s="6729"/>
      <c r="Z27" s="6729"/>
      <c r="AA27" s="6929"/>
      <c r="AB27" s="2416"/>
      <c r="AC27" s="6933">
        <f t="shared" si="0"/>
        <v>0</v>
      </c>
      <c r="AD27" s="6934"/>
      <c r="AE27" s="6934"/>
      <c r="AF27" s="6934"/>
      <c r="AG27" s="6934"/>
      <c r="AH27" s="2162"/>
      <c r="AI27" s="892"/>
      <c r="AJ27" s="260"/>
      <c r="AL27" s="2671"/>
    </row>
    <row r="28" spans="1:38" ht="20.25" customHeight="1">
      <c r="A28" s="2162"/>
      <c r="B28" s="1366"/>
      <c r="C28" s="1895" t="s">
        <v>928</v>
      </c>
      <c r="D28" s="1108" t="s">
        <v>1317</v>
      </c>
      <c r="E28" s="808"/>
      <c r="F28" s="808"/>
      <c r="G28" s="808"/>
      <c r="H28" s="808"/>
      <c r="I28" s="808"/>
      <c r="J28" s="808"/>
      <c r="K28" s="808"/>
      <c r="L28" s="808"/>
      <c r="M28" s="808"/>
      <c r="N28" s="808"/>
      <c r="O28" s="808"/>
      <c r="P28" s="808"/>
      <c r="Q28" s="808"/>
      <c r="R28" s="808"/>
      <c r="S28" s="808"/>
      <c r="T28" s="808"/>
      <c r="U28" s="1128"/>
      <c r="V28" s="3724" t="s">
        <v>1318</v>
      </c>
      <c r="W28" s="6859"/>
      <c r="X28" s="6729"/>
      <c r="Y28" s="6729"/>
      <c r="Z28" s="6729"/>
      <c r="AA28" s="6929"/>
      <c r="AB28" s="2416"/>
      <c r="AC28" s="6933">
        <f t="shared" si="0"/>
        <v>0</v>
      </c>
      <c r="AD28" s="6934"/>
      <c r="AE28" s="6934"/>
      <c r="AF28" s="6934"/>
      <c r="AG28" s="6934"/>
      <c r="AH28" s="2162"/>
      <c r="AI28" s="892"/>
      <c r="AJ28" s="260"/>
      <c r="AL28" s="2671"/>
    </row>
    <row r="29" spans="1:38" ht="20.25" customHeight="1">
      <c r="A29" s="2162"/>
      <c r="B29" s="1366"/>
      <c r="C29" s="1895" t="s">
        <v>932</v>
      </c>
      <c r="D29" s="1108" t="s">
        <v>1319</v>
      </c>
      <c r="E29" s="808"/>
      <c r="F29" s="808"/>
      <c r="G29" s="808"/>
      <c r="H29" s="808"/>
      <c r="I29" s="808"/>
      <c r="J29" s="808"/>
      <c r="K29" s="808"/>
      <c r="L29" s="808"/>
      <c r="M29" s="808"/>
      <c r="N29" s="808"/>
      <c r="O29" s="808"/>
      <c r="P29" s="808"/>
      <c r="Q29" s="808"/>
      <c r="R29" s="808"/>
      <c r="S29" s="808"/>
      <c r="T29" s="808"/>
      <c r="U29" s="1128" t="s">
        <v>1308</v>
      </c>
      <c r="V29" s="3724" t="s">
        <v>1320</v>
      </c>
      <c r="W29" s="6859"/>
      <c r="X29" s="6729"/>
      <c r="Y29" s="6729"/>
      <c r="Z29" s="6729"/>
      <c r="AA29" s="6929"/>
      <c r="AB29" s="2416"/>
      <c r="AC29" s="6933">
        <f t="shared" si="0"/>
        <v>0</v>
      </c>
      <c r="AD29" s="6934"/>
      <c r="AE29" s="6934"/>
      <c r="AF29" s="6934"/>
      <c r="AG29" s="6934"/>
      <c r="AH29" s="2162"/>
      <c r="AI29" s="892"/>
      <c r="AJ29" s="260"/>
      <c r="AL29" s="2671"/>
    </row>
    <row r="30" spans="1:38" ht="20.25" customHeight="1">
      <c r="A30" s="2162"/>
      <c r="B30" s="1366"/>
      <c r="C30" s="1895" t="s">
        <v>936</v>
      </c>
      <c r="D30" s="1108" t="s">
        <v>1321</v>
      </c>
      <c r="E30" s="808"/>
      <c r="F30" s="808"/>
      <c r="G30" s="808"/>
      <c r="H30" s="808"/>
      <c r="I30" s="808"/>
      <c r="J30" s="808"/>
      <c r="K30" s="808"/>
      <c r="L30" s="808"/>
      <c r="M30" s="808"/>
      <c r="N30" s="808"/>
      <c r="O30" s="808"/>
      <c r="P30" s="808"/>
      <c r="Q30" s="808"/>
      <c r="R30" s="808"/>
      <c r="S30" s="808"/>
      <c r="T30" s="808"/>
      <c r="U30" s="1128" t="s">
        <v>1322</v>
      </c>
      <c r="V30" s="3724" t="s">
        <v>1323</v>
      </c>
      <c r="W30" s="6859"/>
      <c r="X30" s="6729"/>
      <c r="Y30" s="6729"/>
      <c r="Z30" s="6729"/>
      <c r="AA30" s="6929"/>
      <c r="AB30" s="2416"/>
      <c r="AC30" s="6933">
        <f t="shared" si="0"/>
        <v>0</v>
      </c>
      <c r="AD30" s="6934"/>
      <c r="AE30" s="6934"/>
      <c r="AF30" s="6934"/>
      <c r="AG30" s="6934"/>
      <c r="AH30" s="2162"/>
      <c r="AI30" s="892"/>
      <c r="AJ30" s="260"/>
      <c r="AL30" s="4416"/>
    </row>
    <row r="31" spans="1:38" ht="20.25" customHeight="1">
      <c r="A31" s="2162"/>
      <c r="B31" s="1366"/>
      <c r="C31" s="1895" t="s">
        <v>941</v>
      </c>
      <c r="D31" s="1108" t="s">
        <v>5496</v>
      </c>
      <c r="E31" s="808"/>
      <c r="F31" s="808"/>
      <c r="G31" s="808"/>
      <c r="H31" s="808"/>
      <c r="I31" s="808"/>
      <c r="J31" s="808"/>
      <c r="K31" s="808"/>
      <c r="L31" s="808"/>
      <c r="M31" s="808"/>
      <c r="N31" s="808"/>
      <c r="O31" s="808"/>
      <c r="P31" s="808"/>
      <c r="Q31" s="808"/>
      <c r="R31" s="808"/>
      <c r="S31" s="808"/>
      <c r="T31" s="808"/>
      <c r="U31" s="1128" t="s">
        <v>5497</v>
      </c>
      <c r="V31" s="3724" t="s">
        <v>5553</v>
      </c>
      <c r="W31" s="6859"/>
      <c r="X31" s="6729"/>
      <c r="Y31" s="6729"/>
      <c r="Z31" s="6729"/>
      <c r="AA31" s="6929"/>
      <c r="AB31" s="2416"/>
      <c r="AC31" s="6933">
        <f t="shared" si="0"/>
        <v>0</v>
      </c>
      <c r="AD31" s="6934"/>
      <c r="AE31" s="6934"/>
      <c r="AF31" s="6934"/>
      <c r="AG31" s="6934"/>
      <c r="AH31" s="2162"/>
      <c r="AI31" s="892"/>
      <c r="AJ31" s="260"/>
      <c r="AL31" s="2671"/>
    </row>
    <row r="32" spans="1:38" ht="20.25" customHeight="1">
      <c r="A32" s="2162"/>
      <c r="B32" s="1366"/>
      <c r="C32" s="1895" t="s">
        <v>675</v>
      </c>
      <c r="D32" s="1108" t="s">
        <v>1324</v>
      </c>
      <c r="E32" s="808"/>
      <c r="F32" s="808"/>
      <c r="G32" s="808"/>
      <c r="H32" s="808"/>
      <c r="I32" s="808"/>
      <c r="J32" s="808"/>
      <c r="K32" s="808"/>
      <c r="L32" s="808"/>
      <c r="M32" s="808"/>
      <c r="N32" s="808"/>
      <c r="O32" s="808"/>
      <c r="P32" s="808"/>
      <c r="Q32" s="808"/>
      <c r="R32" s="808"/>
      <c r="S32" s="6928"/>
      <c r="T32" s="6928"/>
      <c r="U32" s="808"/>
      <c r="V32" s="3725"/>
      <c r="W32" s="6944"/>
      <c r="X32" s="6945"/>
      <c r="Y32" s="6945"/>
      <c r="Z32" s="6945"/>
      <c r="AA32" s="6946"/>
      <c r="AB32" s="2416"/>
      <c r="AC32" s="4623"/>
      <c r="AD32" s="4624"/>
      <c r="AE32" s="4624"/>
      <c r="AF32" s="4624"/>
      <c r="AG32" s="4624"/>
      <c r="AH32" s="2162"/>
      <c r="AI32" s="892"/>
      <c r="AJ32" s="260"/>
      <c r="AL32" s="2671"/>
    </row>
    <row r="33" spans="1:51" ht="20.25" customHeight="1">
      <c r="A33" s="2162"/>
      <c r="B33" s="1366"/>
      <c r="C33" s="2177"/>
      <c r="D33" s="6927"/>
      <c r="E33" s="6927"/>
      <c r="F33" s="6927"/>
      <c r="G33" s="6927"/>
      <c r="H33" s="6927"/>
      <c r="I33" s="6927"/>
      <c r="J33" s="6927"/>
      <c r="K33" s="6927"/>
      <c r="L33" s="6927"/>
      <c r="M33" s="6927"/>
      <c r="N33" s="6927"/>
      <c r="O33" s="6927"/>
      <c r="P33" s="6927"/>
      <c r="Q33" s="6927"/>
      <c r="R33" s="6927"/>
      <c r="S33" s="6927"/>
      <c r="T33" s="6927"/>
      <c r="U33" s="808"/>
      <c r="V33" s="3724" t="s">
        <v>1325</v>
      </c>
      <c r="W33" s="6859"/>
      <c r="X33" s="6729"/>
      <c r="Y33" s="6729"/>
      <c r="Z33" s="6729"/>
      <c r="AA33" s="6929"/>
      <c r="AB33" s="2416"/>
      <c r="AC33" s="6933">
        <f>IF(W33="",0,ROUND(W33,0))</f>
        <v>0</v>
      </c>
      <c r="AD33" s="6934"/>
      <c r="AE33" s="6934"/>
      <c r="AF33" s="6934"/>
      <c r="AG33" s="6934"/>
      <c r="AH33" s="2162"/>
      <c r="AI33" s="892"/>
      <c r="AJ33" s="260"/>
      <c r="AL33" s="2671"/>
    </row>
    <row r="34" spans="1:51" ht="20.25" customHeight="1" thickBot="1">
      <c r="A34" s="2162"/>
      <c r="B34" s="1366">
        <v>7</v>
      </c>
      <c r="C34" s="2177"/>
      <c r="D34" s="1108" t="s">
        <v>1326</v>
      </c>
      <c r="E34" s="808"/>
      <c r="F34" s="808"/>
      <c r="G34" s="808"/>
      <c r="H34" s="808"/>
      <c r="I34" s="808"/>
      <c r="J34" s="808"/>
      <c r="K34" s="808"/>
      <c r="L34" s="808"/>
      <c r="M34" s="808"/>
      <c r="N34" s="808"/>
      <c r="O34" s="808"/>
      <c r="P34" s="808"/>
      <c r="Q34" s="808"/>
      <c r="R34" s="808"/>
      <c r="S34" s="808"/>
      <c r="T34" s="808"/>
      <c r="U34" s="808"/>
      <c r="V34" s="808"/>
      <c r="W34" s="808"/>
      <c r="X34" s="808"/>
      <c r="Y34" s="808"/>
      <c r="Z34" s="808"/>
      <c r="AA34" s="1128" t="s">
        <v>922</v>
      </c>
      <c r="AB34" s="3958">
        <v>7</v>
      </c>
      <c r="AC34" s="6950">
        <f>IF(AJ34&lt;&gt;"",ROUND(AJ34,0),SUM(AC19:AC33))</f>
        <v>0</v>
      </c>
      <c r="AD34" s="6951"/>
      <c r="AE34" s="6951"/>
      <c r="AF34" s="6951"/>
      <c r="AG34" s="6951"/>
      <c r="AH34" s="2162"/>
      <c r="AI34" s="892"/>
      <c r="AJ34" s="4625"/>
      <c r="AL34" s="2671"/>
    </row>
    <row r="35" spans="1:51" ht="20.25" customHeight="1">
      <c r="A35" s="2162"/>
      <c r="B35" s="1366">
        <v>8</v>
      </c>
      <c r="C35" s="2177"/>
      <c r="D35" s="1108" t="s">
        <v>5498</v>
      </c>
      <c r="E35" s="808"/>
      <c r="F35" s="808"/>
      <c r="G35" s="808"/>
      <c r="H35" s="808"/>
      <c r="I35" s="808"/>
      <c r="J35" s="808"/>
      <c r="K35" s="808"/>
      <c r="L35" s="808"/>
      <c r="M35" s="808"/>
      <c r="N35" s="808"/>
      <c r="O35" s="808"/>
      <c r="P35" s="808"/>
      <c r="Q35" s="808"/>
      <c r="R35" s="808"/>
      <c r="S35" s="808"/>
      <c r="T35" s="808"/>
      <c r="U35" s="808"/>
      <c r="V35" s="808"/>
      <c r="W35" s="808"/>
      <c r="X35" s="808"/>
      <c r="Y35" s="808"/>
      <c r="Z35" s="808"/>
      <c r="AA35" s="808"/>
      <c r="AB35" s="2387"/>
      <c r="AC35" s="4161"/>
      <c r="AD35" s="4162"/>
      <c r="AE35" s="4162"/>
      <c r="AF35" s="4162"/>
      <c r="AG35" s="4162"/>
      <c r="AH35" s="2162"/>
      <c r="AI35" s="892"/>
      <c r="AJ35" s="260"/>
      <c r="AL35" s="2671"/>
    </row>
    <row r="36" spans="1:51" ht="20.25" customHeight="1" thickBot="1">
      <c r="A36" s="2162"/>
      <c r="B36" s="3289"/>
      <c r="C36" s="2177"/>
      <c r="D36" s="2112" t="s">
        <v>1327</v>
      </c>
      <c r="E36" s="808"/>
      <c r="F36" s="808"/>
      <c r="G36" s="808"/>
      <c r="H36" s="808"/>
      <c r="I36" s="808"/>
      <c r="J36" s="808"/>
      <c r="K36" s="808"/>
      <c r="L36" s="808"/>
      <c r="M36" s="808"/>
      <c r="N36" s="808"/>
      <c r="O36" s="808"/>
      <c r="P36" s="808"/>
      <c r="Q36" s="808"/>
      <c r="R36" s="2121"/>
      <c r="S36" s="2119"/>
      <c r="T36" s="808"/>
      <c r="U36" s="808"/>
      <c r="V36" s="808"/>
      <c r="W36" s="808"/>
      <c r="X36" s="808"/>
      <c r="Y36" s="808"/>
      <c r="Z36" s="808"/>
      <c r="AA36" s="1128" t="s">
        <v>1328</v>
      </c>
      <c r="AB36" s="3958">
        <v>8</v>
      </c>
      <c r="AC36" s="6886">
        <f>IF(AJ36&lt;&gt;"",ROUND(AJ36,0),SUM(AC11, AC13, AC14,AL15, ResNRGCredit,EEHI_Credit,AC34))</f>
        <v>0</v>
      </c>
      <c r="AD36" s="6937"/>
      <c r="AE36" s="6937"/>
      <c r="AF36" s="6937"/>
      <c r="AG36" s="6937"/>
      <c r="AH36" s="2162"/>
      <c r="AI36" s="892"/>
      <c r="AJ36" s="4625"/>
    </row>
    <row r="37" spans="1:51" ht="20.25" customHeight="1" thickBot="1">
      <c r="A37" s="2162"/>
      <c r="B37" s="3289"/>
      <c r="C37" s="2177"/>
      <c r="D37" s="2112"/>
      <c r="E37" s="808"/>
      <c r="F37" s="808"/>
      <c r="G37" s="808"/>
      <c r="H37" s="808"/>
      <c r="I37" s="808"/>
      <c r="J37" s="808"/>
      <c r="K37" s="808"/>
      <c r="L37" s="808"/>
      <c r="M37" s="808"/>
      <c r="N37" s="808"/>
      <c r="O37" s="808"/>
      <c r="P37" s="808"/>
      <c r="Q37" s="808"/>
      <c r="R37" s="2121"/>
      <c r="S37" s="2119"/>
      <c r="T37" s="808"/>
      <c r="U37" s="808"/>
      <c r="V37" s="808"/>
      <c r="W37" s="808"/>
      <c r="X37" s="808"/>
      <c r="Y37" s="808"/>
      <c r="Z37" s="808"/>
      <c r="AA37" s="808"/>
      <c r="AB37" s="808"/>
      <c r="AC37" s="808"/>
      <c r="AD37" s="808"/>
      <c r="AE37" s="808"/>
      <c r="AF37" s="808"/>
      <c r="AG37" s="985" t="s">
        <v>1231</v>
      </c>
      <c r="AH37" s="2162"/>
      <c r="AI37" s="892"/>
      <c r="AJ37" s="260"/>
    </row>
    <row r="38" spans="1:51" ht="15.75" customHeight="1">
      <c r="A38" s="2162"/>
      <c r="B38" s="2375" t="s">
        <v>979</v>
      </c>
      <c r="C38" s="2376"/>
      <c r="D38" s="2377"/>
      <c r="E38" s="2377"/>
      <c r="F38" s="2377"/>
      <c r="G38" s="2377"/>
      <c r="H38" s="2377"/>
      <c r="I38" s="2377"/>
      <c r="J38" s="2377"/>
      <c r="K38" s="2377"/>
      <c r="L38" s="2377"/>
      <c r="M38" s="2377"/>
      <c r="N38" s="2377"/>
      <c r="O38" s="2377"/>
      <c r="P38" s="2377"/>
      <c r="Q38" s="2377"/>
      <c r="R38" s="2377"/>
      <c r="S38" s="2377"/>
      <c r="T38" s="3285" t="s">
        <v>1329</v>
      </c>
      <c r="U38" s="3285"/>
      <c r="V38" s="2377"/>
      <c r="W38" s="2378"/>
      <c r="X38" s="2377"/>
      <c r="Y38" s="2377"/>
      <c r="Z38" s="2377"/>
      <c r="AA38" s="2377"/>
      <c r="AB38" s="2377"/>
      <c r="AC38" s="2377"/>
      <c r="AD38" s="2377"/>
      <c r="AE38" s="2377"/>
      <c r="AF38" s="2377"/>
      <c r="AG38" s="3294" t="str">
        <f>"Schedule 3 (Form 1040) "&amp;TaxYear</f>
        <v>Schedule 3 (Form 1040) 2023</v>
      </c>
      <c r="AH38" s="2162"/>
      <c r="AI38" s="892"/>
      <c r="AJ38" s="260"/>
    </row>
    <row r="39" spans="1:51" ht="14.25" customHeight="1" thickBot="1">
      <c r="A39" s="2162"/>
      <c r="B39" s="4174" t="str">
        <f>"Schedule 3 (Form 1040)  " &amp; TaxYear</f>
        <v>Schedule 3 (Form 1040)  2023</v>
      </c>
      <c r="C39" s="4169"/>
      <c r="D39" s="964"/>
      <c r="E39" s="964"/>
      <c r="F39" s="964"/>
      <c r="G39" s="964"/>
      <c r="H39" s="964"/>
      <c r="I39" s="964"/>
      <c r="J39" s="964"/>
      <c r="K39" s="964"/>
      <c r="L39" s="964"/>
      <c r="M39" s="964"/>
      <c r="N39" s="964"/>
      <c r="O39" s="964"/>
      <c r="P39" s="964"/>
      <c r="Q39" s="964"/>
      <c r="R39" s="964"/>
      <c r="S39" s="964"/>
      <c r="T39" s="4175"/>
      <c r="U39" s="4175"/>
      <c r="V39" s="964"/>
      <c r="W39" s="2957"/>
      <c r="X39" s="964"/>
      <c r="Y39" s="964"/>
      <c r="Z39" s="964"/>
      <c r="AA39" s="964"/>
      <c r="AB39" s="964"/>
      <c r="AC39" s="964"/>
      <c r="AD39" s="964"/>
      <c r="AE39" s="964"/>
      <c r="AF39" s="964"/>
      <c r="AG39" s="2644" t="s">
        <v>981</v>
      </c>
      <c r="AH39" s="2162"/>
      <c r="AI39" s="808"/>
      <c r="AJ39" s="260"/>
      <c r="AP39" s="2396"/>
      <c r="AQ39" s="2396"/>
      <c r="AR39" s="2396"/>
      <c r="AS39" s="2396"/>
      <c r="AT39" s="2396"/>
      <c r="AU39" s="2396"/>
      <c r="AV39" s="2396"/>
      <c r="AW39" s="2396"/>
      <c r="AX39" s="2396"/>
      <c r="AY39" s="2396"/>
    </row>
    <row r="40" spans="1:51" ht="20.25" customHeight="1" thickTop="1">
      <c r="A40" s="2162"/>
      <c r="B40" s="6852" t="s">
        <v>982</v>
      </c>
      <c r="C40" s="6853"/>
      <c r="D40" s="6854"/>
      <c r="E40" s="4164"/>
      <c r="F40" s="4166" t="s">
        <v>1330</v>
      </c>
      <c r="G40" s="4164"/>
      <c r="H40" s="4164"/>
      <c r="I40" s="4164"/>
      <c r="J40" s="4164"/>
      <c r="K40" s="4164"/>
      <c r="L40" s="4165"/>
      <c r="M40" s="4165"/>
      <c r="N40" s="4165"/>
      <c r="O40" s="4165"/>
      <c r="P40" s="4165"/>
      <c r="Q40" s="4165"/>
      <c r="R40" s="4165"/>
      <c r="S40" s="4165"/>
      <c r="T40" s="4165"/>
      <c r="U40" s="4165"/>
      <c r="V40" s="4165"/>
      <c r="W40" s="4165"/>
      <c r="X40" s="4165"/>
      <c r="Y40" s="4165"/>
      <c r="Z40" s="4165"/>
      <c r="AA40" s="4165"/>
      <c r="AB40" s="4165"/>
      <c r="AC40" s="4165"/>
      <c r="AD40" s="4165"/>
      <c r="AE40" s="4165"/>
      <c r="AF40" s="4165"/>
      <c r="AG40" s="4165"/>
      <c r="AH40" s="2162"/>
      <c r="AI40" s="808"/>
      <c r="AJ40" s="260"/>
      <c r="AO40" s="2038"/>
      <c r="AQ40" s="2396"/>
      <c r="AR40" s="2396"/>
      <c r="AS40" s="2396"/>
      <c r="AT40" s="2396"/>
      <c r="AU40" s="2396"/>
      <c r="AV40" s="2396"/>
      <c r="AW40" s="2396"/>
      <c r="AX40" s="2396"/>
      <c r="AY40" s="2396"/>
    </row>
    <row r="41" spans="1:51" ht="20.25" customHeight="1">
      <c r="A41" s="2162"/>
      <c r="B41" s="1366">
        <v>9</v>
      </c>
      <c r="C41" s="1895"/>
      <c r="D41" s="1108" t="s">
        <v>1331</v>
      </c>
      <c r="E41" s="808"/>
      <c r="F41" s="808"/>
      <c r="G41" s="808"/>
      <c r="H41" s="808"/>
      <c r="I41" s="808"/>
      <c r="J41" s="808"/>
      <c r="K41" s="808"/>
      <c r="L41" s="808"/>
      <c r="M41" s="808"/>
      <c r="N41" s="808"/>
      <c r="O41" s="808"/>
      <c r="P41" s="808"/>
      <c r="Q41" s="808"/>
      <c r="R41" s="2121"/>
      <c r="S41" s="2119"/>
      <c r="T41" s="808"/>
      <c r="U41" s="808"/>
      <c r="V41" s="808"/>
      <c r="W41" s="808"/>
      <c r="X41" s="808"/>
      <c r="Y41" s="808"/>
      <c r="Z41" s="808"/>
      <c r="AA41" s="1128" t="s">
        <v>1005</v>
      </c>
      <c r="AB41" s="3722">
        <v>9</v>
      </c>
      <c r="AC41" s="6701" t="str">
        <f>IF(AJ41&lt;&gt;"",ROUND(AJ41,0),PTC_Net)</f>
        <v/>
      </c>
      <c r="AD41" s="6717"/>
      <c r="AE41" s="6717"/>
      <c r="AF41" s="6717"/>
      <c r="AG41" s="6717"/>
      <c r="AH41" s="2162"/>
      <c r="AI41" s="892"/>
      <c r="AJ41" s="4625"/>
    </row>
    <row r="42" spans="1:51" ht="20.25" customHeight="1">
      <c r="A42" s="2162"/>
      <c r="B42" s="1366">
        <v>10</v>
      </c>
      <c r="C42" s="1895"/>
      <c r="D42" s="2446" t="s">
        <v>1332</v>
      </c>
      <c r="E42" s="892"/>
      <c r="F42" s="808"/>
      <c r="G42" s="808"/>
      <c r="H42" s="808"/>
      <c r="I42" s="808"/>
      <c r="J42" s="808"/>
      <c r="K42" s="808"/>
      <c r="L42" s="808"/>
      <c r="M42" s="808"/>
      <c r="N42" s="808"/>
      <c r="O42" s="808"/>
      <c r="P42" s="808"/>
      <c r="Q42" s="808"/>
      <c r="R42" s="2121"/>
      <c r="S42" s="2119"/>
      <c r="T42" s="808"/>
      <c r="U42" s="808"/>
      <c r="V42" s="808"/>
      <c r="W42" s="808"/>
      <c r="X42" s="808"/>
      <c r="Y42" s="808"/>
      <c r="Z42" s="808"/>
      <c r="AA42" s="1128" t="s">
        <v>922</v>
      </c>
      <c r="AB42" s="3722">
        <v>10</v>
      </c>
      <c r="AC42" s="6722"/>
      <c r="AD42" s="6723"/>
      <c r="AE42" s="6723"/>
      <c r="AF42" s="6723"/>
      <c r="AG42" s="6724"/>
      <c r="AH42" s="2162"/>
      <c r="AI42" s="892"/>
      <c r="AJ42" s="2397"/>
    </row>
    <row r="43" spans="1:51" ht="20.25" customHeight="1">
      <c r="A43" s="2162"/>
      <c r="B43" s="1366">
        <v>11</v>
      </c>
      <c r="C43" s="1895"/>
      <c r="D43" s="1108" t="s">
        <v>1333</v>
      </c>
      <c r="E43" s="808"/>
      <c r="F43" s="808"/>
      <c r="G43" s="808"/>
      <c r="H43" s="808"/>
      <c r="I43" s="808"/>
      <c r="J43" s="808"/>
      <c r="K43" s="808"/>
      <c r="L43" s="808"/>
      <c r="M43" s="808"/>
      <c r="N43" s="808"/>
      <c r="O43" s="808"/>
      <c r="P43" s="808"/>
      <c r="Q43" s="808"/>
      <c r="R43" s="2121"/>
      <c r="S43" s="2119"/>
      <c r="T43" s="808"/>
      <c r="U43" s="808"/>
      <c r="V43" s="808"/>
      <c r="W43" s="808"/>
      <c r="X43" s="808"/>
      <c r="Y43" s="808"/>
      <c r="Z43" s="808"/>
      <c r="AA43" s="1128" t="s">
        <v>917</v>
      </c>
      <c r="AB43" s="3722">
        <v>11</v>
      </c>
      <c r="AC43" s="6701">
        <f>IF(AJ43&lt;&gt;"",ROUND(AJ43,0),W2_SS_Tax_Excess)</f>
        <v>0</v>
      </c>
      <c r="AD43" s="6717"/>
      <c r="AE43" s="6717"/>
      <c r="AF43" s="6717"/>
      <c r="AG43" s="6717"/>
      <c r="AH43" s="2162"/>
      <c r="AI43" s="892"/>
      <c r="AJ43" s="4625"/>
    </row>
    <row r="44" spans="1:51" ht="20.25" customHeight="1">
      <c r="A44" s="2162"/>
      <c r="B44" s="1366">
        <v>12</v>
      </c>
      <c r="C44" s="1895"/>
      <c r="D44" s="1108" t="s">
        <v>1334</v>
      </c>
      <c r="E44" s="808"/>
      <c r="F44" s="808"/>
      <c r="G44" s="808"/>
      <c r="H44" s="808"/>
      <c r="I44" s="808"/>
      <c r="J44" s="808"/>
      <c r="K44" s="808"/>
      <c r="L44" s="808"/>
      <c r="M44" s="808"/>
      <c r="N44" s="808"/>
      <c r="O44" s="808"/>
      <c r="P44" s="808"/>
      <c r="Q44" s="808"/>
      <c r="R44" s="2121"/>
      <c r="S44" s="2119"/>
      <c r="T44" s="808"/>
      <c r="U44" s="808"/>
      <c r="V44" s="808"/>
      <c r="W44" s="808"/>
      <c r="X44" s="808"/>
      <c r="Y44" s="808"/>
      <c r="Z44" s="808"/>
      <c r="AA44" s="1128" t="s">
        <v>911</v>
      </c>
      <c r="AB44" s="3722">
        <v>12</v>
      </c>
      <c r="AC44" s="6722"/>
      <c r="AD44" s="6723"/>
      <c r="AE44" s="6723"/>
      <c r="AF44" s="6723"/>
      <c r="AG44" s="6723"/>
      <c r="AH44" s="2162"/>
      <c r="AI44" s="892"/>
      <c r="AJ44" s="260"/>
    </row>
    <row r="45" spans="1:51" ht="20.25" customHeight="1">
      <c r="A45" s="2162"/>
      <c r="B45" s="1366">
        <v>13</v>
      </c>
      <c r="C45" s="1895"/>
      <c r="D45" s="1108" t="s">
        <v>1335</v>
      </c>
      <c r="E45" s="808"/>
      <c r="F45" s="808"/>
      <c r="G45" s="808"/>
      <c r="H45" s="808"/>
      <c r="I45" s="808"/>
      <c r="J45" s="808"/>
      <c r="K45" s="808"/>
      <c r="L45" s="808"/>
      <c r="M45" s="808"/>
      <c r="N45" s="808"/>
      <c r="O45" s="808"/>
      <c r="P45" s="808"/>
      <c r="Q45" s="808"/>
      <c r="R45" s="808"/>
      <c r="S45" s="808"/>
      <c r="T45" s="808"/>
      <c r="U45" s="808"/>
      <c r="V45" s="1126"/>
      <c r="W45" s="1150"/>
      <c r="X45" s="808"/>
      <c r="Y45" s="808"/>
      <c r="Z45" s="808"/>
      <c r="AA45" s="1151"/>
      <c r="AB45" s="2416"/>
      <c r="AC45" s="3711"/>
      <c r="AD45" s="3712"/>
      <c r="AE45" s="3712"/>
      <c r="AF45" s="3712"/>
      <c r="AG45" s="3713"/>
      <c r="AH45" s="2162"/>
      <c r="AI45" s="892"/>
      <c r="AJ45" s="260"/>
    </row>
    <row r="46" spans="1:51" ht="20.25" customHeight="1">
      <c r="A46" s="2162"/>
      <c r="B46" s="1108"/>
      <c r="C46" s="1895" t="s">
        <v>640</v>
      </c>
      <c r="D46" s="1108" t="s">
        <v>1336</v>
      </c>
      <c r="E46" s="808"/>
      <c r="F46" s="808"/>
      <c r="G46" s="808"/>
      <c r="H46" s="808"/>
      <c r="I46" s="808"/>
      <c r="J46" s="808"/>
      <c r="K46" s="808"/>
      <c r="L46" s="808"/>
      <c r="M46" s="808"/>
      <c r="N46" s="808"/>
      <c r="O46" s="808"/>
      <c r="P46" s="808"/>
      <c r="Q46" s="808"/>
      <c r="R46" s="808"/>
      <c r="S46" s="808"/>
      <c r="T46" s="808"/>
      <c r="U46" s="1128" t="s">
        <v>1337</v>
      </c>
      <c r="V46" s="4423" t="s">
        <v>1338</v>
      </c>
      <c r="W46" s="6714"/>
      <c r="X46" s="6715"/>
      <c r="Y46" s="6715"/>
      <c r="Z46" s="6715"/>
      <c r="AA46" s="6715"/>
      <c r="AB46" s="2416"/>
      <c r="AC46" s="3711"/>
      <c r="AD46" s="3712"/>
      <c r="AE46" s="3712"/>
      <c r="AF46" s="3712"/>
      <c r="AG46" s="3713"/>
      <c r="AH46" s="2162"/>
      <c r="AI46" s="892"/>
      <c r="AJ46" s="260"/>
      <c r="AL46" s="2671">
        <f>ROUND(W46,0)</f>
        <v>0</v>
      </c>
    </row>
    <row r="47" spans="1:51" ht="20.25" customHeight="1">
      <c r="A47" s="2162"/>
      <c r="B47" s="1108"/>
      <c r="C47" s="1895" t="s">
        <v>644</v>
      </c>
      <c r="D47" s="1108" t="s">
        <v>1342</v>
      </c>
      <c r="E47" s="808"/>
      <c r="F47" s="808"/>
      <c r="G47" s="808"/>
      <c r="H47" s="808"/>
      <c r="I47" s="808"/>
      <c r="J47" s="808"/>
      <c r="K47" s="808"/>
      <c r="L47" s="808"/>
      <c r="M47" s="808"/>
      <c r="N47" s="808"/>
      <c r="O47" s="808"/>
      <c r="P47" s="808"/>
      <c r="Q47" s="808"/>
      <c r="R47" s="808"/>
      <c r="S47" s="808"/>
      <c r="T47" s="808"/>
      <c r="U47" s="808"/>
      <c r="V47" s="4424"/>
      <c r="W47" s="4171"/>
      <c r="X47" s="4172"/>
      <c r="Y47" s="4172"/>
      <c r="Z47" s="4172"/>
      <c r="AA47" s="4173"/>
      <c r="AB47" s="2416"/>
      <c r="AC47" s="3711"/>
      <c r="AD47" s="3712"/>
      <c r="AE47" s="3712"/>
      <c r="AF47" s="3712"/>
      <c r="AG47" s="3713"/>
      <c r="AH47" s="2162"/>
      <c r="AI47" s="892"/>
      <c r="AJ47" s="260"/>
      <c r="AL47" s="902"/>
    </row>
    <row r="48" spans="1:51" ht="20.25" customHeight="1">
      <c r="A48" s="2162"/>
      <c r="B48" s="1108"/>
      <c r="C48" s="1895"/>
      <c r="D48" s="1108" t="s">
        <v>1343</v>
      </c>
      <c r="E48" s="808"/>
      <c r="F48" s="808"/>
      <c r="G48" s="808"/>
      <c r="H48" s="808"/>
      <c r="I48" s="808"/>
      <c r="J48" s="808"/>
      <c r="K48" s="808"/>
      <c r="L48" s="808"/>
      <c r="M48" s="808"/>
      <c r="N48" s="808"/>
      <c r="O48" s="808"/>
      <c r="P48" s="808"/>
      <c r="Q48" s="808"/>
      <c r="R48" s="808"/>
      <c r="S48" s="808"/>
      <c r="T48" s="808"/>
      <c r="U48" s="1128" t="s">
        <v>1344</v>
      </c>
      <c r="V48" s="4423" t="s">
        <v>1339</v>
      </c>
      <c r="W48" s="6714"/>
      <c r="X48" s="6715"/>
      <c r="Y48" s="6715"/>
      <c r="Z48" s="6715"/>
      <c r="AA48" s="6715"/>
      <c r="AB48" s="2416"/>
      <c r="AC48" s="3711"/>
      <c r="AD48" s="3712"/>
      <c r="AE48" s="3712"/>
      <c r="AF48" s="3712"/>
      <c r="AG48" s="3713"/>
      <c r="AH48" s="2162"/>
      <c r="AI48" s="892"/>
      <c r="AJ48" s="260"/>
      <c r="AL48" s="2671">
        <f>ROUND(W48,0)</f>
        <v>0</v>
      </c>
    </row>
    <row r="49" spans="1:38" ht="20.25" customHeight="1">
      <c r="A49" s="2162"/>
      <c r="B49" s="1108"/>
      <c r="C49" s="1895" t="s">
        <v>648</v>
      </c>
      <c r="D49" s="1108" t="s">
        <v>5499</v>
      </c>
      <c r="E49" s="808"/>
      <c r="F49" s="808"/>
      <c r="G49" s="808"/>
      <c r="H49" s="808"/>
      <c r="I49" s="808"/>
      <c r="J49" s="808"/>
      <c r="K49" s="808"/>
      <c r="L49" s="808"/>
      <c r="M49" s="808"/>
      <c r="N49" s="808"/>
      <c r="O49" s="808"/>
      <c r="P49" s="808"/>
      <c r="Q49" s="808"/>
      <c r="R49" s="808"/>
      <c r="S49" s="808"/>
      <c r="T49" s="808"/>
      <c r="U49" s="808"/>
      <c r="V49" s="4424"/>
      <c r="W49" s="4171"/>
      <c r="X49" s="4172"/>
      <c r="Y49" s="4172"/>
      <c r="Z49" s="4172"/>
      <c r="AA49" s="4173"/>
      <c r="AB49" s="2416"/>
      <c r="AC49" s="3711"/>
      <c r="AD49" s="3712"/>
      <c r="AE49" s="3712"/>
      <c r="AF49" s="3712"/>
      <c r="AG49" s="3713"/>
      <c r="AH49" s="2162"/>
      <c r="AI49" s="892"/>
      <c r="AJ49" s="260"/>
      <c r="AL49" s="902"/>
    </row>
    <row r="50" spans="1:38" ht="20.25" customHeight="1">
      <c r="A50" s="2162"/>
      <c r="B50" s="1108"/>
      <c r="C50" s="1895"/>
      <c r="D50" s="1108" t="s">
        <v>5500</v>
      </c>
      <c r="E50" s="808"/>
      <c r="F50" s="808"/>
      <c r="G50" s="808"/>
      <c r="H50" s="808"/>
      <c r="I50" s="808"/>
      <c r="J50" s="808"/>
      <c r="K50" s="808"/>
      <c r="L50" s="808"/>
      <c r="M50" s="808"/>
      <c r="N50" s="808"/>
      <c r="O50" s="808"/>
      <c r="P50" s="808"/>
      <c r="Q50" s="808"/>
      <c r="R50" s="808"/>
      <c r="S50" s="808"/>
      <c r="T50" s="808"/>
      <c r="U50" s="1128" t="s">
        <v>1103</v>
      </c>
      <c r="V50" s="4423" t="s">
        <v>1341</v>
      </c>
      <c r="W50" s="6714"/>
      <c r="X50" s="6715"/>
      <c r="Y50" s="6715"/>
      <c r="Z50" s="6715"/>
      <c r="AA50" s="6715"/>
      <c r="AB50" s="2416"/>
      <c r="AC50" s="3711"/>
      <c r="AD50" s="3712"/>
      <c r="AE50" s="3712"/>
      <c r="AF50" s="3712"/>
      <c r="AG50" s="3713"/>
      <c r="AH50" s="2162"/>
      <c r="AI50" s="892"/>
      <c r="AJ50" s="260"/>
      <c r="AL50" s="2671">
        <f>ROUND(W50,0)</f>
        <v>0</v>
      </c>
    </row>
    <row r="51" spans="1:38" ht="20.25" customHeight="1">
      <c r="A51" s="2162"/>
      <c r="B51" s="1108"/>
      <c r="C51" s="1895" t="s">
        <v>652</v>
      </c>
      <c r="D51" s="1108" t="s">
        <v>1346</v>
      </c>
      <c r="E51" s="808"/>
      <c r="F51" s="808"/>
      <c r="G51" s="808"/>
      <c r="H51" s="808"/>
      <c r="I51" s="808"/>
      <c r="J51" s="808"/>
      <c r="K51" s="808"/>
      <c r="L51" s="808"/>
      <c r="M51" s="808"/>
      <c r="N51" s="808"/>
      <c r="O51" s="808"/>
      <c r="P51" s="808"/>
      <c r="Q51" s="808"/>
      <c r="R51" s="808"/>
      <c r="S51" s="808"/>
      <c r="T51" s="808"/>
      <c r="U51" s="1128" t="s">
        <v>1344</v>
      </c>
      <c r="V51" s="4423" t="s">
        <v>1345</v>
      </c>
      <c r="W51" s="6714"/>
      <c r="X51" s="6715"/>
      <c r="Y51" s="6715"/>
      <c r="Z51" s="6715"/>
      <c r="AA51" s="6715"/>
      <c r="AB51" s="2416"/>
      <c r="AC51" s="3711"/>
      <c r="AD51" s="3712"/>
      <c r="AE51" s="3712"/>
      <c r="AF51" s="3712"/>
      <c r="AG51" s="3713"/>
      <c r="AH51" s="2162"/>
      <c r="AI51" s="892"/>
      <c r="AJ51" s="260"/>
      <c r="AL51" s="2671">
        <f>ROUND(W51,0)</f>
        <v>0</v>
      </c>
    </row>
    <row r="52" spans="1:38" ht="20.25" customHeight="1">
      <c r="A52" s="2162"/>
      <c r="B52" s="1108"/>
      <c r="C52" s="1895" t="s">
        <v>675</v>
      </c>
      <c r="D52" s="1108" t="s">
        <v>1348</v>
      </c>
      <c r="E52" s="808"/>
      <c r="F52" s="808"/>
      <c r="G52" s="808"/>
      <c r="H52" s="808"/>
      <c r="I52" s="808"/>
      <c r="J52" s="808"/>
      <c r="K52" s="808"/>
      <c r="L52" s="808"/>
      <c r="M52" s="808"/>
      <c r="N52" s="808"/>
      <c r="O52" s="808"/>
      <c r="P52" s="808"/>
      <c r="Q52" s="808"/>
      <c r="R52" s="808"/>
      <c r="S52" s="808"/>
      <c r="T52" s="899"/>
      <c r="U52" s="808"/>
      <c r="V52" s="4425"/>
      <c r="W52" s="4171"/>
      <c r="X52" s="4172"/>
      <c r="Y52" s="4172"/>
      <c r="Z52" s="4172"/>
      <c r="AA52" s="4173"/>
      <c r="AB52" s="2416"/>
      <c r="AC52" s="3711"/>
      <c r="AD52" s="3712"/>
      <c r="AE52" s="3712"/>
      <c r="AF52" s="3712"/>
      <c r="AG52" s="3713"/>
      <c r="AH52" s="2162"/>
      <c r="AI52" s="892"/>
      <c r="AJ52" s="260"/>
      <c r="AL52" s="902"/>
    </row>
    <row r="53" spans="1:38" ht="20.25" customHeight="1">
      <c r="A53" s="2162"/>
      <c r="B53" s="1108"/>
      <c r="C53" s="1895"/>
      <c r="D53" s="6949"/>
      <c r="E53" s="6949"/>
      <c r="F53" s="6949"/>
      <c r="G53" s="6949"/>
      <c r="H53" s="6949"/>
      <c r="I53" s="6949"/>
      <c r="J53" s="6949"/>
      <c r="K53" s="6949"/>
      <c r="L53" s="6949"/>
      <c r="M53" s="6949"/>
      <c r="N53" s="6949"/>
      <c r="O53" s="6949"/>
      <c r="P53" s="6949"/>
      <c r="Q53" s="6949"/>
      <c r="R53" s="6949"/>
      <c r="S53" s="6949"/>
      <c r="T53" s="6949"/>
      <c r="U53" s="808"/>
      <c r="V53" s="4423" t="s">
        <v>1349</v>
      </c>
      <c r="W53" s="6714"/>
      <c r="X53" s="6715"/>
      <c r="Y53" s="6715"/>
      <c r="Z53" s="6715"/>
      <c r="AA53" s="6715"/>
      <c r="AB53" s="2416"/>
      <c r="AC53" s="3711"/>
      <c r="AD53" s="3712"/>
      <c r="AE53" s="3712"/>
      <c r="AF53" s="3712"/>
      <c r="AG53" s="3713"/>
      <c r="AH53" s="2162"/>
      <c r="AI53" s="892"/>
      <c r="AJ53" s="260"/>
      <c r="AL53" s="2671">
        <f>ROUND(W53,0)</f>
        <v>0</v>
      </c>
    </row>
    <row r="54" spans="1:38" ht="20.25" customHeight="1" thickBot="1">
      <c r="A54" s="2162"/>
      <c r="B54" s="1366">
        <v>14</v>
      </c>
      <c r="C54" s="1895"/>
      <c r="D54" s="1108" t="s">
        <v>1350</v>
      </c>
      <c r="E54" s="808"/>
      <c r="F54" s="808"/>
      <c r="G54" s="808"/>
      <c r="H54" s="808"/>
      <c r="I54" s="808"/>
      <c r="J54" s="808"/>
      <c r="K54" s="808"/>
      <c r="L54" s="808"/>
      <c r="M54" s="808"/>
      <c r="N54" s="808"/>
      <c r="O54" s="808"/>
      <c r="P54" s="808"/>
      <c r="Q54" s="808"/>
      <c r="R54" s="808"/>
      <c r="S54" s="808"/>
      <c r="T54" s="808"/>
      <c r="U54" s="808"/>
      <c r="V54" s="808"/>
      <c r="W54" s="808"/>
      <c r="X54" s="808"/>
      <c r="Y54" s="808"/>
      <c r="Z54" s="808"/>
      <c r="AA54" s="1128" t="s">
        <v>1351</v>
      </c>
      <c r="AB54" s="4426">
        <v>14</v>
      </c>
      <c r="AC54" s="6947">
        <f>IF(AJ54&lt;&gt;"",ROUND(AJ54,0),SUM(AL46:AL53))</f>
        <v>0</v>
      </c>
      <c r="AD54" s="6948"/>
      <c r="AE54" s="6948"/>
      <c r="AF54" s="6948"/>
      <c r="AG54" s="6948"/>
      <c r="AH54" s="2162"/>
      <c r="AI54" s="892"/>
      <c r="AJ54" s="4625"/>
    </row>
    <row r="55" spans="1:38" ht="20.25" customHeight="1">
      <c r="A55" s="2162"/>
      <c r="B55" s="1366">
        <v>15</v>
      </c>
      <c r="C55" s="1895"/>
      <c r="D55" s="1108" t="s">
        <v>1352</v>
      </c>
      <c r="E55" s="808"/>
      <c r="F55" s="808"/>
      <c r="G55" s="808"/>
      <c r="H55" s="808"/>
      <c r="I55" s="808"/>
      <c r="J55" s="808"/>
      <c r="K55" s="808"/>
      <c r="L55" s="808"/>
      <c r="M55" s="808"/>
      <c r="N55" s="808"/>
      <c r="O55" s="808"/>
      <c r="P55" s="808"/>
      <c r="Q55" s="808"/>
      <c r="R55" s="808"/>
      <c r="S55" s="808"/>
      <c r="T55" s="808"/>
      <c r="U55" s="808"/>
      <c r="V55" s="808"/>
      <c r="W55" s="808"/>
      <c r="X55" s="808"/>
      <c r="Y55" s="808"/>
      <c r="Z55" s="808"/>
      <c r="AA55" s="1128"/>
      <c r="AB55" s="2387"/>
      <c r="AC55" s="4136"/>
      <c r="AD55" s="4137"/>
      <c r="AE55" s="4137"/>
      <c r="AF55" s="4137"/>
      <c r="AG55" s="4137"/>
      <c r="AH55" s="2162"/>
      <c r="AI55" s="892"/>
      <c r="AJ55" s="260"/>
    </row>
    <row r="56" spans="1:38" ht="20.25" customHeight="1" thickBot="1">
      <c r="A56" s="2162"/>
      <c r="B56" s="4176"/>
      <c r="C56" s="4177"/>
      <c r="D56" s="4167" t="s">
        <v>1353</v>
      </c>
      <c r="E56" s="964"/>
      <c r="F56" s="964"/>
      <c r="G56" s="964"/>
      <c r="H56" s="964"/>
      <c r="I56" s="964"/>
      <c r="J56" s="964"/>
      <c r="K56" s="964"/>
      <c r="L56" s="964"/>
      <c r="M56" s="964"/>
      <c r="N56" s="964"/>
      <c r="O56" s="964"/>
      <c r="P56" s="964"/>
      <c r="Q56" s="964"/>
      <c r="R56" s="4168"/>
      <c r="S56" s="4169"/>
      <c r="T56" s="964"/>
      <c r="U56" s="964"/>
      <c r="V56" s="964"/>
      <c r="W56" s="964"/>
      <c r="X56" s="964"/>
      <c r="Y56" s="964"/>
      <c r="Z56" s="964"/>
      <c r="AA56" s="4170" t="s">
        <v>1328</v>
      </c>
      <c r="AB56" s="4410">
        <v>15</v>
      </c>
      <c r="AC56" s="6709">
        <f>IF(AJ56&lt;&gt;"",ROUND(AJ56,0),SUM(PTCNet,ROUND(AC42,0),ExcessSSTax,ROUND(FedFuelTaxCredit,0),AC54))</f>
        <v>0</v>
      </c>
      <c r="AD56" s="6710"/>
      <c r="AE56" s="6710"/>
      <c r="AF56" s="6710"/>
      <c r="AG56" s="6710"/>
      <c r="AH56" s="2162"/>
      <c r="AI56" s="892"/>
      <c r="AJ56" s="4625"/>
    </row>
    <row r="57" spans="1:38" ht="15.75" customHeight="1" thickTop="1">
      <c r="A57" s="2162"/>
      <c r="B57" s="4163"/>
      <c r="C57" s="3873"/>
      <c r="D57" s="1382"/>
      <c r="E57" s="1382"/>
      <c r="F57" s="1382"/>
      <c r="G57" s="1382"/>
      <c r="H57" s="1382"/>
      <c r="I57" s="1382"/>
      <c r="J57" s="1382"/>
      <c r="K57" s="1382"/>
      <c r="L57" s="1382"/>
      <c r="M57" s="1382"/>
      <c r="N57" s="1382"/>
      <c r="O57" s="1382"/>
      <c r="P57" s="1382"/>
      <c r="Q57" s="1382"/>
      <c r="R57" s="1382"/>
      <c r="S57" s="1382"/>
      <c r="T57" s="1692"/>
      <c r="U57" s="1692"/>
      <c r="V57" s="1382"/>
      <c r="W57" s="3250"/>
      <c r="X57" s="1382"/>
      <c r="Y57" s="1382"/>
      <c r="Z57" s="1382"/>
      <c r="AA57" s="1382"/>
      <c r="AB57" s="1382"/>
      <c r="AC57" s="1382"/>
      <c r="AD57" s="1382"/>
      <c r="AE57" s="1382"/>
      <c r="AF57" s="1382"/>
      <c r="AG57" s="3076" t="str">
        <f>"Schedule 3 (Form 1040) "&amp;TaxYear</f>
        <v>Schedule 3 (Form 1040) 2023</v>
      </c>
      <c r="AH57" s="2162"/>
      <c r="AI57" s="892"/>
      <c r="AJ57" s="260"/>
    </row>
    <row r="58" spans="1:38">
      <c r="A58" s="2162"/>
      <c r="B58" s="2162"/>
      <c r="C58" s="2162"/>
      <c r="D58" s="2162"/>
      <c r="E58" s="2162"/>
      <c r="F58" s="2162"/>
      <c r="G58" s="2162"/>
      <c r="H58" s="2162"/>
      <c r="I58" s="2162"/>
      <c r="J58" s="2162"/>
      <c r="K58" s="2162"/>
      <c r="L58" s="2162"/>
      <c r="M58" s="2162"/>
      <c r="N58" s="2162"/>
      <c r="O58" s="2162"/>
      <c r="P58" s="2162"/>
      <c r="Q58" s="2162"/>
      <c r="R58" s="2162"/>
      <c r="S58" s="2162"/>
      <c r="T58" s="2162"/>
      <c r="U58" s="2162"/>
      <c r="V58" s="2162"/>
      <c r="W58" s="2162"/>
      <c r="X58" s="2162"/>
      <c r="Y58" s="2162"/>
      <c r="Z58" s="2162"/>
      <c r="AA58" s="2162"/>
      <c r="AB58" s="2162"/>
      <c r="AC58" s="2162"/>
      <c r="AD58" s="2162"/>
      <c r="AE58" s="2162"/>
      <c r="AF58" s="2162"/>
      <c r="AG58" s="2162"/>
      <c r="AH58" s="2162"/>
      <c r="AI58" s="892"/>
      <c r="AJ58" s="260"/>
    </row>
    <row r="60" spans="1:38" ht="13.5" thickBot="1"/>
    <row r="61" spans="1:38">
      <c r="B61" s="6767" t="s">
        <v>46</v>
      </c>
      <c r="C61" s="6768"/>
      <c r="D61" s="6768"/>
      <c r="E61" s="6768"/>
      <c r="F61" s="6769"/>
    </row>
    <row r="62" spans="1:38">
      <c r="B62" s="6770"/>
      <c r="C62" s="6935"/>
      <c r="D62" s="6935"/>
      <c r="E62" s="6935"/>
      <c r="F62" s="6772"/>
    </row>
    <row r="63" spans="1:38" ht="13.5" thickBot="1">
      <c r="B63" s="6773"/>
      <c r="C63" s="6774"/>
      <c r="D63" s="6774"/>
      <c r="E63" s="6774"/>
      <c r="F63" s="6775"/>
    </row>
  </sheetData>
  <sheetProtection password="F7BE" sheet="1" objects="1" scenarios="1"/>
  <mergeCells count="69">
    <mergeCell ref="AC14:AG14"/>
    <mergeCell ref="AC15:AG15"/>
    <mergeCell ref="AC20:AG20"/>
    <mergeCell ref="AC21:AG21"/>
    <mergeCell ref="AC23:AG23"/>
    <mergeCell ref="AC19:AG19"/>
    <mergeCell ref="AC17:AG17"/>
    <mergeCell ref="B40:D40"/>
    <mergeCell ref="AC41:AG41"/>
    <mergeCell ref="AC24:AG24"/>
    <mergeCell ref="AC25:AG25"/>
    <mergeCell ref="AC22:AG22"/>
    <mergeCell ref="AC26:AG26"/>
    <mergeCell ref="AC27:AG27"/>
    <mergeCell ref="AC30:AG30"/>
    <mergeCell ref="W53:AA53"/>
    <mergeCell ref="AC34:AG34"/>
    <mergeCell ref="W48:AA48"/>
    <mergeCell ref="W50:AA50"/>
    <mergeCell ref="W30:AA30"/>
    <mergeCell ref="W31:AA31"/>
    <mergeCell ref="AC31:AG31"/>
    <mergeCell ref="AC56:AG56"/>
    <mergeCell ref="B61:F63"/>
    <mergeCell ref="AC16:AG16"/>
    <mergeCell ref="AC18:AG18"/>
    <mergeCell ref="AC36:AG36"/>
    <mergeCell ref="AC42:AG42"/>
    <mergeCell ref="AC44:AG44"/>
    <mergeCell ref="AC43:AG43"/>
    <mergeCell ref="W22:AA22"/>
    <mergeCell ref="W18:AA18"/>
    <mergeCell ref="W32:AA32"/>
    <mergeCell ref="W33:AA33"/>
    <mergeCell ref="AC54:AG54"/>
    <mergeCell ref="W46:AA46"/>
    <mergeCell ref="D53:T53"/>
    <mergeCell ref="W51:AA51"/>
    <mergeCell ref="AL10:AM12"/>
    <mergeCell ref="D33:T33"/>
    <mergeCell ref="S32:T32"/>
    <mergeCell ref="W25:AA25"/>
    <mergeCell ref="W26:AA26"/>
    <mergeCell ref="W27:AA27"/>
    <mergeCell ref="W28:AA28"/>
    <mergeCell ref="W29:AA29"/>
    <mergeCell ref="W19:AA19"/>
    <mergeCell ref="W20:AA20"/>
    <mergeCell ref="W21:AA21"/>
    <mergeCell ref="W23:AA23"/>
    <mergeCell ref="W24:AA24"/>
    <mergeCell ref="AC33:AG33"/>
    <mergeCell ref="AC28:AG28"/>
    <mergeCell ref="AC29:AG29"/>
    <mergeCell ref="B2:F3"/>
    <mergeCell ref="AB2:AG2"/>
    <mergeCell ref="AB3:AG4"/>
    <mergeCell ref="B4:F4"/>
    <mergeCell ref="AC5:AG6"/>
    <mergeCell ref="B6:F6"/>
    <mergeCell ref="B5:F5"/>
    <mergeCell ref="G2:AA3"/>
    <mergeCell ref="AJ7:AJ9"/>
    <mergeCell ref="B8:AA9"/>
    <mergeCell ref="AB8:AG9"/>
    <mergeCell ref="AC13:AG13"/>
    <mergeCell ref="B10:D10"/>
    <mergeCell ref="AC11:AG11"/>
    <mergeCell ref="AC12:AG12"/>
  </mergeCells>
  <conditionalFormatting sqref="B8 AB8">
    <cfRule type="expression" dxfId="2783" priority="86">
      <formula>NoColor</formula>
    </cfRule>
  </conditionalFormatting>
  <conditionalFormatting sqref="B4:G4">
    <cfRule type="expression" dxfId="2782" priority="70">
      <formula>NOT(Draft)</formula>
    </cfRule>
  </conditionalFormatting>
  <conditionalFormatting sqref="D33:T33">
    <cfRule type="expression" dxfId="2781" priority="20">
      <formula>NoColor</formula>
    </cfRule>
  </conditionalFormatting>
  <conditionalFormatting sqref="D53:T53">
    <cfRule type="expression" dxfId="2780" priority="18">
      <formula>NoColor</formula>
    </cfRule>
  </conditionalFormatting>
  <conditionalFormatting sqref="S32:T32">
    <cfRule type="expression" dxfId="2779" priority="21">
      <formula>NoColor</formula>
    </cfRule>
  </conditionalFormatting>
  <conditionalFormatting sqref="T52">
    <cfRule type="expression" dxfId="2778" priority="33">
      <formula>NoColor</formula>
    </cfRule>
  </conditionalFormatting>
  <conditionalFormatting sqref="W19:AA31">
    <cfRule type="expression" dxfId="2777" priority="22">
      <formula>NoColor</formula>
    </cfRule>
  </conditionalFormatting>
  <conditionalFormatting sqref="W33:AA33">
    <cfRule type="expression" dxfId="2776" priority="5">
      <formula>NoColor</formula>
    </cfRule>
  </conditionalFormatting>
  <conditionalFormatting sqref="W46:AA53">
    <cfRule type="expression" dxfId="2775" priority="2">
      <formula>IF(NoColor,1,0)</formula>
    </cfRule>
  </conditionalFormatting>
  <conditionalFormatting sqref="AC19:AC31 AC32:AG32 AC35:AG36">
    <cfRule type="expression" dxfId="2774" priority="74">
      <formula>IF(NoColor,1,0)</formula>
    </cfRule>
  </conditionalFormatting>
  <conditionalFormatting sqref="AC33:AC34">
    <cfRule type="expression" dxfId="2773" priority="1">
      <formula>IF(NoColor,1,0)</formula>
    </cfRule>
  </conditionalFormatting>
  <conditionalFormatting sqref="AC11:AG11 AC12">
    <cfRule type="expression" dxfId="2772" priority="78">
      <formula>IF(NoColor,1,0)</formula>
    </cfRule>
  </conditionalFormatting>
  <conditionalFormatting sqref="AC13:AG18">
    <cfRule type="expression" dxfId="2771" priority="40">
      <formula>IF(NoColor,1,0)</formula>
    </cfRule>
  </conditionalFormatting>
  <conditionalFormatting sqref="AC41:AG56">
    <cfRule type="expression" dxfId="2770" priority="3">
      <formula>IF(NoColor,1,0)</formula>
    </cfRule>
  </conditionalFormatting>
  <conditionalFormatting sqref="AL10:AM12">
    <cfRule type="expression" dxfId="2769" priority="64">
      <formula>$AL$7</formula>
    </cfRule>
  </conditionalFormatting>
  <hyperlinks>
    <hyperlink ref="B61:F63" location="'Table of Contents'!A1" display="Table of Contents" xr:uid="{00000000-0004-0000-1200-000000000000}"/>
  </hyperlinks>
  <pageMargins left="0.75" right="0.25" top="0.36" bottom="0.28999999999999998" header="0.36" footer="0.21"/>
  <pageSetup scale="77" fitToHeight="0" orientation="portrait" r:id="rId1"/>
  <rowBreaks count="1" manualBreakCount="1">
    <brk id="38" min="1" max="32"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M82"/>
  <sheetViews>
    <sheetView zoomScaleNormal="100" workbookViewId="0"/>
  </sheetViews>
  <sheetFormatPr defaultRowHeight="12.75"/>
  <cols>
    <col min="1" max="1" width="2.5703125" customWidth="1"/>
    <col min="2" max="2" width="5.5703125" customWidth="1"/>
    <col min="3" max="3" width="4.42578125" customWidth="1"/>
    <col min="4" max="4" width="18.85546875" customWidth="1"/>
    <col min="5" max="5" width="14.7109375" customWidth="1"/>
    <col min="6" max="6" width="4.7109375" customWidth="1"/>
    <col min="7" max="7" width="24.140625" customWidth="1"/>
    <col min="8" max="8" width="19.7109375" customWidth="1"/>
    <col min="9" max="9" width="4.5703125" customWidth="1"/>
    <col min="10" max="10" width="13" customWidth="1"/>
    <col min="12" max="12" width="3.7109375" customWidth="1"/>
    <col min="13" max="13" width="12" customWidth="1"/>
    <col min="14" max="14" width="6.7109375" customWidth="1"/>
    <col min="15" max="15" width="13.5703125" style="2396" customWidth="1"/>
    <col min="16" max="26" width="9.140625" style="2038"/>
  </cols>
  <sheetData>
    <row r="1" spans="1:34" ht="16.5" customHeight="1" thickBot="1">
      <c r="M1" s="260"/>
      <c r="O1" s="2395" t="s">
        <v>241</v>
      </c>
    </row>
    <row r="2" spans="1:34" ht="8.25" customHeight="1">
      <c r="B2" s="1566"/>
      <c r="C2" s="890"/>
      <c r="D2" s="890"/>
      <c r="E2" s="890"/>
      <c r="F2" s="890"/>
      <c r="G2" s="890"/>
      <c r="H2" s="890"/>
      <c r="I2" s="890"/>
      <c r="J2" s="890"/>
      <c r="K2" s="891"/>
      <c r="L2" s="39"/>
      <c r="M2" s="260"/>
      <c r="N2" s="39"/>
    </row>
    <row r="3" spans="1:34" ht="20.25">
      <c r="B3" s="3445" t="s">
        <v>1354</v>
      </c>
      <c r="C3" s="808"/>
      <c r="D3" s="808"/>
      <c r="E3" s="808"/>
      <c r="F3" s="808"/>
      <c r="G3" s="808"/>
      <c r="H3" s="808"/>
      <c r="I3" s="808"/>
      <c r="J3" s="3451" t="s">
        <v>1057</v>
      </c>
      <c r="K3" s="860"/>
      <c r="L3" s="39"/>
      <c r="M3" s="260"/>
      <c r="N3" s="39"/>
      <c r="O3" s="3061" t="s">
        <v>251</v>
      </c>
    </row>
    <row r="4" spans="1:34" ht="15" customHeight="1">
      <c r="B4" s="1567"/>
      <c r="C4" s="2448" t="s">
        <v>1355</v>
      </c>
      <c r="D4" s="808"/>
      <c r="E4" s="808"/>
      <c r="F4" s="808"/>
      <c r="G4" s="808"/>
      <c r="H4" s="808"/>
      <c r="I4" s="808"/>
      <c r="J4" s="808"/>
      <c r="K4" s="860"/>
      <c r="L4" s="39"/>
      <c r="M4" s="260"/>
      <c r="N4" s="39"/>
    </row>
    <row r="5" spans="1:34" ht="15.75">
      <c r="B5" s="1567"/>
      <c r="C5" s="3174" t="s">
        <v>948</v>
      </c>
      <c r="D5" s="3174" t="s">
        <v>1356</v>
      </c>
      <c r="E5" s="808"/>
      <c r="F5" s="808"/>
      <c r="G5" s="808"/>
      <c r="H5" s="808"/>
      <c r="I5" s="808"/>
      <c r="J5" s="808"/>
      <c r="K5" s="860"/>
      <c r="L5" s="39"/>
      <c r="M5" s="260"/>
      <c r="N5" s="39"/>
    </row>
    <row r="6" spans="1:34" ht="15.75">
      <c r="B6" s="1567"/>
      <c r="C6" s="3174" t="s">
        <v>948</v>
      </c>
      <c r="D6" s="3174" t="s">
        <v>1357</v>
      </c>
      <c r="E6" s="808"/>
      <c r="F6" s="808"/>
      <c r="G6" s="808"/>
      <c r="H6" s="808"/>
      <c r="I6" s="808"/>
      <c r="J6" s="808"/>
      <c r="K6" s="860"/>
      <c r="L6" s="39"/>
      <c r="M6" s="260"/>
      <c r="N6" s="39"/>
    </row>
    <row r="7" spans="1:34" ht="9" customHeight="1" thickBot="1">
      <c r="B7" s="3443"/>
      <c r="C7" s="3444"/>
      <c r="D7" s="896"/>
      <c r="E7" s="896"/>
      <c r="F7" s="896"/>
      <c r="G7" s="896"/>
      <c r="H7" s="896"/>
      <c r="I7" s="896"/>
      <c r="J7" s="896"/>
      <c r="K7" s="897"/>
      <c r="L7" s="39"/>
      <c r="M7" s="260"/>
      <c r="N7" s="39"/>
    </row>
    <row r="8" spans="1:34" ht="15.75">
      <c r="B8" s="3446" t="s">
        <v>1058</v>
      </c>
      <c r="C8" s="3174"/>
      <c r="D8" s="808"/>
      <c r="E8" s="808"/>
      <c r="F8" s="808"/>
      <c r="G8" s="808"/>
      <c r="H8" s="808"/>
      <c r="I8" s="808"/>
      <c r="J8" s="808"/>
      <c r="K8" s="860"/>
      <c r="L8" s="39"/>
      <c r="M8" s="260"/>
      <c r="N8" s="39"/>
    </row>
    <row r="9" spans="1:34">
      <c r="B9" s="3447" t="s">
        <v>948</v>
      </c>
      <c r="C9" s="892" t="s">
        <v>1358</v>
      </c>
      <c r="D9" s="808"/>
      <c r="E9" s="808"/>
      <c r="F9" s="808"/>
      <c r="G9" s="808"/>
      <c r="H9" s="808"/>
      <c r="I9" s="808"/>
      <c r="J9" s="808"/>
      <c r="K9" s="860"/>
      <c r="L9" s="39"/>
      <c r="M9" s="260"/>
      <c r="N9" s="39"/>
    </row>
    <row r="10" spans="1:34" ht="15.75">
      <c r="B10" s="1567"/>
      <c r="C10" s="2716" t="s">
        <v>1359</v>
      </c>
      <c r="D10" s="808"/>
      <c r="E10" s="808"/>
      <c r="F10" s="808"/>
      <c r="G10" s="808"/>
      <c r="H10" s="808"/>
      <c r="I10" s="808"/>
      <c r="J10" s="808"/>
      <c r="K10" s="860"/>
      <c r="L10" s="39"/>
      <c r="M10" s="260"/>
      <c r="N10" s="39"/>
    </row>
    <row r="11" spans="1:34" ht="15.75">
      <c r="B11" s="1567"/>
      <c r="C11" s="2716" t="s">
        <v>1360</v>
      </c>
      <c r="D11" s="808"/>
      <c r="E11" s="808"/>
      <c r="F11" s="808"/>
      <c r="G11" s="808"/>
      <c r="H11" s="808"/>
      <c r="I11" s="808"/>
      <c r="J11" s="808"/>
      <c r="K11" s="860"/>
      <c r="L11" s="39"/>
      <c r="M11" s="260"/>
      <c r="N11" s="39"/>
    </row>
    <row r="12" spans="1:34">
      <c r="B12" s="3447" t="s">
        <v>948</v>
      </c>
      <c r="C12" s="892" t="s">
        <v>1361</v>
      </c>
      <c r="D12" s="808"/>
      <c r="E12" s="808"/>
      <c r="F12" s="808"/>
      <c r="G12" s="808"/>
      <c r="H12" s="808"/>
      <c r="I12" s="808"/>
      <c r="J12" s="808"/>
      <c r="K12" s="860"/>
      <c r="L12" s="39"/>
      <c r="M12" s="260"/>
      <c r="N12" s="39"/>
    </row>
    <row r="13" spans="1:34" ht="17.25" customHeight="1">
      <c r="B13" s="3449" t="s">
        <v>948</v>
      </c>
      <c r="C13" s="2192" t="s">
        <v>1362</v>
      </c>
      <c r="D13" s="1372"/>
      <c r="E13" s="1372"/>
      <c r="F13" s="1372"/>
      <c r="G13" s="1372"/>
      <c r="H13" s="1372"/>
      <c r="I13" s="1372"/>
      <c r="J13" s="1372"/>
      <c r="K13" s="3450"/>
      <c r="L13" s="39"/>
      <c r="M13" s="260"/>
      <c r="N13" s="39"/>
    </row>
    <row r="14" spans="1:34">
      <c r="B14" s="3448"/>
      <c r="C14" s="1009"/>
      <c r="D14" s="1009"/>
      <c r="E14" s="1009"/>
      <c r="F14" s="1009"/>
      <c r="G14" s="1009"/>
      <c r="H14" s="1009"/>
      <c r="I14" s="1009"/>
      <c r="J14" s="1009"/>
      <c r="K14" s="1011"/>
      <c r="M14" s="118" t="s">
        <v>1113</v>
      </c>
      <c r="N14" s="39"/>
    </row>
    <row r="15" spans="1:34" s="39" customFormat="1" ht="13.5" thickBot="1">
      <c r="A15"/>
      <c r="B15" s="894"/>
      <c r="C15" s="892"/>
      <c r="D15" s="808"/>
      <c r="E15" s="808"/>
      <c r="F15" s="808"/>
      <c r="G15" s="808"/>
      <c r="H15" s="808"/>
      <c r="I15" s="1571"/>
      <c r="J15" s="808"/>
      <c r="K15" s="860"/>
      <c r="M15" s="118" t="s">
        <v>1062</v>
      </c>
      <c r="N15" s="1569"/>
      <c r="O15" s="2396"/>
      <c r="P15" s="2038"/>
      <c r="Q15" s="2038"/>
      <c r="R15" s="2038"/>
      <c r="S15" s="2038"/>
      <c r="T15" s="2038"/>
      <c r="U15" s="2038"/>
      <c r="V15" s="2038"/>
      <c r="W15" s="2038"/>
      <c r="X15" s="2038"/>
      <c r="Y15" s="2038"/>
      <c r="Z15" s="2038"/>
      <c r="AG15" s="1569"/>
      <c r="AH15" s="1569"/>
    </row>
    <row r="16" spans="1:34" s="39" customFormat="1" ht="13.5" thickBot="1">
      <c r="A16"/>
      <c r="B16" s="1572" t="s">
        <v>1104</v>
      </c>
      <c r="C16" s="892" t="s">
        <v>5733</v>
      </c>
      <c r="D16" s="808"/>
      <c r="E16" s="808"/>
      <c r="F16" s="808"/>
      <c r="G16" s="808"/>
      <c r="H16" s="808"/>
      <c r="I16" s="1571" t="s">
        <v>1104</v>
      </c>
      <c r="J16" s="1568">
        <f>IF(M16&lt;&gt;"",ROUND(M16,0),F1040_Line1z)</f>
        <v>0</v>
      </c>
      <c r="K16" s="860"/>
      <c r="M16" s="1570"/>
      <c r="N16" s="1569"/>
      <c r="O16" s="2396"/>
      <c r="P16" s="2038"/>
      <c r="Q16" s="2038"/>
      <c r="R16" s="2038"/>
      <c r="S16" s="2038"/>
      <c r="T16" s="2038"/>
      <c r="U16" s="2038"/>
      <c r="V16" s="2038"/>
      <c r="W16" s="2038"/>
      <c r="X16" s="2038"/>
      <c r="Y16" s="2038"/>
      <c r="Z16" s="2038"/>
      <c r="AG16" s="1569"/>
      <c r="AH16" s="1569">
        <v>65</v>
      </c>
    </row>
    <row r="17" spans="1:34" s="39" customFormat="1">
      <c r="A17"/>
      <c r="B17" s="894"/>
      <c r="C17" s="808"/>
      <c r="D17" s="808"/>
      <c r="E17" s="808"/>
      <c r="F17" s="808"/>
      <c r="G17" s="808"/>
      <c r="H17" s="808"/>
      <c r="I17" s="808"/>
      <c r="J17" s="808"/>
      <c r="K17" s="860"/>
      <c r="M17" s="260"/>
      <c r="N17" s="1569"/>
      <c r="O17" s="2396"/>
      <c r="P17" s="2038"/>
      <c r="Q17" s="2038"/>
      <c r="R17" s="2038"/>
      <c r="S17" s="2038"/>
      <c r="T17" s="2038"/>
      <c r="U17" s="2038"/>
      <c r="V17" s="2038"/>
      <c r="W17" s="2038"/>
      <c r="X17" s="2038"/>
      <c r="Y17" s="2038"/>
      <c r="Z17" s="2038"/>
      <c r="AG17" s="1569"/>
      <c r="AH17" s="1569"/>
    </row>
    <row r="18" spans="1:34" s="39" customFormat="1">
      <c r="A18"/>
      <c r="B18" s="1572" t="s">
        <v>1363</v>
      </c>
      <c r="C18" s="892" t="s">
        <v>5734</v>
      </c>
      <c r="D18" s="808"/>
      <c r="E18" s="808"/>
      <c r="F18" s="808"/>
      <c r="G18" s="808"/>
      <c r="H18" s="808"/>
      <c r="I18" s="1571" t="s">
        <v>1106</v>
      </c>
      <c r="J18" s="1401"/>
      <c r="K18" s="860"/>
      <c r="M18" s="260"/>
      <c r="N18" s="1569"/>
      <c r="O18" s="2396"/>
      <c r="P18" s="2038"/>
      <c r="Q18" s="2038"/>
      <c r="R18" s="2038"/>
      <c r="S18" s="2038"/>
      <c r="T18" s="2038"/>
      <c r="U18" s="2038"/>
      <c r="V18" s="2038"/>
      <c r="W18" s="2038"/>
      <c r="X18" s="2038"/>
      <c r="Y18" s="2038"/>
      <c r="Z18" s="2038"/>
      <c r="AG18" s="1569"/>
      <c r="AH18" s="1569"/>
    </row>
    <row r="19" spans="1:34" s="39" customFormat="1">
      <c r="A19" s="3430"/>
      <c r="B19" s="894"/>
      <c r="C19" s="808"/>
      <c r="D19" s="808"/>
      <c r="E19" s="808"/>
      <c r="F19" s="808"/>
      <c r="G19" s="808"/>
      <c r="H19" s="808"/>
      <c r="I19" s="808"/>
      <c r="J19" s="3166">
        <f>ROUND(J18,0)</f>
        <v>0</v>
      </c>
      <c r="K19" s="860"/>
      <c r="M19" s="260"/>
      <c r="N19" s="1569"/>
      <c r="O19" s="2396"/>
      <c r="P19" s="2038"/>
      <c r="Q19" s="2038"/>
      <c r="R19" s="2038"/>
      <c r="S19" s="2038"/>
      <c r="T19" s="2038"/>
      <c r="U19" s="2038"/>
      <c r="V19" s="2038"/>
      <c r="W19" s="2038"/>
      <c r="X19" s="2038"/>
      <c r="Y19" s="2038"/>
      <c r="Z19" s="2038"/>
      <c r="AG19" s="1569"/>
      <c r="AH19" s="1569"/>
    </row>
    <row r="20" spans="1:34" s="39" customFormat="1">
      <c r="A20"/>
      <c r="B20" s="1572" t="s">
        <v>1381</v>
      </c>
      <c r="C20" s="892" t="s">
        <v>5737</v>
      </c>
      <c r="D20" s="808"/>
      <c r="E20" s="808"/>
      <c r="F20" s="808"/>
      <c r="G20" s="808"/>
      <c r="H20" s="808"/>
      <c r="I20" s="1571" t="s">
        <v>5735</v>
      </c>
      <c r="J20" s="1401"/>
      <c r="K20" s="860"/>
      <c r="M20" s="260"/>
      <c r="N20" s="1569"/>
      <c r="O20" s="2396"/>
      <c r="P20" s="2038"/>
      <c r="Q20" s="2038"/>
      <c r="R20" s="2038"/>
      <c r="S20" s="2038"/>
      <c r="T20" s="2038"/>
      <c r="U20" s="2038"/>
      <c r="V20" s="2038"/>
      <c r="W20" s="2038"/>
      <c r="X20" s="2038"/>
      <c r="Y20" s="2038"/>
      <c r="Z20" s="2038"/>
      <c r="AG20" s="1569"/>
      <c r="AH20" s="1569"/>
    </row>
    <row r="21" spans="1:34" s="39" customFormat="1">
      <c r="A21" s="3430"/>
      <c r="B21" s="894"/>
      <c r="C21" s="808"/>
      <c r="D21" s="808"/>
      <c r="E21" s="808"/>
      <c r="F21" s="808"/>
      <c r="G21" s="808"/>
      <c r="H21" s="808"/>
      <c r="I21" s="808"/>
      <c r="J21" s="3166">
        <f>ROUND(J20,0)</f>
        <v>0</v>
      </c>
      <c r="K21" s="860"/>
      <c r="M21" s="260"/>
      <c r="N21" s="1569"/>
      <c r="O21" s="2396"/>
      <c r="P21" s="2038"/>
      <c r="Q21" s="2038"/>
      <c r="R21" s="2038"/>
      <c r="S21" s="2038"/>
      <c r="T21" s="2038"/>
      <c r="U21" s="2038"/>
      <c r="V21" s="2038"/>
      <c r="W21" s="2038"/>
      <c r="X21" s="2038"/>
      <c r="Y21" s="2038"/>
      <c r="Z21" s="2038"/>
      <c r="AG21" s="1569"/>
      <c r="AH21" s="1569"/>
    </row>
    <row r="22" spans="1:34" s="39" customFormat="1">
      <c r="A22"/>
      <c r="B22" s="1572" t="s">
        <v>1389</v>
      </c>
      <c r="C22" s="892" t="s">
        <v>1364</v>
      </c>
      <c r="D22" s="808"/>
      <c r="E22" s="808"/>
      <c r="F22" s="808"/>
      <c r="G22" s="808"/>
      <c r="H22" s="808"/>
      <c r="I22" s="808"/>
      <c r="J22" s="808"/>
      <c r="K22" s="860"/>
      <c r="M22" s="260"/>
      <c r="N22" s="1569"/>
      <c r="O22" s="2396"/>
      <c r="P22" s="2038"/>
      <c r="Q22" s="2038"/>
      <c r="R22" s="2038"/>
      <c r="S22" s="2038"/>
      <c r="T22" s="2038"/>
      <c r="U22" s="2038"/>
      <c r="V22" s="2038"/>
      <c r="W22" s="2038"/>
      <c r="X22" s="2038"/>
      <c r="Y22" s="2038"/>
      <c r="Z22" s="2038"/>
      <c r="AG22" s="1569"/>
      <c r="AH22" s="1569"/>
    </row>
    <row r="23" spans="1:34" s="39" customFormat="1" ht="13.5" thickBot="1">
      <c r="A23"/>
      <c r="B23" s="894"/>
      <c r="C23" s="892" t="s">
        <v>1365</v>
      </c>
      <c r="D23" s="808"/>
      <c r="E23" s="808"/>
      <c r="F23" s="808"/>
      <c r="G23" s="808"/>
      <c r="H23" s="808"/>
      <c r="I23" s="808"/>
      <c r="J23" s="808"/>
      <c r="K23" s="860"/>
      <c r="M23" s="260"/>
      <c r="N23" s="1569"/>
      <c r="O23" s="2396"/>
      <c r="P23" s="2038"/>
      <c r="Q23" s="2038"/>
      <c r="R23" s="2038"/>
      <c r="S23" s="2038"/>
      <c r="T23" s="2038"/>
      <c r="U23" s="2038"/>
      <c r="V23" s="2038"/>
      <c r="W23" s="2038"/>
      <c r="X23" s="2038"/>
      <c r="Y23" s="2038"/>
      <c r="Z23" s="2038"/>
      <c r="AG23" s="1569"/>
      <c r="AH23" s="1569"/>
    </row>
    <row r="24" spans="1:34" s="39" customFormat="1" ht="13.5" thickBot="1">
      <c r="A24"/>
      <c r="B24" s="894"/>
      <c r="C24" s="892" t="s">
        <v>1366</v>
      </c>
      <c r="D24" s="808"/>
      <c r="E24" s="808"/>
      <c r="F24" s="808"/>
      <c r="G24" s="808"/>
      <c r="H24" s="808"/>
      <c r="I24" s="1571" t="s">
        <v>5736</v>
      </c>
      <c r="J24" s="1568">
        <f>IF(M24&lt;&gt;"",ROUND(M24,0),CombatPayNoTax)</f>
        <v>0</v>
      </c>
      <c r="K24" s="860"/>
      <c r="M24" s="1570"/>
      <c r="N24" s="1569"/>
      <c r="O24" s="2396"/>
      <c r="P24" s="2038"/>
      <c r="Q24" s="2038"/>
      <c r="R24" s="2038"/>
      <c r="S24" s="2038"/>
      <c r="T24" s="2038"/>
      <c r="U24" s="2038"/>
      <c r="V24" s="2038"/>
      <c r="W24" s="2038"/>
      <c r="X24" s="2038"/>
      <c r="Y24" s="2038"/>
      <c r="Z24" s="2038"/>
      <c r="AG24" s="1569"/>
      <c r="AH24" s="1569"/>
    </row>
    <row r="25" spans="1:34" s="39" customFormat="1">
      <c r="A25"/>
      <c r="B25" s="894"/>
      <c r="C25" s="808"/>
      <c r="D25" s="808"/>
      <c r="E25" s="808"/>
      <c r="F25" s="808"/>
      <c r="G25" s="808"/>
      <c r="H25" s="61"/>
      <c r="I25" s="808"/>
      <c r="J25" s="1325" t="s">
        <v>5739</v>
      </c>
      <c r="K25" s="860"/>
      <c r="M25" s="260"/>
      <c r="N25" s="1569"/>
      <c r="O25" s="2396"/>
      <c r="P25" s="2038"/>
      <c r="Q25" s="2038"/>
      <c r="R25" s="2038"/>
      <c r="S25" s="2038"/>
      <c r="T25" s="2038"/>
      <c r="U25" s="2038"/>
      <c r="V25" s="2038"/>
      <c r="W25" s="2038"/>
      <c r="X25" s="2038"/>
      <c r="Y25" s="2038"/>
      <c r="Z25" s="2038"/>
      <c r="AG25" s="1569"/>
      <c r="AH25" s="1569"/>
    </row>
    <row r="26" spans="1:34" s="39" customFormat="1">
      <c r="A26"/>
      <c r="B26" s="894"/>
      <c r="C26" s="892" t="s">
        <v>1367</v>
      </c>
      <c r="D26" s="808"/>
      <c r="E26" s="808"/>
      <c r="F26" s="808"/>
      <c r="G26" s="808"/>
      <c r="H26" s="808"/>
      <c r="I26" s="808"/>
      <c r="J26" s="808"/>
      <c r="K26" s="860"/>
      <c r="M26" s="260"/>
      <c r="N26" s="1569"/>
      <c r="O26" s="2396"/>
      <c r="P26" s="2038"/>
      <c r="Q26" s="2038"/>
      <c r="R26" s="2038"/>
      <c r="S26" s="2038"/>
      <c r="T26" s="2038"/>
      <c r="U26" s="2038"/>
      <c r="V26" s="2038"/>
      <c r="W26" s="2038"/>
      <c r="X26" s="2038"/>
      <c r="Y26" s="2038"/>
      <c r="Z26" s="2038"/>
      <c r="AG26" s="1569"/>
      <c r="AH26" s="1569"/>
    </row>
    <row r="27" spans="1:34" s="39" customFormat="1">
      <c r="A27"/>
      <c r="B27" s="894"/>
      <c r="C27" s="892" t="s">
        <v>1368</v>
      </c>
      <c r="D27" s="808"/>
      <c r="E27" s="808"/>
      <c r="F27" s="808"/>
      <c r="G27" s="808"/>
      <c r="H27" s="808"/>
      <c r="I27" s="808"/>
      <c r="J27" s="808"/>
      <c r="K27" s="860"/>
      <c r="M27" s="260"/>
      <c r="N27" s="1569"/>
      <c r="O27" s="2396"/>
      <c r="P27" s="2038"/>
      <c r="Q27" s="2038"/>
      <c r="R27" s="2038"/>
      <c r="S27" s="2038"/>
      <c r="T27" s="2038"/>
      <c r="U27" s="2038"/>
      <c r="V27" s="2038"/>
      <c r="W27" s="2038"/>
      <c r="X27" s="2038"/>
      <c r="Y27" s="2038"/>
      <c r="Z27" s="2038"/>
      <c r="AG27" s="1569"/>
      <c r="AH27" s="1569"/>
    </row>
    <row r="28" spans="1:34" s="39" customFormat="1" ht="13.5" thickBot="1">
      <c r="A28"/>
      <c r="B28" s="894"/>
      <c r="C28" s="892"/>
      <c r="D28" s="808"/>
      <c r="E28" s="808"/>
      <c r="F28" s="808"/>
      <c r="G28" s="808"/>
      <c r="H28" s="808"/>
      <c r="I28" s="808"/>
      <c r="J28" s="808"/>
      <c r="K28" s="860"/>
      <c r="M28" s="260"/>
      <c r="N28" s="1569"/>
      <c r="O28" s="2396"/>
      <c r="P28" s="2038"/>
      <c r="Q28" s="2038"/>
      <c r="R28" s="2038"/>
      <c r="S28" s="2038"/>
      <c r="T28" s="2038"/>
      <c r="U28" s="2038"/>
      <c r="V28" s="2038"/>
      <c r="W28" s="2038"/>
      <c r="X28" s="2038"/>
      <c r="Y28" s="2038"/>
      <c r="Z28" s="2038"/>
      <c r="AG28" s="1569"/>
      <c r="AH28" s="1569"/>
    </row>
    <row r="29" spans="1:34" s="39" customFormat="1" ht="13.5" thickBot="1">
      <c r="A29"/>
      <c r="B29" s="1572" t="s">
        <v>1369</v>
      </c>
      <c r="C29" s="892" t="s">
        <v>1370</v>
      </c>
      <c r="D29" s="808"/>
      <c r="E29" s="808"/>
      <c r="F29" s="808"/>
      <c r="G29" s="808"/>
      <c r="H29" s="808"/>
      <c r="I29" s="1571" t="s">
        <v>1369</v>
      </c>
      <c r="J29" s="1568">
        <f>SchC_StatEmp_Inc</f>
        <v>0</v>
      </c>
      <c r="K29" s="860"/>
      <c r="M29" s="1570"/>
      <c r="N29" s="1569"/>
      <c r="O29" s="2396"/>
      <c r="P29" s="2038"/>
      <c r="Q29" s="2038"/>
      <c r="R29" s="2038"/>
      <c r="S29" s="2038"/>
      <c r="T29" s="2038"/>
      <c r="U29" s="2038"/>
      <c r="V29" s="2038"/>
      <c r="W29" s="2038"/>
      <c r="X29" s="2038"/>
      <c r="Y29" s="2038"/>
      <c r="Z29" s="2038"/>
      <c r="AG29" s="1569"/>
      <c r="AH29" s="1569"/>
    </row>
    <row r="30" spans="1:34" s="39" customFormat="1">
      <c r="A30"/>
      <c r="B30" s="894"/>
      <c r="C30" s="892"/>
      <c r="D30" s="808"/>
      <c r="E30" s="808"/>
      <c r="F30" s="808"/>
      <c r="G30" s="808"/>
      <c r="H30" s="808"/>
      <c r="I30" s="808"/>
      <c r="J30" s="1604" t="s">
        <v>1371</v>
      </c>
      <c r="K30" s="860"/>
      <c r="M30" s="260"/>
      <c r="N30" s="1569"/>
      <c r="O30" s="2396"/>
      <c r="P30" s="2038"/>
      <c r="Q30" s="2038"/>
      <c r="R30" s="2038"/>
      <c r="S30" s="2038"/>
      <c r="T30" s="2038"/>
      <c r="U30" s="2038"/>
      <c r="V30" s="2038"/>
      <c r="W30" s="2038"/>
      <c r="X30" s="2038"/>
      <c r="Y30" s="2038"/>
      <c r="Z30" s="2038"/>
      <c r="AG30" s="1569"/>
      <c r="AH30" s="1569"/>
    </row>
    <row r="31" spans="1:34" s="39" customFormat="1">
      <c r="A31"/>
      <c r="B31" s="1572" t="s">
        <v>1363</v>
      </c>
      <c r="C31" s="892" t="s">
        <v>1372</v>
      </c>
      <c r="D31" s="808"/>
      <c r="E31" s="808"/>
      <c r="F31" s="808"/>
      <c r="G31" s="808"/>
      <c r="H31" s="808"/>
      <c r="I31" s="808"/>
      <c r="J31" s="1604" t="s">
        <v>1373</v>
      </c>
      <c r="K31" s="860"/>
      <c r="M31" s="260"/>
      <c r="N31" s="1569"/>
      <c r="O31" s="2396"/>
      <c r="P31" s="2038"/>
      <c r="Q31" s="2038"/>
      <c r="R31" s="2038"/>
      <c r="S31" s="2038"/>
      <c r="T31" s="2038"/>
      <c r="U31" s="2038"/>
      <c r="V31" s="2038"/>
      <c r="W31" s="2038"/>
      <c r="X31" s="2038"/>
      <c r="Y31" s="2038"/>
      <c r="Z31" s="2038"/>
      <c r="AG31" s="1569"/>
      <c r="AH31" s="1569"/>
    </row>
    <row r="32" spans="1:34" s="39" customFormat="1">
      <c r="A32"/>
      <c r="B32" s="1572"/>
      <c r="C32" s="892" t="s">
        <v>1374</v>
      </c>
      <c r="D32" s="808"/>
      <c r="E32" s="808"/>
      <c r="F32" s="808"/>
      <c r="G32" s="808"/>
      <c r="H32" s="808"/>
      <c r="I32" s="808"/>
      <c r="J32" s="808"/>
      <c r="K32" s="860"/>
      <c r="M32" s="260"/>
      <c r="N32" s="1569"/>
      <c r="O32" s="2396"/>
      <c r="P32" s="2038"/>
      <c r="Q32" s="2038"/>
      <c r="R32" s="2038"/>
      <c r="S32" s="2038"/>
      <c r="T32" s="2038"/>
      <c r="U32" s="2038"/>
      <c r="V32" s="2038"/>
      <c r="W32" s="2038"/>
      <c r="X32" s="2038"/>
      <c r="Y32" s="2038"/>
      <c r="Z32" s="2038"/>
      <c r="AG32" s="1569"/>
      <c r="AH32" s="1569"/>
    </row>
    <row r="33" spans="1:34" s="39" customFormat="1">
      <c r="A33"/>
      <c r="B33" s="1572"/>
      <c r="C33" s="892" t="s">
        <v>1375</v>
      </c>
      <c r="D33" s="808"/>
      <c r="E33" s="808"/>
      <c r="F33" s="808"/>
      <c r="G33" s="808"/>
      <c r="H33" s="808"/>
      <c r="I33" s="808"/>
      <c r="J33" s="808"/>
      <c r="K33" s="860"/>
      <c r="M33" s="260"/>
      <c r="N33" s="1569"/>
      <c r="O33" s="2396"/>
      <c r="P33" s="2038"/>
      <c r="Q33" s="2038"/>
      <c r="R33" s="2038"/>
      <c r="S33" s="2038"/>
      <c r="T33" s="2038"/>
      <c r="U33" s="2038"/>
      <c r="V33" s="2038"/>
      <c r="W33" s="2038"/>
      <c r="X33" s="2038"/>
      <c r="Y33" s="2038"/>
      <c r="Z33" s="2038"/>
      <c r="AG33" s="1569"/>
      <c r="AH33" s="1569"/>
    </row>
    <row r="34" spans="1:34" s="39" customFormat="1">
      <c r="A34"/>
      <c r="B34" s="1572"/>
      <c r="C34" s="892" t="s">
        <v>1376</v>
      </c>
      <c r="D34" s="808"/>
      <c r="E34" s="808"/>
      <c r="F34" s="808"/>
      <c r="G34" s="808"/>
      <c r="H34" s="808"/>
      <c r="I34" s="808"/>
      <c r="J34" s="808"/>
      <c r="K34" s="860"/>
      <c r="M34" s="260"/>
      <c r="N34" s="1569"/>
      <c r="O34" s="2396"/>
      <c r="P34" s="2038"/>
      <c r="Q34" s="2038"/>
      <c r="R34" s="2038"/>
      <c r="S34" s="2038"/>
      <c r="T34" s="2038"/>
      <c r="U34" s="2038"/>
      <c r="V34" s="2038"/>
      <c r="W34" s="2038"/>
      <c r="X34" s="2038"/>
      <c r="Y34" s="2038"/>
      <c r="Z34" s="2038"/>
      <c r="AG34" s="1569"/>
      <c r="AH34" s="1569"/>
    </row>
    <row r="35" spans="1:34" s="39" customFormat="1" ht="13.5" thickBot="1">
      <c r="A35"/>
      <c r="B35" s="1572"/>
      <c r="C35" s="892" t="s">
        <v>1377</v>
      </c>
      <c r="D35" s="808"/>
      <c r="E35" s="808"/>
      <c r="F35" s="808"/>
      <c r="G35" s="808"/>
      <c r="H35" s="808"/>
      <c r="I35" s="808"/>
      <c r="J35" s="808"/>
      <c r="K35" s="860"/>
      <c r="M35" s="260"/>
      <c r="N35" s="1569"/>
      <c r="O35" s="2396"/>
      <c r="P35" s="2038"/>
      <c r="Q35" s="2038"/>
      <c r="R35" s="2038"/>
      <c r="S35" s="2038"/>
      <c r="T35" s="2038"/>
      <c r="U35" s="2038"/>
      <c r="V35" s="2038"/>
      <c r="W35" s="2038"/>
      <c r="X35" s="2038"/>
      <c r="Y35" s="2038"/>
      <c r="Z35" s="2038"/>
      <c r="AG35" s="1569"/>
      <c r="AH35" s="1569"/>
    </row>
    <row r="36" spans="1:34" s="39" customFormat="1" ht="13.5" thickBot="1">
      <c r="A36"/>
      <c r="B36" s="894"/>
      <c r="C36" s="892" t="s">
        <v>1378</v>
      </c>
      <c r="D36" s="808"/>
      <c r="E36" s="808"/>
      <c r="F36" s="808"/>
      <c r="G36" s="808"/>
      <c r="H36" s="808"/>
      <c r="I36" s="1571" t="s">
        <v>1379</v>
      </c>
      <c r="J36" s="1568">
        <f>IF(M36&lt;&gt;"",ROUND(M36,0),SUM(SchC_ProfitLoss1,SchC_ProfitLoss2,-SchC_StatEmp_Inc))</f>
        <v>0</v>
      </c>
      <c r="K36" s="860"/>
      <c r="M36" s="1570"/>
      <c r="N36" s="1569"/>
      <c r="O36" s="2396"/>
      <c r="P36" s="2038"/>
      <c r="Q36" s="2038"/>
      <c r="R36" s="2038"/>
      <c r="S36" s="2038"/>
      <c r="T36" s="2038"/>
      <c r="U36" s="2038"/>
      <c r="V36" s="2038"/>
      <c r="W36" s="2038"/>
      <c r="X36" s="2038"/>
      <c r="Y36" s="2038"/>
      <c r="Z36" s="2038"/>
      <c r="AG36" s="1569"/>
      <c r="AH36" s="1569"/>
    </row>
    <row r="37" spans="1:34" s="39" customFormat="1">
      <c r="A37"/>
      <c r="B37" s="894"/>
      <c r="C37" s="892"/>
      <c r="D37" s="808"/>
      <c r="E37" s="808"/>
      <c r="F37" s="808"/>
      <c r="G37" s="808"/>
      <c r="H37" s="808"/>
      <c r="I37" s="808"/>
      <c r="J37" s="1604" t="s">
        <v>1380</v>
      </c>
      <c r="K37" s="860"/>
      <c r="M37" s="260"/>
      <c r="N37" s="1569"/>
      <c r="O37" s="2396"/>
      <c r="P37" s="2038"/>
      <c r="Q37" s="2038"/>
      <c r="R37" s="2038"/>
      <c r="S37" s="2038"/>
      <c r="T37" s="2038"/>
      <c r="U37" s="2038"/>
      <c r="V37" s="2038"/>
      <c r="W37" s="2038"/>
      <c r="X37" s="2038"/>
      <c r="Y37" s="2038"/>
      <c r="Z37" s="2038"/>
      <c r="AG37" s="1569"/>
      <c r="AH37" s="1569"/>
    </row>
    <row r="38" spans="1:34" s="39" customFormat="1">
      <c r="A38"/>
      <c r="B38" s="1572" t="s">
        <v>1381</v>
      </c>
      <c r="C38" s="892" t="s">
        <v>1382</v>
      </c>
      <c r="D38" s="808"/>
      <c r="E38" s="808"/>
      <c r="F38" s="808"/>
      <c r="G38" s="808"/>
      <c r="H38" s="808"/>
      <c r="I38" s="808"/>
      <c r="J38" s="808"/>
      <c r="K38" s="860"/>
      <c r="M38" s="260"/>
      <c r="N38" s="1569"/>
      <c r="O38" s="2396"/>
      <c r="P38" s="2038"/>
      <c r="Q38" s="2038"/>
      <c r="R38" s="2038"/>
      <c r="S38" s="2038"/>
      <c r="T38" s="2038"/>
      <c r="U38" s="2038"/>
      <c r="V38" s="2038"/>
      <c r="W38" s="2038"/>
      <c r="X38" s="2038"/>
      <c r="Y38" s="2038"/>
      <c r="Z38" s="2038"/>
      <c r="AG38" s="1569"/>
      <c r="AH38" s="1569"/>
    </row>
    <row r="39" spans="1:34" s="39" customFormat="1">
      <c r="A39"/>
      <c r="B39" s="1572"/>
      <c r="C39" s="892" t="s">
        <v>1383</v>
      </c>
      <c r="D39" s="808"/>
      <c r="E39" s="808"/>
      <c r="F39" s="808"/>
      <c r="G39" s="808"/>
      <c r="H39" s="808"/>
      <c r="I39" s="808"/>
      <c r="J39" s="808"/>
      <c r="K39" s="860"/>
      <c r="M39" s="260"/>
      <c r="N39" s="1569"/>
      <c r="O39" s="2396"/>
      <c r="P39" s="2038"/>
      <c r="Q39" s="2038"/>
      <c r="R39" s="2038"/>
      <c r="S39" s="2038"/>
      <c r="T39" s="2038"/>
      <c r="U39" s="2038"/>
      <c r="V39" s="2038"/>
      <c r="W39" s="2038"/>
      <c r="X39" s="2038"/>
      <c r="Y39" s="2038"/>
      <c r="Z39" s="2038"/>
      <c r="AG39" s="1569"/>
      <c r="AH39" s="1569"/>
    </row>
    <row r="40" spans="1:34" s="39" customFormat="1">
      <c r="A40"/>
      <c r="B40" s="1572"/>
      <c r="C40" s="892" t="s">
        <v>1384</v>
      </c>
      <c r="D40" s="808"/>
      <c r="E40" s="808"/>
      <c r="F40" s="808"/>
      <c r="G40" s="808"/>
      <c r="H40" s="808"/>
      <c r="I40" s="808"/>
      <c r="J40" s="808"/>
      <c r="K40" s="860"/>
      <c r="M40" s="260"/>
      <c r="N40" s="1569"/>
      <c r="O40" s="2396"/>
      <c r="P40" s="2038"/>
      <c r="Q40" s="2038"/>
      <c r="R40" s="2038"/>
      <c r="S40" s="2038"/>
      <c r="T40" s="2038"/>
      <c r="U40" s="2038"/>
      <c r="V40" s="2038"/>
      <c r="W40" s="2038"/>
      <c r="X40" s="2038"/>
      <c r="Y40" s="2038"/>
      <c r="Z40" s="2038"/>
      <c r="AG40" s="1569"/>
      <c r="AH40" s="1569"/>
    </row>
    <row r="41" spans="1:34" s="39" customFormat="1" ht="13.5" thickBot="1">
      <c r="A41"/>
      <c r="B41" s="1572"/>
      <c r="C41" s="892" t="s">
        <v>1385</v>
      </c>
      <c r="D41" s="808"/>
      <c r="E41" s="808"/>
      <c r="F41" s="808"/>
      <c r="G41" s="808"/>
      <c r="H41" s="808"/>
      <c r="I41" s="808"/>
      <c r="J41" s="808"/>
      <c r="K41" s="860"/>
      <c r="M41" s="260"/>
      <c r="N41" s="1569"/>
      <c r="O41" s="2396"/>
      <c r="P41" s="2038"/>
      <c r="Q41" s="2038"/>
      <c r="R41" s="2038"/>
      <c r="S41" s="2038"/>
      <c r="T41" s="2038"/>
      <c r="U41" s="2038"/>
      <c r="V41" s="2038"/>
      <c r="W41" s="2038"/>
      <c r="X41" s="2038"/>
      <c r="Y41" s="2038"/>
      <c r="Z41" s="2038"/>
      <c r="AG41" s="1569"/>
      <c r="AH41" s="1569"/>
    </row>
    <row r="42" spans="1:34" s="39" customFormat="1" ht="13.5" thickBot="1">
      <c r="A42"/>
      <c r="B42" s="894"/>
      <c r="C42" s="892" t="s">
        <v>1386</v>
      </c>
      <c r="D42" s="808"/>
      <c r="E42" s="808"/>
      <c r="F42" s="808"/>
      <c r="G42" s="808"/>
      <c r="H42" s="808"/>
      <c r="I42" s="1571" t="s">
        <v>1387</v>
      </c>
      <c r="J42" s="1568">
        <f>IF(M42&lt;&gt;"",ROUND(M42,0),FarmProfitNet)</f>
        <v>0</v>
      </c>
      <c r="K42" s="860"/>
      <c r="M42" s="1570"/>
      <c r="N42" s="1569"/>
      <c r="O42" s="2396"/>
      <c r="P42" s="2038"/>
      <c r="Q42" s="2038"/>
      <c r="R42" s="2038"/>
      <c r="S42" s="2038"/>
      <c r="T42" s="2038"/>
      <c r="U42" s="2038"/>
      <c r="V42" s="2038"/>
      <c r="W42" s="2038"/>
      <c r="X42" s="2038"/>
      <c r="Y42" s="2038"/>
      <c r="Z42" s="2038"/>
      <c r="AG42" s="1569"/>
      <c r="AH42" s="1569"/>
    </row>
    <row r="43" spans="1:34" s="39" customFormat="1">
      <c r="A43"/>
      <c r="B43" s="894"/>
      <c r="C43" s="892"/>
      <c r="D43" s="808"/>
      <c r="E43" s="808"/>
      <c r="F43" s="808"/>
      <c r="G43" s="808"/>
      <c r="H43" s="808"/>
      <c r="I43" s="808"/>
      <c r="J43" s="1604" t="s">
        <v>1388</v>
      </c>
      <c r="K43" s="860"/>
      <c r="M43" s="260"/>
      <c r="N43" s="1569"/>
      <c r="O43" s="2396"/>
      <c r="P43" s="2038"/>
      <c r="Q43" s="2038"/>
      <c r="R43" s="2038"/>
      <c r="S43" s="2038"/>
      <c r="T43" s="2038"/>
      <c r="U43" s="2038"/>
      <c r="V43" s="2038"/>
      <c r="W43" s="2038"/>
      <c r="X43" s="2038"/>
      <c r="Y43" s="2038"/>
      <c r="Z43" s="2038"/>
      <c r="AG43" s="1569"/>
      <c r="AH43" s="1569"/>
    </row>
    <row r="44" spans="1:34" s="39" customFormat="1">
      <c r="A44"/>
      <c r="B44" s="1572" t="s">
        <v>1389</v>
      </c>
      <c r="C44" s="892" t="s">
        <v>1390</v>
      </c>
      <c r="D44" s="808"/>
      <c r="E44" s="808"/>
      <c r="F44" s="808"/>
      <c r="G44" s="808"/>
      <c r="H44" s="808"/>
      <c r="I44" s="808"/>
      <c r="J44" s="808"/>
      <c r="K44" s="860"/>
      <c r="M44" s="260"/>
      <c r="N44" s="1569"/>
      <c r="O44" s="2396"/>
      <c r="P44" s="2038"/>
      <c r="Q44" s="2038"/>
      <c r="R44" s="2038"/>
      <c r="S44" s="2038"/>
      <c r="T44" s="2038"/>
      <c r="U44" s="2038"/>
      <c r="V44" s="2038"/>
      <c r="W44" s="2038"/>
      <c r="X44" s="2038"/>
      <c r="Y44" s="2038"/>
      <c r="Z44" s="2038"/>
      <c r="AG44" s="1569"/>
      <c r="AH44" s="1569"/>
    </row>
    <row r="45" spans="1:34" s="39" customFormat="1" ht="13.5" thickBot="1">
      <c r="A45"/>
      <c r="B45" s="1572"/>
      <c r="C45" s="892" t="s">
        <v>1391</v>
      </c>
      <c r="D45" s="808"/>
      <c r="E45" s="808"/>
      <c r="F45" s="808"/>
      <c r="G45" s="808"/>
      <c r="H45" s="808"/>
      <c r="I45" s="808"/>
      <c r="J45" s="808"/>
      <c r="K45" s="860"/>
      <c r="M45" s="260"/>
      <c r="N45" s="1569"/>
      <c r="O45" s="2396"/>
      <c r="P45" s="2038"/>
      <c r="Q45" s="2038"/>
      <c r="R45" s="2038"/>
      <c r="S45" s="2038"/>
      <c r="T45" s="2038"/>
      <c r="U45" s="2038"/>
      <c r="V45" s="2038"/>
      <c r="W45" s="2038"/>
      <c r="X45" s="2038"/>
      <c r="Y45" s="2038"/>
      <c r="Z45" s="2038"/>
      <c r="AG45" s="1569"/>
      <c r="AH45" s="1569"/>
    </row>
    <row r="46" spans="1:34" s="39" customFormat="1" ht="13.5" thickBot="1">
      <c r="A46"/>
      <c r="B46" s="894"/>
      <c r="C46" s="892" t="s">
        <v>1392</v>
      </c>
      <c r="D46" s="808"/>
      <c r="E46" s="808"/>
      <c r="F46" s="808"/>
      <c r="G46" s="808"/>
      <c r="H46" s="808"/>
      <c r="I46" s="1571" t="s">
        <v>1393</v>
      </c>
      <c r="J46" s="1568">
        <f>IF(M46&lt;&gt;"",ROUND(M46,0),SUM(ROUND(FarmOptMeth1,0),ROUND(FarmOptMeth2,0)))</f>
        <v>0</v>
      </c>
      <c r="K46" s="860"/>
      <c r="M46" s="1570"/>
      <c r="N46" s="1569"/>
      <c r="O46" s="2396"/>
      <c r="P46" s="2038"/>
      <c r="Q46" s="2038"/>
      <c r="R46" s="2038"/>
      <c r="S46" s="2038"/>
      <c r="T46" s="2038"/>
      <c r="U46" s="2038"/>
      <c r="V46" s="2038"/>
      <c r="W46" s="2038"/>
      <c r="X46" s="2038"/>
      <c r="Y46" s="2038"/>
      <c r="Z46" s="2038"/>
      <c r="AG46" s="1569"/>
      <c r="AH46" s="1569"/>
    </row>
    <row r="47" spans="1:34" s="39" customFormat="1">
      <c r="A47"/>
      <c r="B47" s="894"/>
      <c r="C47" s="892"/>
      <c r="D47" s="808"/>
      <c r="E47" s="808"/>
      <c r="F47" s="808"/>
      <c r="G47" s="808"/>
      <c r="H47" s="808"/>
      <c r="I47" s="808"/>
      <c r="J47" s="1604" t="s">
        <v>1394</v>
      </c>
      <c r="K47" s="860"/>
      <c r="M47" s="260"/>
      <c r="N47" s="1569"/>
      <c r="O47" s="2396"/>
      <c r="P47" s="2038"/>
      <c r="Q47" s="2038"/>
      <c r="R47" s="2038"/>
      <c r="S47" s="2038"/>
      <c r="T47" s="2038"/>
      <c r="U47" s="2038"/>
      <c r="V47" s="2038"/>
      <c r="W47" s="2038"/>
      <c r="X47" s="2038"/>
      <c r="Y47" s="2038"/>
      <c r="Z47" s="2038"/>
      <c r="AG47" s="1569"/>
      <c r="AH47" s="1569"/>
    </row>
    <row r="48" spans="1:34" s="39" customFormat="1">
      <c r="A48"/>
      <c r="B48" s="1572"/>
      <c r="C48" s="892"/>
      <c r="D48" s="808"/>
      <c r="E48" s="808"/>
      <c r="F48" s="808"/>
      <c r="G48" s="808"/>
      <c r="H48" s="808"/>
      <c r="I48" s="808"/>
      <c r="J48" s="1604" t="s">
        <v>1395</v>
      </c>
      <c r="K48" s="860"/>
      <c r="M48" s="260"/>
      <c r="N48" s="1569"/>
      <c r="O48" s="2396"/>
      <c r="P48" s="2038"/>
      <c r="Q48" s="2038"/>
      <c r="R48" s="2038"/>
      <c r="S48" s="2038"/>
      <c r="T48" s="2038"/>
      <c r="U48" s="2038"/>
      <c r="V48" s="2038"/>
      <c r="W48" s="2038"/>
      <c r="X48" s="2038"/>
      <c r="Y48" s="2038"/>
      <c r="Z48" s="2038"/>
      <c r="AG48" s="1569"/>
      <c r="AH48" s="1569"/>
    </row>
    <row r="49" spans="1:34" s="39" customFormat="1" ht="13.5" thickBot="1">
      <c r="A49"/>
      <c r="B49" s="1572" t="s">
        <v>1396</v>
      </c>
      <c r="C49" s="892" t="s">
        <v>1397</v>
      </c>
      <c r="D49" s="808"/>
      <c r="E49" s="808"/>
      <c r="F49" s="808"/>
      <c r="G49" s="808"/>
      <c r="H49" s="808"/>
      <c r="I49" s="808"/>
      <c r="J49" s="1604"/>
      <c r="K49" s="860"/>
      <c r="M49" s="260"/>
      <c r="N49" s="1569"/>
      <c r="O49" s="2396"/>
      <c r="P49" s="2038"/>
      <c r="Q49" s="2038"/>
      <c r="R49" s="2038"/>
      <c r="S49" s="2038"/>
      <c r="T49" s="2038"/>
      <c r="U49" s="2038"/>
      <c r="V49" s="2038"/>
      <c r="W49" s="2038"/>
      <c r="X49" s="2038"/>
      <c r="Y49" s="2038"/>
      <c r="Z49" s="2038"/>
      <c r="AG49" s="1569"/>
      <c r="AH49" s="1569"/>
    </row>
    <row r="50" spans="1:34" s="39" customFormat="1" ht="13.5" thickBot="1">
      <c r="A50"/>
      <c r="B50" s="894"/>
      <c r="C50" s="892" t="s">
        <v>1398</v>
      </c>
      <c r="D50" s="808"/>
      <c r="E50" s="808"/>
      <c r="F50" s="808"/>
      <c r="G50" s="808"/>
      <c r="H50" s="808"/>
      <c r="I50" s="1571" t="s">
        <v>1399</v>
      </c>
      <c r="J50" s="1568">
        <f>IF(M50&lt;&gt;"",ROUND(M50,0),IF(J42&gt;0,MIN(J42,J46),IF(J42&lt;0,J42,0)))</f>
        <v>0</v>
      </c>
      <c r="K50" s="860"/>
      <c r="M50" s="1570"/>
      <c r="N50" s="1569"/>
      <c r="O50" s="2396"/>
      <c r="P50" s="2038"/>
      <c r="Q50" s="2038"/>
      <c r="R50" s="2038"/>
      <c r="S50" s="2038"/>
      <c r="T50" s="2038"/>
      <c r="U50" s="2038"/>
      <c r="V50" s="2038"/>
      <c r="W50" s="2038"/>
      <c r="X50" s="2038"/>
      <c r="Y50" s="2038"/>
      <c r="Z50" s="2038"/>
      <c r="AG50" s="1569"/>
      <c r="AH50" s="1569"/>
    </row>
    <row r="51" spans="1:34" s="39" customFormat="1">
      <c r="A51"/>
      <c r="B51" s="1572"/>
      <c r="C51" s="892"/>
      <c r="D51" s="808"/>
      <c r="E51" s="808"/>
      <c r="F51" s="808"/>
      <c r="G51" s="808"/>
      <c r="H51" s="808"/>
      <c r="I51" s="808"/>
      <c r="J51" s="1604"/>
      <c r="K51" s="860"/>
      <c r="M51" s="260"/>
      <c r="N51" s="1569"/>
      <c r="O51" s="2396"/>
      <c r="P51" s="2038"/>
      <c r="Q51" s="2038"/>
      <c r="R51" s="2038"/>
      <c r="S51" s="2038"/>
      <c r="T51" s="2038"/>
      <c r="U51" s="2038"/>
      <c r="V51" s="2038"/>
      <c r="W51" s="2038"/>
      <c r="X51" s="2038"/>
      <c r="Y51" s="2038"/>
      <c r="Z51" s="2038"/>
      <c r="AG51" s="1569"/>
      <c r="AH51" s="1569"/>
    </row>
    <row r="52" spans="1:34" s="39" customFormat="1" ht="13.5" thickBot="1">
      <c r="A52"/>
      <c r="B52" s="1572" t="s">
        <v>177</v>
      </c>
      <c r="C52" s="892" t="s">
        <v>5738</v>
      </c>
      <c r="D52" s="808"/>
      <c r="E52" s="808"/>
      <c r="F52" s="892" t="s">
        <v>1400</v>
      </c>
      <c r="G52" s="892"/>
      <c r="H52" s="808"/>
      <c r="I52" s="808"/>
      <c r="J52" s="1604"/>
      <c r="K52" s="860"/>
      <c r="M52" s="260"/>
      <c r="N52" s="1569"/>
      <c r="O52" s="2396"/>
      <c r="P52" s="2038"/>
      <c r="Q52" s="2038"/>
      <c r="R52" s="2038"/>
      <c r="S52" s="2038"/>
      <c r="T52" s="2038"/>
      <c r="U52" s="2038"/>
      <c r="V52" s="2038"/>
      <c r="W52" s="2038"/>
      <c r="X52" s="2038"/>
      <c r="Y52" s="2038"/>
      <c r="Z52" s="2038"/>
      <c r="AG52" s="1569"/>
      <c r="AH52" s="1569"/>
    </row>
    <row r="53" spans="1:34" s="39" customFormat="1" ht="13.5" thickBot="1">
      <c r="A53"/>
      <c r="B53" s="894"/>
      <c r="C53" s="892" t="s">
        <v>1401</v>
      </c>
      <c r="D53" s="808"/>
      <c r="E53" s="808"/>
      <c r="F53" s="808"/>
      <c r="G53" s="808"/>
      <c r="H53" s="808"/>
      <c r="I53" s="1571" t="s">
        <v>177</v>
      </c>
      <c r="J53" s="1568">
        <f>IF(M53&lt;&gt;"",ROUND(M53,0),SUM(J16,J19, J21,J24,J29,J36,J50))</f>
        <v>0</v>
      </c>
      <c r="K53" s="860"/>
      <c r="M53" s="1570"/>
      <c r="N53" s="1569"/>
      <c r="O53" s="2396"/>
      <c r="P53" s="2038"/>
      <c r="Q53" s="2038"/>
      <c r="R53" s="2038"/>
      <c r="S53" s="2038"/>
      <c r="T53" s="2038"/>
      <c r="U53" s="2038"/>
      <c r="V53" s="2038"/>
      <c r="W53" s="2038"/>
      <c r="X53" s="2038"/>
      <c r="Y53" s="2038"/>
      <c r="Z53" s="2038"/>
      <c r="AG53" s="1569"/>
      <c r="AH53" s="1569"/>
    </row>
    <row r="54" spans="1:34" s="39" customFormat="1">
      <c r="A54"/>
      <c r="B54" s="894"/>
      <c r="C54" s="892"/>
      <c r="D54" s="808"/>
      <c r="E54" s="808"/>
      <c r="F54" s="808"/>
      <c r="G54" s="808"/>
      <c r="H54" s="808"/>
      <c r="I54" s="808"/>
      <c r="J54" s="3431" t="b">
        <f>J53&lt;=0</f>
        <v>1</v>
      </c>
      <c r="K54" s="860"/>
      <c r="M54" s="260"/>
      <c r="N54" s="1569"/>
      <c r="O54" s="2396"/>
      <c r="P54" s="2038"/>
      <c r="Q54" s="2038"/>
      <c r="R54" s="2038"/>
      <c r="S54" s="2038"/>
      <c r="T54" s="2038"/>
      <c r="U54" s="2038"/>
      <c r="V54" s="2038"/>
      <c r="W54" s="2038"/>
      <c r="X54" s="2038"/>
      <c r="Y54" s="2038"/>
      <c r="Z54" s="2038"/>
      <c r="AG54" s="1569"/>
      <c r="AH54" s="1569"/>
    </row>
    <row r="55" spans="1:34" s="39" customFormat="1">
      <c r="A55"/>
      <c r="B55" s="894"/>
      <c r="C55" s="899" t="s">
        <v>1402</v>
      </c>
      <c r="D55" s="808"/>
      <c r="E55" s="808"/>
      <c r="F55" s="808"/>
      <c r="G55" s="808"/>
      <c r="H55" s="808"/>
      <c r="I55" s="808"/>
      <c r="J55" s="3431"/>
      <c r="K55" s="860"/>
      <c r="M55" s="260"/>
      <c r="N55" s="1569"/>
      <c r="O55" s="2396"/>
      <c r="P55" s="2038"/>
      <c r="Q55" s="2038"/>
      <c r="R55" s="2038"/>
      <c r="S55" s="2038"/>
      <c r="T55" s="2038"/>
      <c r="U55" s="2038"/>
      <c r="V55" s="2038"/>
      <c r="W55" s="2038"/>
      <c r="X55" s="2038"/>
      <c r="Y55" s="2038"/>
      <c r="Z55" s="2038"/>
      <c r="AG55" s="1569"/>
      <c r="AH55" s="1569"/>
    </row>
    <row r="56" spans="1:34" s="39" customFormat="1">
      <c r="A56"/>
      <c r="B56" s="1572" t="s">
        <v>182</v>
      </c>
      <c r="C56" s="892" t="s">
        <v>1403</v>
      </c>
      <c r="D56" s="808"/>
      <c r="E56" s="808"/>
      <c r="F56" s="808"/>
      <c r="G56" s="808"/>
      <c r="H56" s="1585"/>
      <c r="I56" s="1571"/>
      <c r="J56" s="808"/>
      <c r="K56" s="860"/>
      <c r="M56" s="260"/>
      <c r="N56" s="1569"/>
      <c r="O56" s="2396"/>
      <c r="P56" s="2038"/>
      <c r="Q56" s="2038"/>
      <c r="R56" s="2038"/>
      <c r="S56" s="2038"/>
      <c r="T56" s="2038"/>
      <c r="U56" s="2038"/>
      <c r="V56" s="2038"/>
      <c r="W56" s="2038"/>
      <c r="X56" s="2038"/>
      <c r="Y56" s="2038"/>
      <c r="Z56" s="2038"/>
      <c r="AG56" s="1569"/>
      <c r="AH56" s="1569"/>
    </row>
    <row r="57" spans="1:34" s="39" customFormat="1">
      <c r="A57"/>
      <c r="B57" s="1572"/>
      <c r="C57" s="1579" t="s">
        <v>1404</v>
      </c>
      <c r="D57" s="892" t="s">
        <v>1405</v>
      </c>
      <c r="E57" s="808"/>
      <c r="F57" s="808"/>
      <c r="G57" s="808"/>
      <c r="H57" s="808"/>
      <c r="I57" s="1571" t="s">
        <v>1406</v>
      </c>
      <c r="J57" s="1401">
        <f>F1099G_TaxGrants</f>
        <v>0</v>
      </c>
      <c r="K57" s="860"/>
      <c r="M57" s="260"/>
      <c r="N57" s="1569"/>
      <c r="O57" s="2396"/>
      <c r="P57" s="2038"/>
      <c r="Q57" s="2038"/>
      <c r="R57" s="2038"/>
      <c r="S57" s="2038"/>
      <c r="T57" s="2038"/>
      <c r="U57" s="2038"/>
      <c r="V57" s="2038"/>
      <c r="W57" s="2038"/>
      <c r="X57" s="2038"/>
      <c r="Y57" s="2038"/>
      <c r="Z57" s="2038"/>
      <c r="AG57" s="1569"/>
      <c r="AH57" s="1569"/>
    </row>
    <row r="58" spans="1:34" s="39" customFormat="1">
      <c r="A58"/>
      <c r="B58" s="1572"/>
      <c r="C58" s="1579" t="s">
        <v>1363</v>
      </c>
      <c r="D58" s="892" t="s">
        <v>1407</v>
      </c>
      <c r="E58" s="808"/>
      <c r="F58" s="808"/>
      <c r="G58" s="808"/>
      <c r="H58" s="808"/>
      <c r="I58" s="808"/>
      <c r="J58" s="808"/>
      <c r="K58" s="860"/>
      <c r="M58" s="260"/>
      <c r="N58" s="1569"/>
      <c r="O58" s="2396"/>
      <c r="P58" s="2038"/>
      <c r="Q58" s="2038"/>
      <c r="R58" s="2038"/>
      <c r="S58" s="2038"/>
      <c r="T58" s="2038"/>
      <c r="U58" s="2038"/>
      <c r="V58" s="2038"/>
      <c r="W58" s="2038"/>
      <c r="X58" s="2038"/>
      <c r="Y58" s="2038"/>
      <c r="Z58" s="2038"/>
      <c r="AG58" s="1569"/>
      <c r="AH58" s="1569"/>
    </row>
    <row r="59" spans="1:34" s="39" customFormat="1">
      <c r="A59"/>
      <c r="B59" s="1572"/>
      <c r="C59" s="892"/>
      <c r="D59" s="892" t="s">
        <v>1408</v>
      </c>
      <c r="E59" s="808"/>
      <c r="F59" s="808"/>
      <c r="G59" s="808"/>
      <c r="H59" s="808"/>
      <c r="I59" s="1571" t="s">
        <v>1409</v>
      </c>
      <c r="J59" s="1401"/>
      <c r="K59" s="860"/>
      <c r="M59" s="260"/>
      <c r="N59" s="1569"/>
      <c r="O59" s="2396"/>
      <c r="P59" s="2038"/>
      <c r="Q59" s="2038"/>
      <c r="R59" s="2038"/>
      <c r="S59" s="2038"/>
      <c r="T59" s="2038"/>
      <c r="U59" s="2038"/>
      <c r="V59" s="2038"/>
      <c r="W59" s="2038"/>
      <c r="X59" s="2038"/>
      <c r="Y59" s="2038"/>
      <c r="Z59" s="2038"/>
      <c r="AG59" s="1569"/>
      <c r="AH59" s="1569"/>
    </row>
    <row r="60" spans="1:34" s="39" customFormat="1">
      <c r="A60"/>
      <c r="B60" s="1572"/>
      <c r="C60" s="1579" t="s">
        <v>1381</v>
      </c>
      <c r="D60" s="892" t="s">
        <v>1410</v>
      </c>
      <c r="E60" s="808"/>
      <c r="F60" s="808"/>
      <c r="G60" s="808"/>
      <c r="H60" s="808"/>
      <c r="I60" s="808"/>
      <c r="J60" s="808"/>
      <c r="K60" s="860"/>
      <c r="M60" s="260"/>
      <c r="N60" s="1569"/>
      <c r="O60" s="2396"/>
      <c r="P60" s="2038"/>
      <c r="Q60" s="2038"/>
      <c r="R60" s="2038"/>
      <c r="S60" s="2038"/>
      <c r="T60" s="2038"/>
      <c r="U60" s="2038"/>
      <c r="V60" s="2038"/>
      <c r="W60" s="2038"/>
      <c r="X60" s="2038"/>
      <c r="Y60" s="2038"/>
      <c r="Z60" s="2038"/>
      <c r="AG60" s="1569"/>
      <c r="AH60" s="1569"/>
    </row>
    <row r="61" spans="1:34" s="39" customFormat="1">
      <c r="A61"/>
      <c r="B61" s="1572"/>
      <c r="C61" s="892"/>
      <c r="D61" s="808" t="s">
        <v>1411</v>
      </c>
      <c r="E61" s="808"/>
      <c r="F61" s="808"/>
      <c r="G61" s="808"/>
      <c r="H61" s="808"/>
      <c r="I61" s="808"/>
      <c r="J61" s="808"/>
      <c r="K61" s="860"/>
      <c r="M61" s="260"/>
      <c r="N61" s="1569"/>
      <c r="O61" s="2396"/>
      <c r="P61" s="2038"/>
      <c r="Q61" s="2038"/>
      <c r="R61" s="2038"/>
      <c r="S61" s="2038"/>
      <c r="T61" s="2038"/>
      <c r="U61" s="2038"/>
      <c r="V61" s="2038"/>
      <c r="W61" s="2038"/>
      <c r="X61" s="2038"/>
      <c r="Y61" s="2038"/>
      <c r="Z61" s="2038"/>
      <c r="AG61" s="1569"/>
      <c r="AH61" s="1569"/>
    </row>
    <row r="62" spans="1:34" s="39" customFormat="1">
      <c r="A62"/>
      <c r="B62" s="1572"/>
      <c r="C62" s="892"/>
      <c r="D62" s="892" t="s">
        <v>1412</v>
      </c>
      <c r="E62" s="808"/>
      <c r="F62" s="808"/>
      <c r="G62" s="808"/>
      <c r="H62" s="808"/>
      <c r="I62" s="808"/>
      <c r="J62" s="808"/>
      <c r="K62" s="860"/>
      <c r="M62" s="260"/>
      <c r="N62" s="1569"/>
      <c r="O62" s="2396"/>
      <c r="P62" s="2038"/>
      <c r="Q62" s="2038"/>
      <c r="R62" s="2038"/>
      <c r="S62" s="2038"/>
      <c r="T62" s="2038"/>
      <c r="U62" s="2038"/>
      <c r="V62" s="2038"/>
      <c r="W62" s="2038"/>
      <c r="X62" s="2038"/>
      <c r="Y62" s="2038"/>
      <c r="Z62" s="2038"/>
      <c r="AG62" s="1569"/>
      <c r="AH62" s="1569"/>
    </row>
    <row r="63" spans="1:34" s="39" customFormat="1" ht="13.5" thickBot="1">
      <c r="A63"/>
      <c r="B63" s="1572"/>
      <c r="C63" s="892"/>
      <c r="D63" s="892" t="s">
        <v>1413</v>
      </c>
      <c r="E63" s="808"/>
      <c r="F63" s="808"/>
      <c r="G63" s="808"/>
      <c r="H63" s="808"/>
      <c r="I63" s="808"/>
      <c r="J63" s="808"/>
      <c r="K63" s="860"/>
      <c r="M63" s="260"/>
      <c r="N63" s="1569"/>
      <c r="O63" s="2396"/>
      <c r="P63" s="2038"/>
      <c r="Q63" s="2038"/>
      <c r="R63" s="2038"/>
      <c r="S63" s="2038"/>
      <c r="T63" s="2038"/>
      <c r="U63" s="2038"/>
      <c r="V63" s="2038"/>
      <c r="W63" s="2038"/>
      <c r="X63" s="2038"/>
      <c r="Y63" s="2038"/>
      <c r="Z63" s="2038"/>
      <c r="AG63" s="1569"/>
      <c r="AH63" s="1569"/>
    </row>
    <row r="64" spans="1:34" s="39" customFormat="1" ht="13.5" thickBot="1">
      <c r="A64"/>
      <c r="B64" s="894"/>
      <c r="C64" s="892"/>
      <c r="D64" s="892" t="s">
        <v>1414</v>
      </c>
      <c r="E64" s="808"/>
      <c r="F64" s="808"/>
      <c r="G64" s="808"/>
      <c r="H64" s="808"/>
      <c r="I64" s="1571" t="s">
        <v>1415</v>
      </c>
      <c r="J64" s="1401"/>
      <c r="K64" s="860"/>
      <c r="M64" s="1570"/>
      <c r="N64" s="1569"/>
      <c r="O64" s="2396"/>
      <c r="P64" s="2038"/>
      <c r="Q64" s="2038"/>
      <c r="R64" s="2038"/>
      <c r="S64" s="2038"/>
      <c r="T64" s="2038"/>
      <c r="U64" s="2038"/>
      <c r="V64" s="2038"/>
      <c r="W64" s="2038"/>
      <c r="X64" s="2038"/>
      <c r="Y64" s="2038"/>
      <c r="Z64" s="2038"/>
      <c r="AG64" s="1569"/>
      <c r="AH64" s="1569"/>
    </row>
    <row r="65" spans="1:39" s="39" customFormat="1">
      <c r="A65"/>
      <c r="B65" s="1572"/>
      <c r="C65" s="1579" t="s">
        <v>1389</v>
      </c>
      <c r="D65" s="892" t="s">
        <v>1416</v>
      </c>
      <c r="E65" s="808"/>
      <c r="F65" s="808"/>
      <c r="G65" s="808"/>
      <c r="H65" s="808"/>
      <c r="I65" s="808"/>
      <c r="J65" s="808"/>
      <c r="K65" s="860"/>
      <c r="M65" s="260"/>
      <c r="N65" s="1569"/>
      <c r="O65" s="2396"/>
      <c r="P65" s="2038"/>
      <c r="Q65" s="2038"/>
      <c r="R65" s="2038"/>
      <c r="S65" s="2038"/>
      <c r="T65" s="2038"/>
      <c r="U65" s="2038"/>
      <c r="V65" s="2038"/>
      <c r="W65" s="2038"/>
      <c r="X65" s="2038"/>
      <c r="Y65" s="2038"/>
      <c r="Z65" s="2038"/>
      <c r="AG65" s="1569"/>
      <c r="AH65" s="1569"/>
    </row>
    <row r="66" spans="1:39" s="39" customFormat="1">
      <c r="A66"/>
      <c r="B66" s="1572"/>
      <c r="C66" s="892"/>
      <c r="D66" s="892" t="s">
        <v>1417</v>
      </c>
      <c r="E66" s="808"/>
      <c r="F66" s="808"/>
      <c r="G66" s="808"/>
      <c r="H66" s="808"/>
      <c r="I66" s="808"/>
      <c r="J66" s="808"/>
      <c r="K66" s="860"/>
      <c r="M66" s="260"/>
      <c r="N66" s="1569"/>
      <c r="O66" s="2396"/>
      <c r="P66" s="2038"/>
      <c r="Q66" s="2038"/>
      <c r="R66" s="2038"/>
      <c r="S66" s="2038"/>
      <c r="T66" s="2038"/>
      <c r="U66" s="2038"/>
      <c r="V66" s="2038"/>
      <c r="W66" s="2038"/>
      <c r="X66" s="2038"/>
      <c r="Y66" s="2038"/>
      <c r="Z66" s="2038"/>
      <c r="AG66" s="1569"/>
      <c r="AH66" s="1569"/>
    </row>
    <row r="67" spans="1:39" s="39" customFormat="1">
      <c r="A67"/>
      <c r="B67" s="894"/>
      <c r="C67" s="892"/>
      <c r="D67" s="892" t="s">
        <v>1418</v>
      </c>
      <c r="E67" s="808"/>
      <c r="F67" s="808"/>
      <c r="G67" s="808"/>
      <c r="H67" s="808"/>
      <c r="I67" s="1571" t="s">
        <v>1419</v>
      </c>
      <c r="J67" s="1401"/>
      <c r="K67" s="860"/>
      <c r="M67" s="260"/>
      <c r="N67" s="1569"/>
      <c r="O67" s="2396"/>
      <c r="P67" s="2038"/>
      <c r="Q67" s="2038"/>
      <c r="R67" s="2038"/>
      <c r="S67" s="2038"/>
      <c r="T67" s="2038"/>
      <c r="U67" s="2038"/>
      <c r="V67" s="2038"/>
      <c r="W67" s="2038"/>
      <c r="X67" s="2038"/>
      <c r="Y67" s="2038"/>
      <c r="Z67" s="2038"/>
      <c r="AG67" s="1569"/>
      <c r="AH67" s="1569"/>
    </row>
    <row r="68" spans="1:39" s="39" customFormat="1">
      <c r="A68"/>
      <c r="B68" s="1572"/>
      <c r="C68" s="892"/>
      <c r="D68" s="808"/>
      <c r="E68" s="808"/>
      <c r="F68" s="808"/>
      <c r="G68" s="808"/>
      <c r="H68" s="808"/>
      <c r="I68" s="1571"/>
      <c r="J68" s="808"/>
      <c r="K68" s="860"/>
      <c r="M68" s="260"/>
      <c r="N68" s="1569"/>
      <c r="O68" s="2396"/>
      <c r="P68" s="2038"/>
      <c r="Q68" s="2038"/>
      <c r="R68" s="2038"/>
      <c r="S68" s="2038"/>
      <c r="T68" s="2038"/>
      <c r="U68" s="2038"/>
      <c r="V68" s="2038"/>
      <c r="W68" s="2038"/>
      <c r="X68" s="2038"/>
      <c r="Y68" s="2038"/>
      <c r="Z68" s="2038"/>
      <c r="AG68" s="1569"/>
      <c r="AH68" s="1569"/>
    </row>
    <row r="69" spans="1:39" s="39" customFormat="1">
      <c r="A69"/>
      <c r="B69" s="1572" t="s">
        <v>198</v>
      </c>
      <c r="C69" s="892" t="s">
        <v>1420</v>
      </c>
      <c r="D69" s="808"/>
      <c r="E69" s="808"/>
      <c r="F69" s="808"/>
      <c r="G69" s="808"/>
      <c r="H69" s="808"/>
      <c r="I69" s="1571" t="s">
        <v>198</v>
      </c>
      <c r="J69" s="1568">
        <f>SE_Deduct</f>
        <v>0</v>
      </c>
      <c r="K69" s="860"/>
      <c r="M69" s="260"/>
      <c r="N69" s="1569"/>
      <c r="O69" s="2396"/>
      <c r="P69" s="2038"/>
      <c r="Q69" s="2038"/>
      <c r="R69" s="2038"/>
      <c r="S69" s="2038"/>
      <c r="T69" s="2038"/>
      <c r="U69" s="2038"/>
      <c r="V69" s="2038"/>
      <c r="W69" s="2038"/>
      <c r="X69" s="2038"/>
      <c r="Y69" s="2038"/>
      <c r="Z69" s="2038"/>
      <c r="AG69" s="1569"/>
      <c r="AH69" s="1569"/>
    </row>
    <row r="70" spans="1:39" s="39" customFormat="1">
      <c r="A70"/>
      <c r="B70" s="894"/>
      <c r="C70" s="892"/>
      <c r="D70" s="808"/>
      <c r="E70" s="808"/>
      <c r="F70" s="808"/>
      <c r="G70" s="808"/>
      <c r="H70" s="808"/>
      <c r="I70" s="808"/>
      <c r="J70" s="808"/>
      <c r="K70" s="860"/>
      <c r="M70" s="260"/>
      <c r="N70" s="1569"/>
      <c r="O70" s="2396"/>
      <c r="P70" s="2038"/>
      <c r="Q70" s="2038"/>
      <c r="R70" s="2038"/>
      <c r="S70" s="2038"/>
      <c r="T70" s="2038"/>
      <c r="U70" s="2038"/>
      <c r="V70" s="2038"/>
      <c r="W70" s="2038"/>
      <c r="X70" s="2038"/>
      <c r="Y70" s="2038"/>
      <c r="Z70" s="2038"/>
      <c r="AG70" s="1569"/>
      <c r="AH70" s="1569"/>
    </row>
    <row r="71" spans="1:39" s="1569" customFormat="1">
      <c r="A71"/>
      <c r="B71" s="1572" t="s">
        <v>202</v>
      </c>
      <c r="C71" s="892" t="s">
        <v>1421</v>
      </c>
      <c r="D71" s="808"/>
      <c r="E71" s="808"/>
      <c r="F71" s="808"/>
      <c r="G71" s="808"/>
      <c r="H71" s="808"/>
      <c r="I71" s="1571" t="s">
        <v>202</v>
      </c>
      <c r="J71" s="1568">
        <f>SUM(J57,J59,J64,J67,J69)</f>
        <v>0</v>
      </c>
      <c r="K71" s="860"/>
      <c r="L71" s="39"/>
      <c r="M71" s="260"/>
      <c r="O71" s="2396"/>
      <c r="P71" s="2038"/>
      <c r="Q71" s="2038"/>
      <c r="R71" s="2038"/>
      <c r="S71" s="2038"/>
      <c r="T71" s="2038"/>
      <c r="U71" s="2038"/>
      <c r="V71" s="2038"/>
      <c r="W71" s="2038"/>
      <c r="X71" s="2038"/>
      <c r="Y71" s="2038"/>
      <c r="Z71" s="2038"/>
      <c r="AA71" s="39"/>
      <c r="AB71" s="39"/>
      <c r="AC71" s="39"/>
      <c r="AD71" s="39"/>
      <c r="AE71" s="39"/>
      <c r="AF71" s="39"/>
      <c r="AI71" s="39"/>
      <c r="AJ71" s="39"/>
      <c r="AK71" s="39"/>
      <c r="AL71" s="39"/>
      <c r="AM71" s="39"/>
    </row>
    <row r="72" spans="1:39" s="39" customFormat="1" ht="13.5" thickBot="1">
      <c r="A72"/>
      <c r="B72" s="894"/>
      <c r="C72" s="892"/>
      <c r="D72" s="808"/>
      <c r="E72" s="808"/>
      <c r="F72" s="808"/>
      <c r="G72" s="808"/>
      <c r="H72" s="808"/>
      <c r="I72" s="808"/>
      <c r="J72" s="808"/>
      <c r="K72" s="860"/>
      <c r="M72" s="260"/>
      <c r="N72" s="1569"/>
      <c r="O72" s="2396"/>
      <c r="P72" s="2038"/>
      <c r="Q72" s="2038"/>
      <c r="R72" s="2038"/>
      <c r="S72" s="2038"/>
      <c r="T72" s="2038"/>
      <c r="U72" s="2038"/>
      <c r="V72" s="2038"/>
      <c r="W72" s="2038"/>
      <c r="X72" s="2038"/>
      <c r="Y72" s="2038"/>
      <c r="Z72" s="2038"/>
      <c r="AG72" s="1569"/>
      <c r="AH72" s="1569"/>
    </row>
    <row r="73" spans="1:39" s="1569" customFormat="1" ht="13.5" thickBot="1">
      <c r="A73"/>
      <c r="B73" s="1572" t="s">
        <v>215</v>
      </c>
      <c r="C73" s="892" t="s">
        <v>1422</v>
      </c>
      <c r="D73" s="808"/>
      <c r="E73" s="808"/>
      <c r="F73" s="808"/>
      <c r="G73" s="808"/>
      <c r="H73" s="808"/>
      <c r="I73" s="1571" t="s">
        <v>215</v>
      </c>
      <c r="J73" s="1568">
        <f>IF(M73&lt;&gt;"",ROUND(M73,0),SUM(J53,-J71))</f>
        <v>0</v>
      </c>
      <c r="K73" s="860"/>
      <c r="L73" s="39"/>
      <c r="M73" s="1570"/>
      <c r="O73" s="2396"/>
      <c r="P73" s="2038"/>
      <c r="Q73" s="2038"/>
      <c r="R73" s="2038"/>
      <c r="S73" s="2038"/>
      <c r="T73" s="2038"/>
      <c r="U73" s="2038"/>
      <c r="V73" s="2038"/>
      <c r="W73" s="2038"/>
      <c r="X73" s="2038"/>
      <c r="Y73" s="2038"/>
      <c r="Z73" s="2038"/>
      <c r="AA73" s="39"/>
      <c r="AB73" s="39"/>
      <c r="AC73" s="39"/>
      <c r="AD73" s="39"/>
      <c r="AE73" s="39"/>
      <c r="AF73" s="39"/>
      <c r="AI73" s="39"/>
      <c r="AJ73" s="39"/>
      <c r="AK73" s="39"/>
      <c r="AL73" s="39"/>
      <c r="AM73" s="39"/>
    </row>
    <row r="74" spans="1:39" s="1569" customFormat="1" ht="15">
      <c r="A74"/>
      <c r="B74" s="1572"/>
      <c r="C74" s="3452" t="s">
        <v>691</v>
      </c>
      <c r="D74" s="892" t="s">
        <v>1423</v>
      </c>
      <c r="E74" s="808"/>
      <c r="F74" s="808"/>
      <c r="G74" s="808"/>
      <c r="H74" s="808"/>
      <c r="I74" s="3453" t="s">
        <v>1424</v>
      </c>
      <c r="J74" s="814" t="s">
        <v>1425</v>
      </c>
      <c r="K74" s="860"/>
      <c r="L74" s="39"/>
      <c r="M74" s="260"/>
      <c r="O74" s="2396"/>
      <c r="P74" s="2038"/>
      <c r="Q74" s="2038"/>
      <c r="R74" s="2038"/>
      <c r="S74" s="2038"/>
      <c r="T74" s="2038"/>
      <c r="U74" s="2038"/>
      <c r="V74" s="2038"/>
      <c r="W74" s="2038"/>
      <c r="X74" s="2038"/>
      <c r="Y74" s="2038"/>
      <c r="Z74" s="2038"/>
      <c r="AA74" s="39"/>
      <c r="AB74" s="39"/>
      <c r="AC74" s="39"/>
      <c r="AD74" s="39"/>
      <c r="AE74" s="39"/>
      <c r="AF74" s="39"/>
      <c r="AI74" s="39"/>
      <c r="AJ74" s="39"/>
      <c r="AK74" s="39"/>
      <c r="AL74" s="39"/>
      <c r="AM74" s="39"/>
    </row>
    <row r="75" spans="1:39" s="1569" customFormat="1" ht="15">
      <c r="A75"/>
      <c r="B75" s="1572"/>
      <c r="C75" s="3452"/>
      <c r="D75" s="892" t="s">
        <v>1426</v>
      </c>
      <c r="E75" s="808"/>
      <c r="F75" s="808"/>
      <c r="G75" s="808"/>
      <c r="H75" s="808"/>
      <c r="I75" s="3453"/>
      <c r="J75" s="814"/>
      <c r="K75" s="860"/>
      <c r="L75" s="39"/>
      <c r="M75" s="260"/>
      <c r="O75" s="2396"/>
      <c r="P75" s="2038"/>
      <c r="Q75" s="2038"/>
      <c r="R75" s="2038"/>
      <c r="S75" s="2038"/>
      <c r="T75" s="2038"/>
      <c r="U75" s="2038"/>
      <c r="V75" s="2038"/>
      <c r="W75" s="2038"/>
      <c r="X75" s="2038"/>
      <c r="Y75" s="2038"/>
      <c r="Z75" s="2038"/>
      <c r="AA75" s="39"/>
      <c r="AB75" s="39"/>
      <c r="AC75" s="39"/>
      <c r="AD75" s="39"/>
      <c r="AE75" s="39"/>
      <c r="AF75" s="39"/>
      <c r="AI75" s="39"/>
      <c r="AJ75" s="39"/>
      <c r="AK75" s="39"/>
      <c r="AL75" s="39"/>
      <c r="AM75" s="39"/>
    </row>
    <row r="76" spans="1:39" s="1569" customFormat="1" ht="15">
      <c r="A76"/>
      <c r="B76" s="1572"/>
      <c r="C76" s="3452" t="s">
        <v>691</v>
      </c>
      <c r="D76" s="892" t="s">
        <v>1427</v>
      </c>
      <c r="E76" s="808"/>
      <c r="F76" s="808"/>
      <c r="G76" s="808"/>
      <c r="H76" s="808"/>
      <c r="I76" s="3453" t="s">
        <v>1424</v>
      </c>
      <c r="J76" s="814" t="s">
        <v>1428</v>
      </c>
      <c r="K76" s="860"/>
      <c r="L76" s="39"/>
      <c r="M76" s="260"/>
      <c r="O76" s="2396"/>
      <c r="P76" s="2038"/>
      <c r="Q76" s="2038"/>
      <c r="R76" s="2038"/>
      <c r="S76" s="2038"/>
      <c r="T76" s="2038"/>
      <c r="U76" s="2038"/>
      <c r="V76" s="2038"/>
      <c r="W76" s="2038"/>
      <c r="X76" s="2038"/>
      <c r="Y76" s="2038"/>
      <c r="Z76" s="2038"/>
      <c r="AA76" s="39"/>
      <c r="AB76" s="39"/>
      <c r="AC76" s="39"/>
      <c r="AD76" s="39"/>
      <c r="AE76" s="39"/>
      <c r="AF76" s="39"/>
      <c r="AI76" s="39"/>
      <c r="AJ76" s="39"/>
      <c r="AK76" s="39"/>
      <c r="AL76" s="39"/>
      <c r="AM76" s="39"/>
    </row>
    <row r="77" spans="1:39" s="1569" customFormat="1">
      <c r="A77"/>
      <c r="B77" s="1572"/>
      <c r="C77" s="892"/>
      <c r="D77" s="808"/>
      <c r="E77" s="808"/>
      <c r="F77" s="808"/>
      <c r="G77" s="808"/>
      <c r="H77" s="808"/>
      <c r="I77" s="1571"/>
      <c r="J77" s="808"/>
      <c r="K77" s="860"/>
      <c r="L77" s="39"/>
      <c r="M77" s="260"/>
      <c r="O77" s="2396"/>
      <c r="P77" s="2038"/>
      <c r="Q77" s="2038"/>
      <c r="R77" s="2038"/>
      <c r="S77" s="2038"/>
      <c r="T77" s="2038"/>
      <c r="U77" s="2038"/>
      <c r="V77" s="2038"/>
      <c r="W77" s="2038"/>
      <c r="X77" s="2038"/>
      <c r="Y77" s="2038"/>
      <c r="Z77" s="2038"/>
      <c r="AA77" s="39"/>
      <c r="AB77" s="39"/>
      <c r="AC77" s="39"/>
      <c r="AD77" s="39"/>
      <c r="AE77" s="39"/>
      <c r="AF77" s="39"/>
      <c r="AI77" s="39"/>
      <c r="AJ77" s="39"/>
      <c r="AK77" s="39"/>
      <c r="AL77" s="39"/>
      <c r="AM77" s="39"/>
    </row>
    <row r="78" spans="1:39" s="1569" customFormat="1">
      <c r="A78"/>
      <c r="B78" s="1572"/>
      <c r="C78" s="1573" t="s">
        <v>1429</v>
      </c>
      <c r="D78" s="808"/>
      <c r="E78" s="808"/>
      <c r="F78" s="808"/>
      <c r="G78" s="808"/>
      <c r="H78" s="808"/>
      <c r="I78" s="1571"/>
      <c r="J78" s="808"/>
      <c r="K78" s="860"/>
      <c r="L78" s="39"/>
      <c r="M78" s="260"/>
      <c r="O78" s="2396"/>
      <c r="P78" s="2038"/>
      <c r="Q78" s="2038"/>
      <c r="R78" s="2038"/>
      <c r="S78" s="2038"/>
      <c r="T78" s="2038"/>
      <c r="U78" s="2038"/>
      <c r="V78" s="2038"/>
      <c r="W78" s="2038"/>
      <c r="X78" s="2038"/>
      <c r="Y78" s="2038"/>
      <c r="Z78" s="2038"/>
      <c r="AA78" s="39"/>
      <c r="AB78" s="39"/>
      <c r="AC78" s="39"/>
      <c r="AD78" s="39"/>
      <c r="AE78" s="39"/>
      <c r="AF78" s="39"/>
      <c r="AI78" s="39"/>
      <c r="AJ78" s="39"/>
      <c r="AK78" s="39"/>
      <c r="AL78" s="39"/>
      <c r="AM78" s="39"/>
    </row>
    <row r="79" spans="1:39" s="1569" customFormat="1">
      <c r="A79"/>
      <c r="B79" s="1572"/>
      <c r="C79" s="1573" t="s">
        <v>1430</v>
      </c>
      <c r="D79" s="808"/>
      <c r="E79" s="808"/>
      <c r="F79" s="808"/>
      <c r="G79" s="808"/>
      <c r="H79" s="808"/>
      <c r="I79" s="1571"/>
      <c r="J79" s="808"/>
      <c r="K79" s="860"/>
      <c r="L79" s="39"/>
      <c r="M79" s="260"/>
      <c r="O79" s="2396"/>
      <c r="P79" s="2038"/>
      <c r="Q79" s="2038"/>
      <c r="R79" s="2038"/>
      <c r="S79" s="2038"/>
      <c r="T79" s="2038"/>
      <c r="U79" s="2038"/>
      <c r="V79" s="2038"/>
      <c r="W79" s="2038"/>
      <c r="X79" s="2038"/>
      <c r="Y79" s="2038"/>
      <c r="Z79" s="2038"/>
      <c r="AA79" s="39"/>
      <c r="AB79" s="39"/>
      <c r="AC79" s="39"/>
      <c r="AD79" s="39"/>
      <c r="AE79" s="39"/>
      <c r="AF79" s="39"/>
      <c r="AI79" s="39"/>
      <c r="AJ79" s="39"/>
      <c r="AK79" s="39"/>
      <c r="AL79" s="39"/>
      <c r="AM79" s="39"/>
    </row>
    <row r="80" spans="1:39" s="1569" customFormat="1">
      <c r="A80"/>
      <c r="B80" s="1572"/>
      <c r="C80" s="1573" t="s">
        <v>1431</v>
      </c>
      <c r="D80" s="808"/>
      <c r="E80" s="808"/>
      <c r="F80" s="808"/>
      <c r="G80" s="808"/>
      <c r="H80" s="808"/>
      <c r="I80" s="1571"/>
      <c r="J80" s="808"/>
      <c r="K80" s="860"/>
      <c r="L80" s="39"/>
      <c r="M80" s="260"/>
      <c r="O80" s="2396"/>
      <c r="P80" s="2038"/>
      <c r="Q80" s="2038"/>
      <c r="R80" s="2038"/>
      <c r="S80" s="2038"/>
      <c r="T80" s="2038"/>
      <c r="U80" s="2038"/>
      <c r="V80" s="2038"/>
      <c r="W80" s="2038"/>
      <c r="X80" s="2038"/>
      <c r="Y80" s="2038"/>
      <c r="Z80" s="2038"/>
      <c r="AA80" s="39"/>
      <c r="AB80" s="39"/>
      <c r="AC80" s="39"/>
      <c r="AD80" s="39"/>
      <c r="AE80" s="39"/>
      <c r="AF80" s="39"/>
      <c r="AI80" s="39"/>
      <c r="AJ80" s="39"/>
      <c r="AK80" s="39"/>
      <c r="AL80" s="39"/>
      <c r="AM80" s="39"/>
    </row>
    <row r="81" spans="1:39" s="1569" customFormat="1">
      <c r="A81"/>
      <c r="B81" s="1572"/>
      <c r="C81" s="1573"/>
      <c r="D81" s="808"/>
      <c r="E81" s="808"/>
      <c r="F81" s="808"/>
      <c r="G81" s="808"/>
      <c r="H81" s="808"/>
      <c r="I81" s="1571"/>
      <c r="J81" s="808"/>
      <c r="K81" s="860"/>
      <c r="L81" s="39"/>
      <c r="M81" s="260"/>
      <c r="O81" s="2396"/>
      <c r="P81" s="2038"/>
      <c r="Q81" s="2038"/>
      <c r="R81" s="2038"/>
      <c r="S81" s="2038"/>
      <c r="T81" s="2038"/>
      <c r="U81" s="2038"/>
      <c r="V81" s="2038"/>
      <c r="W81" s="2038"/>
      <c r="X81" s="2038"/>
      <c r="Y81" s="2038"/>
      <c r="Z81" s="2038"/>
      <c r="AA81" s="39"/>
      <c r="AB81" s="39"/>
      <c r="AC81" s="39"/>
      <c r="AD81" s="39"/>
      <c r="AE81" s="39"/>
      <c r="AF81" s="39"/>
      <c r="AI81" s="39"/>
      <c r="AJ81" s="39"/>
      <c r="AK81" s="39"/>
      <c r="AL81" s="39"/>
      <c r="AM81" s="39"/>
    </row>
    <row r="82" spans="1:39" s="39" customFormat="1" ht="13.5" thickBot="1">
      <c r="A82"/>
      <c r="B82" s="895"/>
      <c r="C82" s="896"/>
      <c r="D82" s="896"/>
      <c r="E82" s="896"/>
      <c r="F82" s="896"/>
      <c r="G82" s="896"/>
      <c r="H82" s="896"/>
      <c r="I82" s="896"/>
      <c r="J82" s="896"/>
      <c r="K82" s="897"/>
      <c r="M82" s="260"/>
      <c r="N82" s="1569"/>
      <c r="O82" s="2396"/>
      <c r="P82" s="2038"/>
      <c r="Q82" s="2038"/>
      <c r="R82" s="2038"/>
      <c r="S82" s="2038"/>
      <c r="T82" s="2038"/>
      <c r="U82" s="2038"/>
      <c r="V82" s="2038"/>
      <c r="W82" s="2038"/>
      <c r="X82" s="2038"/>
      <c r="Y82" s="2038"/>
      <c r="Z82" s="2038"/>
      <c r="AG82" s="1569"/>
      <c r="AH82" s="1569"/>
    </row>
  </sheetData>
  <sheetProtection algorithmName="SHA-512" hashValue="3PexjsIQvXqdBPmxwny2wd9GZQ3qH9Nn/o0xENBP9WSF3GUretJVeNuKaLQNoSPy4KITH7+Z9ewls8euqaoz+g==" saltValue="qbO14fXLo4EDXqTA9S/J0w==" spinCount="100000" sheet="1" objects="1" scenarios="1"/>
  <conditionalFormatting sqref="F52:G52">
    <cfRule type="expression" dxfId="2768" priority="16">
      <formula>J54</formula>
    </cfRule>
  </conditionalFormatting>
  <conditionalFormatting sqref="J16">
    <cfRule type="expression" dxfId="2767" priority="3">
      <formula>NoColor</formula>
    </cfRule>
  </conditionalFormatting>
  <conditionalFormatting sqref="J18">
    <cfRule type="expression" dxfId="2766" priority="2">
      <formula>NoColor</formula>
    </cfRule>
  </conditionalFormatting>
  <conditionalFormatting sqref="J20">
    <cfRule type="expression" dxfId="2765" priority="1">
      <formula>NoColor</formula>
    </cfRule>
  </conditionalFormatting>
  <conditionalFormatting sqref="J24">
    <cfRule type="expression" dxfId="2764" priority="24">
      <formula>IF(NoColor,1,0)</formula>
    </cfRule>
  </conditionalFormatting>
  <conditionalFormatting sqref="J29">
    <cfRule type="expression" dxfId="2763" priority="23">
      <formula>IF(NoColor,1,0)</formula>
    </cfRule>
  </conditionalFormatting>
  <conditionalFormatting sqref="J36">
    <cfRule type="expression" dxfId="2762" priority="21">
      <formula>IF(NoColor,1,0)</formula>
    </cfRule>
  </conditionalFormatting>
  <conditionalFormatting sqref="J42">
    <cfRule type="expression" dxfId="2761" priority="20">
      <formula>IF(NoColor,1,0)</formula>
    </cfRule>
  </conditionalFormatting>
  <conditionalFormatting sqref="J46">
    <cfRule type="expression" dxfId="2760" priority="19">
      <formula>IF(NoColor,1,0)</formula>
    </cfRule>
  </conditionalFormatting>
  <conditionalFormatting sqref="J50">
    <cfRule type="expression" dxfId="2759" priority="18">
      <formula>IF(NoColor,1,0)</formula>
    </cfRule>
  </conditionalFormatting>
  <conditionalFormatting sqref="J53">
    <cfRule type="expression" dxfId="2758" priority="17">
      <formula>IF(NoColor,1,0)</formula>
    </cfRule>
  </conditionalFormatting>
  <conditionalFormatting sqref="J57">
    <cfRule type="expression" dxfId="2757" priority="12">
      <formula>IF(NoColor,1,0)</formula>
    </cfRule>
  </conditionalFormatting>
  <conditionalFormatting sqref="J59">
    <cfRule type="expression" dxfId="2756" priority="11">
      <formula>IF(NoColor,1,0)</formula>
    </cfRule>
  </conditionalFormatting>
  <conditionalFormatting sqref="J64">
    <cfRule type="expression" dxfId="2755" priority="10">
      <formula>IF(NoColor,1,0)</formula>
    </cfRule>
  </conditionalFormatting>
  <conditionalFormatting sqref="J67">
    <cfRule type="expression" dxfId="2754" priority="9">
      <formula>IF(NoColor,1,0)</formula>
    </cfRule>
  </conditionalFormatting>
  <conditionalFormatting sqref="J69">
    <cfRule type="expression" dxfId="2753" priority="4">
      <formula>IF(NoColor,1,0)</formula>
    </cfRule>
  </conditionalFormatting>
  <conditionalFormatting sqref="J71">
    <cfRule type="expression" dxfId="2752" priority="6">
      <formula>IF(NoColor,1,0)</formula>
    </cfRule>
  </conditionalFormatting>
  <conditionalFormatting sqref="J73">
    <cfRule type="expression" dxfId="2751" priority="5">
      <formula>IF(NoColor,1,0)</formula>
    </cfRule>
  </conditionalFormatting>
  <pageMargins left="0.75" right="0.25" top="0.36" bottom="0.28999999999999998" header="0.36" footer="0.21"/>
  <pageSetup scale="82"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pageSetUpPr fitToPage="1"/>
  </sheetPr>
  <dimension ref="A1:AG103"/>
  <sheetViews>
    <sheetView zoomScaleNormal="100" zoomScaleSheetLayoutView="100" workbookViewId="0"/>
  </sheetViews>
  <sheetFormatPr defaultColWidth="9.140625" defaultRowHeight="12.75"/>
  <cols>
    <col min="1" max="1" width="1.85546875" style="39" customWidth="1"/>
    <col min="2" max="2" width="4.42578125" style="39" customWidth="1"/>
    <col min="3" max="3" width="2.7109375" style="39" customWidth="1"/>
    <col min="4" max="4" width="25.28515625" style="39" customWidth="1"/>
    <col min="5" max="5" width="15.7109375" style="39" customWidth="1"/>
    <col min="6" max="6" width="8.5703125" style="39" customWidth="1"/>
    <col min="7" max="7" width="8.85546875" style="39" customWidth="1"/>
    <col min="8" max="8" width="9.5703125" style="39" customWidth="1"/>
    <col min="9" max="9" width="6" style="39" customWidth="1"/>
    <col min="10" max="10" width="13.85546875" style="39" customWidth="1"/>
    <col min="11" max="11" width="3.5703125" style="39" customWidth="1"/>
    <col min="12" max="12" width="12.7109375" style="39" customWidth="1"/>
    <col min="13" max="13" width="4.5703125" style="39" customWidth="1"/>
    <col min="14" max="15" width="1.5703125" style="39" customWidth="1"/>
    <col min="16" max="16" width="1.42578125" style="39" customWidth="1"/>
    <col min="17" max="17" width="2.5703125" style="39" customWidth="1"/>
    <col min="18" max="18" width="10.42578125" style="39" customWidth="1"/>
    <col min="19" max="19" width="2.42578125" style="39" customWidth="1"/>
    <col min="20" max="20" width="12.85546875" style="39" customWidth="1"/>
    <col min="21" max="21" width="2.7109375" style="39" customWidth="1"/>
    <col min="22" max="23" width="10.42578125" style="39" customWidth="1"/>
    <col min="24" max="33" width="9.140625" style="2038"/>
    <col min="34" max="16384" width="9.140625" style="39"/>
  </cols>
  <sheetData>
    <row r="1" spans="1:24" ht="18" customHeight="1">
      <c r="A1" s="22"/>
      <c r="B1" s="22"/>
      <c r="C1" s="22"/>
      <c r="D1" s="2727"/>
      <c r="E1" s="22"/>
      <c r="F1" s="22"/>
      <c r="G1" s="22"/>
      <c r="H1" s="22"/>
      <c r="I1" s="22"/>
      <c r="J1" s="22"/>
      <c r="K1" s="22"/>
      <c r="L1" s="22"/>
      <c r="M1" s="22"/>
      <c r="N1" s="22"/>
      <c r="O1" s="22"/>
      <c r="P1" s="22"/>
      <c r="Q1" s="22"/>
      <c r="R1" s="22"/>
      <c r="S1" s="22"/>
      <c r="T1" s="22"/>
      <c r="U1" s="22"/>
      <c r="V1" s="22"/>
      <c r="W1" s="22"/>
      <c r="X1" s="2037" t="s">
        <v>241</v>
      </c>
    </row>
    <row r="2" spans="1:24">
      <c r="A2" s="22"/>
      <c r="B2" s="23" t="s">
        <v>1432</v>
      </c>
      <c r="C2" s="22"/>
      <c r="D2" s="22"/>
      <c r="E2" s="22"/>
      <c r="F2" s="22"/>
      <c r="G2" s="22"/>
      <c r="H2" s="22"/>
      <c r="I2" s="22"/>
      <c r="J2" s="22"/>
      <c r="K2" s="22"/>
      <c r="L2" s="22"/>
      <c r="M2" s="22"/>
      <c r="N2" s="22"/>
      <c r="O2" s="22"/>
      <c r="P2" s="22"/>
      <c r="Q2" s="22"/>
      <c r="R2" s="22"/>
      <c r="S2" s="22"/>
      <c r="T2" s="22"/>
      <c r="U2" s="22"/>
      <c r="V2" s="22"/>
      <c r="W2" s="22"/>
    </row>
    <row r="3" spans="1:24">
      <c r="A3" s="22"/>
      <c r="B3" s="1628" t="s">
        <v>1433</v>
      </c>
      <c r="C3" s="61" t="s">
        <v>1434</v>
      </c>
      <c r="D3" s="22"/>
      <c r="E3" s="22"/>
      <c r="F3" s="22"/>
      <c r="G3" s="22"/>
      <c r="H3" s="22"/>
      <c r="I3" s="22"/>
      <c r="J3" s="22"/>
      <c r="K3" s="22"/>
      <c r="L3" s="22"/>
      <c r="M3" s="22"/>
      <c r="N3" s="22"/>
      <c r="O3" s="22"/>
      <c r="P3" s="22"/>
      <c r="Q3" s="22"/>
      <c r="R3" s="22"/>
      <c r="S3" s="22"/>
      <c r="T3" s="22"/>
      <c r="U3" s="22"/>
      <c r="V3" s="22"/>
      <c r="W3" s="22"/>
    </row>
    <row r="4" spans="1:24">
      <c r="A4" s="22"/>
      <c r="B4" s="22"/>
      <c r="C4" s="61" t="s">
        <v>5704</v>
      </c>
      <c r="D4" s="22"/>
      <c r="E4" s="22"/>
      <c r="F4" s="22"/>
      <c r="G4" s="22"/>
      <c r="H4" s="22"/>
      <c r="I4" s="22"/>
      <c r="J4" s="22"/>
      <c r="K4" s="22"/>
      <c r="L4" s="22"/>
      <c r="M4" s="22"/>
      <c r="N4" s="22"/>
      <c r="O4" s="22"/>
      <c r="P4" s="22"/>
      <c r="Q4" s="22"/>
      <c r="R4" s="22"/>
      <c r="S4" s="22"/>
      <c r="T4" s="22"/>
      <c r="U4" s="22"/>
      <c r="V4" s="22"/>
      <c r="W4" s="22"/>
    </row>
    <row r="5" spans="1:24">
      <c r="A5" s="22"/>
      <c r="B5" s="22"/>
      <c r="C5" s="61" t="s">
        <v>1435</v>
      </c>
      <c r="D5" s="22"/>
      <c r="E5" s="22"/>
      <c r="F5" s="22"/>
      <c r="G5" s="22"/>
      <c r="H5" s="22"/>
      <c r="I5" s="22"/>
      <c r="J5" s="22"/>
      <c r="K5" s="22"/>
      <c r="L5" s="22"/>
      <c r="M5" s="22"/>
      <c r="N5" s="22"/>
      <c r="O5" s="22"/>
      <c r="P5" s="22"/>
      <c r="Q5" s="22"/>
      <c r="R5" s="22"/>
      <c r="S5" s="22"/>
      <c r="T5" s="22"/>
      <c r="U5" s="22"/>
      <c r="V5" s="22"/>
      <c r="W5" s="22"/>
    </row>
    <row r="6" spans="1:24" ht="9.75" customHeight="1">
      <c r="A6" s="22"/>
      <c r="B6" s="22"/>
      <c r="C6" s="22"/>
      <c r="D6" s="22"/>
      <c r="E6" s="22"/>
      <c r="F6" s="22"/>
      <c r="G6" s="22"/>
      <c r="H6" s="22"/>
      <c r="I6" s="22"/>
      <c r="J6" s="22"/>
      <c r="K6" s="22"/>
      <c r="L6" s="22"/>
      <c r="M6" s="22"/>
      <c r="N6" s="22"/>
      <c r="O6" s="22"/>
      <c r="P6" s="22"/>
      <c r="Q6" s="22"/>
      <c r="R6" s="22"/>
      <c r="S6" s="22"/>
      <c r="T6" s="22"/>
      <c r="U6" s="22"/>
      <c r="V6" s="22"/>
      <c r="W6" s="22"/>
    </row>
    <row r="7" spans="1:24">
      <c r="A7" s="22"/>
      <c r="B7" s="1628" t="s">
        <v>1433</v>
      </c>
      <c r="C7" s="61" t="s">
        <v>1436</v>
      </c>
      <c r="D7" s="22"/>
      <c r="E7" s="22"/>
      <c r="F7" s="22"/>
      <c r="G7" s="22"/>
      <c r="H7" s="22"/>
      <c r="I7" s="22"/>
      <c r="J7" s="22"/>
      <c r="K7" s="22"/>
      <c r="L7" s="22"/>
      <c r="M7" s="22"/>
      <c r="N7" s="22"/>
      <c r="O7" s="22"/>
      <c r="P7" s="22"/>
      <c r="Q7" s="22"/>
      <c r="R7" s="22"/>
      <c r="S7" s="22"/>
      <c r="T7" s="22"/>
      <c r="U7" s="22"/>
      <c r="V7" s="22"/>
      <c r="W7" s="22"/>
    </row>
    <row r="8" spans="1:24">
      <c r="A8" s="22"/>
      <c r="B8" s="22"/>
      <c r="C8" s="61" t="s">
        <v>1437</v>
      </c>
      <c r="D8" s="22"/>
      <c r="E8" s="22"/>
      <c r="F8" s="22"/>
      <c r="G8" s="22"/>
      <c r="H8" s="22"/>
      <c r="I8" s="22"/>
      <c r="J8" s="22"/>
      <c r="K8" s="22"/>
      <c r="L8" s="22"/>
      <c r="M8" s="22"/>
      <c r="N8" s="22"/>
      <c r="O8" s="22"/>
      <c r="P8" s="22"/>
      <c r="Q8" s="22"/>
      <c r="R8" s="22"/>
      <c r="S8" s="22"/>
      <c r="T8" s="22"/>
      <c r="U8" s="22"/>
      <c r="V8" s="22"/>
      <c r="W8" s="22"/>
    </row>
    <row r="9" spans="1:24">
      <c r="A9" s="22"/>
      <c r="B9" s="22"/>
      <c r="C9" s="61"/>
      <c r="D9" s="22"/>
      <c r="E9" s="22"/>
      <c r="F9" s="22"/>
      <c r="G9" s="22"/>
      <c r="H9" s="22"/>
      <c r="I9" s="22"/>
      <c r="J9" s="22"/>
      <c r="K9" s="22"/>
      <c r="L9" s="22"/>
      <c r="M9" s="22"/>
      <c r="N9" s="22"/>
      <c r="O9" s="22"/>
      <c r="P9" s="22"/>
      <c r="Q9" s="22"/>
      <c r="R9" s="22"/>
      <c r="S9" s="22"/>
      <c r="T9" s="22"/>
      <c r="U9" s="22"/>
      <c r="V9" s="22"/>
      <c r="W9" s="22"/>
    </row>
    <row r="10" spans="1:24">
      <c r="A10" s="22"/>
      <c r="B10" s="1628" t="s">
        <v>1433</v>
      </c>
      <c r="C10" s="61" t="s">
        <v>1438</v>
      </c>
      <c r="D10" s="22"/>
      <c r="E10" s="22"/>
      <c r="F10" s="22"/>
      <c r="G10" s="22"/>
      <c r="H10" s="22"/>
      <c r="I10" s="22"/>
      <c r="J10" s="22"/>
      <c r="K10" s="22"/>
      <c r="L10" s="22"/>
      <c r="M10" s="22"/>
      <c r="N10" s="22"/>
      <c r="O10" s="22"/>
      <c r="P10" s="22"/>
      <c r="Q10" s="22"/>
      <c r="R10" s="22"/>
      <c r="S10" s="22"/>
      <c r="T10" s="22"/>
      <c r="U10" s="22"/>
      <c r="V10" s="22"/>
      <c r="W10" s="22"/>
    </row>
    <row r="11" spans="1:24" ht="15">
      <c r="A11" s="22"/>
      <c r="B11" s="22"/>
      <c r="C11" s="2663" t="s">
        <v>1439</v>
      </c>
      <c r="D11" s="22"/>
      <c r="E11" s="22"/>
      <c r="F11" s="22"/>
      <c r="G11" s="22"/>
      <c r="H11" s="22"/>
      <c r="I11" s="22"/>
      <c r="J11" s="22"/>
      <c r="K11" s="22"/>
      <c r="L11" s="22"/>
      <c r="M11" s="22"/>
      <c r="N11" s="22"/>
      <c r="O11" s="22"/>
      <c r="P11" s="6959" t="str">
        <f>IF($V$16,"Annuity started on or before","")</f>
        <v/>
      </c>
      <c r="Q11" s="6960"/>
      <c r="R11" s="6960"/>
      <c r="S11" s="6960"/>
      <c r="T11" s="6960"/>
      <c r="U11" s="22"/>
      <c r="V11" s="22"/>
      <c r="W11" s="22"/>
    </row>
    <row r="12" spans="1:24" ht="15">
      <c r="A12" s="22"/>
      <c r="B12" s="22"/>
      <c r="C12" s="2663" t="s">
        <v>1440</v>
      </c>
      <c r="D12" s="22"/>
      <c r="E12" s="22"/>
      <c r="F12" s="22"/>
      <c r="G12" s="22"/>
      <c r="H12" s="22"/>
      <c r="I12" s="22"/>
      <c r="J12" s="22"/>
      <c r="K12" s="22"/>
      <c r="L12" s="22"/>
      <c r="M12" s="22"/>
      <c r="N12" s="22"/>
      <c r="O12" s="22"/>
      <c r="P12" s="6959" t="str">
        <f>IF($V$16,TEXT(V15,"mmmm d, yyyy")&amp;".  See Pub. 939.","")</f>
        <v/>
      </c>
      <c r="Q12" s="6960"/>
      <c r="R12" s="6960"/>
      <c r="S12" s="6960"/>
      <c r="T12" s="6960"/>
      <c r="U12" s="22"/>
      <c r="V12" s="22"/>
      <c r="W12" s="22"/>
    </row>
    <row r="13" spans="1:24" ht="15">
      <c r="A13" s="22"/>
      <c r="B13" s="22"/>
      <c r="C13" s="2663" t="s">
        <v>1441</v>
      </c>
      <c r="D13" s="22"/>
      <c r="E13" s="22"/>
      <c r="F13" s="22"/>
      <c r="G13" s="22"/>
      <c r="H13" s="22"/>
      <c r="I13" s="22"/>
      <c r="J13" s="22"/>
      <c r="K13" s="22"/>
      <c r="L13" s="22"/>
      <c r="M13" s="22"/>
      <c r="N13" s="22"/>
      <c r="O13" s="22"/>
      <c r="P13" s="22"/>
      <c r="Q13" s="22"/>
      <c r="R13" s="22"/>
      <c r="S13" s="22"/>
      <c r="T13" s="22"/>
      <c r="U13" s="22"/>
      <c r="V13" s="22"/>
      <c r="W13" s="22"/>
    </row>
    <row r="14" spans="1:24" ht="15.75" thickBot="1">
      <c r="A14" s="22"/>
      <c r="B14" s="22"/>
      <c r="C14" s="2663"/>
      <c r="D14" s="22"/>
      <c r="E14" s="22"/>
      <c r="F14" s="22"/>
      <c r="G14" s="22"/>
      <c r="H14" s="22"/>
      <c r="I14" s="22"/>
      <c r="J14" s="22"/>
      <c r="K14" s="22"/>
      <c r="L14" s="22"/>
      <c r="M14" s="22"/>
      <c r="N14" s="22"/>
      <c r="O14" s="22"/>
      <c r="P14" s="22"/>
      <c r="Q14" s="22"/>
      <c r="R14" s="22"/>
      <c r="S14" s="22"/>
      <c r="T14" s="22"/>
      <c r="U14" s="22"/>
      <c r="V14" s="22"/>
      <c r="W14" s="22"/>
    </row>
    <row r="15" spans="1:24" ht="13.5" thickBot="1">
      <c r="A15" s="22"/>
      <c r="B15" s="23" t="s">
        <v>1442</v>
      </c>
      <c r="C15" s="22"/>
      <c r="D15" s="22"/>
      <c r="E15" s="22"/>
      <c r="F15" s="22"/>
      <c r="G15" s="22"/>
      <c r="H15" s="22"/>
      <c r="I15" s="22"/>
      <c r="J15" s="22"/>
      <c r="K15" s="22"/>
      <c r="L15" s="22"/>
      <c r="M15" s="22"/>
      <c r="N15" s="22"/>
      <c r="O15" s="22"/>
      <c r="P15" s="76"/>
      <c r="Q15" s="77"/>
      <c r="R15" s="77"/>
      <c r="S15" s="77"/>
      <c r="T15" s="389"/>
      <c r="U15" s="22"/>
      <c r="V15" s="1629">
        <v>31594</v>
      </c>
      <c r="W15" s="22"/>
    </row>
    <row r="16" spans="1:24" ht="16.5" thickBot="1">
      <c r="A16" s="22"/>
      <c r="B16" s="22" t="s">
        <v>1443</v>
      </c>
      <c r="C16" s="22"/>
      <c r="D16" s="22"/>
      <c r="E16" s="22"/>
      <c r="F16" s="22"/>
      <c r="G16" s="22"/>
      <c r="H16" s="22"/>
      <c r="I16" s="22"/>
      <c r="J16" s="22"/>
      <c r="K16" s="22"/>
      <c r="L16" s="22"/>
      <c r="M16" s="2128" t="str">
        <f>IF(R16="","Enter annuity starting date.","")</f>
        <v>Enter annuity starting date.</v>
      </c>
      <c r="N16" s="22"/>
      <c r="O16" s="1621" t="str">
        <f>IF(R16="","®","")</f>
        <v>®</v>
      </c>
      <c r="P16" s="78"/>
      <c r="Q16" s="66"/>
      <c r="R16" s="6955"/>
      <c r="S16" s="6956"/>
      <c r="T16" s="390"/>
      <c r="U16" s="22"/>
      <c r="V16" s="805" t="b">
        <f>IF(AND(R16&lt;&gt;"",R16&lt;=V15),TRUE,FALSE)</f>
        <v>0</v>
      </c>
      <c r="W16" s="22"/>
    </row>
    <row r="17" spans="1:23">
      <c r="A17" s="22"/>
      <c r="B17" s="22"/>
      <c r="C17" s="22" t="str">
        <f>"-  the first period for which you received a payment"</f>
        <v>-  the first period for which you received a payment</v>
      </c>
      <c r="D17" s="22"/>
      <c r="E17" s="22"/>
      <c r="F17" s="22"/>
      <c r="G17" s="22"/>
      <c r="H17" s="22"/>
      <c r="I17" s="22"/>
      <c r="J17" s="22"/>
      <c r="K17" s="22"/>
      <c r="L17" s="22"/>
      <c r="M17" s="22"/>
      <c r="N17" s="22"/>
      <c r="O17" s="22"/>
      <c r="P17" s="78"/>
      <c r="Q17" s="66"/>
      <c r="R17" s="487" t="s">
        <v>1444</v>
      </c>
      <c r="S17" s="79"/>
      <c r="T17" s="390"/>
      <c r="U17" s="22"/>
      <c r="V17" s="22"/>
      <c r="W17" s="22"/>
    </row>
    <row r="18" spans="1:23">
      <c r="A18" s="22"/>
      <c r="B18" s="22"/>
      <c r="C18" s="37" t="s">
        <v>1445</v>
      </c>
      <c r="D18" s="22"/>
      <c r="E18" s="22"/>
      <c r="F18" s="22"/>
      <c r="G18" s="22"/>
      <c r="H18" s="22"/>
      <c r="I18" s="22"/>
      <c r="J18" s="22"/>
      <c r="K18" s="22"/>
      <c r="L18" s="22"/>
      <c r="M18" s="22"/>
      <c r="N18" s="22"/>
      <c r="O18" s="22"/>
      <c r="P18" s="78"/>
      <c r="Q18" s="66"/>
      <c r="R18" s="79"/>
      <c r="S18" s="79"/>
      <c r="T18" s="390"/>
      <c r="U18" s="22"/>
      <c r="V18" s="1619">
        <v>35795</v>
      </c>
      <c r="W18" s="22"/>
    </row>
    <row r="19" spans="1:23" ht="13.5" thickBot="1">
      <c r="A19" s="22"/>
      <c r="B19" s="22"/>
      <c r="C19" s="22" t="str">
        <f>"-  the date the plan’s obligations became fixed."</f>
        <v>-  the date the plan’s obligations became fixed.</v>
      </c>
      <c r="D19" s="22"/>
      <c r="E19" s="22"/>
      <c r="F19" s="22"/>
      <c r="G19" s="22"/>
      <c r="H19" s="22"/>
      <c r="I19" s="22"/>
      <c r="J19" s="22"/>
      <c r="K19" s="22"/>
      <c r="L19" s="22"/>
      <c r="M19" s="22"/>
      <c r="N19" s="22"/>
      <c r="O19" s="22"/>
      <c r="P19" s="80"/>
      <c r="Q19" s="71"/>
      <c r="R19" s="81"/>
      <c r="S19" s="81"/>
      <c r="T19" s="391"/>
      <c r="U19" s="22"/>
      <c r="V19" s="805" t="b">
        <f>IF(R16&gt;V18,TRUE,FALSE)</f>
        <v>0</v>
      </c>
      <c r="W19" s="22"/>
    </row>
    <row r="20" spans="1:23" ht="13.5" thickBot="1">
      <c r="A20" s="22"/>
      <c r="B20" s="22"/>
      <c r="C20" s="22"/>
      <c r="D20" s="22"/>
      <c r="E20" s="22"/>
      <c r="F20" s="22"/>
      <c r="G20" s="22"/>
      <c r="H20" s="22"/>
      <c r="I20" s="22"/>
      <c r="J20" s="22"/>
      <c r="K20" s="22"/>
      <c r="L20" s="22"/>
      <c r="M20" s="22"/>
      <c r="N20" s="22"/>
      <c r="O20" s="22"/>
      <c r="P20" s="6963"/>
      <c r="Q20" s="6964"/>
      <c r="R20" s="6964"/>
      <c r="S20" s="6964"/>
      <c r="T20" s="6964"/>
      <c r="U20" s="22"/>
      <c r="V20" s="22"/>
      <c r="W20" s="22"/>
    </row>
    <row r="21" spans="1:23" ht="13.5" thickBot="1">
      <c r="A21" s="22"/>
      <c r="B21" s="23" t="s">
        <v>1446</v>
      </c>
      <c r="C21" s="22"/>
      <c r="D21" s="22"/>
      <c r="E21" s="22"/>
      <c r="F21" s="22"/>
      <c r="G21" s="22"/>
      <c r="H21" s="22"/>
      <c r="I21" s="22"/>
      <c r="J21" s="22"/>
      <c r="K21" s="22"/>
      <c r="L21" s="22"/>
      <c r="M21" s="22"/>
      <c r="N21" s="22"/>
      <c r="O21" s="22"/>
      <c r="P21" s="74"/>
      <c r="Q21" s="30"/>
      <c r="R21" s="30"/>
      <c r="S21" s="30"/>
      <c r="T21" s="82"/>
      <c r="U21" s="50"/>
      <c r="V21" s="1630">
        <v>31778</v>
      </c>
      <c r="W21" s="22"/>
    </row>
    <row r="22" spans="1:23" ht="16.5" thickBot="1">
      <c r="A22" s="22"/>
      <c r="B22" s="22" t="s">
        <v>1447</v>
      </c>
      <c r="C22" s="22"/>
      <c r="D22" s="22"/>
      <c r="E22" s="22"/>
      <c r="F22" s="22"/>
      <c r="G22" s="22"/>
      <c r="H22" s="22"/>
      <c r="I22" s="22"/>
      <c r="J22" s="22"/>
      <c r="K22" s="22"/>
      <c r="L22" s="22"/>
      <c r="M22" s="888" t="str">
        <f>IF(R16&lt;J85,"",IF(AND(Q22="",S22=""),"Check one.",IF(AND(Q22&lt;&gt;"",S22&lt;&gt;""),"Check ONLY one.","")))</f>
        <v/>
      </c>
      <c r="N22" s="22"/>
      <c r="O22" s="1621" t="str">
        <f>IF(R16&lt;J85,"",IF(OR(AND(Q22="",S22=""),AND(Q22&lt;&gt;"",S22&lt;&gt;"")),"®",""))</f>
        <v/>
      </c>
      <c r="P22" s="50"/>
      <c r="Q22" s="354"/>
      <c r="R22" s="194" t="s">
        <v>1448</v>
      </c>
      <c r="S22" s="354"/>
      <c r="T22" s="1620" t="s">
        <v>820</v>
      </c>
      <c r="U22" s="50"/>
      <c r="V22" s="1631" t="b">
        <f>IF(AND(R16&lt;&gt;"",R16&lt;V21),TRUE,FALSE)</f>
        <v>0</v>
      </c>
      <c r="W22" s="22"/>
    </row>
    <row r="23" spans="1:23">
      <c r="A23" s="22"/>
      <c r="B23" s="22"/>
      <c r="C23" s="22"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2"/>
      <c r="E23" s="22"/>
      <c r="F23" s="22"/>
      <c r="G23" s="22"/>
      <c r="H23" s="22"/>
      <c r="I23" s="22"/>
      <c r="J23" s="22"/>
      <c r="K23" s="22"/>
      <c r="L23" s="22"/>
      <c r="M23" s="22"/>
      <c r="N23" s="22"/>
      <c r="O23" s="22"/>
      <c r="P23" s="6965" t="s">
        <v>1449</v>
      </c>
      <c r="Q23" s="6466"/>
      <c r="R23" s="6466"/>
      <c r="S23" s="6466"/>
      <c r="T23" s="6971"/>
      <c r="U23" s="26" t="s">
        <v>790</v>
      </c>
      <c r="V23" s="22"/>
      <c r="W23" s="22"/>
    </row>
    <row r="24" spans="1:23">
      <c r="A24" s="22"/>
      <c r="B24" s="22"/>
      <c r="C24" s="22" t="str">
        <f>"2. Your annuity starting date was after "&amp;TEXT(J74,"mmmm d, yyyy")&amp;", "</f>
        <v xml:space="preserve">2. Your annuity starting date was after November 18, 1996, </v>
      </c>
      <c r="D24" s="22"/>
      <c r="E24" s="22"/>
      <c r="F24" s="22"/>
      <c r="G24" s="494" t="s">
        <v>1450</v>
      </c>
      <c r="H24" s="22"/>
      <c r="I24" s="22"/>
      <c r="J24" s="22"/>
      <c r="K24" s="22"/>
      <c r="L24" s="22"/>
      <c r="M24" s="22"/>
      <c r="N24" s="22"/>
      <c r="O24" s="22"/>
      <c r="P24" s="6965" t="s">
        <v>1451</v>
      </c>
      <c r="Q24" s="6466"/>
      <c r="R24" s="6466"/>
      <c r="S24" s="6466"/>
      <c r="T24" s="6971"/>
      <c r="U24" s="5519"/>
      <c r="V24" s="22"/>
      <c r="W24" s="22"/>
    </row>
    <row r="25" spans="1:23" ht="13.5" thickBot="1">
      <c r="A25" s="22"/>
      <c r="B25" s="22"/>
      <c r="C25" s="22"/>
      <c r="D25" s="22" t="s">
        <v>1452</v>
      </c>
      <c r="E25" s="22"/>
      <c r="F25" s="22"/>
      <c r="G25" s="22"/>
      <c r="H25" s="22"/>
      <c r="I25" s="22"/>
      <c r="J25" s="22"/>
      <c r="K25" s="22"/>
      <c r="L25" s="22"/>
      <c r="M25" s="22"/>
      <c r="N25" s="22"/>
      <c r="O25" s="22"/>
      <c r="P25" s="75"/>
      <c r="Q25" s="34"/>
      <c r="R25" s="34"/>
      <c r="S25" s="34"/>
      <c r="T25" s="84"/>
      <c r="U25" s="50"/>
      <c r="V25" s="22"/>
      <c r="W25" s="22"/>
    </row>
    <row r="26" spans="1:23" ht="13.5" thickBot="1">
      <c r="A26" s="22"/>
      <c r="B26" s="22"/>
      <c r="C26" s="22"/>
      <c r="D26" s="22" t="s">
        <v>1453</v>
      </c>
      <c r="E26" s="22"/>
      <c r="F26" s="22"/>
      <c r="G26" s="22"/>
      <c r="H26" s="22"/>
      <c r="I26" s="22"/>
      <c r="J26" s="22"/>
      <c r="K26" s="22"/>
      <c r="L26" s="22"/>
      <c r="M26" s="22"/>
      <c r="N26" s="22"/>
      <c r="O26" s="22"/>
      <c r="P26" s="22"/>
      <c r="Q26" s="22"/>
      <c r="R26" s="22"/>
      <c r="S26" s="22"/>
      <c r="T26" s="22"/>
      <c r="U26" s="22"/>
      <c r="V26" s="22"/>
      <c r="W26" s="22"/>
    </row>
    <row r="27" spans="1:23" ht="13.5" thickBot="1">
      <c r="A27" s="22"/>
      <c r="B27" s="22"/>
      <c r="C27" s="22"/>
      <c r="D27" s="22" t="str">
        <f>"    -  you were under age 75"</f>
        <v xml:space="preserve">    -  you were under age 75</v>
      </c>
      <c r="E27" s="22"/>
      <c r="F27" s="22"/>
      <c r="G27" s="22"/>
      <c r="H27" s="22"/>
      <c r="I27" s="22"/>
      <c r="J27" s="22"/>
      <c r="K27" s="22"/>
      <c r="L27" s="22"/>
      <c r="M27" s="22"/>
      <c r="N27" s="22"/>
      <c r="O27" s="22"/>
      <c r="P27" s="76"/>
      <c r="Q27" s="77"/>
      <c r="R27" s="488"/>
      <c r="S27" s="488"/>
      <c r="T27" s="485"/>
      <c r="U27" s="22"/>
      <c r="V27" s="22"/>
      <c r="W27" s="22"/>
    </row>
    <row r="28" spans="1:23" ht="13.5" thickBot="1">
      <c r="A28" s="22"/>
      <c r="B28" s="22"/>
      <c r="C28" s="22"/>
      <c r="D28" s="22" t="s">
        <v>1454</v>
      </c>
      <c r="E28" s="22"/>
      <c r="F28" s="22"/>
      <c r="G28" s="22"/>
      <c r="H28" s="22"/>
      <c r="I28" s="22"/>
      <c r="J28" s="22"/>
      <c r="K28" s="22"/>
      <c r="L28" s="22"/>
      <c r="M28" s="22"/>
      <c r="N28" s="22"/>
      <c r="O28" s="22"/>
      <c r="P28" s="78"/>
      <c r="Q28" s="66"/>
      <c r="R28" s="6957"/>
      <c r="S28" s="6958"/>
      <c r="T28" s="390"/>
      <c r="U28" s="22"/>
      <c r="V28" s="22"/>
      <c r="W28" s="22"/>
    </row>
    <row r="29" spans="1:23">
      <c r="A29" s="22"/>
      <c r="B29" s="22"/>
      <c r="C29" s="22"/>
      <c r="D29" s="22" t="str">
        <f>"    -  the number of years of guaranteed payments was fewer than 5. See Pub. 575 for the definition of guaranteed payments."</f>
        <v xml:space="preserve">    -  the number of years of guaranteed payments was fewer than 5. See Pub. 575 for the definition of guaranteed payments.</v>
      </c>
      <c r="E29" s="22"/>
      <c r="F29" s="22"/>
      <c r="G29" s="22"/>
      <c r="H29" s="22"/>
      <c r="I29" s="22"/>
      <c r="J29" s="22"/>
      <c r="K29" s="22"/>
      <c r="L29" s="22"/>
      <c r="M29" s="22"/>
      <c r="N29" s="22"/>
      <c r="O29" s="22"/>
      <c r="P29" s="487"/>
      <c r="Q29" s="1622"/>
      <c r="R29" s="1624" t="str">
        <f>IF(AND($V$19,$Q$22&lt;&gt;""),"COMBINED ages","Your age")</f>
        <v>Your age</v>
      </c>
      <c r="S29" s="1622"/>
      <c r="T29" s="1623"/>
      <c r="U29" s="22"/>
      <c r="V29" s="22"/>
      <c r="W29" s="22"/>
    </row>
    <row r="30" spans="1:23" ht="8.25" customHeight="1">
      <c r="A30" s="22"/>
      <c r="B30" s="22"/>
      <c r="C30" s="22"/>
      <c r="D30" s="22"/>
      <c r="E30" s="22"/>
      <c r="F30" s="22"/>
      <c r="G30" s="22"/>
      <c r="H30" s="22"/>
      <c r="I30" s="22"/>
      <c r="J30" s="22"/>
      <c r="K30" s="22"/>
      <c r="L30" s="22"/>
      <c r="M30" s="22"/>
      <c r="N30" s="22"/>
      <c r="O30" s="22"/>
      <c r="P30" s="487"/>
      <c r="Q30" s="1622"/>
      <c r="R30" s="435" t="s">
        <v>1455</v>
      </c>
      <c r="S30" s="1622"/>
      <c r="T30" s="1623"/>
      <c r="U30" s="22"/>
      <c r="V30" s="22"/>
      <c r="W30" s="22"/>
    </row>
    <row r="31" spans="1:23" ht="13.5" thickBot="1">
      <c r="A31" s="66"/>
      <c r="B31" s="66"/>
      <c r="C31" s="66"/>
      <c r="D31" s="66"/>
      <c r="E31" s="66"/>
      <c r="F31" s="66"/>
      <c r="G31" s="66"/>
      <c r="H31" s="66"/>
      <c r="I31" s="66"/>
      <c r="J31" s="66"/>
      <c r="K31" s="66"/>
      <c r="L31" s="66"/>
      <c r="M31" s="66"/>
      <c r="N31" s="66"/>
      <c r="O31" s="22"/>
      <c r="P31" s="80"/>
      <c r="Q31" s="71"/>
      <c r="R31" s="81"/>
      <c r="S31" s="81"/>
      <c r="T31" s="391"/>
      <c r="U31" s="22"/>
      <c r="V31" s="22"/>
      <c r="W31" s="22"/>
    </row>
    <row r="32" spans="1:23" ht="36" customHeight="1">
      <c r="A32" s="66"/>
      <c r="B32" s="2558" t="s">
        <v>1456</v>
      </c>
      <c r="C32" s="2728"/>
      <c r="D32" s="72"/>
      <c r="E32" s="72"/>
      <c r="F32" s="72"/>
      <c r="G32" s="72"/>
      <c r="H32" s="72"/>
      <c r="I32" s="2728"/>
      <c r="J32" s="5520"/>
      <c r="K32" s="209" t="s">
        <v>1057</v>
      </c>
      <c r="L32" s="209"/>
      <c r="M32" s="209"/>
      <c r="N32" s="475"/>
      <c r="O32" s="209"/>
      <c r="P32" s="6968" t="str">
        <f>IF(AND(V19,Q22&lt;&gt;"",R16&lt;&gt;"",R28="",S22=""),"If your annuity starting date was after 1997 and the payments are for your life and that of your beneficiary, use your combined ages on the annuity starting date.","")</f>
        <v/>
      </c>
      <c r="Q32" s="6969"/>
      <c r="R32" s="6969"/>
      <c r="S32" s="6969"/>
      <c r="T32" s="6969"/>
      <c r="U32" s="22"/>
      <c r="V32" s="22"/>
      <c r="W32" s="22"/>
    </row>
    <row r="33" spans="1:23" ht="5.25" customHeight="1" thickBot="1">
      <c r="A33" s="66"/>
      <c r="B33" s="34"/>
      <c r="C33" s="34"/>
      <c r="D33" s="34"/>
      <c r="E33" s="34"/>
      <c r="F33" s="34"/>
      <c r="G33" s="34"/>
      <c r="H33" s="34"/>
      <c r="I33" s="34"/>
      <c r="J33" s="34"/>
      <c r="K33" s="34"/>
      <c r="L33" s="34"/>
      <c r="M33" s="22"/>
      <c r="N33" s="66"/>
      <c r="O33" s="22"/>
      <c r="P33" s="6970"/>
      <c r="Q33" s="6970"/>
      <c r="R33" s="6970"/>
      <c r="S33" s="6970"/>
      <c r="T33" s="6970"/>
      <c r="U33" s="22"/>
      <c r="V33" s="22"/>
      <c r="W33" s="22"/>
    </row>
    <row r="34" spans="1:23" ht="13.5" customHeight="1">
      <c r="A34" s="66"/>
      <c r="B34" s="74"/>
      <c r="C34" s="22"/>
      <c r="D34" s="22"/>
      <c r="E34" s="22"/>
      <c r="F34" s="22"/>
      <c r="G34" s="22"/>
      <c r="H34" s="22"/>
      <c r="I34" s="22"/>
      <c r="J34" s="22"/>
      <c r="K34" s="22"/>
      <c r="L34" s="61"/>
      <c r="M34" s="5521"/>
      <c r="N34" s="691"/>
      <c r="O34" s="61"/>
      <c r="P34" s="6970"/>
      <c r="Q34" s="6970"/>
      <c r="R34" s="6970"/>
      <c r="S34" s="6970"/>
      <c r="T34" s="6970"/>
      <c r="U34" s="22"/>
      <c r="V34" s="22"/>
      <c r="W34" s="22"/>
    </row>
    <row r="35" spans="1:23" ht="13.5" customHeight="1">
      <c r="A35" s="66"/>
      <c r="B35" s="50"/>
      <c r="C35" s="271"/>
      <c r="D35" s="5522" t="s">
        <v>1058</v>
      </c>
      <c r="E35" s="5522"/>
      <c r="F35" s="5522"/>
      <c r="G35" s="5522"/>
      <c r="H35" s="5522"/>
      <c r="I35" s="22"/>
      <c r="J35" s="22"/>
      <c r="K35" s="22"/>
      <c r="L35" s="61"/>
      <c r="M35" s="5523"/>
      <c r="N35" s="691"/>
      <c r="O35" s="61"/>
      <c r="P35" s="6970"/>
      <c r="Q35" s="6970"/>
      <c r="R35" s="6970"/>
      <c r="S35" s="6970"/>
      <c r="T35" s="6970"/>
      <c r="U35" s="22"/>
      <c r="V35" s="22"/>
      <c r="W35" s="22"/>
    </row>
    <row r="36" spans="1:23" ht="13.5" customHeight="1">
      <c r="A36" s="66"/>
      <c r="B36" s="50"/>
      <c r="C36" s="479" t="s">
        <v>1059</v>
      </c>
      <c r="D36" s="61" t="s">
        <v>1457</v>
      </c>
      <c r="E36" s="22"/>
      <c r="F36" s="22"/>
      <c r="G36" s="22"/>
      <c r="H36" s="22"/>
      <c r="I36" s="22"/>
      <c r="J36" s="22"/>
      <c r="K36" s="22"/>
      <c r="L36" s="61"/>
      <c r="M36" s="5523"/>
      <c r="N36" s="691"/>
      <c r="O36" s="61"/>
      <c r="P36" s="6970"/>
      <c r="Q36" s="6970"/>
      <c r="R36" s="6970"/>
      <c r="S36" s="6970"/>
      <c r="T36" s="6970"/>
      <c r="U36" s="22"/>
      <c r="V36" s="22"/>
      <c r="W36" s="22"/>
    </row>
    <row r="37" spans="1:23" ht="12" customHeight="1">
      <c r="A37" s="66"/>
      <c r="B37" s="50"/>
      <c r="C37" s="22"/>
      <c r="D37" s="61" t="s">
        <v>1458</v>
      </c>
      <c r="E37" s="61"/>
      <c r="F37" s="61"/>
      <c r="G37" s="61"/>
      <c r="H37" s="61"/>
      <c r="I37" s="22"/>
      <c r="J37" s="22"/>
      <c r="K37" s="22"/>
      <c r="L37" s="61"/>
      <c r="M37" s="5523"/>
      <c r="N37" s="691"/>
      <c r="O37" s="61"/>
      <c r="P37" s="22"/>
      <c r="Q37" s="22"/>
      <c r="R37" s="22"/>
      <c r="S37" s="22"/>
      <c r="T37" s="22"/>
      <c r="U37" s="22"/>
      <c r="V37" s="22"/>
      <c r="W37" s="22"/>
    </row>
    <row r="38" spans="1:23" ht="16.5" customHeight="1">
      <c r="A38" s="691"/>
      <c r="B38" s="3088" t="s">
        <v>1459</v>
      </c>
      <c r="C38" s="1298"/>
      <c r="D38" s="1298"/>
      <c r="E38" s="1298"/>
      <c r="F38" s="1298"/>
      <c r="G38" s="1298"/>
      <c r="H38" s="1298"/>
      <c r="I38" s="61"/>
      <c r="J38" s="61"/>
      <c r="K38" s="61"/>
      <c r="L38" s="61"/>
      <c r="M38" s="5523"/>
      <c r="N38" s="691"/>
      <c r="O38" s="61"/>
      <c r="P38" s="22"/>
      <c r="Q38" s="22"/>
      <c r="R38" s="23"/>
      <c r="S38" s="22"/>
      <c r="T38" s="22"/>
      <c r="U38" s="22"/>
      <c r="V38" s="22"/>
      <c r="W38" s="22"/>
    </row>
    <row r="39" spans="1:23">
      <c r="A39" s="691"/>
      <c r="B39" s="3715" t="s">
        <v>1460</v>
      </c>
      <c r="C39" s="1298"/>
      <c r="D39" s="1298"/>
      <c r="E39" s="1298"/>
      <c r="F39" s="51"/>
      <c r="G39" s="61"/>
      <c r="H39" s="1298"/>
      <c r="I39" s="61"/>
      <c r="J39" s="61"/>
      <c r="K39" s="61"/>
      <c r="L39" s="106"/>
      <c r="M39" s="5476"/>
      <c r="N39" s="5477"/>
      <c r="O39" s="61"/>
      <c r="P39" s="22"/>
      <c r="Q39" s="22"/>
      <c r="R39" s="23"/>
      <c r="S39" s="22"/>
      <c r="T39" s="22"/>
      <c r="U39" s="22"/>
      <c r="V39" s="22"/>
      <c r="W39" s="22"/>
    </row>
    <row r="40" spans="1:23">
      <c r="A40" s="691"/>
      <c r="B40" s="3714" t="str">
        <f>"Enter  the total  pension  or  annuity  payments  received  in "&amp;TaxYear&amp;" on Form 1040 or 1040-SR, line 5a."</f>
        <v>Enter  the total  pension  or  annuity  payments  received  in 2023 on Form 1040 or 1040-SR, line 5a.</v>
      </c>
      <c r="C40" s="5524"/>
      <c r="D40" s="5524"/>
      <c r="E40" s="5524"/>
      <c r="F40" s="851"/>
      <c r="G40" s="851"/>
      <c r="H40" s="851"/>
      <c r="I40" s="851"/>
      <c r="J40" s="851"/>
      <c r="K40" s="851"/>
      <c r="L40" s="5525"/>
      <c r="M40" s="5526"/>
      <c r="N40" s="5477"/>
      <c r="O40" s="61"/>
      <c r="P40" s="22"/>
      <c r="Q40" s="22"/>
      <c r="R40" s="23"/>
      <c r="S40" s="22"/>
      <c r="T40" s="22"/>
      <c r="U40" s="22"/>
      <c r="V40" s="22"/>
      <c r="W40" s="22"/>
    </row>
    <row r="41" spans="1:23">
      <c r="A41" s="691"/>
      <c r="B41" s="3425" t="s">
        <v>1461</v>
      </c>
      <c r="C41" s="3090"/>
      <c r="D41" s="5527"/>
      <c r="E41" s="5527"/>
      <c r="F41" s="3089"/>
      <c r="G41" s="5527"/>
      <c r="H41" s="5527"/>
      <c r="I41" s="709"/>
      <c r="J41" s="709"/>
      <c r="K41" s="709"/>
      <c r="L41" s="5528"/>
      <c r="M41" s="5529"/>
      <c r="N41" s="5477"/>
      <c r="O41" s="61"/>
      <c r="P41" s="22"/>
      <c r="Q41" s="22"/>
      <c r="R41" s="23"/>
      <c r="S41" s="22"/>
      <c r="T41" s="22"/>
      <c r="U41" s="22"/>
      <c r="V41" s="22"/>
      <c r="W41" s="22"/>
    </row>
    <row r="42" spans="1:23" ht="16.5" customHeight="1">
      <c r="A42" s="66"/>
      <c r="B42" s="5530" t="str">
        <f>"1."</f>
        <v>1.</v>
      </c>
      <c r="C42" s="51" t="s">
        <v>5702</v>
      </c>
      <c r="D42" s="54"/>
      <c r="E42" s="54"/>
      <c r="F42" s="54"/>
      <c r="G42" s="54"/>
      <c r="H42" s="54"/>
      <c r="I42" s="2728"/>
      <c r="J42" s="54"/>
      <c r="K42" s="5457"/>
      <c r="L42" s="54"/>
      <c r="M42" s="57"/>
      <c r="N42" s="476"/>
      <c r="O42" s="224"/>
      <c r="P42" s="22"/>
      <c r="Q42" s="22"/>
      <c r="R42" s="23"/>
      <c r="S42" s="22"/>
      <c r="T42" s="22"/>
      <c r="U42" s="22"/>
      <c r="V42" s="22"/>
      <c r="W42" s="22"/>
    </row>
    <row r="43" spans="1:23">
      <c r="A43" s="66"/>
      <c r="B43" s="5456"/>
      <c r="C43" s="51" t="s">
        <v>1462</v>
      </c>
      <c r="D43" s="54"/>
      <c r="E43" s="54"/>
      <c r="F43" s="54"/>
      <c r="G43" s="54"/>
      <c r="H43" s="54"/>
      <c r="I43" s="2728"/>
      <c r="J43" s="60" t="s">
        <v>1463</v>
      </c>
      <c r="K43" s="5457">
        <v>1</v>
      </c>
      <c r="L43" s="970"/>
      <c r="M43" s="319"/>
      <c r="N43" s="477"/>
      <c r="O43" s="54"/>
      <c r="P43" s="22"/>
      <c r="Q43" s="22"/>
      <c r="R43" s="23"/>
      <c r="S43" s="22"/>
      <c r="T43" s="22"/>
      <c r="U43" s="22"/>
      <c r="V43" s="22"/>
      <c r="W43" s="22"/>
    </row>
    <row r="44" spans="1:23">
      <c r="A44" s="66"/>
      <c r="B44" s="5456">
        <v>2</v>
      </c>
      <c r="C44" s="51" t="s">
        <v>1464</v>
      </c>
      <c r="D44" s="54"/>
      <c r="E44" s="54"/>
      <c r="F44" s="60"/>
      <c r="G44" s="60"/>
      <c r="H44" s="60" t="s">
        <v>1465</v>
      </c>
      <c r="I44" s="2728">
        <v>2</v>
      </c>
      <c r="J44" s="970"/>
      <c r="K44" s="2728"/>
      <c r="L44" s="224"/>
      <c r="M44" s="319"/>
      <c r="N44" s="476"/>
      <c r="O44" s="54"/>
      <c r="P44" s="22"/>
      <c r="Q44" s="22"/>
      <c r="R44" s="23"/>
      <c r="S44" s="22"/>
      <c r="T44" s="22"/>
      <c r="U44" s="22"/>
      <c r="V44" s="22"/>
      <c r="W44" s="22"/>
    </row>
    <row r="45" spans="1:23" ht="13.5" thickBot="1">
      <c r="A45" s="66"/>
      <c r="B45" s="5456"/>
      <c r="C45" s="194" t="s">
        <v>1466</v>
      </c>
      <c r="D45" s="54"/>
      <c r="E45" s="54"/>
      <c r="F45" s="60"/>
      <c r="G45" s="60"/>
      <c r="H45" s="60"/>
      <c r="I45" s="2728"/>
      <c r="J45" s="574"/>
      <c r="K45" s="2728"/>
      <c r="L45" s="673"/>
      <c r="M45" s="319"/>
      <c r="N45" s="476"/>
      <c r="O45" s="54"/>
      <c r="P45" s="22"/>
      <c r="Q45" s="22"/>
      <c r="R45" s="22"/>
      <c r="S45" s="22"/>
      <c r="T45" s="22"/>
      <c r="U45" s="22"/>
      <c r="V45" s="22"/>
      <c r="W45" s="22"/>
    </row>
    <row r="46" spans="1:23" ht="13.5" thickBot="1">
      <c r="A46" s="66"/>
      <c r="B46" s="5456"/>
      <c r="C46" s="51" t="s">
        <v>1467</v>
      </c>
      <c r="D46" s="54"/>
      <c r="E46" s="54"/>
      <c r="F46" s="60"/>
      <c r="G46" s="60"/>
      <c r="H46" s="60"/>
      <c r="I46" s="2728"/>
      <c r="J46" s="574"/>
      <c r="K46" s="2728"/>
      <c r="L46" s="673"/>
      <c r="M46" s="319"/>
      <c r="N46" s="476"/>
      <c r="O46" s="54"/>
      <c r="P46" s="22"/>
      <c r="Q46" s="886"/>
      <c r="R46" s="61" t="s">
        <v>1468</v>
      </c>
      <c r="S46" s="22"/>
      <c r="T46" s="22"/>
      <c r="U46" s="22"/>
      <c r="V46" s="22"/>
      <c r="W46" s="22"/>
    </row>
    <row r="47" spans="1:23">
      <c r="A47" s="66"/>
      <c r="B47" s="5456"/>
      <c r="C47" s="51" t="s">
        <v>1469</v>
      </c>
      <c r="D47" s="54"/>
      <c r="E47" s="54"/>
      <c r="F47" s="60"/>
      <c r="G47" s="60"/>
      <c r="H47" s="60"/>
      <c r="I47" s="2728"/>
      <c r="J47" s="574"/>
      <c r="K47" s="2728"/>
      <c r="L47" s="486"/>
      <c r="M47" s="319"/>
      <c r="N47" s="476"/>
      <c r="O47" s="54"/>
      <c r="P47" s="22"/>
      <c r="Q47" s="1626"/>
      <c r="R47" s="61"/>
      <c r="S47" s="22"/>
      <c r="T47" s="22"/>
      <c r="U47" s="22"/>
      <c r="V47" s="22"/>
      <c r="W47" s="22"/>
    </row>
    <row r="48" spans="1:23">
      <c r="A48" s="66"/>
      <c r="B48" s="5456">
        <v>3</v>
      </c>
      <c r="C48" s="51" t="s">
        <v>1470</v>
      </c>
      <c r="D48" s="54"/>
      <c r="E48" s="54"/>
      <c r="F48" s="54"/>
      <c r="G48" s="54"/>
      <c r="H48" s="54"/>
      <c r="I48" s="2728"/>
      <c r="J48" s="5531"/>
      <c r="K48" s="2728"/>
      <c r="L48" s="486"/>
      <c r="M48" s="57"/>
      <c r="N48" s="476"/>
      <c r="O48" s="54"/>
      <c r="P48" s="22"/>
      <c r="Q48" s="1627"/>
      <c r="R48" s="61"/>
      <c r="S48" s="22"/>
      <c r="T48" s="22"/>
      <c r="U48" s="22"/>
      <c r="V48" s="22"/>
      <c r="W48" s="22"/>
    </row>
    <row r="49" spans="1:23" ht="11.25" customHeight="1" thickBot="1">
      <c r="A49" s="66"/>
      <c r="B49" s="542"/>
      <c r="C49" s="588" t="s">
        <v>1471</v>
      </c>
      <c r="D49" s="215"/>
      <c r="E49" s="215"/>
      <c r="F49" s="215"/>
      <c r="G49" s="215"/>
      <c r="H49" s="215"/>
      <c r="I49" s="5532"/>
      <c r="J49" s="5533"/>
      <c r="K49" s="5532"/>
      <c r="L49" s="486"/>
      <c r="M49" s="693"/>
      <c r="N49" s="476"/>
      <c r="O49" s="54"/>
      <c r="P49" s="34"/>
      <c r="Q49" s="34"/>
      <c r="R49" s="34"/>
      <c r="S49" s="34"/>
      <c r="T49" s="34"/>
      <c r="U49" s="34"/>
      <c r="V49" s="22"/>
      <c r="W49" s="22"/>
    </row>
    <row r="50" spans="1:23" ht="14.25" customHeight="1">
      <c r="A50" s="66"/>
      <c r="B50" s="50"/>
      <c r="C50" s="51" t="s">
        <v>1472</v>
      </c>
      <c r="D50" s="22"/>
      <c r="E50" s="22"/>
      <c r="F50" s="22"/>
      <c r="G50" s="22"/>
      <c r="H50" s="60" t="s">
        <v>1473</v>
      </c>
      <c r="I50" s="2728">
        <v>3</v>
      </c>
      <c r="J50" s="969" t="str">
        <f>IF(Q46&lt;&gt;"","",IF(R16="","Enter date above",IF(R28="","Enter age above",IF(L85,J94,L84))))</f>
        <v>Enter date above</v>
      </c>
      <c r="K50" s="2728"/>
      <c r="L50" s="1625" t="s">
        <v>1474</v>
      </c>
      <c r="M50" s="491"/>
      <c r="N50" s="476"/>
      <c r="O50" s="54"/>
      <c r="P50" s="74"/>
      <c r="Q50" s="30"/>
      <c r="R50" s="30"/>
      <c r="S50" s="30"/>
      <c r="T50" s="30"/>
      <c r="U50" s="82"/>
      <c r="V50" s="22"/>
      <c r="W50" s="22"/>
    </row>
    <row r="51" spans="1:23" ht="14.25" customHeight="1" thickBot="1">
      <c r="A51" s="66"/>
      <c r="B51" s="5456">
        <v>4</v>
      </c>
      <c r="C51" s="51" t="s">
        <v>1475</v>
      </c>
      <c r="D51" s="22"/>
      <c r="E51" s="22"/>
      <c r="F51" s="22"/>
      <c r="G51" s="22"/>
      <c r="H51" s="60" t="s">
        <v>1476</v>
      </c>
      <c r="I51" s="2728">
        <v>4</v>
      </c>
      <c r="J51" s="969" t="str">
        <f>IF(L51&lt;&gt;"",L51,IF(OR(J50="",J50=0),"",IF(ISERROR(ROUND((J44/J50),0)),"",ROUND((J44/J50),0))))</f>
        <v/>
      </c>
      <c r="K51" s="2728"/>
      <c r="L51" s="970"/>
      <c r="M51" s="57"/>
      <c r="N51" s="476"/>
      <c r="O51" s="54"/>
      <c r="P51" s="50"/>
      <c r="Q51" s="22"/>
      <c r="R51" s="22"/>
      <c r="S51" s="22"/>
      <c r="T51" s="22"/>
      <c r="U51" s="83"/>
      <c r="V51" s="22"/>
      <c r="W51" s="22"/>
    </row>
    <row r="52" spans="1:23" ht="16.5" thickBot="1">
      <c r="A52" s="66"/>
      <c r="B52" s="5456">
        <v>5</v>
      </c>
      <c r="C52" s="51" t="s">
        <v>1477</v>
      </c>
      <c r="D52" s="22"/>
      <c r="E52" s="22"/>
      <c r="F52" s="22"/>
      <c r="G52" s="22"/>
      <c r="H52" s="22"/>
      <c r="I52" s="2728"/>
      <c r="J52" s="54"/>
      <c r="K52" s="2728"/>
      <c r="L52" s="486" t="s">
        <v>1478</v>
      </c>
      <c r="M52" s="491" t="s">
        <v>1047</v>
      </c>
      <c r="N52" s="476"/>
      <c r="O52" s="54"/>
      <c r="P52" s="50"/>
      <c r="Q52" s="495"/>
      <c r="R52" s="492"/>
      <c r="S52" s="22"/>
      <c r="T52" s="22"/>
      <c r="U52" s="83"/>
      <c r="V52" s="22"/>
      <c r="W52" s="22"/>
    </row>
    <row r="53" spans="1:23" ht="12.75" customHeight="1">
      <c r="A53" s="66"/>
      <c r="B53" s="50"/>
      <c r="C53" s="51" t="s">
        <v>1479</v>
      </c>
      <c r="D53" s="22"/>
      <c r="E53" s="22"/>
      <c r="F53" s="22"/>
      <c r="G53" s="22"/>
      <c r="H53" s="22"/>
      <c r="I53" s="2728"/>
      <c r="J53" s="1618">
        <v>31778</v>
      </c>
      <c r="K53" s="493" t="b">
        <f>IF(R16&lt;J53,TRUE,FALSE)</f>
        <v>1</v>
      </c>
      <c r="L53" s="486" t="s">
        <v>1480</v>
      </c>
      <c r="M53" s="491"/>
      <c r="N53" s="476"/>
      <c r="O53" s="54"/>
      <c r="P53" s="6965" t="s">
        <v>1481</v>
      </c>
      <c r="Q53" s="6966"/>
      <c r="R53" s="6966"/>
      <c r="S53" s="6966"/>
      <c r="T53" s="6966"/>
      <c r="U53" s="6967"/>
      <c r="V53" s="22"/>
      <c r="W53" s="22"/>
    </row>
    <row r="54" spans="1:23" ht="12.75" customHeight="1">
      <c r="A54" s="66"/>
      <c r="B54" s="50"/>
      <c r="C54" s="51" t="s">
        <v>1482</v>
      </c>
      <c r="D54" s="22"/>
      <c r="E54" s="22"/>
      <c r="F54" s="22"/>
      <c r="G54" s="22"/>
      <c r="H54" s="60" t="s">
        <v>555</v>
      </c>
      <c r="I54" s="2728">
        <v>5</v>
      </c>
      <c r="J54" s="969" t="str">
        <f>IF(OR(R52&gt;12,R52="",J51=""),"",J51*R52)</f>
        <v/>
      </c>
      <c r="K54" s="2728"/>
      <c r="L54" s="486" t="s">
        <v>1483</v>
      </c>
      <c r="M54" s="57"/>
      <c r="N54" s="476"/>
      <c r="O54" s="54"/>
      <c r="P54" s="6965" t="s">
        <v>1484</v>
      </c>
      <c r="Q54" s="6966"/>
      <c r="R54" s="6966"/>
      <c r="S54" s="6966"/>
      <c r="T54" s="6966"/>
      <c r="U54" s="6967"/>
      <c r="V54" s="22"/>
      <c r="W54" s="22"/>
    </row>
    <row r="55" spans="1:23" ht="16.5" thickBot="1">
      <c r="A55" s="66"/>
      <c r="B55" s="5456">
        <v>6</v>
      </c>
      <c r="C55" s="51" t="s">
        <v>1485</v>
      </c>
      <c r="D55" s="22"/>
      <c r="E55" s="22"/>
      <c r="F55" s="22"/>
      <c r="G55" s="22"/>
      <c r="H55" s="60"/>
      <c r="I55" s="2728"/>
      <c r="J55" s="607"/>
      <c r="K55" s="2728"/>
      <c r="L55" s="486" t="s">
        <v>1486</v>
      </c>
      <c r="M55" s="491"/>
      <c r="N55" s="476"/>
      <c r="O55" s="54"/>
      <c r="P55" s="75"/>
      <c r="Q55" s="34"/>
      <c r="R55" s="34"/>
      <c r="S55" s="34"/>
      <c r="T55" s="34"/>
      <c r="U55" s="84"/>
      <c r="V55" s="22"/>
      <c r="W55" s="22"/>
    </row>
    <row r="56" spans="1:23" ht="13.5" customHeight="1">
      <c r="A56" s="66"/>
      <c r="B56" s="5456"/>
      <c r="C56" s="51" t="s">
        <v>1487</v>
      </c>
      <c r="D56" s="22"/>
      <c r="E56" s="22"/>
      <c r="F56" s="22"/>
      <c r="G56" s="22"/>
      <c r="H56" s="60"/>
      <c r="I56" s="2728">
        <v>6</v>
      </c>
      <c r="J56" s="970"/>
      <c r="K56" s="2728"/>
      <c r="L56" s="486"/>
      <c r="M56" s="491"/>
      <c r="N56" s="476"/>
      <c r="O56" s="54"/>
      <c r="P56" s="22"/>
      <c r="Q56" s="22"/>
      <c r="R56" s="22"/>
      <c r="S56" s="22"/>
      <c r="T56" s="22"/>
      <c r="U56" s="22"/>
      <c r="V56" s="22"/>
      <c r="W56" s="22"/>
    </row>
    <row r="57" spans="1:23">
      <c r="A57" s="66"/>
      <c r="B57" s="5456">
        <v>7</v>
      </c>
      <c r="C57" s="196" t="s">
        <v>1488</v>
      </c>
      <c r="D57" s="22"/>
      <c r="E57" s="22"/>
      <c r="F57" s="22"/>
      <c r="G57" s="22"/>
      <c r="H57" s="60" t="s">
        <v>1489</v>
      </c>
      <c r="I57" s="2728">
        <v>7</v>
      </c>
      <c r="J57" s="969" t="str">
        <f>IF(OR(K53,J54=""),"",J44-J56)</f>
        <v/>
      </c>
      <c r="K57" s="2728"/>
      <c r="L57" s="54"/>
      <c r="M57" s="57"/>
      <c r="N57" s="476"/>
      <c r="O57" s="54"/>
      <c r="P57" s="22"/>
      <c r="Q57" s="22"/>
      <c r="R57" s="22"/>
      <c r="S57" s="22"/>
      <c r="T57" s="22"/>
      <c r="U57" s="22"/>
      <c r="V57" s="22"/>
      <c r="W57" s="22"/>
    </row>
    <row r="58" spans="1:23">
      <c r="A58" s="66"/>
      <c r="B58" s="5456">
        <v>8</v>
      </c>
      <c r="C58" s="196" t="s">
        <v>1490</v>
      </c>
      <c r="D58" s="22"/>
      <c r="E58" s="22"/>
      <c r="F58" s="22"/>
      <c r="G58" s="22"/>
      <c r="H58" s="22"/>
      <c r="I58" s="22"/>
      <c r="J58" s="60" t="s">
        <v>1491</v>
      </c>
      <c r="K58" s="2728">
        <v>8</v>
      </c>
      <c r="L58" s="969" t="str">
        <f>IF(K53,J54,MIN(J54,J57))</f>
        <v/>
      </c>
      <c r="M58" s="319"/>
      <c r="N58" s="476"/>
      <c r="O58" s="224"/>
      <c r="P58" s="22"/>
      <c r="Q58" s="22"/>
      <c r="R58" s="22"/>
      <c r="S58" s="22"/>
      <c r="T58" s="22"/>
      <c r="U58" s="22"/>
      <c r="V58" s="22"/>
      <c r="W58" s="22"/>
    </row>
    <row r="59" spans="1:23">
      <c r="A59" s="66"/>
      <c r="B59" s="5456">
        <v>9</v>
      </c>
      <c r="C59" s="51" t="s">
        <v>1492</v>
      </c>
      <c r="D59" s="22"/>
      <c r="E59" s="22"/>
      <c r="F59" s="22"/>
      <c r="G59" s="22"/>
      <c r="H59" s="22"/>
      <c r="I59" s="22"/>
      <c r="J59" s="22"/>
      <c r="K59" s="2728"/>
      <c r="L59" s="54"/>
      <c r="M59" s="57"/>
      <c r="N59" s="476"/>
      <c r="O59" s="224"/>
      <c r="P59" s="22"/>
      <c r="Q59" s="22"/>
      <c r="R59" s="22"/>
      <c r="S59" s="22"/>
      <c r="T59" s="22"/>
      <c r="U59" s="22"/>
      <c r="V59" s="22"/>
      <c r="W59" s="22"/>
    </row>
    <row r="60" spans="1:23" ht="12.75" customHeight="1">
      <c r="A60" s="66"/>
      <c r="B60" s="5456"/>
      <c r="C60" s="2124" t="s">
        <v>5703</v>
      </c>
      <c r="D60" s="62"/>
      <c r="E60" s="62"/>
      <c r="F60" s="62"/>
      <c r="G60" s="62"/>
      <c r="H60" s="62"/>
      <c r="I60" s="2728"/>
      <c r="J60" s="54"/>
      <c r="K60" s="2728"/>
      <c r="L60" s="54"/>
      <c r="M60" s="57"/>
      <c r="N60" s="476"/>
      <c r="O60" s="224"/>
      <c r="P60" s="22"/>
      <c r="Q60" s="22"/>
      <c r="R60" s="23" t="s">
        <v>1113</v>
      </c>
      <c r="S60" s="22"/>
      <c r="T60" s="22"/>
      <c r="U60" s="22"/>
      <c r="V60" s="22"/>
      <c r="W60" s="22"/>
    </row>
    <row r="61" spans="1:23" ht="12.75" customHeight="1">
      <c r="A61" s="66"/>
      <c r="B61" s="5456"/>
      <c r="C61" s="51" t="s">
        <v>1493</v>
      </c>
      <c r="D61" s="62"/>
      <c r="E61" s="62"/>
      <c r="F61" s="62"/>
      <c r="G61" s="62"/>
      <c r="H61" s="62"/>
      <c r="I61" s="2728"/>
      <c r="J61" s="54"/>
      <c r="K61" s="2728"/>
      <c r="L61" s="54"/>
      <c r="M61" s="57"/>
      <c r="N61" s="476"/>
      <c r="O61" s="224"/>
      <c r="P61" s="22"/>
      <c r="Q61" s="22"/>
      <c r="R61" s="23" t="s">
        <v>1062</v>
      </c>
      <c r="S61" s="22"/>
      <c r="T61" s="22"/>
      <c r="U61" s="22"/>
      <c r="V61" s="22"/>
      <c r="W61" s="22"/>
    </row>
    <row r="62" spans="1:23">
      <c r="A62" s="66"/>
      <c r="B62" s="5456"/>
      <c r="C62" s="51" t="s">
        <v>1494</v>
      </c>
      <c r="D62" s="54"/>
      <c r="E62" s="54"/>
      <c r="F62" s="54"/>
      <c r="G62" s="54"/>
      <c r="H62" s="54"/>
      <c r="I62" s="2728"/>
      <c r="J62" s="60" t="s">
        <v>1495</v>
      </c>
      <c r="K62" s="2728">
        <v>9</v>
      </c>
      <c r="L62" s="969" t="str">
        <f>IF(R62&lt;&gt;"",R62,IF(OR(L58="",R16=""),"",IF(Pension_total="",0,MAX(0,SUM(L43,-L58)))))</f>
        <v/>
      </c>
      <c r="M62" s="319"/>
      <c r="N62" s="476"/>
      <c r="O62" s="224"/>
      <c r="P62" s="22"/>
      <c r="Q62" s="22"/>
      <c r="R62" s="259"/>
      <c r="S62" s="22"/>
      <c r="T62" s="22"/>
      <c r="U62" s="22"/>
      <c r="V62" s="22"/>
      <c r="W62" s="22"/>
    </row>
    <row r="63" spans="1:23">
      <c r="A63" s="66"/>
      <c r="B63" s="2125" t="s">
        <v>227</v>
      </c>
      <c r="C63" s="51" t="s">
        <v>1496</v>
      </c>
      <c r="D63" s="54"/>
      <c r="E63" s="54"/>
      <c r="F63" s="54"/>
      <c r="G63" s="54"/>
      <c r="H63" s="54"/>
      <c r="I63" s="2728"/>
      <c r="J63" s="60"/>
      <c r="K63" s="2728"/>
      <c r="L63" s="224"/>
      <c r="M63" s="319"/>
      <c r="N63" s="476"/>
      <c r="O63" s="224"/>
      <c r="P63" s="22"/>
      <c r="Q63" s="22"/>
      <c r="R63" s="575"/>
      <c r="S63" s="22"/>
      <c r="T63" s="22"/>
      <c r="U63" s="22"/>
      <c r="V63" s="22"/>
      <c r="W63" s="22"/>
    </row>
    <row r="64" spans="1:23" ht="7.5" customHeight="1">
      <c r="A64" s="66"/>
      <c r="B64" s="5456"/>
      <c r="C64" s="22"/>
      <c r="D64" s="54"/>
      <c r="E64" s="54"/>
      <c r="F64" s="54"/>
      <c r="G64" s="54"/>
      <c r="H64" s="54"/>
      <c r="I64" s="2728"/>
      <c r="J64" s="60"/>
      <c r="K64" s="2728"/>
      <c r="L64" s="224"/>
      <c r="M64" s="319"/>
      <c r="N64" s="476"/>
      <c r="O64" s="224"/>
      <c r="P64" s="22"/>
      <c r="Q64" s="22"/>
      <c r="R64" s="575"/>
      <c r="S64" s="22"/>
      <c r="T64" s="22"/>
      <c r="U64" s="22"/>
      <c r="V64" s="22"/>
      <c r="W64" s="22"/>
    </row>
    <row r="65" spans="1:23" ht="13.5" customHeight="1">
      <c r="A65" s="66"/>
      <c r="B65" s="5456"/>
      <c r="C65" s="1665" t="str">
        <f>IF(V22,"X","")</f>
        <v/>
      </c>
      <c r="D65" s="576" t="s">
        <v>1497</v>
      </c>
      <c r="E65" s="106" t="s">
        <v>1498</v>
      </c>
      <c r="F65" s="54"/>
      <c r="G65" s="54"/>
      <c r="H65" s="54"/>
      <c r="I65" s="2728"/>
      <c r="J65" s="60"/>
      <c r="K65" s="2728"/>
      <c r="L65" s="224"/>
      <c r="M65" s="319"/>
      <c r="N65" s="476"/>
      <c r="O65" s="224"/>
      <c r="P65" s="22"/>
      <c r="Q65" s="22"/>
      <c r="R65" s="1632"/>
      <c r="S65" s="22"/>
      <c r="T65" s="22"/>
      <c r="U65" s="22"/>
      <c r="V65" s="22"/>
      <c r="W65" s="22"/>
    </row>
    <row r="66" spans="1:23">
      <c r="A66" s="66"/>
      <c r="B66" s="5456"/>
      <c r="C66" s="22"/>
      <c r="D66" s="54"/>
      <c r="E66" s="54"/>
      <c r="F66" s="54"/>
      <c r="G66" s="54"/>
      <c r="H66" s="54"/>
      <c r="I66" s="2728"/>
      <c r="J66" s="60"/>
      <c r="K66" s="2728"/>
      <c r="L66" s="224"/>
      <c r="M66" s="319"/>
      <c r="N66" s="476"/>
      <c r="O66" s="224"/>
      <c r="P66" s="22"/>
      <c r="Q66" s="22"/>
      <c r="R66" s="23" t="s">
        <v>1113</v>
      </c>
      <c r="S66" s="22"/>
      <c r="T66" s="22"/>
      <c r="U66" s="22"/>
      <c r="V66" s="22"/>
      <c r="W66" s="22"/>
    </row>
    <row r="67" spans="1:23" ht="15" customHeight="1">
      <c r="A67" s="66"/>
      <c r="B67" s="5456"/>
      <c r="C67" s="1665" t="str">
        <f>IF(V22,"","X")</f>
        <v>X</v>
      </c>
      <c r="D67" s="59" t="s">
        <v>1499</v>
      </c>
      <c r="E67" s="4427"/>
      <c r="F67" s="54"/>
      <c r="G67" s="54"/>
      <c r="H67" s="54"/>
      <c r="I67" s="2917" t="s">
        <v>1500</v>
      </c>
      <c r="J67" s="5534" t="str">
        <f>TaxYear&amp;"."</f>
        <v>2023.</v>
      </c>
      <c r="K67" s="2728"/>
      <c r="L67" s="224"/>
      <c r="M67" s="319"/>
      <c r="N67" s="476"/>
      <c r="O67" s="224"/>
      <c r="P67" s="22"/>
      <c r="Q67" s="22"/>
      <c r="R67" s="23" t="s">
        <v>1062</v>
      </c>
      <c r="S67" s="22"/>
      <c r="T67" s="22"/>
      <c r="U67" s="22"/>
      <c r="V67" s="22"/>
      <c r="W67" s="22"/>
    </row>
    <row r="68" spans="1:23">
      <c r="A68" s="66"/>
      <c r="B68" s="5456"/>
      <c r="C68" s="22"/>
      <c r="D68" s="54" t="s">
        <v>1501</v>
      </c>
      <c r="E68" s="54"/>
      <c r="F68" s="54"/>
      <c r="G68" s="54"/>
      <c r="H68" s="54"/>
      <c r="I68" s="2728"/>
      <c r="J68" s="60" t="s">
        <v>1502</v>
      </c>
      <c r="K68" s="2916" t="str">
        <f>B63</f>
        <v>10.</v>
      </c>
      <c r="L68" s="969" t="str">
        <f>IF(R68&lt;&gt;"",R68,IF(R16="","",IF(C65="X","",SUM(J56,L58))))</f>
        <v/>
      </c>
      <c r="M68" s="319"/>
      <c r="N68" s="476"/>
      <c r="O68" s="224"/>
      <c r="P68" s="22"/>
      <c r="Q68" s="22"/>
      <c r="R68" s="259"/>
      <c r="S68" s="22"/>
      <c r="T68" s="22"/>
      <c r="U68" s="22"/>
      <c r="V68" s="22"/>
      <c r="W68" s="22"/>
    </row>
    <row r="69" spans="1:23">
      <c r="A69" s="66"/>
      <c r="B69" s="5456"/>
      <c r="C69" s="22"/>
      <c r="D69" s="54"/>
      <c r="E69" s="54"/>
      <c r="F69" s="54"/>
      <c r="G69" s="54"/>
      <c r="H69" s="54"/>
      <c r="I69" s="2728"/>
      <c r="J69" s="60"/>
      <c r="K69" s="2916"/>
      <c r="L69" s="2127"/>
      <c r="M69" s="319"/>
      <c r="N69" s="476"/>
      <c r="O69" s="224"/>
      <c r="P69" s="22"/>
      <c r="Q69" s="22"/>
      <c r="R69" s="575"/>
      <c r="S69" s="22"/>
      <c r="T69" s="22"/>
      <c r="U69" s="22"/>
      <c r="V69" s="22"/>
      <c r="W69" s="22"/>
    </row>
    <row r="70" spans="1:23">
      <c r="A70" s="66"/>
      <c r="B70" s="2125" t="s">
        <v>229</v>
      </c>
      <c r="C70" s="61" t="s">
        <v>1503</v>
      </c>
      <c r="D70" s="54"/>
      <c r="E70" s="54"/>
      <c r="F70" s="54"/>
      <c r="G70" s="54"/>
      <c r="H70" s="54"/>
      <c r="I70" s="2728"/>
      <c r="J70" s="60"/>
      <c r="K70" s="2916"/>
      <c r="L70" s="2127"/>
      <c r="M70" s="319"/>
      <c r="N70" s="476"/>
      <c r="O70" s="224"/>
      <c r="P70" s="22"/>
      <c r="Q70" s="22"/>
      <c r="R70" s="575"/>
      <c r="S70" s="22"/>
      <c r="T70" s="22"/>
      <c r="U70" s="22"/>
      <c r="V70" s="22"/>
      <c r="W70" s="22"/>
    </row>
    <row r="71" spans="1:23">
      <c r="A71" s="66"/>
      <c r="B71" s="5456"/>
      <c r="C71" s="22" t="s">
        <v>1504</v>
      </c>
      <c r="D71" s="54"/>
      <c r="E71" s="54"/>
      <c r="F71" s="54"/>
      <c r="G71" s="54"/>
      <c r="H71" s="54"/>
      <c r="I71" s="2728"/>
      <c r="J71" s="60" t="s">
        <v>1505</v>
      </c>
      <c r="K71" s="2126" t="s">
        <v>229</v>
      </c>
      <c r="L71" s="969" t="str">
        <f>IF(R71&lt;&gt;"",R71,IF(R16="","",IF(C65="X","",SUM(J44,-L68))))</f>
        <v/>
      </c>
      <c r="M71" s="319"/>
      <c r="N71" s="476"/>
      <c r="O71" s="224"/>
      <c r="P71" s="22"/>
      <c r="Q71" s="22"/>
      <c r="R71" s="259"/>
      <c r="S71" s="22"/>
      <c r="T71" s="22"/>
      <c r="U71" s="22"/>
      <c r="V71" s="22"/>
      <c r="W71" s="22"/>
    </row>
    <row r="72" spans="1:23" ht="12.75" customHeight="1" thickBot="1">
      <c r="A72" s="66"/>
      <c r="B72" s="5535"/>
      <c r="C72" s="961"/>
      <c r="D72" s="63"/>
      <c r="E72" s="63"/>
      <c r="F72" s="63"/>
      <c r="G72" s="63"/>
      <c r="H72" s="63"/>
      <c r="I72" s="5497"/>
      <c r="J72" s="63"/>
      <c r="K72" s="5497"/>
      <c r="L72" s="63"/>
      <c r="M72" s="64"/>
      <c r="N72" s="477"/>
      <c r="O72" s="54"/>
      <c r="P72" s="22"/>
      <c r="Q72" s="22"/>
      <c r="R72" s="22"/>
      <c r="S72" s="22"/>
      <c r="T72" s="22"/>
      <c r="U72" s="22"/>
      <c r="V72" s="22"/>
      <c r="W72" s="22"/>
    </row>
    <row r="73" spans="1:23" ht="17.25" customHeight="1">
      <c r="A73" s="66"/>
      <c r="B73" s="5456"/>
      <c r="C73" s="22"/>
      <c r="D73" s="2916"/>
      <c r="E73" s="2916"/>
      <c r="F73" s="2916" t="s">
        <v>1506</v>
      </c>
      <c r="G73" s="2916"/>
      <c r="H73" s="2916"/>
      <c r="I73" s="2916"/>
      <c r="J73" s="54"/>
      <c r="K73" s="2728"/>
      <c r="L73" s="54"/>
      <c r="M73" s="91"/>
      <c r="N73" s="476"/>
      <c r="O73" s="54"/>
      <c r="P73" s="22"/>
      <c r="Q73" s="22"/>
      <c r="R73" s="22"/>
      <c r="S73" s="22"/>
      <c r="T73" s="22"/>
      <c r="U73" s="22"/>
      <c r="V73" s="22"/>
      <c r="W73" s="22"/>
    </row>
    <row r="74" spans="1:23" ht="12" customHeight="1">
      <c r="A74" s="66"/>
      <c r="B74" s="5456"/>
      <c r="C74" s="22"/>
      <c r="D74" s="54"/>
      <c r="E74" s="54"/>
      <c r="F74" s="54"/>
      <c r="G74" s="54"/>
      <c r="H74" s="54"/>
      <c r="I74" s="2728"/>
      <c r="J74" s="1630">
        <v>35387</v>
      </c>
      <c r="K74" s="2728"/>
      <c r="L74" s="489" t="s">
        <v>1507</v>
      </c>
      <c r="M74" s="91"/>
      <c r="N74" s="476"/>
      <c r="O74" s="54"/>
      <c r="P74" s="22"/>
      <c r="Q74" s="22"/>
      <c r="R74" s="22"/>
      <c r="S74" s="22"/>
      <c r="T74" s="22"/>
      <c r="U74" s="22"/>
      <c r="V74" s="22"/>
      <c r="W74" s="22"/>
    </row>
    <row r="75" spans="1:23">
      <c r="A75" s="66"/>
      <c r="B75" s="5456"/>
      <c r="C75" s="22"/>
      <c r="D75" s="88"/>
      <c r="E75" s="88"/>
      <c r="F75" s="2728"/>
      <c r="G75" s="59" t="s">
        <v>1508</v>
      </c>
      <c r="H75" s="59"/>
      <c r="I75" s="2728"/>
      <c r="J75" s="54"/>
      <c r="K75" s="54"/>
      <c r="L75" s="489" t="s">
        <v>1509</v>
      </c>
      <c r="M75" s="91"/>
      <c r="N75" s="477"/>
      <c r="O75" s="54"/>
      <c r="P75" s="22"/>
      <c r="Q75" s="22"/>
      <c r="R75" s="22"/>
      <c r="S75" s="22"/>
      <c r="T75" s="22"/>
      <c r="U75" s="22"/>
      <c r="V75" s="22"/>
      <c r="W75" s="22"/>
    </row>
    <row r="76" spans="1:23">
      <c r="A76" s="66"/>
      <c r="B76" s="5456"/>
      <c r="C76" s="22"/>
      <c r="D76" s="104" t="s">
        <v>1510</v>
      </c>
      <c r="E76" s="104"/>
      <c r="F76" s="2916" t="s">
        <v>1511</v>
      </c>
      <c r="G76" s="6961">
        <f>J74+1</f>
        <v>35388</v>
      </c>
      <c r="H76" s="6962"/>
      <c r="I76" s="2916" t="s">
        <v>1512</v>
      </c>
      <c r="J76" s="6961">
        <f>J74</f>
        <v>35387</v>
      </c>
      <c r="K76" s="6962"/>
      <c r="L76" s="489" t="s">
        <v>1513</v>
      </c>
      <c r="M76" s="91"/>
      <c r="N76" s="476"/>
      <c r="O76" s="54"/>
      <c r="P76" s="22"/>
      <c r="Q76" s="22"/>
      <c r="R76" s="22"/>
      <c r="S76" s="22"/>
      <c r="T76" s="22"/>
      <c r="U76" s="22"/>
      <c r="V76" s="22"/>
      <c r="W76" s="22"/>
    </row>
    <row r="77" spans="1:23" ht="12" customHeight="1">
      <c r="A77" s="66"/>
      <c r="B77" s="5456"/>
      <c r="C77" s="22"/>
      <c r="D77" s="5188" t="s">
        <v>1514</v>
      </c>
      <c r="E77" s="5536"/>
      <c r="F77" s="5537" t="s">
        <v>1515</v>
      </c>
      <c r="G77" s="5537"/>
      <c r="H77" s="5538"/>
      <c r="I77" s="2728"/>
      <c r="J77" s="5539" t="s">
        <v>1516</v>
      </c>
      <c r="K77" s="5475"/>
      <c r="L77" s="489" t="s">
        <v>1517</v>
      </c>
      <c r="M77" s="91"/>
      <c r="N77" s="476"/>
      <c r="O77" s="54"/>
      <c r="P77" s="22"/>
      <c r="Q77" s="22"/>
      <c r="R77" s="22"/>
      <c r="S77" s="22"/>
      <c r="T77" s="22"/>
      <c r="U77" s="22"/>
      <c r="V77" s="22"/>
      <c r="W77" s="22"/>
    </row>
    <row r="78" spans="1:23" ht="5.25" customHeight="1">
      <c r="A78" s="66"/>
      <c r="B78" s="5456"/>
      <c r="C78" s="22"/>
      <c r="D78" s="104"/>
      <c r="E78" s="5536"/>
      <c r="F78" s="4427"/>
      <c r="G78" s="4427"/>
      <c r="H78" s="2917"/>
      <c r="I78" s="2728"/>
      <c r="J78" s="5475"/>
      <c r="K78" s="5475"/>
      <c r="L78" s="5475"/>
      <c r="M78" s="91"/>
      <c r="N78" s="476"/>
      <c r="O78" s="54"/>
      <c r="P78" s="22"/>
      <c r="Q78" s="22"/>
      <c r="R78" s="22"/>
      <c r="S78" s="22"/>
      <c r="T78" s="22"/>
      <c r="U78" s="22"/>
      <c r="V78" s="22"/>
      <c r="W78" s="22"/>
    </row>
    <row r="79" spans="1:23">
      <c r="A79" s="66"/>
      <c r="B79" s="5456"/>
      <c r="C79" s="22"/>
      <c r="D79" s="88" t="str">
        <f>(E80-1)&amp;" or under"</f>
        <v>55 or under</v>
      </c>
      <c r="E79" s="5536"/>
      <c r="F79" s="5495"/>
      <c r="G79" s="90">
        <v>300</v>
      </c>
      <c r="H79" s="218"/>
      <c r="I79" s="2728"/>
      <c r="J79" s="90">
        <v>360</v>
      </c>
      <c r="K79" s="90"/>
      <c r="L79" s="480"/>
      <c r="M79" s="91"/>
      <c r="N79" s="476"/>
      <c r="O79" s="54"/>
      <c r="P79" s="22"/>
      <c r="Q79" s="22"/>
      <c r="R79" s="22"/>
      <c r="S79" s="22"/>
      <c r="T79" s="22"/>
      <c r="U79" s="22"/>
      <c r="V79" s="22"/>
      <c r="W79" s="22"/>
    </row>
    <row r="80" spans="1:23">
      <c r="A80" s="66"/>
      <c r="B80" s="5456"/>
      <c r="C80" s="22"/>
      <c r="D80" s="88" t="str">
        <f>E80&amp;"--"&amp;(E80+4)</f>
        <v>56--60</v>
      </c>
      <c r="E80" s="481">
        <v>56</v>
      </c>
      <c r="F80" s="5495"/>
      <c r="G80" s="90">
        <v>260</v>
      </c>
      <c r="H80" s="218"/>
      <c r="I80" s="2728"/>
      <c r="J80" s="90">
        <v>310</v>
      </c>
      <c r="K80" s="90"/>
      <c r="L80" s="489"/>
      <c r="M80" s="91"/>
      <c r="N80" s="476"/>
      <c r="O80" s="54"/>
      <c r="P80" s="22"/>
      <c r="Q80" s="22"/>
      <c r="R80" s="22"/>
      <c r="S80" s="22"/>
      <c r="T80" s="22"/>
      <c r="U80" s="22"/>
      <c r="V80" s="22"/>
      <c r="W80" s="22"/>
    </row>
    <row r="81" spans="1:23">
      <c r="A81" s="66"/>
      <c r="B81" s="5456"/>
      <c r="C81" s="22"/>
      <c r="D81" s="88" t="str">
        <f>E81&amp;"--"&amp;(E81+4)</f>
        <v>61--65</v>
      </c>
      <c r="E81" s="481">
        <v>61</v>
      </c>
      <c r="F81" s="484"/>
      <c r="G81" s="90">
        <v>240</v>
      </c>
      <c r="H81" s="218"/>
      <c r="I81" s="2728"/>
      <c r="J81" s="90">
        <v>260</v>
      </c>
      <c r="K81" s="90"/>
      <c r="L81" s="489"/>
      <c r="M81" s="91"/>
      <c r="N81" s="5540"/>
      <c r="O81" s="54"/>
      <c r="P81" s="22"/>
      <c r="Q81" s="22"/>
      <c r="R81" s="22"/>
      <c r="S81" s="22"/>
      <c r="T81" s="22"/>
      <c r="U81" s="22"/>
      <c r="V81" s="22"/>
      <c r="W81" s="22"/>
    </row>
    <row r="82" spans="1:23" ht="13.5" customHeight="1">
      <c r="A82" s="66"/>
      <c r="B82" s="5456"/>
      <c r="C82" s="22"/>
      <c r="D82" s="88" t="str">
        <f>E82&amp;"--"&amp;(E82+4)</f>
        <v>66--70</v>
      </c>
      <c r="E82" s="481">
        <v>66</v>
      </c>
      <c r="F82" s="5495"/>
      <c r="G82" s="90">
        <v>170</v>
      </c>
      <c r="H82" s="218"/>
      <c r="I82" s="2728"/>
      <c r="J82" s="90">
        <v>210</v>
      </c>
      <c r="K82" s="90"/>
      <c r="L82" s="489"/>
      <c r="M82" s="91"/>
      <c r="N82" s="5541"/>
      <c r="O82" s="54"/>
      <c r="P82" s="22"/>
      <c r="Q82" s="22"/>
      <c r="R82" s="22"/>
      <c r="S82" s="22"/>
      <c r="T82" s="22"/>
      <c r="U82" s="22"/>
      <c r="V82" s="22"/>
      <c r="W82" s="22"/>
    </row>
    <row r="83" spans="1:23">
      <c r="A83" s="66"/>
      <c r="B83" s="5456"/>
      <c r="C83" s="22"/>
      <c r="D83" s="88" t="str">
        <f>E83&amp;" or older"</f>
        <v>71 or older</v>
      </c>
      <c r="E83" s="481">
        <v>71</v>
      </c>
      <c r="F83" s="5495"/>
      <c r="G83" s="90">
        <v>120</v>
      </c>
      <c r="H83" s="218"/>
      <c r="I83" s="2728"/>
      <c r="J83" s="90">
        <v>160</v>
      </c>
      <c r="K83" s="90"/>
      <c r="L83" s="90"/>
      <c r="M83" s="91"/>
      <c r="N83" s="478"/>
      <c r="O83" s="54"/>
      <c r="P83" s="22"/>
      <c r="Q83" s="22"/>
      <c r="R83" s="22"/>
      <c r="S83" s="22"/>
      <c r="T83" s="22"/>
      <c r="U83" s="22"/>
      <c r="V83" s="22"/>
      <c r="W83" s="22"/>
    </row>
    <row r="84" spans="1:23" ht="13.5" thickBot="1">
      <c r="A84" s="66"/>
      <c r="B84" s="5535"/>
      <c r="C84" s="34"/>
      <c r="D84" s="63"/>
      <c r="E84" s="63"/>
      <c r="F84" s="483"/>
      <c r="G84" s="4759">
        <f>IF(R28&lt;E80,G79,LOOKUP(R28,E80:E83,G80:G83))</f>
        <v>300</v>
      </c>
      <c r="H84" s="482"/>
      <c r="I84" s="5480"/>
      <c r="J84" s="4759">
        <f>IF(R28&lt;E80,J79,LOOKUP(R28,E80:E83,J80:J83))</f>
        <v>360</v>
      </c>
      <c r="K84" s="5497"/>
      <c r="L84" s="4757" t="str">
        <f>IF(OR(R16="",R28=""),"",IF(R16&gt;J74,J84,G84))</f>
        <v/>
      </c>
      <c r="M84" s="64"/>
      <c r="N84" s="478"/>
      <c r="O84" s="54"/>
      <c r="P84" s="22"/>
      <c r="Q84" s="22"/>
      <c r="R84" s="22"/>
      <c r="S84" s="22"/>
      <c r="T84" s="22"/>
      <c r="U84" s="22"/>
      <c r="V84" s="22"/>
      <c r="W84" s="22"/>
    </row>
    <row r="85" spans="1:23">
      <c r="A85" s="66"/>
      <c r="B85" s="5456"/>
      <c r="C85" s="22"/>
      <c r="D85" s="2916"/>
      <c r="E85" s="2916"/>
      <c r="F85" s="5542" t="s">
        <v>1518</v>
      </c>
      <c r="G85" s="2916"/>
      <c r="H85" s="2916"/>
      <c r="I85" s="2916"/>
      <c r="J85" s="1630">
        <v>35796</v>
      </c>
      <c r="K85" s="4758"/>
      <c r="L85" s="1454" t="b">
        <f>AND(Q22&lt;&gt;"",R16&gt;=J85)</f>
        <v>0</v>
      </c>
      <c r="M85" s="57"/>
      <c r="N85" s="478"/>
      <c r="O85" s="54"/>
      <c r="P85" s="22"/>
      <c r="Q85" s="22"/>
      <c r="R85" s="22"/>
      <c r="S85" s="22"/>
      <c r="T85" s="22"/>
      <c r="U85" s="22"/>
      <c r="V85" s="22"/>
      <c r="W85" s="22"/>
    </row>
    <row r="86" spans="1:23">
      <c r="A86" s="66"/>
      <c r="B86" s="5456"/>
      <c r="C86" s="22"/>
      <c r="D86" s="54"/>
      <c r="E86" s="54"/>
      <c r="F86" s="54"/>
      <c r="G86" s="54"/>
      <c r="H86" s="54"/>
      <c r="I86" s="2728"/>
      <c r="J86" s="54"/>
      <c r="K86" s="2728"/>
      <c r="L86" s="480"/>
      <c r="M86" s="57"/>
      <c r="N86" s="478"/>
      <c r="O86" s="54"/>
      <c r="P86" s="22"/>
      <c r="Q86" s="22"/>
      <c r="R86" s="22"/>
      <c r="S86" s="22"/>
      <c r="T86" s="22"/>
      <c r="U86" s="22"/>
      <c r="V86" s="22"/>
      <c r="W86" s="22"/>
    </row>
    <row r="87" spans="1:23">
      <c r="A87" s="66"/>
      <c r="B87" s="93"/>
      <c r="C87" s="516" t="s">
        <v>1519</v>
      </c>
      <c r="D87" s="104"/>
      <c r="E87" s="104"/>
      <c r="F87" s="104"/>
      <c r="G87" s="104"/>
      <c r="H87" s="104"/>
      <c r="I87" s="2728"/>
      <c r="J87" s="59"/>
      <c r="K87" s="2728"/>
      <c r="L87" s="480"/>
      <c r="M87" s="57"/>
      <c r="N87" s="478"/>
      <c r="O87" s="54"/>
      <c r="P87" s="22"/>
      <c r="Q87" s="22"/>
      <c r="R87" s="22"/>
      <c r="S87" s="22"/>
      <c r="T87" s="22"/>
      <c r="U87" s="22"/>
      <c r="V87" s="22"/>
      <c r="W87" s="22"/>
    </row>
    <row r="88" spans="1:23">
      <c r="A88" s="66"/>
      <c r="B88" s="5543"/>
      <c r="C88" s="5187"/>
      <c r="D88" s="5188" t="s">
        <v>1520</v>
      </c>
      <c r="E88" s="310"/>
      <c r="F88" s="310"/>
      <c r="G88" s="310"/>
      <c r="H88" s="310"/>
      <c r="I88" s="5189" t="s">
        <v>1521</v>
      </c>
      <c r="J88" s="87"/>
      <c r="K88" s="5189"/>
      <c r="L88" s="480"/>
      <c r="M88" s="5544"/>
      <c r="N88" s="476"/>
      <c r="O88" s="54"/>
      <c r="P88" s="22"/>
      <c r="Q88" s="22"/>
      <c r="R88" s="22"/>
      <c r="S88" s="22"/>
      <c r="T88" s="22"/>
      <c r="U88" s="22"/>
      <c r="V88" s="22"/>
      <c r="W88" s="22"/>
    </row>
    <row r="89" spans="1:23" ht="13.5" customHeight="1">
      <c r="A89" s="66"/>
      <c r="B89" s="93"/>
      <c r="C89" s="92"/>
      <c r="D89" s="88" t="str">
        <f>(E90-1)&amp;" or under"</f>
        <v>110 or under</v>
      </c>
      <c r="E89" s="88"/>
      <c r="F89" s="88"/>
      <c r="G89" s="88"/>
      <c r="H89" s="88"/>
      <c r="I89" s="218"/>
      <c r="J89" s="90">
        <v>410</v>
      </c>
      <c r="K89" s="2728"/>
      <c r="L89" s="480"/>
      <c r="M89" s="474"/>
      <c r="N89" s="476"/>
      <c r="O89" s="54"/>
      <c r="P89" s="22"/>
      <c r="Q89" s="22"/>
      <c r="R89" s="22"/>
      <c r="S89" s="22"/>
      <c r="T89" s="22"/>
      <c r="U89" s="22"/>
      <c r="V89" s="22"/>
      <c r="W89" s="22"/>
    </row>
    <row r="90" spans="1:23">
      <c r="A90" s="66"/>
      <c r="B90" s="93"/>
      <c r="C90" s="92"/>
      <c r="D90" s="88" t="str">
        <f>E90&amp;"--"&amp;E90+9</f>
        <v>111--120</v>
      </c>
      <c r="E90" s="481">
        <v>111</v>
      </c>
      <c r="F90" s="88"/>
      <c r="G90" s="88"/>
      <c r="H90" s="88"/>
      <c r="I90" s="218"/>
      <c r="J90" s="90">
        <v>360</v>
      </c>
      <c r="K90" s="2728"/>
      <c r="L90" s="90"/>
      <c r="M90" s="91"/>
      <c r="N90" s="476"/>
      <c r="O90" s="54"/>
      <c r="P90" s="22"/>
      <c r="Q90" s="22"/>
      <c r="R90" s="22"/>
      <c r="S90" s="22"/>
      <c r="T90" s="22"/>
      <c r="U90" s="22"/>
      <c r="V90" s="22"/>
      <c r="W90" s="22"/>
    </row>
    <row r="91" spans="1:23">
      <c r="A91" s="66"/>
      <c r="B91" s="93"/>
      <c r="C91" s="92"/>
      <c r="D91" s="88" t="str">
        <f>E91&amp;"--"&amp;E91+9</f>
        <v>121--130</v>
      </c>
      <c r="E91" s="481">
        <v>121</v>
      </c>
      <c r="F91" s="88"/>
      <c r="G91" s="88"/>
      <c r="H91" s="88"/>
      <c r="I91" s="218"/>
      <c r="J91" s="90">
        <v>310</v>
      </c>
      <c r="K91" s="2728"/>
      <c r="L91" s="90"/>
      <c r="M91" s="91"/>
      <c r="N91" s="476"/>
      <c r="O91" s="54"/>
      <c r="P91" s="22"/>
      <c r="Q91" s="22"/>
      <c r="R91" s="22"/>
      <c r="S91" s="22"/>
      <c r="T91" s="22"/>
      <c r="U91" s="22"/>
      <c r="V91" s="22"/>
      <c r="W91" s="22"/>
    </row>
    <row r="92" spans="1:23">
      <c r="A92" s="66"/>
      <c r="B92" s="93"/>
      <c r="C92" s="92"/>
      <c r="D92" s="88" t="str">
        <f>E92&amp;"--"&amp;E92+9</f>
        <v>131--140</v>
      </c>
      <c r="E92" s="481">
        <v>131</v>
      </c>
      <c r="F92" s="88"/>
      <c r="G92" s="88"/>
      <c r="H92" s="88"/>
      <c r="I92" s="218"/>
      <c r="J92" s="90">
        <v>260</v>
      </c>
      <c r="K92" s="2728"/>
      <c r="L92" s="90"/>
      <c r="M92" s="91"/>
      <c r="N92" s="5540"/>
      <c r="O92" s="54"/>
      <c r="P92" s="22"/>
      <c r="Q92" s="22"/>
      <c r="R92" s="22"/>
      <c r="S92" s="22"/>
      <c r="T92" s="22"/>
      <c r="U92" s="22"/>
      <c r="V92" s="22"/>
      <c r="W92" s="22"/>
    </row>
    <row r="93" spans="1:23">
      <c r="A93" s="66"/>
      <c r="B93" s="93"/>
      <c r="C93" s="92"/>
      <c r="D93" s="88" t="str">
        <f>E93&amp;" or older"</f>
        <v>141 or older</v>
      </c>
      <c r="E93" s="481">
        <v>141</v>
      </c>
      <c r="F93" s="88"/>
      <c r="G93" s="88"/>
      <c r="H93" s="88"/>
      <c r="I93" s="218"/>
      <c r="J93" s="90">
        <v>210</v>
      </c>
      <c r="K93" s="2728"/>
      <c r="L93" s="90"/>
      <c r="M93" s="91"/>
      <c r="N93" s="478"/>
      <c r="O93" s="54"/>
      <c r="P93" s="22"/>
      <c r="Q93" s="22"/>
      <c r="R93" s="22"/>
      <c r="S93" s="22"/>
      <c r="T93" s="22"/>
      <c r="U93" s="22"/>
      <c r="V93" s="22"/>
      <c r="W93" s="22"/>
    </row>
    <row r="94" spans="1:23" ht="13.5" thickBot="1">
      <c r="A94" s="66"/>
      <c r="B94" s="5535"/>
      <c r="C94" s="34"/>
      <c r="D94" s="63"/>
      <c r="E94" s="63"/>
      <c r="F94" s="63"/>
      <c r="G94" s="63"/>
      <c r="H94" s="63"/>
      <c r="I94" s="5497"/>
      <c r="J94" s="4757" t="str">
        <f>IF(OR(Q22="",R28=""),"",IF(R28&lt;E90,J89,LOOKUP(R28,E90:E93,J90:J93)))</f>
        <v/>
      </c>
      <c r="K94" s="5497"/>
      <c r="L94" s="63"/>
      <c r="M94" s="64"/>
      <c r="N94" s="478"/>
      <c r="O94" s="54"/>
      <c r="P94" s="22"/>
      <c r="Q94" s="22"/>
      <c r="R94" s="22"/>
      <c r="S94" s="22"/>
      <c r="T94" s="22"/>
      <c r="U94" s="22"/>
      <c r="V94" s="22"/>
      <c r="W94" s="22"/>
    </row>
    <row r="95" spans="1:23" ht="9.75" customHeight="1">
      <c r="A95" s="66"/>
      <c r="B95" s="496"/>
      <c r="C95" s="5545"/>
      <c r="D95" s="497"/>
      <c r="E95" s="497"/>
      <c r="F95" s="497"/>
      <c r="G95" s="497"/>
      <c r="H95" s="497"/>
      <c r="I95" s="5546"/>
      <c r="J95" s="476"/>
      <c r="K95" s="5547"/>
      <c r="L95" s="476"/>
      <c r="M95" s="476"/>
      <c r="N95" s="478"/>
      <c r="O95" s="54"/>
      <c r="P95" s="22"/>
      <c r="Q95" s="22"/>
      <c r="R95" s="22"/>
      <c r="S95" s="22"/>
      <c r="T95" s="22"/>
      <c r="U95" s="22"/>
      <c r="V95" s="22"/>
      <c r="W95" s="22"/>
    </row>
    <row r="96" spans="1:23" ht="12.75" customHeight="1">
      <c r="A96" s="5472"/>
      <c r="B96" s="5472"/>
      <c r="C96" s="5472"/>
      <c r="D96" s="72"/>
      <c r="E96" s="72"/>
      <c r="F96" s="72"/>
      <c r="G96" s="72"/>
      <c r="H96" s="72"/>
      <c r="I96" s="2728"/>
      <c r="J96" s="54"/>
      <c r="K96" s="2728"/>
      <c r="L96" s="54"/>
      <c r="M96" s="54"/>
      <c r="N96" s="54"/>
      <c r="O96" s="54"/>
      <c r="P96" s="22"/>
      <c r="Q96" s="22"/>
      <c r="R96" s="22"/>
      <c r="S96" s="22"/>
      <c r="T96" s="22"/>
      <c r="U96" s="54"/>
      <c r="V96" s="22"/>
      <c r="W96" s="22"/>
    </row>
    <row r="97" spans="4:4" ht="13.5" customHeight="1"/>
    <row r="98" spans="4:4" ht="14.25" customHeight="1"/>
    <row r="100" spans="4:4" ht="13.5" thickBot="1"/>
    <row r="101" spans="4:4">
      <c r="D101" s="6952" t="s">
        <v>46</v>
      </c>
    </row>
    <row r="102" spans="4:4">
      <c r="D102" s="6953"/>
    </row>
    <row r="103" spans="4:4" ht="13.5" thickBot="1">
      <c r="D103" s="6954"/>
    </row>
  </sheetData>
  <sheetProtection algorithmName="SHA-512" hashValue="CDZzLJaNO4q3n7LcKj9UO8kKbg9lzappySmRGpjovEelxa/Zfhb0XBDcl/Q7Q9BARw0mgdDf6UqKN2sgIlviKA==" saltValue="MlGqSRcZTovLTSyIkolx1Q==" spinCount="100000"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2" type="noConversion"/>
  <conditionalFormatting sqref="B38">
    <cfRule type="expression" dxfId="2750" priority="5">
      <formula>IF($L$43="",1,0)</formula>
    </cfRule>
  </conditionalFormatting>
  <conditionalFormatting sqref="B41">
    <cfRule type="expression" dxfId="2749" priority="1">
      <formula>($L$43="")</formula>
    </cfRule>
  </conditionalFormatting>
  <conditionalFormatting sqref="C65">
    <cfRule type="expression" dxfId="2748" priority="3">
      <formula>NoColor</formula>
    </cfRule>
  </conditionalFormatting>
  <conditionalFormatting sqref="C67">
    <cfRule type="expression" dxfId="2747" priority="2">
      <formula>NoColor</formula>
    </cfRule>
  </conditionalFormatting>
  <conditionalFormatting sqref="D65">
    <cfRule type="expression" dxfId="2746" priority="60" stopIfTrue="1">
      <formula>IF(C65="X",1,0)</formula>
    </cfRule>
  </conditionalFormatting>
  <conditionalFormatting sqref="G79:G83">
    <cfRule type="expression" dxfId="2745" priority="1529" stopIfTrue="1">
      <formula>IF(AND($L$85=FALSE,G79=$L$84,$R$16&lt;=$J$74),1,0)</formula>
    </cfRule>
  </conditionalFormatting>
  <conditionalFormatting sqref="J44">
    <cfRule type="expression" dxfId="2744" priority="35">
      <formula>IF(NoColor,1,0)</formula>
    </cfRule>
  </conditionalFormatting>
  <conditionalFormatting sqref="J50">
    <cfRule type="expression" dxfId="2743" priority="1531">
      <formula>IF(OR(R28="",AND(L84="",J94="")),1,0)</formula>
    </cfRule>
  </conditionalFormatting>
  <conditionalFormatting sqref="J50:J51">
    <cfRule type="expression" dxfId="2742" priority="41">
      <formula>IF(NoColor,1,0)</formula>
    </cfRule>
  </conditionalFormatting>
  <conditionalFormatting sqref="J54">
    <cfRule type="expression" dxfId="2741" priority="40">
      <formula>IF(NoColor,1,0)</formula>
    </cfRule>
  </conditionalFormatting>
  <conditionalFormatting sqref="J56:J57">
    <cfRule type="expression" dxfId="2740" priority="33">
      <formula>IF(NoColor,1,0)</formula>
    </cfRule>
  </conditionalFormatting>
  <conditionalFormatting sqref="J79:J83">
    <cfRule type="expression" dxfId="2739" priority="1530" stopIfTrue="1">
      <formula>IF(AND($L$85=FALSE,J79=$L$84,$R$16&gt;$J$74),1,0)</formula>
    </cfRule>
  </conditionalFormatting>
  <conditionalFormatting sqref="J89:J93">
    <cfRule type="expression" dxfId="2738" priority="1528" stopIfTrue="1">
      <formula>IF(AND($L$85=TRUE,J89=$J$94),1,0)</formula>
    </cfRule>
  </conditionalFormatting>
  <conditionalFormatting sqref="L43">
    <cfRule type="expression" dxfId="2737" priority="6">
      <formula>IF(NoColor,1,0)</formula>
    </cfRule>
  </conditionalFormatting>
  <conditionalFormatting sqref="L45:L46">
    <cfRule type="expression" dxfId="2736" priority="63" stopIfTrue="1">
      <formula>IF($K$46&lt;&gt;"",1,0)</formula>
    </cfRule>
  </conditionalFormatting>
  <conditionalFormatting sqref="L47:L49">
    <cfRule type="expression" dxfId="2735" priority="15" stopIfTrue="1">
      <formula>IF($R$52&lt;=12,1,0)</formula>
    </cfRule>
  </conditionalFormatting>
  <conditionalFormatting sqref="L50">
    <cfRule type="expression" dxfId="2734" priority="19" stopIfTrue="1">
      <formula>IF(AND($Q$46&lt;&gt;"",$L$51=""),1,0)</formula>
    </cfRule>
    <cfRule type="expression" dxfId="2733" priority="20">
      <formula>IF(AND($Q$46&lt;&gt;"",$L$51&lt;&gt;""),1,0)</formula>
    </cfRule>
  </conditionalFormatting>
  <conditionalFormatting sqref="L51">
    <cfRule type="expression" dxfId="2732" priority="14">
      <formula>IF($Q$46="",1,0)</formula>
    </cfRule>
    <cfRule type="expression" dxfId="2731" priority="34">
      <formula>IF(NoColor,1,0)</formula>
    </cfRule>
  </conditionalFormatting>
  <conditionalFormatting sqref="L52:L55">
    <cfRule type="expression" dxfId="2730" priority="10" stopIfTrue="1">
      <formula>IF($R$52&lt;=12,1,0)</formula>
    </cfRule>
  </conditionalFormatting>
  <conditionalFormatting sqref="L58">
    <cfRule type="expression" dxfId="2729" priority="38">
      <formula>IF(NoColor,1,0)</formula>
    </cfRule>
  </conditionalFormatting>
  <conditionalFormatting sqref="L62">
    <cfRule type="expression" dxfId="2728" priority="37">
      <formula>IF(NoColor,1,0)</formula>
    </cfRule>
  </conditionalFormatting>
  <conditionalFormatting sqref="L68:L71">
    <cfRule type="expression" dxfId="2727" priority="36">
      <formula>IF(NoColor,1,0)</formula>
    </cfRule>
  </conditionalFormatting>
  <conditionalFormatting sqref="L74:L77">
    <cfRule type="expression" dxfId="2726" priority="1267" stopIfTrue="1">
      <formula>IF(OR($R$16="",$L$75=TRUE,$R$28&lt;&gt;""),1,0)</formula>
    </cfRule>
  </conditionalFormatting>
  <conditionalFormatting sqref="L79">
    <cfRule type="expression" dxfId="2725" priority="1564" stopIfTrue="1">
      <formula>IF(OR($L$85=TRUE,$R$77&lt;&gt;""),1,0)</formula>
    </cfRule>
  </conditionalFormatting>
  <conditionalFormatting sqref="L80:L82">
    <cfRule type="expression" dxfId="2724" priority="55" stopIfTrue="1">
      <formula>IF($R$16&lt;&gt;"",1,0)</formula>
    </cfRule>
  </conditionalFormatting>
  <conditionalFormatting sqref="L86:L89 M89">
    <cfRule type="expression" dxfId="2723" priority="1565" stopIfTrue="1">
      <formula>IF(OR($R$89&lt;&gt;"",$L$85=FALSE),1,0)</formula>
    </cfRule>
  </conditionalFormatting>
  <conditionalFormatting sqref="M50">
    <cfRule type="expression" dxfId="2722" priority="21" stopIfTrue="1">
      <formula>IF($R$52&lt;=12,1,0)</formula>
    </cfRule>
  </conditionalFormatting>
  <conditionalFormatting sqref="M52:M53">
    <cfRule type="expression" dxfId="2721" priority="4" stopIfTrue="1">
      <formula>IF($R$52&lt;=12,1,0)</formula>
    </cfRule>
  </conditionalFormatting>
  <conditionalFormatting sqref="M55 L56:M56">
    <cfRule type="expression" dxfId="2720" priority="46" stopIfTrue="1">
      <formula>IF($R$52&lt;=12,1,0)</formula>
    </cfRule>
  </conditionalFormatting>
  <conditionalFormatting sqref="P21 U21">
    <cfRule type="expression" dxfId="2719" priority="804" stopIfTrue="1">
      <formula>IF($R$16&lt;$J$75,1,0)</formula>
    </cfRule>
  </conditionalFormatting>
  <conditionalFormatting sqref="P22">
    <cfRule type="expression" dxfId="2718" priority="806" stopIfTrue="1">
      <formula>IF($R$16&lt;$J$75,1,0)</formula>
    </cfRule>
  </conditionalFormatting>
  <conditionalFormatting sqref="P25:U25">
    <cfRule type="expression" dxfId="2717" priority="807" stopIfTrue="1">
      <formula>IF($R$16&lt;$J$75,1,0)</formula>
    </cfRule>
  </conditionalFormatting>
  <conditionalFormatting sqref="Q22">
    <cfRule type="expression" dxfId="2716" priority="813" stopIfTrue="1">
      <formula>IF($R$16&lt;$J$83,1,0)</formula>
    </cfRule>
  </conditionalFormatting>
  <conditionalFormatting sqref="Q21:T21">
    <cfRule type="expression" dxfId="2715" priority="810" stopIfTrue="1">
      <formula>IF($R$16&lt;$J$75,1,0)</formula>
    </cfRule>
  </conditionalFormatting>
  <conditionalFormatting sqref="R22 T22 P23:P24">
    <cfRule type="expression" dxfId="2714" priority="811" stopIfTrue="1">
      <formula>IF($R$16&lt;$J$83,1,0)</formula>
    </cfRule>
  </conditionalFormatting>
  <conditionalFormatting sqref="S22">
    <cfRule type="expression" dxfId="2713" priority="814" stopIfTrue="1">
      <formula>IF($R$16&lt;$J$83,1,0)</formula>
    </cfRule>
  </conditionalFormatting>
  <conditionalFormatting sqref="U22:U24">
    <cfRule type="expression" dxfId="2712" priority="808" stopIfTrue="1">
      <formula>IF($R$16&lt;$J$75,1,0)</formula>
    </cfRule>
  </conditionalFormatting>
  <hyperlinks>
    <hyperlink ref="D101:D103" location="'Table of Contents'!A1" display="Table of Contents" xr:uid="{00000000-0004-0000-1400-000000000000}"/>
  </hyperlinks>
  <pageMargins left="0.75" right="0.25" top="0.36" bottom="0.28999999999999998" header="0.36" footer="0.21"/>
  <pageSetup scale="84"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pageSetUpPr fitToPage="1"/>
  </sheetPr>
  <dimension ref="A1:AA57"/>
  <sheetViews>
    <sheetView zoomScaleNormal="100" workbookViewId="0"/>
  </sheetViews>
  <sheetFormatPr defaultColWidth="9.140625" defaultRowHeight="12.75"/>
  <cols>
    <col min="1" max="1" width="2.42578125" style="39" customWidth="1"/>
    <col min="2" max="2" width="1.5703125" style="39" customWidth="1"/>
    <col min="3" max="3" width="3.5703125" style="39" customWidth="1"/>
    <col min="4" max="4" width="2.28515625" style="39" customWidth="1"/>
    <col min="5" max="5" width="51.5703125" style="39" customWidth="1"/>
    <col min="6" max="6" width="7.7109375" style="39" customWidth="1"/>
    <col min="7" max="7" width="10" style="39" customWidth="1"/>
    <col min="8" max="8" width="11.140625" style="39" customWidth="1"/>
    <col min="9" max="9" width="4.28515625" style="39" customWidth="1"/>
    <col min="10" max="10" width="16.42578125" style="39" customWidth="1"/>
    <col min="11" max="13" width="2.140625" style="39" customWidth="1"/>
    <col min="14" max="14" width="2" style="39" customWidth="1"/>
    <col min="15" max="15" width="3.140625" style="39" customWidth="1"/>
    <col min="16" max="16" width="11.42578125" style="39" customWidth="1"/>
    <col min="17" max="17" width="9.7109375" style="39" customWidth="1"/>
    <col min="18" max="18" width="9.140625" style="39"/>
    <col min="19" max="19" width="12" style="2691" customWidth="1"/>
    <col min="20" max="21" width="9.140625" style="2690"/>
    <col min="22" max="22" width="10.140625" style="2690" bestFit="1" customWidth="1"/>
    <col min="23" max="26" width="9.140625" style="2690"/>
    <col min="27" max="16384" width="9.140625" style="39"/>
  </cols>
  <sheetData>
    <row r="1" spans="1:27" ht="16.5" customHeight="1">
      <c r="A1" s="66"/>
      <c r="B1" s="66"/>
      <c r="C1" s="66"/>
      <c r="D1" s="66"/>
      <c r="E1" s="66"/>
      <c r="F1" s="66"/>
      <c r="G1" s="66"/>
      <c r="H1" s="66"/>
      <c r="I1" s="66"/>
      <c r="J1" s="66"/>
      <c r="K1" s="66"/>
      <c r="L1" s="66"/>
      <c r="M1" s="22"/>
      <c r="N1" s="54"/>
      <c r="O1" s="22"/>
      <c r="P1" s="22"/>
      <c r="Q1" s="22"/>
      <c r="R1" s="22"/>
      <c r="S1" s="2395" t="s">
        <v>241</v>
      </c>
      <c r="T1" s="2038"/>
      <c r="U1" s="2038"/>
      <c r="V1" s="2038"/>
      <c r="W1" s="2038"/>
      <c r="X1" s="2038"/>
      <c r="Y1" s="2038"/>
      <c r="Z1" s="2038"/>
      <c r="AA1" s="866"/>
    </row>
    <row r="2" spans="1:27" ht="37.5" customHeight="1" thickBot="1">
      <c r="A2" s="66"/>
      <c r="B2" s="22"/>
      <c r="C2" s="2426" t="s">
        <v>1522</v>
      </c>
      <c r="D2" s="5497"/>
      <c r="E2" s="34"/>
      <c r="F2" s="5497"/>
      <c r="G2" s="5548"/>
      <c r="H2" s="499" t="s">
        <v>1057</v>
      </c>
      <c r="I2" s="499"/>
      <c r="J2" s="500"/>
      <c r="K2" s="5549"/>
      <c r="L2" s="5550"/>
      <c r="M2" s="5549"/>
      <c r="N2" s="54"/>
      <c r="O2" s="22"/>
      <c r="P2" s="22"/>
      <c r="Q2" s="22"/>
      <c r="R2" s="22"/>
      <c r="S2" s="2692" t="s">
        <v>251</v>
      </c>
      <c r="T2" s="2038"/>
      <c r="U2" s="2038"/>
      <c r="V2" s="2038"/>
      <c r="W2" s="2038"/>
      <c r="X2" s="2038"/>
      <c r="Y2" s="2038"/>
      <c r="Z2" s="2038"/>
      <c r="AA2" s="866"/>
    </row>
    <row r="3" spans="1:27" ht="18.75" customHeight="1">
      <c r="A3" s="505"/>
      <c r="B3" s="506"/>
      <c r="C3" s="2558" t="s">
        <v>1058</v>
      </c>
      <c r="D3" s="2558"/>
      <c r="E3" s="200"/>
      <c r="F3" s="2558"/>
      <c r="G3" s="201"/>
      <c r="H3" s="201"/>
      <c r="I3" s="202"/>
      <c r="J3" s="54"/>
      <c r="K3" s="56"/>
      <c r="L3" s="476"/>
      <c r="M3" s="54"/>
      <c r="N3" s="289"/>
      <c r="O3" s="2562" t="str">
        <f>IF(File_Marr_Sep="","",IF(LivedApartAnswered,"You have indicated on","Be sure to indicate on"))</f>
        <v/>
      </c>
      <c r="P3" s="49"/>
      <c r="Q3" s="47"/>
      <c r="R3" s="22"/>
      <c r="S3" s="2396"/>
      <c r="T3" s="2038"/>
      <c r="U3" s="2038"/>
      <c r="V3" s="2038"/>
      <c r="W3" s="2038"/>
      <c r="X3" s="2038"/>
      <c r="Y3" s="2038"/>
      <c r="Z3" s="2038"/>
      <c r="AA3" s="866"/>
    </row>
    <row r="4" spans="1:27" ht="13.5" customHeight="1">
      <c r="A4" s="66"/>
      <c r="B4" s="50"/>
      <c r="C4" s="199" t="s">
        <v>1059</v>
      </c>
      <c r="D4" s="2728"/>
      <c r="E4" s="44" t="s">
        <v>1097</v>
      </c>
      <c r="F4" s="5551"/>
      <c r="G4" s="202"/>
      <c r="H4" s="202"/>
      <c r="I4" s="108"/>
      <c r="J4" s="54"/>
      <c r="K4" s="57"/>
      <c r="L4" s="476"/>
      <c r="M4" s="54"/>
      <c r="N4" s="1838"/>
      <c r="O4" s="2562" t="str">
        <f>IF(File_Marr_Sep="","",IF(LivedApartAnswered,"on Form 1040 that you have","Form 1040 whether you have"))</f>
        <v/>
      </c>
      <c r="P4" s="502"/>
      <c r="Q4" s="1395"/>
      <c r="R4" s="22"/>
      <c r="S4" s="2396"/>
      <c r="T4" s="2038"/>
      <c r="U4" s="2038"/>
      <c r="V4" s="2038"/>
      <c r="W4" s="2038"/>
      <c r="X4" s="2038"/>
      <c r="Y4" s="2038"/>
      <c r="Z4" s="2038"/>
      <c r="AA4" s="866"/>
    </row>
    <row r="5" spans="1:27" ht="13.5" customHeight="1">
      <c r="A5" s="66"/>
      <c r="B5" s="50"/>
      <c r="C5" s="199"/>
      <c r="D5" s="2728"/>
      <c r="E5" s="44" t="s">
        <v>1098</v>
      </c>
      <c r="F5" s="5551"/>
      <c r="G5" s="202"/>
      <c r="H5" s="202"/>
      <c r="I5" s="108"/>
      <c r="J5" s="54"/>
      <c r="K5" s="57"/>
      <c r="L5" s="476"/>
      <c r="M5" s="54"/>
      <c r="N5" s="1838"/>
      <c r="O5" s="2562" t="str">
        <f>IF(AND(File_Marr_Sep&lt;&gt;"",NOT(LivedApartAnswered)),"lived apart",IF(AND(File_Marr_Sep&lt;&gt;"",LivedApart),"LIVED APART",IF(AND(File_Marr_Sep&lt;&gt;"",NOT(LivedApart)),"NOT LIVED APART","")))</f>
        <v/>
      </c>
      <c r="P5" s="2560"/>
      <c r="Q5" s="1395"/>
      <c r="R5" s="22"/>
      <c r="S5" s="2396"/>
      <c r="T5" s="2038"/>
      <c r="U5" s="2038"/>
      <c r="V5" s="2038"/>
      <c r="W5" s="2038"/>
      <c r="X5" s="2038"/>
      <c r="Y5" s="2038"/>
      <c r="Z5" s="2038"/>
      <c r="AA5" s="866"/>
    </row>
    <row r="6" spans="1:27" ht="13.5" customHeight="1">
      <c r="A6" s="66"/>
      <c r="B6" s="50"/>
      <c r="C6" s="199" t="s">
        <v>1059</v>
      </c>
      <c r="D6" s="2728"/>
      <c r="E6" s="45" t="str">
        <f>"If you are married filing separately and you lived apart from your spouse for all of "&amp;TaxYear&amp;", enter 'D' to"</f>
        <v>If you are married filing separately and you lived apart from your spouse for all of 2023, enter 'D' to</v>
      </c>
      <c r="F6" s="5551"/>
      <c r="G6" s="202"/>
      <c r="H6" s="202"/>
      <c r="I6" s="108"/>
      <c r="J6" s="490"/>
      <c r="K6" s="57"/>
      <c r="L6" s="476"/>
      <c r="M6" s="244"/>
      <c r="N6" s="1838"/>
      <c r="O6" s="2562" t="str">
        <f>IF(File_Marr_Sep&lt;&gt;"","from your spouse","")</f>
        <v/>
      </c>
      <c r="P6" s="502"/>
      <c r="Q6" s="1395"/>
      <c r="R6" s="22"/>
      <c r="S6" s="2396"/>
      <c r="T6" s="2038"/>
      <c r="U6" s="2038"/>
      <c r="V6" s="2038"/>
      <c r="W6" s="2038"/>
      <c r="X6" s="2038"/>
      <c r="Y6" s="2038"/>
      <c r="Z6" s="2038"/>
      <c r="AA6" s="866"/>
    </row>
    <row r="7" spans="1:27" ht="12" customHeight="1">
      <c r="A7" s="66"/>
      <c r="B7" s="50"/>
      <c r="C7" s="199"/>
      <c r="D7" s="2728"/>
      <c r="E7" s="44" t="s">
        <v>1523</v>
      </c>
      <c r="F7" s="5551"/>
      <c r="G7" s="202"/>
      <c r="H7" s="202"/>
      <c r="I7" s="108"/>
      <c r="J7" s="313"/>
      <c r="K7" s="314"/>
      <c r="L7" s="503"/>
      <c r="M7" s="244"/>
      <c r="N7" s="262"/>
      <c r="O7" s="2562" t="str">
        <f>IF(File_Marr_Sep&lt;&gt;"","for ALL of "&amp;TaxYear&amp;".","")</f>
        <v/>
      </c>
      <c r="P7" s="275"/>
      <c r="Q7" s="1395"/>
      <c r="R7" s="22"/>
      <c r="S7" s="2396"/>
      <c r="T7" s="2038"/>
      <c r="U7" s="2038"/>
      <c r="V7" s="2038"/>
      <c r="W7" s="2038"/>
      <c r="X7" s="2038"/>
      <c r="Y7" s="2038"/>
      <c r="Z7" s="2038"/>
      <c r="AA7" s="866"/>
    </row>
    <row r="8" spans="1:27" ht="11.25" customHeight="1">
      <c r="A8" s="66"/>
      <c r="B8" s="50"/>
      <c r="C8" s="199" t="s">
        <v>1059</v>
      </c>
      <c r="D8" s="2728"/>
      <c r="E8" s="44" t="s">
        <v>1524</v>
      </c>
      <c r="F8" s="5551"/>
      <c r="G8" s="202"/>
      <c r="H8" s="202"/>
      <c r="I8" s="108"/>
      <c r="J8" s="54"/>
      <c r="K8" s="57"/>
      <c r="L8" s="476"/>
      <c r="M8" s="54"/>
      <c r="N8" s="262"/>
      <c r="O8" s="2563" t="str">
        <f>IF(File_Marr_Sep&lt;&gt;"","-","")</f>
        <v/>
      </c>
      <c r="P8" s="2568" t="str">
        <f>IF(File_Marr_Sep="","",IF(LivedApartAnswered,"ANSWERED","NOT ANSWERED"))</f>
        <v/>
      </c>
      <c r="Q8" s="290"/>
      <c r="R8" s="22"/>
      <c r="S8" s="2396"/>
      <c r="T8" s="2038"/>
      <c r="U8" s="2038"/>
      <c r="V8" s="2038"/>
      <c r="W8" s="2038"/>
      <c r="X8" s="2038"/>
      <c r="Y8" s="2038"/>
      <c r="Z8" s="2038"/>
      <c r="AA8" s="866"/>
    </row>
    <row r="9" spans="1:27" ht="12" customHeight="1">
      <c r="A9" s="66"/>
      <c r="B9" s="50"/>
      <c r="C9" s="2728"/>
      <c r="D9" s="2728"/>
      <c r="E9" s="44" t="s">
        <v>1525</v>
      </c>
      <c r="F9" s="5551"/>
      <c r="G9" s="202"/>
      <c r="H9" s="202"/>
      <c r="I9" s="108"/>
      <c r="J9" s="54"/>
      <c r="K9" s="57"/>
      <c r="L9" s="476"/>
      <c r="M9" s="54"/>
      <c r="N9" s="40"/>
      <c r="O9" s="38"/>
      <c r="P9" s="38"/>
      <c r="Q9" s="42"/>
      <c r="R9" s="22"/>
      <c r="S9" s="2396"/>
      <c r="T9" s="2038"/>
      <c r="U9" s="2038"/>
      <c r="V9" s="2038"/>
      <c r="W9" s="2038"/>
      <c r="X9" s="2038"/>
      <c r="Y9" s="2038"/>
      <c r="Z9" s="2038"/>
      <c r="AA9" s="866"/>
    </row>
    <row r="10" spans="1:27" ht="5.25" customHeight="1">
      <c r="A10" s="66"/>
      <c r="B10" s="507"/>
      <c r="C10" s="95"/>
      <c r="D10" s="96"/>
      <c r="E10" s="2656"/>
      <c r="F10" s="97"/>
      <c r="G10" s="97"/>
      <c r="H10" s="97"/>
      <c r="I10" s="97"/>
      <c r="J10" s="87"/>
      <c r="K10" s="498"/>
      <c r="L10" s="476"/>
      <c r="M10" s="54"/>
      <c r="N10" s="22"/>
      <c r="O10" s="13"/>
      <c r="P10" s="6973" t="s">
        <v>1113</v>
      </c>
      <c r="Q10" s="22"/>
      <c r="R10" s="22"/>
      <c r="S10" s="2396"/>
      <c r="T10" s="2038"/>
      <c r="U10" s="2038"/>
      <c r="V10" s="2038"/>
      <c r="W10" s="2038"/>
      <c r="X10" s="2038"/>
      <c r="Y10" s="2038"/>
      <c r="Z10" s="2038"/>
      <c r="AA10" s="866"/>
    </row>
    <row r="11" spans="1:27" ht="6" customHeight="1">
      <c r="A11" s="66"/>
      <c r="B11" s="50"/>
      <c r="C11" s="357"/>
      <c r="D11" s="85"/>
      <c r="E11" s="358"/>
      <c r="F11" s="109"/>
      <c r="G11" s="109"/>
      <c r="H11" s="109"/>
      <c r="I11" s="109"/>
      <c r="J11" s="54"/>
      <c r="K11" s="57"/>
      <c r="L11" s="476"/>
      <c r="M11" s="54"/>
      <c r="N11" s="22"/>
      <c r="O11" s="22"/>
      <c r="P11" s="6847"/>
      <c r="Q11" s="22"/>
      <c r="R11" s="22"/>
      <c r="S11" s="2396"/>
      <c r="T11" s="2038"/>
      <c r="U11" s="2038"/>
      <c r="V11" s="2038"/>
      <c r="W11" s="2038"/>
      <c r="X11" s="2038"/>
      <c r="Y11" s="2038"/>
      <c r="Z11" s="2038"/>
      <c r="AA11" s="866"/>
    </row>
    <row r="12" spans="1:27" ht="12.75" customHeight="1">
      <c r="A12" s="66"/>
      <c r="B12" s="50"/>
      <c r="C12" s="2728">
        <v>1</v>
      </c>
      <c r="D12" s="196" t="s">
        <v>1526</v>
      </c>
      <c r="E12" s="54"/>
      <c r="F12" s="2728"/>
      <c r="G12" s="54"/>
      <c r="H12" s="54"/>
      <c r="I12" s="5457"/>
      <c r="J12" s="54"/>
      <c r="K12" s="57"/>
      <c r="L12" s="476"/>
      <c r="M12" s="54"/>
      <c r="N12" s="22"/>
      <c r="O12" s="22"/>
      <c r="P12" s="23" t="s">
        <v>1062</v>
      </c>
      <c r="Q12" s="22"/>
      <c r="R12" s="22"/>
      <c r="S12" s="2396"/>
      <c r="T12" s="2038"/>
      <c r="U12" s="2038"/>
      <c r="V12" s="2038"/>
      <c r="W12" s="2038"/>
      <c r="X12" s="2038"/>
      <c r="Y12" s="2038"/>
      <c r="Z12" s="2038"/>
      <c r="AA12" s="866"/>
    </row>
    <row r="13" spans="1:27" ht="12.75" customHeight="1">
      <c r="A13" s="66"/>
      <c r="B13" s="50"/>
      <c r="C13" s="2728"/>
      <c r="D13" s="395" t="s">
        <v>1527</v>
      </c>
      <c r="E13" s="54"/>
      <c r="F13" s="2728"/>
      <c r="G13" s="54"/>
      <c r="H13" s="54"/>
      <c r="I13" s="5457"/>
      <c r="J13" s="54"/>
      <c r="K13" s="57"/>
      <c r="L13" s="476"/>
      <c r="M13" s="54"/>
      <c r="N13" s="22"/>
      <c r="O13" s="22"/>
      <c r="P13" s="23"/>
      <c r="Q13" s="22"/>
      <c r="R13" s="22"/>
      <c r="S13" s="2932"/>
      <c r="T13" s="2038"/>
      <c r="U13" s="2038"/>
      <c r="V13" s="2038"/>
      <c r="W13" s="2038"/>
      <c r="X13" s="2038"/>
      <c r="Y13" s="2038"/>
      <c r="Z13" s="2038"/>
      <c r="AA13" s="866"/>
    </row>
    <row r="14" spans="1:27">
      <c r="A14" s="66"/>
      <c r="B14" s="50"/>
      <c r="C14" s="5472"/>
      <c r="D14" s="3299" t="s">
        <v>1528</v>
      </c>
      <c r="E14" s="54"/>
      <c r="F14" s="2916" t="s">
        <v>1529</v>
      </c>
      <c r="G14" s="6972">
        <f>IF(P14&lt;&gt;"",ROUND(P14,0),TotalSocSecBenefits)</f>
        <v>0</v>
      </c>
      <c r="H14" s="6828"/>
      <c r="I14" s="5457"/>
      <c r="J14" s="54"/>
      <c r="K14" s="57"/>
      <c r="L14" s="476"/>
      <c r="M14" s="54"/>
      <c r="N14" s="22"/>
      <c r="O14" s="22"/>
      <c r="P14" s="654"/>
      <c r="Q14" s="22"/>
      <c r="R14" s="22"/>
      <c r="S14" s="2552"/>
      <c r="T14" s="2038"/>
      <c r="U14" s="2038"/>
      <c r="V14" s="2038"/>
      <c r="W14" s="2038"/>
      <c r="X14" s="2038"/>
      <c r="Y14" s="2038"/>
      <c r="Z14" s="2038"/>
      <c r="AA14" s="866"/>
    </row>
    <row r="15" spans="1:27">
      <c r="A15" s="66"/>
      <c r="B15" s="50"/>
      <c r="C15" s="5472">
        <v>2</v>
      </c>
      <c r="D15" s="51" t="str">
        <f>"Multiply line 1 by "&amp;TEXT(P15,"0%")&amp;" ("&amp;TEXT(P15,"0.00")&amp;")"</f>
        <v>Multiply line 1 by 50% (0.50)</v>
      </c>
      <c r="E15" s="54"/>
      <c r="F15" s="2728"/>
      <c r="G15" s="54"/>
      <c r="H15" s="60" t="s">
        <v>1530</v>
      </c>
      <c r="I15" s="2728">
        <f>C15</f>
        <v>2</v>
      </c>
      <c r="J15" s="4467">
        <f>ROUND((P15*G14),0)</f>
        <v>0</v>
      </c>
      <c r="K15" s="57"/>
      <c r="L15" s="476"/>
      <c r="M15" s="5552"/>
      <c r="N15" s="22"/>
      <c r="O15" s="22"/>
      <c r="P15" s="1394">
        <v>0.5</v>
      </c>
      <c r="Q15" s="22"/>
      <c r="R15" s="22"/>
      <c r="S15" s="2932" t="s">
        <v>1531</v>
      </c>
      <c r="T15" s="2038"/>
      <c r="U15" s="2038"/>
      <c r="V15" s="2038"/>
      <c r="W15" s="2038"/>
      <c r="X15" s="2038"/>
      <c r="Y15" s="2038"/>
      <c r="Z15" s="2038"/>
      <c r="AA15" s="866"/>
    </row>
    <row r="16" spans="1:27">
      <c r="A16" s="66"/>
      <c r="B16" s="50"/>
      <c r="C16" s="5472">
        <v>3</v>
      </c>
      <c r="D16" s="51" t="s">
        <v>1532</v>
      </c>
      <c r="E16" s="22"/>
      <c r="F16" s="22"/>
      <c r="G16" s="22"/>
      <c r="H16" s="60" t="s">
        <v>1171</v>
      </c>
      <c r="I16" s="2728">
        <f>C16</f>
        <v>3</v>
      </c>
      <c r="J16" s="4467">
        <f>IF(P16&lt;&gt;"",ROUND(P16,0),ROUND(SUM(F1040_Line1z,TaxableInterest,OrdinaryDividends,IRA_Taxable,PA_Taxable,CapitalGains,OtherIncome1040),0))</f>
        <v>0</v>
      </c>
      <c r="K16" s="5553"/>
      <c r="L16" s="5554"/>
      <c r="M16" s="5555"/>
      <c r="N16" s="22"/>
      <c r="O16" s="22"/>
      <c r="P16" s="259"/>
      <c r="Q16" s="22"/>
      <c r="R16" s="22"/>
      <c r="S16" s="2552" t="s">
        <v>1533</v>
      </c>
      <c r="T16" s="2038"/>
      <c r="U16" s="2038"/>
      <c r="V16" s="2038"/>
      <c r="W16" s="2038"/>
      <c r="X16" s="2038"/>
      <c r="Y16" s="2038"/>
      <c r="Z16" s="2038"/>
      <c r="AA16" s="866"/>
    </row>
    <row r="17" spans="1:27">
      <c r="A17" s="66"/>
      <c r="B17" s="50"/>
      <c r="C17" s="5472">
        <v>4</v>
      </c>
      <c r="D17" s="51" t="s">
        <v>1534</v>
      </c>
      <c r="E17" s="22"/>
      <c r="F17" s="2728"/>
      <c r="G17" s="22"/>
      <c r="H17" s="60" t="s">
        <v>1476</v>
      </c>
      <c r="I17" s="2728">
        <f>C17</f>
        <v>4</v>
      </c>
      <c r="J17" s="4467">
        <f>IF(P17&lt;&gt;"",ROUND(P17,0),ROUND(TaxExemptInt,0))</f>
        <v>0</v>
      </c>
      <c r="K17" s="5553"/>
      <c r="L17" s="5554"/>
      <c r="M17" s="5555"/>
      <c r="N17" s="22"/>
      <c r="O17" s="22"/>
      <c r="P17" s="259"/>
      <c r="Q17" s="22"/>
      <c r="R17" s="22"/>
      <c r="S17" s="2552" t="s">
        <v>1535</v>
      </c>
      <c r="T17" s="2038"/>
      <c r="U17" s="2038"/>
      <c r="V17" s="2038"/>
      <c r="W17" s="2038"/>
      <c r="X17" s="2038"/>
      <c r="Y17" s="2038"/>
      <c r="Z17" s="2038"/>
      <c r="AA17" s="866"/>
    </row>
    <row r="18" spans="1:27">
      <c r="A18" s="66"/>
      <c r="B18" s="50"/>
      <c r="C18" s="5472">
        <v>5</v>
      </c>
      <c r="D18" s="51" t="s">
        <v>1536</v>
      </c>
      <c r="E18" s="22"/>
      <c r="F18" s="2728"/>
      <c r="G18" s="22"/>
      <c r="H18" s="60" t="s">
        <v>1537</v>
      </c>
      <c r="I18" s="2728">
        <f>C18</f>
        <v>5</v>
      </c>
      <c r="J18" s="4467">
        <f>SUM(J15,J16,J17)</f>
        <v>0</v>
      </c>
      <c r="K18" s="5553"/>
      <c r="L18" s="5554"/>
      <c r="M18" s="5555"/>
      <c r="N18" s="22"/>
      <c r="O18" s="22"/>
      <c r="P18" s="22"/>
      <c r="Q18" s="22"/>
      <c r="R18" s="22"/>
      <c r="S18" s="2552" t="s">
        <v>1538</v>
      </c>
      <c r="T18" s="2038"/>
      <c r="U18" s="2038"/>
      <c r="V18" s="2038"/>
      <c r="W18" s="2038"/>
      <c r="X18" s="2038"/>
      <c r="Y18" s="2038"/>
      <c r="Z18" s="2038"/>
      <c r="AA18" s="866"/>
    </row>
    <row r="19" spans="1:27">
      <c r="A19" s="66"/>
      <c r="B19" s="50"/>
      <c r="C19" s="5472"/>
      <c r="D19" s="51"/>
      <c r="E19" s="22"/>
      <c r="F19" s="2728"/>
      <c r="G19" s="22"/>
      <c r="H19" s="22"/>
      <c r="I19" s="2728"/>
      <c r="J19" s="5556"/>
      <c r="K19" s="5553"/>
      <c r="L19" s="5554"/>
      <c r="M19" s="5555"/>
      <c r="N19" s="22"/>
      <c r="O19" s="22"/>
      <c r="P19" s="22"/>
      <c r="Q19" s="22"/>
      <c r="R19" s="22"/>
      <c r="S19" s="2396"/>
      <c r="T19" s="2038"/>
      <c r="U19" s="2038"/>
      <c r="V19" s="2038"/>
      <c r="W19" s="2038"/>
      <c r="X19" s="2038"/>
      <c r="Y19" s="2038"/>
      <c r="Z19" s="2038"/>
      <c r="AA19" s="866"/>
    </row>
    <row r="20" spans="1:27">
      <c r="A20" s="66"/>
      <c r="B20" s="50"/>
      <c r="C20" s="5472">
        <v>6</v>
      </c>
      <c r="D20" s="51" t="s">
        <v>1181</v>
      </c>
      <c r="E20" s="22"/>
      <c r="F20" s="22"/>
      <c r="G20" s="22"/>
      <c r="H20" s="60" t="s">
        <v>1171</v>
      </c>
      <c r="I20" s="2728">
        <f>C20</f>
        <v>6</v>
      </c>
      <c r="J20" s="4467">
        <f>ROUND(SUM(EducatorExpenses,CertainBusinessExp,HSA_Deduct,MovExp_ArmedForces,SE_Deduct,SEP_Plan_Deduct,SEHealthInsDeduct,PenaltyEarlyWithdraw,AlimonyPaid,IRADeduct,ArcherMSADeduct,TotalOtherAdjust),0)</f>
        <v>0</v>
      </c>
      <c r="K20" s="5476"/>
      <c r="L20" s="5477"/>
      <c r="M20" s="106"/>
      <c r="N20" s="22"/>
      <c r="O20" s="22"/>
      <c r="P20" s="61"/>
      <c r="Q20" s="22"/>
      <c r="R20" s="3458"/>
      <c r="S20" s="2396"/>
      <c r="T20" s="2038"/>
      <c r="U20" s="2038"/>
      <c r="V20" s="2038"/>
      <c r="W20" s="2038"/>
      <c r="X20" s="2038"/>
      <c r="Y20" s="2038"/>
      <c r="Z20" s="2038"/>
      <c r="AA20" s="866"/>
    </row>
    <row r="21" spans="1:27">
      <c r="A21" s="66"/>
      <c r="B21" s="50"/>
      <c r="C21" s="5472">
        <v>7</v>
      </c>
      <c r="D21" s="51" t="s">
        <v>1539</v>
      </c>
      <c r="E21" s="22"/>
      <c r="F21" s="22"/>
      <c r="G21" s="22"/>
      <c r="H21" s="22"/>
      <c r="I21" s="2728"/>
      <c r="J21" s="106"/>
      <c r="K21" s="5476"/>
      <c r="L21" s="5477"/>
      <c r="M21" s="106"/>
      <c r="N21" s="22"/>
      <c r="O21" s="22"/>
      <c r="P21" s="61"/>
      <c r="Q21" s="22"/>
      <c r="R21" s="3458"/>
      <c r="S21" s="2396"/>
      <c r="T21" s="2038"/>
      <c r="U21" s="2038"/>
      <c r="V21" s="2038"/>
      <c r="W21" s="2038"/>
      <c r="X21" s="2038"/>
      <c r="Y21" s="2038"/>
      <c r="Z21" s="2038"/>
      <c r="AA21" s="866"/>
    </row>
    <row r="22" spans="1:27" ht="13.5" thickBot="1">
      <c r="A22" s="66"/>
      <c r="B22" s="50"/>
      <c r="C22" s="5472"/>
      <c r="D22" s="22"/>
      <c r="E22" s="22"/>
      <c r="F22" s="22"/>
      <c r="G22" s="22"/>
      <c r="H22" s="22"/>
      <c r="I22" s="2728"/>
      <c r="J22" s="106"/>
      <c r="K22" s="5476"/>
      <c r="L22" s="5477"/>
      <c r="M22" s="106"/>
      <c r="N22" s="22"/>
      <c r="O22" s="22"/>
      <c r="P22" s="61"/>
      <c r="Q22" s="22"/>
      <c r="R22" s="3458"/>
      <c r="S22" s="2396"/>
      <c r="T22" s="2038"/>
      <c r="U22" s="2038"/>
      <c r="V22" s="2038"/>
      <c r="W22" s="2038"/>
      <c r="X22" s="2038"/>
      <c r="Y22" s="2038"/>
      <c r="Z22" s="2038"/>
      <c r="AA22" s="866"/>
    </row>
    <row r="23" spans="1:27" ht="13.5" thickBot="1">
      <c r="A23" s="66"/>
      <c r="B23" s="50"/>
      <c r="C23" s="5472"/>
      <c r="D23" s="203" t="str">
        <f>IF(J20&lt;J18,"","X")</f>
        <v>X</v>
      </c>
      <c r="E23" s="106" t="s">
        <v>1540</v>
      </c>
      <c r="F23" s="2728"/>
      <c r="G23" s="54"/>
      <c r="H23" s="54"/>
      <c r="I23" s="2728"/>
      <c r="J23" s="54"/>
      <c r="K23" s="57"/>
      <c r="L23" s="476"/>
      <c r="M23" s="54"/>
      <c r="N23" s="22"/>
      <c r="O23" s="22"/>
      <c r="P23" s="61"/>
      <c r="Q23" s="22"/>
      <c r="R23" s="3458"/>
      <c r="S23" s="2396"/>
      <c r="T23" s="2038"/>
      <c r="U23" s="2038"/>
      <c r="V23" s="2038"/>
      <c r="W23" s="2038"/>
      <c r="X23" s="2038"/>
      <c r="Y23" s="2038"/>
      <c r="Z23" s="2038"/>
      <c r="AA23" s="866"/>
    </row>
    <row r="24" spans="1:27" ht="15" customHeight="1" thickBot="1">
      <c r="A24" s="66"/>
      <c r="B24" s="50"/>
      <c r="C24" s="5472"/>
      <c r="D24" s="5472"/>
      <c r="E24" s="106" t="s">
        <v>1541</v>
      </c>
      <c r="F24" s="2728"/>
      <c r="G24" s="54"/>
      <c r="H24" s="54"/>
      <c r="I24" s="2728"/>
      <c r="J24" s="54"/>
      <c r="K24" s="57"/>
      <c r="L24" s="476"/>
      <c r="M24" s="54"/>
      <c r="N24" s="22"/>
      <c r="O24" s="22"/>
      <c r="P24" s="61"/>
      <c r="Q24" s="22"/>
      <c r="R24" s="61"/>
      <c r="S24" s="2396"/>
      <c r="T24" s="2038"/>
      <c r="U24" s="2038"/>
      <c r="V24" s="2038"/>
      <c r="W24" s="2038"/>
      <c r="X24" s="2038"/>
      <c r="Y24" s="2038"/>
      <c r="Z24" s="2038"/>
      <c r="AA24" s="866"/>
    </row>
    <row r="25" spans="1:27" ht="15" customHeight="1" thickBot="1">
      <c r="A25" s="66"/>
      <c r="B25" s="50"/>
      <c r="C25" s="5472"/>
      <c r="D25" s="98" t="str">
        <f>IF(J20&lt;J18,"X","")</f>
        <v/>
      </c>
      <c r="E25" s="2918" t="s">
        <v>1542</v>
      </c>
      <c r="F25" s="22"/>
      <c r="G25" s="22"/>
      <c r="H25" s="2919" t="s">
        <v>1543</v>
      </c>
      <c r="I25" s="2728">
        <f>C21</f>
        <v>7</v>
      </c>
      <c r="J25" s="4124" t="str">
        <f>IF(D23="X","Stop",J18-J20)</f>
        <v>Stop</v>
      </c>
      <c r="K25" s="5553"/>
      <c r="L25" s="5554"/>
      <c r="M25" s="54"/>
      <c r="N25" s="22"/>
      <c r="O25" s="22"/>
      <c r="P25" s="61"/>
      <c r="Q25" s="22"/>
      <c r="R25" s="22"/>
      <c r="S25" s="2396"/>
      <c r="T25" s="2038"/>
      <c r="U25" s="2038"/>
      <c r="V25" s="2038"/>
      <c r="W25" s="2038"/>
      <c r="X25" s="2038"/>
      <c r="Y25" s="2038"/>
      <c r="Z25" s="2038"/>
      <c r="AA25" s="866"/>
    </row>
    <row r="26" spans="1:27" ht="14.25" customHeight="1">
      <c r="A26" s="66"/>
      <c r="B26" s="50"/>
      <c r="C26" s="5472"/>
      <c r="D26" s="22"/>
      <c r="E26" s="22"/>
      <c r="F26" s="22"/>
      <c r="G26" s="22"/>
      <c r="H26" s="22"/>
      <c r="I26" s="2728"/>
      <c r="J26" s="106"/>
      <c r="K26" s="5476"/>
      <c r="L26" s="5477"/>
      <c r="M26" s="54"/>
      <c r="N26" s="22"/>
      <c r="O26" s="22"/>
      <c r="P26" s="805" t="b">
        <f>LivedApart</f>
        <v>0</v>
      </c>
      <c r="Q26" s="22"/>
      <c r="R26" s="22"/>
      <c r="S26" s="2396"/>
      <c r="T26" s="2038"/>
      <c r="U26" s="2038"/>
      <c r="V26" s="2038"/>
      <c r="W26" s="2038"/>
      <c r="X26" s="2038"/>
      <c r="Y26" s="2038"/>
      <c r="Z26" s="2038"/>
      <c r="AA26" s="866"/>
    </row>
    <row r="27" spans="1:27">
      <c r="A27" s="66"/>
      <c r="B27" s="50"/>
      <c r="C27" s="5472">
        <v>8</v>
      </c>
      <c r="D27" s="22" t="s">
        <v>1544</v>
      </c>
      <c r="E27" s="22"/>
      <c r="F27" s="22"/>
      <c r="G27" s="22"/>
      <c r="H27" s="22"/>
      <c r="I27" s="2728"/>
      <c r="J27" s="106"/>
      <c r="K27" s="5476"/>
      <c r="L27" s="5554"/>
      <c r="M27" s="54"/>
      <c r="N27" s="22"/>
      <c r="O27" s="22"/>
      <c r="P27" s="61"/>
      <c r="Q27" s="22"/>
      <c r="R27" s="22"/>
      <c r="S27" s="2396"/>
      <c r="T27" s="2038"/>
      <c r="U27" s="2038"/>
      <c r="V27" s="2038"/>
      <c r="W27" s="2038"/>
      <c r="X27" s="2038"/>
      <c r="Y27" s="2038"/>
      <c r="Z27" s="2038"/>
      <c r="AA27" s="866"/>
    </row>
    <row r="28" spans="1:27">
      <c r="A28" s="66"/>
      <c r="B28" s="50"/>
      <c r="C28" s="5472"/>
      <c r="D28" s="318" t="s">
        <v>1545</v>
      </c>
      <c r="E28" s="54" t="str">
        <f>"Married filing jointly, enter "&amp;TEXT(H28,"$0,000")</f>
        <v>Married filing jointly, enter $32,000</v>
      </c>
      <c r="F28" s="54"/>
      <c r="G28" s="22"/>
      <c r="H28" s="943">
        <v>32000</v>
      </c>
      <c r="I28" s="2728"/>
      <c r="J28" s="106"/>
      <c r="K28" s="5476"/>
      <c r="L28" s="5554"/>
      <c r="M28" s="54"/>
      <c r="N28" s="22"/>
      <c r="O28" s="22"/>
      <c r="P28" s="61"/>
      <c r="Q28" s="22"/>
      <c r="R28" s="22"/>
      <c r="S28" s="2396"/>
      <c r="T28" s="2038"/>
      <c r="U28" s="2038"/>
      <c r="V28" s="2038"/>
      <c r="W28" s="2038"/>
      <c r="X28" s="2038"/>
      <c r="Y28" s="2038"/>
      <c r="Z28" s="2038"/>
      <c r="AA28" s="866"/>
    </row>
    <row r="29" spans="1:27">
      <c r="A29" s="66"/>
      <c r="B29" s="50"/>
      <c r="C29" s="5472"/>
      <c r="D29" s="318" t="s">
        <v>1545</v>
      </c>
      <c r="E29" s="54" t="s">
        <v>1546</v>
      </c>
      <c r="F29" s="54"/>
      <c r="G29" s="22"/>
      <c r="H29" s="22"/>
      <c r="I29" s="2728"/>
      <c r="J29" s="106"/>
      <c r="K29" s="5476"/>
      <c r="L29" s="5554"/>
      <c r="M29" s="54"/>
      <c r="N29" s="22"/>
      <c r="O29" s="22"/>
      <c r="P29" s="61"/>
      <c r="Q29" s="22"/>
      <c r="R29" s="22"/>
      <c r="S29" s="2396"/>
      <c r="T29" s="2038"/>
      <c r="U29" s="2038"/>
      <c r="V29" s="2038"/>
      <c r="W29" s="2038"/>
      <c r="X29" s="2038"/>
      <c r="Y29" s="2038"/>
      <c r="Z29" s="2038"/>
      <c r="AA29" s="866"/>
    </row>
    <row r="30" spans="1:27">
      <c r="A30" s="66"/>
      <c r="B30" s="50"/>
      <c r="C30" s="5472"/>
      <c r="D30" s="318"/>
      <c r="E30" s="106" t="s">
        <v>1547</v>
      </c>
      <c r="F30" s="54" t="str">
        <f>"of "&amp;TaxYear&amp;","</f>
        <v>of 2023,</v>
      </c>
      <c r="G30" s="22"/>
      <c r="H30" s="943">
        <v>25000</v>
      </c>
      <c r="I30" s="2728"/>
      <c r="J30" s="106"/>
      <c r="K30" s="5476"/>
      <c r="L30" s="5477"/>
      <c r="M30" s="54"/>
      <c r="N30" s="22"/>
      <c r="O30" s="22"/>
      <c r="P30" s="22"/>
      <c r="Q30" s="22"/>
      <c r="R30" s="22"/>
      <c r="S30" s="2396"/>
      <c r="T30" s="2038"/>
      <c r="U30" s="2038"/>
      <c r="V30" s="2038"/>
      <c r="W30" s="2038"/>
      <c r="X30" s="2038"/>
      <c r="Y30" s="2038"/>
      <c r="Z30" s="2038"/>
      <c r="AA30" s="866"/>
    </row>
    <row r="31" spans="1:27">
      <c r="A31" s="66"/>
      <c r="B31" s="50"/>
      <c r="C31" s="5472"/>
      <c r="D31" s="318"/>
      <c r="E31" s="54" t="str">
        <f>"enter "&amp;TEXT(H30,"$0,000")</f>
        <v>enter $25,000</v>
      </c>
      <c r="F31" s="54"/>
      <c r="G31" s="22"/>
      <c r="H31" s="60" t="s">
        <v>1065</v>
      </c>
      <c r="I31" s="2728">
        <f>C27</f>
        <v>8</v>
      </c>
      <c r="J31" s="4124" t="str">
        <f>IF(P31&lt;&gt;"",ROUND(P31,0),IF(D23="X","",IF(AND(File_Marr_Sep&lt;&gt;"",NOT(LivedApartAnswered)),"Answer question.",IF(AND(File_Marr_Sep&lt;&gt;"",NOT(LivedApart)),"",IF(File_Marr_Joint&lt;&gt;"",H28,H30)))))</f>
        <v/>
      </c>
      <c r="K31" s="5476"/>
      <c r="L31" s="5477"/>
      <c r="M31" s="54"/>
      <c r="N31" s="22"/>
      <c r="O31" s="22"/>
      <c r="P31" s="654"/>
      <c r="Q31" s="22"/>
      <c r="R31" s="22"/>
      <c r="S31" s="2396"/>
      <c r="T31" s="2038"/>
      <c r="U31" s="2038"/>
      <c r="V31" s="2038"/>
      <c r="W31" s="2038"/>
      <c r="X31" s="2038"/>
      <c r="Y31" s="2038"/>
      <c r="Z31" s="2038"/>
      <c r="AA31" s="866"/>
    </row>
    <row r="32" spans="1:27">
      <c r="A32" s="66"/>
      <c r="B32" s="50"/>
      <c r="C32" s="5472"/>
      <c r="D32" s="318" t="s">
        <v>1545</v>
      </c>
      <c r="E32" s="54" t="s">
        <v>1548</v>
      </c>
      <c r="F32" s="54"/>
      <c r="G32" s="22"/>
      <c r="H32" s="22"/>
      <c r="I32" s="2728"/>
      <c r="J32" s="106"/>
      <c r="K32" s="5476"/>
      <c r="L32" s="5477"/>
      <c r="M32" s="54"/>
      <c r="N32" s="22"/>
      <c r="O32" s="22"/>
      <c r="P32" s="22"/>
      <c r="Q32" s="22"/>
      <c r="R32" s="22"/>
      <c r="S32" s="2396"/>
      <c r="T32" s="2038"/>
      <c r="U32" s="2038"/>
      <c r="V32" s="2038"/>
      <c r="W32" s="2038"/>
      <c r="X32" s="2038"/>
      <c r="Y32" s="2038"/>
      <c r="Z32" s="2038"/>
      <c r="AA32" s="866"/>
    </row>
    <row r="33" spans="1:27">
      <c r="A33" s="66"/>
      <c r="B33" s="50"/>
      <c r="C33" s="5472"/>
      <c r="D33" s="318"/>
      <c r="E33" s="54" t="str">
        <f>"in "&amp;TaxYear&amp;", skip lines 8 through 15; multiply line 7 by "&amp;TEXT(H33,"0%")&amp;" ("&amp;TEXT(H33,"0.00")&amp;") and"</f>
        <v>in 2023, skip lines 8 through 15; multiply line 7 by 85% (0.85) and</v>
      </c>
      <c r="F33" s="54"/>
      <c r="G33" s="22"/>
      <c r="H33" s="4126">
        <v>0.85</v>
      </c>
      <c r="I33" s="2728"/>
      <c r="J33" s="106"/>
      <c r="K33" s="5476"/>
      <c r="L33" s="5477"/>
      <c r="M33" s="54"/>
      <c r="N33" s="22"/>
      <c r="O33" s="22"/>
      <c r="P33" s="22"/>
      <c r="Q33" s="22"/>
      <c r="R33" s="22"/>
      <c r="S33" s="2396"/>
      <c r="T33" s="2038"/>
      <c r="U33" s="2038"/>
      <c r="V33" s="2038"/>
      <c r="W33" s="2038"/>
      <c r="X33" s="2038"/>
      <c r="Y33" s="2038"/>
      <c r="Z33" s="2038"/>
      <c r="AA33" s="866"/>
    </row>
    <row r="34" spans="1:27" ht="12.75" customHeight="1">
      <c r="A34" s="66"/>
      <c r="B34" s="50"/>
      <c r="C34" s="5472"/>
      <c r="D34" s="22"/>
      <c r="E34" s="22" t="s">
        <v>1549</v>
      </c>
      <c r="F34" s="22"/>
      <c r="G34" s="22"/>
      <c r="H34" s="564"/>
      <c r="I34" s="22"/>
      <c r="J34" s="22"/>
      <c r="K34" s="5553"/>
      <c r="L34" s="5554"/>
      <c r="M34" s="54"/>
      <c r="N34" s="22"/>
      <c r="O34" s="22"/>
      <c r="P34" s="22"/>
      <c r="Q34" s="22"/>
      <c r="R34" s="22"/>
      <c r="S34" s="2396"/>
      <c r="T34" s="2038"/>
      <c r="U34" s="2038"/>
      <c r="V34" s="2038"/>
      <c r="W34" s="2038"/>
      <c r="X34" s="2038"/>
      <c r="Y34" s="2038"/>
      <c r="Z34" s="2038"/>
      <c r="AA34" s="866"/>
    </row>
    <row r="35" spans="1:27" ht="13.5" customHeight="1">
      <c r="A35" s="66"/>
      <c r="B35" s="50"/>
      <c r="C35" s="5472">
        <v>9</v>
      </c>
      <c r="D35" s="44" t="s">
        <v>1550</v>
      </c>
      <c r="E35" s="22"/>
      <c r="F35" s="22"/>
      <c r="G35" s="22"/>
      <c r="H35" s="4126" t="b">
        <f>AND(File_Marr_Sep&lt;&gt;"",NOT(LivedApart))</f>
        <v>0</v>
      </c>
      <c r="I35" s="22"/>
      <c r="J35" s="22"/>
      <c r="K35" s="5553"/>
      <c r="L35" s="5554"/>
      <c r="M35" s="54"/>
      <c r="N35" s="22"/>
      <c r="O35" s="22"/>
      <c r="P35" s="22"/>
      <c r="Q35" s="22"/>
      <c r="R35" s="22"/>
      <c r="S35" s="2396"/>
      <c r="T35" s="2038"/>
      <c r="U35" s="2038"/>
      <c r="V35" s="2038"/>
      <c r="W35" s="2038"/>
      <c r="X35" s="2038"/>
      <c r="Y35" s="2038"/>
      <c r="Z35" s="2038"/>
      <c r="AA35" s="866"/>
    </row>
    <row r="36" spans="1:27" ht="12.75" customHeight="1" thickBot="1">
      <c r="A36" s="66"/>
      <c r="B36" s="50"/>
      <c r="C36" s="5472"/>
      <c r="D36" s="44"/>
      <c r="E36" s="22"/>
      <c r="F36" s="22"/>
      <c r="G36" s="22"/>
      <c r="H36" s="46"/>
      <c r="I36" s="22"/>
      <c r="J36" s="22"/>
      <c r="K36" s="5553"/>
      <c r="L36" s="5554"/>
      <c r="M36" s="54"/>
      <c r="N36" s="22"/>
      <c r="O36" s="22"/>
      <c r="P36" s="22"/>
      <c r="Q36" s="22"/>
      <c r="R36" s="22"/>
      <c r="S36" s="2396"/>
      <c r="T36" s="2038"/>
      <c r="U36" s="2038"/>
      <c r="V36" s="2038"/>
      <c r="W36" s="2038"/>
      <c r="X36" s="2038"/>
      <c r="Y36" s="2038"/>
      <c r="Z36" s="2038"/>
      <c r="AA36" s="866"/>
    </row>
    <row r="37" spans="1:27" ht="13.5" thickBot="1">
      <c r="A37" s="66"/>
      <c r="B37" s="50"/>
      <c r="C37" s="5472"/>
      <c r="D37" s="98" t="str">
        <f>IF(OR(D23="X",H35),"",IF(J31&lt;J25,"","X"))</f>
        <v/>
      </c>
      <c r="E37" s="23" t="s">
        <v>1551</v>
      </c>
      <c r="F37" s="22"/>
      <c r="G37" s="22"/>
      <c r="H37" s="22"/>
      <c r="I37" s="2728"/>
      <c r="J37" s="54"/>
      <c r="K37" s="57"/>
      <c r="L37" s="476"/>
      <c r="M37" s="54"/>
      <c r="N37" s="22"/>
      <c r="O37" s="22"/>
      <c r="P37" s="22"/>
      <c r="Q37" s="22"/>
      <c r="R37" s="22"/>
      <c r="S37" s="2396"/>
      <c r="T37" s="2038"/>
      <c r="U37" s="2038"/>
      <c r="V37" s="2038"/>
      <c r="W37" s="2038"/>
      <c r="X37" s="2038"/>
      <c r="Y37" s="2038"/>
      <c r="Z37" s="2038"/>
      <c r="AA37" s="866"/>
    </row>
    <row r="38" spans="1:27" ht="15" customHeight="1">
      <c r="A38" s="66"/>
      <c r="B38" s="50"/>
      <c r="C38" s="5472"/>
      <c r="D38" s="22"/>
      <c r="E38" s="92" t="s">
        <v>1552</v>
      </c>
      <c r="F38" s="2728"/>
      <c r="G38" s="54"/>
      <c r="H38" s="501"/>
      <c r="I38" s="2728"/>
      <c r="J38" s="54"/>
      <c r="K38" s="57"/>
      <c r="L38" s="476"/>
      <c r="M38" s="54"/>
      <c r="N38" s="22"/>
      <c r="O38" s="22"/>
      <c r="P38" s="22"/>
      <c r="Q38" s="22"/>
      <c r="R38" s="22"/>
      <c r="S38" s="2396"/>
      <c r="T38" s="2038"/>
      <c r="U38" s="2038"/>
      <c r="V38" s="2038"/>
      <c r="W38" s="2038"/>
      <c r="X38" s="2038"/>
      <c r="Y38" s="2038"/>
      <c r="Z38" s="2038"/>
      <c r="AA38" s="866"/>
    </row>
    <row r="39" spans="1:27" ht="13.5" thickBot="1">
      <c r="A39" s="66"/>
      <c r="B39" s="50"/>
      <c r="C39" s="5472"/>
      <c r="D39" s="22"/>
      <c r="E39" s="106" t="str">
        <f>TaxYear&amp; ", be sure you entered “D” to the right of the word “benefits” on line 6a."</f>
        <v>2023, be sure you entered “D” to the right of the word “benefits” on line 6a.</v>
      </c>
      <c r="F39" s="54"/>
      <c r="G39" s="54"/>
      <c r="H39" s="54"/>
      <c r="I39" s="2728"/>
      <c r="J39" s="54"/>
      <c r="K39" s="57"/>
      <c r="L39" s="476"/>
      <c r="M39" s="54"/>
      <c r="N39" s="22"/>
      <c r="O39" s="22"/>
      <c r="P39" s="22"/>
      <c r="Q39" s="22"/>
      <c r="R39" s="22"/>
      <c r="S39" s="2396"/>
      <c r="T39" s="2038"/>
      <c r="U39" s="2038"/>
      <c r="V39" s="2038"/>
      <c r="W39" s="2038"/>
      <c r="X39" s="2038"/>
      <c r="Y39" s="2038"/>
      <c r="Z39" s="2038"/>
      <c r="AA39" s="866"/>
    </row>
    <row r="40" spans="1:27" ht="13.5" thickBot="1">
      <c r="A40" s="66"/>
      <c r="B40" s="50"/>
      <c r="C40" s="5472"/>
      <c r="D40" s="98" t="str">
        <f>IF(OR(D23="X",AND(File_Marr_Sep&lt;&gt;"",O4="")),"",IF(J31&lt;J25,"X",""))</f>
        <v/>
      </c>
      <c r="E40" s="59" t="s">
        <v>1553</v>
      </c>
      <c r="F40" s="2728"/>
      <c r="G40" s="54"/>
      <c r="H40" s="60" t="s">
        <v>1554</v>
      </c>
      <c r="I40" s="2728">
        <f>C35</f>
        <v>9</v>
      </c>
      <c r="J40" s="4124" t="str">
        <f>IF(OR(D23="X",H35,D37="X"),"",J25-J31)</f>
        <v/>
      </c>
      <c r="K40" s="57"/>
      <c r="L40" s="476"/>
      <c r="M40" s="54"/>
      <c r="N40" s="22"/>
      <c r="O40" s="22"/>
      <c r="P40" s="22"/>
      <c r="Q40" s="22"/>
      <c r="R40" s="22"/>
      <c r="S40" s="2396"/>
      <c r="T40" s="2038"/>
      <c r="U40" s="2038"/>
      <c r="V40" s="2038"/>
      <c r="W40" s="2038"/>
      <c r="X40" s="2038"/>
      <c r="Y40" s="2038"/>
      <c r="Z40" s="2038"/>
      <c r="AA40" s="866"/>
    </row>
    <row r="41" spans="1:27" ht="15" customHeight="1">
      <c r="A41" s="66"/>
      <c r="B41" s="50"/>
      <c r="C41" s="5472">
        <v>10</v>
      </c>
      <c r="D41" s="103" t="str">
        <f>"Enter: "&amp;TEXT(P43,"$0,000")&amp;" if married filing jointly; "&amp;TEXT(P44,"$0,000")&amp;" if single, head of household, qualifying"</f>
        <v>Enter: $12,000 if married filing jointly; $9,000 if single, head of household, qualifying</v>
      </c>
      <c r="E41" s="88"/>
      <c r="F41" s="2728"/>
      <c r="G41" s="59"/>
      <c r="H41" s="59"/>
      <c r="I41" s="2728"/>
      <c r="J41" s="54"/>
      <c r="K41" s="57"/>
      <c r="L41" s="476"/>
      <c r="M41" s="54"/>
      <c r="N41" s="22"/>
      <c r="O41" s="22"/>
      <c r="P41" s="22"/>
      <c r="Q41" s="22"/>
      <c r="R41" s="22"/>
      <c r="S41" s="2396"/>
      <c r="T41" s="2038"/>
      <c r="U41" s="2038"/>
      <c r="V41" s="2038"/>
      <c r="W41" s="2038"/>
      <c r="X41" s="2038"/>
      <c r="Y41" s="2038"/>
      <c r="Z41" s="2038"/>
      <c r="AA41" s="866"/>
    </row>
    <row r="42" spans="1:27">
      <c r="A42" s="66"/>
      <c r="B42" s="50"/>
      <c r="C42" s="5472"/>
      <c r="D42" s="103" t="s">
        <v>1555</v>
      </c>
      <c r="E42" s="89"/>
      <c r="F42" s="2728"/>
      <c r="G42" s="54"/>
      <c r="H42" s="501">
        <f>TaxYear</f>
        <v>2023</v>
      </c>
      <c r="I42" s="2728">
        <f>C41</f>
        <v>10</v>
      </c>
      <c r="J42" s="4124" t="str">
        <f>IF(P42&lt;&gt;"",ROUND(P42,0),IF(OR(D23="X",D37="X",H35),"",IF(OR(File_Single&lt;&gt;"",File_Head&lt;&gt;"",File_Qual_Widow&lt;&gt;"",AND(File_Marr_Sep&lt;&gt;"",O4&lt;&gt;"")),P44,IF(AND(File_Marr_Joint&lt;&gt;""),P43,IF(AND(File_Marr_Sep&lt;&gt;"",O4=""),0,0)))))</f>
        <v/>
      </c>
      <c r="K42" s="5553"/>
      <c r="L42" s="5554"/>
      <c r="M42" s="54"/>
      <c r="N42" s="22"/>
      <c r="O42" s="22"/>
      <c r="P42" s="654"/>
      <c r="Q42" s="22"/>
      <c r="R42" s="22"/>
      <c r="S42" s="2396"/>
      <c r="T42" s="2038"/>
      <c r="U42" s="2038"/>
      <c r="V42" s="2038"/>
      <c r="W42" s="2038"/>
      <c r="X42" s="2038"/>
      <c r="Y42" s="2038"/>
      <c r="Z42" s="2038"/>
      <c r="AA42" s="866"/>
    </row>
    <row r="43" spans="1:27">
      <c r="A43" s="66"/>
      <c r="B43" s="50"/>
      <c r="C43" s="5472">
        <v>11</v>
      </c>
      <c r="D43" s="61" t="s">
        <v>1556</v>
      </c>
      <c r="E43" s="88"/>
      <c r="F43" s="2728"/>
      <c r="G43" s="90"/>
      <c r="H43" s="60" t="s">
        <v>1463</v>
      </c>
      <c r="I43" s="2728">
        <v>11</v>
      </c>
      <c r="J43" s="4124" t="str">
        <f>IF(OR(D23="X",D37="X",H35),"",IF((J40-J42)&lt;0,0,(J40-J42)))</f>
        <v/>
      </c>
      <c r="K43" s="315"/>
      <c r="L43" s="504"/>
      <c r="M43" s="54"/>
      <c r="N43" s="22"/>
      <c r="O43" s="22"/>
      <c r="P43" s="13">
        <v>12000</v>
      </c>
      <c r="Q43" s="22"/>
      <c r="R43" s="22"/>
      <c r="S43" s="2396"/>
      <c r="T43" s="2038"/>
      <c r="U43" s="2038"/>
      <c r="V43" s="2038"/>
      <c r="W43" s="2038"/>
      <c r="X43" s="2038"/>
      <c r="Y43" s="2038"/>
      <c r="Z43" s="2038"/>
      <c r="AA43" s="866"/>
    </row>
    <row r="44" spans="1:27">
      <c r="A44" s="66"/>
      <c r="B44" s="50"/>
      <c r="C44" s="5472">
        <v>12</v>
      </c>
      <c r="D44" s="22" t="s">
        <v>1557</v>
      </c>
      <c r="E44" s="88"/>
      <c r="F44" s="2728"/>
      <c r="G44" s="90"/>
      <c r="H44" s="60" t="s">
        <v>1558</v>
      </c>
      <c r="I44" s="2728">
        <v>12</v>
      </c>
      <c r="J44" s="4124" t="str">
        <f>IF(OR(D23="X",D37="X",H35),"",MIN(J40,J42))</f>
        <v/>
      </c>
      <c r="K44" s="315"/>
      <c r="L44" s="504"/>
      <c r="M44" s="54"/>
      <c r="N44" s="22"/>
      <c r="O44" s="22"/>
      <c r="P44" s="13">
        <v>9000</v>
      </c>
      <c r="Q44" s="22"/>
      <c r="R44" s="22"/>
      <c r="S44" s="2396"/>
      <c r="T44" s="2038"/>
      <c r="U44" s="2038"/>
      <c r="V44" s="2038"/>
      <c r="W44" s="2038"/>
      <c r="X44" s="2038"/>
      <c r="Y44" s="2038"/>
      <c r="Z44" s="2038"/>
      <c r="AA44" s="866"/>
    </row>
    <row r="45" spans="1:27">
      <c r="A45" s="66"/>
      <c r="B45" s="50"/>
      <c r="C45" s="5472">
        <v>13</v>
      </c>
      <c r="D45" s="61" t="s">
        <v>1559</v>
      </c>
      <c r="E45" s="88"/>
      <c r="F45" s="2728"/>
      <c r="G45" s="90"/>
      <c r="H45" s="60" t="s">
        <v>1537</v>
      </c>
      <c r="I45" s="2728">
        <v>13</v>
      </c>
      <c r="J45" s="4124" t="str">
        <f>IF(OR(D23="X",D37="X",H35),"",0.5*J44)</f>
        <v/>
      </c>
      <c r="K45" s="315"/>
      <c r="L45" s="504"/>
      <c r="M45" s="54"/>
      <c r="N45" s="22"/>
      <c r="O45" s="22"/>
      <c r="P45" s="22"/>
      <c r="Q45" s="22"/>
      <c r="R45" s="22"/>
      <c r="S45" s="2396"/>
      <c r="T45" s="2038"/>
      <c r="U45" s="2038"/>
      <c r="V45" s="2038"/>
      <c r="W45" s="2038"/>
      <c r="X45" s="2038"/>
      <c r="Y45" s="2038"/>
      <c r="Z45" s="2038"/>
      <c r="AA45" s="866"/>
    </row>
    <row r="46" spans="1:27">
      <c r="A46" s="66"/>
      <c r="B46" s="50"/>
      <c r="C46" s="5472">
        <v>14</v>
      </c>
      <c r="D46" s="61" t="s">
        <v>1560</v>
      </c>
      <c r="E46" s="88"/>
      <c r="F46" s="2728"/>
      <c r="G46" s="90"/>
      <c r="H46" s="60" t="s">
        <v>1495</v>
      </c>
      <c r="I46" s="2728">
        <v>14</v>
      </c>
      <c r="J46" s="4124" t="str">
        <f>IF(OR(D23="X",D37="X",H35),"",MIN(J15,J45))</f>
        <v/>
      </c>
      <c r="K46" s="315"/>
      <c r="L46" s="504"/>
      <c r="M46" s="54"/>
      <c r="N46" s="22"/>
      <c r="O46" s="22"/>
      <c r="P46" s="22"/>
      <c r="Q46" s="22"/>
      <c r="R46" s="22"/>
      <c r="S46" s="2396"/>
      <c r="T46" s="2038"/>
      <c r="U46" s="2038"/>
      <c r="V46" s="2038"/>
      <c r="W46" s="2038"/>
      <c r="X46" s="2038"/>
      <c r="Y46" s="2038"/>
      <c r="Z46" s="2038"/>
      <c r="AA46" s="866"/>
    </row>
    <row r="47" spans="1:27">
      <c r="A47" s="66"/>
      <c r="B47" s="50"/>
      <c r="C47" s="5472">
        <v>15</v>
      </c>
      <c r="D47" s="22" t="str">
        <f>"Multiply line 11 by "&amp;TEXT(H33,"0%")&amp;" ("&amp;TEXT(H33,"0.00")&amp;").  If line 11 is zero, enter -0-"</f>
        <v>Multiply line 11 by 85% (0.85).  If line 11 is zero, enter -0-</v>
      </c>
      <c r="E47" s="88"/>
      <c r="F47" s="2728"/>
      <c r="G47" s="90"/>
      <c r="H47" s="60" t="s">
        <v>1561</v>
      </c>
      <c r="I47" s="2728">
        <v>15</v>
      </c>
      <c r="J47" s="4124" t="str">
        <f>IF(OR(D23="X",D37="X",H35),"",J43*H33)</f>
        <v/>
      </c>
      <c r="K47" s="315"/>
      <c r="L47" s="504"/>
      <c r="M47" s="54"/>
      <c r="N47" s="22"/>
      <c r="O47" s="22"/>
      <c r="P47" s="22"/>
      <c r="Q47" s="22"/>
      <c r="R47" s="22"/>
      <c r="S47" s="2396"/>
      <c r="T47" s="2038"/>
      <c r="U47" s="2038"/>
      <c r="V47" s="2038"/>
      <c r="W47" s="2038"/>
      <c r="X47" s="2038"/>
      <c r="Y47" s="2038"/>
      <c r="Z47" s="2038"/>
      <c r="AA47" s="866"/>
    </row>
    <row r="48" spans="1:27">
      <c r="A48" s="66"/>
      <c r="B48" s="50"/>
      <c r="C48" s="5472">
        <v>16</v>
      </c>
      <c r="D48" s="61" t="s">
        <v>1562</v>
      </c>
      <c r="E48" s="88"/>
      <c r="F48" s="2728"/>
      <c r="G48" s="90"/>
      <c r="H48" s="60" t="s">
        <v>1563</v>
      </c>
      <c r="I48" s="2728">
        <v>16</v>
      </c>
      <c r="J48" s="4124" t="str">
        <f>IF(OR(D23="X",D37="X"),"",IF(H35,ROUND(J25*H33,0),IF(D37="X","",SUM(J46,J47))))</f>
        <v/>
      </c>
      <c r="K48" s="315"/>
      <c r="L48" s="504"/>
      <c r="M48" s="54"/>
      <c r="N48" s="22"/>
      <c r="O48" s="22"/>
      <c r="P48" s="22"/>
      <c r="Q48" s="22"/>
      <c r="R48" s="22"/>
      <c r="S48" s="2396"/>
      <c r="T48" s="2038"/>
      <c r="U48" s="2038"/>
      <c r="V48" s="2038"/>
      <c r="W48" s="2038"/>
      <c r="X48" s="2038"/>
      <c r="Y48" s="2038"/>
      <c r="Z48" s="2038"/>
      <c r="AA48" s="866"/>
    </row>
    <row r="49" spans="1:27">
      <c r="A49" s="66"/>
      <c r="B49" s="50"/>
      <c r="C49" s="5472">
        <v>17</v>
      </c>
      <c r="D49" s="22" t="str">
        <f>"Multiply line 1 by "&amp;TEXT(H33,"0%")&amp;" ("&amp;TEXT(H33,"0.00")&amp;")."</f>
        <v>Multiply line 1 by 85% (0.85).</v>
      </c>
      <c r="E49" s="22"/>
      <c r="F49" s="2728"/>
      <c r="G49" s="90"/>
      <c r="H49" s="60" t="s">
        <v>1093</v>
      </c>
      <c r="I49" s="2728">
        <v>17</v>
      </c>
      <c r="J49" s="4124" t="str">
        <f>IF(OR(D23="X",AND(File_Marr_Sep&lt;&gt;"",NOT(LivedApartAnswered))),"",IF(OR(G14="",G14=0),0,IF(AND(File_Marr_Sep&lt;&gt;"",O4=""),G14*H33,IF(D37="X","",G14*H33))))</f>
        <v/>
      </c>
      <c r="K49" s="315"/>
      <c r="L49" s="504"/>
      <c r="M49" s="54"/>
      <c r="N49" s="22"/>
      <c r="O49" s="22"/>
      <c r="P49" s="22"/>
      <c r="Q49" s="22"/>
      <c r="R49" s="22"/>
      <c r="S49" s="2396"/>
      <c r="T49" s="2038"/>
      <c r="U49" s="2038"/>
      <c r="V49" s="2038"/>
      <c r="W49" s="2038"/>
      <c r="X49" s="2038"/>
      <c r="Y49" s="2038"/>
      <c r="Z49" s="2038"/>
      <c r="AA49" s="866"/>
    </row>
    <row r="50" spans="1:27">
      <c r="A50" s="66"/>
      <c r="B50" s="50"/>
      <c r="C50" s="5472">
        <v>18</v>
      </c>
      <c r="D50" s="23" t="s">
        <v>1564</v>
      </c>
      <c r="E50" s="88"/>
      <c r="F50" s="2728"/>
      <c r="G50" s="90"/>
      <c r="H50" s="90"/>
      <c r="I50" s="2728"/>
      <c r="J50" s="54"/>
      <c r="K50" s="315"/>
      <c r="L50" s="504"/>
      <c r="M50" s="54"/>
      <c r="N50" s="22"/>
      <c r="O50" s="22"/>
      <c r="P50" s="22"/>
      <c r="Q50" s="22"/>
      <c r="R50" s="22"/>
      <c r="S50" s="2396"/>
      <c r="T50" s="2038"/>
      <c r="U50" s="2038"/>
      <c r="V50" s="2038"/>
      <c r="W50" s="2038"/>
      <c r="X50" s="2038"/>
      <c r="Y50" s="2038"/>
      <c r="Z50" s="2038"/>
      <c r="AA50" s="866"/>
    </row>
    <row r="51" spans="1:27">
      <c r="A51" s="66"/>
      <c r="B51" s="50"/>
      <c r="C51" s="5472"/>
      <c r="D51" s="108" t="s">
        <v>1565</v>
      </c>
      <c r="E51" s="92"/>
      <c r="F51" s="2728"/>
      <c r="G51" s="90"/>
      <c r="H51" s="60" t="s">
        <v>1476</v>
      </c>
      <c r="I51" s="2728">
        <f>C50</f>
        <v>18</v>
      </c>
      <c r="J51" s="4124">
        <f>IF(P51&lt;&gt;"",ROUND(P51,0),IF(AND(P14="",TotalSocSecBenefits=0),0,IF(AND(G14&lt;&gt;0,File_Marr_Sep&lt;&gt;"",NOT(LivedApartAnswered)),"Answer question.",IF(OR(D23="X",D37="X"),0,IF(H35,MIN(J48,J49),IF(D37="X",0,MIN(J48,J49)))))))</f>
        <v>0</v>
      </c>
      <c r="K51" s="91"/>
      <c r="L51" s="478"/>
      <c r="M51" s="54"/>
      <c r="N51" s="22"/>
      <c r="O51" s="22"/>
      <c r="P51" s="259"/>
      <c r="Q51" s="22"/>
      <c r="R51" s="22"/>
      <c r="S51" s="2396"/>
      <c r="T51" s="2038"/>
      <c r="U51" s="2038"/>
      <c r="V51" s="2038"/>
      <c r="W51" s="2038"/>
      <c r="X51" s="2038"/>
      <c r="Y51" s="2038"/>
      <c r="Z51" s="2038"/>
      <c r="AA51" s="866"/>
    </row>
    <row r="52" spans="1:27" ht="7.5" customHeight="1">
      <c r="A52" s="66"/>
      <c r="B52" s="50"/>
      <c r="C52" s="5472"/>
      <c r="D52" s="99"/>
      <c r="E52" s="100"/>
      <c r="F52" s="2728"/>
      <c r="G52" s="90"/>
      <c r="H52" s="90"/>
      <c r="I52" s="2728"/>
      <c r="J52" s="90"/>
      <c r="K52" s="91"/>
      <c r="L52" s="478"/>
      <c r="M52" s="54"/>
      <c r="N52" s="22"/>
      <c r="O52" s="22"/>
      <c r="P52" s="22"/>
      <c r="Q52" s="22"/>
      <c r="R52" s="22"/>
      <c r="S52" s="2396"/>
      <c r="T52" s="2038"/>
      <c r="U52" s="2038"/>
      <c r="V52" s="2038"/>
      <c r="W52" s="2038"/>
      <c r="X52" s="2038"/>
      <c r="Y52" s="2038"/>
      <c r="Z52" s="2038"/>
      <c r="AA52" s="866"/>
    </row>
    <row r="53" spans="1:27" ht="12.75" customHeight="1">
      <c r="A53" s="66"/>
      <c r="B53" s="50"/>
      <c r="C53" s="5472"/>
      <c r="D53" s="5557"/>
      <c r="E53" s="100" t="str">
        <f>"   If any of your benefits are taxable for "&amp;TaxYear&amp;" and they include a lump-sum benefit payment that was for an earlier"</f>
        <v xml:space="preserve">   If any of your benefits are taxable for 2023 and they include a lump-sum benefit payment that was for an earlier</v>
      </c>
      <c r="F53" s="2728"/>
      <c r="G53" s="90"/>
      <c r="H53" s="90"/>
      <c r="I53" s="2728"/>
      <c r="J53" s="90"/>
      <c r="K53" s="91"/>
      <c r="L53" s="478"/>
      <c r="M53" s="54"/>
      <c r="N53" s="22"/>
      <c r="O53" s="22"/>
      <c r="P53" s="22"/>
      <c r="Q53" s="22"/>
      <c r="R53" s="22"/>
      <c r="S53" s="2396"/>
      <c r="T53" s="2038"/>
      <c r="U53" s="2038"/>
      <c r="V53" s="2038"/>
      <c r="W53" s="2038"/>
      <c r="X53" s="2038"/>
      <c r="Y53" s="2038"/>
      <c r="Z53" s="2038"/>
      <c r="AA53" s="866"/>
    </row>
    <row r="54" spans="1:27">
      <c r="A54" s="66"/>
      <c r="B54" s="50"/>
      <c r="C54" s="5472"/>
      <c r="D54" s="99"/>
      <c r="E54" s="356" t="s">
        <v>1566</v>
      </c>
      <c r="F54" s="2728"/>
      <c r="G54" s="90"/>
      <c r="H54" s="90"/>
      <c r="I54" s="2728"/>
      <c r="J54" s="90"/>
      <c r="K54" s="91"/>
      <c r="L54" s="478"/>
      <c r="M54" s="54"/>
      <c r="N54" s="22"/>
      <c r="O54" s="22"/>
      <c r="P54" s="22"/>
      <c r="Q54" s="22"/>
      <c r="R54" s="22"/>
      <c r="S54" s="2396"/>
      <c r="T54" s="2038"/>
      <c r="U54" s="2038"/>
      <c r="V54" s="2038"/>
      <c r="W54" s="2038"/>
      <c r="X54" s="2038"/>
      <c r="Y54" s="2038"/>
      <c r="Z54" s="2038"/>
      <c r="AA54" s="866"/>
    </row>
    <row r="55" spans="1:27" ht="13.5" thickBot="1">
      <c r="A55" s="66"/>
      <c r="B55" s="75"/>
      <c r="C55" s="34"/>
      <c r="D55" s="34"/>
      <c r="E55" s="34"/>
      <c r="F55" s="34"/>
      <c r="G55" s="34"/>
      <c r="H55" s="34"/>
      <c r="I55" s="34"/>
      <c r="J55" s="34"/>
      <c r="K55" s="84"/>
      <c r="L55" s="66"/>
      <c r="M55" s="54"/>
      <c r="N55" s="22"/>
      <c r="O55" s="22"/>
      <c r="P55" s="22"/>
      <c r="Q55" s="22"/>
      <c r="R55" s="22"/>
      <c r="S55" s="2396"/>
      <c r="T55" s="2038"/>
      <c r="U55" s="2038"/>
      <c r="V55" s="2038"/>
      <c r="W55" s="2038"/>
      <c r="X55" s="2038"/>
      <c r="Y55" s="2038"/>
      <c r="Z55" s="2038"/>
      <c r="AA55" s="866"/>
    </row>
    <row r="56" spans="1:27">
      <c r="A56" s="66"/>
      <c r="B56" s="66"/>
      <c r="C56" s="66"/>
      <c r="D56" s="66"/>
      <c r="E56" s="66"/>
      <c r="F56" s="66"/>
      <c r="G56" s="66"/>
      <c r="H56" s="66"/>
      <c r="I56" s="66"/>
      <c r="J56" s="66"/>
      <c r="K56" s="66"/>
      <c r="L56" s="66"/>
      <c r="M56" s="54"/>
      <c r="N56" s="22"/>
      <c r="O56" s="22"/>
      <c r="P56" s="22"/>
      <c r="Q56" s="22"/>
      <c r="R56" s="22"/>
      <c r="S56" s="2396"/>
      <c r="T56" s="2038"/>
      <c r="U56" s="2038"/>
      <c r="V56" s="2038"/>
      <c r="W56" s="2038"/>
      <c r="X56" s="2038"/>
      <c r="Y56" s="2038"/>
      <c r="Z56" s="2038"/>
      <c r="AA56" s="866"/>
    </row>
    <row r="57" spans="1:27" ht="11.25" customHeight="1">
      <c r="A57" s="54"/>
      <c r="B57" s="22"/>
      <c r="C57" s="22"/>
      <c r="D57" s="22"/>
      <c r="E57" s="22"/>
      <c r="F57" s="22"/>
      <c r="G57" s="54"/>
      <c r="H57" s="22"/>
      <c r="I57" s="22"/>
      <c r="J57" s="22"/>
      <c r="K57" s="22"/>
      <c r="L57" s="22"/>
      <c r="M57" s="22"/>
      <c r="N57" s="22"/>
      <c r="O57" s="22"/>
      <c r="P57" s="22"/>
      <c r="Q57" s="22"/>
      <c r="R57" s="22"/>
      <c r="S57" s="22"/>
      <c r="T57" s="22"/>
      <c r="U57" s="22"/>
      <c r="V57" s="22"/>
      <c r="W57" s="22"/>
      <c r="X57" s="22"/>
      <c r="Y57" s="22"/>
      <c r="Z57" s="22"/>
      <c r="AA57" s="22"/>
    </row>
  </sheetData>
  <sheetProtection algorithmName="SHA-512" hashValue="B5eHW8TaRdvaScDNTbTNvkA+EOGn8ZztUYrO8I+hTmQtW6VtVdtyEzL0ewNqDdDzpwI5wU6RsqrE6SqC2HNkMw==" saltValue="AxvZZ1d1Wv6EoXLcRXIXPA==" spinCount="100000" sheet="1" objects="1" scenarios="1"/>
  <mergeCells count="2">
    <mergeCell ref="G14:H14"/>
    <mergeCell ref="P10:P11"/>
  </mergeCells>
  <phoneticPr fontId="12" type="noConversion"/>
  <conditionalFormatting sqref="G14:H14 J42:J49 J51">
    <cfRule type="expression" dxfId="2711" priority="24">
      <formula>IF(NoColor,1,0)</formula>
    </cfRule>
  </conditionalFormatting>
  <conditionalFormatting sqref="J15:J18">
    <cfRule type="expression" dxfId="2710" priority="22">
      <formula>IF(NoColor,1,0)</formula>
    </cfRule>
  </conditionalFormatting>
  <conditionalFormatting sqref="J20">
    <cfRule type="expression" dxfId="2709" priority="21">
      <formula>IF(NoColor,1,0)</formula>
    </cfRule>
  </conditionalFormatting>
  <conditionalFormatting sqref="J25">
    <cfRule type="expression" dxfId="2708" priority="20">
      <formula>IF(NoColor,1,0)</formula>
    </cfRule>
  </conditionalFormatting>
  <conditionalFormatting sqref="J31">
    <cfRule type="expression" dxfId="2707" priority="16">
      <formula>IF(LivedApart="?",1,0)</formula>
    </cfRule>
    <cfRule type="expression" dxfId="2706" priority="19">
      <formula>IF(NoColor,1,0)</formula>
    </cfRule>
  </conditionalFormatting>
  <conditionalFormatting sqref="J40">
    <cfRule type="expression" dxfId="2705" priority="18">
      <formula>IF(NoColor,1,0)</formula>
    </cfRule>
  </conditionalFormatting>
  <conditionalFormatting sqref="J51">
    <cfRule type="expression" dxfId="2704" priority="15">
      <formula>IF(AND(TotalSocSecBenefit&gt;0,LivedApart="?"),1,0)</formula>
    </cfRule>
  </conditionalFormatting>
  <conditionalFormatting sqref="N3 P3:Q3">
    <cfRule type="expression" dxfId="2703" priority="4" stopIfTrue="1">
      <formula>(File_Marr_Sep="")</formula>
    </cfRule>
  </conditionalFormatting>
  <conditionalFormatting sqref="N4:Q9">
    <cfRule type="expression" dxfId="2702" priority="6" stopIfTrue="1">
      <formula>(File_Marr_Sep="")</formula>
    </cfRule>
  </conditionalFormatting>
  <conditionalFormatting sqref="O3">
    <cfRule type="expression" dxfId="2701" priority="1">
      <formula>AND(LivedApartAnswered,File_Marr_Sep&lt;&gt;"")</formula>
    </cfRule>
    <cfRule type="expression" dxfId="2700" priority="2" stopIfTrue="1">
      <formula>(File_Marr_Sep&lt;&gt;"")</formula>
    </cfRule>
  </conditionalFormatting>
  <conditionalFormatting sqref="O4:O8">
    <cfRule type="expression" dxfId="2699" priority="8">
      <formula>AND(LivedApartAnswered,File_Marr_Sep&lt;&gt;"")</formula>
    </cfRule>
  </conditionalFormatting>
  <conditionalFormatting sqref="O9">
    <cfRule type="expression" dxfId="2698" priority="5">
      <formula>AND(LivedApartAnswered,File_Marr_Sep&lt;&gt;"")</formula>
    </cfRule>
  </conditionalFormatting>
  <conditionalFormatting sqref="P4">
    <cfRule type="expression" dxfId="2697" priority="10">
      <formula>IF($N$5=1,1,0)</formula>
    </cfRule>
  </conditionalFormatting>
  <conditionalFormatting sqref="P6">
    <cfRule type="expression" dxfId="2696" priority="9">
      <formula>IF($N$5=1,1,0)</formula>
    </cfRule>
  </conditionalFormatting>
  <conditionalFormatting sqref="P8">
    <cfRule type="expression" dxfId="2695" priority="7">
      <formula>LivedApartAnswered</formula>
    </cfRule>
  </conditionalFormatting>
  <pageMargins left="0.75" right="0.25" top="0.36" bottom="0.28999999999999998" header="0.36" footer="0.21"/>
  <pageSetup scale="88"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E40"/>
  <sheetViews>
    <sheetView zoomScaleNormal="100" workbookViewId="0"/>
  </sheetViews>
  <sheetFormatPr defaultRowHeight="12.75"/>
  <cols>
    <col min="1" max="1" width="3.140625" customWidth="1"/>
    <col min="2" max="2" width="8.140625" style="39" customWidth="1"/>
    <col min="3" max="3" width="3.42578125" style="39" customWidth="1"/>
    <col min="4" max="4" width="8.28515625" style="39" customWidth="1"/>
    <col min="5" max="5" width="3.28515625" style="39" customWidth="1"/>
    <col min="6" max="6" width="11.28515625" style="39" customWidth="1"/>
    <col min="7" max="7" width="12" style="39" customWidth="1"/>
    <col min="8" max="8" width="15.5703125" style="39" customWidth="1"/>
    <col min="9" max="9" width="8.5703125" style="39" customWidth="1"/>
    <col min="10" max="10" width="8" style="39" customWidth="1"/>
    <col min="11" max="11" width="10.140625" style="39" customWidth="1"/>
    <col min="12" max="12" width="9.85546875" style="39" customWidth="1"/>
    <col min="13" max="13" width="3.42578125" style="39" customWidth="1"/>
    <col min="14" max="14" width="11.140625" style="39" customWidth="1"/>
    <col min="15" max="15" width="2.7109375" style="39" customWidth="1"/>
    <col min="16" max="16" width="3.5703125" customWidth="1"/>
    <col min="17" max="17" width="13.5703125" customWidth="1"/>
    <col min="18" max="18" width="3.5703125" customWidth="1"/>
    <col min="19" max="19" width="13.7109375" style="2691" customWidth="1"/>
    <col min="20" max="30" width="10.7109375" style="2690" customWidth="1"/>
  </cols>
  <sheetData>
    <row r="1" spans="1:31" ht="17.25" customHeight="1" thickBot="1">
      <c r="A1" s="2693"/>
      <c r="B1" s="808"/>
      <c r="C1" s="808"/>
      <c r="D1" s="808"/>
      <c r="E1" s="808"/>
      <c r="F1" s="808"/>
      <c r="G1" s="808"/>
      <c r="H1" s="808"/>
      <c r="I1" s="808"/>
      <c r="J1" s="808"/>
      <c r="K1" s="808"/>
      <c r="L1" s="808"/>
      <c r="M1" s="808"/>
      <c r="N1" s="808"/>
      <c r="O1" s="808"/>
      <c r="P1" s="1009"/>
      <c r="Q1" s="1009"/>
      <c r="R1" s="1009"/>
      <c r="S1" s="2395" t="s">
        <v>241</v>
      </c>
      <c r="T1" s="2038"/>
      <c r="U1" s="2038"/>
      <c r="V1" s="2038"/>
      <c r="W1" s="2038"/>
      <c r="X1" s="2038"/>
      <c r="Y1" s="2038"/>
      <c r="Z1" s="2038"/>
      <c r="AA1" s="2038"/>
      <c r="AB1" s="2038"/>
    </row>
    <row r="2" spans="1:31" ht="14.25" customHeight="1">
      <c r="A2" s="2693"/>
      <c r="B2" s="5504"/>
      <c r="C2" s="5505"/>
      <c r="D2" s="695"/>
      <c r="E2" s="695"/>
      <c r="F2" s="695"/>
      <c r="G2" s="695"/>
      <c r="H2" s="695"/>
      <c r="I2" s="695"/>
      <c r="J2" s="633"/>
      <c r="K2" s="633"/>
      <c r="L2" s="633"/>
      <c r="M2" s="633"/>
      <c r="N2" s="695"/>
      <c r="O2" s="82"/>
      <c r="P2" s="1009"/>
      <c r="Q2" s="1009"/>
      <c r="R2" s="1009"/>
      <c r="S2" s="2552" t="s">
        <v>251</v>
      </c>
      <c r="T2" s="2038"/>
      <c r="U2" s="2038"/>
      <c r="V2" s="2038"/>
      <c r="W2" s="2038"/>
      <c r="X2" s="2038"/>
      <c r="Y2" s="2038"/>
      <c r="Z2" s="2038"/>
      <c r="AA2" s="2038"/>
      <c r="AB2" s="2038"/>
    </row>
    <row r="3" spans="1:31" ht="16.5" thickBot="1">
      <c r="A3" s="2693"/>
      <c r="B3" s="675" t="s">
        <v>1567</v>
      </c>
      <c r="C3" s="1972"/>
      <c r="D3" s="61"/>
      <c r="E3" s="61"/>
      <c r="F3" s="61"/>
      <c r="G3" s="61"/>
      <c r="H3" s="61"/>
      <c r="I3" s="61"/>
      <c r="J3" s="714" t="s">
        <v>1568</v>
      </c>
      <c r="K3" s="714"/>
      <c r="L3" s="2660"/>
      <c r="M3" s="2661"/>
      <c r="N3" s="2662" t="s">
        <v>1057</v>
      </c>
      <c r="O3" s="83"/>
      <c r="P3" s="2921"/>
      <c r="Q3" s="2921"/>
      <c r="R3" s="2921"/>
      <c r="S3" s="2396"/>
      <c r="T3" s="2038"/>
      <c r="U3" s="2038"/>
      <c r="V3" s="2038"/>
      <c r="W3" s="2038"/>
      <c r="X3" s="2038"/>
      <c r="Y3" s="2038"/>
      <c r="Z3" s="2038"/>
      <c r="AA3" s="2038"/>
      <c r="AB3" s="2038"/>
    </row>
    <row r="4" spans="1:31" ht="12.75" customHeight="1" thickBot="1">
      <c r="A4" s="2693"/>
      <c r="B4" s="5558"/>
      <c r="C4" s="61"/>
      <c r="D4" s="1640"/>
      <c r="E4" s="61"/>
      <c r="F4" s="61"/>
      <c r="G4" s="61"/>
      <c r="H4" s="274"/>
      <c r="I4" s="22"/>
      <c r="J4" s="37" t="str">
        <f>IF(L4,"Yes","No")</f>
        <v>No</v>
      </c>
      <c r="K4" s="37"/>
      <c r="L4" s="2659" t="b">
        <f>OR(DependentYOU&lt;&gt;"",DependentSPOUSE&lt;&gt;"",P4&lt;&gt;"")</f>
        <v>0</v>
      </c>
      <c r="M4" s="2659"/>
      <c r="N4" s="13"/>
      <c r="O4" s="83"/>
      <c r="P4" s="3456"/>
      <c r="Q4" s="1009" t="s">
        <v>1569</v>
      </c>
      <c r="R4" s="1009"/>
      <c r="S4" s="2396"/>
      <c r="T4" s="2038"/>
      <c r="U4" s="2038"/>
      <c r="V4" s="2038"/>
      <c r="W4" s="2038"/>
      <c r="X4" s="2038"/>
      <c r="Y4" s="2038"/>
      <c r="Z4" s="2038"/>
      <c r="AA4" s="2038"/>
      <c r="AB4" s="2038"/>
      <c r="AE4" s="962"/>
    </row>
    <row r="5" spans="1:31" ht="13.5" customHeight="1">
      <c r="A5" s="892"/>
      <c r="B5" s="5559"/>
      <c r="C5" s="713" t="s">
        <v>1570</v>
      </c>
      <c r="D5" s="709"/>
      <c r="E5" s="709"/>
      <c r="F5" s="709"/>
      <c r="G5" s="709"/>
      <c r="H5" s="710"/>
      <c r="I5" s="687"/>
      <c r="J5" s="687"/>
      <c r="K5" s="687"/>
      <c r="L5" s="5376"/>
      <c r="M5" s="2017"/>
      <c r="N5" s="711"/>
      <c r="O5" s="712"/>
      <c r="P5" s="1009"/>
      <c r="Q5" s="1009"/>
      <c r="R5" s="1009"/>
      <c r="S5" s="2396"/>
      <c r="T5" s="2038"/>
      <c r="U5" s="2038"/>
      <c r="V5" s="2038"/>
      <c r="W5" s="2038"/>
      <c r="X5" s="2038"/>
      <c r="Y5" s="2038"/>
      <c r="Z5" s="2038"/>
      <c r="AA5" s="2038"/>
      <c r="AB5" s="2038"/>
    </row>
    <row r="6" spans="1:31" ht="13.5" customHeight="1">
      <c r="A6" s="892"/>
      <c r="B6" s="5558"/>
      <c r="C6" s="2657"/>
      <c r="D6" s="61"/>
      <c r="E6" s="61"/>
      <c r="F6" s="61"/>
      <c r="G6" s="61"/>
      <c r="H6" s="274"/>
      <c r="I6" s="22"/>
      <c r="J6" s="22"/>
      <c r="K6" s="22"/>
      <c r="L6" s="37"/>
      <c r="M6" s="37"/>
      <c r="N6" s="13"/>
      <c r="O6" s="83"/>
      <c r="P6" s="1009"/>
      <c r="Q6" s="1009"/>
      <c r="R6" s="1009"/>
      <c r="S6" s="2396"/>
      <c r="T6" s="2038"/>
      <c r="U6" s="2038"/>
      <c r="V6" s="2038"/>
      <c r="W6" s="2038"/>
      <c r="X6" s="2038"/>
      <c r="Y6" s="2038"/>
      <c r="Z6" s="2038"/>
      <c r="AA6" s="2038"/>
      <c r="AB6" s="2038"/>
    </row>
    <row r="7" spans="1:31" ht="13.5" customHeight="1">
      <c r="A7" s="1994">
        <f>IF(E7&lt;&gt;"",1,0)</f>
        <v>0</v>
      </c>
      <c r="B7" s="942" t="s">
        <v>167</v>
      </c>
      <c r="C7" s="2657"/>
      <c r="D7" s="5190" t="s">
        <v>845</v>
      </c>
      <c r="E7" s="5514" t="str">
        <f>IF(NOT(L4),"",IF(you_over_64&lt;&gt;"","X",""))</f>
        <v/>
      </c>
      <c r="F7" s="1884" t="s">
        <v>1571</v>
      </c>
      <c r="G7" s="1884"/>
      <c r="H7" s="61" t="str">
        <f>"January 2, "&amp;TaxYear-64</f>
        <v>January 2, 1959</v>
      </c>
      <c r="I7" s="22"/>
      <c r="J7" s="22"/>
      <c r="K7" s="22"/>
      <c r="L7" s="37"/>
      <c r="M7" s="37"/>
      <c r="N7" s="13"/>
      <c r="O7" s="83"/>
      <c r="P7" s="1009"/>
      <c r="Q7" s="1009"/>
      <c r="R7" s="1009"/>
      <c r="S7" s="2396"/>
      <c r="T7" s="2038"/>
      <c r="U7" s="2038"/>
      <c r="V7" s="2038"/>
      <c r="W7" s="2038"/>
      <c r="X7" s="2038"/>
      <c r="Y7" s="2038"/>
      <c r="Z7" s="2038"/>
      <c r="AA7" s="2038"/>
      <c r="AB7" s="2038"/>
    </row>
    <row r="8" spans="1:31" ht="7.5" customHeight="1">
      <c r="A8" s="900"/>
      <c r="B8" s="5558"/>
      <c r="C8" s="2657"/>
      <c r="D8" s="61"/>
      <c r="E8" s="61"/>
      <c r="F8" s="61"/>
      <c r="G8" s="61"/>
      <c r="H8" s="274"/>
      <c r="I8" s="22"/>
      <c r="J8" s="22"/>
      <c r="K8" s="22"/>
      <c r="L8" s="37"/>
      <c r="M8" s="37"/>
      <c r="N8" s="13"/>
      <c r="O8" s="83"/>
      <c r="P8" s="1009"/>
      <c r="Q8" s="1009"/>
      <c r="R8" s="1009"/>
      <c r="S8" s="2396"/>
      <c r="T8" s="2038"/>
      <c r="U8" s="2038"/>
      <c r="V8" s="2038"/>
      <c r="W8" s="2038"/>
      <c r="X8" s="2038"/>
      <c r="Y8" s="2038"/>
      <c r="Z8" s="2038"/>
      <c r="AA8" s="2038"/>
      <c r="AB8" s="2038"/>
    </row>
    <row r="9" spans="1:31" ht="13.5" customHeight="1">
      <c r="A9" s="1994">
        <f>IF(E9&lt;&gt;"",1,0)</f>
        <v>0</v>
      </c>
      <c r="B9" s="5558"/>
      <c r="C9" s="2657"/>
      <c r="D9" s="61"/>
      <c r="E9" s="5514" t="str">
        <f>IF(NOT(L4),"",IF(you_blind&lt;&gt;"","X",""))</f>
        <v/>
      </c>
      <c r="F9" s="1884" t="s">
        <v>1572</v>
      </c>
      <c r="G9" s="1884"/>
      <c r="H9" s="274"/>
      <c r="I9" s="22"/>
      <c r="J9" s="61" t="s">
        <v>1573</v>
      </c>
      <c r="K9" s="61"/>
      <c r="L9" s="37"/>
      <c r="M9" s="37"/>
      <c r="N9" s="13"/>
      <c r="O9" s="83"/>
      <c r="P9" s="1009"/>
      <c r="Q9" s="1009"/>
      <c r="R9" s="1009"/>
      <c r="S9" s="2396"/>
      <c r="T9" s="2038"/>
      <c r="U9" s="2038"/>
      <c r="V9" s="2038"/>
      <c r="W9" s="2038"/>
      <c r="X9" s="2038"/>
      <c r="Y9" s="2038"/>
      <c r="Z9" s="2038"/>
      <c r="AA9" s="2038"/>
      <c r="AB9" s="2038"/>
    </row>
    <row r="10" spans="1:31" ht="13.5" customHeight="1">
      <c r="A10" s="900"/>
      <c r="B10" s="5558"/>
      <c r="C10" s="2657"/>
      <c r="D10" s="61"/>
      <c r="E10" s="61"/>
      <c r="F10" s="61"/>
      <c r="G10" s="61"/>
      <c r="H10" s="274"/>
      <c r="I10" s="22"/>
      <c r="J10" s="22"/>
      <c r="K10" s="22"/>
      <c r="L10" s="37" t="s">
        <v>1574</v>
      </c>
      <c r="M10" s="944" t="s">
        <v>167</v>
      </c>
      <c r="N10" s="2658" t="str">
        <f>IF(NOT(L4),"",IF(SUM(A7:A13)=0,0,SUM(A7:A13)))</f>
        <v/>
      </c>
      <c r="O10" s="83"/>
      <c r="P10" s="1009"/>
      <c r="Q10" s="1009"/>
      <c r="R10" s="1009"/>
      <c r="S10" s="2396"/>
      <c r="T10" s="2038"/>
      <c r="U10" s="2038"/>
      <c r="V10" s="2038"/>
      <c r="W10" s="2038"/>
      <c r="X10" s="2038"/>
      <c r="Y10" s="2038"/>
      <c r="Z10" s="2038"/>
      <c r="AA10" s="2038"/>
      <c r="AB10" s="2038"/>
    </row>
    <row r="11" spans="1:31" ht="13.5" customHeight="1">
      <c r="A11" s="1994">
        <f>IF(E11&lt;&gt;"",1,0)</f>
        <v>0</v>
      </c>
      <c r="B11" s="942"/>
      <c r="C11" s="2657"/>
      <c r="D11" s="61"/>
      <c r="E11" s="5514" t="str">
        <f>IF(NOT(L4),"",IF(sp_over_64&lt;&gt;"","X",""))</f>
        <v/>
      </c>
      <c r="F11" s="1884" t="s">
        <v>1575</v>
      </c>
      <c r="G11" s="1884"/>
      <c r="H11" s="61" t="str">
        <f>"January 2, "&amp;TaxYear-64</f>
        <v>January 2, 1959</v>
      </c>
      <c r="I11" s="22"/>
      <c r="J11" s="22"/>
      <c r="K11" s="22"/>
      <c r="L11" s="37"/>
      <c r="M11" s="37"/>
      <c r="N11" s="13"/>
      <c r="O11" s="83"/>
      <c r="P11" s="1009"/>
      <c r="Q11" s="1009"/>
      <c r="R11" s="1009"/>
      <c r="S11" s="2396"/>
      <c r="T11" s="2038"/>
      <c r="U11" s="2038"/>
      <c r="V11" s="2038"/>
      <c r="W11" s="2038"/>
      <c r="X11" s="2038"/>
      <c r="Y11" s="2038"/>
      <c r="Z11" s="2038"/>
      <c r="AA11" s="2038"/>
      <c r="AB11" s="2038"/>
    </row>
    <row r="12" spans="1:31" ht="7.5" customHeight="1">
      <c r="A12" s="900"/>
      <c r="B12" s="5558"/>
      <c r="C12" s="2657"/>
      <c r="D12" s="61"/>
      <c r="E12" s="61"/>
      <c r="F12" s="61"/>
      <c r="G12" s="61"/>
      <c r="H12" s="274"/>
      <c r="I12" s="22"/>
      <c r="J12" s="22"/>
      <c r="K12" s="22"/>
      <c r="L12" s="37"/>
      <c r="M12" s="37"/>
      <c r="N12" s="13"/>
      <c r="O12" s="83"/>
      <c r="P12" s="1009"/>
      <c r="Q12" s="1009"/>
      <c r="R12" s="1009"/>
      <c r="S12" s="2396"/>
      <c r="T12" s="2038"/>
      <c r="U12" s="2038"/>
      <c r="V12" s="2038"/>
      <c r="W12" s="2038"/>
      <c r="X12" s="2038"/>
      <c r="Y12" s="2038"/>
      <c r="Z12" s="2038"/>
      <c r="AA12" s="2038"/>
      <c r="AB12" s="2038"/>
    </row>
    <row r="13" spans="1:31" ht="13.5" customHeight="1">
      <c r="A13" s="1994">
        <f>IF(E13&lt;&gt;"",1,0)</f>
        <v>0</v>
      </c>
      <c r="B13" s="5558"/>
      <c r="C13" s="2657"/>
      <c r="D13" s="61"/>
      <c r="E13" s="5514" t="str">
        <f>IF(NOT(L4),"",IF(sp_blind&lt;&gt;"","X",""))</f>
        <v/>
      </c>
      <c r="F13" s="1884" t="s">
        <v>1576</v>
      </c>
      <c r="G13" s="1884"/>
      <c r="H13" s="274"/>
      <c r="I13" s="22"/>
      <c r="J13" s="22"/>
      <c r="K13" s="22"/>
      <c r="L13" s="37"/>
      <c r="M13" s="37"/>
      <c r="N13" s="13"/>
      <c r="O13" s="83"/>
      <c r="P13" s="1009"/>
      <c r="Q13" s="2634" t="s">
        <v>1113</v>
      </c>
      <c r="R13" s="1009"/>
      <c r="S13" s="2396"/>
      <c r="T13" s="2038"/>
      <c r="U13" s="2038"/>
      <c r="V13" s="2038"/>
      <c r="W13" s="2038"/>
      <c r="X13" s="2038"/>
      <c r="Y13" s="2038"/>
      <c r="Z13" s="2038"/>
      <c r="AA13" s="2038"/>
      <c r="AB13" s="2038"/>
    </row>
    <row r="14" spans="1:31" ht="13.5" customHeight="1">
      <c r="A14" s="892"/>
      <c r="B14" s="5506"/>
      <c r="C14" s="61"/>
      <c r="D14" s="23"/>
      <c r="E14" s="61"/>
      <c r="F14" s="4793"/>
      <c r="G14" s="4793"/>
      <c r="H14" s="632"/>
      <c r="I14" s="4794"/>
      <c r="J14" s="219"/>
      <c r="K14" s="219"/>
      <c r="L14" s="219"/>
      <c r="M14" s="219"/>
      <c r="N14" s="13"/>
      <c r="O14" s="83"/>
      <c r="P14" s="1009"/>
      <c r="Q14" s="2634" t="s">
        <v>867</v>
      </c>
      <c r="R14" s="1009"/>
      <c r="S14" s="2396"/>
      <c r="T14" s="2038"/>
      <c r="U14" s="2038"/>
      <c r="V14" s="2038"/>
      <c r="W14" s="2038"/>
      <c r="X14" s="2038"/>
      <c r="Y14" s="2038"/>
      <c r="Z14" s="2038"/>
      <c r="AA14" s="2038"/>
      <c r="AB14" s="2038"/>
    </row>
    <row r="15" spans="1:31" ht="13.5" customHeight="1">
      <c r="A15" s="892"/>
      <c r="B15" s="5506"/>
      <c r="C15" s="61"/>
      <c r="D15" s="23"/>
      <c r="E15" s="61"/>
      <c r="F15" s="4793"/>
      <c r="G15" s="4793"/>
      <c r="H15" s="632"/>
      <c r="I15" s="4794"/>
      <c r="J15" s="219"/>
      <c r="K15" s="219"/>
      <c r="L15" s="3454" t="s">
        <v>1577</v>
      </c>
      <c r="M15" s="219"/>
      <c r="N15" s="3455" t="str">
        <f>IF(Q15&lt;&gt;"",ROUND(Q15,0),IF(NOT(L4),"",Earned_Income))</f>
        <v/>
      </c>
      <c r="O15" s="83"/>
      <c r="P15" s="1009"/>
      <c r="Q15" s="3228"/>
      <c r="R15" s="1009"/>
      <c r="S15" s="2396"/>
      <c r="T15" s="2038"/>
      <c r="U15" s="2038"/>
      <c r="V15" s="2038"/>
      <c r="W15" s="2038"/>
      <c r="X15" s="2038"/>
      <c r="Y15" s="2038"/>
      <c r="Z15" s="2038"/>
      <c r="AA15" s="2038"/>
      <c r="AB15" s="2038"/>
    </row>
    <row r="16" spans="1:31" ht="18.75" customHeight="1">
      <c r="A16" s="892"/>
      <c r="B16" s="942" t="s">
        <v>171</v>
      </c>
      <c r="C16" s="1299"/>
      <c r="D16" s="61" t="s">
        <v>1578</v>
      </c>
      <c r="E16" s="61"/>
      <c r="F16" s="61"/>
      <c r="G16" s="61" t="str">
        <f>"more than "&amp;TEXT(L16,"$0")&amp;"?"</f>
        <v>more than $750?</v>
      </c>
      <c r="H16" s="632"/>
      <c r="I16" s="219">
        <v>1250</v>
      </c>
      <c r="J16" s="219"/>
      <c r="K16" s="219"/>
      <c r="L16" s="13">
        <v>750</v>
      </c>
      <c r="M16" s="13"/>
      <c r="N16" s="13">
        <f>SD_Inc_Single</f>
        <v>1850</v>
      </c>
      <c r="O16" s="83"/>
      <c r="P16" s="1009"/>
      <c r="Q16" s="1009"/>
      <c r="R16" s="1009"/>
      <c r="S16" s="2396"/>
      <c r="T16" s="2038"/>
      <c r="U16" s="2038"/>
      <c r="V16" s="2038"/>
      <c r="W16" s="2038"/>
      <c r="X16" s="2038"/>
      <c r="Y16" s="2038"/>
      <c r="Z16" s="2038"/>
      <c r="AA16" s="2038"/>
      <c r="AB16" s="2038"/>
    </row>
    <row r="17" spans="1:28" ht="13.5" customHeight="1">
      <c r="A17" s="892"/>
      <c r="B17" s="942"/>
      <c r="C17" s="5514" t="str">
        <f>IF(NOT(L4),"",IF(N15&gt;L16,"X",""))</f>
        <v/>
      </c>
      <c r="D17" s="37" t="s">
        <v>1069</v>
      </c>
      <c r="E17" s="22" t="str">
        <f>"Add "&amp;TEXT(I17,"$0")&amp;" to your earned income. Enter the total"</f>
        <v>Add $400 to your earned income. Enter the total</v>
      </c>
      <c r="F17" s="22"/>
      <c r="G17" s="22"/>
      <c r="H17" s="22"/>
      <c r="I17" s="219">
        <v>400</v>
      </c>
      <c r="J17" s="219"/>
      <c r="K17" s="219"/>
      <c r="L17" s="13"/>
      <c r="M17" s="13"/>
      <c r="N17" s="13"/>
      <c r="O17" s="83"/>
      <c r="P17" s="1009"/>
      <c r="Q17" s="1009"/>
      <c r="R17" s="1009"/>
      <c r="S17" s="2396"/>
      <c r="T17" s="2038"/>
      <c r="U17" s="2038"/>
      <c r="V17" s="2038"/>
      <c r="W17" s="2038"/>
      <c r="X17" s="2038"/>
      <c r="Y17" s="2038"/>
      <c r="Z17" s="2038"/>
      <c r="AA17" s="2038"/>
      <c r="AB17" s="2038"/>
    </row>
    <row r="18" spans="1:28" ht="13.5" customHeight="1">
      <c r="A18" s="892"/>
      <c r="B18" s="942"/>
      <c r="C18" s="5514" t="str">
        <f>IF(NOT(L4),"",IF(N15&gt;L16,"","X"))</f>
        <v/>
      </c>
      <c r="D18" s="37" t="s">
        <v>1067</v>
      </c>
      <c r="E18" s="22" t="str">
        <f>"Enter "&amp;TEXT(I16,"$0,000")</f>
        <v>Enter $1,250</v>
      </c>
      <c r="F18" s="22"/>
      <c r="G18" s="22"/>
      <c r="H18" s="22"/>
      <c r="I18" s="5515"/>
      <c r="J18" s="2139"/>
      <c r="K18" s="2139"/>
      <c r="L18" s="2139"/>
      <c r="M18" s="2129" t="str">
        <f>" .   .   .   .   .   .   .   .   .   .   .   .   .   .   2."</f>
        <v xml:space="preserve"> .   .   .   .   .   .   .   .   .   .   .   .   .   .   2.</v>
      </c>
      <c r="N18" s="5512" t="str">
        <f>IF(NOT(L4),"",IF(C17="X",SUM(I17,N15),I16))</f>
        <v/>
      </c>
      <c r="O18" s="83"/>
      <c r="P18" s="1009"/>
      <c r="Q18" s="1009"/>
      <c r="R18" s="1009"/>
      <c r="S18" s="2396"/>
      <c r="T18" s="2038"/>
      <c r="U18" s="2038"/>
      <c r="V18" s="2038"/>
      <c r="W18" s="2038"/>
      <c r="X18" s="2038"/>
      <c r="Y18" s="2038"/>
      <c r="Z18" s="2038"/>
      <c r="AA18" s="2038"/>
      <c r="AB18" s="2038"/>
    </row>
    <row r="19" spans="1:28" ht="13.5" customHeight="1">
      <c r="A19" s="892"/>
      <c r="B19" s="942"/>
      <c r="C19" s="1299"/>
      <c r="D19" s="61"/>
      <c r="E19" s="61"/>
      <c r="F19" s="61"/>
      <c r="G19" s="61"/>
      <c r="H19" s="632"/>
      <c r="I19" s="219"/>
      <c r="J19" s="219"/>
      <c r="K19" s="219"/>
      <c r="L19" s="13"/>
      <c r="M19" s="22"/>
      <c r="N19" s="13"/>
      <c r="O19" s="83"/>
      <c r="P19" s="1009"/>
      <c r="Q19" s="1009"/>
      <c r="R19" s="1009"/>
      <c r="S19" s="2396"/>
      <c r="T19" s="2038"/>
      <c r="U19" s="2038"/>
      <c r="V19" s="2038"/>
      <c r="W19" s="2038"/>
      <c r="X19" s="2038"/>
      <c r="Y19" s="2038"/>
      <c r="Z19" s="2038"/>
      <c r="AA19" s="2038"/>
      <c r="AB19" s="2038"/>
    </row>
    <row r="20" spans="1:28" ht="13.5" customHeight="1">
      <c r="A20" s="892"/>
      <c r="B20" s="942" t="s">
        <v>177</v>
      </c>
      <c r="C20" s="1299"/>
      <c r="D20" s="22" t="s">
        <v>1183</v>
      </c>
      <c r="E20" s="22"/>
      <c r="F20" s="22"/>
      <c r="G20" s="22"/>
      <c r="H20" s="22"/>
      <c r="I20" s="13"/>
      <c r="J20" s="1973"/>
      <c r="K20" s="1973"/>
      <c r="L20" s="13"/>
      <c r="M20" s="2129"/>
      <c r="N20" s="296"/>
      <c r="O20" s="83"/>
      <c r="P20" s="1009"/>
      <c r="Q20" s="1009"/>
      <c r="R20" s="1009"/>
      <c r="S20" s="2396"/>
      <c r="T20" s="2038"/>
      <c r="U20" s="2038"/>
      <c r="V20" s="2038"/>
      <c r="W20" s="2038"/>
      <c r="X20" s="2038"/>
      <c r="Y20" s="2038"/>
      <c r="Z20" s="2038"/>
      <c r="AA20" s="2038"/>
      <c r="AB20" s="2038"/>
    </row>
    <row r="21" spans="1:28" ht="13.5" customHeight="1">
      <c r="A21" s="892"/>
      <c r="B21" s="5558"/>
      <c r="C21" s="22"/>
      <c r="D21" s="631" t="str">
        <f>"•  Single or married filing separately -- "&amp;TEXT(SD_Single,"$0,000")</f>
        <v>•  Single or married filing separately -- $13,850</v>
      </c>
      <c r="E21" s="22"/>
      <c r="F21" s="22"/>
      <c r="G21" s="22"/>
      <c r="H21" s="644"/>
      <c r="I21" s="644"/>
      <c r="J21" s="644"/>
      <c r="K21" s="644"/>
      <c r="L21" s="13"/>
      <c r="M21" s="296"/>
      <c r="N21" s="22"/>
      <c r="O21" s="83"/>
      <c r="P21" s="1009"/>
      <c r="Q21" s="1009"/>
      <c r="R21" s="1009"/>
      <c r="S21" s="2396"/>
      <c r="T21" s="2038"/>
      <c r="U21" s="2038"/>
      <c r="V21" s="2038"/>
      <c r="W21" s="2038"/>
      <c r="X21" s="2038"/>
      <c r="Y21" s="2038"/>
      <c r="Z21" s="2038"/>
      <c r="AA21" s="2038"/>
      <c r="AB21" s="2038"/>
    </row>
    <row r="22" spans="1:28" ht="13.5" customHeight="1">
      <c r="A22" s="1585"/>
      <c r="B22" s="5558"/>
      <c r="C22" s="22"/>
      <c r="D22" s="22" t="str">
        <f>"•  Married filing jointly or qualifying widow(er) -- "&amp;TEXT(SD_MFJW,"$0,000")</f>
        <v>•  Married filing jointly or qualifying widow(er) -- $27,700</v>
      </c>
      <c r="E22" s="22"/>
      <c r="F22" s="22"/>
      <c r="G22" s="22"/>
      <c r="H22" s="22"/>
      <c r="I22" s="22"/>
      <c r="J22" s="22"/>
      <c r="K22" s="22"/>
      <c r="L22" s="296"/>
      <c r="M22" s="2129" t="str">
        <f>" .   .   .   .   .   .   .   .   .   .   .   .   .   .   3."</f>
        <v xml:space="preserve"> .   .   .   .   .   .   .   .   .   .   .   .   .   .   3.</v>
      </c>
      <c r="N22" s="5512" t="str">
        <f>IF(NOT(L4),"",IF(OR(File_Single&lt;&gt;"",File_Marr_Sep&lt;&gt;""),SD_Single,IF(OR(File_Marr_Joint&lt;&gt;"",File_Qual_Widow&lt;&gt;""),SD_MFJW,IF(File_Head&lt;&gt;"",SD_Head,""))))</f>
        <v/>
      </c>
      <c r="O22" s="83"/>
      <c r="P22" s="1009"/>
      <c r="Q22" s="1009"/>
      <c r="R22" s="1009"/>
      <c r="S22" s="2396"/>
      <c r="T22" s="2038"/>
      <c r="U22" s="2038"/>
      <c r="V22" s="2038"/>
      <c r="W22" s="2038"/>
      <c r="X22" s="2038"/>
      <c r="Y22" s="2038"/>
      <c r="Z22" s="2038"/>
      <c r="AA22" s="2038"/>
      <c r="AB22" s="2038"/>
    </row>
    <row r="23" spans="1:28" ht="13.5" customHeight="1">
      <c r="A23" s="1585"/>
      <c r="B23" s="5558"/>
      <c r="C23" s="22"/>
      <c r="D23" s="22" t="str">
        <f>"•  Head of household -- "&amp;TEXT(SD_Head,"$0,000")</f>
        <v>•  Head of household -- $20,800</v>
      </c>
      <c r="E23" s="22"/>
      <c r="F23" s="22"/>
      <c r="G23" s="22"/>
      <c r="H23" s="22"/>
      <c r="I23" s="22"/>
      <c r="J23" s="22"/>
      <c r="K23" s="22"/>
      <c r="L23" s="296"/>
      <c r="M23" s="296"/>
      <c r="N23" s="22"/>
      <c r="O23" s="83"/>
      <c r="P23" s="1009"/>
      <c r="Q23" s="1009"/>
      <c r="R23" s="1009"/>
      <c r="S23" s="2396"/>
      <c r="T23" s="2038"/>
      <c r="U23" s="2038"/>
      <c r="V23" s="2038"/>
      <c r="W23" s="2038"/>
      <c r="X23" s="2038"/>
      <c r="Y23" s="2038"/>
      <c r="Z23" s="2038"/>
      <c r="AA23" s="2038"/>
      <c r="AB23" s="2038"/>
    </row>
    <row r="24" spans="1:28" ht="13.5" customHeight="1">
      <c r="A24" s="1585"/>
      <c r="B24" s="5558"/>
      <c r="C24" s="22"/>
      <c r="D24" s="22"/>
      <c r="E24" s="22"/>
      <c r="F24" s="22"/>
      <c r="G24" s="22"/>
      <c r="H24" s="22"/>
      <c r="I24" s="22"/>
      <c r="J24" s="22"/>
      <c r="K24" s="22"/>
      <c r="L24" s="296"/>
      <c r="M24" s="296"/>
      <c r="N24" s="22"/>
      <c r="O24" s="83"/>
      <c r="P24" s="1009"/>
      <c r="Q24" s="1009"/>
      <c r="R24" s="1009"/>
      <c r="S24" s="2396"/>
      <c r="T24" s="2038"/>
      <c r="U24" s="2038"/>
      <c r="V24" s="2038"/>
      <c r="W24" s="2038"/>
      <c r="X24" s="2038"/>
      <c r="Y24" s="2038"/>
      <c r="Z24" s="2038"/>
      <c r="AA24" s="2038"/>
      <c r="AB24" s="2038"/>
    </row>
    <row r="25" spans="1:28" ht="13.5" customHeight="1">
      <c r="A25" s="1585"/>
      <c r="B25" s="942" t="s">
        <v>182</v>
      </c>
      <c r="C25" s="1299"/>
      <c r="D25" s="23" t="s">
        <v>1579</v>
      </c>
      <c r="E25" s="22"/>
      <c r="F25" s="22"/>
      <c r="G25" s="22"/>
      <c r="H25" s="22"/>
      <c r="I25" s="22"/>
      <c r="J25" s="22"/>
      <c r="K25" s="22"/>
      <c r="L25" s="296"/>
      <c r="M25" s="296"/>
      <c r="N25" s="634"/>
      <c r="O25" s="83"/>
      <c r="P25" s="1009"/>
      <c r="Q25" s="1009"/>
      <c r="R25" s="1009"/>
      <c r="S25" s="2396"/>
      <c r="T25" s="2038"/>
      <c r="U25" s="2038"/>
      <c r="V25" s="2038"/>
      <c r="W25" s="2038"/>
      <c r="X25" s="2038"/>
      <c r="Y25" s="2038"/>
      <c r="Z25" s="2038"/>
      <c r="AA25" s="2038"/>
      <c r="AB25" s="2038"/>
    </row>
    <row r="26" spans="1:28" ht="15.75" customHeight="1">
      <c r="A26" s="1585"/>
      <c r="B26" s="942"/>
      <c r="C26" s="1973" t="s">
        <v>1404</v>
      </c>
      <c r="D26" s="61" t="s">
        <v>5705</v>
      </c>
      <c r="E26" s="22"/>
      <c r="F26" s="22"/>
      <c r="G26" s="22"/>
      <c r="H26" s="705" t="s">
        <v>5706</v>
      </c>
      <c r="I26" s="706" t="str">
        <f>TaxYear-64&amp;" and not blind,"</f>
        <v>1959 and not blind,</v>
      </c>
      <c r="J26" s="706"/>
      <c r="K26" s="706" t="s">
        <v>1580</v>
      </c>
      <c r="L26" s="706"/>
      <c r="M26" s="296"/>
      <c r="N26" s="634"/>
      <c r="O26" s="83"/>
      <c r="P26" s="1009"/>
      <c r="Q26" s="1009"/>
      <c r="R26" s="1009"/>
      <c r="S26" s="2396"/>
      <c r="T26" s="2038"/>
      <c r="U26" s="2038"/>
      <c r="V26" s="2038"/>
      <c r="W26" s="2038"/>
      <c r="X26" s="2038"/>
      <c r="Y26" s="2038"/>
      <c r="Z26" s="2038"/>
      <c r="AA26" s="2038"/>
      <c r="AB26" s="2038"/>
    </row>
    <row r="27" spans="1:28" ht="13.5" customHeight="1">
      <c r="A27" s="1585"/>
      <c r="B27" s="942"/>
      <c r="C27" s="1299"/>
      <c r="D27" s="61" t="s">
        <v>1581</v>
      </c>
      <c r="E27" s="22"/>
      <c r="F27" s="22"/>
      <c r="G27" s="22"/>
      <c r="H27" s="22"/>
      <c r="I27" s="22"/>
      <c r="J27" s="22"/>
      <c r="K27" s="22"/>
      <c r="L27" s="2129" t="s">
        <v>990</v>
      </c>
      <c r="M27" s="2129" t="s">
        <v>1582</v>
      </c>
      <c r="N27" s="5512" t="str">
        <f>IF(NOT(L4),"",MIN(N18,N22))</f>
        <v/>
      </c>
      <c r="O27" s="83"/>
      <c r="P27" s="1009"/>
      <c r="Q27" s="1009"/>
      <c r="R27" s="1009"/>
      <c r="S27" s="2396"/>
      <c r="T27" s="2038"/>
      <c r="U27" s="2038"/>
      <c r="V27" s="2038"/>
      <c r="W27" s="2038"/>
      <c r="X27" s="2038"/>
      <c r="Y27" s="2038"/>
      <c r="Z27" s="2038"/>
      <c r="AA27" s="2038"/>
      <c r="AB27" s="2038"/>
    </row>
    <row r="28" spans="1:28" ht="13.5" customHeight="1">
      <c r="A28" s="892"/>
      <c r="B28" s="942"/>
      <c r="C28" s="1973" t="s">
        <v>1363</v>
      </c>
      <c r="D28" s="61" t="str">
        <f>"If born before January 2, "&amp;TaxYear-64&amp;", or blind, multiply the number on line 1 by "&amp;TEXT(N28,"$0,000")</f>
        <v>If born before January 2, 1959, or blind, multiply the number on line 1 by $1,500</v>
      </c>
      <c r="E28" s="22"/>
      <c r="F28" s="22"/>
      <c r="G28" s="22"/>
      <c r="H28" s="22"/>
      <c r="I28" s="22"/>
      <c r="J28" s="22"/>
      <c r="K28" s="22"/>
      <c r="L28" s="296"/>
      <c r="M28" s="296"/>
      <c r="N28" s="1631">
        <f>SD_Inc_Married</f>
        <v>1500</v>
      </c>
      <c r="O28" s="83"/>
      <c r="P28" s="1009"/>
      <c r="Q28" s="1009"/>
      <c r="R28" s="1009"/>
      <c r="S28" s="2396"/>
      <c r="T28" s="2038"/>
      <c r="U28" s="2038"/>
      <c r="V28" s="2038"/>
      <c r="W28" s="2038"/>
      <c r="X28" s="2038"/>
      <c r="Y28" s="2038"/>
      <c r="Z28" s="2038"/>
      <c r="AA28" s="2038"/>
      <c r="AB28" s="2038"/>
    </row>
    <row r="29" spans="1:28" ht="13.5" customHeight="1">
      <c r="A29" s="808"/>
      <c r="B29" s="942"/>
      <c r="C29" s="1299"/>
      <c r="D29" s="61" t="str">
        <f>"("&amp;TEXT(N16,"$0,000")&amp;" if single or head of household)"</f>
        <v>($1,850 if single or head of household)</v>
      </c>
      <c r="E29" s="22"/>
      <c r="F29" s="22"/>
      <c r="G29" s="22"/>
      <c r="H29" s="22"/>
      <c r="I29" s="22"/>
      <c r="J29" s="22"/>
      <c r="K29" s="22"/>
      <c r="L29" s="296"/>
      <c r="M29" s="2129" t="s">
        <v>1583</v>
      </c>
      <c r="N29" s="5512" t="str">
        <f>IF(OR(NOT(L4),AND(you_over_64="",sp_over_64="",you_blind="",sp_blind="")),"",IF(OR(File_Single&lt;&gt;"",File_Head&lt;&gt;""),N10*N16,N10*N28))</f>
        <v/>
      </c>
      <c r="O29" s="83"/>
      <c r="P29" s="1009"/>
      <c r="Q29" s="1009"/>
      <c r="R29" s="1009"/>
      <c r="S29" s="2396"/>
      <c r="T29" s="2038"/>
      <c r="U29" s="2038"/>
      <c r="V29" s="2038"/>
      <c r="W29" s="2038"/>
      <c r="X29" s="2038"/>
      <c r="Y29" s="2038"/>
      <c r="Z29" s="2038"/>
      <c r="AA29" s="2038"/>
      <c r="AB29" s="2038"/>
    </row>
    <row r="30" spans="1:28" ht="13.5" customHeight="1">
      <c r="A30" s="808"/>
      <c r="B30" s="942"/>
      <c r="C30" s="2139" t="s">
        <v>1381</v>
      </c>
      <c r="D30" s="61" t="s">
        <v>1584</v>
      </c>
      <c r="E30" s="22"/>
      <c r="F30" s="22"/>
      <c r="G30" s="22"/>
      <c r="H30" s="22"/>
      <c r="I30" s="22"/>
      <c r="J30" s="22"/>
      <c r="K30" s="22"/>
      <c r="L30" s="22"/>
      <c r="M30" s="2129" t="s">
        <v>1585</v>
      </c>
      <c r="N30" s="5512" t="str">
        <f>IF(NOT(L4),"",SUM(N27,N29))</f>
        <v/>
      </c>
      <c r="O30" s="83"/>
      <c r="P30" s="1009"/>
      <c r="Q30" s="1009"/>
      <c r="R30" s="1009"/>
      <c r="S30" s="2396"/>
      <c r="T30" s="2038"/>
      <c r="U30" s="2038"/>
      <c r="V30" s="2038"/>
      <c r="W30" s="2038"/>
      <c r="X30" s="2038"/>
      <c r="Y30" s="2038"/>
      <c r="Z30" s="2038"/>
      <c r="AA30" s="2038"/>
      <c r="AB30" s="2038"/>
    </row>
    <row r="31" spans="1:28" ht="13.5" customHeight="1">
      <c r="A31" s="808"/>
      <c r="B31" s="942"/>
      <c r="C31" s="61"/>
      <c r="D31" s="61"/>
      <c r="E31" s="22"/>
      <c r="F31" s="22"/>
      <c r="G31" s="22"/>
      <c r="H31" s="22"/>
      <c r="I31" s="22"/>
      <c r="J31" s="22"/>
      <c r="K31" s="22"/>
      <c r="L31" s="22"/>
      <c r="M31" s="2139"/>
      <c r="N31" s="296"/>
      <c r="O31" s="83"/>
      <c r="P31" s="1009"/>
      <c r="Q31" s="1009"/>
      <c r="R31" s="1009"/>
      <c r="S31" s="2396"/>
      <c r="T31" s="2038"/>
      <c r="U31" s="2038"/>
      <c r="V31" s="2038"/>
      <c r="W31" s="2038"/>
      <c r="X31" s="2038"/>
      <c r="Y31" s="2038"/>
      <c r="Z31" s="2038"/>
      <c r="AA31" s="2038"/>
      <c r="AB31" s="2038"/>
    </row>
    <row r="32" spans="1:28" ht="13.5" customHeight="1">
      <c r="A32" s="808"/>
      <c r="B32" s="707" t="s">
        <v>1586</v>
      </c>
      <c r="C32" s="1299"/>
      <c r="D32" s="22"/>
      <c r="E32" s="22"/>
      <c r="F32" s="22"/>
      <c r="G32" s="22"/>
      <c r="H32" s="22"/>
      <c r="I32" s="22"/>
      <c r="J32" s="22"/>
      <c r="K32" s="22"/>
      <c r="L32" s="22"/>
      <c r="M32" s="22"/>
      <c r="N32" s="22"/>
      <c r="O32" s="83"/>
      <c r="P32" s="1009"/>
      <c r="Q32" s="1009"/>
      <c r="R32" s="1009"/>
      <c r="S32" s="2396"/>
      <c r="T32" s="2038"/>
      <c r="U32" s="2038"/>
      <c r="V32" s="2038"/>
      <c r="W32" s="2038"/>
      <c r="X32" s="2038"/>
      <c r="Y32" s="2038"/>
      <c r="Z32" s="2038"/>
      <c r="AA32" s="2038"/>
      <c r="AB32" s="2038"/>
    </row>
    <row r="33" spans="1:28" ht="13.5" customHeight="1">
      <c r="A33" s="808"/>
      <c r="B33" s="708" t="s">
        <v>1587</v>
      </c>
      <c r="C33" s="1299"/>
      <c r="D33" s="22"/>
      <c r="E33" s="22"/>
      <c r="F33" s="22"/>
      <c r="G33" s="22"/>
      <c r="H33" s="22"/>
      <c r="I33" s="22"/>
      <c r="J33" s="22"/>
      <c r="K33" s="22"/>
      <c r="L33" s="22"/>
      <c r="M33" s="22"/>
      <c r="N33" s="22"/>
      <c r="O33" s="83"/>
      <c r="P33" s="1009"/>
      <c r="Q33" s="1009"/>
      <c r="R33" s="1009"/>
      <c r="S33" s="2396"/>
      <c r="T33" s="2038"/>
      <c r="U33" s="2038"/>
      <c r="V33" s="2038"/>
      <c r="W33" s="2038"/>
      <c r="X33" s="2038"/>
      <c r="Y33" s="2038"/>
      <c r="Z33" s="2038"/>
      <c r="AA33" s="2038"/>
      <c r="AB33" s="2038"/>
    </row>
    <row r="34" spans="1:28" ht="16.5" customHeight="1">
      <c r="A34" s="808"/>
      <c r="B34" s="5191" t="s">
        <v>1588</v>
      </c>
      <c r="C34" s="22"/>
      <c r="D34" s="22"/>
      <c r="E34" s="22"/>
      <c r="F34" s="22"/>
      <c r="G34" s="22"/>
      <c r="H34" s="22"/>
      <c r="I34" s="22"/>
      <c r="J34" s="22"/>
      <c r="K34" s="22"/>
      <c r="L34" s="22"/>
      <c r="M34" s="22"/>
      <c r="N34" s="22"/>
      <c r="O34" s="83"/>
      <c r="P34" s="1009"/>
      <c r="Q34" s="1009"/>
      <c r="R34" s="1009"/>
      <c r="S34" s="2396"/>
      <c r="T34" s="2038"/>
      <c r="U34" s="2038"/>
      <c r="V34" s="2038"/>
      <c r="W34" s="2038"/>
      <c r="X34" s="2038"/>
      <c r="Y34" s="2038"/>
      <c r="Z34" s="2038"/>
      <c r="AA34" s="2038"/>
      <c r="AB34" s="2038"/>
    </row>
    <row r="35" spans="1:28" ht="16.5" customHeight="1" thickBot="1">
      <c r="A35" s="808"/>
      <c r="B35" s="5192" t="s">
        <v>1589</v>
      </c>
      <c r="C35" s="34"/>
      <c r="D35" s="34"/>
      <c r="E35" s="34"/>
      <c r="F35" s="34"/>
      <c r="G35" s="34"/>
      <c r="H35" s="34"/>
      <c r="I35" s="34"/>
      <c r="J35" s="34"/>
      <c r="K35" s="34"/>
      <c r="L35" s="34"/>
      <c r="M35" s="34"/>
      <c r="N35" s="34"/>
      <c r="O35" s="84"/>
      <c r="P35" s="1009"/>
      <c r="Q35" s="1009"/>
      <c r="R35" s="1009"/>
      <c r="S35" s="2396"/>
      <c r="T35" s="2038"/>
      <c r="U35" s="2038"/>
      <c r="V35" s="2038"/>
      <c r="W35" s="2038"/>
      <c r="X35" s="2038"/>
      <c r="Y35" s="2038"/>
      <c r="Z35" s="2038"/>
      <c r="AA35" s="2038"/>
      <c r="AB35" s="2038"/>
    </row>
    <row r="36" spans="1:28" ht="13.5" customHeight="1">
      <c r="A36" s="808"/>
      <c r="B36" s="890"/>
      <c r="C36" s="890"/>
      <c r="D36" s="890"/>
      <c r="E36" s="890"/>
      <c r="F36" s="890"/>
      <c r="G36" s="890"/>
      <c r="H36" s="890"/>
      <c r="I36" s="890"/>
      <c r="J36" s="890"/>
      <c r="K36" s="890"/>
      <c r="L36" s="890"/>
      <c r="M36" s="890"/>
      <c r="N36" s="890"/>
      <c r="O36" s="890"/>
      <c r="P36" s="1009"/>
      <c r="Q36" s="1009"/>
      <c r="R36" s="1009"/>
      <c r="S36" s="2922"/>
      <c r="T36" s="2923"/>
      <c r="U36" s="2923"/>
      <c r="V36" s="2923"/>
      <c r="W36" s="2923"/>
      <c r="X36" s="2923"/>
      <c r="Y36" s="2923"/>
      <c r="Z36" s="2923"/>
      <c r="AA36" s="2923"/>
      <c r="AB36" s="2923"/>
    </row>
    <row r="40" spans="1:28">
      <c r="H40" s="676"/>
    </row>
  </sheetData>
  <sheetProtection algorithmName="SHA-512" hashValue="vR6/UXdnnjA3v71M4v0tZD78xtufs012H482UQFmpeBURtXW8nVgDGUMww0Jk1lYSSzjfeQaER0gDYZ1WQPYWQ==" saltValue="k1LeLe3yOU7rPehyAq6Zrw==" spinCount="100000" sheet="1" objects="1" scenarios="1"/>
  <conditionalFormatting sqref="C5">
    <cfRule type="expression" dxfId="2694" priority="1">
      <formula>AND(NOT(NoColor),NOT($L$4))</formula>
    </cfRule>
  </conditionalFormatting>
  <conditionalFormatting sqref="C17:C18">
    <cfRule type="expression" dxfId="2693" priority="40">
      <formula>IF(NoColor,1,0)</formula>
    </cfRule>
  </conditionalFormatting>
  <conditionalFormatting sqref="E7">
    <cfRule type="expression" dxfId="2692" priority="6">
      <formula>IF(NoColor,1,0)</formula>
    </cfRule>
  </conditionalFormatting>
  <conditionalFormatting sqref="E9">
    <cfRule type="expression" dxfId="2691" priority="4">
      <formula>IF(NoColor,1,0)</formula>
    </cfRule>
  </conditionalFormatting>
  <conditionalFormatting sqref="E11">
    <cfRule type="expression" dxfId="2690" priority="5">
      <formula>IF(NoColor,1,0)</formula>
    </cfRule>
  </conditionalFormatting>
  <conditionalFormatting sqref="E13">
    <cfRule type="expression" dxfId="2689" priority="3">
      <formula>IF(NoColor,1,0)</formula>
    </cfRule>
  </conditionalFormatting>
  <conditionalFormatting sqref="N10">
    <cfRule type="expression" dxfId="2688" priority="2">
      <formula>IF(NoColor,1,0)</formula>
    </cfRule>
  </conditionalFormatting>
  <conditionalFormatting sqref="N18">
    <cfRule type="expression" dxfId="2687" priority="39">
      <formula>IF(NoColor,1,0)</formula>
    </cfRule>
  </conditionalFormatting>
  <conditionalFormatting sqref="N22">
    <cfRule type="expression" dxfId="2686" priority="38">
      <formula>IF(NoColor,1,0)</formula>
    </cfRule>
  </conditionalFormatting>
  <conditionalFormatting sqref="N27">
    <cfRule type="expression" dxfId="2685" priority="37">
      <formula>IF(NoColor,1,0)</formula>
    </cfRule>
  </conditionalFormatting>
  <conditionalFormatting sqref="N29:N30">
    <cfRule type="expression" dxfId="2684" priority="35">
      <formula>IF(NoColor,1,0)</formula>
    </cfRule>
  </conditionalFormatting>
  <pageMargins left="0.75" right="0.25" top="0.36" bottom="0.28999999999999998" header="0.36" footer="0.21"/>
  <pageSetup scale="84"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M171"/>
  <sheetViews>
    <sheetView zoomScale="115" zoomScaleNormal="115" zoomScaleSheetLayoutView="100" workbookViewId="0">
      <selection activeCell="J31" sqref="J31"/>
    </sheetView>
  </sheetViews>
  <sheetFormatPr defaultColWidth="9.140625" defaultRowHeight="12.75"/>
  <cols>
    <col min="1" max="1" width="2.5703125" style="39" customWidth="1"/>
    <col min="2" max="2" width="1.7109375" style="39" customWidth="1"/>
    <col min="3" max="3" width="3" style="39" customWidth="1"/>
    <col min="4" max="4" width="2.28515625" style="39" customWidth="1"/>
    <col min="5" max="5" width="6" style="39" customWidth="1"/>
    <col min="6" max="6" width="9" style="39" customWidth="1"/>
    <col min="7" max="7" width="4" style="39" customWidth="1"/>
    <col min="8" max="8" width="29.5703125" style="39" customWidth="1"/>
    <col min="9" max="9" width="4" style="39" customWidth="1"/>
    <col min="10" max="10" width="15.7109375" style="39" customWidth="1"/>
    <col min="11" max="11" width="4" style="39" customWidth="1"/>
    <col min="12" max="12" width="15.7109375" style="39" customWidth="1"/>
    <col min="13" max="13" width="4" style="39" customWidth="1"/>
    <col min="14" max="14" width="15" style="39" customWidth="1"/>
    <col min="15" max="15" width="4.140625" style="39" customWidth="1"/>
    <col min="16" max="17" width="2.28515625" style="39" customWidth="1"/>
    <col min="18" max="18" width="13.85546875" style="39" customWidth="1"/>
    <col min="19" max="19" width="3" style="39" customWidth="1"/>
    <col min="20" max="20" width="3.42578125" style="39" customWidth="1"/>
    <col min="21" max="26" width="11.85546875" style="39" hidden="1" customWidth="1"/>
    <col min="27" max="27" width="11.42578125" style="39" hidden="1" customWidth="1"/>
    <col min="28" max="28" width="3.42578125" style="39" customWidth="1"/>
    <col min="29" max="30" width="10.7109375" style="2038" customWidth="1"/>
    <col min="31" max="31" width="14.42578125" style="2038" customWidth="1"/>
    <col min="32" max="39" width="10.7109375" style="2038" customWidth="1"/>
    <col min="40" max="46" width="10.7109375" style="39" customWidth="1"/>
    <col min="47" max="16384" width="9.140625" style="39"/>
  </cols>
  <sheetData>
    <row r="1" spans="1:29" ht="19.5" customHeight="1">
      <c r="A1" s="66"/>
      <c r="B1" s="66"/>
      <c r="C1" s="66"/>
      <c r="D1" s="66"/>
      <c r="E1" s="66"/>
      <c r="F1" s="66"/>
      <c r="G1" s="66"/>
      <c r="H1" s="66"/>
      <c r="I1" s="66"/>
      <c r="J1" s="4773"/>
      <c r="K1" s="4773"/>
      <c r="L1" s="66"/>
      <c r="M1" s="66"/>
      <c r="N1" s="66"/>
      <c r="O1" s="66"/>
      <c r="P1" s="66"/>
      <c r="Q1" s="457"/>
      <c r="R1" s="457"/>
      <c r="S1" s="457"/>
      <c r="V1" s="2611"/>
      <c r="AC1" s="2037" t="s">
        <v>241</v>
      </c>
    </row>
    <row r="2" spans="1:29" ht="13.5" customHeight="1" thickBot="1">
      <c r="A2" s="66"/>
      <c r="B2" s="66"/>
      <c r="C2" s="66"/>
      <c r="D2" s="66"/>
      <c r="E2" s="66"/>
      <c r="F2" s="3761" t="b">
        <f>SchDTW_Used</f>
        <v>0</v>
      </c>
      <c r="G2" s="66"/>
      <c r="H2" s="66"/>
      <c r="I2" s="66"/>
      <c r="J2" s="4773"/>
      <c r="K2" s="4773"/>
      <c r="L2" s="2912"/>
      <c r="M2" s="66"/>
      <c r="N2" s="66"/>
      <c r="O2" s="66"/>
      <c r="P2" s="66"/>
      <c r="Q2" s="457"/>
      <c r="R2" s="457"/>
      <c r="S2" s="457"/>
      <c r="V2" s="2611"/>
    </row>
    <row r="3" spans="1:29" ht="19.5" customHeight="1">
      <c r="A3" s="66"/>
      <c r="B3" s="66"/>
      <c r="C3" s="6979" t="str">
        <f>IF(R3,"Yes","No")</f>
        <v>No</v>
      </c>
      <c r="D3" s="6980"/>
      <c r="E3" s="6980"/>
      <c r="F3" s="1119" t="s">
        <v>5896</v>
      </c>
      <c r="G3" s="890"/>
      <c r="H3" s="890"/>
      <c r="I3" s="890"/>
      <c r="J3" s="4774"/>
      <c r="K3" s="4774"/>
      <c r="L3" s="890"/>
      <c r="M3" s="890"/>
      <c r="N3" s="890"/>
      <c r="O3" s="891"/>
      <c r="P3" s="66"/>
      <c r="Q3" s="457"/>
      <c r="R3" s="910" t="b">
        <f>FEI_Tax_Worksheet</f>
        <v>0</v>
      </c>
      <c r="S3" s="457"/>
      <c r="V3" s="2611"/>
      <c r="AC3" s="2396"/>
    </row>
    <row r="4" spans="1:29" ht="6" customHeight="1" thickBot="1">
      <c r="A4" s="66"/>
      <c r="B4" s="66"/>
      <c r="C4" s="895"/>
      <c r="D4" s="896"/>
      <c r="E4" s="896"/>
      <c r="F4" s="1448"/>
      <c r="G4" s="896"/>
      <c r="H4" s="896"/>
      <c r="I4" s="896"/>
      <c r="J4" s="4775"/>
      <c r="K4" s="4775"/>
      <c r="L4" s="896"/>
      <c r="M4" s="896"/>
      <c r="N4" s="896"/>
      <c r="O4" s="897"/>
      <c r="P4" s="66"/>
      <c r="Q4" s="457"/>
      <c r="R4" s="910"/>
      <c r="S4" s="457"/>
      <c r="V4" s="2611"/>
      <c r="AC4" s="2396"/>
    </row>
    <row r="5" spans="1:29" ht="33" customHeight="1">
      <c r="A5" s="66"/>
      <c r="B5" s="66"/>
      <c r="C5" s="6974" t="s">
        <v>5883</v>
      </c>
      <c r="D5" s="6975"/>
      <c r="E5" s="6975"/>
      <c r="F5" s="6975"/>
      <c r="G5" s="6975"/>
      <c r="H5" s="6975"/>
      <c r="I5" s="6975"/>
      <c r="J5" s="6975"/>
      <c r="K5" s="6975"/>
      <c r="L5" s="6975"/>
      <c r="M5" s="6975"/>
      <c r="N5" s="6975"/>
      <c r="O5" s="6976"/>
      <c r="P5" s="66"/>
      <c r="Q5" s="457"/>
      <c r="R5" s="910"/>
      <c r="S5" s="457"/>
      <c r="V5" s="2611"/>
    </row>
    <row r="6" spans="1:29" ht="13.5" customHeight="1">
      <c r="A6" s="66"/>
      <c r="B6" s="66"/>
      <c r="C6" s="6978" t="str">
        <f>IF(R6,"Yes","No")</f>
        <v>No</v>
      </c>
      <c r="D6" s="6241"/>
      <c r="E6" s="6241"/>
      <c r="F6" s="6231" t="s">
        <v>5890</v>
      </c>
      <c r="G6" s="808"/>
      <c r="H6" s="808"/>
      <c r="I6" s="808"/>
      <c r="J6" s="4776"/>
      <c r="K6" s="4776"/>
      <c r="L6" s="892"/>
      <c r="M6" s="808"/>
      <c r="N6" s="808"/>
      <c r="O6" s="860"/>
      <c r="P6" s="66"/>
      <c r="Q6" s="457"/>
      <c r="R6" s="910" t="b">
        <f>AND(SchDTW_Used,SchD_Line1819_GT_0,SchD_Line1516_GT_0)</f>
        <v>0</v>
      </c>
      <c r="S6" s="457"/>
      <c r="V6" s="2611"/>
      <c r="AC6" s="3765" t="s">
        <v>251</v>
      </c>
    </row>
    <row r="7" spans="1:29" ht="14.25" customHeight="1" thickBot="1">
      <c r="A7" s="66"/>
      <c r="B7" s="66"/>
      <c r="C7" s="6986" t="str">
        <f>IF(R7,"Yes","No")</f>
        <v>No</v>
      </c>
      <c r="D7" s="6987"/>
      <c r="E7" s="6987"/>
      <c r="F7" s="6237" t="s">
        <v>5889</v>
      </c>
      <c r="G7" s="896"/>
      <c r="H7" s="896"/>
      <c r="I7" s="896"/>
      <c r="J7" s="4775"/>
      <c r="K7" s="4775"/>
      <c r="L7" s="896"/>
      <c r="M7" s="896"/>
      <c r="N7" s="896"/>
      <c r="O7" s="897"/>
      <c r="P7" s="66"/>
      <c r="Q7" s="457"/>
      <c r="R7" s="910" t="b">
        <f>AND(SchDTW_Used,Form4952_Line4g&lt;&gt;"",Form4952_Line4g&lt;&gt;0)</f>
        <v>0</v>
      </c>
      <c r="S7" s="457"/>
      <c r="V7" s="2611"/>
      <c r="AC7" s="2396"/>
    </row>
    <row r="8" spans="1:29" ht="13.5" customHeight="1">
      <c r="A8" s="66"/>
      <c r="B8" s="66"/>
      <c r="C8" s="6981" t="str">
        <f>IF(CGTW,"Yes","No")</f>
        <v>No</v>
      </c>
      <c r="D8" s="6982"/>
      <c r="E8" s="6982"/>
      <c r="F8" s="2336" t="s">
        <v>1595</v>
      </c>
      <c r="G8" s="808"/>
      <c r="H8" s="808"/>
      <c r="I8" s="808"/>
      <c r="J8" s="4776"/>
      <c r="K8" s="4776"/>
      <c r="L8" s="808"/>
      <c r="M8" s="808"/>
      <c r="N8" s="808"/>
      <c r="O8" s="860"/>
      <c r="P8" s="66"/>
      <c r="Q8" s="457"/>
      <c r="R8" s="910" t="b">
        <f>OR(C19&lt;&gt;"",AND(NOT(R3),NOT(R6),NOT(R7),OR(R9,R10,R11,R12)))</f>
        <v>0</v>
      </c>
      <c r="S8" s="457"/>
      <c r="V8" s="2611"/>
      <c r="AC8" s="2396"/>
    </row>
    <row r="9" spans="1:29" ht="13.5" customHeight="1">
      <c r="A9" s="66"/>
      <c r="B9" s="66"/>
      <c r="C9" s="6983" t="str">
        <f>IF(R9,"Yes","No")</f>
        <v>No</v>
      </c>
      <c r="D9" s="6984"/>
      <c r="E9" s="6984"/>
      <c r="F9" s="1449" t="s">
        <v>1596</v>
      </c>
      <c r="G9" s="808"/>
      <c r="H9" s="808"/>
      <c r="I9" s="808"/>
      <c r="J9" s="4776"/>
      <c r="K9" s="4776"/>
      <c r="L9" s="808"/>
      <c r="M9" s="808"/>
      <c r="N9" s="808"/>
      <c r="O9" s="860"/>
      <c r="P9" s="66"/>
      <c r="Q9" s="457"/>
      <c r="R9" s="910" t="b">
        <f>AND(NOT(SchD_Used),Qualified_Dividends&gt;0)</f>
        <v>0</v>
      </c>
      <c r="S9" s="457"/>
      <c r="V9" s="2611"/>
      <c r="AC9" s="2396"/>
    </row>
    <row r="10" spans="1:29" ht="13.5" customHeight="1">
      <c r="A10" s="66"/>
      <c r="B10" s="66"/>
      <c r="C10" s="6983" t="str">
        <f>IF(R10,"Yes","No")</f>
        <v>No</v>
      </c>
      <c r="D10" s="6985"/>
      <c r="E10" s="6985"/>
      <c r="F10" s="1449" t="s">
        <v>1597</v>
      </c>
      <c r="G10" s="808"/>
      <c r="H10" s="808"/>
      <c r="I10" s="808"/>
      <c r="J10" s="4776"/>
      <c r="K10" s="4776"/>
      <c r="L10" s="808"/>
      <c r="M10" s="808"/>
      <c r="N10" s="808"/>
      <c r="O10" s="860"/>
      <c r="P10" s="66"/>
      <c r="Q10" s="457"/>
      <c r="R10" s="910" t="b">
        <f>AND(SchD_Used,OR(SchDLine20Yes,SchDLine22Yes))</f>
        <v>0</v>
      </c>
      <c r="S10" s="457"/>
      <c r="V10" s="2611"/>
      <c r="AC10" s="2396"/>
    </row>
    <row r="11" spans="1:29" ht="13.5" customHeight="1">
      <c r="A11" s="66"/>
      <c r="B11" s="66"/>
      <c r="C11" s="6983" t="str">
        <f>IF(R11,"Yes","No")</f>
        <v>No</v>
      </c>
      <c r="D11" s="6984"/>
      <c r="E11" s="6984"/>
      <c r="F11" s="1449" t="s">
        <v>1598</v>
      </c>
      <c r="G11" s="808"/>
      <c r="H11" s="808"/>
      <c r="I11" s="808"/>
      <c r="J11" s="4776"/>
      <c r="K11" s="4776"/>
      <c r="L11" s="808"/>
      <c r="M11" s="808"/>
      <c r="N11" s="808"/>
      <c r="O11" s="860"/>
      <c r="P11" s="66"/>
      <c r="Q11" s="457"/>
      <c r="R11" s="910" t="b">
        <f>AND(SchD_NotReqd,CapitalGains&gt;0)</f>
        <v>0</v>
      </c>
      <c r="S11" s="457"/>
      <c r="V11" s="2611"/>
      <c r="AC11" s="2396"/>
    </row>
    <row r="12" spans="1:29" ht="13.5" customHeight="1">
      <c r="A12" s="66"/>
      <c r="B12" s="66"/>
      <c r="C12" s="6983" t="str">
        <f>IF(R12,"Yes","No")</f>
        <v>No</v>
      </c>
      <c r="D12" s="6984"/>
      <c r="E12" s="6984"/>
      <c r="F12" s="1449" t="s">
        <v>1599</v>
      </c>
      <c r="G12" s="808"/>
      <c r="H12" s="808"/>
      <c r="I12" s="808"/>
      <c r="J12" s="4776"/>
      <c r="K12" s="4776"/>
      <c r="L12" s="808"/>
      <c r="M12" s="808"/>
      <c r="N12" s="4952"/>
      <c r="O12" s="860"/>
      <c r="P12" s="66"/>
      <c r="Q12" s="457"/>
      <c r="R12" s="910" t="b">
        <f>AND(SchD_Used,SchDLine15&lt;&gt;"",SchDLine15&gt;0,SchDLine16&lt;&gt;"",SchDLine16&gt;0,NOT(SchD_Line1516_Gains))</f>
        <v>0</v>
      </c>
      <c r="S12" s="457"/>
      <c r="V12" s="2611"/>
      <c r="AC12" s="2396"/>
    </row>
    <row r="13" spans="1:29" ht="13.5" customHeight="1">
      <c r="A13" s="66"/>
      <c r="B13" s="66"/>
      <c r="C13" s="6983" t="b">
        <f>OR(SchDLine18="",SchDLine18=0)</f>
        <v>1</v>
      </c>
      <c r="D13" s="6984"/>
      <c r="E13" s="6984"/>
      <c r="F13" s="892" t="s">
        <v>1601</v>
      </c>
      <c r="G13" s="808"/>
      <c r="H13" s="808"/>
      <c r="I13" s="808"/>
      <c r="J13" s="4776"/>
      <c r="K13" s="4776"/>
      <c r="L13" s="808"/>
      <c r="M13" s="808"/>
      <c r="N13" s="808"/>
      <c r="O13" s="860"/>
      <c r="P13" s="66"/>
      <c r="Q13" s="457"/>
      <c r="R13" s="910"/>
      <c r="S13" s="457"/>
      <c r="V13" s="2611"/>
      <c r="AC13" s="2396"/>
    </row>
    <row r="14" spans="1:29" ht="13.5" customHeight="1">
      <c r="A14" s="66"/>
      <c r="B14" s="66"/>
      <c r="C14" s="6983" t="b">
        <f>OR(SchDLine19="",SchDLine19=0)</f>
        <v>1</v>
      </c>
      <c r="D14" s="6984"/>
      <c r="E14" s="6984"/>
      <c r="F14" s="892" t="s">
        <v>1602</v>
      </c>
      <c r="G14" s="808"/>
      <c r="H14" s="808"/>
      <c r="I14" s="808"/>
      <c r="J14" s="4776"/>
      <c r="K14" s="4776"/>
      <c r="L14" s="808"/>
      <c r="M14" s="808"/>
      <c r="N14" s="808"/>
      <c r="O14" s="860"/>
      <c r="P14" s="66"/>
      <c r="Q14" s="457"/>
      <c r="R14" s="910" t="b">
        <f>AND(C13,C14,C15)</f>
        <v>1</v>
      </c>
      <c r="S14" s="457"/>
      <c r="V14" s="2611"/>
      <c r="AC14" s="2396"/>
    </row>
    <row r="15" spans="1:29" ht="13.5" customHeight="1">
      <c r="A15" s="66"/>
      <c r="B15" s="66"/>
      <c r="C15" s="6983" t="b">
        <f>NOT(Form4952_Filed)</f>
        <v>1</v>
      </c>
      <c r="D15" s="6984"/>
      <c r="E15" s="6984"/>
      <c r="F15" s="892" t="s">
        <v>1603</v>
      </c>
      <c r="G15" s="808"/>
      <c r="H15" s="808"/>
      <c r="I15" s="808"/>
      <c r="J15" s="4776"/>
      <c r="K15" s="4776"/>
      <c r="L15" s="808"/>
      <c r="M15" s="808"/>
      <c r="N15" s="808"/>
      <c r="O15" s="860"/>
      <c r="P15" s="66"/>
      <c r="Q15" s="457"/>
      <c r="R15" s="6228"/>
      <c r="S15" s="457"/>
      <c r="V15" s="2611"/>
      <c r="AC15" s="2396"/>
    </row>
    <row r="16" spans="1:29" ht="13.5" customHeight="1">
      <c r="A16" s="66"/>
      <c r="B16" s="66"/>
      <c r="C16" s="3168" t="s">
        <v>1604</v>
      </c>
      <c r="D16" s="892"/>
      <c r="E16" s="892"/>
      <c r="F16" s="808"/>
      <c r="G16" s="808"/>
      <c r="H16" s="808"/>
      <c r="I16" s="808"/>
      <c r="J16" s="4776"/>
      <c r="K16" s="4776"/>
      <c r="L16" s="808"/>
      <c r="M16" s="808"/>
      <c r="N16" s="808"/>
      <c r="O16" s="860"/>
      <c r="P16" s="66"/>
      <c r="Q16" s="457"/>
      <c r="R16" s="6228"/>
      <c r="S16" s="457"/>
      <c r="V16" s="2611"/>
      <c r="AC16" s="2396"/>
    </row>
    <row r="17" spans="1:29" ht="13.5" customHeight="1" thickBot="1">
      <c r="A17" s="66"/>
      <c r="B17" s="66"/>
      <c r="C17" s="895"/>
      <c r="D17" s="896"/>
      <c r="E17" s="896"/>
      <c r="F17" s="4777" t="s">
        <v>1606</v>
      </c>
      <c r="G17" s="896"/>
      <c r="H17" s="896"/>
      <c r="I17" s="896"/>
      <c r="J17" s="4775"/>
      <c r="K17" s="4775"/>
      <c r="L17" s="896"/>
      <c r="M17" s="896"/>
      <c r="N17" s="896"/>
      <c r="O17" s="897"/>
      <c r="P17" s="66"/>
      <c r="Q17" s="457"/>
      <c r="R17" s="6228"/>
      <c r="S17" s="457"/>
      <c r="V17" s="2611"/>
      <c r="AC17" s="2396"/>
    </row>
    <row r="18" spans="1:29" ht="13.5" customHeight="1" thickBot="1">
      <c r="A18" s="66"/>
      <c r="B18" s="66"/>
      <c r="C18" s="66"/>
      <c r="D18" s="66"/>
      <c r="E18" s="66"/>
      <c r="F18" s="66"/>
      <c r="G18" s="66"/>
      <c r="H18" s="66"/>
      <c r="I18" s="66"/>
      <c r="J18" s="4773"/>
      <c r="K18" s="4773"/>
      <c r="L18" s="66"/>
      <c r="M18" s="66"/>
      <c r="N18" s="66"/>
      <c r="O18" s="66"/>
      <c r="P18" s="66"/>
      <c r="Q18" s="457"/>
      <c r="R18" s="457"/>
      <c r="S18" s="457"/>
      <c r="V18" s="2611"/>
      <c r="AC18" s="2396"/>
    </row>
    <row r="19" spans="1:29" ht="13.5" customHeight="1" thickBot="1">
      <c r="A19" s="66"/>
      <c r="B19" s="66"/>
      <c r="C19" s="1648"/>
      <c r="D19" s="66"/>
      <c r="E19" s="892" t="s">
        <v>1609</v>
      </c>
      <c r="F19" s="808"/>
      <c r="G19" s="808"/>
      <c r="H19" s="808"/>
      <c r="I19" s="66"/>
      <c r="J19" s="4773"/>
      <c r="K19" s="4773"/>
      <c r="L19" s="66"/>
      <c r="M19" s="66"/>
      <c r="N19" s="66"/>
      <c r="O19" s="66"/>
      <c r="P19" s="66"/>
      <c r="Q19" s="457"/>
      <c r="R19" s="457"/>
      <c r="S19" s="457"/>
      <c r="V19" s="2611"/>
      <c r="AC19" s="2396"/>
    </row>
    <row r="20" spans="1:29" ht="13.5" customHeight="1">
      <c r="A20" s="66"/>
      <c r="B20" s="66"/>
      <c r="C20" s="66"/>
      <c r="D20" s="66"/>
      <c r="E20" s="66"/>
      <c r="F20" s="66"/>
      <c r="G20" s="66"/>
      <c r="H20" s="66"/>
      <c r="I20" s="66"/>
      <c r="J20" s="4773"/>
      <c r="K20" s="4773"/>
      <c r="L20" s="66"/>
      <c r="M20" s="66"/>
      <c r="N20" s="66"/>
      <c r="O20" s="66"/>
      <c r="P20" s="66"/>
      <c r="Q20" s="457"/>
      <c r="R20" s="457"/>
      <c r="S20" s="457"/>
      <c r="V20" s="2611"/>
      <c r="AC20" s="2396"/>
    </row>
    <row r="21" spans="1:29" ht="13.5" customHeight="1">
      <c r="A21" s="66"/>
      <c r="B21" s="808"/>
      <c r="C21" s="808"/>
      <c r="D21" s="808"/>
      <c r="E21" s="808"/>
      <c r="F21" s="808"/>
      <c r="G21" s="808"/>
      <c r="H21" s="808"/>
      <c r="I21" s="808"/>
      <c r="J21" s="4776"/>
      <c r="K21" s="4776"/>
      <c r="L21" s="808"/>
      <c r="M21" s="808"/>
      <c r="N21" s="808"/>
      <c r="O21" s="808"/>
      <c r="P21" s="66"/>
      <c r="Q21" s="457"/>
      <c r="R21" s="457"/>
      <c r="S21" s="457"/>
      <c r="V21" s="2611"/>
      <c r="AC21" s="2396"/>
    </row>
    <row r="22" spans="1:29" ht="27.75" customHeight="1">
      <c r="A22" s="66"/>
      <c r="B22" s="22"/>
      <c r="C22" s="2664"/>
      <c r="D22" s="22"/>
      <c r="E22" s="22"/>
      <c r="F22" s="22"/>
      <c r="G22" s="22"/>
      <c r="H22" s="22"/>
      <c r="I22" s="22"/>
      <c r="J22" s="278"/>
      <c r="K22" s="278"/>
      <c r="L22" s="22"/>
      <c r="M22" s="22"/>
      <c r="N22" s="22"/>
      <c r="O22" s="22"/>
      <c r="P22" s="66"/>
      <c r="Q22" s="457"/>
      <c r="R22" s="457"/>
      <c r="S22" s="457"/>
      <c r="V22" s="2611"/>
      <c r="AC22" s="2396"/>
    </row>
    <row r="23" spans="1:29" ht="16.5" customHeight="1" thickBot="1">
      <c r="A23" s="66"/>
      <c r="B23" s="360" t="s">
        <v>100</v>
      </c>
      <c r="C23" s="360"/>
      <c r="D23" s="4778"/>
      <c r="E23" s="34"/>
      <c r="F23" s="34"/>
      <c r="G23" s="34"/>
      <c r="H23" s="34"/>
      <c r="I23" s="34"/>
      <c r="J23" s="4779"/>
      <c r="K23" s="281"/>
      <c r="L23" s="245"/>
      <c r="M23" s="541" t="s">
        <v>1615</v>
      </c>
      <c r="N23" s="282"/>
      <c r="O23" s="282"/>
      <c r="P23" s="539"/>
      <c r="Q23" s="457"/>
      <c r="R23" s="457"/>
      <c r="S23" s="457"/>
      <c r="V23" s="2611"/>
      <c r="AC23" s="2396"/>
    </row>
    <row r="24" spans="1:29" ht="19.5" customHeight="1">
      <c r="A24" s="66"/>
      <c r="B24" s="4780"/>
      <c r="C24" s="523" t="s">
        <v>1617</v>
      </c>
      <c r="D24" s="4781"/>
      <c r="E24" s="30"/>
      <c r="F24" s="22"/>
      <c r="G24" s="524" t="s">
        <v>1618</v>
      </c>
      <c r="H24" s="695" t="s">
        <v>1619</v>
      </c>
      <c r="I24" s="30"/>
      <c r="J24" s="4782"/>
      <c r="K24" s="525"/>
      <c r="L24" s="30"/>
      <c r="M24" s="30"/>
      <c r="N24" s="526"/>
      <c r="O24" s="527"/>
      <c r="P24" s="539"/>
      <c r="Q24" s="457"/>
      <c r="R24" s="457"/>
      <c r="S24" s="457"/>
      <c r="V24" s="2611"/>
      <c r="AC24" s="2396"/>
    </row>
    <row r="25" spans="1:29" ht="14.25" customHeight="1">
      <c r="A25" s="66"/>
      <c r="B25" s="4783"/>
      <c r="C25" s="358"/>
      <c r="D25" s="23"/>
      <c r="E25" s="22"/>
      <c r="F25" s="22"/>
      <c r="G25" s="524" t="s">
        <v>1618</v>
      </c>
      <c r="H25" s="764" t="s">
        <v>1621</v>
      </c>
      <c r="I25" s="22"/>
      <c r="J25" s="278"/>
      <c r="K25" s="528"/>
      <c r="L25" s="22"/>
      <c r="M25" s="22"/>
      <c r="N25" s="73"/>
      <c r="O25" s="529"/>
      <c r="P25" s="539"/>
      <c r="Q25" s="457"/>
      <c r="R25" s="457"/>
      <c r="S25" s="457"/>
      <c r="V25" s="2611"/>
      <c r="AC25" s="2396"/>
    </row>
    <row r="26" spans="1:29" ht="15.75" customHeight="1">
      <c r="A26" s="66"/>
      <c r="B26" s="4783"/>
      <c r="C26" s="1972"/>
      <c r="D26" s="23"/>
      <c r="E26" s="22"/>
      <c r="F26" s="22"/>
      <c r="G26" s="524" t="s">
        <v>1618</v>
      </c>
      <c r="H26" s="22" t="s">
        <v>1623</v>
      </c>
      <c r="I26" s="22"/>
      <c r="J26" s="278"/>
      <c r="K26" s="528"/>
      <c r="L26" s="22"/>
      <c r="M26" s="22"/>
      <c r="N26" s="530"/>
      <c r="O26" s="529"/>
      <c r="P26" s="539"/>
      <c r="Q26" s="457"/>
      <c r="R26" s="457"/>
      <c r="S26" s="457"/>
      <c r="V26" s="2611"/>
      <c r="AC26" s="2396"/>
    </row>
    <row r="27" spans="1:29" ht="13.5" customHeight="1" thickBot="1">
      <c r="A27" s="66"/>
      <c r="B27" s="4784"/>
      <c r="C27" s="360"/>
      <c r="D27" s="4778"/>
      <c r="E27" s="34"/>
      <c r="F27" s="34"/>
      <c r="G27" s="1450"/>
      <c r="H27" s="1113" t="s">
        <v>1626</v>
      </c>
      <c r="I27" s="34"/>
      <c r="J27" s="4785"/>
      <c r="K27" s="281"/>
      <c r="L27" s="4786"/>
      <c r="M27" s="34"/>
      <c r="N27" s="1451"/>
      <c r="O27" s="1452"/>
      <c r="P27" s="539"/>
      <c r="Q27" s="457"/>
      <c r="R27" s="457"/>
      <c r="S27" s="457"/>
      <c r="V27" s="2611"/>
      <c r="AC27" s="2396"/>
    </row>
    <row r="28" spans="1:29" ht="15.75" customHeight="1">
      <c r="A28" s="66"/>
      <c r="B28" s="4787"/>
      <c r="C28" s="278" t="s">
        <v>167</v>
      </c>
      <c r="D28" s="278"/>
      <c r="E28" s="51" t="s">
        <v>1628</v>
      </c>
      <c r="F28" s="51"/>
      <c r="G28" s="196"/>
      <c r="H28" s="51"/>
      <c r="I28" s="51"/>
      <c r="J28" s="278"/>
      <c r="K28" s="215"/>
      <c r="L28" s="215"/>
      <c r="M28" s="215"/>
      <c r="N28" s="215"/>
      <c r="O28" s="645"/>
      <c r="P28" s="539"/>
      <c r="Q28" s="457"/>
      <c r="R28" s="1155" t="s">
        <v>1113</v>
      </c>
      <c r="S28" s="457"/>
      <c r="V28" s="2611"/>
      <c r="AC28" s="2396"/>
    </row>
    <row r="29" spans="1:29" ht="16.5" customHeight="1">
      <c r="A29" s="66"/>
      <c r="B29" s="4783"/>
      <c r="C29" s="278"/>
      <c r="D29" s="278"/>
      <c r="E29" s="51" t="s">
        <v>1631</v>
      </c>
      <c r="F29" s="51"/>
      <c r="G29" s="196"/>
      <c r="H29" s="51"/>
      <c r="I29" s="51"/>
      <c r="J29" s="278"/>
      <c r="K29" s="215"/>
      <c r="L29" s="215"/>
      <c r="M29" s="215"/>
      <c r="N29" s="215"/>
      <c r="O29" s="645"/>
      <c r="P29" s="539"/>
      <c r="Q29" s="457"/>
      <c r="R29" s="1155" t="s">
        <v>1062</v>
      </c>
      <c r="S29" s="457"/>
      <c r="V29" s="2611"/>
      <c r="AC29" s="2396"/>
    </row>
    <row r="30" spans="1:29" ht="13.5" customHeight="1">
      <c r="A30" s="66"/>
      <c r="B30" s="4783"/>
      <c r="C30" s="278"/>
      <c r="D30" s="278"/>
      <c r="E30" s="51" t="s">
        <v>1634</v>
      </c>
      <c r="F30" s="51"/>
      <c r="G30" s="196"/>
      <c r="H30" s="51"/>
      <c r="I30" s="51"/>
      <c r="J30" s="278" t="s">
        <v>1635</v>
      </c>
      <c r="K30" s="278" t="str">
        <f>C28</f>
        <v>1.</v>
      </c>
      <c r="L30" s="973" t="str">
        <f>IF(R30&lt;&gt;"",R30,IF(FEI_Tax_Worksheet,FEI_TW_Line3,IF(NOT(CGTW),"",Taxable_Inc)))</f>
        <v/>
      </c>
      <c r="M30" s="51"/>
      <c r="N30" s="51"/>
      <c r="O30" s="531"/>
      <c r="P30" s="539"/>
      <c r="Q30" s="457"/>
      <c r="R30" s="807"/>
      <c r="S30" s="457"/>
      <c r="V30" s="2611"/>
      <c r="AC30" s="2396"/>
    </row>
    <row r="31" spans="1:29" ht="13.5" customHeight="1">
      <c r="A31" s="66"/>
      <c r="B31" s="4783"/>
      <c r="C31" s="278" t="s">
        <v>171</v>
      </c>
      <c r="D31" s="278"/>
      <c r="E31" s="51" t="s">
        <v>1636</v>
      </c>
      <c r="F31" s="51"/>
      <c r="G31" s="196"/>
      <c r="H31" s="278"/>
      <c r="I31" s="278" t="s">
        <v>171</v>
      </c>
      <c r="J31" s="973" t="str">
        <f>IF(NOT(CGTW),"",'1040'!$O$54)</f>
        <v/>
      </c>
      <c r="K31" s="278"/>
      <c r="L31" s="278"/>
      <c r="M31" s="51"/>
      <c r="N31" s="51"/>
      <c r="O31" s="531"/>
      <c r="P31" s="539"/>
      <c r="Q31" s="457"/>
      <c r="R31" s="457"/>
      <c r="S31" s="457"/>
      <c r="V31" s="2611"/>
      <c r="AC31" s="2396"/>
    </row>
    <row r="32" spans="1:29" ht="13.5" customHeight="1" thickBot="1">
      <c r="A32" s="66"/>
      <c r="B32" s="4783"/>
      <c r="C32" s="278" t="s">
        <v>177</v>
      </c>
      <c r="D32" s="278"/>
      <c r="E32" s="51" t="s">
        <v>1637</v>
      </c>
      <c r="F32" s="51"/>
      <c r="G32" s="196"/>
      <c r="H32" s="278"/>
      <c r="I32" s="278"/>
      <c r="J32" s="2622" t="b">
        <f>AND(NOT(SchD_NotReqd),OR(AND(SchDLine15&lt;&gt;"",SchDLine15&lt;&gt;0),AND(SchDLine16&lt;&gt;"",SchDLine16&lt;&gt;0)))</f>
        <v>0</v>
      </c>
      <c r="K32" s="278"/>
      <c r="L32" s="278"/>
      <c r="M32" s="278"/>
      <c r="N32" s="51"/>
      <c r="O32" s="531"/>
      <c r="P32" s="66"/>
      <c r="Q32" s="457"/>
      <c r="R32" s="457"/>
      <c r="S32" s="457"/>
      <c r="V32" s="2611"/>
      <c r="AC32" s="2396"/>
    </row>
    <row r="33" spans="1:29" ht="13.5" customHeight="1" thickBot="1">
      <c r="A33" s="66"/>
      <c r="B33" s="4783"/>
      <c r="C33" s="278"/>
      <c r="D33" s="974" t="str">
        <f>IF(NOT(CGTW),"",IF(J32,"X",""))</f>
        <v/>
      </c>
      <c r="E33" s="194" t="s">
        <v>1638</v>
      </c>
      <c r="F33" s="51" t="s">
        <v>1639</v>
      </c>
      <c r="G33" s="196"/>
      <c r="H33" s="278"/>
      <c r="I33" s="278"/>
      <c r="J33" s="278"/>
      <c r="K33" s="278"/>
      <c r="L33" s="278"/>
      <c r="M33" s="278"/>
      <c r="N33" s="51"/>
      <c r="O33" s="531"/>
      <c r="P33" s="66"/>
      <c r="Q33" s="457"/>
      <c r="R33" s="457"/>
      <c r="S33" s="457"/>
      <c r="U33" s="2489"/>
      <c r="V33" s="2489"/>
      <c r="W33" s="2489"/>
      <c r="X33" s="2489"/>
      <c r="Y33" s="2489"/>
      <c r="AC33" s="2396"/>
    </row>
    <row r="34" spans="1:29" ht="13.5" customHeight="1">
      <c r="A34" s="66"/>
      <c r="B34" s="4783"/>
      <c r="C34" s="278"/>
      <c r="D34" s="326"/>
      <c r="E34" s="51"/>
      <c r="F34" s="51" t="s">
        <v>1640</v>
      </c>
      <c r="G34" s="194"/>
      <c r="H34" s="278"/>
      <c r="I34" s="278"/>
      <c r="J34" s="278"/>
      <c r="K34" s="278"/>
      <c r="L34" s="278"/>
      <c r="M34" s="278"/>
      <c r="N34" s="51"/>
      <c r="O34" s="531"/>
      <c r="P34" s="66"/>
      <c r="Q34" s="457"/>
      <c r="R34" s="457"/>
      <c r="S34" s="457"/>
      <c r="U34" s="4798">
        <f>IF(CapitalGains="",0,CapitalGains)</f>
        <v>0</v>
      </c>
      <c r="V34" s="2489"/>
      <c r="W34" s="2489"/>
      <c r="X34" s="2489"/>
      <c r="Y34" s="2489"/>
      <c r="AC34" s="2396"/>
    </row>
    <row r="35" spans="1:29" ht="13.5" customHeight="1" thickBot="1">
      <c r="A35" s="66"/>
      <c r="B35" s="4783"/>
      <c r="C35" s="278"/>
      <c r="D35" s="326"/>
      <c r="E35" s="51"/>
      <c r="F35" s="51" t="s">
        <v>1641</v>
      </c>
      <c r="G35" s="194"/>
      <c r="H35" s="278"/>
      <c r="I35" s="278" t="s">
        <v>177</v>
      </c>
      <c r="J35" s="991" t="str">
        <f>IF(NOT(CGTW),"",IF(NOT(FilingScheduleD),U34,IF(OR(SchDLine15="",SchDLine15&lt;=0,SchDLine16="",SchDLine16&lt;=0),0,MIN(SchDLine15,SchDLine16))))</f>
        <v/>
      </c>
      <c r="K35" s="278"/>
      <c r="L35" s="278"/>
      <c r="M35" s="278"/>
      <c r="N35" s="51"/>
      <c r="O35" s="531"/>
      <c r="P35" s="66"/>
      <c r="Q35" s="457"/>
      <c r="R35" s="457"/>
      <c r="S35" s="457"/>
      <c r="U35" s="2489"/>
      <c r="V35" s="2489"/>
      <c r="W35" s="2489"/>
      <c r="X35" s="2489"/>
      <c r="Y35" s="2489"/>
      <c r="AC35" s="2396"/>
    </row>
    <row r="36" spans="1:29" ht="13.5" customHeight="1" thickBot="1">
      <c r="A36" s="66"/>
      <c r="B36" s="4783"/>
      <c r="C36" s="278"/>
      <c r="D36" s="974" t="str">
        <f>IF(NOT(CGTW),"",IF(J32,"","X"))</f>
        <v/>
      </c>
      <c r="E36" s="194" t="s">
        <v>1642</v>
      </c>
      <c r="F36" s="51" t="s">
        <v>1643</v>
      </c>
      <c r="G36" s="194"/>
      <c r="H36" s="278"/>
      <c r="I36" s="278"/>
      <c r="J36" s="540"/>
      <c r="K36" s="278"/>
      <c r="L36" s="278"/>
      <c r="M36" s="278"/>
      <c r="N36" s="532"/>
      <c r="O36" s="531"/>
      <c r="P36" s="66"/>
      <c r="Q36" s="457"/>
      <c r="R36" s="457"/>
      <c r="S36" s="457"/>
      <c r="AC36" s="2396"/>
    </row>
    <row r="37" spans="1:29" ht="13.5" customHeight="1">
      <c r="A37" s="66"/>
      <c r="B37" s="4783"/>
      <c r="C37" s="278"/>
      <c r="D37" s="194"/>
      <c r="E37" s="194"/>
      <c r="F37" s="51" t="s">
        <v>1644</v>
      </c>
      <c r="G37" s="194"/>
      <c r="H37" s="278"/>
      <c r="I37" s="278"/>
      <c r="J37" s="532"/>
      <c r="K37" s="278"/>
      <c r="L37" s="278"/>
      <c r="M37" s="278"/>
      <c r="N37" s="532"/>
      <c r="O37" s="531"/>
      <c r="P37" s="66"/>
      <c r="Q37" s="457"/>
      <c r="R37" s="457"/>
      <c r="S37" s="457"/>
      <c r="AC37" s="2396"/>
    </row>
    <row r="38" spans="1:29" ht="13.5" customHeight="1">
      <c r="A38" s="66"/>
      <c r="B38" s="4783"/>
      <c r="C38" s="278" t="s">
        <v>182</v>
      </c>
      <c r="D38" s="194"/>
      <c r="E38" s="51" t="s">
        <v>1645</v>
      </c>
      <c r="F38" s="51"/>
      <c r="G38" s="51"/>
      <c r="H38" s="278" t="s">
        <v>1646</v>
      </c>
      <c r="I38" s="278" t="s">
        <v>182</v>
      </c>
      <c r="J38" s="973" t="str">
        <f>IF(NOT(CGTW),"",SUM(J31,J35))</f>
        <v/>
      </c>
      <c r="K38" s="278"/>
      <c r="L38" s="278"/>
      <c r="M38" s="278"/>
      <c r="N38" s="532"/>
      <c r="O38" s="531"/>
      <c r="P38" s="66"/>
      <c r="Q38" s="457"/>
      <c r="R38" s="457"/>
      <c r="S38" s="457"/>
      <c r="Z38" s="676"/>
      <c r="AA38" s="676"/>
      <c r="AC38" s="2396"/>
    </row>
    <row r="39" spans="1:29" ht="12.75" customHeight="1">
      <c r="A39" s="66"/>
      <c r="B39" s="4783"/>
      <c r="C39" s="278" t="s">
        <v>198</v>
      </c>
      <c r="D39" s="194"/>
      <c r="E39" s="51" t="s">
        <v>1647</v>
      </c>
      <c r="F39" s="51"/>
      <c r="G39" s="51"/>
      <c r="H39" s="51"/>
      <c r="I39" s="51"/>
      <c r="J39" s="278" t="s">
        <v>1648</v>
      </c>
      <c r="K39" s="278" t="str">
        <f>C39</f>
        <v>5.</v>
      </c>
      <c r="L39" s="973" t="str">
        <f>IF(NOT(CGTW),"",MAX(0,SUM(CGTW_Line1,-J38)))</f>
        <v/>
      </c>
      <c r="M39" s="51"/>
      <c r="N39" s="273"/>
      <c r="O39" s="531"/>
      <c r="P39" s="539"/>
      <c r="Q39" s="457"/>
      <c r="R39" s="457"/>
      <c r="S39" s="457"/>
      <c r="Z39" s="2489"/>
      <c r="AA39" s="2489"/>
      <c r="AC39" s="2396"/>
    </row>
    <row r="40" spans="1:29">
      <c r="A40" s="66"/>
      <c r="B40" s="4783"/>
      <c r="C40" s="278" t="s">
        <v>202</v>
      </c>
      <c r="D40" s="51"/>
      <c r="E40" s="51" t="s">
        <v>1649</v>
      </c>
      <c r="F40" s="51"/>
      <c r="G40" s="29"/>
      <c r="H40" s="29"/>
      <c r="I40" s="29"/>
      <c r="J40" s="29"/>
      <c r="K40" s="278"/>
      <c r="L40" s="532"/>
      <c r="M40" s="29"/>
      <c r="N40" s="533"/>
      <c r="O40" s="531"/>
      <c r="P40" s="539"/>
      <c r="Q40" s="457"/>
      <c r="R40" s="457"/>
      <c r="S40" s="457"/>
      <c r="Z40" s="2489"/>
      <c r="AA40" s="2489"/>
      <c r="AC40" s="2396"/>
    </row>
    <row r="41" spans="1:29">
      <c r="A41" s="66"/>
      <c r="B41" s="4783"/>
      <c r="C41" s="278"/>
      <c r="D41" s="534"/>
      <c r="E41" s="51" t="str">
        <f>TEXT(N41,"$0,000")&amp;" if single or married filing separately,"</f>
        <v>$44,625 if single or married filing separately,</v>
      </c>
      <c r="F41" s="51"/>
      <c r="G41" s="51"/>
      <c r="H41" s="29"/>
      <c r="I41" s="29"/>
      <c r="J41" s="278"/>
      <c r="K41" s="29"/>
      <c r="L41" s="29"/>
      <c r="M41" s="29"/>
      <c r="N41" s="4799">
        <v>44625</v>
      </c>
      <c r="O41" s="535"/>
      <c r="P41" s="539"/>
      <c r="Q41" s="457"/>
      <c r="R41" s="457"/>
      <c r="S41" s="457"/>
      <c r="Z41" s="2489"/>
      <c r="AA41" s="2489"/>
      <c r="AC41" s="2396"/>
    </row>
    <row r="42" spans="1:29">
      <c r="A42" s="66"/>
      <c r="B42" s="4783"/>
      <c r="C42" s="278"/>
      <c r="D42" s="534"/>
      <c r="E42" s="51" t="str">
        <f>TEXT(N42,"$0,000")&amp;" if married filing jointly or qualifying widow(er),"</f>
        <v>$89,250 if married filing jointly or qualifying widow(er),</v>
      </c>
      <c r="F42" s="51"/>
      <c r="G42" s="51"/>
      <c r="H42" s="29"/>
      <c r="I42" s="29"/>
      <c r="J42" s="278" t="s">
        <v>1650</v>
      </c>
      <c r="K42" s="3762" t="s">
        <v>202</v>
      </c>
      <c r="L42" s="973" t="str">
        <f>IF(NOT(CGTW),"",N44)</f>
        <v/>
      </c>
      <c r="M42" s="29"/>
      <c r="N42" s="4799">
        <v>89250</v>
      </c>
      <c r="O42" s="535"/>
      <c r="P42" s="539"/>
      <c r="Q42" s="457"/>
      <c r="R42" s="457"/>
      <c r="S42" s="457"/>
      <c r="Z42" s="2489"/>
      <c r="AA42" s="2489"/>
      <c r="AC42" s="2396"/>
    </row>
    <row r="43" spans="1:29" ht="12" customHeight="1">
      <c r="A43" s="66"/>
      <c r="B43" s="4783"/>
      <c r="C43" s="278"/>
      <c r="D43" s="534"/>
      <c r="E43" s="51" t="str">
        <f>TEXT(N43,"$0,000")&amp;" if head of household."</f>
        <v>$59,750 if head of household.</v>
      </c>
      <c r="F43" s="51"/>
      <c r="G43" s="51"/>
      <c r="H43" s="29"/>
      <c r="I43" s="29"/>
      <c r="J43" s="4788"/>
      <c r="K43" s="29"/>
      <c r="L43" s="29"/>
      <c r="M43" s="29"/>
      <c r="N43" s="4799">
        <v>59750</v>
      </c>
      <c r="O43" s="536"/>
      <c r="P43" s="539"/>
      <c r="Q43" s="457"/>
      <c r="R43" s="457"/>
      <c r="S43" s="457"/>
      <c r="Z43" s="2489"/>
      <c r="AA43" s="2489"/>
      <c r="AC43" s="2396"/>
    </row>
    <row r="44" spans="1:29" ht="13.5" customHeight="1">
      <c r="A44" s="66"/>
      <c r="B44" s="537"/>
      <c r="C44" s="278" t="s">
        <v>215</v>
      </c>
      <c r="D44" s="534"/>
      <c r="E44" s="51" t="s">
        <v>1651</v>
      </c>
      <c r="F44" s="51"/>
      <c r="G44" s="51"/>
      <c r="H44" s="51"/>
      <c r="I44" s="51"/>
      <c r="J44" s="278" t="s">
        <v>1652</v>
      </c>
      <c r="K44" s="278" t="str">
        <f t="shared" ref="K44:K49" si="0">C44</f>
        <v>7.</v>
      </c>
      <c r="L44" s="973">
        <f>MIN(CGTW_Line1,L42)</f>
        <v>0</v>
      </c>
      <c r="M44" s="51"/>
      <c r="N44" s="327" t="str">
        <f>IF(OR(File_Single&lt;&gt;"",File_Marr_Sep&lt;&gt;""),N41,IF(OR(File_Marr_Joint&lt;&gt;"",File_Qual_Widow&lt;&gt;""),N42,IF(File_Head&lt;&gt;"",N43,"")))</f>
        <v/>
      </c>
      <c r="O44" s="531"/>
      <c r="P44" s="539"/>
      <c r="Q44" s="457"/>
      <c r="R44" s="457"/>
      <c r="S44" s="457"/>
      <c r="Z44" s="2489"/>
      <c r="AA44" s="2489"/>
      <c r="AC44" s="2396"/>
    </row>
    <row r="45" spans="1:29" ht="12" customHeight="1">
      <c r="A45" s="66"/>
      <c r="B45" s="4783"/>
      <c r="C45" s="278" t="s">
        <v>217</v>
      </c>
      <c r="D45" s="326"/>
      <c r="E45" s="51" t="s">
        <v>1653</v>
      </c>
      <c r="F45" s="51"/>
      <c r="G45" s="194"/>
      <c r="H45" s="51"/>
      <c r="I45" s="51"/>
      <c r="J45" s="278" t="s">
        <v>1654</v>
      </c>
      <c r="K45" s="278" t="str">
        <f t="shared" si="0"/>
        <v>8.</v>
      </c>
      <c r="L45" s="973">
        <f>MIN(CGTW_Line5,L44)</f>
        <v>0</v>
      </c>
      <c r="M45" s="51"/>
      <c r="N45" s="51"/>
      <c r="O45" s="531"/>
      <c r="P45" s="539"/>
      <c r="Q45" s="457"/>
      <c r="R45" s="457"/>
      <c r="S45" s="457"/>
      <c r="AC45" s="2396"/>
    </row>
    <row r="46" spans="1:29" ht="12" customHeight="1">
      <c r="A46" s="66"/>
      <c r="B46" s="4783"/>
      <c r="C46" s="278" t="s">
        <v>222</v>
      </c>
      <c r="D46" s="278"/>
      <c r="E46" s="51" t="s">
        <v>1655</v>
      </c>
      <c r="F46" s="51"/>
      <c r="G46" s="328"/>
      <c r="H46" s="29"/>
      <c r="I46" s="29"/>
      <c r="J46" s="278" t="s">
        <v>1656</v>
      </c>
      <c r="K46" s="278" t="str">
        <f t="shared" si="0"/>
        <v>9.</v>
      </c>
      <c r="L46" s="973">
        <f>SUM(L44,-L45)</f>
        <v>0</v>
      </c>
      <c r="M46" s="29"/>
      <c r="N46" s="29"/>
      <c r="O46" s="531"/>
      <c r="P46" s="539"/>
      <c r="Q46" s="457"/>
      <c r="R46" s="457"/>
      <c r="S46" s="457"/>
      <c r="AC46" s="2396"/>
    </row>
    <row r="47" spans="1:29" ht="12.75" customHeight="1">
      <c r="A47" s="66"/>
      <c r="B47" s="537"/>
      <c r="C47" s="278" t="s">
        <v>227</v>
      </c>
      <c r="D47" s="51"/>
      <c r="E47" s="51" t="s">
        <v>1657</v>
      </c>
      <c r="F47" s="51"/>
      <c r="G47" s="51"/>
      <c r="H47" s="51"/>
      <c r="I47" s="51"/>
      <c r="J47" s="278" t="s">
        <v>1658</v>
      </c>
      <c r="K47" s="278" t="str">
        <f t="shared" si="0"/>
        <v>10.</v>
      </c>
      <c r="L47" s="973">
        <f>MIN(CGTW_Line1,J38)</f>
        <v>0</v>
      </c>
      <c r="M47" s="278"/>
      <c r="N47" s="194"/>
      <c r="O47" s="531"/>
      <c r="P47" s="539"/>
      <c r="Q47" s="457"/>
      <c r="R47" s="457"/>
      <c r="S47" s="457"/>
      <c r="AC47" s="2396"/>
    </row>
    <row r="48" spans="1:29" ht="13.5" customHeight="1">
      <c r="A48" s="66"/>
      <c r="B48" s="4783"/>
      <c r="C48" s="278" t="s">
        <v>229</v>
      </c>
      <c r="D48" s="51"/>
      <c r="E48" s="51" t="s">
        <v>1659</v>
      </c>
      <c r="F48" s="51"/>
      <c r="G48" s="51"/>
      <c r="H48" s="51"/>
      <c r="I48" s="51"/>
      <c r="J48" s="197" t="s">
        <v>1652</v>
      </c>
      <c r="K48" s="278" t="str">
        <f t="shared" si="0"/>
        <v>11.</v>
      </c>
      <c r="L48" s="973">
        <f>L46</f>
        <v>0</v>
      </c>
      <c r="M48" s="51"/>
      <c r="N48" s="533"/>
      <c r="O48" s="531"/>
      <c r="P48" s="539"/>
      <c r="Q48" s="457"/>
      <c r="R48" s="457"/>
      <c r="S48" s="457"/>
      <c r="AC48" s="2396"/>
    </row>
    <row r="49" spans="1:31" ht="13.5" customHeight="1">
      <c r="A49" s="66"/>
      <c r="B49" s="4783"/>
      <c r="C49" s="278" t="s">
        <v>1605</v>
      </c>
      <c r="D49" s="326"/>
      <c r="E49" s="51" t="s">
        <v>1660</v>
      </c>
      <c r="F49" s="51"/>
      <c r="G49" s="194"/>
      <c r="H49" s="51"/>
      <c r="I49" s="51"/>
      <c r="J49" s="197" t="s">
        <v>1661</v>
      </c>
      <c r="K49" s="278" t="str">
        <f t="shared" si="0"/>
        <v>12.</v>
      </c>
      <c r="L49" s="973">
        <f>SUM(L47,-L48)</f>
        <v>0</v>
      </c>
      <c r="M49" s="278"/>
      <c r="N49" s="532"/>
      <c r="O49" s="4789"/>
      <c r="P49" s="539"/>
      <c r="Q49" s="457"/>
      <c r="R49" s="457"/>
      <c r="S49" s="457"/>
      <c r="AC49" s="2396"/>
    </row>
    <row r="50" spans="1:31" ht="13.5" customHeight="1">
      <c r="A50" s="66"/>
      <c r="B50" s="4783"/>
      <c r="C50" s="278" t="s">
        <v>1607</v>
      </c>
      <c r="D50" s="51"/>
      <c r="E50" s="51" t="s">
        <v>1649</v>
      </c>
      <c r="F50" s="51"/>
      <c r="G50" s="29"/>
      <c r="H50" s="29"/>
      <c r="I50" s="29"/>
      <c r="J50" s="29"/>
      <c r="K50" s="278"/>
      <c r="L50" s="532"/>
      <c r="M50" s="29"/>
      <c r="N50" s="533"/>
      <c r="O50" s="531"/>
      <c r="P50" s="539"/>
      <c r="Q50" s="457"/>
      <c r="R50" s="457"/>
      <c r="S50" s="457"/>
      <c r="AC50" s="2396"/>
    </row>
    <row r="51" spans="1:31">
      <c r="A51" s="66"/>
      <c r="B51" s="4783"/>
      <c r="C51" s="278"/>
      <c r="D51" s="534"/>
      <c r="E51" s="51" t="str">
        <f>TEXT(N51,"$0,000")&amp;" if single,"</f>
        <v>$492,300 if single,</v>
      </c>
      <c r="F51" s="51"/>
      <c r="G51" s="51"/>
      <c r="H51" s="29"/>
      <c r="I51" s="29"/>
      <c r="J51" s="278"/>
      <c r="K51" s="29"/>
      <c r="L51" s="29"/>
      <c r="M51" s="29"/>
      <c r="N51" s="4799">
        <v>492300</v>
      </c>
      <c r="O51" s="535"/>
      <c r="P51" s="539"/>
      <c r="Q51" s="457"/>
      <c r="R51" s="457"/>
      <c r="S51" s="457"/>
      <c r="AC51" s="2396"/>
    </row>
    <row r="52" spans="1:31">
      <c r="A52" s="66"/>
      <c r="B52" s="4783"/>
      <c r="C52" s="278"/>
      <c r="D52" s="534"/>
      <c r="E52" s="51" t="str">
        <f>TEXT(N52,"$0,000")&amp;" if married filing separately,"</f>
        <v>$276,900 if married filing separately,</v>
      </c>
      <c r="F52" s="51"/>
      <c r="G52" s="51"/>
      <c r="H52" s="29"/>
      <c r="I52" s="29"/>
      <c r="J52" s="278"/>
      <c r="K52" s="29"/>
      <c r="L52" s="29"/>
      <c r="M52" s="29"/>
      <c r="N52" s="4799">
        <v>276900</v>
      </c>
      <c r="O52" s="535"/>
      <c r="P52" s="539"/>
      <c r="Q52" s="457"/>
      <c r="R52" s="457"/>
      <c r="S52" s="457"/>
      <c r="AC52" s="2396"/>
    </row>
    <row r="53" spans="1:31">
      <c r="A53" s="66"/>
      <c r="B53" s="4783"/>
      <c r="C53" s="278"/>
      <c r="D53" s="534"/>
      <c r="E53" s="51" t="str">
        <f>TEXT(N53,"$0,000")&amp;" if married filing jointly or qualifying widow(er),"</f>
        <v>$553,850 if married filing jointly or qualifying widow(er),</v>
      </c>
      <c r="F53" s="51"/>
      <c r="G53" s="51"/>
      <c r="H53" s="29"/>
      <c r="I53" s="29"/>
      <c r="J53" s="278" t="s">
        <v>1650</v>
      </c>
      <c r="K53" s="3762" t="s">
        <v>1607</v>
      </c>
      <c r="L53" s="973" t="str">
        <f>IF(NOT(CGTW),"",N55)</f>
        <v/>
      </c>
      <c r="M53" s="29"/>
      <c r="N53" s="4799">
        <v>553850</v>
      </c>
      <c r="O53" s="535"/>
      <c r="P53" s="539"/>
      <c r="Q53" s="457"/>
      <c r="R53" s="457"/>
      <c r="S53" s="457"/>
      <c r="AC53" s="2396"/>
    </row>
    <row r="54" spans="1:31" ht="12" customHeight="1" thickBot="1">
      <c r="A54" s="66"/>
      <c r="B54" s="4783"/>
      <c r="C54" s="278"/>
      <c r="D54" s="534"/>
      <c r="E54" s="51" t="str">
        <f>TEXT(N54,"$0,000")&amp;" if head of household."</f>
        <v>$523,050 if head of household.</v>
      </c>
      <c r="F54" s="51"/>
      <c r="G54" s="51"/>
      <c r="H54" s="29"/>
      <c r="I54" s="29"/>
      <c r="J54" s="4788"/>
      <c r="K54" s="29"/>
      <c r="L54" s="29"/>
      <c r="M54" s="29"/>
      <c r="N54" s="4799">
        <v>523050</v>
      </c>
      <c r="O54" s="536"/>
      <c r="P54" s="539"/>
      <c r="Q54" s="457"/>
      <c r="R54" s="457"/>
      <c r="S54" s="457"/>
      <c r="U54" s="676" t="s">
        <v>1662</v>
      </c>
      <c r="V54" s="187" t="s">
        <v>14</v>
      </c>
      <c r="W54" s="187" t="s">
        <v>737</v>
      </c>
      <c r="X54" s="187" t="s">
        <v>22</v>
      </c>
      <c r="Y54" s="187" t="s">
        <v>25</v>
      </c>
      <c r="AC54" s="2396"/>
    </row>
    <row r="55" spans="1:31" ht="13.5" customHeight="1" thickTop="1" thickBot="1">
      <c r="A55" s="66"/>
      <c r="B55" s="537"/>
      <c r="C55" s="3762" t="s">
        <v>1608</v>
      </c>
      <c r="D55" s="51"/>
      <c r="E55" s="51" t="s">
        <v>1663</v>
      </c>
      <c r="F55" s="51"/>
      <c r="G55" s="51"/>
      <c r="H55" s="51"/>
      <c r="I55" s="51"/>
      <c r="J55" s="278" t="s">
        <v>1658</v>
      </c>
      <c r="K55" s="278" t="str">
        <f>C55</f>
        <v>14.</v>
      </c>
      <c r="L55" s="973">
        <f>MIN(CGTW_Line1,L53)</f>
        <v>0</v>
      </c>
      <c r="M55" s="278"/>
      <c r="N55" s="327" t="str">
        <f>IF(File_Single&lt;&gt;"",CGTW_Line13_Single,IF(File_Marr_Sep&lt;&gt;"",CGTW_Line13_MFS,IF(OR(File_Marr_Joint&lt;&gt;"",File_Qual_Widow&lt;&gt;""),CGTW_Line13_MFJQW,IF(File_Head&lt;&gt;"",CGTW_Line13_HOH,""))))</f>
        <v/>
      </c>
      <c r="O55" s="531"/>
      <c r="P55" s="539"/>
      <c r="Q55" s="457"/>
      <c r="R55" s="457"/>
      <c r="S55" s="457"/>
      <c r="U55" s="5560" t="str">
        <f>CGTW_Line5</f>
        <v/>
      </c>
      <c r="V55" s="5561" t="e">
        <f>LOOKUP(U55,'Tax Table'!$B$2:$B$2063,'Tax Table'!$D$2:$D$2063)</f>
        <v>#N/A</v>
      </c>
      <c r="W55" s="5174" t="e">
        <f>LOOKUP(U55,'Tax Table'!$B$2:$B$2063,'Tax Table'!$E$2:$E$2063)</f>
        <v>#N/A</v>
      </c>
      <c r="X55" s="5174" t="e">
        <f>LOOKUP(U55,'Tax Table'!$B$2:$B$2063,'Tax Table'!$F$2:$F$2063)</f>
        <v>#N/A</v>
      </c>
      <c r="Y55" s="5175" t="e">
        <f>LOOKUP(U55,'Tax Table'!$B$2:$B$2063,'Tax Table'!$G$2:$G$2063)</f>
        <v>#N/A</v>
      </c>
      <c r="AC55" s="2396"/>
    </row>
    <row r="56" spans="1:31" ht="13.5" customHeight="1" thickTop="1" thickBot="1">
      <c r="A56" s="66"/>
      <c r="B56" s="4783"/>
      <c r="C56" s="3762" t="s">
        <v>1610</v>
      </c>
      <c r="D56" s="326"/>
      <c r="E56" s="51" t="s">
        <v>1664</v>
      </c>
      <c r="F56" s="51"/>
      <c r="G56" s="194"/>
      <c r="H56" s="51"/>
      <c r="I56" s="51"/>
      <c r="J56" s="278" t="s">
        <v>1654</v>
      </c>
      <c r="K56" s="278" t="str">
        <f>C56</f>
        <v>15.</v>
      </c>
      <c r="L56" s="973">
        <f>SUM(CGTW_Line5,L46)</f>
        <v>0</v>
      </c>
      <c r="M56" s="51"/>
      <c r="N56" s="51"/>
      <c r="O56" s="531"/>
      <c r="P56" s="539"/>
      <c r="Q56" s="457"/>
      <c r="R56" s="457"/>
      <c r="S56" s="457"/>
      <c r="U56" s="2643"/>
      <c r="V56" s="5177" t="e">
        <f>IF(U55&lt;SectA_a3,"---",IF(U55&lt;=SectA_a4,ROUND((U55*(SectA_b4/100)-SectA_d4),0),IF(U55&lt;=SectA_a5,ROUND((U55*(SectA_b5/100)-SectA_d5),0),IF(U55&lt;=SectA_a6,ROUND((U55*(SectA_b6/100)-SectA_d6),0),ROUND((U55*(SectA_b7/100)-SectA_d7),0)))))</f>
        <v>#VALUE!</v>
      </c>
      <c r="W56" s="5177" t="e">
        <f>IF(U55&lt;SectB_a2,"---",IF(U55&lt;=SectB_a3,ROUND((U55*(SectB_b3/100)-SectB_d3),0),IF(U55&lt;=SectB_a4,ROUND((U55*(SectB_b4/100)-SectB_d4),0),IF(U55&lt;=SectB_a5,ROUND((U55*(SectB_b5/100)-SectB_d5),0),IF(U55&lt;=SectB_a6,ROUND((U55*(SectB_b6/100)-SectB_d6),0),ROUND((U55*(SectB_b7/100)-SectB_d7),0))))))</f>
        <v>#VALUE!</v>
      </c>
      <c r="X56" s="5177" t="e">
        <f>IF(U55&lt;SectC_a2,"---",IF(U55&lt;=SectC_a3,ROUND((U55*(SectC_b3/100)-SectC_d3),0),IF(U55&lt;=SectC_a4,ROUND((U55*(SectC_b4/100)-SectC_d4),0),IF(U55&lt;=SectC_a5,ROUND((U55*(SectC_b5/100)-SectC_d5),0),ROUND((U55*(SectC_b6/100)-SectC_d6),0)))))</f>
        <v>#VALUE!</v>
      </c>
      <c r="Y56" s="5178" t="e">
        <f>IF(U55&lt;SectD_a2,"---",IF(U55&lt;=SectD_a3,ROUND((U55*(SectD_b3/100)-SectD_d3),0),IF(U55&lt;=SectD_a4,ROUND((U55*(SectD_b4/100)-SectD_d4),0),IF(U55&lt;=SectD_a5,ROUND((U55*(SectD_b5/100)-SectD_d5),0),IF(U55&lt;=SectD_a6,ROUND((U55*(SectD_b6/100)-SectD_d6),0),ROUND((U55*(SectD_b7/100)-SectD_d7),0))))))</f>
        <v>#VALUE!</v>
      </c>
      <c r="AC56" s="2396"/>
    </row>
    <row r="57" spans="1:31" ht="12" customHeight="1" thickBot="1">
      <c r="A57" s="66"/>
      <c r="B57" s="4783"/>
      <c r="C57" s="3762" t="s">
        <v>1611</v>
      </c>
      <c r="D57" s="194"/>
      <c r="E57" s="51" t="s">
        <v>1665</v>
      </c>
      <c r="F57" s="51"/>
      <c r="G57" s="51"/>
      <c r="H57" s="51"/>
      <c r="I57" s="51"/>
      <c r="J57" s="278" t="s">
        <v>1648</v>
      </c>
      <c r="K57" s="278" t="str">
        <f>C57</f>
        <v>16.</v>
      </c>
      <c r="L57" s="973" t="str">
        <f>IF(NOT(CGTW),"",IF(SUM(L55,-L56)&lt;=0,0,SUM(L55,-L56)))</f>
        <v/>
      </c>
      <c r="M57" s="51"/>
      <c r="N57" s="273"/>
      <c r="O57" s="531"/>
      <c r="P57" s="539"/>
      <c r="Q57" s="457"/>
      <c r="R57" s="457"/>
      <c r="S57" s="457"/>
      <c r="U57" s="5179" t="str">
        <f>IF(File_Single&lt;&gt;"",V55,IF(File_Marr_Joint&lt;&gt;"",W55,IF(File_Marr_Sep&lt;&gt;"", X55,IF(File_Head&lt;&gt;"",Y55,IF(File_Qual_Widow&lt;&gt;"",W55,"Filing status?")))))</f>
        <v>Filing status?</v>
      </c>
      <c r="V57" s="1585" t="str">
        <f>"&lt;100k"</f>
        <v>&lt;100k</v>
      </c>
      <c r="W57" s="1585"/>
      <c r="X57" s="1585"/>
      <c r="Y57" s="5180"/>
      <c r="AC57" s="2396"/>
      <c r="AE57" s="2044" t="s">
        <v>790</v>
      </c>
    </row>
    <row r="58" spans="1:31" ht="12.75" customHeight="1" thickBot="1">
      <c r="A58" s="66"/>
      <c r="B58" s="537"/>
      <c r="C58" s="3762" t="s">
        <v>1612</v>
      </c>
      <c r="D58" s="51"/>
      <c r="E58" s="51" t="s">
        <v>1666</v>
      </c>
      <c r="F58" s="51"/>
      <c r="G58" s="51"/>
      <c r="H58" s="51"/>
      <c r="I58" s="51"/>
      <c r="J58" s="278" t="s">
        <v>1658</v>
      </c>
      <c r="K58" s="278" t="str">
        <f>C58</f>
        <v>17.</v>
      </c>
      <c r="L58" s="973">
        <f>MIN(L49,L57)</f>
        <v>0</v>
      </c>
      <c r="M58" s="278"/>
      <c r="N58" s="972">
        <v>0.15</v>
      </c>
      <c r="O58" s="531"/>
      <c r="P58" s="539"/>
      <c r="Q58" s="457"/>
      <c r="R58" s="457"/>
      <c r="S58" s="457"/>
      <c r="U58" s="5181" t="str">
        <f>IF(File_Single&lt;&gt;"",V56,IF(OR(File_Marr_Joint&lt;&gt;"",File_Qual_Widow&lt;&gt;""),W56,IF(File_Marr_Sep&lt;&gt;"", X56,IF(File_Head&lt;&gt;"",Y56,"Filing status?"))))</f>
        <v>Filing status?</v>
      </c>
      <c r="V58" s="2644" t="str">
        <f>"&gt;=100k"</f>
        <v>&gt;=100k</v>
      </c>
      <c r="W58" s="2644"/>
      <c r="X58" s="2644" t="s">
        <v>748</v>
      </c>
      <c r="Y58" s="5182" t="str">
        <f>IF(U55&gt;100000,U58,U57)</f>
        <v>Filing status?</v>
      </c>
      <c r="AC58" s="2396"/>
    </row>
    <row r="59" spans="1:31" ht="13.5" customHeight="1" thickTop="1">
      <c r="A59" s="66"/>
      <c r="B59" s="4783"/>
      <c r="C59" s="3762" t="s">
        <v>1613</v>
      </c>
      <c r="D59" s="326"/>
      <c r="E59" s="51" t="str">
        <f>"Multiply line 17 by "&amp;TEXT(N58,"0%")&amp;" ("&amp;TEXT(N58,"0.00")&amp;") "</f>
        <v xml:space="preserve">Multiply line 17 by 15% (0.15) </v>
      </c>
      <c r="F59" s="51"/>
      <c r="G59" s="194"/>
      <c r="H59" s="51"/>
      <c r="I59" s="51"/>
      <c r="J59" s="278"/>
      <c r="K59" s="278"/>
      <c r="L59" s="197" t="s">
        <v>1667</v>
      </c>
      <c r="M59" s="3762" t="s">
        <v>1613</v>
      </c>
      <c r="N59" s="973">
        <f>ROUND(L58*N58,0)</f>
        <v>0</v>
      </c>
      <c r="O59" s="4789"/>
      <c r="P59" s="539"/>
      <c r="Q59" s="457"/>
      <c r="R59" s="457"/>
      <c r="S59" s="457"/>
      <c r="AC59" s="2396"/>
    </row>
    <row r="60" spans="1:31" ht="13.5" customHeight="1">
      <c r="A60" s="66"/>
      <c r="B60" s="4783"/>
      <c r="C60" s="3762" t="s">
        <v>1616</v>
      </c>
      <c r="D60" s="326"/>
      <c r="E60" s="51" t="s">
        <v>1668</v>
      </c>
      <c r="F60" s="51"/>
      <c r="G60" s="194"/>
      <c r="H60" s="51"/>
      <c r="I60" s="51"/>
      <c r="J60" s="278" t="s">
        <v>1669</v>
      </c>
      <c r="K60" s="278" t="str">
        <f>C60</f>
        <v>19.</v>
      </c>
      <c r="L60" s="973">
        <f>SUM(L46,L58)</f>
        <v>0</v>
      </c>
      <c r="M60" s="51"/>
      <c r="N60" s="51"/>
      <c r="O60" s="531"/>
      <c r="P60" s="539"/>
      <c r="Q60" s="457"/>
      <c r="R60" s="457"/>
      <c r="S60" s="457"/>
      <c r="AC60" s="2396"/>
    </row>
    <row r="61" spans="1:31" ht="12" customHeight="1" thickBot="1">
      <c r="A61" s="66"/>
      <c r="B61" s="4783"/>
      <c r="C61" s="3762" t="s">
        <v>1620</v>
      </c>
      <c r="D61" s="326"/>
      <c r="E61" s="51" t="s">
        <v>1670</v>
      </c>
      <c r="F61" s="51"/>
      <c r="G61" s="194"/>
      <c r="H61" s="51"/>
      <c r="I61" s="51"/>
      <c r="J61" s="197" t="s">
        <v>1661</v>
      </c>
      <c r="K61" s="278" t="str">
        <f>C61</f>
        <v>20.</v>
      </c>
      <c r="L61" s="973">
        <f>SUM(L47,-L60)</f>
        <v>0</v>
      </c>
      <c r="M61" s="278"/>
      <c r="N61" s="972">
        <v>0.2</v>
      </c>
      <c r="O61" s="4789"/>
      <c r="P61" s="539"/>
      <c r="Q61" s="457"/>
      <c r="R61" s="457"/>
      <c r="S61" s="457"/>
      <c r="U61" s="676" t="s">
        <v>1671</v>
      </c>
      <c r="V61" s="187" t="s">
        <v>14</v>
      </c>
      <c r="W61" s="187" t="s">
        <v>737</v>
      </c>
      <c r="X61" s="187" t="s">
        <v>22</v>
      </c>
      <c r="Y61" s="187" t="s">
        <v>25</v>
      </c>
      <c r="AC61" s="2396"/>
    </row>
    <row r="62" spans="1:31" ht="13.5" customHeight="1" thickTop="1" thickBot="1">
      <c r="A62" s="66"/>
      <c r="B62" s="4783"/>
      <c r="C62" s="3762" t="s">
        <v>1622</v>
      </c>
      <c r="D62" s="326"/>
      <c r="E62" s="51" t="str">
        <f>"Multiply line 20 by "&amp;TEXT(N61,"0%")&amp;" ("&amp;TEXT(N61,"0.00")&amp;") "</f>
        <v xml:space="preserve">Multiply line 20 by 20% (0.20) </v>
      </c>
      <c r="F62" s="51"/>
      <c r="G62" s="194"/>
      <c r="H62" s="51"/>
      <c r="I62" s="51"/>
      <c r="J62" s="278"/>
      <c r="K62" s="278"/>
      <c r="L62" s="197" t="s">
        <v>1667</v>
      </c>
      <c r="M62" s="3762" t="s">
        <v>1622</v>
      </c>
      <c r="N62" s="973">
        <f>ROUND(L61*N61,0)</f>
        <v>0</v>
      </c>
      <c r="O62" s="4789"/>
      <c r="P62" s="539"/>
      <c r="Q62" s="457"/>
      <c r="R62" s="457"/>
      <c r="S62" s="457"/>
      <c r="U62" s="5560" t="str">
        <f>CGTW_Line1</f>
        <v/>
      </c>
      <c r="V62" s="5561" t="e">
        <f>LOOKUP(U62,'Tax Table'!$B$2:$B$2063,'Tax Table'!$D$2:$D$2063)</f>
        <v>#N/A</v>
      </c>
      <c r="W62" s="5174" t="e">
        <f>LOOKUP(U62,'Tax Table'!$B$2:$B$2063,'Tax Table'!$E$2:$E$2063)</f>
        <v>#N/A</v>
      </c>
      <c r="X62" s="5174" t="e">
        <f>LOOKUP(U62,'Tax Table'!$B$2:$B$2063,'Tax Table'!$F$2:$F$2063)</f>
        <v>#N/A</v>
      </c>
      <c r="Y62" s="5175" t="e">
        <f>LOOKUP(U62,'Tax Table'!$B$2:$B$2063,'Tax Table'!$G$2:$G$2063)</f>
        <v>#N/A</v>
      </c>
      <c r="AC62" s="2396"/>
    </row>
    <row r="63" spans="1:31" ht="13.5" customHeight="1" thickTop="1" thickBot="1">
      <c r="A63" s="66"/>
      <c r="B63" s="4783"/>
      <c r="C63" s="3762" t="s">
        <v>1624</v>
      </c>
      <c r="D63" s="326"/>
      <c r="E63" s="51" t="s">
        <v>1672</v>
      </c>
      <c r="F63" s="51"/>
      <c r="G63" s="194"/>
      <c r="H63" s="51"/>
      <c r="I63" s="51"/>
      <c r="J63" s="278"/>
      <c r="K63" s="278"/>
      <c r="L63" s="197"/>
      <c r="M63" s="278"/>
      <c r="N63" s="532"/>
      <c r="O63" s="4789"/>
      <c r="P63" s="539"/>
      <c r="Q63" s="457"/>
      <c r="R63" s="457"/>
      <c r="S63" s="457"/>
      <c r="U63" s="2643"/>
      <c r="V63" s="5177" t="e">
        <f>IF(U62&lt;SectA_a3,"---",IF(U62&lt;=SectA_a4,ROUND((U62*(SectA_b4/100)-SectA_d4),0),IF(U62&lt;=SectA_a5,ROUND((U62*(SectA_b5/100)-SectA_d5),0),IF(U62&lt;=SectA_a6,ROUND((U62*(SectA_b6/100)-SectA_d6),0),ROUND((U62*(SectA_b7/100)-SectA_d7),0)))))</f>
        <v>#VALUE!</v>
      </c>
      <c r="W63" s="5177" t="e">
        <f>IF(U62&lt;SectB_a2,"---",IF(U62&lt;=SectB_a3,ROUND((U62*(SectB_b3/100)-SectB_d3),0),IF(U62&lt;=SectB_a4,ROUND((U62*(SectB_b4/100)-SectB_d4),0),IF(U62&lt;=SectB_a5,ROUND((U62*(SectB_b5/100)-SectB_d5),0),IF(U62&lt;=SectB_a6,ROUND((U62*(SectB_b6/100)-SectB_d6),0),ROUND((U62*(SectB_b7/100)-SectB_d7),0))))))</f>
        <v>#VALUE!</v>
      </c>
      <c r="X63" s="5177" t="e">
        <f>IF(U62&lt;SectC_a2,"---",IF(U62&lt;=SectC_a3,ROUND((U62*(SectC_b3/100)-SectC_d3),0),IF(U62&lt;=SectC_a4,ROUND((U62*(SectC_b4/100)-SectC_d4),0),IF(U62&lt;=SectC_a5,ROUND((U62*(SectC_b5/100)-SectC_d5),0),ROUND((U62*(SectC_b6/100)-SectC_d6),0)))))</f>
        <v>#VALUE!</v>
      </c>
      <c r="Y63" s="5178" t="e">
        <f>IF(U62&lt;SectD_a2,"---",IF(U62&lt;=SectD_a3,ROUND((U62*(SectD_b3/100)-SectD_d3),0),IF(U62&lt;=SectD_a4,ROUND((U62*(SectD_b4/100)-SectD_d4),0),IF(U62&lt;=SectD_a5,ROUND((U62*(SectD_b5/100)-SectD_d5),0),IF(U62&lt;=SectD_a6,ROUND((U62*(SectD_b6/100)-SectD_d6),0),ROUND((U62*(SectD_b7/100)-SectD_d7),0))))))</f>
        <v>#VALUE!</v>
      </c>
      <c r="AC63" s="2396"/>
    </row>
    <row r="64" spans="1:31" ht="13.5" customHeight="1" thickBot="1">
      <c r="A64" s="66"/>
      <c r="B64" s="4783"/>
      <c r="C64" s="278"/>
      <c r="D64" s="326"/>
      <c r="E64" s="51" t="s">
        <v>1673</v>
      </c>
      <c r="F64" s="51"/>
      <c r="G64" s="194"/>
      <c r="H64" s="51"/>
      <c r="I64" s="51"/>
      <c r="J64" s="278"/>
      <c r="K64" s="278"/>
      <c r="L64" s="197"/>
      <c r="M64" s="278"/>
      <c r="N64" s="532"/>
      <c r="O64" s="4789"/>
      <c r="P64" s="539"/>
      <c r="Q64" s="457"/>
      <c r="R64" s="457"/>
      <c r="S64" s="457"/>
      <c r="U64" s="5179" t="str">
        <f>IF(File_Single&lt;&gt;"",V62,IF(File_Marr_Joint&lt;&gt;"",W62,IF(File_Marr_Sep&lt;&gt;"", X62,IF(File_Head&lt;&gt;"",Y62,IF(File_Qual_Widow&lt;&gt;"",W62,"Filing status?")))))</f>
        <v>Filing status?</v>
      </c>
      <c r="V64" s="1585" t="str">
        <f>"&lt;100k"</f>
        <v>&lt;100k</v>
      </c>
      <c r="W64" s="1585"/>
      <c r="X64" s="1585"/>
      <c r="Y64" s="5180"/>
      <c r="AC64" s="2396"/>
    </row>
    <row r="65" spans="1:29" ht="13.5" customHeight="1" thickBot="1">
      <c r="A65" s="66"/>
      <c r="B65" s="4783"/>
      <c r="C65" s="3762"/>
      <c r="D65" s="278"/>
      <c r="E65" s="51" t="s">
        <v>1674</v>
      </c>
      <c r="F65" s="51"/>
      <c r="G65" s="51"/>
      <c r="H65" s="194"/>
      <c r="I65" s="194"/>
      <c r="J65" s="278"/>
      <c r="K65" s="278"/>
      <c r="L65" s="197" t="s">
        <v>1675</v>
      </c>
      <c r="M65" s="278" t="str">
        <f>C63</f>
        <v>22.</v>
      </c>
      <c r="N65" s="973" t="str">
        <f>IF(NOT(CGTW),"",Y58)</f>
        <v/>
      </c>
      <c r="O65" s="531"/>
      <c r="P65" s="539"/>
      <c r="Q65" s="457"/>
      <c r="R65" s="457"/>
      <c r="S65" s="457"/>
      <c r="U65" s="5181" t="str">
        <f>IF(File_Single&lt;&gt;"",V63,IF(OR(File_Marr_Joint&lt;&gt;"",File_Qual_Widow&lt;&gt;""),W63,IF(File_Marr_Sep&lt;&gt;"", X63,IF(File_Head&lt;&gt;"",Y63,"Filing status?"))))</f>
        <v>Filing status?</v>
      </c>
      <c r="V65" s="2644" t="str">
        <f>"&gt;=100k"</f>
        <v>&gt;=100k</v>
      </c>
      <c r="W65" s="2644"/>
      <c r="X65" s="2644" t="s">
        <v>748</v>
      </c>
      <c r="Y65" s="5182" t="str">
        <f>IF(U62&gt;100000,U65,U64)</f>
        <v>Filing status?</v>
      </c>
      <c r="AC65" s="2396"/>
    </row>
    <row r="66" spans="1:29" ht="13.5" customHeight="1" thickTop="1">
      <c r="A66" s="66"/>
      <c r="B66" s="4783"/>
      <c r="C66" s="278" t="s">
        <v>1627</v>
      </c>
      <c r="D66" s="326"/>
      <c r="E66" s="51" t="s">
        <v>1676</v>
      </c>
      <c r="F66" s="51"/>
      <c r="G66" s="194"/>
      <c r="H66" s="51"/>
      <c r="I66" s="51"/>
      <c r="J66" s="278"/>
      <c r="K66" s="278"/>
      <c r="L66" s="197" t="s">
        <v>1677</v>
      </c>
      <c r="M66" s="278" t="str">
        <f>C66</f>
        <v>23.</v>
      </c>
      <c r="N66" s="973" t="str">
        <f>IF(NOT(CGTW),"",SUM(N59,N62,N65))</f>
        <v/>
      </c>
      <c r="O66" s="4789"/>
      <c r="P66" s="539"/>
      <c r="Q66" s="457"/>
      <c r="R66" s="457"/>
      <c r="S66" s="457"/>
      <c r="AC66" s="2396"/>
    </row>
    <row r="67" spans="1:29" ht="13.5" customHeight="1">
      <c r="A67" s="66"/>
      <c r="B67" s="4783"/>
      <c r="C67" s="278" t="s">
        <v>1629</v>
      </c>
      <c r="D67" s="278"/>
      <c r="E67" s="51" t="s">
        <v>1678</v>
      </c>
      <c r="F67" s="51"/>
      <c r="G67" s="51"/>
      <c r="H67" s="194"/>
      <c r="I67" s="194"/>
      <c r="J67" s="278"/>
      <c r="K67" s="278"/>
      <c r="L67" s="197"/>
      <c r="M67" s="278"/>
      <c r="N67" s="540"/>
      <c r="O67" s="531"/>
      <c r="P67" s="539"/>
      <c r="Q67" s="457"/>
      <c r="R67" s="457"/>
      <c r="S67" s="457"/>
      <c r="AC67" s="2396"/>
    </row>
    <row r="68" spans="1:29" ht="13.5" customHeight="1">
      <c r="A68" s="66"/>
      <c r="B68" s="4783"/>
      <c r="C68" s="278"/>
      <c r="D68" s="278"/>
      <c r="E68" s="51" t="s">
        <v>1679</v>
      </c>
      <c r="F68" s="51"/>
      <c r="G68" s="51"/>
      <c r="H68" s="194"/>
      <c r="I68" s="194"/>
      <c r="J68" s="278"/>
      <c r="K68" s="278"/>
      <c r="L68" s="197"/>
      <c r="M68" s="278"/>
      <c r="N68" s="532"/>
      <c r="O68" s="531"/>
      <c r="P68" s="539"/>
      <c r="Q68" s="457"/>
      <c r="R68" s="457"/>
      <c r="S68" s="457"/>
      <c r="AC68" s="2396"/>
    </row>
    <row r="69" spans="1:29" ht="13.5" customHeight="1">
      <c r="A69" s="66"/>
      <c r="B69" s="4783"/>
      <c r="C69" s="3762"/>
      <c r="D69" s="278"/>
      <c r="E69" s="51" t="s">
        <v>1674</v>
      </c>
      <c r="F69" s="51"/>
      <c r="G69" s="51"/>
      <c r="H69" s="194"/>
      <c r="I69" s="194"/>
      <c r="J69" s="278"/>
      <c r="K69" s="278"/>
      <c r="L69" s="197" t="s">
        <v>1680</v>
      </c>
      <c r="M69" s="278" t="str">
        <f>C67</f>
        <v>24.</v>
      </c>
      <c r="N69" s="973" t="str">
        <f>IF(NOT(CGTW),"",Y65)</f>
        <v/>
      </c>
      <c r="O69" s="531"/>
      <c r="P69" s="539"/>
      <c r="Q69" s="457"/>
      <c r="R69" s="457"/>
      <c r="S69" s="457"/>
      <c r="AC69" s="2396"/>
    </row>
    <row r="70" spans="1:29">
      <c r="A70" s="66"/>
      <c r="B70" s="4783"/>
      <c r="C70" s="3762" t="s">
        <v>1632</v>
      </c>
      <c r="D70" s="278"/>
      <c r="E70" s="194" t="s">
        <v>1681</v>
      </c>
      <c r="F70" s="51"/>
      <c r="G70" s="51"/>
      <c r="H70" s="194"/>
      <c r="I70" s="194"/>
      <c r="J70" s="278"/>
      <c r="K70" s="278"/>
      <c r="L70" s="197"/>
      <c r="M70" s="278"/>
      <c r="N70" s="540"/>
      <c r="O70" s="531"/>
      <c r="P70" s="539"/>
      <c r="Q70" s="457"/>
      <c r="R70" s="1155"/>
      <c r="S70" s="457"/>
      <c r="AC70" s="2396"/>
    </row>
    <row r="71" spans="1:29" ht="13.5" customHeight="1">
      <c r="A71" s="66"/>
      <c r="B71" s="4783"/>
      <c r="C71" s="278"/>
      <c r="D71" s="278"/>
      <c r="E71" s="51" t="s">
        <v>1682</v>
      </c>
      <c r="F71" s="51"/>
      <c r="G71" s="51"/>
      <c r="H71" s="194"/>
      <c r="I71" s="194"/>
      <c r="J71" s="278"/>
      <c r="K71" s="278"/>
      <c r="L71" s="197"/>
      <c r="M71" s="278"/>
      <c r="N71" s="532"/>
      <c r="O71" s="531"/>
      <c r="P71" s="539"/>
      <c r="Q71" s="457"/>
      <c r="R71" s="1155" t="s">
        <v>1113</v>
      </c>
      <c r="S71" s="457"/>
      <c r="AC71" s="2396"/>
    </row>
    <row r="72" spans="1:29" ht="13.5" customHeight="1">
      <c r="A72" s="66"/>
      <c r="B72" s="4783"/>
      <c r="C72" s="278"/>
      <c r="D72" s="278"/>
      <c r="E72" s="51" t="s">
        <v>1683</v>
      </c>
      <c r="F72" s="51"/>
      <c r="G72" s="51"/>
      <c r="H72" s="194"/>
      <c r="I72" s="194"/>
      <c r="J72" s="278"/>
      <c r="K72" s="278"/>
      <c r="L72" s="197"/>
      <c r="M72" s="278"/>
      <c r="N72" s="532"/>
      <c r="O72" s="531"/>
      <c r="P72" s="539"/>
      <c r="Q72" s="457"/>
      <c r="R72" s="1155" t="s">
        <v>1062</v>
      </c>
      <c r="S72" s="457"/>
      <c r="AC72" s="2396"/>
    </row>
    <row r="73" spans="1:29">
      <c r="A73" s="66"/>
      <c r="B73" s="4783"/>
      <c r="C73" s="3762"/>
      <c r="D73" s="278"/>
      <c r="E73" s="51" t="s">
        <v>1684</v>
      </c>
      <c r="F73" s="51"/>
      <c r="G73" s="51"/>
      <c r="H73" s="194"/>
      <c r="I73" s="194"/>
      <c r="J73" s="278"/>
      <c r="K73" s="278"/>
      <c r="L73" s="197" t="s">
        <v>1685</v>
      </c>
      <c r="M73" s="278" t="str">
        <f>C70</f>
        <v>25.</v>
      </c>
      <c r="N73" s="973" t="str">
        <f>IF(R73&lt;&gt;"",R73,IF(NOT(CGTW),"",MIN(N66,N69)))</f>
        <v/>
      </c>
      <c r="O73" s="531"/>
      <c r="P73" s="539"/>
      <c r="Q73" s="457"/>
      <c r="R73" s="807"/>
      <c r="S73" s="457"/>
      <c r="AC73" s="2396"/>
    </row>
    <row r="74" spans="1:29" ht="15" customHeight="1">
      <c r="A74" s="66"/>
      <c r="B74" s="4783"/>
      <c r="C74" s="646" t="s">
        <v>1686</v>
      </c>
      <c r="D74" s="278"/>
      <c r="E74" s="51"/>
      <c r="F74" s="51"/>
      <c r="G74" s="51"/>
      <c r="H74" s="194"/>
      <c r="I74" s="194"/>
      <c r="J74" s="278"/>
      <c r="K74" s="278"/>
      <c r="L74" s="197"/>
      <c r="M74" s="278"/>
      <c r="N74" s="532"/>
      <c r="O74" s="531"/>
      <c r="P74" s="539"/>
      <c r="Q74" s="457"/>
      <c r="R74" s="457"/>
      <c r="S74" s="457"/>
      <c r="AC74" s="2396"/>
    </row>
    <row r="75" spans="1:29" ht="11.25" customHeight="1" thickBot="1">
      <c r="A75" s="66"/>
      <c r="B75" s="4784"/>
      <c r="C75" s="4779"/>
      <c r="D75" s="4779"/>
      <c r="E75" s="28"/>
      <c r="F75" s="28"/>
      <c r="G75" s="28"/>
      <c r="H75" s="41"/>
      <c r="I75" s="41"/>
      <c r="J75" s="41"/>
      <c r="K75" s="41"/>
      <c r="L75" s="41"/>
      <c r="M75" s="4779"/>
      <c r="N75" s="329"/>
      <c r="O75" s="538"/>
      <c r="P75" s="539"/>
      <c r="Q75" s="457"/>
      <c r="R75" s="457"/>
      <c r="S75" s="457"/>
      <c r="U75" s="183" t="s">
        <v>1687</v>
      </c>
      <c r="V75" s="187" t="s">
        <v>14</v>
      </c>
      <c r="W75" s="187" t="s">
        <v>737</v>
      </c>
      <c r="X75" s="187" t="s">
        <v>22</v>
      </c>
      <c r="Y75" s="187" t="s">
        <v>25</v>
      </c>
      <c r="AC75" s="2396"/>
    </row>
    <row r="76" spans="1:29" ht="45" customHeight="1" thickTop="1" thickBot="1">
      <c r="A76" s="457"/>
      <c r="B76" s="1980" t="s">
        <v>1688</v>
      </c>
      <c r="C76" s="1980"/>
      <c r="D76" s="2763"/>
      <c r="E76" s="1975"/>
      <c r="F76" s="1976"/>
      <c r="G76" s="1977"/>
      <c r="H76" s="1977"/>
      <c r="I76" s="1977"/>
      <c r="J76" s="6236" t="str">
        <f>IF(NOT(FEI_Tax_Worksheet),"Complete Form 2555 before completing this worksheet.","")</f>
        <v>Complete Form 2555 before completing this worksheet.</v>
      </c>
      <c r="K76" s="1977"/>
      <c r="L76" s="1978" t="s">
        <v>1057</v>
      </c>
      <c r="M76" s="1979"/>
      <c r="N76" s="851"/>
      <c r="O76" s="38"/>
      <c r="P76" s="457"/>
      <c r="Q76" s="457"/>
      <c r="R76" s="457"/>
      <c r="S76" s="457"/>
      <c r="U76" s="5560" t="str">
        <f>FEI_TW_Line3</f>
        <v/>
      </c>
      <c r="V76" s="5561" t="e">
        <f>LOOKUP(U76,'Tax Table'!$B$2:$B$2063,'Tax Table'!$D$2:$D$2063)</f>
        <v>#N/A</v>
      </c>
      <c r="W76" s="5174" t="e">
        <f>LOOKUP(U76,'Tax Table'!$B$2:$B$2063,'Tax Table'!$E$2:$E$2063)</f>
        <v>#N/A</v>
      </c>
      <c r="X76" s="5174" t="e">
        <f>LOOKUP(U76,'Tax Table'!$B$2:$B$2063,'Tax Table'!$F$2:$F$2063)</f>
        <v>#N/A</v>
      </c>
      <c r="Y76" s="5175" t="e">
        <f>LOOKUP(U76,'Tax Table'!$B$2:$B$2063,'Tax Table'!$G$2:$G$2063)</f>
        <v>#N/A</v>
      </c>
      <c r="AC76" s="2396"/>
    </row>
    <row r="77" spans="1:29" ht="33" customHeight="1" thickTop="1" thickBot="1">
      <c r="A77" s="457"/>
      <c r="B77" s="4790"/>
      <c r="C77" s="22"/>
      <c r="D77" s="1972"/>
      <c r="E77" s="6988" t="s">
        <v>5891</v>
      </c>
      <c r="F77" s="6988"/>
      <c r="G77" s="6988"/>
      <c r="H77" s="6988"/>
      <c r="I77" s="6988"/>
      <c r="J77" s="6988"/>
      <c r="K77" s="6988"/>
      <c r="L77" s="6988"/>
      <c r="M77" s="6988"/>
      <c r="N77" s="6988"/>
      <c r="O77" s="6989"/>
      <c r="P77" s="457"/>
      <c r="Q77" s="457"/>
      <c r="R77" s="6235" t="b">
        <f>AND(Taxable_Inc&gt;0,FEI_Tax_WS_Required)</f>
        <v>0</v>
      </c>
      <c r="S77" s="457"/>
      <c r="U77" s="2643"/>
      <c r="V77" s="5177" t="e">
        <f>IF(U76&lt;SectA_a3,"---",IF(U76&lt;=SectA_a4,ROUND((U76*(SectA_b4/100)-SectA_d4),0),IF(U76&lt;=SectA_a5,ROUND((U76*(SectA_b5/100)-SectA_d5),0),IF(U76&lt;=SectA_a6,ROUND((U76*(SectA_b6/100)-SectA_d6),0),ROUND((U76*(SectA_b7/100)-SectA_d7),0)))))</f>
        <v>#VALUE!</v>
      </c>
      <c r="W77" s="5177" t="e">
        <f>IF(U76&lt;SectB_a2,"---",IF(U76&lt;=SectB_a3,ROUND((U76*(SectB_b3/100)-SectB_d3),0),IF(U76&lt;=SectB_a4,ROUND((U76*(SectB_b4/100)-SectB_d4),0),IF(U76&lt;=SectB_a5,ROUND((U76*(SectB_b5/100)-SectB_d5),0),IF(U76&lt;=SectB_a6,ROUND((U76*(SectB_b6/100)-SectB_d6),0),ROUND((U76*(SectB_b7/100)-SectB_d7),0))))))</f>
        <v>#VALUE!</v>
      </c>
      <c r="X77" s="5177" t="e">
        <f>IF(U76&lt;SectC_a2,"---",IF(U76&lt;=SectC_a3,ROUND((U76*(SectC_b3/100)-SectC_d3),0),IF(U76&lt;=SectC_a4,ROUND((U76*(SectC_b4/100)-SectC_d4),0),IF(U76&lt;=SectC_a5,ROUND((U76*(SectC_b5/100)-SectC_d5),0),ROUND((U76*(SectC_b6/100)-SectC_d6),0)))))</f>
        <v>#VALUE!</v>
      </c>
      <c r="Y77" s="5178" t="e">
        <f>IF(U76&lt;SectD_a2,"---",IF(U76&lt;=SectD_a3,ROUND((U76*(SectD_b3/100)-SectD_d3),0),IF(U76&lt;=SectD_a4,ROUND((U76*(SectD_b4/100)-SectD_d4),0),IF(U76&lt;=SectD_a5,ROUND((U76*(SectD_b5/100)-SectD_d5),0),IF(U76&lt;=SectD_a6,ROUND((U76*(SectD_b6/100)-SectD_d6),0),ROUND((U76*(SectD_b7/100)-SectD_d7),0))))))</f>
        <v>#VALUE!</v>
      </c>
      <c r="AC77" s="2396"/>
    </row>
    <row r="78" spans="1:29" ht="14.25" customHeight="1" thickBot="1">
      <c r="A78" s="457"/>
      <c r="B78" s="4791"/>
      <c r="C78" s="851"/>
      <c r="D78" s="1753"/>
      <c r="E78" s="4429" t="s">
        <v>1689</v>
      </c>
      <c r="F78" s="1753"/>
      <c r="G78" s="851"/>
      <c r="H78" s="851"/>
      <c r="I78" s="851"/>
      <c r="J78" s="851"/>
      <c r="K78" s="1260"/>
      <c r="L78" s="1417"/>
      <c r="M78" s="1418"/>
      <c r="N78" s="1974"/>
      <c r="O78" s="6234"/>
      <c r="P78" s="457"/>
      <c r="Q78" s="457"/>
      <c r="R78" s="457" t="s">
        <v>1113</v>
      </c>
      <c r="S78" s="457"/>
      <c r="U78" s="5179" t="str">
        <f>IF(File_Single&lt;&gt;"",V76,IF(File_Marr_Joint&lt;&gt;"",W76,IF(File_Marr_Sep&lt;&gt;"", X76,IF(File_Head&lt;&gt;"",Y76,IF(File_Qual_Widow&lt;&gt;"",W76,"Filing status?")))))</f>
        <v>Filing status?</v>
      </c>
      <c r="V78" s="1585" t="str">
        <f>"&lt;100k"</f>
        <v>&lt;100k</v>
      </c>
      <c r="W78" s="1585"/>
      <c r="X78" s="1585"/>
      <c r="Y78" s="5180"/>
      <c r="AC78" s="2396"/>
    </row>
    <row r="79" spans="1:29" ht="13.5" thickBot="1">
      <c r="A79" s="457"/>
      <c r="B79" s="4790"/>
      <c r="C79" s="22"/>
      <c r="D79" s="4792"/>
      <c r="E79" s="61"/>
      <c r="F79" s="23"/>
      <c r="G79" s="61"/>
      <c r="H79" s="4793"/>
      <c r="I79" s="632"/>
      <c r="J79" s="4794"/>
      <c r="K79" s="4794"/>
      <c r="L79" s="219"/>
      <c r="M79" s="219"/>
      <c r="N79" s="13"/>
      <c r="O79" s="83"/>
      <c r="P79" s="457"/>
      <c r="Q79" s="457"/>
      <c r="R79" s="457" t="s">
        <v>1062</v>
      </c>
      <c r="S79" s="457"/>
      <c r="U79" s="5181" t="str">
        <f>IF(File_Single&lt;&gt;"",V77,IF(OR(File_Marr_Joint&lt;&gt;"",File_Qual_Widow&lt;&gt;""),W77,IF(File_Marr_Sep&lt;&gt;"", X77,IF(File_Head&lt;&gt;"",Y77,"Filing status?"))))</f>
        <v>Filing status?</v>
      </c>
      <c r="V79" s="2644" t="str">
        <f>"&gt;=100k"</f>
        <v>&gt;=100k</v>
      </c>
      <c r="W79" s="2644"/>
      <c r="X79" s="2644" t="s">
        <v>748</v>
      </c>
      <c r="Y79" s="5182" t="str">
        <f>IF(U76&gt;100000,U79,U78)</f>
        <v>Filing status?</v>
      </c>
      <c r="AC79" s="2396"/>
    </row>
    <row r="80" spans="1:29" ht="13.5" thickTop="1">
      <c r="A80" s="457"/>
      <c r="B80" s="4790"/>
      <c r="C80" s="22"/>
      <c r="D80" s="1973" t="s">
        <v>167</v>
      </c>
      <c r="E80" s="61" t="s">
        <v>1690</v>
      </c>
      <c r="F80" s="61"/>
      <c r="G80" s="61"/>
      <c r="H80" s="632"/>
      <c r="I80" s="632"/>
      <c r="J80" s="219"/>
      <c r="K80" s="219"/>
      <c r="L80" s="197" t="s">
        <v>1691</v>
      </c>
      <c r="M80" s="944" t="s">
        <v>167</v>
      </c>
      <c r="N80" s="4467" t="str">
        <f>IF(R80&lt;&gt;"",ROUND(R80,0),IF(FEI_Tax_Worksheet,Taxable_Inc,""))</f>
        <v/>
      </c>
      <c r="O80" s="83"/>
      <c r="P80" s="457"/>
      <c r="Q80" s="457"/>
      <c r="R80" s="2924"/>
      <c r="S80" s="457"/>
      <c r="Y80" s="39" t="b">
        <f>Y79=MIN(Y79,V112,X171)</f>
        <v>0</v>
      </c>
      <c r="AC80" s="2396"/>
    </row>
    <row r="81" spans="1:29" ht="13.5" thickBot="1">
      <c r="A81" s="457"/>
      <c r="B81" s="4790"/>
      <c r="C81" s="22"/>
      <c r="D81" s="1973"/>
      <c r="E81" s="61"/>
      <c r="F81" s="61"/>
      <c r="G81" s="61"/>
      <c r="H81" s="632"/>
      <c r="I81" s="632"/>
      <c r="J81" s="219"/>
      <c r="K81" s="219"/>
      <c r="L81" s="13"/>
      <c r="M81" s="13"/>
      <c r="N81" s="13"/>
      <c r="O81" s="83"/>
      <c r="P81" s="457"/>
      <c r="Q81" s="457"/>
      <c r="R81" s="457"/>
      <c r="S81" s="457"/>
      <c r="U81" s="183" t="s">
        <v>1692</v>
      </c>
      <c r="V81" s="187" t="s">
        <v>14</v>
      </c>
      <c r="W81" s="187" t="s">
        <v>737</v>
      </c>
      <c r="X81" s="187" t="s">
        <v>22</v>
      </c>
      <c r="Y81" s="187" t="s">
        <v>25</v>
      </c>
      <c r="AC81" s="2396"/>
    </row>
    <row r="82" spans="1:29" ht="14.25" thickTop="1" thickBot="1">
      <c r="A82" s="457"/>
      <c r="B82" s="4790"/>
      <c r="C82" s="808"/>
      <c r="D82" s="1973" t="s">
        <v>1369</v>
      </c>
      <c r="E82" s="61" t="s">
        <v>1693</v>
      </c>
      <c r="F82" s="61"/>
      <c r="G82" s="61"/>
      <c r="H82" s="632"/>
      <c r="I82" s="632"/>
      <c r="J82" s="219"/>
      <c r="K82" s="219"/>
      <c r="L82" s="197"/>
      <c r="M82" s="944" t="s">
        <v>1369</v>
      </c>
      <c r="N82" s="4467" t="str">
        <f>IF(R82&lt;&gt;"",ROUND(R82,0),IF(FEI_Tax_Worksheet,SUM(F2555_Line45_Total,ForeignHousingDeductionTotal),""))</f>
        <v/>
      </c>
      <c r="O82" s="83"/>
      <c r="P82" s="457"/>
      <c r="Q82" s="457"/>
      <c r="R82" s="2924"/>
      <c r="S82" s="457"/>
      <c r="U82" s="5560" t="str">
        <f>FEI_TW_Line2c</f>
        <v/>
      </c>
      <c r="V82" s="5561" t="e">
        <f>LOOKUP(U82,'Tax Table'!$B$2:$B$2063,'Tax Table'!$D$2:$D$2063)</f>
        <v>#N/A</v>
      </c>
      <c r="W82" s="5174" t="e">
        <f>LOOKUP(U82,'Tax Table'!$B$2:$B$2063,'Tax Table'!$E$2:$E$2063)</f>
        <v>#N/A</v>
      </c>
      <c r="X82" s="5174" t="e">
        <f>LOOKUP(U82,'Tax Table'!$B$2:$B$2063,'Tax Table'!$F$2:$F$2063)</f>
        <v>#N/A</v>
      </c>
      <c r="Y82" s="5175" t="e">
        <f>LOOKUP(U82,'Tax Table'!$B$2:$B$2063,'Tax Table'!$G$2:$G$2063)</f>
        <v>#N/A</v>
      </c>
      <c r="AC82" s="2396"/>
    </row>
    <row r="83" spans="1:29" ht="14.25" thickTop="1" thickBot="1">
      <c r="A83" s="457"/>
      <c r="B83" s="4790"/>
      <c r="C83" s="808"/>
      <c r="D83" s="1973" t="s">
        <v>1363</v>
      </c>
      <c r="E83" s="61" t="s">
        <v>1694</v>
      </c>
      <c r="F83" s="61"/>
      <c r="G83" s="61"/>
      <c r="H83" s="632"/>
      <c r="I83" s="632"/>
      <c r="J83" s="219"/>
      <c r="K83" s="219"/>
      <c r="L83" s="13"/>
      <c r="M83" s="13"/>
      <c r="N83" s="13"/>
      <c r="O83" s="83"/>
      <c r="P83" s="457"/>
      <c r="Q83" s="457"/>
      <c r="R83" s="457"/>
      <c r="S83" s="457"/>
      <c r="U83" s="2643"/>
      <c r="V83" s="5177" t="e">
        <f>IF(U82&lt;SectA_a3,"---",IF(U82&lt;=SectA_a4,ROUND((U82*(SectA_b4/100)-SectA_d4),0),IF(U82&lt;=SectA_a5,ROUND((U82*(SectA_b5/100)-SectA_d5),0),IF(U82&lt;=SectA_a6,ROUND((U82*(SectA_b6/100)-SectA_d6),0),ROUND((U82*(SectA_b7/100)-SectA_d7),0)))))</f>
        <v>#VALUE!</v>
      </c>
      <c r="W83" s="5177" t="e">
        <f>IF(U82&lt;SectB_a2,"---",IF(U82&lt;=SectB_a3,ROUND((U82*(SectB_b3/100)-SectB_d3),0),IF(U82&lt;=SectB_a4,ROUND((U82*(SectB_b4/100)-SectB_d4),0),IF(U82&lt;=SectB_a5,ROUND((U82*(SectB_b5/100)-SectB_d5),0),IF(U82&lt;=SectB_a6,ROUND((U82*(SectB_b6/100)-SectB_d6),0),ROUND((U82*(SectB_b7/100)-SectB_d7),0))))))</f>
        <v>#VALUE!</v>
      </c>
      <c r="X83" s="5177" t="e">
        <f>IF(U82&lt;SectC_a2,"---",IF(U82&lt;=SectC_a3,ROUND((U82*(SectC_b3/100)-SectC_d3),0),IF(U82&lt;=SectC_a4,ROUND((U82*(SectC_b4/100)-SectC_d4),0),IF(U82&lt;=SectC_a5,ROUND((U82*(SectC_b5/100)-SectC_d5),0),ROUND((U82*(SectC_b6/100)-SectC_d6),0)))))</f>
        <v>#VALUE!</v>
      </c>
      <c r="Y83" s="5178" t="e">
        <f>IF(U82&lt;SectD_a2,"---",IF(U82&lt;=SectD_a3,ROUND((U82*(SectD_b3/100)-SectD_d3),0),IF(U82&lt;=SectD_a4,ROUND((U82*(SectD_b4/100)-SectD_d4),0),IF(U82&lt;=SectD_a5,ROUND((U82*(SectD_b5/100)-SectD_d5),0),IF(U82&lt;=SectD_a6,ROUND((U82*(SectD_b6/100)-SectD_d6),0),ROUND((U82*(SectD_b7/100)-SectD_d7),0))))))</f>
        <v>#VALUE!</v>
      </c>
      <c r="AC83" s="2396"/>
    </row>
    <row r="84" spans="1:29" ht="13.5" thickBot="1">
      <c r="A84" s="457"/>
      <c r="B84" s="4790"/>
      <c r="C84" s="808"/>
      <c r="D84" s="1973"/>
      <c r="E84" s="61" t="s">
        <v>1695</v>
      </c>
      <c r="F84" s="61"/>
      <c r="G84" s="61"/>
      <c r="H84" s="632"/>
      <c r="I84" s="632"/>
      <c r="J84" s="219"/>
      <c r="K84" s="219"/>
      <c r="L84" s="197" t="s">
        <v>1696</v>
      </c>
      <c r="M84" s="944" t="s">
        <v>1363</v>
      </c>
      <c r="N84" s="4500"/>
      <c r="O84" s="83"/>
      <c r="P84" s="457"/>
      <c r="Q84" s="457"/>
      <c r="R84" s="457"/>
      <c r="S84" s="457"/>
      <c r="U84" s="5179" t="str">
        <f>IF(File_Single&lt;&gt;"",V82,IF(File_Marr_Joint&lt;&gt;"",W82,IF(File_Marr_Sep&lt;&gt;"", X82,IF(File_Head&lt;&gt;"",Y82,IF(File_Qual_Widow&lt;&gt;"",W82,"Filing status?")))))</f>
        <v>Filing status?</v>
      </c>
      <c r="V84" s="1585" t="str">
        <f>"&lt;100k"</f>
        <v>&lt;100k</v>
      </c>
      <c r="W84" s="1585"/>
      <c r="X84" s="1585"/>
      <c r="Y84" s="5180"/>
      <c r="AC84" s="2396"/>
    </row>
    <row r="85" spans="1:29" ht="13.5" thickBot="1">
      <c r="A85" s="457"/>
      <c r="B85" s="4790"/>
      <c r="C85" s="808"/>
      <c r="D85" s="1973" t="s">
        <v>1381</v>
      </c>
      <c r="E85" s="61" t="s">
        <v>1697</v>
      </c>
      <c r="F85" s="61"/>
      <c r="G85" s="61"/>
      <c r="H85" s="632"/>
      <c r="I85" s="632"/>
      <c r="J85" s="219"/>
      <c r="K85" s="219"/>
      <c r="L85" s="197" t="s">
        <v>1698</v>
      </c>
      <c r="M85" s="944" t="s">
        <v>1381</v>
      </c>
      <c r="N85" s="4467" t="str">
        <f>IF(FEI_Tax_Worksheet,MAX(0,SUM(N82,-N84)),"")</f>
        <v/>
      </c>
      <c r="O85" s="83"/>
      <c r="P85" s="457"/>
      <c r="Q85" s="457"/>
      <c r="R85" s="457"/>
      <c r="S85" s="457"/>
      <c r="U85" s="5181" t="str">
        <f>IF(File_Single&lt;&gt;"",V83,IF(OR(File_Marr_Joint&lt;&gt;"",File_Qual_Widow&lt;&gt;""),W83,IF(File_Marr_Sep&lt;&gt;"", X83,IF(File_Head&lt;&gt;"",Y83,"Filing status?"))))</f>
        <v>Filing status?</v>
      </c>
      <c r="V85" s="2644" t="str">
        <f>"&gt;=100k"</f>
        <v>&gt;=100k</v>
      </c>
      <c r="W85" s="2644"/>
      <c r="X85" s="2644" t="s">
        <v>748</v>
      </c>
      <c r="Y85" s="5182" t="str">
        <f>IF(U82&gt;100000,U85,U84)</f>
        <v>Filing status?</v>
      </c>
      <c r="AC85" s="2396"/>
    </row>
    <row r="86" spans="1:29" ht="13.5" thickTop="1">
      <c r="A86" s="457"/>
      <c r="B86" s="4790"/>
      <c r="C86" s="808"/>
      <c r="D86" s="1973"/>
      <c r="E86" s="61"/>
      <c r="F86" s="61"/>
      <c r="G86" s="61"/>
      <c r="H86" s="632"/>
      <c r="I86" s="632"/>
      <c r="J86" s="219"/>
      <c r="K86" s="219"/>
      <c r="L86" s="13"/>
      <c r="M86" s="13"/>
      <c r="N86" s="13"/>
      <c r="O86" s="83"/>
      <c r="P86" s="457"/>
      <c r="Q86" s="457"/>
      <c r="R86" s="457"/>
      <c r="S86" s="457"/>
      <c r="U86" s="2489"/>
      <c r="V86" s="2489"/>
      <c r="W86" s="2489"/>
      <c r="X86" s="2489"/>
      <c r="Y86" s="2489"/>
      <c r="AC86" s="2396"/>
    </row>
    <row r="87" spans="1:29" ht="13.5" thickBot="1">
      <c r="A87" s="457"/>
      <c r="B87" s="4790"/>
      <c r="C87" s="808"/>
      <c r="D87" s="1973" t="s">
        <v>177</v>
      </c>
      <c r="E87" s="61" t="s">
        <v>1699</v>
      </c>
      <c r="F87" s="61"/>
      <c r="G87" s="61"/>
      <c r="H87" s="632"/>
      <c r="I87" s="632"/>
      <c r="J87" s="219"/>
      <c r="K87" s="219"/>
      <c r="L87" s="197" t="s">
        <v>1700</v>
      </c>
      <c r="M87" s="944" t="s">
        <v>177</v>
      </c>
      <c r="N87" s="4467" t="str">
        <f>IF(FEI_Tax_Worksheet,SUM(N80,N85),"")</f>
        <v/>
      </c>
      <c r="O87" s="83"/>
      <c r="P87" s="457"/>
      <c r="Q87" s="457"/>
      <c r="R87" s="457"/>
      <c r="S87" s="457"/>
      <c r="U87" s="2489"/>
      <c r="V87" s="2489"/>
      <c r="W87" s="2489"/>
      <c r="X87" s="2489"/>
      <c r="Y87" s="2489"/>
      <c r="AC87" s="2396"/>
    </row>
    <row r="88" spans="1:29">
      <c r="A88" s="457"/>
      <c r="B88" s="4790"/>
      <c r="C88" s="808"/>
      <c r="D88" s="1973"/>
      <c r="E88" s="61"/>
      <c r="F88" s="61"/>
      <c r="G88" s="61"/>
      <c r="H88" s="632"/>
      <c r="I88" s="632"/>
      <c r="J88" s="219"/>
      <c r="K88" s="219"/>
      <c r="L88" s="13"/>
      <c r="M88" s="13"/>
      <c r="N88" s="13">
        <f>IF(N87="",0,N87)</f>
        <v>0</v>
      </c>
      <c r="O88" s="83"/>
      <c r="P88" s="457"/>
      <c r="Q88" s="457"/>
      <c r="R88" s="457"/>
      <c r="S88" s="457"/>
      <c r="U88" s="2665" t="s">
        <v>167</v>
      </c>
      <c r="V88" s="2613" t="str">
        <f>IF(OR(NOT(FEI_Tax_Worksheet),NOT(Y88)),"",IF(FEI_TW_Line3="",0,FEI_TW_Line3))</f>
        <v/>
      </c>
      <c r="W88" s="2614" t="s">
        <v>1701</v>
      </c>
      <c r="X88" s="664"/>
      <c r="Y88" s="664" t="b">
        <f>CGTW</f>
        <v>0</v>
      </c>
      <c r="Z88" s="2620" t="s">
        <v>1590</v>
      </c>
      <c r="AA88" s="2615"/>
      <c r="AC88" s="2396"/>
    </row>
    <row r="89" spans="1:29">
      <c r="A89" s="457"/>
      <c r="B89" s="4790"/>
      <c r="C89" s="808"/>
      <c r="D89" s="1973" t="s">
        <v>182</v>
      </c>
      <c r="E89" s="61" t="s">
        <v>1702</v>
      </c>
      <c r="F89" s="61"/>
      <c r="G89" s="61"/>
      <c r="H89" s="632"/>
      <c r="I89" s="632"/>
      <c r="J89" s="219"/>
      <c r="K89" s="219"/>
      <c r="L89" s="13"/>
      <c r="M89" s="13"/>
      <c r="N89" s="13"/>
      <c r="O89" s="83"/>
      <c r="P89" s="457"/>
      <c r="Q89" s="457"/>
      <c r="R89" s="457"/>
      <c r="S89" s="457"/>
      <c r="U89" s="2666" t="s">
        <v>171</v>
      </c>
      <c r="V89" s="2612">
        <f>Qualified_Dividends</f>
        <v>0</v>
      </c>
      <c r="W89" s="676" t="s">
        <v>1591</v>
      </c>
      <c r="Z89" s="118"/>
      <c r="AA89" s="2654" t="s">
        <v>1592</v>
      </c>
      <c r="AC89" s="2396"/>
    </row>
    <row r="90" spans="1:29">
      <c r="A90" s="457"/>
      <c r="B90" s="4790"/>
      <c r="C90" s="808"/>
      <c r="D90" s="1973"/>
      <c r="E90" s="61" t="s">
        <v>1703</v>
      </c>
      <c r="F90" s="61"/>
      <c r="G90" s="61"/>
      <c r="H90" s="632"/>
      <c r="I90" s="632"/>
      <c r="J90" s="219"/>
      <c r="K90" s="219"/>
      <c r="L90" s="13"/>
      <c r="M90" s="13"/>
      <c r="N90" s="6977" t="str">
        <f>IF(R93&lt;&gt;"","Manual override",IF(NOT(FEI_Tax_Worksheet),"",IF(AND(U76&gt;100000,Y80),"Tax Formula",IF(Y80,"Tax Table",IF(Z171,"Sch. D Tax Worksheet",IF(AA113,"Qualified Div &amp; Capital Gain Tax Worksheet",""))))))</f>
        <v/>
      </c>
      <c r="O90" s="83"/>
      <c r="P90" s="457"/>
      <c r="Q90" s="457"/>
      <c r="R90" s="457"/>
      <c r="S90" s="457"/>
      <c r="U90" s="2666" t="s">
        <v>177</v>
      </c>
      <c r="V90" s="2612" t="str">
        <f>IF(NOT(FilingScheduleD),CapitalGains,IF(OR(SchDLine15="",SchDLine15&lt;=0,SchDLine16="",SchDLine16&lt;=0),0,MIN(SchDLine15,SchDLine16)))</f>
        <v/>
      </c>
      <c r="W90" s="676" t="s">
        <v>1593</v>
      </c>
      <c r="AA90" s="2616"/>
      <c r="AC90" s="2396"/>
    </row>
    <row r="91" spans="1:29" ht="13.5" customHeight="1">
      <c r="A91" s="457"/>
      <c r="B91" s="4790"/>
      <c r="C91" s="808"/>
      <c r="D91" s="1973"/>
      <c r="E91" s="683" t="s">
        <v>1704</v>
      </c>
      <c r="F91" s="61"/>
      <c r="G91" s="61"/>
      <c r="H91" s="632"/>
      <c r="I91" s="632"/>
      <c r="J91" s="219"/>
      <c r="K91" s="219"/>
      <c r="L91" s="13"/>
      <c r="M91" s="13"/>
      <c r="N91" s="6977"/>
      <c r="O91" s="83"/>
      <c r="P91" s="457"/>
      <c r="Q91" s="457"/>
      <c r="R91" s="457"/>
      <c r="S91" s="457"/>
      <c r="U91" s="2666" t="s">
        <v>182</v>
      </c>
      <c r="V91" s="2611">
        <f>SUM(V89,V90)</f>
        <v>0</v>
      </c>
      <c r="W91" s="676" t="s">
        <v>1594</v>
      </c>
      <c r="AA91" s="2616"/>
      <c r="AC91" s="2396"/>
    </row>
    <row r="92" spans="1:29" ht="13.5" thickBot="1">
      <c r="A92" s="457"/>
      <c r="B92" s="4790"/>
      <c r="C92" s="808"/>
      <c r="D92" s="1973"/>
      <c r="E92" s="61" t="s">
        <v>1705</v>
      </c>
      <c r="F92" s="61"/>
      <c r="G92" s="61"/>
      <c r="H92" s="632"/>
      <c r="I92" s="632"/>
      <c r="J92" s="219"/>
      <c r="K92" s="219"/>
      <c r="L92" s="13"/>
      <c r="M92" s="13"/>
      <c r="N92" s="6977"/>
      <c r="O92" s="83"/>
      <c r="P92" s="457"/>
      <c r="Q92" s="457"/>
      <c r="R92" s="457"/>
      <c r="S92" s="457"/>
      <c r="U92" s="2667" t="s">
        <v>198</v>
      </c>
      <c r="V92" s="2611">
        <f>MAX(0,SUM(V88,-V91))</f>
        <v>0</v>
      </c>
      <c r="W92" s="2653" t="s">
        <v>1706</v>
      </c>
      <c r="X92" s="187" t="s">
        <v>14</v>
      </c>
      <c r="Y92" s="187" t="s">
        <v>737</v>
      </c>
      <c r="Z92" s="187" t="s">
        <v>22</v>
      </c>
      <c r="AA92" s="4772" t="s">
        <v>25</v>
      </c>
      <c r="AC92" s="2396"/>
    </row>
    <row r="93" spans="1:29" ht="14.25" thickTop="1" thickBot="1">
      <c r="A93" s="457"/>
      <c r="B93" s="4790"/>
      <c r="C93" s="808"/>
      <c r="D93" s="1973"/>
      <c r="E93" s="61" t="s">
        <v>1707</v>
      </c>
      <c r="F93" s="61"/>
      <c r="G93" s="61"/>
      <c r="H93" s="632"/>
      <c r="I93" s="632"/>
      <c r="J93" s="219"/>
      <c r="K93" s="219"/>
      <c r="L93" s="197" t="s">
        <v>1708</v>
      </c>
      <c r="M93" s="944" t="s">
        <v>182</v>
      </c>
      <c r="N93" s="4467" t="str">
        <f>IF(R93&lt;&gt;"",ROUND(R93,0),IF(NOT(FEI_Tax_Worksheet),"",IF(AND(U76&gt;100000,Y80),U79,IF(Y80,U78,IF(Z171,X171,IF(AA113,V112,""))))))</f>
        <v/>
      </c>
      <c r="O93" s="83"/>
      <c r="P93" s="457"/>
      <c r="Q93" s="457"/>
      <c r="R93" s="2924"/>
      <c r="S93" s="457"/>
      <c r="U93" s="2667" t="s">
        <v>202</v>
      </c>
      <c r="V93" s="2611" t="str">
        <f>IF(OR(File_Single&lt;&gt;"",File_Marr_Sep&lt;&gt;""),CGTW_Line6_SMFS,IF(OR(File_Marr_Joint&lt;&gt;"",File_Qual_Widow&lt;&gt;""),CGTW_Line6_MFJQW,IF(File_Head&lt;&gt;"",CGTW_Line6_HOH,"")))</f>
        <v/>
      </c>
      <c r="W93" s="5560" t="str">
        <f>V88</f>
        <v/>
      </c>
      <c r="X93" s="5561" t="e">
        <f>LOOKUP(W93,'Tax Table'!$B$2:$B$2063,'Tax Table'!$D$2:$D$2063)</f>
        <v>#N/A</v>
      </c>
      <c r="Y93" s="5174" t="e">
        <f>LOOKUP(W93,'Tax Table'!$B$2:$B$2063,'Tax Table'!$E$2:$E$2063)</f>
        <v>#N/A</v>
      </c>
      <c r="Z93" s="5174" t="e">
        <f>LOOKUP(W93,'Tax Table'!$B$2:$B$2063,'Tax Table'!$F$2:$F$2063)</f>
        <v>#N/A</v>
      </c>
      <c r="AA93" s="5175" t="e">
        <f>LOOKUP(W93,'Tax Table'!$B$2:$B$2063,'Tax Table'!$G$2:$G$2063)</f>
        <v>#N/A</v>
      </c>
      <c r="AC93" s="2396"/>
    </row>
    <row r="94" spans="1:29" ht="14.25" thickTop="1" thickBot="1">
      <c r="A94" s="457"/>
      <c r="B94" s="4790"/>
      <c r="C94" s="808"/>
      <c r="D94" s="1973"/>
      <c r="E94" s="61"/>
      <c r="F94" s="61"/>
      <c r="G94" s="61"/>
      <c r="H94" s="632"/>
      <c r="I94" s="632"/>
      <c r="J94" s="219"/>
      <c r="K94" s="219"/>
      <c r="L94" s="13"/>
      <c r="M94" s="13"/>
      <c r="N94" s="13"/>
      <c r="O94" s="83"/>
      <c r="P94" s="457"/>
      <c r="Q94" s="457"/>
      <c r="R94" s="457"/>
      <c r="S94" s="457"/>
      <c r="U94" s="2667" t="s">
        <v>215</v>
      </c>
      <c r="V94" s="2611">
        <f>MIN(V88,V93)</f>
        <v>0</v>
      </c>
      <c r="W94" s="2643"/>
      <c r="X94" s="5177" t="e">
        <f>IF(W93&lt;SectA_a3,"---",IF(W93&lt;=SectA_a4,ROUND((W93*(SectA_b4/100)-SectA_d4),0),IF(W93&lt;=SectA_a5,ROUND((W93*(SectA_b5/100)-SectA_d5),0),IF(W93&lt;=SectA_a6,ROUND((W93*(SectA_b6/100)-SectA_d6),0),ROUND((W93*(SectA_b7/100)-SectA_d7),0)))))</f>
        <v>#VALUE!</v>
      </c>
      <c r="Y94" s="5177" t="e">
        <f>IF(W93&lt;SectB_a2,"---",IF(W93&lt;=SectB_a3,ROUND((W93*(SectB_b3/100)-SectB_d3),0),IF(W93&lt;=SectB_a4,ROUND((W93*(SectB_b4/100)-SectB_d4),0),IF(W93&lt;=SectB_a5,ROUND((W93*(SectB_b5/100)-SectB_d5),0),IF(W93&lt;=SectB_a6,ROUND((W93*(SectB_b6/100)-SectB_d6),0),ROUND((W93*(SectB_b7/100)-SectB_d7),0))))))</f>
        <v>#VALUE!</v>
      </c>
      <c r="Z94" s="5177" t="e">
        <f>IF(W93&lt;SectC_a2,"---",IF(W93&lt;=SectC_a3,ROUND((W93*(SectC_b3/100)-SectC_d3),0),IF(W93&lt;=SectC_a4,ROUND((W93*(SectC_b4/100)-SectC_d4),0),IF(W93&lt;=SectC_a5,ROUND((W93*(SectC_b5/100)-SectC_d5),0),ROUND((W93*(SectC_b6/100)-SectC_d6),0)))))</f>
        <v>#VALUE!</v>
      </c>
      <c r="AA94" s="5178" t="e">
        <f>IF(W93&lt;SectD_a2,"---",IF(W93&lt;=SectD_a3,ROUND((W93*(SectD_b3/100)-SectD_d3),0),IF(W93&lt;=SectD_a4,ROUND((W93*(SectD_b4/100)-SectD_d4),0),IF(W93&lt;=SectD_a5,ROUND((W93*(SectD_b5/100)-SectD_d5),0),IF(W93&lt;=SectD_a6,ROUND((W93*(SectD_b6/100)-SectD_d6),0),ROUND((W93*(SectD_b7/100)-SectD_d7),0))))))</f>
        <v>#VALUE!</v>
      </c>
      <c r="AC94" s="2396"/>
    </row>
    <row r="95" spans="1:29" ht="13.5" thickBot="1">
      <c r="A95" s="457"/>
      <c r="B95" s="4790"/>
      <c r="C95" s="808"/>
      <c r="D95" s="1973" t="s">
        <v>198</v>
      </c>
      <c r="E95" s="61" t="s">
        <v>1709</v>
      </c>
      <c r="F95" s="61"/>
      <c r="G95" s="61"/>
      <c r="H95" s="632"/>
      <c r="I95" s="632"/>
      <c r="J95" s="219"/>
      <c r="K95" s="219"/>
      <c r="L95" s="13"/>
      <c r="M95" s="13"/>
      <c r="N95" s="13"/>
      <c r="O95" s="83"/>
      <c r="P95" s="457"/>
      <c r="Q95" s="457"/>
      <c r="R95" s="457"/>
      <c r="S95" s="457"/>
      <c r="U95" s="2667" t="s">
        <v>217</v>
      </c>
      <c r="V95" s="2611">
        <f>MIN(V92,V94)</f>
        <v>0</v>
      </c>
      <c r="W95" s="5179" t="str">
        <f>IF(File_Single&lt;&gt;"",X93,IF(File_Marr_Joint&lt;&gt;"",Y93,IF(File_Marr_Sep&lt;&gt;"", Z93,IF(File_Head&lt;&gt;"",AA93,IF(File_Qual_Widow&lt;&gt;"",Y93,"Filing status?")))))</f>
        <v>Filing status?</v>
      </c>
      <c r="X95" s="1585" t="str">
        <f>"&lt;100k"</f>
        <v>&lt;100k</v>
      </c>
      <c r="Y95" s="1585"/>
      <c r="Z95" s="1585"/>
      <c r="AA95" s="5180"/>
      <c r="AC95" s="2396"/>
    </row>
    <row r="96" spans="1:29" ht="13.5" thickBot="1">
      <c r="A96" s="457"/>
      <c r="B96" s="4790"/>
      <c r="C96" s="808"/>
      <c r="D96" s="1973"/>
      <c r="E96" s="61" t="s">
        <v>1710</v>
      </c>
      <c r="F96" s="61"/>
      <c r="G96" s="61"/>
      <c r="H96" s="632"/>
      <c r="I96" s="632"/>
      <c r="J96" s="219"/>
      <c r="K96" s="219"/>
      <c r="L96" s="13"/>
      <c r="M96" s="13"/>
      <c r="N96" s="13"/>
      <c r="O96" s="83"/>
      <c r="P96" s="457"/>
      <c r="Q96" s="457"/>
      <c r="R96" s="457"/>
      <c r="S96" s="457"/>
      <c r="U96" s="2667" t="s">
        <v>222</v>
      </c>
      <c r="V96" s="2611">
        <f>SUM(V94,-V95)</f>
        <v>0</v>
      </c>
      <c r="W96" s="5181" t="str">
        <f>IF(File_Single&lt;&gt;"",X94,IF(OR(File_Marr_Joint&lt;&gt;"",File_Qual_Widow&lt;&gt;""),Y94,IF(File_Marr_Sep&lt;&gt;"", Z94,IF(File_Head&lt;&gt;"",AA94,"Filing status?"))))</f>
        <v>Filing status?</v>
      </c>
      <c r="X96" s="2644" t="str">
        <f>"&gt;=100k"</f>
        <v>&gt;=100k</v>
      </c>
      <c r="Y96" s="2644"/>
      <c r="Z96" s="2644" t="s">
        <v>748</v>
      </c>
      <c r="AA96" s="5182" t="str">
        <f>IF(W93&gt;100000,W96,W95)</f>
        <v>Filing status?</v>
      </c>
      <c r="AC96" s="2396"/>
    </row>
    <row r="97" spans="1:29" ht="13.5" thickTop="1">
      <c r="A97" s="457"/>
      <c r="B97" s="4790"/>
      <c r="C97" s="808"/>
      <c r="D97" s="1973"/>
      <c r="E97" s="61" t="s">
        <v>1674</v>
      </c>
      <c r="F97" s="61"/>
      <c r="G97" s="61"/>
      <c r="H97" s="632"/>
      <c r="I97" s="632"/>
      <c r="J97" s="219"/>
      <c r="K97" s="219"/>
      <c r="L97" s="197" t="s">
        <v>1711</v>
      </c>
      <c r="M97" s="944" t="s">
        <v>198</v>
      </c>
      <c r="N97" s="4467" t="str">
        <f>IF(R97&lt;&gt;"",ROUND(R97,0),IF(FEI_Tax_Worksheet,Y85,""))</f>
        <v/>
      </c>
      <c r="O97" s="83"/>
      <c r="P97" s="457"/>
      <c r="Q97" s="457"/>
      <c r="R97" s="2924"/>
      <c r="S97" s="457"/>
      <c r="U97" s="2667" t="s">
        <v>227</v>
      </c>
      <c r="V97" s="2611">
        <f>MIN(V88,V91)</f>
        <v>0</v>
      </c>
      <c r="AA97" s="2721" t="s">
        <v>1600</v>
      </c>
      <c r="AC97" s="2396"/>
    </row>
    <row r="98" spans="1:29">
      <c r="A98" s="457"/>
      <c r="B98" s="4790"/>
      <c r="C98" s="808"/>
      <c r="D98" s="1973"/>
      <c r="E98" s="61"/>
      <c r="F98" s="61"/>
      <c r="G98" s="61"/>
      <c r="H98" s="632"/>
      <c r="I98" s="632"/>
      <c r="J98" s="219"/>
      <c r="K98" s="219"/>
      <c r="L98" s="13"/>
      <c r="M98" s="13"/>
      <c r="N98" s="13"/>
      <c r="O98" s="83"/>
      <c r="P98" s="457"/>
      <c r="Q98" s="457"/>
      <c r="R98" s="457"/>
      <c r="S98" s="457"/>
      <c r="U98" s="2667" t="s">
        <v>229</v>
      </c>
      <c r="V98" s="2611">
        <f>V96</f>
        <v>0</v>
      </c>
      <c r="AA98" s="2616"/>
    </row>
    <row r="99" spans="1:29">
      <c r="A99" s="457"/>
      <c r="B99" s="4790"/>
      <c r="C99" s="808"/>
      <c r="D99" s="1973" t="s">
        <v>202</v>
      </c>
      <c r="E99" s="61" t="s">
        <v>1712</v>
      </c>
      <c r="F99" s="61"/>
      <c r="G99" s="61"/>
      <c r="H99" s="632"/>
      <c r="I99" s="632"/>
      <c r="J99" s="219"/>
      <c r="K99" s="219"/>
      <c r="L99" s="13"/>
      <c r="M99" s="13"/>
      <c r="N99" s="13"/>
      <c r="O99" s="83"/>
      <c r="P99" s="457"/>
      <c r="Q99" s="457"/>
      <c r="R99" s="457"/>
      <c r="S99" s="457"/>
      <c r="U99" s="2667" t="s">
        <v>1605</v>
      </c>
      <c r="V99" s="2611">
        <f>SUM(V97,-V98)</f>
        <v>0</v>
      </c>
      <c r="AA99" s="2616"/>
    </row>
    <row r="100" spans="1:29" ht="13.5" thickBot="1">
      <c r="A100" s="457"/>
      <c r="B100" s="4790"/>
      <c r="C100" s="808"/>
      <c r="D100" s="1973"/>
      <c r="E100" s="61" t="s">
        <v>1713</v>
      </c>
      <c r="F100" s="61"/>
      <c r="G100" s="61"/>
      <c r="H100" s="632"/>
      <c r="I100" s="632"/>
      <c r="J100" s="219"/>
      <c r="K100" s="219"/>
      <c r="L100" s="197" t="s">
        <v>1714</v>
      </c>
      <c r="M100" s="944" t="s">
        <v>202</v>
      </c>
      <c r="N100" s="4467" t="str">
        <f>IF(R100&lt;&gt;"",ROUND(R100,0),IF(FEI_Tax_Worksheet,MAX(0,SUM(N93,-N97)),""))</f>
        <v/>
      </c>
      <c r="O100" s="83"/>
      <c r="P100" s="457"/>
      <c r="Q100" s="457"/>
      <c r="R100" s="2924"/>
      <c r="S100" s="457"/>
      <c r="U100" s="2667" t="s">
        <v>1607</v>
      </c>
      <c r="V100" s="2611" t="str">
        <f>IF(File_Single&lt;&gt;"",CGTW_Line13_Single,IF(File_Marr_Sep&lt;&gt;"",CGTW_Line13_MFS,IF(OR(File_Marr_Joint&lt;&gt;"",File_Qual_Widow&lt;&gt;""),CGTW_Line13_MFJQW,IF(File_Head&lt;&gt;"",CGTW_Line13_HOH,""))))</f>
        <v/>
      </c>
      <c r="W100" s="2653" t="s">
        <v>1715</v>
      </c>
      <c r="X100" s="187" t="s">
        <v>14</v>
      </c>
      <c r="Y100" s="187" t="s">
        <v>737</v>
      </c>
      <c r="Z100" s="187" t="s">
        <v>22</v>
      </c>
      <c r="AA100" s="4772" t="s">
        <v>25</v>
      </c>
    </row>
    <row r="101" spans="1:29" ht="14.25" thickTop="1" thickBot="1">
      <c r="A101" s="457"/>
      <c r="B101" s="4790"/>
      <c r="C101" s="808"/>
      <c r="D101" s="1973"/>
      <c r="E101" s="1299"/>
      <c r="F101" s="61"/>
      <c r="G101" s="61"/>
      <c r="H101" s="61"/>
      <c r="I101" s="632"/>
      <c r="J101" s="219"/>
      <c r="K101" s="219"/>
      <c r="L101" s="13"/>
      <c r="M101" s="13"/>
      <c r="N101" s="13"/>
      <c r="O101" s="83"/>
      <c r="P101" s="457"/>
      <c r="Q101" s="457"/>
      <c r="R101" s="457"/>
      <c r="S101" s="457"/>
      <c r="U101" s="2667" t="s">
        <v>1608</v>
      </c>
      <c r="V101" s="2611">
        <f>MIN(V88,V100)</f>
        <v>0</v>
      </c>
      <c r="W101" s="5560">
        <f>V92</f>
        <v>0</v>
      </c>
      <c r="X101" s="5561">
        <f>LOOKUP(W101,'Tax Table'!$B$2:$B$2063,'Tax Table'!$D$2:$D$2063)</f>
        <v>0</v>
      </c>
      <c r="Y101" s="5174">
        <f>LOOKUP(W101,'Tax Table'!$B$2:$B$2063,'Tax Table'!$E$2:$E$2063)</f>
        <v>0</v>
      </c>
      <c r="Z101" s="5174">
        <f>LOOKUP(W101,'Tax Table'!$B$2:$B$2063,'Tax Table'!$F$2:$F$2063)</f>
        <v>0</v>
      </c>
      <c r="AA101" s="5175">
        <f>LOOKUP(W101,'Tax Table'!$B$2:$B$2063,'Tax Table'!$G$2:$G$2063)</f>
        <v>0</v>
      </c>
    </row>
    <row r="102" spans="1:29" ht="14.25" thickTop="1" thickBot="1">
      <c r="A102" s="4795"/>
      <c r="B102" s="1981" t="s">
        <v>1716</v>
      </c>
      <c r="C102" s="4790"/>
      <c r="D102" s="808"/>
      <c r="E102" s="61"/>
      <c r="F102" s="61"/>
      <c r="G102" s="61"/>
      <c r="H102" s="632"/>
      <c r="I102" s="219"/>
      <c r="J102" s="219"/>
      <c r="K102" s="219"/>
      <c r="L102" s="13"/>
      <c r="M102" s="13"/>
      <c r="N102" s="13"/>
      <c r="O102" s="83"/>
      <c r="P102" s="457"/>
      <c r="Q102" s="457"/>
      <c r="R102" s="457"/>
      <c r="S102" s="457"/>
      <c r="U102" s="2667" t="s">
        <v>1610</v>
      </c>
      <c r="V102" s="2611">
        <f>SUM(V92,V96)</f>
        <v>0</v>
      </c>
      <c r="W102" s="2643"/>
      <c r="X102" s="5177" t="str">
        <f>IF(W101&lt;SectA_a3,"---",IF(W101&lt;=SectA_a4,ROUND((W101*(SectA_b4/100)-SectA_d4),0),IF(W101&lt;=SectA_a5,ROUND((W101*(SectA_b5/100)-SectA_d5),0),IF(W101&lt;=SectA_a6,ROUND((W101*(SectA_b6/100)-SectA_d6),0),ROUND((W101*(SectA_b7/100)-SectA_d7),0)))))</f>
        <v>---</v>
      </c>
      <c r="Y102" s="5177" t="str">
        <f>IF(W101&lt;SectB_a2,"---",IF(W101&lt;=SectB_a3,ROUND((W101*(SectB_b3/100)-SectB_d3),0),IF(W101&lt;=SectB_a4,ROUND((W101*(SectB_b4/100)-SectB_d4),0),IF(W101&lt;=SectB_a5,ROUND((W101*(SectB_b5/100)-SectB_d5),0),IF(W101&lt;=SectB_a6,ROUND((W101*(SectB_b6/100)-SectB_d6),0),ROUND((W101*(SectB_b7/100)-SectB_d7),0))))))</f>
        <v>---</v>
      </c>
      <c r="Z102" s="5177" t="str">
        <f>IF(W101&lt;SectC_a2,"---",IF(W101&lt;=SectC_a3,ROUND((W101*(SectC_b3/100)-SectC_d3),0),IF(W101&lt;=SectC_a4,ROUND((W101*(SectC_b4/100)-SectC_d4),0),IF(W101&lt;=SectC_a5,ROUND((W101*(SectC_b5/100)-SectC_d5),0),ROUND((W101*(SectC_b6/100)-SectC_d6),0)))))</f>
        <v>---</v>
      </c>
      <c r="AA102" s="5178" t="str">
        <f>IF(W101&lt;SectD_a2,"---",IF(W101&lt;=SectD_a3,ROUND((W101*(SectD_b3/100)-SectD_d3),0),IF(W101&lt;=SectD_a4,ROUND((W101*(SectD_b4/100)-SectD_d4),0),IF(W101&lt;=SectD_a5,ROUND((W101*(SectD_b5/100)-SectD_d5),0),IF(W101&lt;=SectD_a6,ROUND((W101*(SectD_b6/100)-SectD_d6),0),ROUND((W101*(SectD_b7/100)-SectD_d7),0))))))</f>
        <v>---</v>
      </c>
    </row>
    <row r="103" spans="1:29" ht="13.5" thickBot="1">
      <c r="A103" s="4795"/>
      <c r="B103" s="1981" t="s">
        <v>1717</v>
      </c>
      <c r="C103" s="4790"/>
      <c r="D103" s="808"/>
      <c r="E103" s="61"/>
      <c r="F103" s="61"/>
      <c r="G103" s="61"/>
      <c r="H103" s="632"/>
      <c r="I103" s="219"/>
      <c r="J103" s="219"/>
      <c r="K103" s="219"/>
      <c r="L103" s="13"/>
      <c r="M103" s="13"/>
      <c r="N103" s="13"/>
      <c r="O103" s="83"/>
      <c r="P103" s="457"/>
      <c r="Q103" s="457"/>
      <c r="R103" s="457"/>
      <c r="S103" s="457"/>
      <c r="U103" s="2667" t="s">
        <v>1611</v>
      </c>
      <c r="V103" s="2611">
        <f>MAX(0,SUM(V101,-V102))</f>
        <v>0</v>
      </c>
      <c r="W103" s="5179" t="str">
        <f>IF(File_Single&lt;&gt;"",X101,IF(File_Marr_Joint&lt;&gt;"",Y101,IF(File_Marr_Sep&lt;&gt;"", Z101,IF(File_Head&lt;&gt;"",AA101,IF(File_Qual_Widow&lt;&gt;"",Y101,"Filing status?")))))</f>
        <v>Filing status?</v>
      </c>
      <c r="X103" s="1585" t="str">
        <f>"&lt;100k"</f>
        <v>&lt;100k</v>
      </c>
      <c r="Y103" s="1585"/>
      <c r="Z103" s="1585"/>
      <c r="AA103" s="5180"/>
    </row>
    <row r="104" spans="1:29" ht="13.5" thickBot="1">
      <c r="A104" s="4795"/>
      <c r="B104" s="1981" t="s">
        <v>1718</v>
      </c>
      <c r="C104" s="4790"/>
      <c r="D104" s="808"/>
      <c r="E104" s="61"/>
      <c r="F104" s="61"/>
      <c r="G104" s="61"/>
      <c r="H104" s="632"/>
      <c r="I104" s="219"/>
      <c r="J104" s="219"/>
      <c r="K104" s="219"/>
      <c r="L104" s="13"/>
      <c r="M104" s="13"/>
      <c r="N104" s="13"/>
      <c r="O104" s="83"/>
      <c r="P104" s="457"/>
      <c r="Q104" s="457"/>
      <c r="R104" s="457"/>
      <c r="S104" s="457"/>
      <c r="U104" s="2667" t="s">
        <v>1612</v>
      </c>
      <c r="V104" s="2611">
        <f>MIN(V99,V103)</f>
        <v>0</v>
      </c>
      <c r="W104" s="5181" t="str">
        <f>IF(File_Single&lt;&gt;"",X102,IF(OR(File_Marr_Joint&lt;&gt;"",File_Qual_Widow&lt;&gt;""),Y102,IF(File_Marr_Sep&lt;&gt;"", Z102,IF(File_Head&lt;&gt;"",AA102,"Filing status?"))))</f>
        <v>Filing status?</v>
      </c>
      <c r="X104" s="2644" t="str">
        <f>"&gt;=100k"</f>
        <v>&gt;=100k</v>
      </c>
      <c r="Y104" s="2644"/>
      <c r="Z104" s="2644" t="s">
        <v>748</v>
      </c>
      <c r="AA104" s="5182" t="str">
        <f>IF(W101&gt;100000,W104,W103)</f>
        <v>Filing status?</v>
      </c>
    </row>
    <row r="105" spans="1:29" ht="13.5" thickTop="1">
      <c r="A105" s="4795"/>
      <c r="B105" s="1981" t="s">
        <v>1719</v>
      </c>
      <c r="C105" s="4790"/>
      <c r="D105" s="808"/>
      <c r="E105" s="61"/>
      <c r="F105" s="61"/>
      <c r="G105" s="61"/>
      <c r="H105" s="632"/>
      <c r="I105" s="219"/>
      <c r="J105" s="219"/>
      <c r="K105" s="219"/>
      <c r="L105" s="13"/>
      <c r="M105" s="13"/>
      <c r="N105" s="13"/>
      <c r="O105" s="83"/>
      <c r="P105" s="457"/>
      <c r="Q105" s="457"/>
      <c r="R105" s="457"/>
      <c r="S105" s="457"/>
      <c r="U105" s="2668" t="s">
        <v>1613</v>
      </c>
      <c r="V105" s="2611">
        <f>ROUND((V104*CGTW_Line18_PCT),0)</f>
        <v>0</v>
      </c>
      <c r="AA105" s="2721" t="s">
        <v>1614</v>
      </c>
    </row>
    <row r="106" spans="1:29">
      <c r="A106" s="4795"/>
      <c r="B106" s="1981" t="s">
        <v>1720</v>
      </c>
      <c r="C106" s="4790"/>
      <c r="D106" s="808"/>
      <c r="E106" s="61"/>
      <c r="F106" s="61"/>
      <c r="G106" s="61"/>
      <c r="H106" s="632"/>
      <c r="I106" s="219"/>
      <c r="J106" s="219"/>
      <c r="K106" s="219"/>
      <c r="L106" s="13"/>
      <c r="M106" s="13"/>
      <c r="N106" s="13"/>
      <c r="O106" s="83"/>
      <c r="P106" s="457"/>
      <c r="Q106" s="457"/>
      <c r="R106" s="457"/>
      <c r="S106" s="457"/>
      <c r="U106" s="2667" t="s">
        <v>1616</v>
      </c>
      <c r="V106" s="2611">
        <f>SUM(V96,V104)</f>
        <v>0</v>
      </c>
      <c r="AA106" s="2616"/>
    </row>
    <row r="107" spans="1:29">
      <c r="A107" s="4795"/>
      <c r="B107" s="1981" t="s">
        <v>1721</v>
      </c>
      <c r="C107" s="4790"/>
      <c r="D107" s="808"/>
      <c r="E107" s="61"/>
      <c r="F107" s="61"/>
      <c r="G107" s="61"/>
      <c r="H107" s="632"/>
      <c r="I107" s="219"/>
      <c r="J107" s="219"/>
      <c r="K107" s="219"/>
      <c r="L107" s="13"/>
      <c r="M107" s="13"/>
      <c r="N107" s="13"/>
      <c r="O107" s="83"/>
      <c r="P107" s="457"/>
      <c r="Q107" s="457"/>
      <c r="R107" s="457"/>
      <c r="S107" s="457"/>
      <c r="U107" s="2667" t="s">
        <v>1620</v>
      </c>
      <c r="V107" s="2611">
        <f>SUM(V97,-V106)</f>
        <v>0</v>
      </c>
      <c r="AA107" s="2616"/>
    </row>
    <row r="108" spans="1:29">
      <c r="A108" s="4795"/>
      <c r="B108" s="1981" t="s">
        <v>1722</v>
      </c>
      <c r="C108" s="4790"/>
      <c r="D108" s="808"/>
      <c r="E108" s="61"/>
      <c r="F108" s="61"/>
      <c r="G108" s="61"/>
      <c r="H108" s="632"/>
      <c r="I108" s="219"/>
      <c r="J108" s="219"/>
      <c r="K108" s="219"/>
      <c r="L108" s="13"/>
      <c r="M108" s="13"/>
      <c r="N108" s="13"/>
      <c r="O108" s="83"/>
      <c r="P108" s="457"/>
      <c r="Q108" s="457"/>
      <c r="R108" s="457"/>
      <c r="S108" s="457"/>
      <c r="U108" s="2668" t="s">
        <v>1622</v>
      </c>
      <c r="V108" s="2611">
        <f>ROUND(V107*CGTW_Line21_PCT,0)</f>
        <v>0</v>
      </c>
      <c r="AA108" s="2616"/>
    </row>
    <row r="109" spans="1:29">
      <c r="A109" s="4795"/>
      <c r="B109" s="1981" t="s">
        <v>1723</v>
      </c>
      <c r="C109" s="4790"/>
      <c r="D109" s="808"/>
      <c r="E109" s="61"/>
      <c r="F109" s="61"/>
      <c r="G109" s="61"/>
      <c r="H109" s="632"/>
      <c r="I109" s="219"/>
      <c r="J109" s="219"/>
      <c r="K109" s="219"/>
      <c r="L109" s="13"/>
      <c r="M109" s="13"/>
      <c r="N109" s="13"/>
      <c r="O109" s="83"/>
      <c r="P109" s="457"/>
      <c r="Q109" s="457"/>
      <c r="R109" s="457"/>
      <c r="S109" s="457"/>
      <c r="U109" s="2668" t="s">
        <v>1624</v>
      </c>
      <c r="V109" s="2611" t="str">
        <f>AA104</f>
        <v>Filing status?</v>
      </c>
      <c r="W109" s="676" t="s">
        <v>1625</v>
      </c>
      <c r="AA109" s="2616"/>
    </row>
    <row r="110" spans="1:29">
      <c r="A110" s="4795"/>
      <c r="B110" s="1981" t="s">
        <v>1724</v>
      </c>
      <c r="C110" s="4790"/>
      <c r="D110" s="808"/>
      <c r="E110" s="61"/>
      <c r="F110" s="61"/>
      <c r="G110" s="61"/>
      <c r="H110" s="632"/>
      <c r="I110" s="219"/>
      <c r="J110" s="219"/>
      <c r="K110" s="219"/>
      <c r="L110" s="13"/>
      <c r="M110" s="13"/>
      <c r="N110" s="13"/>
      <c r="O110" s="83"/>
      <c r="P110" s="457"/>
      <c r="Q110" s="457"/>
      <c r="R110" s="457"/>
      <c r="S110" s="457"/>
      <c r="U110" s="2668" t="s">
        <v>1627</v>
      </c>
      <c r="V110" s="2611">
        <f>SUM(V105,V108,V109)</f>
        <v>0</v>
      </c>
      <c r="AA110" s="2616"/>
    </row>
    <row r="111" spans="1:29">
      <c r="A111" s="4795"/>
      <c r="B111" s="1981" t="s">
        <v>1725</v>
      </c>
      <c r="C111" s="4790"/>
      <c r="D111" s="808"/>
      <c r="E111" s="61"/>
      <c r="F111" s="61"/>
      <c r="G111" s="61"/>
      <c r="H111" s="632"/>
      <c r="I111" s="219"/>
      <c r="J111" s="219"/>
      <c r="K111" s="219"/>
      <c r="L111" s="13"/>
      <c r="M111" s="13"/>
      <c r="N111" s="13"/>
      <c r="O111" s="83"/>
      <c r="P111" s="457"/>
      <c r="Q111" s="457"/>
      <c r="R111" s="457"/>
      <c r="S111" s="457"/>
      <c r="U111" s="2668" t="s">
        <v>1629</v>
      </c>
      <c r="V111" s="2611" t="str">
        <f>AA96</f>
        <v>Filing status?</v>
      </c>
      <c r="W111" s="676" t="s">
        <v>1630</v>
      </c>
      <c r="AA111" s="2616"/>
    </row>
    <row r="112" spans="1:29" ht="13.5" thickBot="1">
      <c r="A112" s="4795"/>
      <c r="B112" s="1981" t="s">
        <v>1726</v>
      </c>
      <c r="C112" s="4790"/>
      <c r="D112" s="808"/>
      <c r="E112" s="61"/>
      <c r="F112" s="61"/>
      <c r="G112" s="61"/>
      <c r="H112" s="632"/>
      <c r="I112" s="219"/>
      <c r="J112" s="219"/>
      <c r="K112" s="219"/>
      <c r="L112" s="13"/>
      <c r="M112" s="13"/>
      <c r="N112" s="13"/>
      <c r="O112" s="83"/>
      <c r="P112" s="457"/>
      <c r="Q112" s="457"/>
      <c r="R112" s="457"/>
      <c r="S112" s="457"/>
      <c r="U112" s="2669" t="s">
        <v>1632</v>
      </c>
      <c r="V112" s="2617" t="str">
        <f>IF(NOT(Y88),"",MIN(V110,V111))</f>
        <v/>
      </c>
      <c r="W112" s="2621" t="s">
        <v>1633</v>
      </c>
      <c r="X112" s="2618"/>
      <c r="Y112" s="2618"/>
      <c r="Z112" s="2618"/>
      <c r="AA112" s="2619"/>
    </row>
    <row r="113" spans="1:28">
      <c r="A113" s="4795"/>
      <c r="B113" s="1981" t="s">
        <v>1727</v>
      </c>
      <c r="C113" s="4790"/>
      <c r="D113" s="808"/>
      <c r="E113" s="61"/>
      <c r="F113" s="61"/>
      <c r="G113" s="61"/>
      <c r="H113" s="632"/>
      <c r="I113" s="219"/>
      <c r="J113" s="219"/>
      <c r="K113" s="219"/>
      <c r="L113" s="13"/>
      <c r="M113" s="13"/>
      <c r="N113" s="13"/>
      <c r="O113" s="83"/>
      <c r="P113" s="457"/>
      <c r="Q113" s="457"/>
      <c r="R113" s="457"/>
      <c r="S113" s="457"/>
      <c r="AA113" s="39" t="b">
        <f>V112=MIN(Y79,V112,X171)</f>
        <v>0</v>
      </c>
    </row>
    <row r="114" spans="1:28">
      <c r="A114" s="4795"/>
      <c r="B114" s="1981" t="s">
        <v>1728</v>
      </c>
      <c r="C114" s="4790"/>
      <c r="D114" s="808"/>
      <c r="E114" s="61"/>
      <c r="F114" s="61"/>
      <c r="G114" s="61"/>
      <c r="H114" s="632"/>
      <c r="I114" s="219"/>
      <c r="J114" s="219"/>
      <c r="K114" s="219"/>
      <c r="L114" s="13"/>
      <c r="M114" s="13"/>
      <c r="N114" s="13"/>
      <c r="O114" s="83"/>
      <c r="P114" s="457"/>
      <c r="Q114" s="457"/>
      <c r="R114" s="457"/>
      <c r="S114" s="457"/>
      <c r="U114" s="2732" t="s">
        <v>1729</v>
      </c>
      <c r="V114" s="2733"/>
      <c r="W114" s="2733"/>
      <c r="X114" s="2733" t="b">
        <f>SchDTW_Used</f>
        <v>0</v>
      </c>
      <c r="Y114" s="2749" t="s">
        <v>1730</v>
      </c>
      <c r="Z114" s="962"/>
      <c r="AA114" s="962"/>
      <c r="AB114" s="962"/>
    </row>
    <row r="115" spans="1:28">
      <c r="A115" s="4795"/>
      <c r="B115" s="1981" t="s">
        <v>1731</v>
      </c>
      <c r="C115" s="4790"/>
      <c r="D115" s="808"/>
      <c r="E115" s="61"/>
      <c r="F115" s="61"/>
      <c r="G115" s="61"/>
      <c r="H115" s="632"/>
      <c r="I115" s="219"/>
      <c r="J115" s="219"/>
      <c r="K115" s="219"/>
      <c r="L115" s="13"/>
      <c r="M115" s="13"/>
      <c r="N115" s="13"/>
      <c r="O115" s="83"/>
      <c r="P115" s="457"/>
      <c r="Q115" s="457"/>
      <c r="R115" s="457"/>
      <c r="S115" s="457"/>
      <c r="U115" s="2734" t="s">
        <v>167</v>
      </c>
      <c r="V115" s="962" t="s">
        <v>1732</v>
      </c>
      <c r="W115"/>
      <c r="X115" s="938" t="str">
        <f>IF(NOT(X114),"",IF(Form2555_Used,FEI_TW_Line3,IF(Taxable_Inc&lt;&gt;"",Taxable_Inc,0)))</f>
        <v/>
      </c>
      <c r="Y115" s="2735"/>
      <c r="Z115" s="962"/>
      <c r="AA115" s="962"/>
      <c r="AB115" s="962"/>
    </row>
    <row r="116" spans="1:28">
      <c r="A116" s="4795"/>
      <c r="B116" s="1981" t="s">
        <v>1733</v>
      </c>
      <c r="C116" s="4790"/>
      <c r="D116" s="808"/>
      <c r="E116" s="61"/>
      <c r="F116" s="61"/>
      <c r="G116" s="61"/>
      <c r="H116" s="632"/>
      <c r="I116" s="219"/>
      <c r="J116" s="219"/>
      <c r="K116" s="219"/>
      <c r="L116" s="13"/>
      <c r="M116" s="13"/>
      <c r="N116" s="13"/>
      <c r="O116" s="83"/>
      <c r="P116" s="457"/>
      <c r="Q116" s="457"/>
      <c r="R116" s="457"/>
      <c r="S116" s="457"/>
      <c r="U116" s="2736" t="s">
        <v>171</v>
      </c>
      <c r="V116" s="962" t="s">
        <v>1734</v>
      </c>
      <c r="W116"/>
      <c r="X116" s="938">
        <f>Qualified_Dividends</f>
        <v>0</v>
      </c>
      <c r="Y116" s="2735"/>
      <c r="Z116" s="962"/>
      <c r="AA116" s="962"/>
      <c r="AB116" s="962"/>
    </row>
    <row r="117" spans="1:28">
      <c r="A117" s="4795"/>
      <c r="B117" s="1981" t="s">
        <v>1735</v>
      </c>
      <c r="C117" s="4790"/>
      <c r="D117" s="808"/>
      <c r="E117" s="61"/>
      <c r="F117" s="61"/>
      <c r="G117" s="61"/>
      <c r="H117" s="632"/>
      <c r="I117" s="219"/>
      <c r="J117" s="219"/>
      <c r="K117" s="219"/>
      <c r="L117" s="13"/>
      <c r="M117" s="13"/>
      <c r="N117" s="13"/>
      <c r="O117" s="83"/>
      <c r="P117" s="457"/>
      <c r="Q117" s="457"/>
      <c r="R117" s="457"/>
      <c r="S117" s="457"/>
      <c r="U117" s="2737" t="s">
        <v>177</v>
      </c>
      <c r="V117" s="962" t="s">
        <v>1736</v>
      </c>
      <c r="W117"/>
      <c r="X117" s="938">
        <f>Form4952_Line4g</f>
        <v>0</v>
      </c>
      <c r="Y117" s="2735"/>
      <c r="Z117" s="962"/>
      <c r="AA117" s="962"/>
      <c r="AB117" s="962"/>
    </row>
    <row r="118" spans="1:28">
      <c r="A118" s="4795"/>
      <c r="B118" s="1981" t="s">
        <v>1737</v>
      </c>
      <c r="C118" s="4790"/>
      <c r="D118" s="808"/>
      <c r="E118" s="61"/>
      <c r="F118" s="61"/>
      <c r="G118" s="61"/>
      <c r="H118" s="632"/>
      <c r="I118" s="219"/>
      <c r="J118" s="219"/>
      <c r="K118" s="219"/>
      <c r="L118" s="13"/>
      <c r="M118" s="13"/>
      <c r="N118" s="13"/>
      <c r="O118" s="83"/>
      <c r="P118" s="457"/>
      <c r="Q118" s="457"/>
      <c r="R118" s="457"/>
      <c r="S118" s="457"/>
      <c r="U118" s="2737" t="s">
        <v>182</v>
      </c>
      <c r="V118" s="962" t="s">
        <v>1738</v>
      </c>
      <c r="W118"/>
      <c r="X118" s="938">
        <f>Form4952_Line4e</f>
        <v>0</v>
      </c>
      <c r="Y118" s="2735"/>
      <c r="Z118" s="962"/>
      <c r="AA118" s="962"/>
      <c r="AB118" s="962"/>
    </row>
    <row r="119" spans="1:28" ht="13.5" thickBot="1">
      <c r="A119" s="4795"/>
      <c r="B119" s="4796"/>
      <c r="C119" s="896"/>
      <c r="D119" s="4797"/>
      <c r="E119" s="1415"/>
      <c r="F119" s="1113"/>
      <c r="G119" s="1113"/>
      <c r="H119" s="1113"/>
      <c r="I119" s="1416"/>
      <c r="J119" s="1422"/>
      <c r="K119" s="1422"/>
      <c r="L119" s="1423"/>
      <c r="M119" s="1423"/>
      <c r="N119" s="1423"/>
      <c r="O119" s="84"/>
      <c r="P119" s="457"/>
      <c r="Q119" s="457"/>
      <c r="R119" s="457"/>
      <c r="S119" s="457"/>
      <c r="U119" s="2736" t="s">
        <v>198</v>
      </c>
      <c r="V119" s="962" t="s">
        <v>1739</v>
      </c>
      <c r="W119"/>
      <c r="X119" s="938">
        <f>MAX(0,SUM(X117-X118))</f>
        <v>0</v>
      </c>
      <c r="Y119" s="2735"/>
      <c r="Z119" s="962"/>
      <c r="AA119" s="962"/>
      <c r="AB119" s="962"/>
    </row>
    <row r="120" spans="1:28">
      <c r="A120" s="457"/>
      <c r="B120" s="457"/>
      <c r="C120" s="457"/>
      <c r="D120" s="457"/>
      <c r="E120" s="457"/>
      <c r="F120" s="457"/>
      <c r="G120" s="457"/>
      <c r="H120" s="457"/>
      <c r="I120" s="457"/>
      <c r="J120" s="457"/>
      <c r="K120" s="457"/>
      <c r="L120" s="457"/>
      <c r="M120" s="457"/>
      <c r="N120" s="457"/>
      <c r="O120" s="457"/>
      <c r="P120" s="457"/>
      <c r="Q120" s="457"/>
      <c r="R120" s="457"/>
      <c r="S120" s="457"/>
      <c r="U120" s="2738" t="s">
        <v>202</v>
      </c>
      <c r="V120" s="962" t="s">
        <v>1740</v>
      </c>
      <c r="W120"/>
      <c r="X120" s="938">
        <f>MAX(0,SUM(X116,-X119))</f>
        <v>0</v>
      </c>
      <c r="Y120" s="2735"/>
      <c r="Z120" s="962"/>
      <c r="AA120" s="962"/>
      <c r="AB120" s="962"/>
    </row>
    <row r="121" spans="1:28">
      <c r="U121" s="2736" t="s">
        <v>215</v>
      </c>
      <c r="V121" s="962" t="s">
        <v>1741</v>
      </c>
      <c r="W121"/>
      <c r="X121" s="938">
        <f>MIN(SchDLine15,SchDLine16)</f>
        <v>0</v>
      </c>
      <c r="Y121" s="2735"/>
      <c r="Z121" s="962"/>
      <c r="AA121" s="962"/>
      <c r="AB121" s="962"/>
    </row>
    <row r="122" spans="1:28">
      <c r="U122" s="2736" t="s">
        <v>217</v>
      </c>
      <c r="V122" s="962" t="s">
        <v>1742</v>
      </c>
      <c r="W122"/>
      <c r="X122" s="938">
        <f>MIN(X117,X118)</f>
        <v>0</v>
      </c>
      <c r="Y122" s="2735"/>
      <c r="Z122" s="962"/>
      <c r="AA122" s="962"/>
      <c r="AB122" s="962"/>
    </row>
    <row r="123" spans="1:28">
      <c r="U123" s="2738" t="s">
        <v>222</v>
      </c>
      <c r="V123" s="962" t="s">
        <v>1743</v>
      </c>
      <c r="W123"/>
      <c r="X123" s="938">
        <f>MAX(0,SUM(X121,-X122))</f>
        <v>0</v>
      </c>
      <c r="Y123" s="2735"/>
      <c r="Z123" s="962"/>
      <c r="AA123" s="962"/>
      <c r="AB123" s="962"/>
    </row>
    <row r="124" spans="1:28">
      <c r="U124" s="2736" t="s">
        <v>227</v>
      </c>
      <c r="V124" s="962" t="s">
        <v>1744</v>
      </c>
      <c r="W124"/>
      <c r="X124" s="938">
        <f>SUM(X120,X123)</f>
        <v>0</v>
      </c>
      <c r="Y124" s="2735"/>
      <c r="Z124" s="962"/>
      <c r="AA124" s="962"/>
      <c r="AB124" s="962"/>
    </row>
    <row r="125" spans="1:28">
      <c r="U125" s="2738" t="s">
        <v>229</v>
      </c>
      <c r="V125" s="962" t="s">
        <v>1745</v>
      </c>
      <c r="W125"/>
      <c r="X125" s="938">
        <f>SUM(SchDLine18,SchDLine19)</f>
        <v>0</v>
      </c>
      <c r="Y125" s="2735"/>
      <c r="Z125" s="962"/>
      <c r="AA125" s="962"/>
      <c r="AB125" s="962"/>
    </row>
    <row r="126" spans="1:28">
      <c r="U126" s="2736" t="s">
        <v>1605</v>
      </c>
      <c r="V126" s="962" t="s">
        <v>1746</v>
      </c>
      <c r="W126"/>
      <c r="X126" s="938">
        <f>MIN(X123,X125)</f>
        <v>0</v>
      </c>
      <c r="Y126" s="2735"/>
      <c r="Z126" s="962"/>
      <c r="AA126" s="962"/>
      <c r="AB126" s="962"/>
    </row>
    <row r="127" spans="1:28">
      <c r="U127" s="2734" t="s">
        <v>1607</v>
      </c>
      <c r="V127" s="962" t="s">
        <v>1747</v>
      </c>
      <c r="W127"/>
      <c r="X127" s="938">
        <f>SUM(X124,-X126)</f>
        <v>0</v>
      </c>
      <c r="Y127" s="2735"/>
      <c r="Z127" s="962"/>
      <c r="AA127" s="962"/>
      <c r="AB127" s="962"/>
    </row>
    <row r="128" spans="1:28">
      <c r="U128" s="2734" t="s">
        <v>1608</v>
      </c>
      <c r="V128" s="962" t="s">
        <v>1748</v>
      </c>
      <c r="W128"/>
      <c r="X128" s="938">
        <f>MAX(0,SUM(X115,-X127))</f>
        <v>0</v>
      </c>
      <c r="Y128" s="2735"/>
      <c r="Z128" s="962"/>
      <c r="AA128" s="962"/>
      <c r="AB128" s="962"/>
    </row>
    <row r="129" spans="21:28">
      <c r="U129" s="2736" t="s">
        <v>1610</v>
      </c>
      <c r="V129" s="962" t="s">
        <v>1749</v>
      </c>
      <c r="W129"/>
      <c r="X129" s="938" t="str">
        <f>SchDTW_Line15</f>
        <v>Filing status?</v>
      </c>
      <c r="Y129" s="2735"/>
      <c r="Z129" s="962"/>
      <c r="AA129" s="962"/>
      <c r="AB129" s="962"/>
    </row>
    <row r="130" spans="21:28">
      <c r="U130" s="2738" t="s">
        <v>1611</v>
      </c>
      <c r="V130" s="962" t="s">
        <v>1750</v>
      </c>
      <c r="W130"/>
      <c r="X130" s="938">
        <f>MIN(X115,X129)</f>
        <v>0</v>
      </c>
      <c r="Y130" s="2735"/>
      <c r="Z130" s="962"/>
      <c r="AA130" s="962"/>
      <c r="AB130" s="962"/>
    </row>
    <row r="131" spans="21:28">
      <c r="U131" s="2736" t="s">
        <v>1612</v>
      </c>
      <c r="V131" s="962" t="s">
        <v>1751</v>
      </c>
      <c r="W131"/>
      <c r="X131" s="938">
        <f>MIN(X128,X130)</f>
        <v>0</v>
      </c>
      <c r="Y131" s="2735"/>
      <c r="Z131" s="962"/>
      <c r="AA131" s="962"/>
      <c r="AB131" s="962"/>
    </row>
    <row r="132" spans="21:28">
      <c r="U132" s="2736" t="s">
        <v>1613</v>
      </c>
      <c r="V132" s="962" t="s">
        <v>1752</v>
      </c>
      <c r="W132"/>
      <c r="X132" s="938">
        <f>MAX(0,SUM(X115,-X124))</f>
        <v>0</v>
      </c>
      <c r="Y132" s="2735"/>
      <c r="Z132" s="962"/>
      <c r="AA132" s="962"/>
      <c r="AB132" s="962"/>
    </row>
    <row r="133" spans="21:28">
      <c r="U133" s="2738" t="s">
        <v>1616</v>
      </c>
      <c r="V133" s="962" t="s">
        <v>1753</v>
      </c>
      <c r="W133"/>
      <c r="X133" s="938">
        <f>IF(X115="",0,MIN(X115,SchDTW_Line19))</f>
        <v>0</v>
      </c>
      <c r="Y133" s="2735"/>
      <c r="Z133" s="962"/>
      <c r="AA133" s="962"/>
      <c r="AB133" s="962"/>
    </row>
    <row r="134" spans="21:28">
      <c r="U134" s="2738" t="s">
        <v>1620</v>
      </c>
      <c r="V134" s="962" t="s">
        <v>1754</v>
      </c>
      <c r="W134"/>
      <c r="X134" s="938">
        <f>MIN(X128,X133)</f>
        <v>0</v>
      </c>
      <c r="Y134" s="2735"/>
      <c r="Z134" s="962"/>
      <c r="AA134" s="962"/>
      <c r="AB134" s="962"/>
    </row>
    <row r="135" spans="21:28">
      <c r="U135" s="2736" t="s">
        <v>1622</v>
      </c>
      <c r="V135" s="962" t="s">
        <v>1755</v>
      </c>
      <c r="W135"/>
      <c r="X135" s="938">
        <f>MAX(X132,X134)</f>
        <v>0</v>
      </c>
      <c r="Y135" s="2735"/>
      <c r="Z135" s="962"/>
      <c r="AA135" s="962"/>
      <c r="AB135" s="962"/>
    </row>
    <row r="136" spans="21:28">
      <c r="U136" s="2738">
        <v>22</v>
      </c>
      <c r="V136" s="962" t="s">
        <v>1756</v>
      </c>
      <c r="W136"/>
      <c r="X136" s="938">
        <f>SUM(X130,-X131)</f>
        <v>0</v>
      </c>
      <c r="Y136" s="2735"/>
      <c r="Z136" s="962"/>
      <c r="AA136" s="962"/>
      <c r="AB136" s="962"/>
    </row>
    <row r="137" spans="21:28">
      <c r="U137" s="2736" t="s">
        <v>1627</v>
      </c>
      <c r="V137" s="962" t="s">
        <v>1757</v>
      </c>
      <c r="W137"/>
      <c r="X137" s="938" t="str">
        <f>IF(Y137,"",MIN(X115,X127))</f>
        <v/>
      </c>
      <c r="Y137" s="3764" t="b">
        <f>IF(X115="",X130=0,X115=X130)</f>
        <v>1</v>
      </c>
      <c r="Z137" s="962"/>
      <c r="AA137" s="962"/>
      <c r="AB137" s="962"/>
    </row>
    <row r="138" spans="21:28">
      <c r="U138" s="2736" t="s">
        <v>1629</v>
      </c>
      <c r="V138" s="962" t="s">
        <v>1758</v>
      </c>
      <c r="W138"/>
      <c r="X138" s="938" t="str">
        <f>IF(Y137,"",IF(X136="",0,X136))</f>
        <v/>
      </c>
      <c r="Y138" s="2735"/>
      <c r="Z138" s="962"/>
      <c r="AA138" s="962"/>
      <c r="AB138" s="962"/>
    </row>
    <row r="139" spans="21:28">
      <c r="U139" s="2736" t="s">
        <v>1632</v>
      </c>
      <c r="V139" s="962" t="s">
        <v>1759</v>
      </c>
      <c r="W139"/>
      <c r="X139" s="938" t="str">
        <f>IF(Y137,"",MAX(0,SUM(X137,-X138)))</f>
        <v/>
      </c>
      <c r="Y139" s="2735"/>
      <c r="Z139" s="962"/>
      <c r="AA139" s="962"/>
      <c r="AB139" s="962"/>
    </row>
    <row r="140" spans="21:28">
      <c r="U140" s="2738">
        <v>26</v>
      </c>
      <c r="V140" s="962" t="s">
        <v>1760</v>
      </c>
      <c r="W140"/>
      <c r="X140" s="938" t="str">
        <f>IF(Y137,"",SchDTW_Line26)</f>
        <v/>
      </c>
      <c r="Y140" s="2735"/>
      <c r="Z140" s="962"/>
      <c r="AA140" s="962"/>
      <c r="AB140" s="962"/>
    </row>
    <row r="141" spans="21:28">
      <c r="U141" s="2738" t="s">
        <v>1761</v>
      </c>
      <c r="V141" s="962" t="s">
        <v>1762</v>
      </c>
      <c r="W141"/>
      <c r="X141" s="938" t="str">
        <f>IF(Y137,"",IF(X115="",MIN(0,X140),MIN(X115,X140)))</f>
        <v/>
      </c>
      <c r="Y141" s="2735"/>
      <c r="Z141" s="962"/>
      <c r="AA141" s="962"/>
      <c r="AB141" s="962"/>
    </row>
    <row r="142" spans="21:28">
      <c r="U142" s="2738" t="s">
        <v>1763</v>
      </c>
      <c r="V142" s="962" t="s">
        <v>1764</v>
      </c>
      <c r="W142"/>
      <c r="X142" s="938" t="str">
        <f>IF(Y137,"",SUM(X135,X136))</f>
        <v/>
      </c>
      <c r="Y142" s="2735"/>
      <c r="Z142" s="962"/>
      <c r="AA142" s="962"/>
      <c r="AB142" s="962"/>
    </row>
    <row r="143" spans="21:28">
      <c r="U143" s="2738" t="s">
        <v>1765</v>
      </c>
      <c r="V143" s="962" t="s">
        <v>1766</v>
      </c>
      <c r="W143"/>
      <c r="X143" s="938" t="str">
        <f>IF(Y137,"",MAX(0,SUM(X141,-X142)))</f>
        <v/>
      </c>
      <c r="Y143" s="2735"/>
      <c r="Z143" s="962"/>
      <c r="AA143" s="962"/>
      <c r="AB143" s="962"/>
    </row>
    <row r="144" spans="21:28">
      <c r="U144" s="3763" t="s">
        <v>1767</v>
      </c>
      <c r="V144" s="962" t="s">
        <v>1768</v>
      </c>
      <c r="W144"/>
      <c r="X144" s="938" t="str">
        <f>IF(Y137,"",MIN(X137,X143))</f>
        <v/>
      </c>
      <c r="Y144" s="2735"/>
      <c r="Z144" s="962"/>
      <c r="AA144" s="962"/>
      <c r="AB144" s="962"/>
    </row>
    <row r="145" spans="21:28">
      <c r="U145" s="2734" t="s">
        <v>1769</v>
      </c>
      <c r="V145" s="962" t="str">
        <f>"Multiply line 30 by "&amp;TEXT(Y145,"0%")</f>
        <v>Multiply line 30 by 15%</v>
      </c>
      <c r="W145"/>
      <c r="X145" s="938" t="str">
        <f>IF(Y137,"",ROUND(X144*Y145,0))</f>
        <v/>
      </c>
      <c r="Y145" s="2739">
        <f>SchDTW_Line31Rate</f>
        <v>0.15</v>
      </c>
      <c r="Z145" s="962"/>
      <c r="AA145" s="962"/>
      <c r="AB145" s="962"/>
    </row>
    <row r="146" spans="21:28">
      <c r="U146" s="2736" t="s">
        <v>1770</v>
      </c>
      <c r="V146" s="962" t="s">
        <v>1771</v>
      </c>
      <c r="W146"/>
      <c r="X146" s="938" t="str">
        <f>IF(Y137,"",SUM(X138,X144))</f>
        <v/>
      </c>
      <c r="Y146" s="3764" t="b">
        <f>IF(X115="",X146=0,X115=X146)</f>
        <v>0</v>
      </c>
      <c r="Z146" s="962"/>
      <c r="AA146" s="962"/>
      <c r="AB146" s="962"/>
    </row>
    <row r="147" spans="21:28">
      <c r="U147" s="2738" t="s">
        <v>1772</v>
      </c>
      <c r="V147" s="962" t="s">
        <v>1773</v>
      </c>
      <c r="W147"/>
      <c r="X147" s="938" t="str">
        <f>IF(OR(Y137,Y146),"",SUM(X137,-X146))</f>
        <v/>
      </c>
      <c r="Y147" s="3764"/>
      <c r="Z147" s="962"/>
      <c r="AA147" s="962"/>
      <c r="AB147" s="962"/>
    </row>
    <row r="148" spans="21:28">
      <c r="U148" s="2734" t="s">
        <v>1774</v>
      </c>
      <c r="V148" s="962" t="str">
        <f>"Multiply line 33 by "&amp;TEXT(Y148,"0%")</f>
        <v>Multiply line 33 by 20%</v>
      </c>
      <c r="W148"/>
      <c r="X148" s="938" t="str">
        <f>IF(OR(Y137,Y146),"",ROUND(X147*Y148,0))</f>
        <v/>
      </c>
      <c r="Y148" s="2739">
        <f>SchDTW_Line34Rate</f>
        <v>0.2</v>
      </c>
      <c r="Z148" s="962"/>
      <c r="AA148" s="962"/>
      <c r="AB148" s="962"/>
    </row>
    <row r="149" spans="21:28">
      <c r="U149" s="2736" t="s">
        <v>1775</v>
      </c>
      <c r="V149" s="962" t="s">
        <v>1776</v>
      </c>
      <c r="W149"/>
      <c r="X149" s="938" t="str">
        <f>IF(OR(Y137,Y146,Y149),"",MIN(X123,SchDLine19))</f>
        <v/>
      </c>
      <c r="Y149" s="3764" t="b">
        <f>OR(SchDLine19=0,SchDLine19="")</f>
        <v>1</v>
      </c>
      <c r="Z149" s="962"/>
      <c r="AA149" s="962"/>
      <c r="AB149" s="962"/>
    </row>
    <row r="150" spans="21:28">
      <c r="U150" s="2740" t="s">
        <v>1777</v>
      </c>
      <c r="V150" s="962" t="s">
        <v>1778</v>
      </c>
      <c r="W150"/>
      <c r="X150" s="938" t="str">
        <f>IF(OR(Y137,Y146,Y149),"",SUM(X124,X135))</f>
        <v/>
      </c>
      <c r="Y150" s="2735"/>
      <c r="Z150" s="962"/>
      <c r="AA150" s="962"/>
      <c r="AB150" s="962"/>
    </row>
    <row r="151" spans="21:28">
      <c r="U151" s="2740" t="s">
        <v>1779</v>
      </c>
      <c r="V151" s="962" t="s">
        <v>1780</v>
      </c>
      <c r="W151"/>
      <c r="X151" s="938" t="str">
        <f>IF(OR(Y137,Y146,Y149),"",IF(X115="",0,X115))</f>
        <v/>
      </c>
      <c r="Y151" s="2735"/>
      <c r="Z151" s="962"/>
      <c r="AA151" s="962"/>
      <c r="AB151" s="962"/>
    </row>
    <row r="152" spans="21:28">
      <c r="U152" s="2736" t="s">
        <v>1781</v>
      </c>
      <c r="V152" s="962" t="s">
        <v>1782</v>
      </c>
      <c r="W152"/>
      <c r="X152" s="938" t="str">
        <f>IF(OR(Y137,Y146,Y149),"",MAX(0,SUM(X150,-X151)))</f>
        <v/>
      </c>
      <c r="Y152" s="2735"/>
      <c r="Z152" s="962"/>
      <c r="AA152" s="962"/>
      <c r="AB152" s="962"/>
    </row>
    <row r="153" spans="21:28">
      <c r="U153" s="2738" t="s">
        <v>1783</v>
      </c>
      <c r="V153" s="962" t="s">
        <v>1784</v>
      </c>
      <c r="W153"/>
      <c r="X153" s="938" t="str">
        <f>IF(OR(Y137,Y146,Y149),"",MAX(0,SUM(X149,-X152)))</f>
        <v/>
      </c>
      <c r="Y153" s="2735"/>
      <c r="Z153" s="962"/>
      <c r="AA153" s="962"/>
      <c r="AB153" s="962"/>
    </row>
    <row r="154" spans="21:28">
      <c r="U154" s="2734" t="s">
        <v>1785</v>
      </c>
      <c r="V154" s="962" t="str">
        <f>"Multiply line 39 by "&amp;TEXT(Y154,"0%")</f>
        <v>Multiply line 39 by 25%</v>
      </c>
      <c r="W154"/>
      <c r="X154" s="938" t="str">
        <f>IF(OR(Y137,Y146,Y149),"",ROUND(X153*Y154,0))</f>
        <v/>
      </c>
      <c r="Y154" s="2739">
        <f>SchDTW_Line40Rate</f>
        <v>0.25</v>
      </c>
      <c r="Z154" s="962"/>
      <c r="AA154" s="962"/>
      <c r="AB154" s="962"/>
    </row>
    <row r="155" spans="21:28">
      <c r="U155" s="2738" t="s">
        <v>1786</v>
      </c>
      <c r="V155" s="962" t="s">
        <v>1787</v>
      </c>
      <c r="W155"/>
      <c r="X155" s="938" t="str">
        <f>IF(OR(Y137,Y146,Y155),"",SUM(X135,X136,X144,X147,X153))</f>
        <v/>
      </c>
      <c r="Y155" s="3764" t="b">
        <f>OR(SchDLine18=0,SchDLine18="")</f>
        <v>1</v>
      </c>
      <c r="Z155" s="962"/>
      <c r="AA155" s="962"/>
      <c r="AB155" s="962"/>
    </row>
    <row r="156" spans="21:28">
      <c r="U156" s="2738" t="s">
        <v>1788</v>
      </c>
      <c r="V156" s="962" t="s">
        <v>1789</v>
      </c>
      <c r="W156"/>
      <c r="X156" s="938" t="str">
        <f>IF(OR(Y137,Y146,Y155),"",SUM(X115,-X155))</f>
        <v/>
      </c>
      <c r="Y156" s="2735"/>
      <c r="Z156" s="962"/>
      <c r="AA156" s="962"/>
      <c r="AB156" s="962"/>
    </row>
    <row r="157" spans="21:28">
      <c r="U157" s="2734" t="s">
        <v>1790</v>
      </c>
      <c r="V157" s="962" t="str">
        <f>"Multiply line 42 by "&amp;TEXT(Y157,"0%")</f>
        <v>Multiply line 42 by 28%</v>
      </c>
      <c r="W157"/>
      <c r="X157" s="938" t="str">
        <f>IF(OR(Y137,Y146,Y155),"",ROUND(X156*Y157,0))</f>
        <v/>
      </c>
      <c r="Y157" s="2739">
        <f>SchDTW_Line43Rate</f>
        <v>0.28000000000000003</v>
      </c>
      <c r="Z157" s="962"/>
      <c r="AA157" s="962"/>
      <c r="AB157" s="962"/>
    </row>
    <row r="158" spans="21:28">
      <c r="U158" s="2734" t="s">
        <v>1791</v>
      </c>
      <c r="V158" s="962" t="s">
        <v>1792</v>
      </c>
      <c r="W158"/>
      <c r="X158" s="938" t="str">
        <f>Y163</f>
        <v>Filing status?</v>
      </c>
      <c r="Y158" s="2735"/>
      <c r="Z158" s="962"/>
      <c r="AA158" s="962"/>
      <c r="AB158" s="962"/>
    </row>
    <row r="159" spans="21:28" ht="13.5" thickBot="1">
      <c r="U159" s="2741" t="s">
        <v>1793</v>
      </c>
      <c r="V159" s="187" t="s">
        <v>14</v>
      </c>
      <c r="W159" s="187" t="s">
        <v>737</v>
      </c>
      <c r="X159" s="187" t="s">
        <v>22</v>
      </c>
      <c r="Y159" s="2742" t="s">
        <v>25</v>
      </c>
      <c r="Z159" s="962"/>
      <c r="AA159" s="962"/>
      <c r="AB159" s="962"/>
    </row>
    <row r="160" spans="21:28" ht="14.25" thickTop="1" thickBot="1">
      <c r="U160" s="5560">
        <f>X135</f>
        <v>0</v>
      </c>
      <c r="V160" s="5561">
        <f>LOOKUP(U160,'Tax Table'!$B$2:$B$2063,'Tax Table'!$D$2:$D$2063)</f>
        <v>0</v>
      </c>
      <c r="W160" s="5174">
        <f>LOOKUP(U160,'Tax Table'!$B$2:$B$2063,'Tax Table'!$E$2:$E$2063)</f>
        <v>0</v>
      </c>
      <c r="X160" s="5174">
        <f>LOOKUP(U160,'Tax Table'!$B$2:$B$2063,'Tax Table'!$F$2:$F$2063)</f>
        <v>0</v>
      </c>
      <c r="Y160" s="5175">
        <f>LOOKUP(U160,'Tax Table'!$B$2:$B$2063,'Tax Table'!$G$2:$G$2063)</f>
        <v>0</v>
      </c>
      <c r="Z160" s="962"/>
      <c r="AA160" s="962"/>
      <c r="AB160" s="962"/>
    </row>
    <row r="161" spans="21:28" ht="14.25" thickTop="1" thickBot="1">
      <c r="U161" s="2643"/>
      <c r="V161" s="5177" t="str">
        <f>IF(U160&lt;SectA_a3,"---",IF(U160&lt;=SectA_a4,ROUND((U160*(SectA_b4/100)-SectA_d4),0),IF(U160&lt;=SectA_a5,ROUND((U160*(SectA_b5/100)-SectA_d5),0),IF(U160&lt;=SectA_a6,ROUND((U160*(SectA_b6/100)-SectA_d6),0),ROUND((U160*(SectA_b7/100)-SectA_d7),0)))))</f>
        <v>---</v>
      </c>
      <c r="W161" s="5177" t="str">
        <f>IF(U160&lt;SectB_a2,"---",IF(U160&lt;=SectB_a3,ROUND((U160*(SectB_b3/100)-SectB_d3),0),IF(U160&lt;=SectB_a4,ROUND((U160*(SectB_b4/100)-SectB_d4),0),IF(U160&lt;=SectB_a5,ROUND((U160*(SectB_b5/100)-SectB_d5),0),IF(U160&lt;=SectB_a6,ROUND((U160*(SectB_b6/100)-SectB_d6),0),ROUND((U160*(SectB_b7/100)-SectB_d7),0))))))</f>
        <v>---</v>
      </c>
      <c r="X161" s="5177" t="str">
        <f>IF(U160&lt;SectC_a2,"---",IF(U160&lt;=SectC_a3,ROUND((U160*(SectC_b3/100)-SectC_d3),0),IF(U160&lt;=SectC_a4,ROUND((U160*(SectC_b4/100)-SectC_d4),0),IF(U160&lt;=SectC_a5,ROUND((U160*(SectC_b5/100)-SectC_d5),0),ROUND((U160*(SectC_b6/100)-SectC_d6),0)))))</f>
        <v>---</v>
      </c>
      <c r="Y161" s="5178" t="str">
        <f>IF(U160&lt;SectD_a2,"---",IF(U160&lt;=SectD_a3,ROUND((U160*(SectD_b3/100)-SectD_d3),0),IF(U160&lt;=SectD_a4,ROUND((U160*(SectD_b4/100)-SectD_d4),0),IF(U160&lt;=SectD_a5,ROUND((U160*(SectD_b5/100)-SectD_d5),0),IF(U160&lt;=SectD_a6,ROUND((U160*(SectD_b6/100)-SectD_d6),0),ROUND((U160*(SectD_b7/100)-SectD_d7),0))))))</f>
        <v>---</v>
      </c>
      <c r="Z161" s="962"/>
      <c r="AA161" s="962"/>
      <c r="AB161" s="962"/>
    </row>
    <row r="162" spans="21:28" ht="13.5" thickBot="1">
      <c r="U162" s="5179" t="str">
        <f>IF(File_Single&lt;&gt;"",V160,IF(File_Marr_Joint&lt;&gt;"",W160,IF(File_Marr_Sep&lt;&gt;"", X160,IF(File_Head&lt;&gt;"",Y160,IF(File_Qual_Widow&lt;&gt;"",W160,"Filing status?")))))</f>
        <v>Filing status?</v>
      </c>
      <c r="V162" s="1585" t="str">
        <f>"&lt;100k"</f>
        <v>&lt;100k</v>
      </c>
      <c r="W162" s="1585"/>
      <c r="X162" s="1585"/>
      <c r="Y162" s="5180"/>
      <c r="Z162" s="962"/>
      <c r="AA162" s="962"/>
      <c r="AB162" s="962"/>
    </row>
    <row r="163" spans="21:28" ht="13.5" thickBot="1">
      <c r="U163" s="5181" t="str">
        <f>IF(File_Single&lt;&gt;"",V161,IF(OR(File_Marr_Joint&lt;&gt;"",File_Qual_Widow&lt;&gt;""),W161,IF(File_Marr_Sep&lt;&gt;"", X161,IF(File_Head&lt;&gt;"",Y161,"Filing status?"))))</f>
        <v>Filing status?</v>
      </c>
      <c r="V163" s="2644" t="str">
        <f>"&gt;=100k"</f>
        <v>&gt;=100k</v>
      </c>
      <c r="W163" s="2644"/>
      <c r="X163" s="2644" t="s">
        <v>748</v>
      </c>
      <c r="Y163" s="5182" t="str">
        <f>IF(U160&gt;100000,U163,U162)</f>
        <v>Filing status?</v>
      </c>
      <c r="Z163" s="962"/>
      <c r="AA163" s="962"/>
      <c r="AB163" s="962"/>
    </row>
    <row r="164" spans="21:28" ht="13.5" thickTop="1">
      <c r="U164" s="2734" t="s">
        <v>1794</v>
      </c>
      <c r="V164" s="962" t="s">
        <v>1795</v>
      </c>
      <c r="W164"/>
      <c r="X164" s="938">
        <f>SUM(X145,X148,X154,X157,X158)</f>
        <v>0</v>
      </c>
      <c r="Y164" s="2735"/>
      <c r="Z164" s="962"/>
      <c r="AA164" s="962"/>
      <c r="AB164" s="962"/>
    </row>
    <row r="165" spans="21:28">
      <c r="U165" s="2734" t="s">
        <v>1796</v>
      </c>
      <c r="V165" s="962" t="s">
        <v>1797</v>
      </c>
      <c r="W165"/>
      <c r="X165" s="938" t="str">
        <f>Y170</f>
        <v>Filing status?</v>
      </c>
      <c r="Y165" s="2735"/>
      <c r="Z165" s="962"/>
      <c r="AA165" s="962"/>
      <c r="AB165" s="962"/>
    </row>
    <row r="166" spans="21:28" ht="13.5" thickBot="1">
      <c r="U166" s="2741" t="s">
        <v>1798</v>
      </c>
      <c r="V166" s="187" t="s">
        <v>14</v>
      </c>
      <c r="W166" s="187" t="s">
        <v>737</v>
      </c>
      <c r="X166" s="187" t="s">
        <v>22</v>
      </c>
      <c r="Y166" s="2742" t="s">
        <v>25</v>
      </c>
      <c r="Z166" s="962"/>
      <c r="AA166" s="962"/>
      <c r="AB166" s="962"/>
    </row>
    <row r="167" spans="21:28" ht="14.25" thickTop="1" thickBot="1">
      <c r="U167" s="5560" t="str">
        <f>X115</f>
        <v/>
      </c>
      <c r="V167" s="5561" t="e">
        <f>LOOKUP(U167,'Tax Table'!$B$2:$B$2063,'Tax Table'!$D$2:$D$2063)</f>
        <v>#N/A</v>
      </c>
      <c r="W167" s="5174" t="e">
        <f>LOOKUP(U167,'Tax Table'!$B$2:$B$2063,'Tax Table'!$E$2:$E$2063)</f>
        <v>#N/A</v>
      </c>
      <c r="X167" s="5174" t="e">
        <f>LOOKUP(U167,'Tax Table'!$B$2:$B$2063,'Tax Table'!$F$2:$F$2063)</f>
        <v>#N/A</v>
      </c>
      <c r="Y167" s="5175" t="e">
        <f>LOOKUP(U167,'Tax Table'!$B$2:$B$2063,'Tax Table'!$G$2:$G$2063)</f>
        <v>#N/A</v>
      </c>
      <c r="Z167" s="962"/>
      <c r="AA167" s="962"/>
      <c r="AB167" s="962"/>
    </row>
    <row r="168" spans="21:28" ht="14.25" thickTop="1" thickBot="1">
      <c r="U168" s="2643"/>
      <c r="V168" s="5177" t="e">
        <f>IF(U167&lt;SectA_a3,"---",IF(U167&lt;=SectA_a4,ROUND((U167*(SectA_b4/100)-SectA_d4),0),IF(U167&lt;=SectA_a5,ROUND((U167*(SectA_b5/100)-SectA_d5),0),IF(U167&lt;=SectA_a6,ROUND((U167*(SectA_b6/100)-SectA_d6),0),ROUND((U167*(SectA_b7/100)-SectA_d7),0)))))</f>
        <v>#VALUE!</v>
      </c>
      <c r="W168" s="5177" t="e">
        <f>IF(U167&lt;SectB_a2,"---",IF(U167&lt;=SectB_a3,ROUND((U167*(SectB_b3/100)-SectB_d3),0),IF(U167&lt;=SectB_a4,ROUND((U167*(SectB_b4/100)-SectB_d4),0),IF(U167&lt;=SectB_a5,ROUND((U167*(SectB_b5/100)-SectB_d5),0),IF(U167&lt;=SectB_a6,ROUND((U167*(SectB_b6/100)-SectB_d6),0),ROUND((U167*(SectB_b7/100)-SectB_d7),0))))))</f>
        <v>#VALUE!</v>
      </c>
      <c r="X168" s="5177" t="e">
        <f>IF(U167&lt;SectC_a2,"---",IF(U167&lt;=SectC_a3,ROUND((U167*(SectC_b3/100)-SectC_d3),0),IF(U167&lt;=SectC_a4,ROUND((U167*(SectC_b4/100)-SectC_d4),0),IF(U167&lt;=SectC_a5,ROUND((U167*(SectC_b5/100)-SectC_d5),0),ROUND((U167*(SectC_b6/100)-SectC_d6),0)))))</f>
        <v>#VALUE!</v>
      </c>
      <c r="Y168" s="5178" t="e">
        <f>IF(U167&lt;SectD_a2,"---",IF(U167&lt;=SectD_a3,ROUND((U167*(SectD_b3/100)-SectD_d3),0),IF(U167&lt;=SectD_a4,ROUND((U167*(SectD_b4/100)-SectD_d4),0),IF(U167&lt;=SectD_a5,ROUND((U167*(SectD_b5/100)-SectD_d5),0),IF(U167&lt;=SectD_a6,ROUND((U167*(SectD_b6/100)-SectD_d6),0),ROUND((U167*(SectD_b7/100)-SectD_d7),0))))))</f>
        <v>#VALUE!</v>
      </c>
      <c r="Z168" s="962"/>
      <c r="AA168" s="962"/>
      <c r="AB168" s="962"/>
    </row>
    <row r="169" spans="21:28" ht="13.5" thickBot="1">
      <c r="U169" s="5179" t="str">
        <f>IF(File_Single&lt;&gt;"",V167,IF(File_Marr_Joint&lt;&gt;"",W167,IF(File_Marr_Sep&lt;&gt;"", X167,IF(File_Head&lt;&gt;"",Y167,IF(File_Qual_Widow&lt;&gt;"",W167,"Filing status?")))))</f>
        <v>Filing status?</v>
      </c>
      <c r="V169" s="1585" t="str">
        <f>"&lt;100k"</f>
        <v>&lt;100k</v>
      </c>
      <c r="W169" s="1585"/>
      <c r="X169" s="1585"/>
      <c r="Y169" s="5180"/>
      <c r="Z169" s="962"/>
      <c r="AA169" s="962"/>
      <c r="AB169" s="962"/>
    </row>
    <row r="170" spans="21:28" ht="13.5" thickBot="1">
      <c r="U170" s="5181" t="str">
        <f>IF(File_Single&lt;&gt;"",V168,IF(OR(File_Marr_Joint&lt;&gt;"",File_Qual_Widow&lt;&gt;""),W168,IF(File_Marr_Sep&lt;&gt;"", X168,IF(File_Head&lt;&gt;"",Y168,"Filing status?"))))</f>
        <v>Filing status?</v>
      </c>
      <c r="V170" s="2644" t="str">
        <f>"&gt;=100k"</f>
        <v>&gt;=100k</v>
      </c>
      <c r="W170" s="2644"/>
      <c r="X170" s="2644" t="s">
        <v>748</v>
      </c>
      <c r="Y170" s="5182" t="str">
        <f>IF(U167&gt;100000,U170,U169)</f>
        <v>Filing status?</v>
      </c>
      <c r="Z170" s="962"/>
      <c r="AA170" s="962"/>
      <c r="AB170" s="962"/>
    </row>
    <row r="171" spans="21:28" ht="13.5" thickTop="1">
      <c r="U171" s="2744" t="s">
        <v>1799</v>
      </c>
      <c r="V171" s="2745" t="s">
        <v>1800</v>
      </c>
      <c r="W171" s="2746"/>
      <c r="X171" s="2747" t="str">
        <f>IF(X114,MIN(X164,X165),"")</f>
        <v/>
      </c>
      <c r="Y171" s="2748"/>
      <c r="Z171" s="39" t="b">
        <f>IF(X114,X171=MIN(Y79,V112,X171),FALSE)</f>
        <v>0</v>
      </c>
      <c r="AA171" s="962"/>
      <c r="AB171" s="962"/>
    </row>
  </sheetData>
  <sheetProtection algorithmName="SHA-512" hashValue="1YtxW4f0Ae7QstuVEhoD0vQZydkA5nlp33ycSb9RGliPAqEmvrGLmz/RtAbw185OUGlZi12aYMOYaAvoYOVstg==" saltValue="18YcdlouVhAe7xnNWWkLlw==" spinCount="100000" sheet="1" objects="1" scenarios="1"/>
  <mergeCells count="14">
    <mergeCell ref="C5:O5"/>
    <mergeCell ref="N90:N92"/>
    <mergeCell ref="C6:E6"/>
    <mergeCell ref="C3:E3"/>
    <mergeCell ref="C8:E8"/>
    <mergeCell ref="C9:E9"/>
    <mergeCell ref="C11:E11"/>
    <mergeCell ref="C12:E12"/>
    <mergeCell ref="C13:E13"/>
    <mergeCell ref="C14:E14"/>
    <mergeCell ref="C15:E15"/>
    <mergeCell ref="C10:E10"/>
    <mergeCell ref="C7:E7"/>
    <mergeCell ref="E77:O77"/>
  </mergeCells>
  <conditionalFormatting sqref="C3:E3">
    <cfRule type="expression" dxfId="2683" priority="3">
      <formula>R3</formula>
    </cfRule>
  </conditionalFormatting>
  <conditionalFormatting sqref="C6:E6">
    <cfRule type="expression" dxfId="2682" priority="1">
      <formula>AND(SchDTW_Used,SchD_Line1819_GT_0,SchD_Line1516_GT_0)</formula>
    </cfRule>
  </conditionalFormatting>
  <conditionalFormatting sqref="C7:E7">
    <cfRule type="expression" dxfId="2681" priority="11">
      <formula>R7</formula>
    </cfRule>
  </conditionalFormatting>
  <conditionalFormatting sqref="C8:E8">
    <cfRule type="expression" dxfId="2680" priority="14">
      <formula>NOT($R$8)</formula>
    </cfRule>
    <cfRule type="expression" dxfId="2679" priority="15">
      <formula>$R$8</formula>
    </cfRule>
  </conditionalFormatting>
  <conditionalFormatting sqref="C9:E15">
    <cfRule type="expression" dxfId="2678" priority="4">
      <formula>NOT(CGTW)</formula>
    </cfRule>
  </conditionalFormatting>
  <conditionalFormatting sqref="C5:O5">
    <cfRule type="expression" dxfId="2677" priority="12">
      <formula>OR(R6,R7)</formula>
    </cfRule>
  </conditionalFormatting>
  <conditionalFormatting sqref="D33">
    <cfRule type="expression" dxfId="2676" priority="80">
      <formula>IF(NoColor,1,0)</formula>
    </cfRule>
  </conditionalFormatting>
  <conditionalFormatting sqref="D36">
    <cfRule type="expression" dxfId="2675" priority="79">
      <formula>IF(NoColor,1,0)</formula>
    </cfRule>
  </conditionalFormatting>
  <conditionalFormatting sqref="E78">
    <cfRule type="expression" dxfId="2674" priority="71">
      <formula>IF(OR(Taxable_Inc="",Taxable_Inc=0),1,0)</formula>
    </cfRule>
  </conditionalFormatting>
  <conditionalFormatting sqref="E77:O77">
    <cfRule type="expression" dxfId="2673" priority="2">
      <formula>$R$77</formula>
    </cfRule>
  </conditionalFormatting>
  <conditionalFormatting sqref="F6">
    <cfRule type="expression" dxfId="2672" priority="63">
      <formula>AND(SchDTW_Used,SchD_Line1819_GT_0,SchD_Line1516_GT_0)</formula>
    </cfRule>
  </conditionalFormatting>
  <conditionalFormatting sqref="F7">
    <cfRule type="expression" dxfId="2671" priority="13">
      <formula>R7</formula>
    </cfRule>
  </conditionalFormatting>
  <conditionalFormatting sqref="J31">
    <cfRule type="expression" dxfId="2670" priority="83">
      <formula>IF(NoColor,1,0)</formula>
    </cfRule>
  </conditionalFormatting>
  <conditionalFormatting sqref="J35">
    <cfRule type="expression" dxfId="2669" priority="82">
      <formula>IF(NoColor,1,0)</formula>
    </cfRule>
  </conditionalFormatting>
  <conditionalFormatting sqref="J38">
    <cfRule type="expression" dxfId="2668" priority="81">
      <formula>IF(NoColor,1,0)</formula>
    </cfRule>
  </conditionalFormatting>
  <conditionalFormatting sqref="L6">
    <cfRule type="expression" dxfId="2667" priority="64">
      <formula>L2</formula>
    </cfRule>
  </conditionalFormatting>
  <conditionalFormatting sqref="L30">
    <cfRule type="expression" dxfId="2666" priority="93">
      <formula>IF(NoColor,1,0)</formula>
    </cfRule>
  </conditionalFormatting>
  <conditionalFormatting sqref="L39">
    <cfRule type="expression" dxfId="2665" priority="92">
      <formula>IF(NoColor,1,0)</formula>
    </cfRule>
  </conditionalFormatting>
  <conditionalFormatting sqref="L42">
    <cfRule type="expression" dxfId="2664" priority="91">
      <formula>IF(NoColor,1,0)</formula>
    </cfRule>
  </conditionalFormatting>
  <conditionalFormatting sqref="L44:L49">
    <cfRule type="expression" dxfId="2663" priority="87">
      <formula>IF(NoColor,1,0)</formula>
    </cfRule>
  </conditionalFormatting>
  <conditionalFormatting sqref="L53">
    <cfRule type="expression" dxfId="2662" priority="86">
      <formula>IF(NoColor,1,0)</formula>
    </cfRule>
  </conditionalFormatting>
  <conditionalFormatting sqref="L55:L58">
    <cfRule type="expression" dxfId="2661" priority="85">
      <formula>IF(NoColor,1,0)</formula>
    </cfRule>
  </conditionalFormatting>
  <conditionalFormatting sqref="L60:L61">
    <cfRule type="expression" dxfId="2660" priority="84">
      <formula>IF(NoColor,1,0)</formula>
    </cfRule>
  </conditionalFormatting>
  <conditionalFormatting sqref="N59">
    <cfRule type="expression" dxfId="2659" priority="78">
      <formula>IF(NoColor,1,0)</formula>
    </cfRule>
  </conditionalFormatting>
  <conditionalFormatting sqref="N62">
    <cfRule type="expression" dxfId="2658" priority="77">
      <formula>IF(NoColor,1,0)</formula>
    </cfRule>
  </conditionalFormatting>
  <conditionalFormatting sqref="N65:N66">
    <cfRule type="expression" dxfId="2657" priority="76">
      <formula>IF(NoColor,1,0)</formula>
    </cfRule>
  </conditionalFormatting>
  <conditionalFormatting sqref="N69">
    <cfRule type="expression" dxfId="2656" priority="75">
      <formula>IF(NoColor,1,0)</formula>
    </cfRule>
  </conditionalFormatting>
  <conditionalFormatting sqref="N73">
    <cfRule type="expression" dxfId="2655" priority="74">
      <formula>IF(NoColor,1,0)</formula>
    </cfRule>
  </conditionalFormatting>
  <conditionalFormatting sqref="N80">
    <cfRule type="expression" dxfId="2654" priority="73">
      <formula>IF(NoColor,1,0)</formula>
    </cfRule>
  </conditionalFormatting>
  <conditionalFormatting sqref="N82">
    <cfRule type="expression" dxfId="2653" priority="70">
      <formula>IF(NoColor,1,0)</formula>
    </cfRule>
  </conditionalFormatting>
  <conditionalFormatting sqref="N84:N85">
    <cfRule type="expression" dxfId="2652" priority="69">
      <formula>IF(NoColor,1,0)</formula>
    </cfRule>
  </conditionalFormatting>
  <conditionalFormatting sqref="N87">
    <cfRule type="expression" dxfId="2651" priority="68">
      <formula>IF(NoColor,1,0)</formula>
    </cfRule>
  </conditionalFormatting>
  <conditionalFormatting sqref="N93">
    <cfRule type="expression" dxfId="2650" priority="67">
      <formula>IF(NoColor,1,0)</formula>
    </cfRule>
  </conditionalFormatting>
  <conditionalFormatting sqref="N97">
    <cfRule type="expression" dxfId="2649" priority="66">
      <formula>IF(NoColor,1,0)</formula>
    </cfRule>
  </conditionalFormatting>
  <conditionalFormatting sqref="N100">
    <cfRule type="expression" dxfId="2648" priority="65">
      <formula>IF(NoColor,1,0)</formula>
    </cfRule>
  </conditionalFormatting>
  <conditionalFormatting sqref="X115:X158">
    <cfRule type="expression" dxfId="2647" priority="16">
      <formula>IF(NoColor,1,0)</formula>
    </cfRule>
  </conditionalFormatting>
  <conditionalFormatting sqref="X164:X165">
    <cfRule type="expression" dxfId="2646" priority="23">
      <formula>IF(NoColor,1,0)</formula>
    </cfRule>
  </conditionalFormatting>
  <conditionalFormatting sqref="X171">
    <cfRule type="expression" dxfId="2645" priority="22">
      <formula>IF(NoColor,1,0)</formula>
    </cfRule>
  </conditionalFormatting>
  <pageMargins left="0.75" right="0.25" top="0.36" bottom="0.28999999999999998" header="0.36" footer="0.21"/>
  <pageSetup scale="84" fitToHeight="0" orientation="portrait" r:id="rId1"/>
  <rowBreaks count="1" manualBreakCount="1">
    <brk id="75" min="1" max="14"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V490"/>
  <sheetViews>
    <sheetView zoomScaleNormal="100" zoomScaleSheetLayoutView="100" workbookViewId="0">
      <pane ySplit="1" topLeftCell="A2" activePane="bottomLeft" state="frozen"/>
      <selection pane="bottomLeft"/>
    </sheetView>
  </sheetViews>
  <sheetFormatPr defaultColWidth="9.140625" defaultRowHeight="12.75"/>
  <cols>
    <col min="1" max="1" width="11.28515625" style="22" customWidth="1"/>
    <col min="2" max="2" width="3.140625" style="37" customWidth="1"/>
    <col min="3" max="3" width="3.85546875" style="22" customWidth="1"/>
    <col min="4" max="5" width="9.140625" style="22"/>
    <col min="6" max="6" width="10.7109375" style="22" customWidth="1"/>
    <col min="7" max="7" width="9.140625" style="22"/>
    <col min="8" max="8" width="3.140625" style="22" customWidth="1"/>
    <col min="9" max="9" width="6" style="22" customWidth="1"/>
    <col min="10" max="10" width="7.140625" style="22" customWidth="1"/>
    <col min="11" max="11" width="10.28515625" style="22" customWidth="1"/>
    <col min="12" max="12" width="11" style="22" customWidth="1"/>
    <col min="13" max="13" width="10.140625" style="22" customWidth="1"/>
    <col min="14" max="14" width="10.42578125" style="13" customWidth="1"/>
    <col min="15" max="15" width="9.85546875" style="22" customWidth="1"/>
    <col min="16" max="16" width="1" style="22" customWidth="1"/>
    <col min="17" max="17" width="3" style="22" customWidth="1"/>
    <col min="18" max="18" width="1" style="22" customWidth="1"/>
    <col min="19" max="19" width="3" style="22" customWidth="1"/>
    <col min="20" max="20" width="1" style="22" customWidth="1"/>
    <col min="21" max="21" width="3" style="22" customWidth="1"/>
    <col min="22" max="22" width="1" style="22" customWidth="1"/>
    <col min="23" max="23" width="3" style="22" customWidth="1"/>
    <col min="24" max="24" width="1" style="22" customWidth="1"/>
    <col min="25" max="26" width="3" style="22" customWidth="1"/>
    <col min="27" max="39" width="9.140625" style="22"/>
    <col min="40" max="40" width="12.5703125" style="13" hidden="1" customWidth="1"/>
    <col min="41" max="41" width="9.140625" style="13" hidden="1" customWidth="1"/>
    <col min="42" max="48" width="9.140625" style="22" hidden="1" customWidth="1"/>
    <col min="49" max="16384" width="9.140625" style="22"/>
  </cols>
  <sheetData>
    <row r="1" spans="1:48" s="103" customFormat="1" ht="42.75" customHeight="1">
      <c r="A1" s="1283" t="b">
        <f>OR(H21&lt;&gt;"",H27&lt;&gt;"",B33&lt;&gt;"",H64&lt;&gt;"",B153&lt;&gt;"",H280&lt;&gt;"",L302=0,EarnedIncomeWSB&lt;=0,O443&lt;=0)</f>
        <v>0</v>
      </c>
      <c r="B1" s="1284">
        <f>IF(OR(H27&lt;&gt;"",B153&lt;&gt;"",AND(B296&lt;&gt;"",L302=0),AND(B355&lt;&gt;"",O413=0),B435&lt;&gt;"",AND($B$355&lt;&gt;"",O443=0)),1,0)</f>
        <v>0</v>
      </c>
      <c r="C1" s="1285" t="str">
        <f>IF(OR(TaxYear="",Adj_Gross_Inc=""),"Answer questions as indicated in blue.",IF(AND(AN1="",AO1="",AP1="",B296&lt;&gt;"",M339&gt;0),"Your Earned Income Credit is "&amp;O339&amp;" - as indicated on Worksheet A, Part 3, Step 6.",IF(AND(AN1="",AO1="",AP1="",B355&lt;&gt;"",O480&gt;0),"Your Earned Income Credit is "&amp;AA480&amp;" - as indicated on Worksheet B, Part 7.",IF(AN1&lt;&gt;"",AN1,IF(AO1&lt;&gt;"",AO1,IF(AP1&lt;&gt;"",AP1,""))))))</f>
        <v>Please answer question at Step 1, Question 2.</v>
      </c>
      <c r="L1" s="4529"/>
      <c r="N1" s="5165" t="b">
        <f>OR(G27,A153,G176,G185,A202,A306,O446)</f>
        <v>0</v>
      </c>
      <c r="O1" s="4650"/>
      <c r="AA1" s="2066" t="s">
        <v>241</v>
      </c>
      <c r="AB1" s="2045"/>
      <c r="AC1" s="2045"/>
      <c r="AD1" s="2045"/>
      <c r="AE1" s="2045"/>
      <c r="AF1" s="2045"/>
      <c r="AG1" s="2045"/>
      <c r="AH1" s="2045"/>
      <c r="AI1" s="2045"/>
      <c r="AJ1" s="2045"/>
      <c r="AK1" s="2045"/>
      <c r="AL1" s="2045"/>
      <c r="AN1" s="2047" t="str">
        <f>IF(AND(B80&lt;&gt;"",H82=""),"Check box at Step 2 if you can take the credit",IF(NoEICredit,"You can't take the Earned Income Credit.",IF(AND(B27="",H27=""),"Please answer question at Step 1, Question 2.",IF(AND(B33="",H33=""),"Please answer question at Step 1, Question 4.",IF(AND(B38="",H38=""),"Please answer question at Step 1, Question 5.",IF(AND(B59&lt;&gt;"",B64=""),"Please answer question at Step 2, Question 3.",IF(AND(B70="",B72="",B75="",H80="",N59),"Please answer question at Step 2, Question 4.","")))))))</f>
        <v>Please answer question at Step 1, Question 2.</v>
      </c>
      <c r="AO1" s="2047" t="str">
        <f>IF(B108="","Please indicate number of qualifying children at Step 3.",IF(AND(B116&lt;&gt;"",B121&lt;&gt;"X",B153="",H153=""),"Please answer question at Step 3, Question 3.",""))</f>
        <v/>
      </c>
      <c r="AP1" s="2047" t="str">
        <f>IF(AND(B221="",H221=""),"Please answer question at Step 5, Question 1.",IF(AND(B262="",H262=""),"Please answer question at Step 5, Question 2.",IF(AND(H262&lt;&gt;"",B288="",H288=""),"Please answer question at Step 6, Question 1.",IF(AND(B355&lt;&gt;"",OR(O386="",R388="",R389="",R390="")),"Please enter values at Worksheet B, Part 2, Question 2.",""))))</f>
        <v>Please answer question at Step 5, Question 1.</v>
      </c>
      <c r="AQ1" s="2045"/>
      <c r="AR1" s="2045"/>
      <c r="AS1" s="2045"/>
      <c r="AT1" s="2045"/>
      <c r="AU1" s="2045"/>
      <c r="AV1" s="2045"/>
    </row>
    <row r="2" spans="1:48" s="109" customFormat="1" ht="15.75">
      <c r="A2" s="1286" t="s">
        <v>1801</v>
      </c>
      <c r="B2" s="1286"/>
      <c r="C2" s="1286"/>
      <c r="AA2" s="2048"/>
      <c r="AB2" s="2048"/>
      <c r="AC2" s="2048"/>
      <c r="AD2" s="2048"/>
      <c r="AE2" s="2048"/>
      <c r="AF2" s="2048"/>
      <c r="AG2" s="2048"/>
      <c r="AH2" s="2048"/>
      <c r="AI2" s="2048"/>
      <c r="AJ2" s="2048"/>
      <c r="AK2" s="2048"/>
      <c r="AL2" s="2048"/>
      <c r="AN2" s="2049"/>
      <c r="AO2" s="2049"/>
      <c r="AP2" s="2048"/>
      <c r="AQ2" s="2048"/>
      <c r="AR2" s="2048"/>
      <c r="AS2" s="2048"/>
      <c r="AT2" s="2048"/>
      <c r="AU2" s="2048"/>
      <c r="AV2" s="2048"/>
    </row>
    <row r="3" spans="1:48" s="109" customFormat="1" ht="15.75">
      <c r="A3" s="1286" t="s">
        <v>1802</v>
      </c>
      <c r="B3" s="1286"/>
      <c r="C3" s="1286"/>
      <c r="G3" s="2663"/>
      <c r="H3" s="110"/>
      <c r="I3" s="110"/>
      <c r="J3" s="110"/>
      <c r="K3" s="110"/>
      <c r="L3" s="110"/>
      <c r="M3" s="110"/>
      <c r="N3" s="110"/>
      <c r="O3" s="110"/>
      <c r="P3" s="110"/>
      <c r="Q3" s="110"/>
      <c r="R3" s="110"/>
      <c r="S3" s="110"/>
      <c r="T3" s="110"/>
      <c r="U3" s="110"/>
      <c r="V3" s="110"/>
      <c r="W3" s="110"/>
      <c r="X3" s="110"/>
      <c r="Y3" s="110"/>
      <c r="Z3" s="110"/>
      <c r="AA3" s="2048"/>
      <c r="AB3" s="2048"/>
      <c r="AC3" s="2048"/>
      <c r="AD3" s="2048"/>
      <c r="AE3" s="2048"/>
      <c r="AF3" s="2048"/>
      <c r="AG3" s="2048"/>
      <c r="AH3" s="2048"/>
      <c r="AI3" s="2048"/>
      <c r="AJ3" s="2048"/>
      <c r="AK3" s="2048"/>
      <c r="AL3" s="2048"/>
      <c r="AN3" s="2049"/>
      <c r="AO3" s="2049"/>
      <c r="AP3" s="2048"/>
      <c r="AQ3" s="2048"/>
      <c r="AR3" s="2048"/>
      <c r="AS3" s="2048"/>
      <c r="AT3" s="2048"/>
      <c r="AU3" s="2048"/>
      <c r="AV3" s="2048"/>
    </row>
    <row r="4" spans="1:48" ht="15.75" customHeight="1">
      <c r="A4" s="1288"/>
      <c r="B4" s="1288"/>
      <c r="C4" s="1288"/>
      <c r="H4" s="110"/>
      <c r="N4" s="216" t="s">
        <v>867</v>
      </c>
      <c r="AA4" s="2038"/>
      <c r="AB4" s="2038"/>
      <c r="AC4" s="2038"/>
      <c r="AD4" s="2038"/>
      <c r="AE4" s="2038"/>
      <c r="AF4" s="2038"/>
      <c r="AG4" s="2038"/>
      <c r="AH4" s="2038"/>
      <c r="AI4" s="2038"/>
      <c r="AJ4" s="2038"/>
      <c r="AK4" s="2038"/>
      <c r="AL4" s="2038"/>
      <c r="AN4" s="2050"/>
      <c r="AO4" s="2050"/>
      <c r="AP4" s="2038"/>
      <c r="AQ4" s="2038"/>
      <c r="AR4" s="2038"/>
      <c r="AS4" s="2038"/>
      <c r="AT4" s="2038"/>
      <c r="AU4" s="2038"/>
      <c r="AV4" s="2038"/>
    </row>
    <row r="5" spans="1:48" s="109" customFormat="1" ht="15.75">
      <c r="A5" s="1308" t="s">
        <v>1803</v>
      </c>
      <c r="B5" s="1309" t="s">
        <v>1804</v>
      </c>
      <c r="C5" s="1286"/>
      <c r="G5" s="22"/>
      <c r="H5" s="110"/>
      <c r="I5" s="22"/>
      <c r="J5" s="22"/>
      <c r="K5" s="22"/>
      <c r="L5" s="22"/>
      <c r="M5" s="110" t="s">
        <v>1805</v>
      </c>
      <c r="N5" s="3161"/>
      <c r="O5" s="22"/>
      <c r="P5" s="22"/>
      <c r="Q5" s="22"/>
      <c r="R5" s="22"/>
      <c r="S5" s="22"/>
      <c r="T5" s="22"/>
      <c r="U5" s="22"/>
      <c r="V5" s="22"/>
      <c r="W5" s="22"/>
      <c r="X5" s="22"/>
      <c r="Y5" s="22"/>
      <c r="Z5" s="22"/>
      <c r="AA5" s="2048"/>
      <c r="AB5" s="2048"/>
      <c r="AC5" s="2048"/>
      <c r="AD5" s="2048"/>
      <c r="AE5" s="2048"/>
      <c r="AF5" s="2048"/>
      <c r="AG5" s="2048"/>
      <c r="AH5" s="2048"/>
      <c r="AI5" s="2048"/>
      <c r="AJ5" s="2048"/>
      <c r="AK5" s="2048"/>
      <c r="AL5" s="2048"/>
      <c r="AN5" s="2049"/>
      <c r="AO5" s="2049"/>
      <c r="AP5" s="2048"/>
      <c r="AQ5" s="2048"/>
      <c r="AR5" s="2048"/>
      <c r="AS5" s="2048"/>
      <c r="AT5" s="2048"/>
      <c r="AU5" s="2048"/>
      <c r="AV5" s="2048"/>
    </row>
    <row r="6" spans="1:48">
      <c r="H6" s="110"/>
      <c r="N6" s="3160">
        <f>IF(N5&lt;&gt;"",ROUND(N5,0),Qual_Child_Count)</f>
        <v>0</v>
      </c>
      <c r="AA6" s="2038"/>
      <c r="AB6" s="2038"/>
      <c r="AC6" s="2038"/>
      <c r="AD6" s="2038"/>
      <c r="AE6" s="2038"/>
      <c r="AF6" s="2038"/>
      <c r="AG6" s="2038"/>
      <c r="AH6" s="2038"/>
      <c r="AI6" s="2038"/>
      <c r="AJ6" s="2038"/>
      <c r="AK6" s="2038"/>
      <c r="AL6" s="2038"/>
      <c r="AN6" s="2050"/>
      <c r="AO6" s="2050"/>
      <c r="AP6" s="2038"/>
      <c r="AQ6" s="2038"/>
      <c r="AR6" s="2038"/>
      <c r="AS6" s="2038"/>
      <c r="AT6" s="2038"/>
      <c r="AU6" s="2038"/>
      <c r="AV6" s="2038"/>
    </row>
    <row r="7" spans="1:48">
      <c r="C7" s="1290" t="s">
        <v>167</v>
      </c>
      <c r="D7" s="22" t="str">
        <f>"If, in "&amp;TaxYear&amp;":"</f>
        <v>If, in 2023:</v>
      </c>
      <c r="N7" s="5158"/>
      <c r="O7" s="5158"/>
      <c r="P7" s="5158"/>
      <c r="Q7" s="5158"/>
      <c r="AA7" s="2038"/>
      <c r="AB7" s="2038"/>
      <c r="AC7" s="2038"/>
      <c r="AD7" s="2038"/>
      <c r="AE7" s="2038"/>
      <c r="AF7" s="2038"/>
      <c r="AG7" s="2038"/>
      <c r="AH7" s="2038"/>
      <c r="AI7" s="2038"/>
      <c r="AJ7" s="2038"/>
      <c r="AK7" s="2038"/>
      <c r="AL7" s="2038"/>
      <c r="AN7" s="2050"/>
      <c r="AO7" s="2050"/>
      <c r="AP7" s="2038"/>
      <c r="AQ7" s="2038"/>
      <c r="AR7" s="2038"/>
      <c r="AS7" s="2038"/>
      <c r="AT7" s="2038"/>
      <c r="AU7" s="2038"/>
      <c r="AV7" s="2038"/>
    </row>
    <row r="8" spans="1:48" ht="7.5" customHeight="1">
      <c r="N8" s="5159"/>
      <c r="O8" s="5158"/>
      <c r="P8" s="5158"/>
      <c r="Q8" s="5158"/>
      <c r="AA8" s="2038"/>
      <c r="AB8" s="2038"/>
      <c r="AC8" s="2038"/>
      <c r="AD8" s="2038"/>
      <c r="AE8" s="2038"/>
      <c r="AF8" s="2038"/>
      <c r="AG8" s="2038"/>
      <c r="AH8" s="2038"/>
      <c r="AI8" s="2038"/>
      <c r="AJ8" s="2038"/>
      <c r="AK8" s="2038"/>
      <c r="AL8" s="2038"/>
      <c r="AN8" s="2050"/>
      <c r="AO8" s="2050"/>
      <c r="AP8" s="2038"/>
      <c r="AQ8" s="2038"/>
      <c r="AR8" s="2038"/>
      <c r="AS8" s="2038"/>
      <c r="AT8" s="2038"/>
      <c r="AU8" s="2038"/>
      <c r="AV8" s="2038"/>
    </row>
    <row r="9" spans="1:48">
      <c r="B9" s="1399" t="str">
        <f>IF(OR(NumFileStatusBoxes=0,Adj_Gross_Inc=""),"",IF(N6&gt;=3,"®",""))</f>
        <v/>
      </c>
      <c r="C9" s="110" t="s">
        <v>1806</v>
      </c>
      <c r="D9" s="61" t="s">
        <v>1807</v>
      </c>
      <c r="M9" s="5158"/>
      <c r="N9" s="4126"/>
      <c r="O9" s="1631" t="s">
        <v>1808</v>
      </c>
      <c r="P9" s="5158"/>
      <c r="Q9" s="5158"/>
      <c r="AA9" s="2038"/>
      <c r="AB9" s="2038"/>
      <c r="AC9" s="2038"/>
      <c r="AD9" s="2038"/>
      <c r="AE9" s="2038"/>
      <c r="AF9" s="2038"/>
      <c r="AG9" s="2038"/>
      <c r="AH9" s="2038"/>
      <c r="AI9" s="2038"/>
      <c r="AJ9" s="2038"/>
      <c r="AK9" s="2038"/>
      <c r="AL9" s="2038"/>
      <c r="AN9" s="2050"/>
      <c r="AO9" s="2050"/>
      <c r="AP9" s="2038"/>
      <c r="AQ9" s="2038"/>
      <c r="AR9" s="2038"/>
      <c r="AS9" s="2038"/>
      <c r="AT9" s="2038"/>
      <c r="AU9" s="2038"/>
      <c r="AV9" s="2038"/>
    </row>
    <row r="10" spans="1:48">
      <c r="B10" s="1291"/>
      <c r="D10" s="22" t="str">
        <f>"Is the amount on Form 1040, line 11, less than "&amp;TEXT(N10,"$0,000")&amp;" ("&amp;TEXT(O10,"$0,000")&amp;" if married filing jointly)?"</f>
        <v>Is the amount on Form 1040, line 11, less than $56,838 ($63,398 if married filing jointly)?</v>
      </c>
      <c r="M10" s="1400" t="str">
        <f>IF(B9&lt;&gt;"®","",IF(Adj_Gross_Inc&lt;N11,"Yes","No"))</f>
        <v/>
      </c>
      <c r="N10" s="943">
        <f>EIC_Max_ThreeChildren</f>
        <v>56838</v>
      </c>
      <c r="O10" s="943">
        <f>EIC_Max_MFJ_ThreeChildren</f>
        <v>63398</v>
      </c>
      <c r="P10" s="5158"/>
      <c r="Q10" s="5158"/>
      <c r="AA10" s="2038"/>
      <c r="AB10" s="2038"/>
      <c r="AC10" s="2038"/>
      <c r="AD10" s="2038"/>
      <c r="AE10" s="2038"/>
      <c r="AF10" s="2038"/>
      <c r="AG10" s="2038"/>
      <c r="AH10" s="2038"/>
      <c r="AI10" s="2038"/>
      <c r="AJ10" s="2038"/>
      <c r="AK10" s="2038"/>
      <c r="AL10" s="2038"/>
      <c r="AN10" s="2050"/>
      <c r="AO10" s="2050"/>
      <c r="AP10" s="2038"/>
      <c r="AQ10" s="2038"/>
      <c r="AR10" s="2038"/>
      <c r="AS10" s="2038"/>
      <c r="AT10" s="2038"/>
      <c r="AU10" s="2038"/>
      <c r="AV10" s="2038"/>
    </row>
    <row r="11" spans="1:48">
      <c r="B11" s="1291"/>
      <c r="C11" s="37" t="s">
        <v>1445</v>
      </c>
      <c r="M11" s="5158"/>
      <c r="N11" s="943">
        <f>IF(File_Marr_Joint&lt;&gt;"",O10,N10)</f>
        <v>56838</v>
      </c>
      <c r="O11" s="805"/>
      <c r="P11" s="5158"/>
      <c r="Q11" s="5158"/>
      <c r="AA11" s="2038"/>
      <c r="AB11" s="2038"/>
      <c r="AC11" s="2038"/>
      <c r="AD11" s="2038"/>
      <c r="AE11" s="2038"/>
      <c r="AF11" s="2038"/>
      <c r="AG11" s="2038"/>
      <c r="AH11" s="2038"/>
      <c r="AI11" s="2038"/>
      <c r="AJ11" s="2038"/>
      <c r="AK11" s="2038"/>
      <c r="AL11" s="2038"/>
      <c r="AN11" s="2050"/>
      <c r="AO11" s="2050"/>
      <c r="AP11" s="2038"/>
      <c r="AQ11" s="2038"/>
      <c r="AR11" s="2038"/>
      <c r="AS11" s="2038"/>
      <c r="AT11" s="2038"/>
      <c r="AU11" s="2038"/>
      <c r="AV11" s="2038"/>
    </row>
    <row r="12" spans="1:48">
      <c r="B12" s="1399" t="str">
        <f>IF(OR(NumFileStatusBoxes=0,Adj_Gross_Inc=""),"",IF(N6=2,"®",""))</f>
        <v/>
      </c>
      <c r="C12" s="110" t="s">
        <v>1806</v>
      </c>
      <c r="D12" s="61" t="s">
        <v>1809</v>
      </c>
      <c r="M12" s="5158"/>
      <c r="N12" s="4126"/>
      <c r="O12" s="805"/>
      <c r="P12" s="5158"/>
      <c r="Q12" s="5158"/>
      <c r="AA12" s="2038"/>
      <c r="AB12" s="2038"/>
      <c r="AC12" s="2038"/>
      <c r="AD12" s="2038"/>
      <c r="AE12" s="2038"/>
      <c r="AF12" s="2038"/>
      <c r="AG12" s="2038"/>
      <c r="AH12" s="2038"/>
      <c r="AI12" s="2038"/>
      <c r="AJ12" s="2038"/>
      <c r="AK12" s="2038"/>
      <c r="AL12" s="2038"/>
      <c r="AN12" s="2050"/>
      <c r="AO12" s="2050"/>
      <c r="AP12" s="2038"/>
      <c r="AQ12" s="2038"/>
      <c r="AR12" s="2038"/>
      <c r="AS12" s="2038"/>
      <c r="AT12" s="2038"/>
      <c r="AU12" s="2038"/>
      <c r="AV12" s="2038"/>
    </row>
    <row r="13" spans="1:48">
      <c r="B13" s="1291"/>
      <c r="D13" s="22" t="str">
        <f>"Is the amount on Form 1040, line 11, less than "&amp;TEXT(N13,"$0,000")&amp;" ("&amp;TEXT(O13,"$0,000")&amp;" if married filing jointly)?"</f>
        <v>Is the amount on Form 1040, line 11, less than $52,918 ($59,478 if married filing jointly)?</v>
      </c>
      <c r="M13" s="1400" t="str">
        <f>IF(B12&lt;&gt;"®","",IF(Adj_Gross_Inc&lt;N14,"Yes","No"))</f>
        <v/>
      </c>
      <c r="N13" s="943">
        <f>EIC_Max_TwoChildren</f>
        <v>52918</v>
      </c>
      <c r="O13" s="943">
        <f>EIC_Max_MFJ_TwoChildren</f>
        <v>59478</v>
      </c>
      <c r="P13" s="5158"/>
      <c r="Q13" s="5158"/>
      <c r="AA13" s="2038"/>
      <c r="AB13" s="2038"/>
      <c r="AC13" s="2038"/>
      <c r="AD13" s="2038"/>
      <c r="AE13" s="2038"/>
      <c r="AF13" s="2038"/>
      <c r="AG13" s="2038"/>
      <c r="AH13" s="2038"/>
      <c r="AI13" s="2038"/>
      <c r="AJ13" s="2038"/>
      <c r="AK13" s="2038"/>
      <c r="AL13" s="2038"/>
      <c r="AN13" s="2050"/>
      <c r="AO13" s="2050"/>
      <c r="AP13" s="2038"/>
      <c r="AQ13" s="2038"/>
      <c r="AR13" s="2038"/>
      <c r="AS13" s="2038"/>
      <c r="AT13" s="2038"/>
      <c r="AU13" s="2038"/>
      <c r="AV13" s="2038"/>
    </row>
    <row r="14" spans="1:48">
      <c r="B14" s="1291"/>
      <c r="C14" s="37" t="s">
        <v>1445</v>
      </c>
      <c r="M14" s="5158"/>
      <c r="N14" s="943">
        <f>IF(File_Marr_Joint&lt;&gt;"",O13,N13)</f>
        <v>52918</v>
      </c>
      <c r="O14" s="805"/>
      <c r="P14" s="5158"/>
      <c r="Q14" s="5158"/>
      <c r="AA14" s="2038"/>
      <c r="AB14" s="2038"/>
      <c r="AC14" s="2038"/>
      <c r="AD14" s="2038"/>
      <c r="AE14" s="2038"/>
      <c r="AF14" s="2038"/>
      <c r="AG14" s="2038"/>
      <c r="AH14" s="2038"/>
      <c r="AI14" s="2038"/>
      <c r="AJ14" s="2038"/>
      <c r="AK14" s="2038"/>
      <c r="AL14" s="2038"/>
      <c r="AN14" s="2050"/>
      <c r="AO14" s="2050"/>
      <c r="AP14" s="2038"/>
      <c r="AQ14" s="2038"/>
      <c r="AR14" s="2038"/>
      <c r="AS14" s="2038"/>
      <c r="AT14" s="2038"/>
      <c r="AU14" s="2038"/>
      <c r="AV14" s="2038"/>
    </row>
    <row r="15" spans="1:48">
      <c r="B15" s="1399" t="str">
        <f>IF(OR(NumFileStatusBoxes=0,Adj_Gross_Inc=""),"",IF(N6=1,"®",""))</f>
        <v/>
      </c>
      <c r="C15" s="110" t="s">
        <v>1806</v>
      </c>
      <c r="D15" s="61" t="s">
        <v>1810</v>
      </c>
      <c r="M15" s="5158"/>
      <c r="N15" s="805"/>
      <c r="O15" s="805"/>
      <c r="P15" s="5158"/>
      <c r="Q15" s="5158"/>
      <c r="AA15" s="2038"/>
      <c r="AB15" s="2038"/>
      <c r="AC15" s="2038"/>
      <c r="AD15" s="2038"/>
      <c r="AE15" s="2038"/>
      <c r="AF15" s="2038"/>
      <c r="AG15" s="2038"/>
      <c r="AH15" s="2038"/>
      <c r="AI15" s="2038"/>
      <c r="AJ15" s="2038"/>
      <c r="AK15" s="2038"/>
      <c r="AL15" s="2038"/>
      <c r="AN15" s="2050"/>
      <c r="AO15" s="2050"/>
      <c r="AP15" s="2038"/>
      <c r="AQ15" s="2038"/>
      <c r="AR15" s="2038"/>
      <c r="AS15" s="2038"/>
      <c r="AT15" s="2038"/>
      <c r="AU15" s="2038"/>
      <c r="AV15" s="2038"/>
    </row>
    <row r="16" spans="1:48">
      <c r="B16" s="1291"/>
      <c r="D16" s="22" t="str">
        <f>"Is the amount on Form 1040, line 11, less than "&amp;TEXT(N16,"$0,000")&amp;" ("&amp;TEXT(O16,"$0,000")&amp;" if married filing jointly)?"</f>
        <v>Is the amount on Form 1040, line 11, less than $46,560 ($53,120 if married filing jointly)?</v>
      </c>
      <c r="M16" s="1400" t="str">
        <f>IF(B15&lt;&gt;"®","",IF(Adj_Gross_Inc&lt;N17,"Yes","No"))</f>
        <v/>
      </c>
      <c r="N16" s="943">
        <f>EIC_Max_OneChild</f>
        <v>46560</v>
      </c>
      <c r="O16" s="943">
        <f>EIC_Max_MFJ_OneChild</f>
        <v>53120</v>
      </c>
      <c r="P16" s="5158"/>
      <c r="Q16" s="5158"/>
      <c r="AA16" s="2038"/>
      <c r="AB16" s="2038"/>
      <c r="AC16" s="2038"/>
      <c r="AD16" s="2038"/>
      <c r="AE16" s="2038"/>
      <c r="AF16" s="2038"/>
      <c r="AG16" s="2038"/>
      <c r="AH16" s="2038"/>
      <c r="AI16" s="2038"/>
      <c r="AJ16" s="2038"/>
      <c r="AK16" s="2038"/>
      <c r="AL16" s="2038"/>
      <c r="AN16" s="2050"/>
      <c r="AO16" s="2050"/>
      <c r="AP16" s="2038"/>
      <c r="AQ16" s="2038"/>
      <c r="AR16" s="2038"/>
      <c r="AS16" s="2038"/>
      <c r="AT16" s="2038"/>
      <c r="AU16" s="2038"/>
      <c r="AV16" s="2038"/>
    </row>
    <row r="17" spans="1:48">
      <c r="B17" s="1291"/>
      <c r="C17" s="37" t="s">
        <v>1445</v>
      </c>
      <c r="M17" s="5158"/>
      <c r="N17" s="943">
        <f>IF(File_Marr_Joint&lt;&gt;"",O16,N16)</f>
        <v>46560</v>
      </c>
      <c r="O17" s="805"/>
      <c r="P17" s="5158"/>
      <c r="Q17" s="5158"/>
      <c r="AA17" s="2038"/>
      <c r="AB17" s="2038"/>
      <c r="AC17" s="2038"/>
      <c r="AD17" s="2038"/>
      <c r="AE17" s="2038"/>
      <c r="AF17" s="2038"/>
      <c r="AG17" s="2038"/>
      <c r="AH17" s="2038"/>
      <c r="AI17" s="2038"/>
      <c r="AJ17" s="2038"/>
      <c r="AK17" s="2038"/>
      <c r="AL17" s="2038"/>
      <c r="AN17" s="2050"/>
      <c r="AO17" s="2050"/>
      <c r="AP17" s="2038"/>
      <c r="AQ17" s="2038"/>
      <c r="AR17" s="2038"/>
      <c r="AS17" s="2038"/>
      <c r="AT17" s="2038"/>
      <c r="AU17" s="2038"/>
      <c r="AV17" s="2038"/>
    </row>
    <row r="18" spans="1:48">
      <c r="B18" s="1399" t="str">
        <f>IF(OR(NumFileStatusBoxes=0,Adj_Gross_Inc=""),"",IF(N6=0,"®",""))</f>
        <v/>
      </c>
      <c r="C18" s="110" t="s">
        <v>1806</v>
      </c>
      <c r="D18" s="61" t="s">
        <v>1811</v>
      </c>
      <c r="M18" s="5158"/>
      <c r="N18" s="805"/>
      <c r="O18" s="805"/>
      <c r="P18" s="5158"/>
      <c r="Q18" s="5158"/>
      <c r="AA18" s="2038"/>
      <c r="AB18" s="2038"/>
      <c r="AC18" s="2038"/>
      <c r="AD18" s="2038"/>
      <c r="AE18" s="2038"/>
      <c r="AF18" s="2038"/>
      <c r="AG18" s="2038"/>
      <c r="AH18" s="2038"/>
      <c r="AI18" s="2038"/>
      <c r="AJ18" s="2038"/>
      <c r="AK18" s="2038"/>
      <c r="AL18" s="2038"/>
      <c r="AN18" s="2050"/>
      <c r="AO18" s="2050"/>
      <c r="AP18" s="2038"/>
      <c r="AQ18" s="2038"/>
      <c r="AR18" s="2038"/>
      <c r="AS18" s="2038"/>
      <c r="AT18" s="2038"/>
      <c r="AU18" s="2038"/>
      <c r="AV18" s="2038"/>
    </row>
    <row r="19" spans="1:48">
      <c r="D19" s="22" t="str">
        <f>"Is the amount on Form 1040, line 11, less than "&amp;TEXT(N19,"$0,000")&amp;" ("&amp;TEXT(O19,"$0,000")&amp;" if married filing jointly)?"</f>
        <v>Is the amount on Form 1040, line 11, less than $17,640 ($24,210 if married filing jointly)?</v>
      </c>
      <c r="M19" s="1400" t="str">
        <f>IF(B18&lt;&gt;"®","",IF(Adj_Gross_Inc&lt;N20,"Yes","No"))</f>
        <v/>
      </c>
      <c r="N19" s="943">
        <f>EIC_Max_NoChildren</f>
        <v>17640</v>
      </c>
      <c r="O19" s="943">
        <f>EIC_Max_MFJ_NoChildren</f>
        <v>24210</v>
      </c>
      <c r="P19" s="5158"/>
      <c r="Q19" s="5158"/>
      <c r="AA19" s="2038"/>
      <c r="AB19" s="2038"/>
      <c r="AC19" s="2038"/>
      <c r="AD19" s="2038"/>
      <c r="AE19" s="2038"/>
      <c r="AF19" s="2038"/>
      <c r="AG19" s="2038"/>
      <c r="AH19" s="2038"/>
      <c r="AI19" s="2038"/>
      <c r="AJ19" s="2038"/>
      <c r="AK19" s="2038"/>
      <c r="AL19" s="2038"/>
      <c r="AN19" s="2050"/>
      <c r="AO19" s="2050"/>
      <c r="AP19" s="2038"/>
      <c r="AQ19" s="2038"/>
      <c r="AR19" s="2038"/>
      <c r="AS19" s="2038"/>
      <c r="AT19" s="2038"/>
      <c r="AU19" s="2038"/>
      <c r="AV19" s="2038"/>
    </row>
    <row r="20" spans="1:48">
      <c r="N20" s="943">
        <f>IF(File_Marr_Joint&lt;&gt;"",O19,N19)</f>
        <v>17640</v>
      </c>
      <c r="O20" s="805"/>
      <c r="P20" s="5158"/>
      <c r="Q20" s="5158"/>
      <c r="AA20" s="2038"/>
      <c r="AB20" s="2038"/>
      <c r="AC20" s="2038"/>
      <c r="AD20" s="2038"/>
      <c r="AE20" s="2038"/>
      <c r="AF20" s="2038"/>
      <c r="AG20" s="2038"/>
      <c r="AH20" s="2038"/>
      <c r="AI20" s="2038"/>
      <c r="AJ20" s="2038"/>
      <c r="AK20" s="2038"/>
      <c r="AL20" s="2038"/>
      <c r="AN20" s="2050"/>
      <c r="AO20" s="2050"/>
      <c r="AP20" s="2038"/>
      <c r="AQ20" s="2038"/>
      <c r="AR20" s="2038"/>
      <c r="AS20" s="2038"/>
      <c r="AT20" s="2038"/>
      <c r="AU20" s="2038"/>
      <c r="AV20" s="2038"/>
    </row>
    <row r="21" spans="1:48">
      <c r="A21" s="805" t="b">
        <f>OR(M10="Yes",M13="Yes",M16="Yes",M19="Yes")</f>
        <v>0</v>
      </c>
      <c r="B21" s="1574" t="str">
        <f>IF(EIC_trigger,"X","")</f>
        <v/>
      </c>
      <c r="D21" s="61" t="s">
        <v>1812</v>
      </c>
      <c r="G21" s="805" t="b">
        <f>H21="X"</f>
        <v>0</v>
      </c>
      <c r="H21" s="1574" t="str">
        <f>IF(OR(NumFileStatusBoxes&lt;&gt;1,AND(M10="",M13="",M16="",M19="")),"",IF(OR(M10="Yes",M13="Yes",M16="Yes",M19="Yes"),"","X"))</f>
        <v/>
      </c>
      <c r="J21" s="61" t="s">
        <v>1813</v>
      </c>
      <c r="N21" s="5158"/>
      <c r="O21" s="5158"/>
      <c r="P21" s="5158"/>
      <c r="Q21" s="5158"/>
      <c r="AA21" s="2038"/>
      <c r="AB21" s="2038"/>
      <c r="AC21" s="2038"/>
      <c r="AD21" s="2038"/>
      <c r="AE21" s="2038"/>
      <c r="AF21" s="2038"/>
      <c r="AG21" s="2038"/>
      <c r="AH21" s="2038"/>
      <c r="AI21" s="2038"/>
      <c r="AJ21" s="2038"/>
      <c r="AK21" s="2038"/>
      <c r="AL21" s="2038"/>
      <c r="AN21" s="2050"/>
      <c r="AO21" s="2050"/>
      <c r="AP21" s="2038"/>
      <c r="AQ21" s="2038"/>
      <c r="AR21" s="2038"/>
      <c r="AS21" s="2038"/>
      <c r="AT21" s="2038"/>
      <c r="AU21" s="2038"/>
      <c r="AV21" s="2038"/>
    </row>
    <row r="22" spans="1:48" ht="8.25" customHeight="1">
      <c r="D22" s="38"/>
      <c r="E22" s="38"/>
      <c r="F22" s="38"/>
      <c r="G22" s="38"/>
      <c r="H22" s="38"/>
      <c r="I22" s="38"/>
      <c r="J22" s="38"/>
      <c r="K22" s="38"/>
      <c r="L22" s="38"/>
      <c r="M22" s="38"/>
      <c r="N22" s="5157"/>
      <c r="O22" s="3953"/>
      <c r="AA22" s="2038"/>
      <c r="AB22" s="2038"/>
      <c r="AC22" s="2038"/>
      <c r="AD22" s="2038"/>
      <c r="AE22" s="2038"/>
      <c r="AF22" s="2038"/>
      <c r="AG22" s="2038"/>
      <c r="AH22" s="2038"/>
      <c r="AI22" s="2038"/>
      <c r="AJ22" s="2038"/>
      <c r="AK22" s="2038"/>
      <c r="AL22" s="2038"/>
      <c r="AN22" s="2050"/>
      <c r="AO22" s="2050"/>
      <c r="AP22" s="2038"/>
      <c r="AQ22" s="2038"/>
      <c r="AR22" s="2038"/>
      <c r="AS22" s="2038"/>
      <c r="AT22" s="2038"/>
      <c r="AU22" s="2038"/>
      <c r="AV22" s="2038"/>
    </row>
    <row r="23" spans="1:48" ht="8.25" customHeight="1">
      <c r="D23" s="49"/>
      <c r="E23" s="49"/>
      <c r="F23" s="49"/>
      <c r="G23" s="49"/>
      <c r="H23" s="49"/>
      <c r="I23" s="49"/>
      <c r="J23" s="49"/>
      <c r="K23" s="49"/>
      <c r="L23" s="49"/>
      <c r="M23" s="49"/>
      <c r="N23" s="5156"/>
      <c r="O23" s="3953"/>
      <c r="AA23" s="2038"/>
      <c r="AB23" s="2038"/>
      <c r="AC23" s="2038"/>
      <c r="AD23" s="2038"/>
      <c r="AE23" s="2038"/>
      <c r="AF23" s="2038"/>
      <c r="AG23" s="2038"/>
      <c r="AH23" s="2038"/>
      <c r="AI23" s="2038"/>
      <c r="AJ23" s="2038"/>
      <c r="AK23" s="2038"/>
      <c r="AL23" s="2038"/>
      <c r="AN23" s="2050"/>
      <c r="AO23" s="2050"/>
      <c r="AP23" s="2038"/>
      <c r="AQ23" s="2038"/>
      <c r="AR23" s="2038"/>
      <c r="AS23" s="2038"/>
      <c r="AT23" s="2038"/>
      <c r="AU23" s="2038"/>
      <c r="AV23" s="2038"/>
    </row>
    <row r="24" spans="1:48">
      <c r="C24" s="1290" t="s">
        <v>171</v>
      </c>
      <c r="D24" s="61" t="s">
        <v>1814</v>
      </c>
      <c r="AA24" s="2038"/>
      <c r="AB24" s="2038"/>
      <c r="AC24" s="2038"/>
      <c r="AD24" s="2038"/>
      <c r="AE24" s="2038"/>
      <c r="AF24" s="2038"/>
      <c r="AG24" s="2038"/>
      <c r="AH24" s="2038"/>
      <c r="AI24" s="2038"/>
      <c r="AJ24" s="2038"/>
      <c r="AK24" s="2038"/>
      <c r="AL24" s="2038"/>
      <c r="AN24" s="2050"/>
      <c r="AO24" s="2050"/>
      <c r="AP24" s="2038"/>
      <c r="AQ24" s="2038"/>
      <c r="AR24" s="2038"/>
      <c r="AS24" s="2038"/>
      <c r="AT24" s="2038"/>
      <c r="AU24" s="2038"/>
      <c r="AV24" s="2038"/>
    </row>
    <row r="25" spans="1:48">
      <c r="D25" s="61" t="str">
        <f>"of your "&amp;TaxYear&amp;" return (including extensions) that allows you to work and is valid for EIC purposes?"</f>
        <v>of your 2023 return (including extensions) that allows you to work and is valid for EIC purposes?</v>
      </c>
      <c r="AA25" s="2038"/>
      <c r="AB25" s="2038"/>
      <c r="AC25" s="2038"/>
      <c r="AD25" s="2038"/>
      <c r="AE25" s="2038"/>
      <c r="AF25" s="2038"/>
      <c r="AG25" s="2038"/>
      <c r="AH25" s="2038"/>
      <c r="AI25" s="2038"/>
      <c r="AJ25" s="2038"/>
      <c r="AK25" s="2038"/>
      <c r="AL25" s="2038"/>
      <c r="AN25" s="2050"/>
      <c r="AO25" s="2050"/>
      <c r="AP25" s="2038"/>
      <c r="AQ25" s="2038"/>
      <c r="AR25" s="2038"/>
      <c r="AS25" s="2038"/>
      <c r="AT25" s="2038"/>
      <c r="AU25" s="2038"/>
      <c r="AV25" s="2038"/>
    </row>
    <row r="26" spans="1:48">
      <c r="AA26" s="2038"/>
      <c r="AB26" s="2038"/>
      <c r="AC26" s="2038"/>
      <c r="AD26" s="2038"/>
      <c r="AE26" s="2038"/>
      <c r="AF26" s="2038"/>
      <c r="AG26" s="2038"/>
      <c r="AH26" s="2038"/>
      <c r="AI26" s="2038"/>
      <c r="AJ26" s="2038"/>
      <c r="AK26" s="2038"/>
      <c r="AL26" s="2038"/>
      <c r="AN26" s="2050"/>
      <c r="AO26" s="2050"/>
      <c r="AP26" s="2038"/>
      <c r="AQ26" s="2038"/>
      <c r="AR26" s="2038"/>
      <c r="AS26" s="2038"/>
      <c r="AT26" s="2038"/>
      <c r="AU26" s="2038"/>
      <c r="AV26" s="2038"/>
    </row>
    <row r="27" spans="1:48">
      <c r="A27" s="805" t="b">
        <f>AND(A21,H27="",OR(AND(File_Marr_Joint&lt;&gt;"",SS_Yours&lt;&gt;"",SS_Spouse&lt;&gt;""),AND(File_Marr_Joint="",SS_Yours&lt;&gt;"")))</f>
        <v>0</v>
      </c>
      <c r="B27" s="1574" t="str">
        <f>IF(A27,"X","")</f>
        <v/>
      </c>
      <c r="D27" s="61" t="s">
        <v>1812</v>
      </c>
      <c r="G27" s="805" t="b">
        <f>AND(EIC_trigger,NOT(A27))</f>
        <v>0</v>
      </c>
      <c r="H27" s="941"/>
      <c r="J27" s="61" t="s">
        <v>1815</v>
      </c>
      <c r="AA27" s="2038"/>
      <c r="AB27" s="2038"/>
      <c r="AC27" s="2038"/>
      <c r="AD27" s="2038"/>
      <c r="AE27" s="2038"/>
      <c r="AF27" s="2038"/>
      <c r="AG27" s="2038"/>
      <c r="AH27" s="2038"/>
      <c r="AI27" s="2038"/>
      <c r="AJ27" s="2038"/>
      <c r="AK27" s="2038"/>
      <c r="AL27" s="2038"/>
      <c r="AN27" s="2050"/>
      <c r="AO27" s="2050"/>
      <c r="AP27" s="2038"/>
      <c r="AQ27" s="2038"/>
      <c r="AR27" s="2038"/>
      <c r="AS27" s="2038"/>
      <c r="AT27" s="2038"/>
      <c r="AU27" s="2038"/>
      <c r="AV27" s="2038"/>
    </row>
    <row r="28" spans="1:48">
      <c r="D28" s="1324" t="str">
        <f>IF(AND(H27="",OR(AND(File_Marr_Joint&lt;&gt;"",OR(SS_Yours="",SS_Spouse="")),SS_Yours="")),"If so, enter your social security","")</f>
        <v/>
      </c>
      <c r="J28" s="61" t="s">
        <v>1816</v>
      </c>
      <c r="AA28" s="2038"/>
      <c r="AB28" s="2038"/>
      <c r="AC28" s="2038"/>
      <c r="AD28" s="2038"/>
      <c r="AE28" s="2038"/>
      <c r="AF28" s="2038"/>
      <c r="AG28" s="2038"/>
      <c r="AH28" s="2038"/>
      <c r="AI28" s="2038"/>
      <c r="AJ28" s="2038"/>
      <c r="AK28" s="2038"/>
      <c r="AL28" s="2038"/>
      <c r="AN28" s="2050"/>
      <c r="AO28" s="2050"/>
      <c r="AP28" s="2038"/>
      <c r="AQ28" s="2038"/>
      <c r="AR28" s="2038"/>
      <c r="AS28" s="2038"/>
      <c r="AT28" s="2038"/>
      <c r="AU28" s="2038"/>
      <c r="AV28" s="2038"/>
    </row>
    <row r="29" spans="1:48" ht="6" customHeight="1">
      <c r="D29" s="1324" t="str">
        <f>IF(AND(H27="",OR(AND(File_Marr_Joint&lt;&gt;"",OR(SS_Yours="",SS_Spouse="")))),"numbers on the sheet labeled '1040'.",IF(AND(H27="",SS_Yours=""),"number on the sheet labeled '1040'.",""))</f>
        <v/>
      </c>
      <c r="AA29" s="2038"/>
      <c r="AB29" s="2038"/>
      <c r="AC29" s="2038"/>
      <c r="AD29" s="2038"/>
      <c r="AE29" s="2038"/>
      <c r="AF29" s="2038"/>
      <c r="AG29" s="2038"/>
      <c r="AH29" s="2038"/>
      <c r="AI29" s="2038"/>
      <c r="AJ29" s="2038"/>
      <c r="AK29" s="2038"/>
      <c r="AL29" s="2038"/>
      <c r="AN29" s="2050"/>
      <c r="AO29" s="2050"/>
      <c r="AP29" s="2038"/>
      <c r="AQ29" s="2038"/>
      <c r="AR29" s="2038"/>
      <c r="AS29" s="2038"/>
      <c r="AT29" s="2038"/>
      <c r="AU29" s="2038"/>
      <c r="AV29" s="2038"/>
    </row>
    <row r="30" spans="1:48" ht="8.25" customHeight="1">
      <c r="D30" s="49"/>
      <c r="E30" s="49"/>
      <c r="F30" s="49"/>
      <c r="G30" s="49"/>
      <c r="H30" s="49"/>
      <c r="I30" s="49"/>
      <c r="J30" s="49"/>
      <c r="K30" s="49"/>
      <c r="L30" s="49"/>
      <c r="M30" s="49"/>
      <c r="N30" s="5156"/>
      <c r="O30" s="3953"/>
      <c r="AA30" s="2038"/>
      <c r="AB30" s="2038"/>
      <c r="AC30" s="2038"/>
      <c r="AD30" s="2038"/>
      <c r="AE30" s="2038"/>
      <c r="AF30" s="2038"/>
      <c r="AG30" s="2038"/>
      <c r="AH30" s="2038"/>
      <c r="AI30" s="2038"/>
      <c r="AJ30" s="2038"/>
      <c r="AK30" s="2038"/>
      <c r="AL30" s="2038"/>
      <c r="AN30" s="2050"/>
      <c r="AO30" s="2050"/>
      <c r="AP30" s="2038"/>
      <c r="AQ30" s="2038"/>
      <c r="AR30" s="2038"/>
      <c r="AS30" s="2038"/>
      <c r="AT30" s="2038"/>
      <c r="AU30" s="2038"/>
      <c r="AV30" s="2038"/>
    </row>
    <row r="31" spans="1:48">
      <c r="C31" s="1299" t="s">
        <v>177</v>
      </c>
      <c r="D31" s="61" t="s">
        <v>1817</v>
      </c>
      <c r="AA31" s="2038"/>
      <c r="AB31" s="2038"/>
      <c r="AC31" s="2038"/>
      <c r="AD31" s="2038"/>
      <c r="AE31" s="2038"/>
      <c r="AF31" s="2038"/>
      <c r="AG31" s="2038"/>
      <c r="AH31" s="2038"/>
      <c r="AI31" s="2038"/>
      <c r="AJ31" s="2038"/>
      <c r="AK31" s="2038"/>
      <c r="AL31" s="2038"/>
      <c r="AN31" s="2050"/>
      <c r="AO31" s="2050"/>
      <c r="AP31" s="2038"/>
      <c r="AQ31" s="2038"/>
      <c r="AR31" s="2038"/>
      <c r="AS31" s="2038"/>
      <c r="AT31" s="2038"/>
      <c r="AU31" s="2038"/>
      <c r="AV31" s="2038"/>
    </row>
    <row r="32" spans="1:48">
      <c r="AA32" s="2038"/>
      <c r="AB32" s="2038"/>
      <c r="AC32" s="2038"/>
      <c r="AD32" s="2038"/>
      <c r="AE32" s="2038"/>
      <c r="AF32" s="2038"/>
      <c r="AG32" s="2038"/>
      <c r="AH32" s="2038"/>
      <c r="AI32" s="2038"/>
      <c r="AJ32" s="2038"/>
      <c r="AK32" s="2038"/>
      <c r="AL32" s="2038"/>
      <c r="AN32" s="2050"/>
      <c r="AO32" s="2050"/>
      <c r="AP32" s="2038"/>
      <c r="AQ32" s="2038"/>
      <c r="AR32" s="2038"/>
      <c r="AS32" s="2038"/>
      <c r="AT32" s="2038"/>
      <c r="AU32" s="2038"/>
      <c r="AV32" s="2038"/>
    </row>
    <row r="33" spans="1:48">
      <c r="A33" s="805" t="b">
        <f>AND(A27,Form2555_Used)</f>
        <v>0</v>
      </c>
      <c r="B33" s="1575" t="str">
        <f>IF(A33,"X","")</f>
        <v/>
      </c>
      <c r="D33" s="61" t="s">
        <v>1818</v>
      </c>
      <c r="H33" s="1575" t="str">
        <f>IF(M33,"X","")</f>
        <v/>
      </c>
      <c r="J33" s="61" t="s">
        <v>1819</v>
      </c>
      <c r="M33" s="805" t="b">
        <f>AND(A27,NOT(A33))</f>
        <v>0</v>
      </c>
      <c r="AA33" s="2038"/>
      <c r="AB33" s="2038"/>
      <c r="AC33" s="2038"/>
      <c r="AD33" s="2038"/>
      <c r="AE33" s="2038"/>
      <c r="AF33" s="2038"/>
      <c r="AG33" s="2038"/>
      <c r="AH33" s="2038"/>
      <c r="AI33" s="2038"/>
      <c r="AJ33" s="2038"/>
      <c r="AK33" s="2038"/>
      <c r="AL33" s="2038"/>
      <c r="AN33" s="2050"/>
      <c r="AO33" s="2050"/>
      <c r="AP33" s="2038"/>
      <c r="AQ33" s="2038"/>
      <c r="AR33" s="2038"/>
      <c r="AS33" s="2038"/>
      <c r="AT33" s="2038"/>
      <c r="AU33" s="2038"/>
      <c r="AV33" s="2038"/>
    </row>
    <row r="34" spans="1:48">
      <c r="AA34" s="2038"/>
      <c r="AB34" s="2038"/>
      <c r="AC34" s="2038"/>
      <c r="AD34" s="2038"/>
      <c r="AE34" s="2038"/>
      <c r="AF34" s="2038"/>
      <c r="AG34" s="2038"/>
      <c r="AH34" s="2038"/>
      <c r="AI34" s="2038"/>
      <c r="AJ34" s="2038"/>
      <c r="AK34" s="2038"/>
      <c r="AL34" s="2038"/>
      <c r="AN34" s="2050"/>
      <c r="AO34" s="2050"/>
      <c r="AP34" s="2038"/>
      <c r="AQ34" s="2038"/>
      <c r="AR34" s="2038"/>
      <c r="AS34" s="2038"/>
      <c r="AT34" s="2038"/>
      <c r="AU34" s="2038"/>
      <c r="AV34" s="2038"/>
    </row>
    <row r="35" spans="1:48" ht="8.25" customHeight="1">
      <c r="D35" s="49"/>
      <c r="E35" s="49"/>
      <c r="F35" s="49"/>
      <c r="G35" s="49"/>
      <c r="H35" s="49"/>
      <c r="I35" s="49"/>
      <c r="J35" s="49"/>
      <c r="K35" s="49"/>
      <c r="L35" s="49"/>
      <c r="M35" s="49"/>
      <c r="N35" s="5156"/>
      <c r="O35" s="3953"/>
      <c r="AA35" s="2038"/>
      <c r="AB35" s="2038"/>
      <c r="AC35" s="2038"/>
      <c r="AD35" s="2038"/>
      <c r="AE35" s="2038"/>
      <c r="AF35" s="2038"/>
      <c r="AG35" s="2038"/>
      <c r="AH35" s="2038"/>
      <c r="AI35" s="2038"/>
      <c r="AJ35" s="2038"/>
      <c r="AK35" s="2038"/>
      <c r="AL35" s="2038"/>
      <c r="AN35" s="2050"/>
      <c r="AO35" s="2050"/>
      <c r="AP35" s="2038"/>
      <c r="AQ35" s="2038"/>
      <c r="AR35" s="2038"/>
      <c r="AS35" s="2038"/>
      <c r="AT35" s="2038"/>
      <c r="AU35" s="2038"/>
      <c r="AV35" s="2038"/>
    </row>
    <row r="36" spans="1:48">
      <c r="C36" s="1290" t="s">
        <v>182</v>
      </c>
      <c r="D36" s="61" t="str">
        <f>"Were you or your spouse a nonresident alien for any part of "&amp;TaxYear&amp;"?"</f>
        <v>Were you or your spouse a nonresident alien for any part of 2023?</v>
      </c>
      <c r="AA36" s="2038"/>
      <c r="AB36" s="2038"/>
      <c r="AC36" s="2038"/>
      <c r="AD36" s="2038"/>
      <c r="AE36" s="2038"/>
      <c r="AF36" s="2038"/>
      <c r="AG36" s="2038"/>
      <c r="AH36" s="2038"/>
      <c r="AI36" s="2038"/>
      <c r="AJ36" s="2038"/>
      <c r="AK36" s="2038"/>
      <c r="AL36" s="2038"/>
      <c r="AN36" s="2050"/>
      <c r="AO36" s="2050"/>
      <c r="AP36" s="2038"/>
      <c r="AQ36" s="2038"/>
      <c r="AR36" s="2038"/>
      <c r="AS36" s="2038"/>
      <c r="AT36" s="2038"/>
      <c r="AU36" s="2038"/>
      <c r="AV36" s="2038"/>
    </row>
    <row r="37" spans="1:48">
      <c r="AA37" s="2038"/>
      <c r="AB37" s="2038"/>
      <c r="AC37" s="2038"/>
      <c r="AD37" s="2038"/>
      <c r="AE37" s="2038"/>
      <c r="AF37" s="2038"/>
      <c r="AG37" s="2038"/>
      <c r="AH37" s="2038"/>
      <c r="AI37" s="2038"/>
      <c r="AJ37" s="2038"/>
      <c r="AK37" s="2038"/>
      <c r="AL37" s="2038"/>
      <c r="AN37" s="2050"/>
      <c r="AO37" s="2050"/>
      <c r="AP37" s="2038"/>
      <c r="AQ37" s="2038"/>
      <c r="AR37" s="2038"/>
      <c r="AS37" s="2038"/>
      <c r="AT37" s="2038"/>
      <c r="AU37" s="2038"/>
      <c r="AV37" s="2038"/>
    </row>
    <row r="38" spans="1:48">
      <c r="A38" s="805" t="b">
        <f>OR(B38&lt;&gt;"",H38&lt;&gt;"")</f>
        <v>1</v>
      </c>
      <c r="B38" s="941"/>
      <c r="D38" s="23" t="s">
        <v>1069</v>
      </c>
      <c r="H38" s="1574" t="str">
        <f>IF(B38="","X","")</f>
        <v>X</v>
      </c>
      <c r="J38" s="61" t="s">
        <v>5863</v>
      </c>
      <c r="M38" s="3953"/>
      <c r="AA38" s="2038"/>
      <c r="AB38" s="2038"/>
      <c r="AC38" s="2038"/>
      <c r="AD38" s="2038"/>
      <c r="AE38" s="2038"/>
      <c r="AF38" s="2038"/>
      <c r="AG38" s="2038"/>
      <c r="AH38" s="2038"/>
      <c r="AI38" s="2038"/>
      <c r="AJ38" s="2038"/>
      <c r="AK38" s="2038"/>
      <c r="AL38" s="2038"/>
      <c r="AN38" s="2050"/>
      <c r="AO38" s="2050"/>
      <c r="AP38" s="2038"/>
      <c r="AQ38" s="2038"/>
      <c r="AR38" s="2038"/>
      <c r="AS38" s="2038"/>
      <c r="AT38" s="2038"/>
      <c r="AU38" s="2038"/>
      <c r="AV38" s="2038"/>
    </row>
    <row r="39" spans="1:48">
      <c r="D39" s="22" t="s">
        <v>1820</v>
      </c>
      <c r="AA39" s="2038"/>
      <c r="AB39" s="2038"/>
      <c r="AC39" s="2038"/>
      <c r="AD39" s="2038"/>
      <c r="AE39" s="2038"/>
      <c r="AF39" s="2038"/>
      <c r="AG39" s="2038"/>
      <c r="AH39" s="2038"/>
      <c r="AI39" s="2038"/>
      <c r="AJ39" s="2038"/>
      <c r="AK39" s="2038"/>
      <c r="AL39" s="2038"/>
      <c r="AN39" s="2050"/>
      <c r="AO39" s="2050"/>
      <c r="AP39" s="2038"/>
      <c r="AQ39" s="2038"/>
      <c r="AR39" s="2038"/>
      <c r="AS39" s="2038"/>
      <c r="AT39" s="2038"/>
      <c r="AU39" s="2038"/>
      <c r="AV39" s="2038"/>
    </row>
    <row r="40" spans="1:48">
      <c r="A40" s="805" t="b">
        <f>OR(G21,G27,A33)</f>
        <v>0</v>
      </c>
      <c r="D40" s="22" t="s">
        <v>1821</v>
      </c>
      <c r="AA40" s="2038"/>
      <c r="AB40" s="2038"/>
      <c r="AC40" s="2038"/>
      <c r="AD40" s="2038"/>
      <c r="AE40" s="2038"/>
      <c r="AF40" s="2038"/>
      <c r="AG40" s="2038"/>
      <c r="AH40" s="2038"/>
      <c r="AI40" s="2038"/>
      <c r="AJ40" s="2038"/>
      <c r="AK40" s="2038"/>
      <c r="AL40" s="2038"/>
      <c r="AN40" s="2050"/>
      <c r="AO40" s="2050"/>
      <c r="AP40" s="2038"/>
      <c r="AQ40" s="2038"/>
      <c r="AR40" s="2038"/>
      <c r="AS40" s="2038"/>
      <c r="AT40" s="2038"/>
      <c r="AU40" s="2038"/>
      <c r="AV40" s="2038"/>
    </row>
    <row r="41" spans="1:48">
      <c r="AA41" s="2038"/>
      <c r="AB41" s="2038"/>
      <c r="AC41" s="2038"/>
      <c r="AD41" s="2038"/>
      <c r="AE41" s="2038"/>
      <c r="AF41" s="2038"/>
      <c r="AG41" s="2038"/>
      <c r="AH41" s="2038"/>
      <c r="AI41" s="2038"/>
      <c r="AJ41" s="2038"/>
      <c r="AK41" s="2038"/>
      <c r="AL41" s="2038"/>
      <c r="AN41" s="2050"/>
      <c r="AO41" s="2050"/>
      <c r="AP41" s="2038"/>
      <c r="AQ41" s="2038"/>
      <c r="AR41" s="2038"/>
      <c r="AS41" s="2038"/>
      <c r="AT41" s="2038"/>
      <c r="AU41" s="2038"/>
      <c r="AV41" s="2038"/>
    </row>
    <row r="42" spans="1:48" s="1293" customFormat="1">
      <c r="B42" s="1292"/>
      <c r="N42" s="1294"/>
      <c r="AA42" s="2051"/>
      <c r="AB42" s="2051"/>
      <c r="AC42" s="2051"/>
      <c r="AD42" s="2051"/>
      <c r="AE42" s="2051"/>
      <c r="AF42" s="2051"/>
      <c r="AG42" s="2051"/>
      <c r="AH42" s="2051"/>
      <c r="AI42" s="2051"/>
      <c r="AJ42" s="2051"/>
      <c r="AK42" s="2051"/>
      <c r="AL42" s="2051"/>
      <c r="AN42" s="2052"/>
      <c r="AO42" s="2052"/>
      <c r="AP42" s="2051"/>
      <c r="AQ42" s="2051"/>
      <c r="AR42" s="2051"/>
      <c r="AS42" s="2051"/>
      <c r="AT42" s="2051"/>
      <c r="AU42" s="2051"/>
      <c r="AV42" s="2051"/>
    </row>
    <row r="43" spans="1:48" s="109" customFormat="1" ht="15.75">
      <c r="A43" s="1308" t="s">
        <v>1822</v>
      </c>
      <c r="B43" s="1309" t="s">
        <v>1823</v>
      </c>
      <c r="C43" s="1286"/>
      <c r="N43" s="1287"/>
      <c r="AA43" s="2048"/>
      <c r="AB43" s="2048"/>
      <c r="AC43" s="2048"/>
      <c r="AD43" s="2048"/>
      <c r="AE43" s="2048"/>
      <c r="AF43" s="2048"/>
      <c r="AG43" s="2048"/>
      <c r="AH43" s="2048"/>
      <c r="AI43" s="2048"/>
      <c r="AJ43" s="2048"/>
      <c r="AK43" s="2048"/>
      <c r="AL43" s="2048"/>
      <c r="AN43" s="2049"/>
      <c r="AO43" s="2049"/>
      <c r="AP43" s="2048"/>
      <c r="AQ43" s="2048"/>
      <c r="AR43" s="2048"/>
      <c r="AS43" s="2048"/>
      <c r="AT43" s="2048"/>
      <c r="AU43" s="2048"/>
      <c r="AV43" s="2048"/>
    </row>
    <row r="44" spans="1:48">
      <c r="A44" s="872"/>
      <c r="B44" s="872"/>
      <c r="C44" s="872"/>
      <c r="AA44" s="2038"/>
      <c r="AB44" s="2038"/>
      <c r="AC44" s="2038"/>
      <c r="AD44" s="2038"/>
      <c r="AE44" s="2038"/>
      <c r="AF44" s="2038"/>
      <c r="AG44" s="2038"/>
      <c r="AH44" s="2038"/>
      <c r="AI44" s="2038"/>
      <c r="AJ44" s="2038"/>
      <c r="AK44" s="2038"/>
      <c r="AL44" s="2038"/>
      <c r="AN44" s="2050"/>
      <c r="AO44" s="2050"/>
      <c r="AP44" s="2038"/>
      <c r="AQ44" s="2038"/>
      <c r="AR44" s="2038"/>
      <c r="AS44" s="2038"/>
      <c r="AT44" s="2038"/>
      <c r="AU44" s="2038"/>
      <c r="AV44" s="2038"/>
    </row>
    <row r="45" spans="1:48">
      <c r="C45" s="1290" t="s">
        <v>167</v>
      </c>
      <c r="D45" s="61" t="s">
        <v>1824</v>
      </c>
      <c r="AA45" s="2038"/>
      <c r="AB45" s="2038"/>
      <c r="AC45" s="2038"/>
      <c r="AD45" s="2038"/>
      <c r="AE45" s="2038"/>
      <c r="AF45" s="2038"/>
      <c r="AG45" s="2038"/>
      <c r="AH45" s="2038"/>
      <c r="AI45" s="2038"/>
      <c r="AJ45" s="2038"/>
      <c r="AK45" s="2038"/>
      <c r="AL45" s="2038"/>
      <c r="AN45" s="2050"/>
      <c r="AO45" s="2050"/>
      <c r="AP45" s="2038"/>
      <c r="AQ45" s="2038"/>
      <c r="AR45" s="2038"/>
      <c r="AS45" s="2038"/>
      <c r="AT45" s="2038"/>
      <c r="AU45" s="2038"/>
      <c r="AV45" s="2038"/>
    </row>
    <row r="46" spans="1:48">
      <c r="C46" s="1290"/>
      <c r="AA46" s="2038"/>
      <c r="AB46" s="2038"/>
      <c r="AC46" s="2038"/>
      <c r="AD46" s="2038"/>
      <c r="AE46" s="2038"/>
      <c r="AF46" s="2038"/>
      <c r="AG46" s="2038"/>
      <c r="AH46" s="2038"/>
      <c r="AI46" s="2038"/>
      <c r="AJ46" s="2038"/>
      <c r="AK46" s="2038"/>
      <c r="AL46" s="2038"/>
      <c r="AN46" s="2050"/>
      <c r="AO46" s="2050"/>
      <c r="AP46" s="2038"/>
      <c r="AQ46" s="2038"/>
      <c r="AR46" s="2038"/>
      <c r="AS46" s="2038"/>
      <c r="AT46" s="2038"/>
      <c r="AU46" s="2038"/>
      <c r="AV46" s="2038"/>
    </row>
    <row r="47" spans="1:48">
      <c r="C47" s="1290"/>
      <c r="D47" s="705" t="s">
        <v>1825</v>
      </c>
      <c r="E47" s="1295">
        <f>IF(EIC_Check,"",TaxExemptInt)</f>
        <v>0</v>
      </c>
      <c r="AA47" s="2038"/>
      <c r="AB47" s="2038"/>
      <c r="AC47" s="2038"/>
      <c r="AD47" s="2038"/>
      <c r="AE47" s="2038"/>
      <c r="AF47" s="2038"/>
      <c r="AG47" s="2038"/>
      <c r="AH47" s="2038"/>
      <c r="AI47" s="2038"/>
      <c r="AJ47" s="2038"/>
      <c r="AK47" s="2038"/>
      <c r="AL47" s="2038"/>
      <c r="AN47" s="2050"/>
      <c r="AO47" s="2050"/>
      <c r="AP47" s="2038"/>
      <c r="AQ47" s="2038"/>
      <c r="AR47" s="2038"/>
      <c r="AS47" s="2038"/>
      <c r="AT47" s="2038"/>
      <c r="AU47" s="2038"/>
      <c r="AV47" s="2038"/>
    </row>
    <row r="48" spans="1:48">
      <c r="C48" s="1290"/>
      <c r="D48" s="1299" t="s">
        <v>1826</v>
      </c>
      <c r="E48" s="1295">
        <f>IF(OR(NOT(EIC_Started),EIC_Check),"",TaxableInterest)</f>
        <v>0</v>
      </c>
      <c r="AA48" s="2038"/>
      <c r="AB48" s="2038"/>
      <c r="AC48" s="2038"/>
      <c r="AD48" s="2038"/>
      <c r="AE48" s="2038"/>
      <c r="AF48" s="2038"/>
      <c r="AG48" s="2038"/>
      <c r="AH48" s="2038"/>
      <c r="AI48" s="2038"/>
      <c r="AJ48" s="2038"/>
      <c r="AK48" s="2038"/>
      <c r="AL48" s="2038"/>
      <c r="AN48" s="2050"/>
      <c r="AO48" s="2050"/>
      <c r="AP48" s="2038"/>
      <c r="AQ48" s="2038"/>
      <c r="AR48" s="2038"/>
      <c r="AS48" s="2038"/>
      <c r="AT48" s="2038"/>
      <c r="AU48" s="2038"/>
      <c r="AV48" s="2038"/>
    </row>
    <row r="49" spans="1:48">
      <c r="C49" s="1290"/>
      <c r="D49" s="1299" t="s">
        <v>1827</v>
      </c>
      <c r="E49" s="1295">
        <f>IF(OR(NOT(EIC_Started),EIC_Check),"",OrdinaryDividends)</f>
        <v>0</v>
      </c>
      <c r="AA49" s="2038"/>
      <c r="AB49" s="2038"/>
      <c r="AC49" s="2038"/>
      <c r="AD49" s="2038"/>
      <c r="AE49" s="2038"/>
      <c r="AF49" s="2038"/>
      <c r="AG49" s="2038"/>
      <c r="AH49" s="2038"/>
      <c r="AI49" s="2038"/>
      <c r="AJ49" s="2038"/>
      <c r="AK49" s="2038"/>
      <c r="AL49" s="2038"/>
      <c r="AN49" s="2050"/>
      <c r="AO49" s="2050"/>
      <c r="AP49" s="2038"/>
      <c r="AQ49" s="2038"/>
      <c r="AR49" s="2038"/>
      <c r="AS49" s="2038"/>
      <c r="AT49" s="2038"/>
      <c r="AU49" s="2038"/>
      <c r="AV49" s="2038"/>
    </row>
    <row r="50" spans="1:48">
      <c r="C50" s="1290"/>
      <c r="D50" s="1299" t="s">
        <v>1828</v>
      </c>
      <c r="E50" s="1295">
        <f>IF(OR(NOT(EIC_Started),EIC_Check),"",MAX(0,CapitalGains))</f>
        <v>0</v>
      </c>
      <c r="AA50" s="2038"/>
      <c r="AB50" s="2038"/>
      <c r="AC50" s="2038"/>
      <c r="AD50" s="2038"/>
      <c r="AE50" s="2038"/>
      <c r="AF50" s="2038"/>
      <c r="AG50" s="2038"/>
      <c r="AH50" s="2038"/>
      <c r="AI50" s="2038"/>
      <c r="AJ50" s="2038"/>
      <c r="AK50" s="2038"/>
      <c r="AL50" s="2038"/>
      <c r="AN50" s="2050"/>
      <c r="AO50" s="2050"/>
      <c r="AP50" s="2038"/>
      <c r="AQ50" s="2038"/>
      <c r="AR50" s="2038"/>
      <c r="AS50" s="2038"/>
      <c r="AT50" s="2038"/>
      <c r="AU50" s="2038"/>
      <c r="AV50" s="2038"/>
    </row>
    <row r="51" spans="1:48">
      <c r="C51" s="1290"/>
      <c r="G51" s="61" t="s">
        <v>867</v>
      </c>
      <c r="AA51" s="2038"/>
      <c r="AB51" s="2038"/>
      <c r="AC51" s="2038"/>
      <c r="AD51" s="2038"/>
      <c r="AE51" s="2038"/>
      <c r="AF51" s="2038"/>
      <c r="AG51" s="2038"/>
      <c r="AH51" s="2038"/>
      <c r="AI51" s="2038"/>
      <c r="AJ51" s="2038"/>
      <c r="AK51" s="2038"/>
      <c r="AL51" s="2038"/>
      <c r="AN51" s="2050"/>
      <c r="AO51" s="2050"/>
      <c r="AP51" s="2038"/>
      <c r="AQ51" s="2038"/>
      <c r="AR51" s="2038"/>
      <c r="AS51" s="2038"/>
      <c r="AT51" s="2038"/>
      <c r="AU51" s="2038"/>
      <c r="AV51" s="2038"/>
    </row>
    <row r="52" spans="1:48">
      <c r="C52" s="1290"/>
      <c r="D52" s="705" t="s">
        <v>1829</v>
      </c>
      <c r="E52" s="1296">
        <f>IF(G52&lt;&gt;"",ROUND(G52,0),SUM(E47:E50))</f>
        <v>0</v>
      </c>
      <c r="G52" s="4840"/>
      <c r="AA52" s="2038"/>
      <c r="AB52" s="2038"/>
      <c r="AC52" s="2038"/>
      <c r="AD52" s="2038"/>
      <c r="AE52" s="2038"/>
      <c r="AF52" s="2038"/>
      <c r="AG52" s="2038"/>
      <c r="AH52" s="2038"/>
      <c r="AI52" s="2038"/>
      <c r="AJ52" s="2038"/>
      <c r="AK52" s="2038"/>
      <c r="AL52" s="2038"/>
      <c r="AN52" s="2050"/>
      <c r="AO52" s="2050"/>
      <c r="AP52" s="2038"/>
      <c r="AQ52" s="2038"/>
      <c r="AR52" s="2038"/>
      <c r="AS52" s="2038"/>
      <c r="AT52" s="2038"/>
      <c r="AU52" s="2038"/>
      <c r="AV52" s="2038"/>
    </row>
    <row r="53" spans="1:48">
      <c r="AA53" s="2038"/>
      <c r="AB53" s="2038"/>
      <c r="AC53" s="2038"/>
      <c r="AD53" s="2038"/>
      <c r="AE53" s="2038"/>
      <c r="AF53" s="2038"/>
      <c r="AG53" s="2038"/>
      <c r="AH53" s="2038"/>
      <c r="AI53" s="2038"/>
      <c r="AJ53" s="2038"/>
      <c r="AK53" s="2038"/>
      <c r="AL53" s="2038"/>
      <c r="AN53" s="2050"/>
      <c r="AO53" s="2050"/>
      <c r="AP53" s="2038"/>
      <c r="AQ53" s="2038"/>
      <c r="AR53" s="2038"/>
      <c r="AS53" s="2038"/>
      <c r="AT53" s="2038"/>
      <c r="AU53" s="2038"/>
      <c r="AV53" s="2038"/>
    </row>
    <row r="54" spans="1:48">
      <c r="C54" s="61" t="s">
        <v>1830</v>
      </c>
      <c r="AA54" s="2038"/>
      <c r="AB54" s="2038"/>
      <c r="AC54" s="2038"/>
      <c r="AD54" s="2038"/>
      <c r="AE54" s="2038"/>
      <c r="AF54" s="2038"/>
      <c r="AG54" s="2038"/>
      <c r="AH54" s="2038"/>
      <c r="AI54" s="2038"/>
      <c r="AJ54" s="2038"/>
      <c r="AK54" s="2038"/>
      <c r="AL54" s="2038"/>
      <c r="AN54" s="2050"/>
      <c r="AO54" s="2050"/>
      <c r="AP54" s="2038"/>
      <c r="AQ54" s="2038"/>
      <c r="AR54" s="2038"/>
      <c r="AS54" s="2038"/>
      <c r="AT54" s="2038"/>
      <c r="AU54" s="2038"/>
      <c r="AV54" s="2038"/>
    </row>
    <row r="55" spans="1:48" ht="12.75" customHeight="1">
      <c r="AA55" s="2038"/>
      <c r="AB55" s="2038"/>
      <c r="AC55" s="2038"/>
      <c r="AD55" s="2038"/>
      <c r="AE55" s="2038"/>
      <c r="AF55" s="2038"/>
      <c r="AG55" s="2038"/>
      <c r="AH55" s="2038"/>
      <c r="AI55" s="2038"/>
      <c r="AJ55" s="2038"/>
      <c r="AK55" s="2038"/>
      <c r="AL55" s="2038"/>
      <c r="AN55" s="2050"/>
      <c r="AO55" s="2050"/>
      <c r="AP55" s="2038"/>
      <c r="AQ55" s="2038"/>
      <c r="AR55" s="2038"/>
      <c r="AS55" s="2038"/>
      <c r="AT55" s="2038"/>
      <c r="AU55" s="2038"/>
      <c r="AV55" s="2038"/>
    </row>
    <row r="56" spans="1:48" ht="8.25" customHeight="1">
      <c r="D56" s="49"/>
      <c r="E56" s="49"/>
      <c r="F56" s="49"/>
      <c r="G56" s="49"/>
      <c r="H56" s="49"/>
      <c r="I56" s="49"/>
      <c r="J56" s="49"/>
      <c r="K56" s="49"/>
      <c r="L56" s="49"/>
      <c r="M56" s="49"/>
      <c r="N56" s="5156"/>
      <c r="O56" s="3953"/>
      <c r="AA56" s="2038"/>
      <c r="AB56" s="2038"/>
      <c r="AC56" s="2038"/>
      <c r="AD56" s="2038"/>
      <c r="AE56" s="2038"/>
      <c r="AF56" s="2038"/>
      <c r="AG56" s="2038"/>
      <c r="AH56" s="2038"/>
      <c r="AI56" s="2038"/>
      <c r="AJ56" s="2038"/>
      <c r="AK56" s="2038"/>
      <c r="AL56" s="2038"/>
      <c r="AN56" s="2050"/>
      <c r="AO56" s="2050"/>
      <c r="AP56" s="2038"/>
      <c r="AQ56" s="2038"/>
      <c r="AR56" s="2038"/>
      <c r="AS56" s="2038"/>
      <c r="AT56" s="2038"/>
      <c r="AU56" s="2038"/>
      <c r="AV56" s="2038"/>
    </row>
    <row r="57" spans="1:48">
      <c r="C57" s="1290" t="s">
        <v>171</v>
      </c>
      <c r="D57" s="22" t="str">
        <f>"Is your investment income more than "&amp;TEXT(N57,"$0,000")&amp;"?"</f>
        <v>Is your investment income more than $11,000?</v>
      </c>
      <c r="N57" s="13">
        <v>11000</v>
      </c>
      <c r="AA57" s="2038"/>
      <c r="AB57" s="2038"/>
      <c r="AC57" s="2038"/>
      <c r="AD57" s="2038"/>
      <c r="AE57" s="2038"/>
      <c r="AF57" s="2038"/>
      <c r="AG57" s="2038"/>
      <c r="AH57" s="2038"/>
      <c r="AI57" s="2038"/>
      <c r="AJ57" s="2038"/>
      <c r="AK57" s="2038"/>
      <c r="AL57" s="2038"/>
      <c r="AN57" s="2050"/>
      <c r="AO57" s="2050"/>
      <c r="AP57" s="2038"/>
      <c r="AQ57" s="2038"/>
      <c r="AR57" s="2038"/>
      <c r="AS57" s="2038"/>
      <c r="AT57" s="2038"/>
      <c r="AU57" s="2038"/>
      <c r="AV57" s="2038"/>
    </row>
    <row r="58" spans="1:48">
      <c r="AA58" s="2038"/>
      <c r="AB58" s="2038"/>
      <c r="AC58" s="2038"/>
      <c r="AD58" s="2038"/>
      <c r="AE58" s="2038"/>
      <c r="AF58" s="2038"/>
      <c r="AG58" s="2038"/>
      <c r="AH58" s="2038"/>
      <c r="AI58" s="2038"/>
      <c r="AJ58" s="2038"/>
      <c r="AK58" s="2038"/>
      <c r="AL58" s="2038"/>
      <c r="AN58" s="2050"/>
      <c r="AO58" s="2050"/>
      <c r="AP58" s="2038"/>
      <c r="AQ58" s="2038"/>
      <c r="AR58" s="2038"/>
      <c r="AS58" s="2038"/>
      <c r="AT58" s="2038"/>
      <c r="AU58" s="2038"/>
      <c r="AV58" s="2038"/>
    </row>
    <row r="59" spans="1:48">
      <c r="A59" s="805" t="b">
        <f>B59&lt;&gt;""</f>
        <v>0</v>
      </c>
      <c r="B59" s="1575" t="str">
        <f>IF(E52&gt;N57,"X","")</f>
        <v/>
      </c>
      <c r="D59" s="61" t="s">
        <v>1831</v>
      </c>
      <c r="H59" s="1575" t="str">
        <f>IF(OR(NOT(EIC_trigger),E52&gt;N57),"","X")</f>
        <v/>
      </c>
      <c r="J59" s="61" t="s">
        <v>1832</v>
      </c>
      <c r="N59" s="805" t="b">
        <f>H59&lt;&gt;""</f>
        <v>0</v>
      </c>
      <c r="AA59" s="2038"/>
      <c r="AB59" s="2038"/>
      <c r="AC59" s="2038"/>
      <c r="AD59" s="2038"/>
      <c r="AE59" s="2038"/>
      <c r="AF59" s="2038"/>
      <c r="AG59" s="2038"/>
      <c r="AH59" s="2038"/>
      <c r="AI59" s="2038"/>
      <c r="AJ59" s="2038"/>
      <c r="AK59" s="2038"/>
      <c r="AL59" s="2038"/>
      <c r="AN59" s="2050"/>
      <c r="AO59" s="2050"/>
      <c r="AP59" s="2038"/>
      <c r="AQ59" s="2038"/>
      <c r="AR59" s="2038"/>
      <c r="AS59" s="2038"/>
      <c r="AT59" s="2038"/>
      <c r="AU59" s="2038"/>
      <c r="AV59" s="2038"/>
    </row>
    <row r="60" spans="1:48" ht="12.75" customHeight="1">
      <c r="AA60" s="2038"/>
      <c r="AB60" s="2038"/>
      <c r="AC60" s="2038"/>
      <c r="AD60" s="2038"/>
      <c r="AE60" s="2038"/>
      <c r="AF60" s="2038"/>
      <c r="AG60" s="2038"/>
      <c r="AH60" s="2038"/>
      <c r="AI60" s="2038"/>
      <c r="AJ60" s="2038"/>
      <c r="AK60" s="2038"/>
      <c r="AL60" s="2038"/>
      <c r="AN60" s="2050"/>
      <c r="AO60" s="2050"/>
      <c r="AP60" s="2038"/>
      <c r="AQ60" s="2038"/>
      <c r="AR60" s="2038"/>
      <c r="AS60" s="2038"/>
      <c r="AT60" s="2038"/>
      <c r="AU60" s="2038"/>
      <c r="AV60" s="2038"/>
    </row>
    <row r="61" spans="1:48" ht="8.25" customHeight="1">
      <c r="D61" s="49"/>
      <c r="E61" s="49"/>
      <c r="F61" s="49"/>
      <c r="G61" s="49"/>
      <c r="H61" s="49"/>
      <c r="I61" s="49"/>
      <c r="J61" s="49"/>
      <c r="K61" s="49"/>
      <c r="L61" s="49"/>
      <c r="M61" s="49"/>
      <c r="N61" s="5156"/>
      <c r="O61" s="3953"/>
      <c r="AA61" s="2038"/>
      <c r="AB61" s="2038"/>
      <c r="AC61" s="2038"/>
      <c r="AD61" s="2038"/>
      <c r="AE61" s="2038"/>
      <c r="AF61" s="2038"/>
      <c r="AG61" s="2038"/>
      <c r="AH61" s="2038"/>
      <c r="AI61" s="2038"/>
      <c r="AJ61" s="2038"/>
      <c r="AK61" s="2038"/>
      <c r="AL61" s="2038"/>
      <c r="AN61" s="2050"/>
      <c r="AO61" s="2050"/>
      <c r="AP61" s="2038"/>
      <c r="AQ61" s="2038"/>
      <c r="AR61" s="2038"/>
      <c r="AS61" s="2038"/>
      <c r="AT61" s="2038"/>
      <c r="AU61" s="2038"/>
      <c r="AV61" s="2038"/>
    </row>
    <row r="62" spans="1:48">
      <c r="A62" s="6991" t="str">
        <f>IF(NoEICredit,"",IF(H59&lt;&gt;"","Skip",""))</f>
        <v/>
      </c>
      <c r="B62" s="6992"/>
      <c r="C62" s="1290" t="s">
        <v>177</v>
      </c>
      <c r="D62" s="22" t="s">
        <v>1833</v>
      </c>
      <c r="N62" s="264" t="str">
        <f>IF(A59,"Form 4797 filers. If the amount on Form 1040 or 1040-SR,","")</f>
        <v/>
      </c>
      <c r="O62" s="49"/>
      <c r="P62" s="49"/>
      <c r="Q62" s="49"/>
      <c r="R62" s="49"/>
      <c r="S62" s="49"/>
      <c r="T62" s="49"/>
      <c r="U62" s="49"/>
      <c r="V62" s="49"/>
      <c r="W62" s="49"/>
      <c r="X62" s="49"/>
      <c r="Y62" s="47"/>
      <c r="AA62" s="2038"/>
      <c r="AB62" s="2038"/>
      <c r="AC62" s="2038"/>
      <c r="AD62" s="2038"/>
      <c r="AE62" s="2038"/>
      <c r="AF62" s="2038"/>
      <c r="AG62" s="2038"/>
      <c r="AH62" s="2038"/>
      <c r="AI62" s="2038"/>
      <c r="AJ62" s="2038"/>
      <c r="AK62" s="2038"/>
      <c r="AL62" s="2038"/>
      <c r="AN62" s="2050"/>
      <c r="AO62" s="2050"/>
      <c r="AP62" s="2038"/>
      <c r="AQ62" s="2038"/>
      <c r="AR62" s="2038"/>
      <c r="AS62" s="2038"/>
      <c r="AT62" s="2038"/>
      <c r="AU62" s="2038"/>
      <c r="AV62" s="2038"/>
    </row>
    <row r="63" spans="1:48">
      <c r="N63" s="33" t="str">
        <f>IF(A59,"line 7, includes an amount from Form 4797, you must use","")</f>
        <v/>
      </c>
      <c r="Y63" s="290"/>
      <c r="AA63" s="2038"/>
      <c r="AB63" s="2038"/>
      <c r="AC63" s="2038"/>
      <c r="AD63" s="2038"/>
      <c r="AE63" s="2038"/>
      <c r="AF63" s="2038"/>
      <c r="AG63" s="2038"/>
      <c r="AH63" s="2038"/>
      <c r="AI63" s="2038"/>
      <c r="AJ63" s="2038"/>
      <c r="AK63" s="2038"/>
      <c r="AL63" s="2038"/>
      <c r="AN63" s="2050"/>
      <c r="AO63" s="2050"/>
      <c r="AP63" s="2038"/>
      <c r="AQ63" s="2038"/>
      <c r="AR63" s="2038"/>
      <c r="AS63" s="2038"/>
      <c r="AT63" s="2038"/>
      <c r="AU63" s="2038"/>
      <c r="AV63" s="2038"/>
    </row>
    <row r="64" spans="1:48">
      <c r="A64" s="805" t="b">
        <f>B64&lt;&gt;""</f>
        <v>0</v>
      </c>
      <c r="B64" s="941"/>
      <c r="D64" s="61" t="s">
        <v>1834</v>
      </c>
      <c r="H64" s="941"/>
      <c r="J64" s="61" t="s">
        <v>1835</v>
      </c>
      <c r="N64" s="33" t="str">
        <f>IF(A59,"Worksheet 1 in Pub. 596 to see if you can take the EIC.","")</f>
        <v/>
      </c>
      <c r="Y64" s="290"/>
      <c r="AA64" s="2038"/>
      <c r="AB64" s="2038"/>
      <c r="AC64" s="2038"/>
      <c r="AD64" s="2038"/>
      <c r="AE64" s="2038"/>
      <c r="AF64" s="2038"/>
      <c r="AG64" s="2038"/>
      <c r="AH64" s="2038"/>
      <c r="AI64" s="2038"/>
      <c r="AJ64" s="2038"/>
      <c r="AK64" s="2038"/>
      <c r="AL64" s="2038"/>
      <c r="AN64" s="2050"/>
      <c r="AO64" s="2050"/>
      <c r="AP64" s="2038"/>
      <c r="AQ64" s="2038"/>
      <c r="AR64" s="2038"/>
      <c r="AS64" s="2038"/>
      <c r="AT64" s="2038"/>
      <c r="AU64" s="2038"/>
      <c r="AV64" s="2038"/>
    </row>
    <row r="65" spans="1:48">
      <c r="B65" s="1289"/>
      <c r="D65" s="61" t="s">
        <v>1821</v>
      </c>
      <c r="H65" s="1289"/>
      <c r="N65" s="2409" t="str">
        <f>IF(A59,"Otherwise, stop; you can't take the EIC.","")</f>
        <v/>
      </c>
      <c r="O65" s="38"/>
      <c r="P65" s="38"/>
      <c r="Q65" s="38"/>
      <c r="R65" s="38"/>
      <c r="S65" s="38"/>
      <c r="T65" s="38"/>
      <c r="U65" s="38"/>
      <c r="V65" s="38"/>
      <c r="W65" s="38"/>
      <c r="X65" s="38"/>
      <c r="Y65" s="42"/>
      <c r="AA65" s="2038"/>
      <c r="AB65" s="2038"/>
      <c r="AC65" s="2038"/>
      <c r="AD65" s="2038"/>
      <c r="AE65" s="2038"/>
      <c r="AF65" s="2038"/>
      <c r="AG65" s="2038"/>
      <c r="AH65" s="2038"/>
      <c r="AI65" s="2038"/>
      <c r="AJ65" s="2038"/>
      <c r="AK65" s="2038"/>
      <c r="AL65" s="2038"/>
      <c r="AN65" s="2050"/>
      <c r="AO65" s="2050"/>
      <c r="AP65" s="2038"/>
      <c r="AQ65" s="2038"/>
      <c r="AR65" s="2038"/>
      <c r="AS65" s="2038"/>
      <c r="AT65" s="2038"/>
      <c r="AU65" s="2038"/>
      <c r="AV65" s="2038"/>
    </row>
    <row r="66" spans="1:48" ht="12.75" customHeight="1">
      <c r="H66" s="1289"/>
      <c r="J66" s="1397" t="str">
        <f>IF(AND(A59,H66&lt;&gt;""),"Go to Step 4.",IF(A64,"Check here if you can take the credit.",""))</f>
        <v/>
      </c>
      <c r="N66" s="805" t="b">
        <f>H64&lt;&gt;""</f>
        <v>0</v>
      </c>
      <c r="AA66" s="2038"/>
      <c r="AB66" s="2038"/>
      <c r="AC66" s="2038"/>
      <c r="AD66" s="2038"/>
      <c r="AE66" s="2038"/>
      <c r="AF66" s="2038"/>
      <c r="AG66" s="2038"/>
      <c r="AH66" s="2038"/>
      <c r="AI66" s="2038"/>
      <c r="AJ66" s="2038"/>
      <c r="AK66" s="2038"/>
      <c r="AL66" s="2038"/>
      <c r="AN66" s="2050"/>
      <c r="AO66" s="2050"/>
      <c r="AP66" s="2038"/>
      <c r="AQ66" s="2038"/>
      <c r="AR66" s="2038"/>
      <c r="AS66" s="2038"/>
      <c r="AT66" s="2038"/>
      <c r="AU66" s="2038"/>
      <c r="AV66" s="2038"/>
    </row>
    <row r="67" spans="1:48" ht="8.25" customHeight="1">
      <c r="D67" s="49"/>
      <c r="E67" s="49"/>
      <c r="F67" s="49"/>
      <c r="G67" s="49"/>
      <c r="H67" s="49"/>
      <c r="I67" s="49"/>
      <c r="J67" s="49"/>
      <c r="K67" s="49"/>
      <c r="L67" s="49"/>
      <c r="M67" s="49"/>
      <c r="N67" s="5156"/>
      <c r="O67" s="3953"/>
      <c r="AA67" s="2038"/>
      <c r="AB67" s="2038"/>
      <c r="AC67" s="2038"/>
      <c r="AD67" s="2038"/>
      <c r="AE67" s="2038"/>
      <c r="AF67" s="2038"/>
      <c r="AG67" s="2038"/>
      <c r="AH67" s="2038"/>
      <c r="AI67" s="2038"/>
      <c r="AJ67" s="2038"/>
      <c r="AK67" s="2038"/>
      <c r="AL67" s="2038"/>
      <c r="AN67" s="2050"/>
      <c r="AO67" s="2050"/>
      <c r="AP67" s="2038"/>
      <c r="AQ67" s="2038"/>
      <c r="AR67" s="2038"/>
      <c r="AS67" s="2038"/>
      <c r="AT67" s="2038"/>
      <c r="AU67" s="2038"/>
      <c r="AV67" s="2038"/>
    </row>
    <row r="68" spans="1:48">
      <c r="C68" s="1290" t="s">
        <v>182</v>
      </c>
      <c r="D68" s="22" t="str">
        <f>"Do any of the following apply for "&amp;TaxYear&amp;"?"</f>
        <v>Do any of the following apply for 2023?</v>
      </c>
      <c r="AA68" s="2038"/>
      <c r="AB68" s="2038"/>
      <c r="AC68" s="2038"/>
      <c r="AD68" s="2038"/>
      <c r="AE68" s="2038"/>
      <c r="AF68" s="2038"/>
      <c r="AG68" s="2038"/>
      <c r="AH68" s="2038"/>
      <c r="AI68" s="2038"/>
      <c r="AJ68" s="2038"/>
      <c r="AK68" s="2038"/>
      <c r="AL68" s="2038"/>
      <c r="AN68" s="2050"/>
      <c r="AO68" s="2050"/>
      <c r="AP68" s="2038"/>
      <c r="AQ68" s="2038"/>
      <c r="AR68" s="2038"/>
      <c r="AS68" s="2038"/>
      <c r="AT68" s="2038"/>
      <c r="AU68" s="2038"/>
      <c r="AV68" s="2038"/>
    </row>
    <row r="69" spans="1:48" ht="7.5" customHeight="1">
      <c r="AA69" s="2038"/>
      <c r="AB69" s="2038"/>
      <c r="AC69" s="2038"/>
      <c r="AD69" s="2038"/>
      <c r="AE69" s="2038"/>
      <c r="AF69" s="2038"/>
      <c r="AG69" s="2038"/>
      <c r="AH69" s="2038"/>
      <c r="AI69" s="2038"/>
      <c r="AJ69" s="2038"/>
      <c r="AK69" s="2038"/>
      <c r="AL69" s="2038"/>
      <c r="AN69" s="2050"/>
      <c r="AO69" s="2050"/>
      <c r="AP69" s="2038"/>
      <c r="AQ69" s="2038"/>
      <c r="AR69" s="2038"/>
      <c r="AS69" s="2038"/>
      <c r="AT69" s="2038"/>
      <c r="AU69" s="2038"/>
      <c r="AV69" s="2038"/>
    </row>
    <row r="70" spans="1:48" ht="15.75">
      <c r="A70" s="1396" t="s">
        <v>1047</v>
      </c>
      <c r="B70" s="1574" t="str">
        <f>IF(SchE2_Completed,"X","")</f>
        <v/>
      </c>
      <c r="C70" s="110" t="s">
        <v>1806</v>
      </c>
      <c r="D70" s="61" t="s">
        <v>1836</v>
      </c>
      <c r="AA70" s="2038"/>
      <c r="AB70" s="2038"/>
      <c r="AC70" s="2038"/>
      <c r="AD70" s="2038"/>
      <c r="AE70" s="2038"/>
      <c r="AF70" s="2038"/>
      <c r="AG70" s="2038"/>
      <c r="AH70" s="2038"/>
      <c r="AI70" s="2038"/>
      <c r="AJ70" s="2038"/>
      <c r="AK70" s="2038"/>
      <c r="AL70" s="2038"/>
      <c r="AN70" s="2050"/>
      <c r="AO70" s="2050"/>
      <c r="AP70" s="2038"/>
      <c r="AQ70" s="2038"/>
      <c r="AR70" s="2038"/>
      <c r="AS70" s="2038"/>
      <c r="AT70" s="2038"/>
      <c r="AU70" s="2038"/>
      <c r="AV70" s="2038"/>
    </row>
    <row r="71" spans="1:48">
      <c r="C71" s="37" t="s">
        <v>1445</v>
      </c>
      <c r="AA71" s="2038"/>
      <c r="AB71" s="2038"/>
      <c r="AC71" s="2038"/>
      <c r="AD71" s="2038"/>
      <c r="AE71" s="2038"/>
      <c r="AF71" s="2038"/>
      <c r="AG71" s="2038"/>
      <c r="AH71" s="2038"/>
      <c r="AI71" s="2038"/>
      <c r="AJ71" s="2038"/>
      <c r="AK71" s="2038"/>
      <c r="AL71" s="2038"/>
      <c r="AN71" s="2050"/>
      <c r="AO71" s="2050"/>
      <c r="AP71" s="2038"/>
      <c r="AQ71" s="2038"/>
      <c r="AR71" s="2038"/>
      <c r="AS71" s="2038"/>
      <c r="AT71" s="2038"/>
      <c r="AU71" s="2038"/>
      <c r="AV71" s="2038"/>
    </row>
    <row r="72" spans="1:48" ht="15.75">
      <c r="A72" s="1396" t="s">
        <v>1047</v>
      </c>
      <c r="B72" s="941"/>
      <c r="C72" s="110" t="s">
        <v>1806</v>
      </c>
      <c r="D72" s="22" t="s">
        <v>1837</v>
      </c>
      <c r="AA72" s="2038"/>
      <c r="AB72" s="2038"/>
      <c r="AC72" s="2038"/>
      <c r="AD72" s="2038"/>
      <c r="AE72" s="2038"/>
      <c r="AF72" s="2038"/>
      <c r="AG72" s="2038"/>
      <c r="AH72" s="2038"/>
      <c r="AI72" s="2038"/>
      <c r="AJ72" s="2038"/>
      <c r="AK72" s="2038"/>
      <c r="AL72" s="2038"/>
      <c r="AN72" s="2050"/>
      <c r="AO72" s="2050"/>
      <c r="AP72" s="2038"/>
      <c r="AQ72" s="2038"/>
      <c r="AR72" s="2038"/>
      <c r="AS72" s="2038"/>
      <c r="AT72" s="2038"/>
      <c r="AU72" s="2038"/>
      <c r="AV72" s="2038"/>
    </row>
    <row r="73" spans="1:48">
      <c r="D73" s="22" t="str">
        <f>"personal property not used in a trade or business."</f>
        <v>personal property not used in a trade or business.</v>
      </c>
      <c r="AA73" s="2038"/>
      <c r="AB73" s="2038"/>
      <c r="AC73" s="2038"/>
      <c r="AD73" s="2038"/>
      <c r="AE73" s="2038"/>
      <c r="AF73" s="2038"/>
      <c r="AG73" s="2038"/>
      <c r="AH73" s="2038"/>
      <c r="AI73" s="2038"/>
      <c r="AJ73" s="2038"/>
      <c r="AK73" s="2038"/>
      <c r="AL73" s="2038"/>
      <c r="AN73" s="2050"/>
      <c r="AO73" s="2050"/>
      <c r="AP73" s="2038"/>
      <c r="AQ73" s="2038"/>
      <c r="AR73" s="2038"/>
      <c r="AS73" s="2038"/>
      <c r="AT73" s="2038"/>
      <c r="AU73" s="2038"/>
      <c r="AV73" s="2038"/>
    </row>
    <row r="74" spans="1:48">
      <c r="C74" s="37" t="s">
        <v>1445</v>
      </c>
      <c r="AA74" s="2038"/>
      <c r="AB74" s="2038"/>
      <c r="AC74" s="2038"/>
      <c r="AD74" s="2038"/>
      <c r="AE74" s="2038"/>
      <c r="AF74" s="2038"/>
      <c r="AG74" s="2038"/>
      <c r="AH74" s="2038"/>
      <c r="AI74" s="2038"/>
      <c r="AJ74" s="2038"/>
      <c r="AK74" s="2038"/>
      <c r="AL74" s="2038"/>
      <c r="AN74" s="2050"/>
      <c r="AO74" s="2050"/>
      <c r="AP74" s="2038"/>
      <c r="AQ74" s="2038"/>
      <c r="AR74" s="2038"/>
      <c r="AS74" s="2038"/>
      <c r="AT74" s="2038"/>
      <c r="AU74" s="2038"/>
      <c r="AV74" s="2038"/>
    </row>
    <row r="75" spans="1:48" ht="15.75">
      <c r="A75" s="1396" t="s">
        <v>1047</v>
      </c>
      <c r="B75" s="941"/>
      <c r="C75" s="110" t="s">
        <v>1806</v>
      </c>
      <c r="D75" s="61" t="s">
        <v>1838</v>
      </c>
      <c r="AA75" s="2038"/>
      <c r="AB75" s="2038"/>
      <c r="AC75" s="2038"/>
      <c r="AD75" s="2038"/>
      <c r="AE75" s="2038"/>
      <c r="AF75" s="2038"/>
      <c r="AG75" s="2038"/>
      <c r="AH75" s="2038"/>
      <c r="AI75" s="2038"/>
      <c r="AJ75" s="2038"/>
      <c r="AK75" s="2038"/>
      <c r="AL75" s="2038"/>
      <c r="AN75" s="2050"/>
      <c r="AO75" s="2050"/>
      <c r="AP75" s="2038"/>
      <c r="AQ75" s="2038"/>
      <c r="AR75" s="2038"/>
      <c r="AS75" s="2038"/>
      <c r="AT75" s="2038"/>
      <c r="AU75" s="2038"/>
      <c r="AV75" s="2038"/>
    </row>
    <row r="76" spans="1:48">
      <c r="D76" s="61" t="s">
        <v>1839</v>
      </c>
      <c r="AA76" s="2038"/>
      <c r="AB76" s="2038"/>
      <c r="AC76" s="2038"/>
      <c r="AD76" s="2038"/>
      <c r="AE76" s="2038"/>
      <c r="AF76" s="2038"/>
      <c r="AG76" s="2038"/>
      <c r="AH76" s="2038"/>
      <c r="AI76" s="2038"/>
      <c r="AJ76" s="2038"/>
      <c r="AK76" s="2038"/>
      <c r="AL76" s="2038"/>
      <c r="AN76" s="2050"/>
      <c r="AO76" s="2050"/>
      <c r="AP76" s="2038"/>
      <c r="AQ76" s="2038"/>
      <c r="AR76" s="2038"/>
      <c r="AS76" s="2038"/>
      <c r="AT76" s="2038"/>
      <c r="AU76" s="2038"/>
      <c r="AV76" s="2038"/>
    </row>
    <row r="77" spans="1:48">
      <c r="C77" s="37" t="s">
        <v>1445</v>
      </c>
      <c r="AA77" s="2038"/>
      <c r="AB77" s="2038"/>
      <c r="AC77" s="2038"/>
      <c r="AD77" s="2038"/>
      <c r="AE77" s="2038"/>
      <c r="AF77" s="2038"/>
      <c r="AG77" s="2038"/>
      <c r="AH77" s="2038"/>
      <c r="AI77" s="2038"/>
      <c r="AJ77" s="2038"/>
      <c r="AK77" s="2038"/>
      <c r="AL77" s="2038"/>
      <c r="AN77" s="2050"/>
      <c r="AO77" s="2050"/>
      <c r="AP77" s="2038"/>
      <c r="AQ77" s="2038"/>
      <c r="AR77" s="2038"/>
      <c r="AS77" s="2038"/>
      <c r="AT77" s="2038"/>
      <c r="AU77" s="2038"/>
      <c r="AV77" s="2038"/>
    </row>
    <row r="78" spans="1:48" ht="15.75">
      <c r="A78" s="1396" t="s">
        <v>1047</v>
      </c>
      <c r="B78" s="941"/>
      <c r="C78" s="110" t="s">
        <v>1806</v>
      </c>
      <c r="D78" s="61" t="s">
        <v>1840</v>
      </c>
      <c r="AA78" s="2038"/>
      <c r="AB78" s="2038"/>
      <c r="AC78" s="2038"/>
      <c r="AD78" s="2038"/>
      <c r="AE78" s="2038"/>
      <c r="AF78" s="2038"/>
      <c r="AG78" s="2038"/>
      <c r="AH78" s="2038"/>
      <c r="AI78" s="2038"/>
      <c r="AJ78" s="2038"/>
      <c r="AK78" s="2038"/>
      <c r="AL78" s="2038"/>
      <c r="AN78" s="2050"/>
      <c r="AO78" s="2050"/>
      <c r="AP78" s="2038"/>
      <c r="AQ78" s="2038"/>
      <c r="AR78" s="2038"/>
      <c r="AS78" s="2038"/>
      <c r="AT78" s="2038"/>
      <c r="AU78" s="2038"/>
      <c r="AV78" s="2038"/>
    </row>
    <row r="79" spans="1:48">
      <c r="AA79" s="2038"/>
      <c r="AB79" s="2038"/>
      <c r="AC79" s="2038"/>
      <c r="AD79" s="2038"/>
      <c r="AE79" s="2038"/>
      <c r="AF79" s="2038"/>
      <c r="AG79" s="2038"/>
      <c r="AH79" s="2038"/>
      <c r="AI79" s="2038"/>
      <c r="AJ79" s="2038"/>
      <c r="AK79" s="2038"/>
      <c r="AL79" s="2038"/>
      <c r="AN79" s="2050"/>
      <c r="AO79" s="2050"/>
      <c r="AP79" s="2038"/>
      <c r="AQ79" s="2038"/>
      <c r="AR79" s="2038"/>
      <c r="AS79" s="2038"/>
      <c r="AT79" s="2038"/>
      <c r="AU79" s="2038"/>
      <c r="AV79" s="2038"/>
    </row>
    <row r="80" spans="1:48" ht="15.75">
      <c r="A80" s="805" t="b">
        <f>B80&lt;&gt;""</f>
        <v>0</v>
      </c>
      <c r="B80" s="1575" t="str">
        <f>IF(N66,"",IF(OR(B70&lt;&gt;"",B72&lt;&gt;"",B75&lt;&gt;"",B78&lt;&gt;""),"X",""))</f>
        <v/>
      </c>
      <c r="D80" s="61" t="s">
        <v>1841</v>
      </c>
      <c r="G80" s="1396" t="s">
        <v>1047</v>
      </c>
      <c r="H80" s="1574" t="str">
        <f>IF(N80,"X","")</f>
        <v/>
      </c>
      <c r="J80" s="61" t="s">
        <v>5544</v>
      </c>
      <c r="N80" s="805" t="b">
        <f>AND(N59,NOT(A80))</f>
        <v>0</v>
      </c>
      <c r="AA80" s="2038"/>
      <c r="AB80" s="2038"/>
      <c r="AC80" s="2038"/>
      <c r="AD80" s="2038"/>
      <c r="AE80" s="2038"/>
      <c r="AF80" s="2038"/>
      <c r="AG80" s="2038"/>
      <c r="AH80" s="2038"/>
      <c r="AI80" s="2038"/>
      <c r="AJ80" s="2038"/>
      <c r="AK80" s="2038"/>
      <c r="AL80" s="2038"/>
      <c r="AN80" s="2050"/>
      <c r="AO80" s="2050"/>
      <c r="AP80" s="2038"/>
      <c r="AQ80" s="2038"/>
      <c r="AR80" s="2038"/>
      <c r="AS80" s="2038"/>
      <c r="AT80" s="2038"/>
      <c r="AU80" s="2038"/>
      <c r="AV80" s="2038"/>
    </row>
    <row r="81" spans="1:48">
      <c r="D81" s="61" t="s">
        <v>1842</v>
      </c>
      <c r="H81" s="37"/>
      <c r="AA81" s="2038"/>
      <c r="AB81" s="2038"/>
      <c r="AC81" s="2038"/>
      <c r="AD81" s="2038"/>
      <c r="AE81" s="2038"/>
      <c r="AF81" s="2038"/>
      <c r="AG81" s="2038"/>
      <c r="AH81" s="2038"/>
      <c r="AI81" s="2038"/>
      <c r="AJ81" s="2038"/>
      <c r="AK81" s="2038"/>
      <c r="AL81" s="2038"/>
      <c r="AN81" s="2050"/>
      <c r="AO81" s="2050"/>
      <c r="AP81" s="2038"/>
      <c r="AQ81" s="2038"/>
      <c r="AR81" s="2038"/>
      <c r="AS81" s="2038"/>
      <c r="AT81" s="2038"/>
      <c r="AU81" s="2038"/>
      <c r="AV81" s="2038"/>
    </row>
    <row r="82" spans="1:48" ht="15.75">
      <c r="D82" s="61" t="s">
        <v>1843</v>
      </c>
      <c r="G82" s="1396" t="s">
        <v>1047</v>
      </c>
      <c r="H82" s="1289"/>
      <c r="J82" s="1397" t="str">
        <f>IF(H82&lt;&gt;"","Go to Step 3.","Check here if you can take the credit.")</f>
        <v>Check here if you can take the credit.</v>
      </c>
      <c r="AA82" s="2038"/>
      <c r="AB82" s="2038"/>
      <c r="AC82" s="2038"/>
      <c r="AD82" s="2038"/>
      <c r="AE82" s="2038"/>
      <c r="AF82" s="2038"/>
      <c r="AG82" s="2038"/>
      <c r="AH82" s="2038"/>
      <c r="AI82" s="2038"/>
      <c r="AJ82" s="2038"/>
      <c r="AK82" s="2038"/>
      <c r="AL82" s="2038"/>
      <c r="AN82" s="2050"/>
      <c r="AO82" s="2050"/>
      <c r="AP82" s="2038"/>
      <c r="AQ82" s="2038"/>
      <c r="AR82" s="2038"/>
      <c r="AS82" s="2038"/>
      <c r="AT82" s="2038"/>
      <c r="AU82" s="2038"/>
      <c r="AV82" s="2038"/>
    </row>
    <row r="83" spans="1:48">
      <c r="AA83" s="2038"/>
      <c r="AB83" s="2038"/>
      <c r="AC83" s="2038"/>
      <c r="AD83" s="2038"/>
      <c r="AE83" s="2038"/>
      <c r="AF83" s="2038"/>
      <c r="AG83" s="2038"/>
      <c r="AH83" s="2038"/>
      <c r="AI83" s="2038"/>
      <c r="AJ83" s="2038"/>
      <c r="AK83" s="2038"/>
      <c r="AL83" s="2038"/>
      <c r="AN83" s="2050"/>
      <c r="AO83" s="2050"/>
      <c r="AP83" s="2038"/>
      <c r="AQ83" s="2038"/>
      <c r="AR83" s="2038"/>
      <c r="AS83" s="2038"/>
      <c r="AT83" s="2038"/>
      <c r="AU83" s="2038"/>
      <c r="AV83" s="2038"/>
    </row>
    <row r="84" spans="1:48" s="1293" customFormat="1">
      <c r="B84" s="1292"/>
      <c r="N84" s="1294"/>
      <c r="AA84" s="2051"/>
      <c r="AB84" s="2051"/>
      <c r="AC84" s="2051"/>
      <c r="AD84" s="2051"/>
      <c r="AE84" s="2051"/>
      <c r="AF84" s="2051"/>
      <c r="AG84" s="2051"/>
      <c r="AH84" s="2051"/>
      <c r="AI84" s="2051"/>
      <c r="AJ84" s="2051"/>
      <c r="AK84" s="2051"/>
      <c r="AL84" s="2051"/>
      <c r="AN84" s="2052"/>
      <c r="AO84" s="2052"/>
      <c r="AP84" s="2051"/>
      <c r="AQ84" s="2051"/>
      <c r="AR84" s="2051"/>
      <c r="AS84" s="2051"/>
      <c r="AT84" s="2051"/>
      <c r="AU84" s="2051"/>
      <c r="AV84" s="2051"/>
    </row>
    <row r="85" spans="1:48" s="109" customFormat="1" ht="15.75">
      <c r="A85" s="1308" t="s">
        <v>1844</v>
      </c>
      <c r="B85" s="1309" t="s">
        <v>1845</v>
      </c>
      <c r="C85" s="1286"/>
      <c r="F85" s="1298" t="s">
        <v>1846</v>
      </c>
      <c r="N85" s="1287"/>
      <c r="AA85" s="2048"/>
      <c r="AB85" s="2048"/>
      <c r="AC85" s="2048"/>
      <c r="AD85" s="2048"/>
      <c r="AE85" s="2048"/>
      <c r="AF85" s="2048"/>
      <c r="AG85" s="2048"/>
      <c r="AH85" s="2048"/>
      <c r="AI85" s="2048"/>
      <c r="AJ85" s="2048"/>
      <c r="AK85" s="2048"/>
      <c r="AL85" s="2048"/>
      <c r="AN85" s="2049"/>
      <c r="AO85" s="2049"/>
      <c r="AP85" s="2048"/>
      <c r="AQ85" s="2048"/>
      <c r="AR85" s="2048"/>
      <c r="AS85" s="2048"/>
      <c r="AT85" s="2048"/>
      <c r="AU85" s="2048"/>
      <c r="AV85" s="2048"/>
    </row>
    <row r="86" spans="1:48">
      <c r="A86" s="872"/>
      <c r="C86" s="872"/>
      <c r="AA86" s="2038"/>
      <c r="AB86" s="2038"/>
      <c r="AC86" s="2038"/>
      <c r="AD86" s="2038"/>
      <c r="AE86" s="2038"/>
      <c r="AF86" s="2038"/>
      <c r="AG86" s="2038"/>
      <c r="AH86" s="2038"/>
      <c r="AI86" s="2038"/>
      <c r="AJ86" s="2038"/>
      <c r="AK86" s="2038"/>
      <c r="AL86" s="2038"/>
      <c r="AN86" s="2050"/>
      <c r="AO86" s="2050"/>
      <c r="AP86" s="2038"/>
      <c r="AQ86" s="2038"/>
      <c r="AR86" s="2038"/>
      <c r="AS86" s="2038"/>
      <c r="AT86" s="2038"/>
      <c r="AU86" s="2038"/>
      <c r="AV86" s="2038"/>
    </row>
    <row r="87" spans="1:48">
      <c r="B87" s="23" t="s">
        <v>1847</v>
      </c>
      <c r="C87" s="1290"/>
      <c r="D87" s="23"/>
      <c r="AA87" s="2038"/>
      <c r="AB87" s="2038"/>
      <c r="AC87" s="2038"/>
      <c r="AD87" s="2038"/>
      <c r="AE87" s="2038"/>
      <c r="AF87" s="2038"/>
      <c r="AG87" s="2038"/>
      <c r="AH87" s="2038"/>
      <c r="AI87" s="2038"/>
      <c r="AJ87" s="2038"/>
      <c r="AK87" s="2038"/>
      <c r="AL87" s="2038"/>
      <c r="AN87" s="2050"/>
      <c r="AO87" s="2050"/>
      <c r="AP87" s="2038"/>
      <c r="AQ87" s="2038"/>
      <c r="AR87" s="2038"/>
      <c r="AS87" s="2038"/>
      <c r="AT87" s="2038"/>
      <c r="AU87" s="2038"/>
      <c r="AV87" s="2038"/>
    </row>
    <row r="88" spans="1:48">
      <c r="C88" s="1290"/>
      <c r="AA88" s="2038"/>
      <c r="AB88" s="2038"/>
      <c r="AC88" s="2038"/>
      <c r="AD88" s="2038"/>
      <c r="AE88" s="2038"/>
      <c r="AF88" s="2038"/>
      <c r="AG88" s="2038"/>
      <c r="AH88" s="2038"/>
      <c r="AI88" s="2038"/>
      <c r="AJ88" s="2038"/>
      <c r="AK88" s="2038"/>
      <c r="AL88" s="2038"/>
      <c r="AN88" s="2050"/>
      <c r="AO88" s="2050"/>
      <c r="AP88" s="2038"/>
      <c r="AQ88" s="2038"/>
      <c r="AR88" s="2038"/>
      <c r="AS88" s="2038"/>
      <c r="AT88" s="2038"/>
      <c r="AU88" s="2038"/>
      <c r="AV88" s="2038"/>
    </row>
    <row r="89" spans="1:48" ht="13.5" thickBot="1">
      <c r="C89" s="110" t="s">
        <v>1806</v>
      </c>
      <c r="D89" s="61" t="s">
        <v>1848</v>
      </c>
      <c r="M89" s="2751" t="s">
        <v>1849</v>
      </c>
      <c r="AA89" s="2038"/>
      <c r="AB89" s="2038"/>
      <c r="AC89" s="2038"/>
      <c r="AD89" s="2038"/>
      <c r="AE89" s="2038"/>
      <c r="AF89" s="2038"/>
      <c r="AG89" s="2038"/>
      <c r="AH89" s="2038"/>
      <c r="AI89" s="2038"/>
      <c r="AJ89" s="2038"/>
      <c r="AK89" s="2038"/>
      <c r="AL89" s="2038"/>
      <c r="AN89" s="2050"/>
      <c r="AO89" s="2050"/>
      <c r="AP89" s="2038"/>
      <c r="AQ89" s="2038"/>
      <c r="AR89" s="2038"/>
      <c r="AS89" s="2038"/>
      <c r="AT89" s="2038"/>
      <c r="AU89" s="2038"/>
      <c r="AV89" s="2038"/>
    </row>
    <row r="90" spans="1:48" ht="12.75" customHeight="1">
      <c r="D90" s="61" t="s">
        <v>1850</v>
      </c>
      <c r="M90" s="6994" t="s">
        <v>1851</v>
      </c>
      <c r="N90" s="6995"/>
      <c r="O90" s="6995"/>
      <c r="P90" s="6995"/>
      <c r="Q90" s="6995"/>
      <c r="R90" s="6995"/>
      <c r="S90" s="6995"/>
      <c r="T90" s="6995"/>
      <c r="U90" s="6995"/>
      <c r="V90" s="6995"/>
      <c r="W90" s="6995"/>
      <c r="X90" s="6995"/>
      <c r="Y90" s="6996"/>
      <c r="Z90" s="2750"/>
      <c r="AA90" s="2038"/>
      <c r="AB90" s="2038"/>
      <c r="AC90" s="2038"/>
      <c r="AD90" s="2038"/>
      <c r="AE90" s="2038"/>
      <c r="AF90" s="2038"/>
      <c r="AG90" s="2038"/>
      <c r="AH90" s="2038"/>
      <c r="AI90" s="2038"/>
      <c r="AJ90" s="2038"/>
      <c r="AK90" s="2038"/>
      <c r="AL90" s="2038"/>
      <c r="AN90" s="2050"/>
      <c r="AO90" s="2050"/>
      <c r="AP90" s="2038"/>
      <c r="AQ90" s="2038"/>
      <c r="AR90" s="2038"/>
      <c r="AS90" s="2038"/>
      <c r="AT90" s="2038"/>
      <c r="AU90" s="2038"/>
      <c r="AV90" s="2038"/>
    </row>
    <row r="91" spans="1:48">
      <c r="D91" s="22" t="s">
        <v>1852</v>
      </c>
      <c r="M91" s="6997"/>
      <c r="N91" s="6998"/>
      <c r="O91" s="6998"/>
      <c r="P91" s="6998"/>
      <c r="Q91" s="6998"/>
      <c r="R91" s="6998"/>
      <c r="S91" s="6998"/>
      <c r="T91" s="6998"/>
      <c r="U91" s="6998"/>
      <c r="V91" s="6998"/>
      <c r="W91" s="6998"/>
      <c r="X91" s="6998"/>
      <c r="Y91" s="6999"/>
      <c r="Z91" s="2750"/>
      <c r="AA91" s="2038"/>
      <c r="AB91" s="2038"/>
      <c r="AC91" s="2038"/>
      <c r="AD91" s="2038"/>
      <c r="AE91" s="2038"/>
      <c r="AF91" s="2038"/>
      <c r="AG91" s="2038"/>
      <c r="AH91" s="2038"/>
      <c r="AI91" s="2038"/>
      <c r="AJ91" s="2038"/>
      <c r="AK91" s="2038"/>
      <c r="AL91" s="2038"/>
      <c r="AN91" s="2050"/>
      <c r="AO91" s="2050"/>
      <c r="AP91" s="2038"/>
      <c r="AQ91" s="2038"/>
      <c r="AR91" s="2038"/>
      <c r="AS91" s="2038"/>
      <c r="AT91" s="2038"/>
      <c r="AU91" s="2038"/>
      <c r="AV91" s="2038"/>
    </row>
    <row r="92" spans="1:48">
      <c r="C92" s="23" t="s">
        <v>1853</v>
      </c>
      <c r="M92" s="6997"/>
      <c r="N92" s="6998"/>
      <c r="O92" s="6998"/>
      <c r="P92" s="6998"/>
      <c r="Q92" s="6998"/>
      <c r="R92" s="6998"/>
      <c r="S92" s="6998"/>
      <c r="T92" s="6998"/>
      <c r="U92" s="6998"/>
      <c r="V92" s="6998"/>
      <c r="W92" s="6998"/>
      <c r="X92" s="6998"/>
      <c r="Y92" s="6999"/>
      <c r="Z92" s="2750"/>
      <c r="AA92" s="2038"/>
      <c r="AB92" s="2038"/>
      <c r="AC92" s="2038"/>
      <c r="AD92" s="2038"/>
      <c r="AE92" s="2038"/>
      <c r="AF92" s="2038"/>
      <c r="AG92" s="2038"/>
      <c r="AH92" s="2038"/>
      <c r="AI92" s="2038"/>
      <c r="AJ92" s="2038"/>
      <c r="AK92" s="2038"/>
      <c r="AL92" s="2038"/>
      <c r="AN92" s="2050"/>
      <c r="AO92" s="2050"/>
      <c r="AP92" s="2038"/>
      <c r="AQ92" s="2038"/>
      <c r="AR92" s="2038"/>
      <c r="AS92" s="2038"/>
      <c r="AT92" s="2038"/>
      <c r="AU92" s="2038"/>
      <c r="AV92" s="2038"/>
    </row>
    <row r="93" spans="1:48">
      <c r="C93" s="23"/>
      <c r="D93" s="61" t="s">
        <v>1854</v>
      </c>
      <c r="M93" s="6997"/>
      <c r="N93" s="6998"/>
      <c r="O93" s="6998"/>
      <c r="P93" s="6998"/>
      <c r="Q93" s="6998"/>
      <c r="R93" s="6998"/>
      <c r="S93" s="6998"/>
      <c r="T93" s="6998"/>
      <c r="U93" s="6998"/>
      <c r="V93" s="6998"/>
      <c r="W93" s="6998"/>
      <c r="X93" s="6998"/>
      <c r="Y93" s="6999"/>
      <c r="Z93" s="2750"/>
      <c r="AA93" s="2038"/>
      <c r="AB93" s="2038"/>
      <c r="AC93" s="2038"/>
      <c r="AD93" s="2038"/>
      <c r="AE93" s="2038"/>
      <c r="AF93" s="2038"/>
      <c r="AG93" s="2038"/>
      <c r="AH93" s="2038"/>
      <c r="AI93" s="2038"/>
      <c r="AJ93" s="2038"/>
      <c r="AK93" s="2038"/>
      <c r="AL93" s="2038"/>
      <c r="AN93" s="2050"/>
      <c r="AO93" s="2050"/>
      <c r="AP93" s="2038"/>
      <c r="AQ93" s="2038"/>
      <c r="AR93" s="2038"/>
      <c r="AS93" s="2038"/>
      <c r="AT93" s="2038"/>
      <c r="AU93" s="2038"/>
      <c r="AV93" s="2038"/>
    </row>
    <row r="94" spans="1:48">
      <c r="C94" s="110" t="s">
        <v>1806</v>
      </c>
      <c r="D94" s="22" t="str">
        <f>"Under age 19 at the end of "&amp;TaxYear&amp;" and younger than you (or your spouse, if filing jointly)"</f>
        <v>Under age 19 at the end of 2023 and younger than you (or your spouse, if filing jointly)</v>
      </c>
      <c r="M94" s="6997"/>
      <c r="N94" s="6998"/>
      <c r="O94" s="6998"/>
      <c r="P94" s="6998"/>
      <c r="Q94" s="6998"/>
      <c r="R94" s="6998"/>
      <c r="S94" s="6998"/>
      <c r="T94" s="6998"/>
      <c r="U94" s="6998"/>
      <c r="V94" s="6998"/>
      <c r="W94" s="6998"/>
      <c r="X94" s="6998"/>
      <c r="Y94" s="6999"/>
      <c r="Z94" s="2750"/>
      <c r="AA94" s="2038"/>
      <c r="AB94" s="2038"/>
      <c r="AC94" s="2038"/>
      <c r="AD94" s="2038"/>
      <c r="AE94" s="2038"/>
      <c r="AF94" s="2038"/>
      <c r="AG94" s="2038"/>
      <c r="AH94" s="2038"/>
      <c r="AI94" s="2038"/>
      <c r="AJ94" s="2038"/>
      <c r="AK94" s="2038"/>
      <c r="AL94" s="2038"/>
      <c r="AN94" s="2050"/>
      <c r="AO94" s="2050"/>
      <c r="AP94" s="2038"/>
      <c r="AQ94" s="2038"/>
      <c r="AR94" s="2038"/>
      <c r="AS94" s="2038"/>
      <c r="AT94" s="2038"/>
      <c r="AU94" s="2038"/>
      <c r="AV94" s="2038"/>
    </row>
    <row r="95" spans="1:48" ht="13.5" thickBot="1">
      <c r="C95" s="110"/>
      <c r="D95" s="61" t="s">
        <v>1445</v>
      </c>
      <c r="M95" s="7000"/>
      <c r="N95" s="7001"/>
      <c r="O95" s="7001"/>
      <c r="P95" s="7001"/>
      <c r="Q95" s="7001"/>
      <c r="R95" s="7001"/>
      <c r="S95" s="7001"/>
      <c r="T95" s="7001"/>
      <c r="U95" s="7001"/>
      <c r="V95" s="7001"/>
      <c r="W95" s="7001"/>
      <c r="X95" s="7001"/>
      <c r="Y95" s="7002"/>
      <c r="AA95" s="2038"/>
      <c r="AB95" s="2038"/>
      <c r="AC95" s="2038"/>
      <c r="AD95" s="2038"/>
      <c r="AE95" s="2038"/>
      <c r="AF95" s="2038"/>
      <c r="AG95" s="2038"/>
      <c r="AH95" s="2038"/>
      <c r="AI95" s="2038"/>
      <c r="AJ95" s="2038"/>
      <c r="AK95" s="2038"/>
      <c r="AL95" s="2038"/>
      <c r="AN95" s="2050"/>
      <c r="AO95" s="2050"/>
      <c r="AP95" s="2038"/>
      <c r="AQ95" s="2038"/>
      <c r="AR95" s="2038"/>
      <c r="AS95" s="2038"/>
      <c r="AT95" s="2038"/>
      <c r="AU95" s="2038"/>
      <c r="AV95" s="2038"/>
    </row>
    <row r="96" spans="1:48">
      <c r="C96" s="110" t="s">
        <v>1806</v>
      </c>
      <c r="D96" s="22" t="str">
        <f>"Under age 24 at the end of "&amp;TaxYear&amp;" and a student (defined later) and younger than you"</f>
        <v>Under age 24 at the end of 2023 and a student (defined later) and younger than you</v>
      </c>
      <c r="AA96" s="2038"/>
      <c r="AB96" s="2038"/>
      <c r="AC96" s="2038"/>
      <c r="AD96" s="2038"/>
      <c r="AE96" s="2038"/>
      <c r="AF96" s="2038"/>
      <c r="AG96" s="2038"/>
      <c r="AH96" s="2038"/>
      <c r="AI96" s="2038"/>
      <c r="AJ96" s="2038"/>
      <c r="AK96" s="2038"/>
      <c r="AL96" s="2038"/>
      <c r="AN96" s="2050"/>
      <c r="AO96" s="2050"/>
      <c r="AP96" s="2038"/>
      <c r="AQ96" s="2038"/>
      <c r="AR96" s="2038"/>
      <c r="AS96" s="2038"/>
      <c r="AT96" s="2038"/>
      <c r="AU96" s="2038"/>
      <c r="AV96" s="2038"/>
    </row>
    <row r="97" spans="1:48" ht="13.5" thickBot="1">
      <c r="C97" s="110"/>
      <c r="D97" s="61" t="s">
        <v>1855</v>
      </c>
      <c r="M97" s="2751" t="s">
        <v>1856</v>
      </c>
      <c r="AA97" s="2038"/>
      <c r="AB97" s="2038"/>
      <c r="AC97" s="2038"/>
      <c r="AD97" s="2038"/>
      <c r="AE97" s="2038"/>
      <c r="AF97" s="2038"/>
      <c r="AG97" s="2038"/>
      <c r="AH97" s="2038"/>
      <c r="AI97" s="2038"/>
      <c r="AJ97" s="2038"/>
      <c r="AK97" s="2038"/>
      <c r="AL97" s="2038"/>
      <c r="AN97" s="2050"/>
      <c r="AO97" s="2050"/>
      <c r="AP97" s="2038"/>
      <c r="AQ97" s="2038"/>
      <c r="AR97" s="2038"/>
      <c r="AS97" s="2038"/>
      <c r="AT97" s="2038"/>
      <c r="AU97" s="2038"/>
      <c r="AV97" s="2038"/>
    </row>
    <row r="98" spans="1:48" ht="12.75" customHeight="1">
      <c r="C98" s="110"/>
      <c r="D98" s="61" t="s">
        <v>1445</v>
      </c>
      <c r="M98" s="6994" t="str">
        <f>"If the child didn't live with you for more than half of "&amp;TaxYear&amp;" because of a temporary absence, birth, death, or kidnapping, see Exception to time lived with you, later."</f>
        <v>If the child didn't live with you for more than half of 2023 because of a temporary absence, birth, death, or kidnapping, see Exception to time lived with you, later.</v>
      </c>
      <c r="N98" s="6995"/>
      <c r="O98" s="6995"/>
      <c r="P98" s="6995"/>
      <c r="Q98" s="6995"/>
      <c r="R98" s="6995"/>
      <c r="S98" s="6995"/>
      <c r="T98" s="6995"/>
      <c r="U98" s="6995"/>
      <c r="V98" s="6995"/>
      <c r="W98" s="6995"/>
      <c r="X98" s="6995"/>
      <c r="Y98" s="6996"/>
      <c r="AA98" s="2038"/>
      <c r="AB98" s="2038"/>
      <c r="AC98" s="2038"/>
      <c r="AD98" s="2038"/>
      <c r="AE98" s="2038"/>
      <c r="AF98" s="2038"/>
      <c r="AG98" s="2038"/>
      <c r="AH98" s="2038"/>
      <c r="AI98" s="2038"/>
      <c r="AJ98" s="2038"/>
      <c r="AK98" s="2038"/>
      <c r="AL98" s="2038"/>
      <c r="AN98" s="2050"/>
      <c r="AO98" s="2050"/>
      <c r="AP98" s="2038"/>
      <c r="AQ98" s="2038"/>
      <c r="AR98" s="2038"/>
      <c r="AS98" s="2038"/>
      <c r="AT98" s="2038"/>
      <c r="AU98" s="2038"/>
      <c r="AV98" s="2038"/>
    </row>
    <row r="99" spans="1:48">
      <c r="C99" s="110" t="s">
        <v>1806</v>
      </c>
      <c r="D99" s="61" t="s">
        <v>1857</v>
      </c>
      <c r="M99" s="6997"/>
      <c r="N99" s="6998"/>
      <c r="O99" s="6998"/>
      <c r="P99" s="6998"/>
      <c r="Q99" s="6998"/>
      <c r="R99" s="6998"/>
      <c r="S99" s="6998"/>
      <c r="T99" s="6998"/>
      <c r="U99" s="6998"/>
      <c r="V99" s="6998"/>
      <c r="W99" s="6998"/>
      <c r="X99" s="6998"/>
      <c r="Y99" s="6999"/>
      <c r="AA99" s="2038"/>
      <c r="AB99" s="2038"/>
      <c r="AC99" s="2038"/>
      <c r="AD99" s="2038"/>
      <c r="AE99" s="2038"/>
      <c r="AF99" s="2038"/>
      <c r="AG99" s="2038"/>
      <c r="AH99" s="2038"/>
      <c r="AI99" s="2038"/>
      <c r="AJ99" s="2038"/>
      <c r="AK99" s="2038"/>
      <c r="AL99" s="2038"/>
      <c r="AN99" s="2050"/>
      <c r="AO99" s="2050"/>
      <c r="AP99" s="2038"/>
      <c r="AQ99" s="2038"/>
      <c r="AR99" s="2038"/>
      <c r="AS99" s="2038"/>
      <c r="AT99" s="2038"/>
      <c r="AU99" s="2038"/>
      <c r="AV99" s="2038"/>
    </row>
    <row r="100" spans="1:48" ht="13.5" thickBot="1">
      <c r="C100" s="23" t="s">
        <v>1853</v>
      </c>
      <c r="M100" s="7000"/>
      <c r="N100" s="7001"/>
      <c r="O100" s="7001"/>
      <c r="P100" s="7001"/>
      <c r="Q100" s="7001"/>
      <c r="R100" s="7001"/>
      <c r="S100" s="7001"/>
      <c r="T100" s="7001"/>
      <c r="U100" s="7001"/>
      <c r="V100" s="7001"/>
      <c r="W100" s="7001"/>
      <c r="X100" s="7001"/>
      <c r="Y100" s="7002"/>
      <c r="AA100" s="2038"/>
      <c r="AB100" s="2038"/>
      <c r="AC100" s="2038"/>
      <c r="AD100" s="2038"/>
      <c r="AE100" s="2038"/>
      <c r="AF100" s="2038"/>
      <c r="AG100" s="2038"/>
      <c r="AH100" s="2038"/>
      <c r="AI100" s="2038"/>
      <c r="AJ100" s="2038"/>
      <c r="AK100" s="2038"/>
      <c r="AL100" s="2038"/>
      <c r="AN100" s="2050"/>
      <c r="AO100" s="2050"/>
      <c r="AP100" s="2038"/>
      <c r="AQ100" s="2038"/>
      <c r="AR100" s="2038"/>
      <c r="AS100" s="2038"/>
      <c r="AT100" s="2038"/>
      <c r="AU100" s="2038"/>
      <c r="AV100" s="2038"/>
    </row>
    <row r="101" spans="1:48">
      <c r="C101" s="110"/>
      <c r="D101" s="22" t="str">
        <f>"Who isn't filing a joint return for "&amp;TaxYear</f>
        <v>Who isn't filing a joint return for 2023</v>
      </c>
      <c r="M101" s="2750"/>
      <c r="N101" s="2750"/>
      <c r="O101" s="2750"/>
      <c r="P101" s="2750"/>
      <c r="Q101" s="2750"/>
      <c r="R101" s="2750"/>
      <c r="S101" s="2750"/>
      <c r="T101" s="2750"/>
      <c r="U101" s="2750"/>
      <c r="V101" s="2750"/>
      <c r="W101" s="2750"/>
      <c r="X101" s="2750"/>
      <c r="Y101" s="2750"/>
      <c r="Z101" s="32"/>
      <c r="AA101" s="2038"/>
      <c r="AB101" s="2038"/>
      <c r="AC101" s="2038"/>
      <c r="AD101" s="2038"/>
      <c r="AE101" s="2038"/>
      <c r="AF101" s="2038"/>
      <c r="AG101" s="2038"/>
      <c r="AH101" s="2038"/>
      <c r="AI101" s="2038"/>
      <c r="AJ101" s="2038"/>
      <c r="AK101" s="2038"/>
      <c r="AL101" s="2038"/>
      <c r="AN101" s="2050"/>
      <c r="AO101" s="2050"/>
      <c r="AP101" s="2038"/>
      <c r="AQ101" s="2038"/>
      <c r="AR101" s="2038"/>
      <c r="AS101" s="2038"/>
      <c r="AT101" s="2038"/>
      <c r="AU101" s="2038"/>
      <c r="AV101" s="2038"/>
    </row>
    <row r="102" spans="1:48" ht="13.5" thickBot="1">
      <c r="C102" s="110"/>
      <c r="D102" s="22" t="str">
        <f>"or is filing a joint return for "&amp;TaxYear&amp;" only to claim a refund of withheld income tax or"</f>
        <v>or is filing a joint return for 2023 only to claim a refund of withheld income tax or</v>
      </c>
      <c r="M102" s="2751" t="s">
        <v>1849</v>
      </c>
      <c r="N102" s="32"/>
      <c r="O102" s="32"/>
      <c r="P102" s="32"/>
      <c r="Q102" s="32"/>
      <c r="R102" s="32"/>
      <c r="S102" s="32"/>
      <c r="T102" s="32"/>
      <c r="U102" s="32"/>
      <c r="V102" s="32"/>
      <c r="W102" s="32"/>
      <c r="X102" s="32"/>
      <c r="Y102" s="32"/>
      <c r="Z102" s="32"/>
      <c r="AA102" s="2038"/>
      <c r="AB102" s="2038"/>
      <c r="AC102" s="2038"/>
      <c r="AD102" s="2038"/>
      <c r="AE102" s="2038"/>
      <c r="AF102" s="2038"/>
      <c r="AG102" s="2038"/>
      <c r="AH102" s="2038"/>
      <c r="AI102" s="2038"/>
      <c r="AJ102" s="2038"/>
      <c r="AK102" s="2038"/>
      <c r="AL102" s="2038"/>
      <c r="AN102" s="2050"/>
      <c r="AO102" s="2050"/>
      <c r="AP102" s="2038"/>
      <c r="AQ102" s="2038"/>
      <c r="AR102" s="2038"/>
      <c r="AS102" s="2038"/>
      <c r="AT102" s="2038"/>
      <c r="AU102" s="2038"/>
      <c r="AV102" s="2038"/>
    </row>
    <row r="103" spans="1:48" ht="12.75" customHeight="1">
      <c r="C103" s="110"/>
      <c r="D103" s="61" t="s">
        <v>1858</v>
      </c>
      <c r="M103" s="6994"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2023, see Qualifying child of more than one person, later. If the child was married, see Married child, later.</v>
      </c>
      <c r="N103" s="6995"/>
      <c r="O103" s="6995"/>
      <c r="P103" s="6995"/>
      <c r="Q103" s="6995"/>
      <c r="R103" s="6995"/>
      <c r="S103" s="6995"/>
      <c r="T103" s="6995"/>
      <c r="U103" s="6995"/>
      <c r="V103" s="6995"/>
      <c r="W103" s="6995"/>
      <c r="X103" s="6995"/>
      <c r="Y103" s="6996"/>
      <c r="Z103" s="32"/>
      <c r="AA103" s="2038"/>
      <c r="AB103" s="2038"/>
      <c r="AC103" s="2038"/>
      <c r="AD103" s="2038"/>
      <c r="AE103" s="2038"/>
      <c r="AF103" s="2038"/>
      <c r="AG103" s="2038"/>
      <c r="AH103" s="2038"/>
      <c r="AI103" s="2038"/>
      <c r="AJ103" s="2038"/>
      <c r="AK103" s="2038"/>
      <c r="AL103" s="2038"/>
      <c r="AN103" s="2050"/>
      <c r="AO103" s="2050"/>
      <c r="AP103" s="2038"/>
      <c r="AQ103" s="2038"/>
      <c r="AR103" s="2038"/>
      <c r="AS103" s="2038"/>
      <c r="AT103" s="2038"/>
      <c r="AU103" s="2038"/>
      <c r="AV103" s="2038"/>
    </row>
    <row r="104" spans="1:48">
      <c r="C104" s="23" t="s">
        <v>1853</v>
      </c>
      <c r="M104" s="6997"/>
      <c r="N104" s="6998"/>
      <c r="O104" s="6998"/>
      <c r="P104" s="6998"/>
      <c r="Q104" s="6998"/>
      <c r="R104" s="6998"/>
      <c r="S104" s="6998"/>
      <c r="T104" s="6998"/>
      <c r="U104" s="6998"/>
      <c r="V104" s="6998"/>
      <c r="W104" s="6998"/>
      <c r="X104" s="6998"/>
      <c r="Y104" s="6999"/>
      <c r="Z104" s="32"/>
      <c r="AA104" s="2038"/>
      <c r="AB104" s="2038"/>
      <c r="AC104" s="2038"/>
      <c r="AD104" s="2038"/>
      <c r="AE104" s="2038"/>
      <c r="AF104" s="2038"/>
      <c r="AG104" s="2038"/>
      <c r="AH104" s="2038"/>
      <c r="AI104" s="2038"/>
      <c r="AJ104" s="2038"/>
      <c r="AK104" s="2038"/>
      <c r="AL104" s="2038"/>
      <c r="AN104" s="2050"/>
      <c r="AO104" s="2050"/>
      <c r="AP104" s="2038"/>
      <c r="AQ104" s="2038"/>
      <c r="AR104" s="2038"/>
      <c r="AS104" s="2038"/>
      <c r="AT104" s="2038"/>
      <c r="AU104" s="2038"/>
      <c r="AV104" s="2038"/>
    </row>
    <row r="105" spans="1:48">
      <c r="C105" s="110"/>
      <c r="D105" s="22" t="str">
        <f>"Who lived with you in the United States for more than half of "&amp;TaxYear&amp;"."</f>
        <v>Who lived with you in the United States for more than half of 2023.</v>
      </c>
      <c r="M105" s="6997"/>
      <c r="N105" s="6998"/>
      <c r="O105" s="6998"/>
      <c r="P105" s="6998"/>
      <c r="Q105" s="6998"/>
      <c r="R105" s="6998"/>
      <c r="S105" s="6998"/>
      <c r="T105" s="6998"/>
      <c r="U105" s="6998"/>
      <c r="V105" s="6998"/>
      <c r="W105" s="6998"/>
      <c r="X105" s="6998"/>
      <c r="Y105" s="6999"/>
      <c r="AA105" s="2038"/>
      <c r="AB105" s="2038"/>
      <c r="AC105" s="2038"/>
      <c r="AD105" s="2038"/>
      <c r="AE105" s="2038"/>
      <c r="AF105" s="2038"/>
      <c r="AG105" s="2038"/>
      <c r="AH105" s="2038"/>
      <c r="AI105" s="2038"/>
      <c r="AJ105" s="2038"/>
      <c r="AK105" s="2038"/>
      <c r="AL105" s="2038"/>
      <c r="AN105" s="2050"/>
      <c r="AO105" s="2050"/>
      <c r="AP105" s="2038"/>
      <c r="AQ105" s="2038"/>
      <c r="AR105" s="2038"/>
      <c r="AS105" s="2038"/>
      <c r="AT105" s="2038"/>
      <c r="AU105" s="2038"/>
      <c r="AV105" s="2038"/>
    </row>
    <row r="106" spans="1:48" ht="13.5" thickBot="1">
      <c r="C106" s="110"/>
      <c r="K106" s="37"/>
      <c r="M106" s="7000"/>
      <c r="N106" s="7001"/>
      <c r="O106" s="7001"/>
      <c r="P106" s="7001"/>
      <c r="Q106" s="7001"/>
      <c r="R106" s="7001"/>
      <c r="S106" s="7001"/>
      <c r="T106" s="7001"/>
      <c r="U106" s="7001"/>
      <c r="V106" s="7001"/>
      <c r="W106" s="7001"/>
      <c r="X106" s="7001"/>
      <c r="Y106" s="7002"/>
      <c r="AA106" s="2038"/>
      <c r="AB106" s="2038"/>
      <c r="AC106" s="2038"/>
      <c r="AD106" s="2038"/>
      <c r="AE106" s="2038"/>
      <c r="AF106" s="2038"/>
      <c r="AG106" s="2038"/>
      <c r="AH106" s="2038"/>
      <c r="AI106" s="2038"/>
      <c r="AJ106" s="2038"/>
      <c r="AK106" s="2038"/>
      <c r="AL106" s="2038"/>
      <c r="AN106" s="2050"/>
      <c r="AO106" s="2050"/>
      <c r="AP106" s="2038"/>
      <c r="AQ106" s="2038"/>
      <c r="AR106" s="2038"/>
      <c r="AS106" s="2038"/>
      <c r="AT106" s="2038"/>
      <c r="AU106" s="2038"/>
      <c r="AV106" s="2038"/>
    </row>
    <row r="107" spans="1:48">
      <c r="C107" s="110"/>
      <c r="K107" s="37" t="s">
        <v>867</v>
      </c>
      <c r="M107" s="4652"/>
      <c r="N107" s="4652"/>
      <c r="O107" s="4652"/>
      <c r="P107" s="4652"/>
      <c r="Q107" s="4652"/>
      <c r="R107" s="4652"/>
      <c r="S107" s="4652"/>
      <c r="T107" s="4652"/>
      <c r="U107" s="4652"/>
      <c r="V107" s="4652"/>
      <c r="W107" s="4652"/>
      <c r="X107" s="4652"/>
      <c r="Y107" s="4652"/>
      <c r="AA107" s="2038"/>
      <c r="AB107" s="2038"/>
      <c r="AC107" s="2038"/>
      <c r="AD107" s="2038"/>
      <c r="AE107" s="2038"/>
      <c r="AF107" s="2038"/>
      <c r="AG107" s="2038"/>
      <c r="AH107" s="2038"/>
      <c r="AI107" s="2038"/>
      <c r="AJ107" s="2038"/>
      <c r="AK107" s="2038"/>
      <c r="AL107" s="2038"/>
      <c r="AN107" s="2050"/>
      <c r="AO107" s="2050"/>
      <c r="AP107" s="2038"/>
      <c r="AQ107" s="2038"/>
      <c r="AR107" s="2038"/>
      <c r="AS107" s="2038"/>
      <c r="AT107" s="2038"/>
      <c r="AU107" s="2038"/>
      <c r="AV107" s="2038"/>
    </row>
    <row r="108" spans="1:48">
      <c r="B108" s="4629">
        <f>IF(N5&lt;&gt;"",ROUND(N5,0),Dependents!AQ38)</f>
        <v>0</v>
      </c>
      <c r="C108" s="110"/>
      <c r="D108" s="1297" t="s">
        <v>1859</v>
      </c>
      <c r="K108" s="4651" t="str">
        <f>IF(N5="","",N5)</f>
        <v/>
      </c>
      <c r="L108" s="23" t="str">
        <f>IF(N5&lt;&gt;"","&lt; Override from Line 1 (row 5).","")</f>
        <v/>
      </c>
      <c r="AA108" s="2038"/>
      <c r="AB108" s="2038"/>
      <c r="AC108" s="2038"/>
      <c r="AD108" s="2038"/>
      <c r="AE108" s="2038"/>
      <c r="AF108" s="2038"/>
      <c r="AG108" s="2038"/>
      <c r="AH108" s="2038"/>
      <c r="AI108" s="2038"/>
      <c r="AJ108" s="2038"/>
      <c r="AK108" s="2038"/>
      <c r="AL108" s="2038"/>
      <c r="AN108" s="2050"/>
      <c r="AO108" s="2050"/>
      <c r="AP108" s="2038"/>
      <c r="AQ108" s="2038"/>
      <c r="AR108" s="2038"/>
      <c r="AS108" s="2038"/>
      <c r="AT108" s="2038"/>
      <c r="AU108" s="2038"/>
      <c r="AV108" s="2038"/>
    </row>
    <row r="109" spans="1:48" ht="11.25" customHeight="1">
      <c r="AA109" s="2038"/>
      <c r="AB109" s="2038"/>
      <c r="AC109" s="2038"/>
      <c r="AD109" s="2038"/>
      <c r="AE109" s="2038"/>
      <c r="AF109" s="2038"/>
      <c r="AG109" s="2038"/>
      <c r="AH109" s="2038"/>
      <c r="AI109" s="2038"/>
      <c r="AJ109" s="2038"/>
      <c r="AK109" s="2038"/>
      <c r="AL109" s="2038"/>
      <c r="AN109" s="2050"/>
      <c r="AO109" s="2050"/>
      <c r="AP109" s="2038"/>
      <c r="AQ109" s="2038"/>
      <c r="AR109" s="2038"/>
      <c r="AS109" s="2038"/>
      <c r="AT109" s="2038"/>
      <c r="AU109" s="2038"/>
      <c r="AV109" s="2038"/>
    </row>
    <row r="110" spans="1:48" s="1293" customFormat="1">
      <c r="B110" s="1292"/>
      <c r="N110" s="1294"/>
      <c r="AA110" s="2051"/>
      <c r="AB110" s="2051"/>
      <c r="AC110" s="2051"/>
      <c r="AD110" s="2051"/>
      <c r="AE110" s="2051"/>
      <c r="AF110" s="2051"/>
      <c r="AG110" s="2051"/>
      <c r="AH110" s="2051"/>
      <c r="AI110" s="2051"/>
      <c r="AJ110" s="2051"/>
      <c r="AK110" s="2051"/>
      <c r="AL110" s="2051"/>
      <c r="AN110" s="2052"/>
      <c r="AO110" s="2052"/>
      <c r="AP110" s="2051"/>
      <c r="AQ110" s="2051"/>
      <c r="AR110" s="2051"/>
      <c r="AS110" s="2051"/>
      <c r="AT110" s="2051"/>
      <c r="AU110" s="2051"/>
      <c r="AV110" s="2051"/>
    </row>
    <row r="111" spans="1:48" s="109" customFormat="1" ht="15.75">
      <c r="A111" s="1308" t="s">
        <v>1844</v>
      </c>
      <c r="B111" s="1309" t="s">
        <v>1860</v>
      </c>
      <c r="C111" s="1286"/>
      <c r="F111" s="1298"/>
      <c r="N111" s="1287"/>
      <c r="AA111" s="2048"/>
      <c r="AB111" s="2048"/>
      <c r="AC111" s="2048"/>
      <c r="AD111" s="2048"/>
      <c r="AE111" s="2048"/>
      <c r="AF111" s="2048"/>
      <c r="AG111" s="2048"/>
      <c r="AH111" s="2048"/>
      <c r="AI111" s="2048"/>
      <c r="AJ111" s="2048"/>
      <c r="AK111" s="2048"/>
      <c r="AL111" s="2048"/>
      <c r="AN111" s="2049"/>
      <c r="AO111" s="2049"/>
      <c r="AP111" s="2048"/>
      <c r="AQ111" s="2048"/>
      <c r="AR111" s="2048"/>
      <c r="AS111" s="2048"/>
      <c r="AT111" s="2048"/>
      <c r="AU111" s="2048"/>
      <c r="AV111" s="2048"/>
    </row>
    <row r="112" spans="1:48">
      <c r="A112" s="37" t="s">
        <v>1861</v>
      </c>
      <c r="C112" s="872"/>
      <c r="AA112" s="2038"/>
      <c r="AB112" s="2038"/>
      <c r="AC112" s="2038"/>
      <c r="AD112" s="2038"/>
      <c r="AE112" s="2038"/>
      <c r="AF112" s="2038"/>
      <c r="AG112" s="2038"/>
      <c r="AH112" s="2038"/>
      <c r="AI112" s="2038"/>
      <c r="AJ112" s="2038"/>
      <c r="AK112" s="2038"/>
      <c r="AL112" s="2038"/>
      <c r="AN112" s="2050"/>
      <c r="AO112" s="2050"/>
      <c r="AP112" s="2038"/>
      <c r="AQ112" s="2038"/>
      <c r="AR112" s="2038"/>
      <c r="AS112" s="2038"/>
      <c r="AT112" s="2038"/>
      <c r="AU112" s="2038"/>
      <c r="AV112" s="2038"/>
    </row>
    <row r="113" spans="1:48">
      <c r="C113" s="1290" t="s">
        <v>167</v>
      </c>
      <c r="D113" s="61" t="s">
        <v>1862</v>
      </c>
      <c r="AA113" s="2038"/>
      <c r="AB113" s="2038"/>
      <c r="AC113" s="2038"/>
      <c r="AD113" s="2038"/>
      <c r="AE113" s="2038"/>
      <c r="AF113" s="2038"/>
      <c r="AG113" s="2038"/>
      <c r="AH113" s="2038"/>
      <c r="AI113" s="2038"/>
      <c r="AJ113" s="2038"/>
      <c r="AK113" s="2038"/>
      <c r="AL113" s="2038"/>
      <c r="AN113" s="2050"/>
      <c r="AO113" s="2050"/>
      <c r="AP113" s="2038"/>
      <c r="AQ113" s="2038"/>
      <c r="AR113" s="2038"/>
      <c r="AS113" s="2038"/>
      <c r="AT113" s="2038"/>
      <c r="AU113" s="2038"/>
      <c r="AV113" s="2038"/>
    </row>
    <row r="114" spans="1:48">
      <c r="C114" s="1290"/>
      <c r="D114" s="61" t="s">
        <v>1863</v>
      </c>
      <c r="AA114" s="2038"/>
      <c r="AB114" s="2038"/>
      <c r="AC114" s="2038"/>
      <c r="AD114" s="2038"/>
      <c r="AE114" s="2038"/>
      <c r="AF114" s="2038"/>
      <c r="AG114" s="2038"/>
      <c r="AH114" s="2038"/>
      <c r="AI114" s="2038"/>
      <c r="AJ114" s="2038"/>
      <c r="AK114" s="2038"/>
      <c r="AL114" s="2038"/>
      <c r="AN114" s="2050"/>
      <c r="AO114" s="2050"/>
      <c r="AP114" s="2038"/>
      <c r="AQ114" s="2038"/>
      <c r="AR114" s="2038"/>
      <c r="AS114" s="2038"/>
      <c r="AT114" s="2038"/>
      <c r="AU114" s="2038"/>
      <c r="AV114" s="2038"/>
    </row>
    <row r="115" spans="1:48">
      <c r="AA115" s="2038"/>
      <c r="AB115" s="2038"/>
      <c r="AC115" s="2038"/>
      <c r="AD115" s="2038"/>
      <c r="AE115" s="2038"/>
      <c r="AF115" s="2038"/>
      <c r="AG115" s="2038"/>
      <c r="AH115" s="2038"/>
      <c r="AI115" s="2038"/>
      <c r="AJ115" s="2038"/>
      <c r="AK115" s="2038"/>
      <c r="AL115" s="2038"/>
      <c r="AN115" s="2050"/>
      <c r="AO115" s="2050"/>
      <c r="AP115" s="2038"/>
      <c r="AQ115" s="2038"/>
      <c r="AR115" s="2038"/>
      <c r="AS115" s="2038"/>
      <c r="AT115" s="2038"/>
      <c r="AU115" s="2038"/>
      <c r="AV115" s="2038"/>
    </row>
    <row r="116" spans="1:48">
      <c r="A116" s="805" t="b">
        <f>AND(EIC_trigger,EICNumQualChild&lt;&gt;"",EICNumQualChild&gt;0)</f>
        <v>0</v>
      </c>
      <c r="B116" s="1576" t="str">
        <f>IF(EICNumQualChild&gt;0,"X","")</f>
        <v/>
      </c>
      <c r="D116" s="61" t="s">
        <v>1831</v>
      </c>
      <c r="H116" s="1576" t="str">
        <f>IF(EICNumQualChild="","",IF(EICNumQualChild&gt;0,"","X"))</f>
        <v>X</v>
      </c>
      <c r="J116" s="61" t="s">
        <v>1864</v>
      </c>
      <c r="N116" s="22"/>
      <c r="O116" s="805" t="b">
        <f>AND(EIC_trigger,NOT(A116))</f>
        <v>0</v>
      </c>
      <c r="P116" s="61"/>
      <c r="AA116" s="2038"/>
      <c r="AB116" s="2038"/>
      <c r="AC116" s="2038"/>
      <c r="AD116" s="2038"/>
      <c r="AE116" s="2038"/>
      <c r="AF116" s="2038"/>
      <c r="AG116" s="2038"/>
      <c r="AH116" s="2038"/>
      <c r="AI116" s="2038"/>
      <c r="AJ116" s="2038"/>
      <c r="AK116" s="2038"/>
      <c r="AL116" s="2038"/>
      <c r="AN116" s="2050"/>
      <c r="AO116" s="2050"/>
      <c r="AP116" s="2038"/>
      <c r="AQ116" s="2038"/>
      <c r="AR116" s="2038"/>
      <c r="AS116" s="2038"/>
      <c r="AT116" s="2038"/>
      <c r="AU116" s="2038"/>
      <c r="AV116" s="2038"/>
    </row>
    <row r="117" spans="1:48">
      <c r="C117" s="38"/>
      <c r="D117" s="38"/>
      <c r="E117" s="38"/>
      <c r="F117" s="38"/>
      <c r="G117" s="38"/>
      <c r="H117" s="38"/>
      <c r="I117" s="38"/>
      <c r="J117" s="38"/>
      <c r="K117" s="38"/>
      <c r="L117" s="38"/>
      <c r="M117" s="38"/>
      <c r="AA117" s="2038"/>
      <c r="AB117" s="2038"/>
      <c r="AC117" s="2038"/>
      <c r="AD117" s="2038"/>
      <c r="AE117" s="2038"/>
      <c r="AF117" s="2038"/>
      <c r="AG117" s="2038"/>
      <c r="AH117" s="2038"/>
      <c r="AI117" s="2038"/>
      <c r="AJ117" s="2038"/>
      <c r="AK117" s="2038"/>
      <c r="AL117" s="2038"/>
      <c r="AN117" s="2050"/>
      <c r="AO117" s="2050"/>
      <c r="AP117" s="2038"/>
      <c r="AQ117" s="2038"/>
      <c r="AR117" s="2038"/>
      <c r="AS117" s="2038"/>
      <c r="AT117" s="2038"/>
      <c r="AU117" s="2038"/>
      <c r="AV117" s="2038"/>
    </row>
    <row r="118" spans="1:48">
      <c r="C118" s="49"/>
      <c r="D118" s="49"/>
      <c r="E118" s="49"/>
      <c r="F118" s="49"/>
      <c r="G118" s="49"/>
      <c r="H118" s="49"/>
      <c r="I118" s="49"/>
      <c r="J118" s="49"/>
      <c r="K118" s="49"/>
      <c r="L118" s="49"/>
      <c r="M118" s="49"/>
      <c r="AA118" s="2038"/>
      <c r="AB118" s="2038"/>
      <c r="AC118" s="2038"/>
      <c r="AD118" s="2038"/>
      <c r="AE118" s="2038"/>
      <c r="AF118" s="2038"/>
      <c r="AG118" s="2038"/>
      <c r="AH118" s="2038"/>
      <c r="AI118" s="2038"/>
      <c r="AJ118" s="2038"/>
      <c r="AK118" s="2038"/>
      <c r="AL118" s="2038"/>
      <c r="AN118" s="2050"/>
      <c r="AO118" s="2050"/>
      <c r="AP118" s="2038"/>
      <c r="AQ118" s="2038"/>
      <c r="AR118" s="2038"/>
      <c r="AS118" s="2038"/>
      <c r="AT118" s="2038"/>
      <c r="AU118" s="2038"/>
      <c r="AV118" s="2038"/>
    </row>
    <row r="119" spans="1:48">
      <c r="A119" s="6991"/>
      <c r="B119" s="6992"/>
      <c r="C119" s="1290" t="s">
        <v>171</v>
      </c>
      <c r="D119" s="22" t="str">
        <f>"Are you filing a joint return for "&amp;TaxYear&amp;"?"</f>
        <v>Are you filing a joint return for 2023?</v>
      </c>
      <c r="AA119" s="2038"/>
      <c r="AB119" s="2038"/>
      <c r="AC119" s="2038"/>
      <c r="AD119" s="2038"/>
      <c r="AE119" s="2038"/>
      <c r="AF119" s="2038"/>
      <c r="AG119" s="2038"/>
      <c r="AH119" s="2038"/>
      <c r="AI119" s="2038"/>
      <c r="AJ119" s="2038"/>
      <c r="AK119" s="2038"/>
      <c r="AL119" s="2038"/>
      <c r="AN119" s="2050"/>
      <c r="AO119" s="2050"/>
      <c r="AP119" s="2038"/>
      <c r="AQ119" s="2038"/>
      <c r="AR119" s="2038"/>
      <c r="AS119" s="2038"/>
      <c r="AT119" s="2038"/>
      <c r="AU119" s="2038"/>
      <c r="AV119" s="2038"/>
    </row>
    <row r="120" spans="1:48">
      <c r="AA120" s="2038"/>
      <c r="AB120" s="2038"/>
      <c r="AC120" s="2038"/>
      <c r="AD120" s="2038"/>
      <c r="AE120" s="2038"/>
      <c r="AF120" s="2038"/>
      <c r="AG120" s="2038"/>
      <c r="AH120" s="2038"/>
      <c r="AI120" s="2038"/>
      <c r="AJ120" s="2038"/>
      <c r="AK120" s="2038"/>
      <c r="AL120" s="2038"/>
      <c r="AN120" s="2050"/>
      <c r="AO120" s="2050"/>
      <c r="AP120" s="2038"/>
      <c r="AQ120" s="2038"/>
      <c r="AR120" s="2038"/>
      <c r="AS120" s="2038"/>
      <c r="AT120" s="2038"/>
      <c r="AU120" s="2038"/>
      <c r="AV120" s="2038"/>
    </row>
    <row r="121" spans="1:48">
      <c r="A121" s="805" t="b">
        <f>AND(EIC_trigger,A116,File_Marr_Joint&lt;&gt;"",NumFileStatusBoxes=1)</f>
        <v>0</v>
      </c>
      <c r="B121" s="1575" t="str">
        <f>IF(A121,"X","")</f>
        <v/>
      </c>
      <c r="D121" s="61" t="s">
        <v>1865</v>
      </c>
      <c r="H121" s="1575" t="str">
        <f>IF(N121,"X","")</f>
        <v/>
      </c>
      <c r="J121" s="61" t="s">
        <v>1866</v>
      </c>
      <c r="K121" s="13"/>
      <c r="N121" s="805" t="b">
        <f>AND(A116,NOT(A121))</f>
        <v>0</v>
      </c>
      <c r="AA121" s="2038"/>
      <c r="AB121" s="2038"/>
      <c r="AC121" s="2038"/>
      <c r="AD121" s="2038"/>
      <c r="AE121" s="2038"/>
      <c r="AF121" s="2038"/>
      <c r="AG121" s="2038"/>
      <c r="AH121" s="2038"/>
      <c r="AI121" s="2038"/>
      <c r="AJ121" s="2038"/>
      <c r="AK121" s="2038"/>
      <c r="AL121" s="2038"/>
      <c r="AN121" s="2050"/>
      <c r="AO121" s="2050"/>
      <c r="AP121" s="2038"/>
      <c r="AQ121" s="2038"/>
      <c r="AR121" s="2038"/>
      <c r="AS121" s="2038"/>
      <c r="AT121" s="2038"/>
      <c r="AU121" s="2038"/>
      <c r="AV121" s="2038"/>
    </row>
    <row r="122" spans="1:48">
      <c r="D122" s="61" t="s">
        <v>1867</v>
      </c>
      <c r="AA122" s="2038"/>
      <c r="AB122" s="2038"/>
      <c r="AC122" s="2038"/>
      <c r="AD122" s="2038"/>
      <c r="AE122" s="2038"/>
      <c r="AF122" s="2038"/>
      <c r="AG122" s="2038"/>
      <c r="AH122" s="2038"/>
      <c r="AI122" s="2038"/>
      <c r="AJ122" s="2038"/>
      <c r="AK122" s="2038"/>
      <c r="AL122" s="2038"/>
      <c r="AN122" s="2050"/>
      <c r="AO122" s="2050"/>
      <c r="AP122" s="2038"/>
      <c r="AQ122" s="2038"/>
      <c r="AR122" s="2038"/>
      <c r="AS122" s="2038"/>
      <c r="AT122" s="2038"/>
      <c r="AU122" s="2038"/>
      <c r="AV122" s="2038"/>
    </row>
    <row r="123" spans="1:48">
      <c r="C123" s="38"/>
      <c r="D123" s="38"/>
      <c r="E123" s="38"/>
      <c r="F123" s="38"/>
      <c r="G123" s="38"/>
      <c r="H123" s="38"/>
      <c r="I123" s="38"/>
      <c r="J123" s="38"/>
      <c r="K123" s="38"/>
      <c r="L123" s="38"/>
      <c r="M123" s="38"/>
      <c r="AA123" s="2038"/>
      <c r="AB123" s="2038"/>
      <c r="AC123" s="2038"/>
      <c r="AD123" s="2038"/>
      <c r="AE123" s="2038"/>
      <c r="AF123" s="2038"/>
      <c r="AG123" s="2038"/>
      <c r="AH123" s="2038"/>
      <c r="AI123" s="2038"/>
      <c r="AJ123" s="2038"/>
      <c r="AK123" s="2038"/>
      <c r="AL123" s="2038"/>
      <c r="AN123" s="2050"/>
      <c r="AO123" s="2050"/>
      <c r="AP123" s="2038"/>
      <c r="AQ123" s="2038"/>
      <c r="AR123" s="2038"/>
      <c r="AS123" s="2038"/>
      <c r="AT123" s="2038"/>
      <c r="AU123" s="2038"/>
      <c r="AV123" s="2038"/>
    </row>
    <row r="124" spans="1:48">
      <c r="C124" s="49"/>
      <c r="D124" s="49"/>
      <c r="E124" s="49"/>
      <c r="F124" s="49"/>
      <c r="G124" s="49"/>
      <c r="H124" s="49"/>
      <c r="I124" s="49"/>
      <c r="J124" s="49"/>
      <c r="K124" s="49"/>
      <c r="L124" s="49"/>
      <c r="M124" s="49"/>
      <c r="AA124" s="2038"/>
      <c r="AB124" s="2038"/>
      <c r="AC124" s="2038"/>
      <c r="AD124" s="2038"/>
      <c r="AE124" s="2038"/>
      <c r="AF124" s="2038"/>
      <c r="AG124" s="2038"/>
      <c r="AH124" s="2038"/>
      <c r="AI124" s="2038"/>
      <c r="AJ124" s="2038"/>
      <c r="AK124" s="2038"/>
      <c r="AL124" s="2038"/>
      <c r="AN124" s="2050"/>
      <c r="AO124" s="2050"/>
      <c r="AP124" s="2038"/>
      <c r="AQ124" s="2038"/>
      <c r="AR124" s="2038"/>
      <c r="AS124" s="2038"/>
      <c r="AT124" s="2038"/>
      <c r="AU124" s="2038"/>
      <c r="AV124" s="2038"/>
    </row>
    <row r="125" spans="1:48">
      <c r="A125" s="6991" t="str">
        <f>IF(H122&lt;&gt;"","Skip","")</f>
        <v/>
      </c>
      <c r="B125" s="6992"/>
      <c r="C125" s="1299" t="s">
        <v>177</v>
      </c>
      <c r="D125" s="61" t="s">
        <v>1868</v>
      </c>
      <c r="AA125" s="2038"/>
      <c r="AB125" s="2038"/>
      <c r="AC125" s="2038"/>
      <c r="AD125" s="2038"/>
      <c r="AE125" s="2038"/>
      <c r="AF125" s="2038"/>
      <c r="AG125" s="2038"/>
      <c r="AH125" s="2038"/>
      <c r="AI125" s="2038"/>
      <c r="AJ125" s="2038"/>
      <c r="AK125" s="2038"/>
      <c r="AL125" s="2038"/>
      <c r="AN125" s="2050"/>
      <c r="AO125" s="2050"/>
      <c r="AP125" s="2038"/>
      <c r="AQ125" s="2038"/>
      <c r="AR125" s="2038"/>
      <c r="AS125" s="2038"/>
      <c r="AT125" s="2038"/>
      <c r="AU125" s="2038"/>
      <c r="AV125" s="2038"/>
    </row>
    <row r="126" spans="1:48">
      <c r="A126" s="4376"/>
      <c r="B126" s="4377"/>
      <c r="C126" s="1299"/>
      <c r="D126" s="61" t="s">
        <v>1869</v>
      </c>
      <c r="AA126" s="2038"/>
      <c r="AB126" s="2038"/>
      <c r="AC126" s="2038"/>
      <c r="AD126" s="2038"/>
      <c r="AE126" s="2038"/>
      <c r="AF126" s="2038"/>
      <c r="AG126" s="2038"/>
      <c r="AH126" s="2038"/>
      <c r="AI126" s="2038"/>
      <c r="AJ126" s="2038"/>
      <c r="AK126" s="2038"/>
      <c r="AL126" s="2038"/>
      <c r="AN126" s="2050"/>
      <c r="AO126" s="2050"/>
      <c r="AP126" s="2038"/>
      <c r="AQ126" s="2038"/>
      <c r="AR126" s="2038"/>
      <c r="AS126" s="2038"/>
      <c r="AT126" s="2038"/>
      <c r="AU126" s="2038"/>
      <c r="AV126" s="2038"/>
    </row>
    <row r="127" spans="1:48">
      <c r="AA127" s="2038"/>
      <c r="AB127" s="2038"/>
      <c r="AC127" s="2038"/>
      <c r="AD127" s="2038"/>
      <c r="AE127" s="2038"/>
      <c r="AF127" s="2038"/>
      <c r="AG127" s="2038"/>
      <c r="AH127" s="2038"/>
      <c r="AI127" s="2038"/>
      <c r="AJ127" s="2038"/>
      <c r="AK127" s="2038"/>
      <c r="AL127" s="2038"/>
      <c r="AN127" s="2050"/>
      <c r="AO127" s="2050"/>
      <c r="AP127" s="2038"/>
      <c r="AQ127" s="2038"/>
      <c r="AR127" s="2038"/>
      <c r="AS127" s="2038"/>
      <c r="AT127" s="2038"/>
      <c r="AU127" s="2038"/>
      <c r="AV127" s="2038"/>
    </row>
    <row r="128" spans="1:48">
      <c r="A128" s="805" t="b">
        <f>AND(EIC_trigger,N121,NumFileStatusBoxes=1,OR(File_Marr_Sep&lt;&gt;"",File_Head&lt;&gt;""))</f>
        <v>0</v>
      </c>
      <c r="B128" s="1575" t="str">
        <f>IF(A128,"X","")</f>
        <v/>
      </c>
      <c r="D128" s="61" t="s">
        <v>1831</v>
      </c>
      <c r="H128" s="1575" t="str">
        <f>IF(N128,"X","")</f>
        <v/>
      </c>
      <c r="J128" s="61" t="s">
        <v>1870</v>
      </c>
      <c r="N128" s="805" t="b">
        <f>AND(EIC_trigger,N121,NumFileStatusBoxes=1,NOT(OR(File_Marr_Sep&lt;&gt;"",File_Head&lt;&gt;"")))</f>
        <v>0</v>
      </c>
      <c r="AA128" s="2038"/>
      <c r="AB128" s="2038"/>
      <c r="AC128" s="2038"/>
      <c r="AD128" s="2038"/>
      <c r="AE128" s="2038"/>
      <c r="AF128" s="2038"/>
      <c r="AG128" s="2038"/>
      <c r="AH128" s="2038"/>
      <c r="AI128" s="2038"/>
      <c r="AJ128" s="2038"/>
      <c r="AK128" s="2038"/>
      <c r="AL128" s="2038"/>
      <c r="AN128" s="2050"/>
      <c r="AO128" s="2050"/>
      <c r="AP128" s="2038"/>
      <c r="AQ128" s="2038"/>
      <c r="AR128" s="2038"/>
      <c r="AS128" s="2038"/>
      <c r="AT128" s="2038"/>
      <c r="AU128" s="2038"/>
      <c r="AV128" s="2038"/>
    </row>
    <row r="129" spans="1:48">
      <c r="D129" s="61"/>
      <c r="J129" s="61" t="s">
        <v>1871</v>
      </c>
      <c r="AA129" s="2038"/>
      <c r="AB129" s="2038"/>
      <c r="AC129" s="2038"/>
      <c r="AD129" s="2038"/>
      <c r="AE129" s="2038"/>
      <c r="AF129" s="2038"/>
      <c r="AG129" s="2038"/>
      <c r="AH129" s="2038"/>
      <c r="AI129" s="2038"/>
      <c r="AJ129" s="2038"/>
      <c r="AK129" s="2038"/>
      <c r="AL129" s="2038"/>
      <c r="AN129" s="2050"/>
      <c r="AO129" s="2050"/>
      <c r="AP129" s="2038"/>
      <c r="AQ129" s="2038"/>
      <c r="AR129" s="2038"/>
      <c r="AS129" s="2038"/>
      <c r="AT129" s="2038"/>
      <c r="AU129" s="2038"/>
      <c r="AV129" s="2038"/>
    </row>
    <row r="130" spans="1:48">
      <c r="C130" s="38"/>
      <c r="D130" s="38"/>
      <c r="E130" s="38"/>
      <c r="F130" s="38"/>
      <c r="G130" s="38"/>
      <c r="H130" s="38"/>
      <c r="I130" s="38"/>
      <c r="J130" s="38"/>
      <c r="K130" s="38"/>
      <c r="L130" s="38"/>
      <c r="M130" s="38"/>
      <c r="AA130" s="2038"/>
      <c r="AB130" s="2038"/>
      <c r="AC130" s="2038"/>
      <c r="AD130" s="2038"/>
      <c r="AE130" s="2038"/>
      <c r="AF130" s="2038"/>
      <c r="AG130" s="2038"/>
      <c r="AH130" s="2038"/>
      <c r="AI130" s="2038"/>
      <c r="AJ130" s="2038"/>
      <c r="AK130" s="2038"/>
      <c r="AL130" s="2038"/>
      <c r="AN130" s="2050"/>
      <c r="AO130" s="2050"/>
      <c r="AP130" s="2038"/>
      <c r="AQ130" s="2038"/>
      <c r="AR130" s="2038"/>
      <c r="AS130" s="2038"/>
      <c r="AT130" s="2038"/>
      <c r="AU130" s="2038"/>
      <c r="AV130" s="2038"/>
    </row>
    <row r="131" spans="1:48">
      <c r="C131" s="49"/>
      <c r="D131" s="49"/>
      <c r="E131" s="49"/>
      <c r="F131" s="49"/>
      <c r="G131" s="49"/>
      <c r="H131" s="49"/>
      <c r="I131" s="49"/>
      <c r="J131" s="49"/>
      <c r="K131" s="49"/>
      <c r="L131" s="49"/>
      <c r="M131" s="49"/>
      <c r="AA131" s="2038"/>
      <c r="AB131" s="2038"/>
      <c r="AC131" s="2038"/>
      <c r="AD131" s="2038"/>
      <c r="AE131" s="2038"/>
      <c r="AF131" s="2038"/>
      <c r="AG131" s="2038"/>
      <c r="AH131" s="2038"/>
      <c r="AI131" s="2038"/>
      <c r="AJ131" s="2038"/>
      <c r="AK131" s="2038"/>
      <c r="AL131" s="2038"/>
      <c r="AN131" s="2050"/>
      <c r="AO131" s="2050"/>
      <c r="AP131" s="2038"/>
      <c r="AQ131" s="2038"/>
      <c r="AR131" s="2038"/>
      <c r="AS131" s="2038"/>
      <c r="AT131" s="2038"/>
      <c r="AU131" s="2038"/>
      <c r="AV131" s="2038"/>
    </row>
    <row r="132" spans="1:48">
      <c r="A132" s="6991" t="str">
        <f>IF(H129&lt;&gt;"","Skip","")</f>
        <v/>
      </c>
      <c r="B132" s="6992"/>
      <c r="C132" s="1299" t="s">
        <v>182</v>
      </c>
      <c r="D132" s="61" t="s">
        <v>1872</v>
      </c>
      <c r="AA132" s="2038"/>
      <c r="AB132" s="2038"/>
      <c r="AC132" s="2038"/>
      <c r="AD132" s="2038"/>
      <c r="AE132" s="2038"/>
      <c r="AF132" s="2038"/>
      <c r="AG132" s="2038"/>
      <c r="AH132" s="2038"/>
      <c r="AI132" s="2038"/>
      <c r="AJ132" s="2038"/>
      <c r="AK132" s="2038"/>
      <c r="AL132" s="2038"/>
      <c r="AN132" s="2050"/>
      <c r="AO132" s="2050"/>
      <c r="AP132" s="2038"/>
      <c r="AQ132" s="2038"/>
      <c r="AR132" s="2038"/>
      <c r="AS132" s="2038"/>
      <c r="AT132" s="2038"/>
      <c r="AU132" s="2038"/>
      <c r="AV132" s="2038"/>
    </row>
    <row r="133" spans="1:48">
      <c r="A133" s="4376"/>
      <c r="B133" s="4377"/>
      <c r="C133" s="1299"/>
      <c r="D133" s="61" t="str">
        <f>"for the last 6 months of "&amp;TaxYear&amp;"?"</f>
        <v>for the last 6 months of 2023?</v>
      </c>
      <c r="AA133" s="2038"/>
      <c r="AB133" s="2038"/>
      <c r="AC133" s="2038"/>
      <c r="AD133" s="2038"/>
      <c r="AE133" s="2038"/>
      <c r="AF133" s="2038"/>
      <c r="AG133" s="2038"/>
      <c r="AH133" s="2038"/>
      <c r="AI133" s="2038"/>
      <c r="AJ133" s="2038"/>
      <c r="AK133" s="2038"/>
      <c r="AL133" s="2038"/>
      <c r="AN133" s="2050"/>
      <c r="AO133" s="2050"/>
      <c r="AP133" s="2038"/>
      <c r="AQ133" s="2038"/>
      <c r="AR133" s="2038"/>
      <c r="AS133" s="2038"/>
      <c r="AT133" s="2038"/>
      <c r="AU133" s="2038"/>
      <c r="AV133" s="2038"/>
    </row>
    <row r="134" spans="1:48">
      <c r="AA134" s="2038"/>
      <c r="AB134" s="2038"/>
      <c r="AC134" s="2038"/>
      <c r="AD134" s="2038"/>
      <c r="AE134" s="2038"/>
      <c r="AF134" s="2038"/>
      <c r="AG134" s="2038"/>
      <c r="AH134" s="2038"/>
      <c r="AI134" s="2038"/>
      <c r="AJ134" s="2038"/>
      <c r="AK134" s="2038"/>
      <c r="AL134" s="2038"/>
      <c r="AN134" s="2050"/>
      <c r="AO134" s="2050"/>
      <c r="AP134" s="2038"/>
      <c r="AQ134" s="2038"/>
      <c r="AR134" s="2038"/>
      <c r="AS134" s="2038"/>
      <c r="AT134" s="2038"/>
      <c r="AU134" s="2038"/>
      <c r="AV134" s="2038"/>
    </row>
    <row r="135" spans="1:48">
      <c r="A135" s="805" t="b">
        <f>AND(EIC_trigger,A128,H135="")</f>
        <v>0</v>
      </c>
      <c r="B135" s="1574" t="str">
        <f>IF(N135,"X","")</f>
        <v/>
      </c>
      <c r="D135" s="61" t="s">
        <v>1831</v>
      </c>
      <c r="H135" s="941"/>
      <c r="J135" s="61" t="s">
        <v>1873</v>
      </c>
      <c r="N135" s="805" t="b">
        <f>AND(EIC_trigger,A116,N121,A128,H135&lt;&gt;"")</f>
        <v>0</v>
      </c>
      <c r="AA135" s="2038"/>
      <c r="AB135" s="2038"/>
      <c r="AC135" s="2038"/>
      <c r="AD135" s="2038"/>
      <c r="AE135" s="2038"/>
      <c r="AF135" s="2038"/>
      <c r="AG135" s="2038"/>
      <c r="AH135" s="2038"/>
      <c r="AI135" s="2038"/>
      <c r="AJ135" s="2038"/>
      <c r="AK135" s="2038"/>
      <c r="AL135" s="2038"/>
      <c r="AN135" s="2050"/>
      <c r="AO135" s="2050"/>
      <c r="AP135" s="2038"/>
      <c r="AQ135" s="2038"/>
      <c r="AR135" s="2038"/>
      <c r="AS135" s="2038"/>
      <c r="AT135" s="2038"/>
      <c r="AU135" s="2038"/>
      <c r="AV135" s="2038"/>
    </row>
    <row r="136" spans="1:48">
      <c r="C136" s="38"/>
      <c r="D136" s="38"/>
      <c r="E136" s="38"/>
      <c r="F136" s="38"/>
      <c r="G136" s="38"/>
      <c r="H136" s="38"/>
      <c r="I136" s="38"/>
      <c r="J136" s="38"/>
      <c r="K136" s="38"/>
      <c r="L136" s="38"/>
      <c r="M136" s="38"/>
      <c r="AA136" s="2038"/>
      <c r="AB136" s="2038"/>
      <c r="AC136" s="2038"/>
      <c r="AD136" s="2038"/>
      <c r="AE136" s="2038"/>
      <c r="AF136" s="2038"/>
      <c r="AG136" s="2038"/>
      <c r="AH136" s="2038"/>
      <c r="AI136" s="2038"/>
      <c r="AJ136" s="2038"/>
      <c r="AK136" s="2038"/>
      <c r="AL136" s="2038"/>
      <c r="AN136" s="2050"/>
      <c r="AO136" s="2050"/>
      <c r="AP136" s="2038"/>
      <c r="AQ136" s="2038"/>
      <c r="AR136" s="2038"/>
      <c r="AS136" s="2038"/>
      <c r="AT136" s="2038"/>
      <c r="AU136" s="2038"/>
      <c r="AV136" s="2038"/>
    </row>
    <row r="137" spans="1:48">
      <c r="C137" s="49"/>
      <c r="D137" s="49"/>
      <c r="E137" s="49"/>
      <c r="F137" s="49"/>
      <c r="G137" s="49"/>
      <c r="H137" s="49"/>
      <c r="I137" s="49"/>
      <c r="J137" s="49"/>
      <c r="K137" s="49"/>
      <c r="L137" s="49"/>
      <c r="M137" s="49"/>
      <c r="AA137" s="2038"/>
      <c r="AB137" s="2038"/>
      <c r="AC137" s="2038"/>
      <c r="AD137" s="2038"/>
      <c r="AE137" s="2038"/>
      <c r="AF137" s="2038"/>
      <c r="AG137" s="2038"/>
      <c r="AH137" s="2038"/>
      <c r="AI137" s="2038"/>
      <c r="AJ137" s="2038"/>
      <c r="AK137" s="2038"/>
      <c r="AL137" s="2038"/>
      <c r="AN137" s="2050"/>
      <c r="AO137" s="2050"/>
      <c r="AP137" s="2038"/>
      <c r="AQ137" s="2038"/>
      <c r="AR137" s="2038"/>
      <c r="AS137" s="2038"/>
      <c r="AT137" s="2038"/>
      <c r="AU137" s="2038"/>
      <c r="AV137" s="2038"/>
    </row>
    <row r="138" spans="1:48">
      <c r="A138" s="6991"/>
      <c r="B138" s="6992"/>
      <c r="C138" s="1299" t="s">
        <v>198</v>
      </c>
      <c r="D138" s="61" t="s">
        <v>1874</v>
      </c>
      <c r="AA138" s="2038"/>
      <c r="AB138" s="2038"/>
      <c r="AC138" s="2038"/>
      <c r="AD138" s="2038"/>
      <c r="AE138" s="2038"/>
      <c r="AF138" s="2038"/>
      <c r="AG138" s="2038"/>
      <c r="AH138" s="2038"/>
      <c r="AI138" s="2038"/>
      <c r="AJ138" s="2038"/>
      <c r="AK138" s="2038"/>
      <c r="AL138" s="2038"/>
      <c r="AN138" s="2050"/>
      <c r="AO138" s="2050"/>
      <c r="AP138" s="2038"/>
      <c r="AQ138" s="2038"/>
      <c r="AR138" s="2038"/>
      <c r="AS138" s="2038"/>
      <c r="AT138" s="2038"/>
      <c r="AU138" s="2038"/>
      <c r="AV138" s="2038"/>
    </row>
    <row r="139" spans="1:48">
      <c r="A139" s="4376"/>
      <c r="B139" s="4428"/>
      <c r="C139" s="1299"/>
      <c r="D139" s="61" t="s">
        <v>1875</v>
      </c>
      <c r="AA139" s="2038"/>
      <c r="AB139" s="2038"/>
      <c r="AC139" s="2038"/>
      <c r="AD139" s="2038"/>
      <c r="AE139" s="2038"/>
      <c r="AF139" s="2038"/>
      <c r="AG139" s="2038"/>
      <c r="AH139" s="2038"/>
      <c r="AI139" s="2038"/>
      <c r="AJ139" s="2038"/>
      <c r="AK139" s="2038"/>
      <c r="AL139" s="2038"/>
      <c r="AN139" s="2050"/>
      <c r="AO139" s="2050"/>
      <c r="AP139" s="2038"/>
      <c r="AQ139" s="2038"/>
      <c r="AR139" s="2038"/>
      <c r="AS139" s="2038"/>
      <c r="AT139" s="2038"/>
      <c r="AU139" s="2038"/>
      <c r="AV139" s="2038"/>
    </row>
    <row r="140" spans="1:48">
      <c r="A140" s="4376"/>
      <c r="B140" s="4428"/>
      <c r="C140" s="1299"/>
      <c r="D140" s="61" t="s">
        <v>1876</v>
      </c>
      <c r="AA140" s="2038"/>
      <c r="AB140" s="2038"/>
      <c r="AC140" s="2038"/>
      <c r="AD140" s="2038"/>
      <c r="AE140" s="2038"/>
      <c r="AF140" s="2038"/>
      <c r="AG140" s="2038"/>
      <c r="AH140" s="2038"/>
      <c r="AI140" s="2038"/>
      <c r="AJ140" s="2038"/>
      <c r="AK140" s="2038"/>
      <c r="AL140" s="2038"/>
      <c r="AN140" s="2050"/>
      <c r="AO140" s="2050"/>
      <c r="AP140" s="2038"/>
      <c r="AQ140" s="2038"/>
      <c r="AR140" s="2038"/>
      <c r="AS140" s="2038"/>
      <c r="AT140" s="2038"/>
      <c r="AU140" s="2038"/>
      <c r="AV140" s="2038"/>
    </row>
    <row r="141" spans="1:48">
      <c r="A141" s="4376"/>
      <c r="B141" s="4377"/>
      <c r="C141" s="1299"/>
      <c r="D141" s="61" t="str">
        <f>"end of "&amp;TaxYear&amp;"?"</f>
        <v>end of 2023?</v>
      </c>
      <c r="AA141" s="2038"/>
      <c r="AB141" s="2038"/>
      <c r="AC141" s="2038"/>
      <c r="AD141" s="2038"/>
      <c r="AE141" s="2038"/>
      <c r="AF141" s="2038"/>
      <c r="AG141" s="2038"/>
      <c r="AH141" s="2038"/>
      <c r="AI141" s="2038"/>
      <c r="AJ141" s="2038"/>
      <c r="AK141" s="2038"/>
      <c r="AL141" s="2038"/>
      <c r="AN141" s="2050"/>
      <c r="AO141" s="2050"/>
      <c r="AP141" s="2038"/>
      <c r="AQ141" s="2038"/>
      <c r="AR141" s="2038"/>
      <c r="AS141" s="2038"/>
      <c r="AT141" s="2038"/>
      <c r="AU141" s="2038"/>
      <c r="AV141" s="2038"/>
    </row>
    <row r="142" spans="1:48">
      <c r="AA142" s="2038"/>
      <c r="AB142" s="2038"/>
      <c r="AC142" s="2038"/>
      <c r="AD142" s="2038"/>
      <c r="AE142" s="2038"/>
      <c r="AF142" s="2038"/>
      <c r="AG142" s="2038"/>
      <c r="AH142" s="2038"/>
      <c r="AI142" s="2038"/>
      <c r="AJ142" s="2038"/>
      <c r="AK142" s="2038"/>
      <c r="AL142" s="2038"/>
      <c r="AN142" s="2050"/>
      <c r="AO142" s="2050"/>
      <c r="AP142" s="2038"/>
      <c r="AQ142" s="2038"/>
      <c r="AR142" s="2038"/>
      <c r="AS142" s="2038"/>
      <c r="AT142" s="2038"/>
      <c r="AU142" s="2038"/>
      <c r="AV142" s="2038"/>
    </row>
    <row r="143" spans="1:48">
      <c r="A143" s="805" t="b">
        <f>AND(EIC_trigger,A135,H143="")</f>
        <v>0</v>
      </c>
      <c r="B143" s="1574" t="str">
        <f>IF(N143,"X","")</f>
        <v/>
      </c>
      <c r="D143" s="61" t="s">
        <v>1831</v>
      </c>
      <c r="H143" s="941"/>
      <c r="J143" s="61" t="s">
        <v>1877</v>
      </c>
      <c r="M143" s="61"/>
      <c r="N143" s="805" t="b">
        <f>AND(EIC_trigger,A135,H143="")</f>
        <v>0</v>
      </c>
      <c r="AA143" s="2038"/>
      <c r="AB143" s="2038"/>
      <c r="AC143" s="2038"/>
      <c r="AD143" s="2038"/>
      <c r="AE143" s="2038"/>
      <c r="AF143" s="2038"/>
      <c r="AG143" s="2038"/>
      <c r="AH143" s="2038"/>
      <c r="AI143" s="2038"/>
      <c r="AJ143" s="2038"/>
      <c r="AK143" s="2038"/>
      <c r="AL143" s="2038"/>
      <c r="AN143" s="2050"/>
      <c r="AO143" s="2050"/>
      <c r="AP143" s="2038"/>
      <c r="AQ143" s="2038"/>
      <c r="AR143" s="2038"/>
      <c r="AS143" s="2038"/>
      <c r="AT143" s="2038"/>
      <c r="AU143" s="2038"/>
      <c r="AV143" s="2038"/>
    </row>
    <row r="144" spans="1:48">
      <c r="B144" s="22"/>
      <c r="D144" s="61"/>
      <c r="J144" s="61" t="s">
        <v>1878</v>
      </c>
      <c r="M144" s="61"/>
      <c r="AA144" s="2038"/>
      <c r="AB144" s="2038"/>
      <c r="AC144" s="2038"/>
      <c r="AD144" s="2038"/>
      <c r="AE144" s="2038"/>
      <c r="AF144" s="2038"/>
      <c r="AG144" s="2038"/>
      <c r="AH144" s="2038"/>
      <c r="AI144" s="2038"/>
      <c r="AJ144" s="2038"/>
      <c r="AK144" s="2038"/>
      <c r="AL144" s="2038"/>
      <c r="AN144" s="2050"/>
      <c r="AO144" s="2050"/>
      <c r="AP144" s="2038"/>
      <c r="AQ144" s="2038"/>
      <c r="AR144" s="2038"/>
      <c r="AS144" s="2038"/>
      <c r="AT144" s="2038"/>
      <c r="AU144" s="2038"/>
      <c r="AV144" s="2038"/>
    </row>
    <row r="145" spans="1:48">
      <c r="C145" s="38"/>
      <c r="D145" s="38"/>
      <c r="E145" s="38"/>
      <c r="F145" s="38"/>
      <c r="G145" s="38"/>
      <c r="H145" s="38"/>
      <c r="I145" s="38"/>
      <c r="J145" s="38"/>
      <c r="K145" s="38"/>
      <c r="L145" s="38"/>
      <c r="M145" s="38"/>
      <c r="AA145" s="2038"/>
      <c r="AB145" s="2038"/>
      <c r="AC145" s="2038"/>
      <c r="AD145" s="2038"/>
      <c r="AE145" s="2038"/>
      <c r="AF145" s="2038"/>
      <c r="AG145" s="2038"/>
      <c r="AH145" s="2038"/>
      <c r="AI145" s="2038"/>
      <c r="AJ145" s="2038"/>
      <c r="AK145" s="2038"/>
      <c r="AL145" s="2038"/>
      <c r="AN145" s="2050"/>
      <c r="AO145" s="2050"/>
      <c r="AP145" s="2038"/>
      <c r="AQ145" s="2038"/>
      <c r="AR145" s="2038"/>
      <c r="AS145" s="2038"/>
      <c r="AT145" s="2038"/>
      <c r="AU145" s="2038"/>
      <c r="AV145" s="2038"/>
    </row>
    <row r="146" spans="1:48">
      <c r="C146" s="49"/>
      <c r="D146" s="49"/>
      <c r="E146" s="49"/>
      <c r="F146" s="49"/>
      <c r="G146" s="49"/>
      <c r="H146" s="49"/>
      <c r="I146" s="49"/>
      <c r="J146" s="49"/>
      <c r="K146" s="49"/>
      <c r="L146" s="49"/>
      <c r="M146" s="49"/>
      <c r="AA146" s="2038"/>
      <c r="AB146" s="2038"/>
      <c r="AC146" s="2038"/>
      <c r="AD146" s="2038"/>
      <c r="AE146" s="2038"/>
      <c r="AF146" s="2038"/>
      <c r="AG146" s="2038"/>
      <c r="AH146" s="2038"/>
      <c r="AI146" s="2038"/>
      <c r="AJ146" s="2038"/>
      <c r="AK146" s="2038"/>
      <c r="AL146" s="2038"/>
      <c r="AN146" s="2050"/>
      <c r="AO146" s="2050"/>
      <c r="AP146" s="2038"/>
      <c r="AQ146" s="2038"/>
      <c r="AR146" s="2038"/>
      <c r="AS146" s="2038"/>
      <c r="AT146" s="2038"/>
      <c r="AU146" s="2038"/>
      <c r="AV146" s="2038"/>
    </row>
    <row r="147" spans="1:48">
      <c r="A147" s="6991"/>
      <c r="B147" s="6992"/>
      <c r="C147" s="1299" t="s">
        <v>202</v>
      </c>
      <c r="D147" s="22" t="str">
        <f>"Could you be a qualifying child of another person in "&amp;TaxYear&amp;"?"</f>
        <v>Could you be a qualifying child of another person in 2023?</v>
      </c>
      <c r="AA147" s="2038"/>
      <c r="AB147" s="2038"/>
      <c r="AC147" s="2038"/>
      <c r="AD147" s="2038"/>
      <c r="AE147" s="2038"/>
      <c r="AF147" s="2038"/>
      <c r="AG147" s="2038"/>
      <c r="AH147" s="2038"/>
      <c r="AI147" s="2038"/>
      <c r="AJ147" s="2038"/>
      <c r="AK147" s="2038"/>
      <c r="AL147" s="2038"/>
      <c r="AN147" s="2050"/>
      <c r="AO147" s="2050"/>
      <c r="AP147" s="2038"/>
      <c r="AQ147" s="2038"/>
      <c r="AR147" s="2038"/>
      <c r="AS147" s="2038"/>
      <c r="AT147" s="2038"/>
      <c r="AU147" s="2038"/>
      <c r="AV147" s="2038"/>
    </row>
    <row r="148" spans="1:48">
      <c r="A148" s="6991"/>
      <c r="B148" s="6992"/>
      <c r="C148" s="1299"/>
      <c r="D148" s="61" t="s">
        <v>1879</v>
      </c>
      <c r="AA148" s="2038"/>
      <c r="AB148" s="2038"/>
      <c r="AC148" s="2038"/>
      <c r="AD148" s="2038"/>
      <c r="AE148" s="2038"/>
      <c r="AF148" s="2038"/>
      <c r="AG148" s="2038"/>
      <c r="AH148" s="2038"/>
      <c r="AI148" s="2038"/>
      <c r="AJ148" s="2038"/>
      <c r="AK148" s="2038"/>
      <c r="AL148" s="2038"/>
      <c r="AN148" s="2050"/>
      <c r="AO148" s="2050"/>
      <c r="AP148" s="2038"/>
      <c r="AQ148" s="2038"/>
      <c r="AR148" s="2038"/>
      <c r="AS148" s="2038"/>
      <c r="AT148" s="2038"/>
      <c r="AU148" s="2038"/>
      <c r="AV148" s="2038"/>
    </row>
    <row r="149" spans="1:48">
      <c r="A149" s="6991"/>
      <c r="B149" s="6992"/>
      <c r="C149" s="1299"/>
      <c r="D149" s="61" t="str">
        <f>"isn't filing, a "&amp;TaxYear&amp;" tax return or is filing a "&amp;TaxYear&amp;" return only"</f>
        <v>isn't filing, a 2023 tax return or is filing a 2023 return only</v>
      </c>
      <c r="AA149" s="2038"/>
      <c r="AB149" s="2038"/>
      <c r="AC149" s="2038"/>
      <c r="AD149" s="2038"/>
      <c r="AE149" s="2038"/>
      <c r="AF149" s="2038"/>
      <c r="AG149" s="2038"/>
      <c r="AH149" s="2038"/>
      <c r="AI149" s="2038"/>
      <c r="AJ149" s="2038"/>
      <c r="AK149" s="2038"/>
      <c r="AL149" s="2038"/>
      <c r="AN149" s="2050"/>
      <c r="AO149" s="2050"/>
      <c r="AP149" s="2038"/>
      <c r="AQ149" s="2038"/>
      <c r="AR149" s="2038"/>
      <c r="AS149" s="2038"/>
      <c r="AT149" s="2038"/>
      <c r="AU149" s="2038"/>
      <c r="AV149" s="2038"/>
    </row>
    <row r="150" spans="1:48">
      <c r="A150" s="6991"/>
      <c r="B150" s="6992"/>
      <c r="C150" s="1299"/>
      <c r="D150" s="61" t="s">
        <v>1880</v>
      </c>
      <c r="AA150" s="2038"/>
      <c r="AB150" s="2038"/>
      <c r="AC150" s="2038"/>
      <c r="AD150" s="2038"/>
      <c r="AE150" s="2038"/>
      <c r="AF150" s="2038"/>
      <c r="AG150" s="2038"/>
      <c r="AH150" s="2038"/>
      <c r="AI150" s="2038"/>
      <c r="AJ150" s="2038"/>
      <c r="AK150" s="2038"/>
      <c r="AL150" s="2038"/>
      <c r="AN150" s="2050"/>
      <c r="AO150" s="2050"/>
      <c r="AP150" s="2038"/>
      <c r="AQ150" s="2038"/>
      <c r="AR150" s="2038"/>
      <c r="AS150" s="2038"/>
      <c r="AT150" s="2038"/>
      <c r="AU150" s="2038"/>
      <c r="AV150" s="2038"/>
    </row>
    <row r="151" spans="1:48">
      <c r="A151" s="6991"/>
      <c r="B151" s="6992"/>
      <c r="C151" s="1299"/>
      <c r="D151" s="61" t="s">
        <v>1881</v>
      </c>
      <c r="AA151" s="2038"/>
      <c r="AB151" s="2038"/>
      <c r="AC151" s="2038"/>
      <c r="AD151" s="2038"/>
      <c r="AE151" s="2038"/>
      <c r="AF151" s="2038"/>
      <c r="AG151" s="2038"/>
      <c r="AH151" s="2038"/>
      <c r="AI151" s="2038"/>
      <c r="AJ151" s="2038"/>
      <c r="AK151" s="2038"/>
      <c r="AL151" s="2038"/>
      <c r="AN151" s="2050"/>
      <c r="AO151" s="2050"/>
      <c r="AP151" s="2038"/>
      <c r="AQ151" s="2038"/>
      <c r="AR151" s="2038"/>
      <c r="AS151" s="2038"/>
      <c r="AT151" s="2038"/>
      <c r="AU151" s="2038"/>
      <c r="AV151" s="2038"/>
    </row>
    <row r="152" spans="1:48">
      <c r="AA152" s="2038"/>
      <c r="AB152" s="2038"/>
      <c r="AC152" s="2038"/>
      <c r="AD152" s="2038"/>
      <c r="AE152" s="2038"/>
      <c r="AF152" s="2038"/>
      <c r="AG152" s="2038"/>
      <c r="AH152" s="2038"/>
      <c r="AI152" s="2038"/>
      <c r="AJ152" s="2038"/>
      <c r="AK152" s="2038"/>
      <c r="AL152" s="2038"/>
      <c r="AN152" s="2050"/>
      <c r="AO152" s="2050"/>
      <c r="AP152" s="2038"/>
      <c r="AQ152" s="2038"/>
      <c r="AR152" s="2038"/>
      <c r="AS152" s="2038"/>
      <c r="AT152" s="2038"/>
      <c r="AU152" s="2038"/>
      <c r="AV152" s="2038"/>
    </row>
    <row r="153" spans="1:48">
      <c r="A153" s="805" t="b">
        <f>AND(OR(A143,N128,N135),EIC_trigger,A143,OR(DependentYOU&lt;&gt;"",DependentSPOUSE&lt;&gt;""))</f>
        <v>0</v>
      </c>
      <c r="B153" s="1575" t="str">
        <f>IF(A153,"X","")</f>
        <v/>
      </c>
      <c r="D153" s="61" t="s">
        <v>1882</v>
      </c>
      <c r="H153" s="1575" t="str">
        <f>IF(N153,"X","")</f>
        <v/>
      </c>
      <c r="J153" s="61" t="s">
        <v>1883</v>
      </c>
      <c r="N153" s="805" t="b">
        <f>AND(OR(N128,A143,N135),EIC_trigger,B143,DependentYOU="",DependentSPOUSE="")</f>
        <v>0</v>
      </c>
      <c r="O153" s="13"/>
      <c r="AA153" s="2038"/>
      <c r="AB153" s="2038"/>
      <c r="AC153" s="2038"/>
      <c r="AD153" s="2038"/>
      <c r="AE153" s="2038"/>
      <c r="AF153" s="2038"/>
      <c r="AG153" s="2038"/>
      <c r="AH153" s="2038"/>
      <c r="AI153" s="2038"/>
      <c r="AJ153" s="2038"/>
      <c r="AK153" s="2038"/>
      <c r="AL153" s="2038"/>
      <c r="AN153" s="2050"/>
      <c r="AO153" s="2050"/>
      <c r="AP153" s="2038"/>
      <c r="AQ153" s="2038"/>
      <c r="AR153" s="2038"/>
      <c r="AS153" s="2038"/>
      <c r="AT153" s="2038"/>
      <c r="AU153" s="2038"/>
      <c r="AV153" s="2038"/>
    </row>
    <row r="154" spans="1:48">
      <c r="D154" s="61" t="s">
        <v>1884</v>
      </c>
      <c r="AA154" s="2038"/>
      <c r="AB154" s="2038"/>
      <c r="AC154" s="2038"/>
      <c r="AD154" s="2038"/>
      <c r="AE154" s="2038"/>
      <c r="AF154" s="2038"/>
      <c r="AG154" s="2038"/>
      <c r="AH154" s="2038"/>
      <c r="AI154" s="2038"/>
      <c r="AJ154" s="2038"/>
      <c r="AK154" s="2038"/>
      <c r="AL154" s="2038"/>
      <c r="AN154" s="2050"/>
      <c r="AO154" s="2050"/>
      <c r="AP154" s="2038"/>
      <c r="AQ154" s="2038"/>
      <c r="AR154" s="2038"/>
      <c r="AS154" s="2038"/>
      <c r="AT154" s="2038"/>
      <c r="AU154" s="2038"/>
      <c r="AV154" s="2038"/>
    </row>
    <row r="155" spans="1:48">
      <c r="D155" s="61" t="s">
        <v>1885</v>
      </c>
      <c r="AA155" s="2038"/>
      <c r="AB155" s="2038"/>
      <c r="AC155" s="2038"/>
      <c r="AD155" s="2038"/>
      <c r="AE155" s="2038"/>
      <c r="AF155" s="2038"/>
      <c r="AG155" s="2038"/>
      <c r="AH155" s="2038"/>
      <c r="AI155" s="2038"/>
      <c r="AJ155" s="2038"/>
      <c r="AK155" s="2038"/>
      <c r="AL155" s="2038"/>
      <c r="AN155" s="2050"/>
      <c r="AO155" s="2050"/>
      <c r="AP155" s="2038"/>
      <c r="AQ155" s="2038"/>
      <c r="AR155" s="2038"/>
      <c r="AS155" s="2038"/>
      <c r="AT155" s="2038"/>
      <c r="AU155" s="2038"/>
      <c r="AV155" s="2038"/>
    </row>
    <row r="156" spans="1:48" ht="7.5" customHeight="1">
      <c r="AA156" s="2038"/>
      <c r="AB156" s="2038"/>
      <c r="AC156" s="2038"/>
      <c r="AD156" s="2038"/>
      <c r="AE156" s="2038"/>
      <c r="AF156" s="2038"/>
      <c r="AG156" s="2038"/>
      <c r="AH156" s="2038"/>
      <c r="AI156" s="2038"/>
      <c r="AJ156" s="2038"/>
      <c r="AK156" s="2038"/>
      <c r="AL156" s="2038"/>
      <c r="AN156" s="2050"/>
      <c r="AO156" s="2050"/>
      <c r="AP156" s="2038"/>
      <c r="AQ156" s="2038"/>
      <c r="AR156" s="2038"/>
      <c r="AS156" s="2038"/>
      <c r="AT156" s="2038"/>
      <c r="AU156" s="2038"/>
      <c r="AV156" s="2038"/>
    </row>
    <row r="157" spans="1:48" s="1293" customFormat="1" ht="7.5" customHeight="1">
      <c r="B157" s="1292"/>
      <c r="N157" s="1294"/>
      <c r="AA157" s="2051"/>
      <c r="AB157" s="2051"/>
      <c r="AC157" s="2051"/>
      <c r="AD157" s="2051"/>
      <c r="AE157" s="2051"/>
      <c r="AF157" s="2051"/>
      <c r="AG157" s="2051"/>
      <c r="AH157" s="2051"/>
      <c r="AI157" s="2051"/>
      <c r="AJ157" s="2051"/>
      <c r="AK157" s="2051"/>
      <c r="AL157" s="2051"/>
      <c r="AN157" s="2052"/>
      <c r="AO157" s="2052"/>
      <c r="AP157" s="2051"/>
      <c r="AQ157" s="2051"/>
      <c r="AR157" s="2051"/>
      <c r="AS157" s="2051"/>
      <c r="AT157" s="2051"/>
      <c r="AU157" s="2051"/>
      <c r="AV157" s="2051"/>
    </row>
    <row r="158" spans="1:48" s="109" customFormat="1" ht="15.75">
      <c r="A158" s="1308" t="s">
        <v>1886</v>
      </c>
      <c r="B158" s="1309" t="s">
        <v>1887</v>
      </c>
      <c r="C158" s="1286"/>
      <c r="H158" s="1307"/>
      <c r="K158" s="5164" t="b">
        <f>AND(EIC_trigger,O116)</f>
        <v>0</v>
      </c>
      <c r="N158" s="1287"/>
      <c r="AA158" s="2048"/>
      <c r="AB158" s="2048"/>
      <c r="AC158" s="2048"/>
      <c r="AD158" s="2048"/>
      <c r="AE158" s="2048"/>
      <c r="AF158" s="2048"/>
      <c r="AG158" s="2048"/>
      <c r="AH158" s="2048"/>
      <c r="AI158" s="2048"/>
      <c r="AJ158" s="2048"/>
      <c r="AK158" s="2048"/>
      <c r="AL158" s="2048"/>
      <c r="AN158" s="2049"/>
      <c r="AO158" s="2049"/>
      <c r="AP158" s="2048"/>
      <c r="AQ158" s="2048"/>
      <c r="AR158" s="2048"/>
      <c r="AS158" s="2048"/>
      <c r="AT158" s="2048"/>
      <c r="AU158" s="2048"/>
      <c r="AV158" s="2048"/>
    </row>
    <row r="159" spans="1:48">
      <c r="A159" s="872"/>
      <c r="C159" s="872"/>
      <c r="AA159" s="2038"/>
      <c r="AB159" s="2038"/>
      <c r="AC159" s="2038"/>
      <c r="AD159" s="2038"/>
      <c r="AE159" s="2038"/>
      <c r="AF159" s="2038"/>
      <c r="AG159" s="2038"/>
      <c r="AH159" s="2038"/>
      <c r="AI159" s="2038"/>
      <c r="AJ159" s="2038"/>
      <c r="AK159" s="2038"/>
      <c r="AL159" s="2038"/>
      <c r="AN159" s="2050"/>
      <c r="AO159" s="2050"/>
      <c r="AP159" s="2038"/>
      <c r="AQ159" s="2038"/>
      <c r="AR159" s="2038"/>
      <c r="AS159" s="2038"/>
      <c r="AT159" s="2038"/>
      <c r="AU159" s="2038"/>
      <c r="AV159" s="2038"/>
    </row>
    <row r="160" spans="1:48">
      <c r="B160" s="4376"/>
      <c r="C160" s="1290" t="s">
        <v>167</v>
      </c>
      <c r="D160" s="22" t="s">
        <v>1868</v>
      </c>
      <c r="AA160" s="2038"/>
      <c r="AB160" s="2038"/>
      <c r="AC160" s="2038"/>
      <c r="AD160" s="2038"/>
      <c r="AE160" s="2038"/>
      <c r="AF160" s="2038"/>
      <c r="AG160" s="2038"/>
      <c r="AH160" s="2038"/>
      <c r="AI160" s="2038"/>
      <c r="AJ160" s="2038"/>
      <c r="AK160" s="2038"/>
      <c r="AL160" s="2038"/>
      <c r="AN160" s="2050"/>
      <c r="AO160" s="2050"/>
      <c r="AP160" s="2038"/>
      <c r="AQ160" s="2038"/>
      <c r="AR160" s="2038"/>
      <c r="AS160" s="2038"/>
      <c r="AT160" s="2038"/>
      <c r="AU160" s="2038"/>
      <c r="AV160" s="2038"/>
    </row>
    <row r="161" spans="1:48">
      <c r="B161" s="4376"/>
      <c r="C161" s="1290"/>
      <c r="D161" s="22" t="s">
        <v>1869</v>
      </c>
      <c r="AA161" s="2038"/>
      <c r="AB161" s="2038"/>
      <c r="AC161" s="2038"/>
      <c r="AD161" s="2038"/>
      <c r="AE161" s="2038"/>
      <c r="AF161" s="2038"/>
      <c r="AG161" s="2038"/>
      <c r="AH161" s="2038"/>
      <c r="AI161" s="2038"/>
      <c r="AJ161" s="2038"/>
      <c r="AK161" s="2038"/>
      <c r="AL161" s="2038"/>
      <c r="AN161" s="2050"/>
      <c r="AO161" s="2050"/>
      <c r="AP161" s="2038"/>
      <c r="AQ161" s="2038"/>
      <c r="AR161" s="2038"/>
      <c r="AS161" s="2038"/>
      <c r="AT161" s="2038"/>
      <c r="AU161" s="2038"/>
      <c r="AV161" s="2038"/>
    </row>
    <row r="162" spans="1:48">
      <c r="C162" s="1290"/>
      <c r="AA162" s="2038"/>
      <c r="AB162" s="2038"/>
      <c r="AC162" s="2038"/>
      <c r="AD162" s="2038"/>
      <c r="AE162" s="2038"/>
      <c r="AF162" s="2038"/>
      <c r="AG162" s="2038"/>
      <c r="AH162" s="2038"/>
      <c r="AI162" s="2038"/>
      <c r="AJ162" s="2038"/>
      <c r="AK162" s="2038"/>
      <c r="AL162" s="2038"/>
      <c r="AN162" s="2050"/>
      <c r="AO162" s="2050"/>
      <c r="AP162" s="2038"/>
      <c r="AQ162" s="2038"/>
      <c r="AR162" s="2038"/>
      <c r="AS162" s="2038"/>
      <c r="AT162" s="2038"/>
      <c r="AU162" s="2038"/>
      <c r="AV162" s="2038"/>
    </row>
    <row r="163" spans="1:48">
      <c r="A163" s="805" t="b">
        <f>AND(K158,OR(File_Marr_Sep&lt;&gt;"",File_Head&lt;&gt;""))</f>
        <v>0</v>
      </c>
      <c r="B163" s="1575" t="str">
        <f>IF(A163,"X","")</f>
        <v/>
      </c>
      <c r="D163" s="61" t="s">
        <v>1888</v>
      </c>
      <c r="G163" s="805" t="b">
        <f>AND(K158,NOT(A163))</f>
        <v>0</v>
      </c>
      <c r="H163" s="1575" t="str">
        <f>IF(G163,"X","")</f>
        <v/>
      </c>
      <c r="J163" s="61" t="s">
        <v>1889</v>
      </c>
      <c r="M163" s="1640"/>
      <c r="AA163" s="2038"/>
      <c r="AB163" s="2038"/>
      <c r="AC163" s="2038"/>
      <c r="AD163" s="2038"/>
      <c r="AE163" s="2038"/>
      <c r="AF163" s="2038"/>
      <c r="AG163" s="2038"/>
      <c r="AH163" s="2038"/>
      <c r="AI163" s="2038"/>
      <c r="AJ163" s="2038"/>
      <c r="AK163" s="2038"/>
      <c r="AL163" s="2038"/>
      <c r="AN163" s="2050"/>
      <c r="AO163" s="2050"/>
      <c r="AP163" s="2038"/>
      <c r="AQ163" s="2038"/>
      <c r="AR163" s="2038"/>
      <c r="AS163" s="2038"/>
      <c r="AT163" s="2038"/>
      <c r="AU163" s="2038"/>
      <c r="AV163" s="2038"/>
    </row>
    <row r="164" spans="1:48">
      <c r="A164" s="872"/>
      <c r="C164" s="872"/>
      <c r="D164" s="61" t="s">
        <v>1878</v>
      </c>
      <c r="AA164" s="2038"/>
      <c r="AB164" s="2038"/>
      <c r="AC164" s="2038"/>
      <c r="AD164" s="2038"/>
      <c r="AE164" s="2038"/>
      <c r="AF164" s="2038"/>
      <c r="AG164" s="2038"/>
      <c r="AH164" s="2038"/>
      <c r="AI164" s="2038"/>
      <c r="AJ164" s="2038"/>
      <c r="AK164" s="2038"/>
      <c r="AL164" s="2038"/>
      <c r="AN164" s="2050"/>
      <c r="AO164" s="2050"/>
      <c r="AP164" s="2038"/>
      <c r="AQ164" s="2038"/>
      <c r="AR164" s="2038"/>
      <c r="AS164" s="2038"/>
      <c r="AT164" s="2038"/>
      <c r="AU164" s="2038"/>
      <c r="AV164" s="2038"/>
    </row>
    <row r="165" spans="1:48" ht="6.75" customHeight="1">
      <c r="A165" s="872"/>
      <c r="C165" s="872"/>
      <c r="AA165" s="2038"/>
      <c r="AB165" s="2038"/>
      <c r="AC165" s="2038"/>
      <c r="AD165" s="2038"/>
      <c r="AE165" s="2038"/>
      <c r="AF165" s="2038"/>
      <c r="AG165" s="2038"/>
      <c r="AH165" s="2038"/>
      <c r="AI165" s="2038"/>
      <c r="AJ165" s="2038"/>
      <c r="AK165" s="2038"/>
      <c r="AL165" s="2038"/>
      <c r="AN165" s="2050"/>
      <c r="AO165" s="2050"/>
      <c r="AP165" s="2038"/>
      <c r="AQ165" s="2038"/>
      <c r="AR165" s="2038"/>
      <c r="AS165" s="2038"/>
      <c r="AT165" s="2038"/>
      <c r="AU165" s="2038"/>
      <c r="AV165" s="2038"/>
    </row>
    <row r="166" spans="1:48" ht="6.75" customHeight="1">
      <c r="C166" s="49"/>
      <c r="D166" s="49"/>
      <c r="E166" s="49"/>
      <c r="F166" s="49"/>
      <c r="G166" s="49"/>
      <c r="H166" s="49"/>
      <c r="I166" s="49"/>
      <c r="J166" s="49"/>
      <c r="K166" s="49"/>
      <c r="L166" s="49"/>
      <c r="M166" s="49"/>
      <c r="AA166" s="2038"/>
      <c r="AB166" s="2038"/>
      <c r="AC166" s="2038"/>
      <c r="AD166" s="2038"/>
      <c r="AE166" s="2038"/>
      <c r="AF166" s="2038"/>
      <c r="AG166" s="2038"/>
      <c r="AH166" s="2038"/>
      <c r="AI166" s="2038"/>
      <c r="AJ166" s="2038"/>
      <c r="AK166" s="2038"/>
      <c r="AL166" s="2038"/>
      <c r="AN166" s="2050"/>
      <c r="AO166" s="2050"/>
      <c r="AP166" s="2038"/>
      <c r="AQ166" s="2038"/>
      <c r="AR166" s="2038"/>
      <c r="AS166" s="2038"/>
      <c r="AT166" s="2038"/>
      <c r="AU166" s="2038"/>
      <c r="AV166" s="2038"/>
    </row>
    <row r="167" spans="1:48">
      <c r="B167" s="4376"/>
      <c r="C167" s="1299" t="s">
        <v>171</v>
      </c>
      <c r="D167" s="61" t="s">
        <v>1890</v>
      </c>
      <c r="L167" s="110" t="str">
        <f>IF(K158,"Your age:","")</f>
        <v/>
      </c>
      <c r="M167" s="872" t="str">
        <f>IF(K158,YourAge,"")</f>
        <v/>
      </c>
      <c r="N167" s="805">
        <v>25</v>
      </c>
      <c r="AA167" s="2038"/>
      <c r="AB167" s="2038"/>
      <c r="AC167" s="2038"/>
      <c r="AD167" s="2038"/>
      <c r="AE167" s="2038"/>
      <c r="AF167" s="2038"/>
      <c r="AG167" s="2038"/>
      <c r="AH167" s="2038"/>
      <c r="AI167" s="2038"/>
      <c r="AJ167" s="2038"/>
      <c r="AK167" s="2038"/>
      <c r="AL167" s="2038"/>
      <c r="AN167" s="2050"/>
      <c r="AO167" s="2050"/>
      <c r="AP167" s="2038"/>
      <c r="AQ167" s="2038"/>
      <c r="AR167" s="2038"/>
      <c r="AS167" s="2038"/>
      <c r="AT167" s="2038"/>
      <c r="AU167" s="2038"/>
      <c r="AV167" s="2038"/>
    </row>
    <row r="168" spans="1:48">
      <c r="B168" s="4376"/>
      <c r="C168" s="1290"/>
      <c r="D168" s="61" t="str">
        <f>N167&amp;" but under age "&amp;N168&amp;" at the end of "&amp;TaxYear&amp;"?"</f>
        <v>25 but under age 65 at the end of 2023?</v>
      </c>
      <c r="L168" s="110" t="str">
        <f>IF(File_Marr_Joint&lt;&gt;"","Spouse age:","")</f>
        <v/>
      </c>
      <c r="M168" s="872" t="str">
        <f>IF(File_Marr_Joint&lt;&gt;"",SpouseAge,"")</f>
        <v/>
      </c>
      <c r="N168" s="805">
        <v>65</v>
      </c>
      <c r="AA168" s="2038"/>
      <c r="AB168" s="2038"/>
      <c r="AC168" s="2038"/>
      <c r="AD168" s="2038"/>
      <c r="AE168" s="2038"/>
      <c r="AF168" s="2038"/>
      <c r="AG168" s="2038"/>
      <c r="AH168" s="2038"/>
      <c r="AI168" s="2038"/>
      <c r="AJ168" s="2038"/>
      <c r="AK168" s="2038"/>
      <c r="AL168" s="2038"/>
      <c r="AN168" s="2050"/>
      <c r="AO168" s="2050"/>
      <c r="AP168" s="2038"/>
      <c r="AQ168" s="2038"/>
      <c r="AR168" s="2038"/>
      <c r="AS168" s="2038"/>
      <c r="AT168" s="2038"/>
      <c r="AU168" s="2038"/>
      <c r="AV168" s="2038"/>
    </row>
    <row r="169" spans="1:48">
      <c r="B169" s="4376"/>
      <c r="C169" s="1290"/>
      <c r="D169" s="61"/>
      <c r="K169" s="110"/>
      <c r="L169" s="872"/>
      <c r="AA169" s="2038"/>
      <c r="AB169" s="2038"/>
      <c r="AC169" s="2038"/>
      <c r="AD169" s="2038"/>
      <c r="AE169" s="2038"/>
      <c r="AF169" s="2038"/>
      <c r="AG169" s="2038"/>
      <c r="AH169" s="2038"/>
      <c r="AI169" s="2038"/>
      <c r="AJ169" s="2038"/>
      <c r="AK169" s="2038"/>
      <c r="AL169" s="2038"/>
      <c r="AN169" s="2050"/>
      <c r="AO169" s="2050"/>
      <c r="AP169" s="2038"/>
      <c r="AQ169" s="2038"/>
      <c r="AR169" s="2038"/>
      <c r="AS169" s="2038"/>
      <c r="AT169" s="2038"/>
      <c r="AU169" s="2038"/>
      <c r="AV169" s="2038"/>
    </row>
    <row r="170" spans="1:48">
      <c r="B170" s="4376"/>
      <c r="C170" s="1290"/>
      <c r="D170" s="61" t="s">
        <v>1891</v>
      </c>
      <c r="K170" s="110"/>
      <c r="L170" s="872"/>
      <c r="AA170" s="2038"/>
      <c r="AB170" s="2038"/>
      <c r="AC170" s="2038"/>
      <c r="AD170" s="2038"/>
      <c r="AE170" s="2038"/>
      <c r="AF170" s="2038"/>
      <c r="AG170" s="2038"/>
      <c r="AH170" s="2038"/>
      <c r="AI170" s="2038"/>
      <c r="AJ170" s="2038"/>
      <c r="AK170" s="2038"/>
      <c r="AL170" s="2038"/>
      <c r="AN170" s="2050"/>
      <c r="AO170" s="2050"/>
      <c r="AP170" s="2038"/>
      <c r="AQ170" s="2038"/>
      <c r="AR170" s="2038"/>
      <c r="AS170" s="2038"/>
      <c r="AT170" s="2038"/>
      <c r="AU170" s="2038"/>
      <c r="AV170" s="2038"/>
    </row>
    <row r="171" spans="1:48">
      <c r="B171" s="4376"/>
      <c r="C171" s="1290"/>
      <c r="D171" s="61" t="str">
        <f>"were born after December 31, "&amp;TaxYear-N168&amp;", and before January 2, "&amp;TaxYear-N167+1&amp;".)"</f>
        <v>were born after December 31, 1958, and before January 2, 1999.)</v>
      </c>
      <c r="AA171" s="2038"/>
      <c r="AB171" s="2038"/>
      <c r="AC171" s="2038"/>
      <c r="AD171" s="2038"/>
      <c r="AE171" s="2038"/>
      <c r="AF171" s="2038"/>
      <c r="AG171" s="2038"/>
      <c r="AH171" s="2038"/>
      <c r="AI171" s="2038"/>
      <c r="AJ171" s="2038"/>
      <c r="AK171" s="2038"/>
      <c r="AL171" s="2038"/>
      <c r="AN171" s="2050"/>
      <c r="AO171" s="2050"/>
      <c r="AP171" s="2038"/>
      <c r="AQ171" s="2038"/>
      <c r="AR171" s="2038"/>
      <c r="AS171" s="2038"/>
      <c r="AT171" s="2038"/>
      <c r="AU171" s="2038"/>
      <c r="AV171" s="2038"/>
    </row>
    <row r="172" spans="1:48">
      <c r="B172" s="4376"/>
      <c r="C172" s="1290"/>
      <c r="D172" s="61"/>
      <c r="AA172" s="2038"/>
      <c r="AB172" s="2038"/>
      <c r="AC172" s="2038"/>
      <c r="AD172" s="2038"/>
      <c r="AE172" s="2038"/>
      <c r="AF172" s="2038"/>
      <c r="AG172" s="2038"/>
      <c r="AH172" s="2038"/>
      <c r="AI172" s="2038"/>
      <c r="AJ172" s="2038"/>
      <c r="AK172" s="2038"/>
      <c r="AL172" s="2038"/>
      <c r="AN172" s="2050"/>
      <c r="AO172" s="2050"/>
      <c r="AP172" s="2038"/>
      <c r="AQ172" s="2038"/>
      <c r="AR172" s="2038"/>
      <c r="AS172" s="2038"/>
      <c r="AT172" s="2038"/>
      <c r="AU172" s="2038"/>
      <c r="AV172" s="2038"/>
    </row>
    <row r="173" spans="1:48">
      <c r="B173" s="4376"/>
      <c r="C173" s="1290"/>
      <c r="D173" s="61" t="str">
        <f>"If your spouse died in "&amp;TaxYear&amp;" or if you are preparing a return for"</f>
        <v>If your spouse died in 2023 or if you are preparing a return for</v>
      </c>
      <c r="AA173" s="2038"/>
      <c r="AB173" s="2038"/>
      <c r="AC173" s="2038"/>
      <c r="AD173" s="2038"/>
      <c r="AE173" s="2038"/>
      <c r="AF173" s="2038"/>
      <c r="AG173" s="2038"/>
      <c r="AH173" s="2038"/>
      <c r="AI173" s="2038"/>
      <c r="AJ173" s="2038"/>
      <c r="AK173" s="2038"/>
      <c r="AL173" s="2038"/>
      <c r="AN173" s="2050"/>
      <c r="AO173" s="2050"/>
      <c r="AP173" s="2038"/>
      <c r="AQ173" s="2038"/>
      <c r="AR173" s="2038"/>
      <c r="AS173" s="2038"/>
      <c r="AT173" s="2038"/>
      <c r="AU173" s="2038"/>
      <c r="AV173" s="2038"/>
    </row>
    <row r="174" spans="1:48">
      <c r="B174" s="4376"/>
      <c r="C174" s="1290"/>
      <c r="D174" s="61" t="str">
        <f>"someone who died in "&amp;TaxYear&amp;", see Pub. 596 before you answer."</f>
        <v>someone who died in 2023, see Pub. 596 before you answer.</v>
      </c>
      <c r="AA174" s="2038"/>
      <c r="AB174" s="2038"/>
      <c r="AC174" s="2038"/>
      <c r="AD174" s="2038"/>
      <c r="AE174" s="2038"/>
      <c r="AF174" s="2038"/>
      <c r="AG174" s="2038"/>
      <c r="AH174" s="2038"/>
      <c r="AI174" s="2038"/>
      <c r="AJ174" s="2038"/>
      <c r="AK174" s="2038"/>
      <c r="AL174" s="2038"/>
      <c r="AN174" s="2050"/>
      <c r="AO174" s="2050"/>
      <c r="AP174" s="2038"/>
      <c r="AQ174" s="2038"/>
      <c r="AR174" s="2038"/>
      <c r="AS174" s="2038"/>
      <c r="AT174" s="2038"/>
      <c r="AU174" s="2038"/>
      <c r="AV174" s="2038"/>
    </row>
    <row r="175" spans="1:48">
      <c r="C175" s="1290"/>
      <c r="AA175" s="2038"/>
      <c r="AB175" s="2038"/>
      <c r="AC175" s="2038"/>
      <c r="AD175" s="2038"/>
      <c r="AE175" s="2038"/>
      <c r="AF175" s="2038"/>
      <c r="AG175" s="2038"/>
      <c r="AH175" s="2038"/>
      <c r="AI175" s="2038"/>
      <c r="AJ175" s="2038"/>
      <c r="AK175" s="2038"/>
      <c r="AL175" s="2038"/>
      <c r="AN175" s="2050"/>
      <c r="AO175" s="2050"/>
      <c r="AP175" s="2038"/>
      <c r="AQ175" s="2038"/>
      <c r="AR175" s="2038"/>
      <c r="AS175" s="2038"/>
      <c r="AT175" s="2038"/>
      <c r="AU175" s="2038"/>
      <c r="AV175" s="2038"/>
    </row>
    <row r="176" spans="1:48">
      <c r="A176" s="805" t="b">
        <f>AND(K158,G163,OR(AND(File_Marr_Joint&lt;&gt;"",OR(AND(YourAge&gt;=N167,YourAge&lt;N168),AND(SpouseAge&gt;=N167,SpouseAge&lt;N168))),AND(YourAge&gt;=N167,YourAge&lt;N168)))</f>
        <v>0</v>
      </c>
      <c r="B176" s="1575" t="str">
        <f>IF(A176,"X","")</f>
        <v/>
      </c>
      <c r="D176" s="61" t="s">
        <v>1892</v>
      </c>
      <c r="G176" s="805" t="b">
        <f>AND(K158,G163,NOT(A176))</f>
        <v>0</v>
      </c>
      <c r="H176" s="1575" t="str">
        <f>IF(G176,"X","")</f>
        <v/>
      </c>
      <c r="J176" s="61" t="s">
        <v>1893</v>
      </c>
      <c r="N176" s="1640"/>
      <c r="Q176" s="1640"/>
      <c r="AA176" s="2038"/>
      <c r="AB176" s="2038"/>
      <c r="AC176" s="2038"/>
      <c r="AD176" s="2038"/>
      <c r="AE176" s="2038"/>
      <c r="AF176" s="2038"/>
      <c r="AG176" s="2038"/>
      <c r="AH176" s="2038"/>
      <c r="AI176" s="2038"/>
      <c r="AJ176" s="2038"/>
      <c r="AK176" s="2038"/>
      <c r="AL176" s="2038"/>
      <c r="AN176" s="2050"/>
      <c r="AO176" s="2050"/>
      <c r="AP176" s="2038"/>
      <c r="AQ176" s="2038"/>
      <c r="AR176" s="2038"/>
      <c r="AS176" s="2038"/>
      <c r="AT176" s="2038"/>
      <c r="AU176" s="2038"/>
      <c r="AV176" s="2038"/>
    </row>
    <row r="177" spans="1:48">
      <c r="A177" s="872"/>
      <c r="C177" s="872"/>
      <c r="D177" s="61"/>
      <c r="J177" s="61" t="s">
        <v>1894</v>
      </c>
      <c r="AA177" s="2038"/>
      <c r="AB177" s="2038"/>
      <c r="AC177" s="2038"/>
      <c r="AD177" s="2038"/>
      <c r="AE177" s="2038"/>
      <c r="AF177" s="2038"/>
      <c r="AG177" s="2038"/>
      <c r="AH177" s="2038"/>
      <c r="AI177" s="2038"/>
      <c r="AJ177" s="2038"/>
      <c r="AK177" s="2038"/>
      <c r="AL177" s="2038"/>
      <c r="AN177" s="2050"/>
      <c r="AO177" s="2050"/>
      <c r="AP177" s="2038"/>
      <c r="AQ177" s="2038"/>
      <c r="AR177" s="2038"/>
      <c r="AS177" s="2038"/>
      <c r="AT177" s="2038"/>
      <c r="AU177" s="2038"/>
      <c r="AV177" s="2038"/>
    </row>
    <row r="178" spans="1:48" s="45" customFormat="1">
      <c r="A178" s="872"/>
      <c r="B178" s="872"/>
      <c r="C178" s="872"/>
      <c r="D178" s="44"/>
      <c r="N178" s="4639"/>
      <c r="AA178" s="2180"/>
      <c r="AB178" s="2180"/>
      <c r="AC178" s="2180"/>
      <c r="AD178" s="2180"/>
      <c r="AE178" s="2180"/>
      <c r="AF178" s="2180"/>
      <c r="AG178" s="2180"/>
      <c r="AH178" s="2180"/>
      <c r="AI178" s="2180"/>
      <c r="AJ178" s="2180"/>
      <c r="AK178" s="2180"/>
      <c r="AL178" s="2180"/>
      <c r="AN178" s="4640"/>
      <c r="AO178" s="4640"/>
      <c r="AP178" s="2180"/>
      <c r="AQ178" s="2180"/>
      <c r="AR178" s="2180"/>
      <c r="AS178" s="2180"/>
      <c r="AT178" s="2180"/>
      <c r="AU178" s="2180"/>
      <c r="AV178" s="2180"/>
    </row>
    <row r="179" spans="1:48">
      <c r="A179" s="872"/>
      <c r="C179" s="4642"/>
      <c r="D179" s="3492"/>
      <c r="E179" s="49"/>
      <c r="F179" s="49"/>
      <c r="G179" s="49"/>
      <c r="H179" s="49"/>
      <c r="I179" s="49"/>
      <c r="J179" s="49"/>
      <c r="K179" s="49"/>
      <c r="AA179" s="2038"/>
      <c r="AB179" s="2038"/>
      <c r="AC179" s="2038"/>
      <c r="AD179" s="2038"/>
      <c r="AE179" s="2038"/>
      <c r="AF179" s="2038"/>
      <c r="AG179" s="2038"/>
      <c r="AH179" s="2038"/>
      <c r="AI179" s="2038"/>
      <c r="AJ179" s="2038"/>
      <c r="AK179" s="2038"/>
      <c r="AL179" s="2038"/>
      <c r="AN179" s="2050"/>
      <c r="AO179" s="2050"/>
      <c r="AP179" s="2038"/>
      <c r="AQ179" s="2038"/>
      <c r="AR179" s="2038"/>
      <c r="AS179" s="2038"/>
      <c r="AT179" s="2038"/>
      <c r="AU179" s="2038"/>
      <c r="AV179" s="2038"/>
    </row>
    <row r="180" spans="1:48">
      <c r="B180" s="4376"/>
      <c r="C180" s="1299" t="s">
        <v>177</v>
      </c>
      <c r="D180" s="61" t="s">
        <v>1895</v>
      </c>
      <c r="AA180" s="2038"/>
      <c r="AB180" s="2038"/>
      <c r="AC180" s="2038"/>
      <c r="AD180" s="2038"/>
      <c r="AE180" s="2038"/>
      <c r="AF180" s="2038"/>
      <c r="AG180" s="2038"/>
      <c r="AH180" s="2038"/>
      <c r="AI180" s="2038"/>
      <c r="AJ180" s="2038"/>
      <c r="AK180" s="2038"/>
      <c r="AL180" s="2038"/>
      <c r="AN180" s="2050"/>
      <c r="AO180" s="2050"/>
      <c r="AP180" s="2038"/>
      <c r="AQ180" s="2038"/>
      <c r="AR180" s="2038"/>
      <c r="AS180" s="2038"/>
      <c r="AT180" s="2038"/>
      <c r="AU180" s="2038"/>
      <c r="AV180" s="2038"/>
    </row>
    <row r="181" spans="1:48">
      <c r="B181" s="4376"/>
      <c r="C181" s="1290"/>
      <c r="D181" s="61" t="str">
        <f>"return, in the United States for more than half of "&amp;TaxYear&amp;"?"</f>
        <v>return, in the United States for more than half of 2023?</v>
      </c>
      <c r="F181" s="61"/>
      <c r="AA181" s="2038"/>
      <c r="AB181" s="2038"/>
      <c r="AC181" s="2038"/>
      <c r="AD181" s="2038"/>
      <c r="AE181" s="2038"/>
      <c r="AF181" s="2038"/>
      <c r="AG181" s="2038"/>
      <c r="AH181" s="2038"/>
      <c r="AI181" s="2038"/>
      <c r="AJ181" s="2038"/>
      <c r="AK181" s="2038"/>
      <c r="AL181" s="2038"/>
      <c r="AN181" s="2050"/>
      <c r="AO181" s="2050"/>
      <c r="AP181" s="2038"/>
      <c r="AQ181" s="2038"/>
      <c r="AR181" s="2038"/>
      <c r="AS181" s="2038"/>
      <c r="AT181" s="2038"/>
      <c r="AU181" s="2038"/>
      <c r="AV181" s="2038"/>
    </row>
    <row r="182" spans="1:48">
      <c r="B182" s="4376"/>
      <c r="C182" s="1290"/>
      <c r="D182" s="61" t="s">
        <v>1896</v>
      </c>
      <c r="F182" s="61"/>
      <c r="AA182" s="2038"/>
      <c r="AB182" s="2038"/>
      <c r="AC182" s="2038"/>
      <c r="AD182" s="2038"/>
      <c r="AE182" s="2038"/>
      <c r="AF182" s="2038"/>
      <c r="AG182" s="2038"/>
      <c r="AH182" s="2038"/>
      <c r="AI182" s="2038"/>
      <c r="AJ182" s="2038"/>
      <c r="AK182" s="2038"/>
      <c r="AL182" s="2038"/>
      <c r="AN182" s="2050"/>
      <c r="AO182" s="2050"/>
      <c r="AP182" s="2038"/>
      <c r="AQ182" s="2038"/>
      <c r="AR182" s="2038"/>
      <c r="AS182" s="2038"/>
      <c r="AT182" s="2038"/>
      <c r="AU182" s="2038"/>
      <c r="AV182" s="2038"/>
    </row>
    <row r="183" spans="1:48">
      <c r="B183" s="4376"/>
      <c r="C183" s="1290"/>
      <c r="D183" s="61" t="s">
        <v>1897</v>
      </c>
      <c r="F183" s="61"/>
      <c r="AA183" s="2038"/>
      <c r="AB183" s="2038"/>
      <c r="AC183" s="2038"/>
      <c r="AD183" s="2038"/>
      <c r="AE183" s="2038"/>
      <c r="AF183" s="2038"/>
      <c r="AG183" s="2038"/>
      <c r="AH183" s="2038"/>
      <c r="AI183" s="2038"/>
      <c r="AJ183" s="2038"/>
      <c r="AK183" s="2038"/>
      <c r="AL183" s="2038"/>
      <c r="AN183" s="2050"/>
      <c r="AO183" s="2050"/>
      <c r="AP183" s="2038"/>
      <c r="AQ183" s="2038"/>
      <c r="AR183" s="2038"/>
      <c r="AS183" s="2038"/>
      <c r="AT183" s="2038"/>
      <c r="AU183" s="2038"/>
      <c r="AV183" s="2038"/>
    </row>
    <row r="184" spans="1:48">
      <c r="C184" s="1290"/>
      <c r="AA184" s="2038"/>
      <c r="AB184" s="2038"/>
      <c r="AC184" s="2038"/>
      <c r="AD184" s="2038"/>
      <c r="AE184" s="2038"/>
      <c r="AF184" s="2038"/>
      <c r="AG184" s="2038"/>
      <c r="AH184" s="2038"/>
      <c r="AI184" s="2038"/>
      <c r="AJ184" s="2038"/>
      <c r="AK184" s="2038"/>
      <c r="AL184" s="2038"/>
      <c r="AN184" s="2050"/>
      <c r="AO184" s="2050"/>
      <c r="AP184" s="2038"/>
      <c r="AQ184" s="2038"/>
      <c r="AR184" s="2038"/>
      <c r="AS184" s="2038"/>
      <c r="AT184" s="2038"/>
      <c r="AU184" s="2038"/>
      <c r="AV184" s="2038"/>
    </row>
    <row r="185" spans="1:48">
      <c r="A185" s="805" t="b">
        <f>AND(OR(N128,N135,A176),NOT(G185))</f>
        <v>0</v>
      </c>
      <c r="B185" s="1575" t="str">
        <f>IF(A185,"X","")</f>
        <v/>
      </c>
      <c r="D185" s="61" t="s">
        <v>1831</v>
      </c>
      <c r="G185" s="805" t="b">
        <f>H185&lt;&gt;""</f>
        <v>0</v>
      </c>
      <c r="H185" s="941"/>
      <c r="J185" s="61" t="s">
        <v>1898</v>
      </c>
      <c r="M185" s="1640"/>
      <c r="AA185" s="2038"/>
      <c r="AB185" s="2038"/>
      <c r="AC185" s="2038"/>
      <c r="AD185" s="2038"/>
      <c r="AE185" s="2038"/>
      <c r="AF185" s="2038"/>
      <c r="AG185" s="2038"/>
      <c r="AH185" s="2038"/>
      <c r="AI185" s="2038"/>
      <c r="AJ185" s="2038"/>
      <c r="AK185" s="2038"/>
      <c r="AL185" s="2038"/>
      <c r="AN185" s="2050"/>
      <c r="AO185" s="2050"/>
      <c r="AP185" s="2038"/>
      <c r="AQ185" s="2038"/>
      <c r="AR185" s="2038"/>
      <c r="AS185" s="2038"/>
      <c r="AT185" s="2038"/>
      <c r="AU185" s="2038"/>
      <c r="AV185" s="2038"/>
    </row>
    <row r="186" spans="1:48">
      <c r="A186" s="872"/>
      <c r="C186" s="872"/>
      <c r="D186" s="61"/>
      <c r="J186" s="61" t="s">
        <v>1878</v>
      </c>
      <c r="AA186" s="2038"/>
      <c r="AB186" s="2038"/>
      <c r="AC186" s="2038"/>
      <c r="AD186" s="2038"/>
      <c r="AE186" s="2038"/>
      <c r="AF186" s="2038"/>
      <c r="AG186" s="2038"/>
      <c r="AH186" s="2038"/>
      <c r="AI186" s="2038"/>
      <c r="AJ186" s="2038"/>
      <c r="AK186" s="2038"/>
      <c r="AL186" s="2038"/>
      <c r="AN186" s="2050"/>
      <c r="AO186" s="2050"/>
      <c r="AP186" s="2038"/>
      <c r="AQ186" s="2038"/>
      <c r="AR186" s="2038"/>
      <c r="AS186" s="2038"/>
      <c r="AT186" s="2038"/>
      <c r="AU186" s="2038"/>
      <c r="AV186" s="2038"/>
    </row>
    <row r="187" spans="1:48">
      <c r="A187" s="872"/>
      <c r="C187" s="872"/>
      <c r="D187" s="61"/>
      <c r="J187" s="61" t="s">
        <v>1899</v>
      </c>
      <c r="AA187" s="2038"/>
      <c r="AB187" s="2038"/>
      <c r="AC187" s="2038"/>
      <c r="AD187" s="2038"/>
      <c r="AE187" s="2038"/>
      <c r="AF187" s="2038"/>
      <c r="AG187" s="2038"/>
      <c r="AH187" s="2038"/>
      <c r="AI187" s="2038"/>
      <c r="AJ187" s="2038"/>
      <c r="AK187" s="2038"/>
      <c r="AL187" s="2038"/>
      <c r="AN187" s="2050"/>
      <c r="AO187" s="2050"/>
      <c r="AP187" s="2038"/>
      <c r="AQ187" s="2038"/>
      <c r="AR187" s="2038"/>
      <c r="AS187" s="2038"/>
      <c r="AT187" s="2038"/>
      <c r="AU187" s="2038"/>
      <c r="AV187" s="2038"/>
    </row>
    <row r="188" spans="1:48">
      <c r="A188" s="872"/>
      <c r="C188" s="872"/>
      <c r="D188" s="61"/>
      <c r="J188" s="61" t="s">
        <v>1900</v>
      </c>
      <c r="AA188" s="2038"/>
      <c r="AB188" s="2038"/>
      <c r="AC188" s="2038"/>
      <c r="AD188" s="2038"/>
      <c r="AE188" s="2038"/>
      <c r="AF188" s="2038"/>
      <c r="AG188" s="2038"/>
      <c r="AH188" s="2038"/>
      <c r="AI188" s="2038"/>
      <c r="AJ188" s="2038"/>
      <c r="AK188" s="2038"/>
      <c r="AL188" s="2038"/>
      <c r="AN188" s="2050"/>
      <c r="AO188" s="2050"/>
      <c r="AP188" s="2038"/>
      <c r="AQ188" s="2038"/>
      <c r="AR188" s="2038"/>
      <c r="AS188" s="2038"/>
      <c r="AT188" s="2038"/>
      <c r="AU188" s="2038"/>
      <c r="AV188" s="2038"/>
    </row>
    <row r="189" spans="1:48">
      <c r="A189" s="872"/>
      <c r="C189" s="4642"/>
      <c r="D189" s="3492"/>
      <c r="E189" s="49"/>
      <c r="F189" s="49"/>
      <c r="G189" s="49"/>
      <c r="H189" s="49"/>
      <c r="I189" s="49"/>
      <c r="J189" s="49"/>
      <c r="K189" s="49"/>
      <c r="AA189" s="2038"/>
      <c r="AB189" s="2038"/>
      <c r="AC189" s="2038"/>
      <c r="AD189" s="2038"/>
      <c r="AE189" s="2038"/>
      <c r="AF189" s="2038"/>
      <c r="AG189" s="2038"/>
      <c r="AH189" s="2038"/>
      <c r="AI189" s="2038"/>
      <c r="AJ189" s="2038"/>
      <c r="AK189" s="2038"/>
      <c r="AL189" s="2038"/>
      <c r="AN189" s="2050"/>
      <c r="AO189" s="2050"/>
      <c r="AP189" s="2038"/>
      <c r="AQ189" s="2038"/>
      <c r="AR189" s="2038"/>
      <c r="AS189" s="2038"/>
      <c r="AT189" s="2038"/>
      <c r="AU189" s="2038"/>
      <c r="AV189" s="2038"/>
    </row>
    <row r="190" spans="1:48">
      <c r="B190" s="4376"/>
      <c r="C190" s="1299" t="s">
        <v>182</v>
      </c>
      <c r="D190" s="61" t="str">
        <f>"Are you filing a joint return for "&amp;TaxYear&amp;"?"</f>
        <v>Are you filing a joint return for 2023?</v>
      </c>
      <c r="AA190" s="2038"/>
      <c r="AB190" s="2038"/>
      <c r="AC190" s="2038"/>
      <c r="AD190" s="2038"/>
      <c r="AE190" s="2038"/>
      <c r="AF190" s="2038"/>
      <c r="AG190" s="2038"/>
      <c r="AH190" s="2038"/>
      <c r="AI190" s="2038"/>
      <c r="AJ190" s="2038"/>
      <c r="AK190" s="2038"/>
      <c r="AL190" s="2038"/>
      <c r="AN190" s="2050"/>
      <c r="AO190" s="2050"/>
      <c r="AP190" s="2038"/>
      <c r="AQ190" s="2038"/>
      <c r="AR190" s="2038"/>
      <c r="AS190" s="2038"/>
      <c r="AT190" s="2038"/>
      <c r="AU190" s="2038"/>
      <c r="AV190" s="2038"/>
    </row>
    <row r="191" spans="1:48">
      <c r="C191" s="1290"/>
      <c r="AA191" s="2038"/>
      <c r="AB191" s="2038"/>
      <c r="AC191" s="2038"/>
      <c r="AD191" s="2038"/>
      <c r="AE191" s="2038"/>
      <c r="AF191" s="2038"/>
      <c r="AG191" s="2038"/>
      <c r="AH191" s="2038"/>
      <c r="AI191" s="2038"/>
      <c r="AJ191" s="2038"/>
      <c r="AK191" s="2038"/>
      <c r="AL191" s="2038"/>
      <c r="AN191" s="2050"/>
      <c r="AO191" s="2050"/>
      <c r="AP191" s="2038"/>
      <c r="AQ191" s="2038"/>
      <c r="AR191" s="2038"/>
      <c r="AS191" s="2038"/>
      <c r="AT191" s="2038"/>
      <c r="AU191" s="2038"/>
      <c r="AV191" s="2038"/>
    </row>
    <row r="192" spans="1:48">
      <c r="A192" s="805" t="b">
        <f>AND(A185,File_Marr_Joint&lt;&gt;"")</f>
        <v>0</v>
      </c>
      <c r="B192" s="1575" t="str">
        <f>IF(A192,"X","")</f>
        <v/>
      </c>
      <c r="D192" s="61" t="s">
        <v>1901</v>
      </c>
      <c r="G192" s="805" t="b">
        <f>AND(A185,NOT(A192))</f>
        <v>0</v>
      </c>
      <c r="H192" s="1575" t="str">
        <f>IF(G192,"X","")</f>
        <v/>
      </c>
      <c r="J192" s="61" t="s">
        <v>1902</v>
      </c>
      <c r="M192" s="1640"/>
      <c r="AA192" s="2038"/>
      <c r="AB192" s="2038"/>
      <c r="AC192" s="2038"/>
      <c r="AD192" s="2038"/>
      <c r="AE192" s="2038"/>
      <c r="AF192" s="2038"/>
      <c r="AG192" s="2038"/>
      <c r="AH192" s="2038"/>
      <c r="AI192" s="2038"/>
      <c r="AJ192" s="2038"/>
      <c r="AK192" s="2038"/>
      <c r="AL192" s="2038"/>
      <c r="AN192" s="2050"/>
      <c r="AO192" s="2050"/>
      <c r="AP192" s="2038"/>
      <c r="AQ192" s="2038"/>
      <c r="AR192" s="2038"/>
      <c r="AS192" s="2038"/>
      <c r="AT192" s="2038"/>
      <c r="AU192" s="2038"/>
      <c r="AV192" s="2038"/>
    </row>
    <row r="193" spans="1:48">
      <c r="A193" s="872"/>
      <c r="C193" s="872"/>
      <c r="D193" s="61" t="s">
        <v>1903</v>
      </c>
      <c r="AA193" s="2038"/>
      <c r="AB193" s="2038"/>
      <c r="AC193" s="2038"/>
      <c r="AD193" s="2038"/>
      <c r="AE193" s="2038"/>
      <c r="AF193" s="2038"/>
      <c r="AG193" s="2038"/>
      <c r="AH193" s="2038"/>
      <c r="AI193" s="2038"/>
      <c r="AJ193" s="2038"/>
      <c r="AK193" s="2038"/>
      <c r="AL193" s="2038"/>
      <c r="AN193" s="2050"/>
      <c r="AO193" s="2050"/>
      <c r="AP193" s="2038"/>
      <c r="AQ193" s="2038"/>
      <c r="AR193" s="2038"/>
      <c r="AS193" s="2038"/>
      <c r="AT193" s="2038"/>
      <c r="AU193" s="2038"/>
      <c r="AV193" s="2038"/>
    </row>
    <row r="194" spans="1:48">
      <c r="A194" s="872"/>
      <c r="C194" s="872"/>
      <c r="D194" s="61"/>
      <c r="AA194" s="2038"/>
      <c r="AB194" s="2038"/>
      <c r="AC194" s="2038"/>
      <c r="AD194" s="2038"/>
      <c r="AE194" s="2038"/>
      <c r="AF194" s="2038"/>
      <c r="AG194" s="2038"/>
      <c r="AH194" s="2038"/>
      <c r="AI194" s="2038"/>
      <c r="AJ194" s="2038"/>
      <c r="AK194" s="2038"/>
      <c r="AL194" s="2038"/>
      <c r="AN194" s="2050"/>
      <c r="AO194" s="2050"/>
      <c r="AP194" s="2038"/>
      <c r="AQ194" s="2038"/>
      <c r="AR194" s="2038"/>
      <c r="AS194" s="2038"/>
      <c r="AT194" s="2038"/>
      <c r="AU194" s="2038"/>
      <c r="AV194" s="2038"/>
    </row>
    <row r="195" spans="1:48">
      <c r="A195" s="872"/>
      <c r="C195" s="4642"/>
      <c r="D195" s="3492"/>
      <c r="E195" s="49"/>
      <c r="F195" s="49"/>
      <c r="G195" s="49"/>
      <c r="H195" s="49"/>
      <c r="I195" s="49"/>
      <c r="J195" s="49"/>
      <c r="K195" s="49"/>
      <c r="AA195" s="2038"/>
      <c r="AB195" s="2038"/>
      <c r="AC195" s="2038"/>
      <c r="AD195" s="2038"/>
      <c r="AE195" s="2038"/>
      <c r="AF195" s="2038"/>
      <c r="AG195" s="2038"/>
      <c r="AH195" s="2038"/>
      <c r="AI195" s="2038"/>
      <c r="AJ195" s="2038"/>
      <c r="AK195" s="2038"/>
      <c r="AL195" s="2038"/>
      <c r="AN195" s="2050"/>
      <c r="AO195" s="2050"/>
      <c r="AP195" s="2038"/>
      <c r="AQ195" s="2038"/>
      <c r="AR195" s="2038"/>
      <c r="AS195" s="2038"/>
      <c r="AT195" s="2038"/>
      <c r="AU195" s="2038"/>
      <c r="AV195" s="2038"/>
    </row>
    <row r="196" spans="1:48">
      <c r="B196" s="4376"/>
      <c r="C196" s="1299" t="s">
        <v>198</v>
      </c>
      <c r="D196" s="61" t="str">
        <f>"Could you be a qualifying child of another person for "&amp;TaxYear&amp;"?"</f>
        <v>Could you be a qualifying child of another person for 2023?</v>
      </c>
      <c r="AA196" s="2038"/>
      <c r="AB196" s="2038"/>
      <c r="AC196" s="2038"/>
      <c r="AD196" s="2038"/>
      <c r="AE196" s="2038"/>
      <c r="AF196" s="2038"/>
      <c r="AG196" s="2038"/>
      <c r="AH196" s="2038"/>
      <c r="AI196" s="2038"/>
      <c r="AJ196" s="2038"/>
      <c r="AK196" s="2038"/>
      <c r="AL196" s="2038"/>
      <c r="AN196" s="2050"/>
      <c r="AO196" s="2050"/>
      <c r="AP196" s="2038"/>
      <c r="AQ196" s="2038"/>
      <c r="AR196" s="2038"/>
      <c r="AS196" s="2038"/>
      <c r="AT196" s="2038"/>
      <c r="AU196" s="2038"/>
      <c r="AV196" s="2038"/>
    </row>
    <row r="197" spans="1:48">
      <c r="B197" s="4376"/>
      <c r="C197" s="1290"/>
      <c r="D197" s="61" t="s">
        <v>1904</v>
      </c>
      <c r="F197" s="61"/>
      <c r="AA197" s="2038"/>
      <c r="AB197" s="2038"/>
      <c r="AC197" s="2038"/>
      <c r="AD197" s="2038"/>
      <c r="AE197" s="2038"/>
      <c r="AF197" s="2038"/>
      <c r="AG197" s="2038"/>
      <c r="AH197" s="2038"/>
      <c r="AI197" s="2038"/>
      <c r="AJ197" s="2038"/>
      <c r="AK197" s="2038"/>
      <c r="AL197" s="2038"/>
      <c r="AN197" s="2050"/>
      <c r="AO197" s="2050"/>
      <c r="AP197" s="2038"/>
      <c r="AQ197" s="2038"/>
      <c r="AR197" s="2038"/>
      <c r="AS197" s="2038"/>
      <c r="AT197" s="2038"/>
      <c r="AU197" s="2038"/>
      <c r="AV197" s="2038"/>
    </row>
    <row r="198" spans="1:48">
      <c r="B198" s="4376"/>
      <c r="C198" s="1290"/>
      <c r="D198" s="61" t="str">
        <f>"isn't filing, a "&amp;TaxYear&amp;" tax return or is filing a "&amp;TaxYear&amp;" return only"</f>
        <v>isn't filing, a 2023 tax return or is filing a 2023 return only</v>
      </c>
      <c r="AA198" s="2038"/>
      <c r="AB198" s="2038"/>
      <c r="AC198" s="2038"/>
      <c r="AD198" s="2038"/>
      <c r="AE198" s="2038"/>
      <c r="AF198" s="2038"/>
      <c r="AG198" s="2038"/>
      <c r="AH198" s="2038"/>
      <c r="AI198" s="2038"/>
      <c r="AJ198" s="2038"/>
      <c r="AK198" s="2038"/>
      <c r="AL198" s="2038"/>
      <c r="AN198" s="2050"/>
      <c r="AO198" s="2050"/>
      <c r="AP198" s="2038"/>
      <c r="AQ198" s="2038"/>
      <c r="AR198" s="2038"/>
      <c r="AS198" s="2038"/>
      <c r="AT198" s="2038"/>
      <c r="AU198" s="2038"/>
      <c r="AV198" s="2038"/>
    </row>
    <row r="199" spans="1:48">
      <c r="B199" s="4376"/>
      <c r="C199" s="1290"/>
      <c r="D199" s="22" t="s">
        <v>1880</v>
      </c>
      <c r="AA199" s="2038"/>
      <c r="AB199" s="2038"/>
      <c r="AC199" s="2038"/>
      <c r="AD199" s="2038"/>
      <c r="AE199" s="2038"/>
      <c r="AF199" s="2038"/>
      <c r="AG199" s="2038"/>
      <c r="AH199" s="2038"/>
      <c r="AI199" s="2038"/>
      <c r="AJ199" s="2038"/>
      <c r="AK199" s="2038"/>
      <c r="AL199" s="2038"/>
      <c r="AN199" s="2050"/>
      <c r="AO199" s="2050"/>
      <c r="AP199" s="2038"/>
      <c r="AQ199" s="2038"/>
      <c r="AR199" s="2038"/>
      <c r="AS199" s="2038"/>
      <c r="AT199" s="2038"/>
      <c r="AU199" s="2038"/>
      <c r="AV199" s="2038"/>
    </row>
    <row r="200" spans="1:48">
      <c r="B200" s="4376"/>
      <c r="C200" s="1290"/>
      <c r="D200" s="61" t="s">
        <v>1881</v>
      </c>
      <c r="AA200" s="2038"/>
      <c r="AB200" s="2038"/>
      <c r="AC200" s="2038"/>
      <c r="AD200" s="2038"/>
      <c r="AE200" s="2038"/>
      <c r="AF200" s="2038"/>
      <c r="AG200" s="2038"/>
      <c r="AH200" s="2038"/>
      <c r="AI200" s="2038"/>
      <c r="AJ200" s="2038"/>
      <c r="AK200" s="2038"/>
      <c r="AL200" s="2038"/>
      <c r="AN200" s="2050"/>
      <c r="AO200" s="2050"/>
      <c r="AP200" s="2038"/>
      <c r="AQ200" s="2038"/>
      <c r="AR200" s="2038"/>
      <c r="AS200" s="2038"/>
      <c r="AT200" s="2038"/>
      <c r="AU200" s="2038"/>
      <c r="AV200" s="2038"/>
    </row>
    <row r="201" spans="1:48">
      <c r="C201" s="1290"/>
      <c r="AA201" s="2038"/>
      <c r="AB201" s="2038"/>
      <c r="AC201" s="2038"/>
      <c r="AD201" s="2038"/>
      <c r="AE201" s="2038"/>
      <c r="AF201" s="2038"/>
      <c r="AG201" s="2038"/>
      <c r="AH201" s="2038"/>
      <c r="AI201" s="2038"/>
      <c r="AJ201" s="2038"/>
      <c r="AK201" s="2038"/>
      <c r="AL201" s="2038"/>
      <c r="AN201" s="2050"/>
      <c r="AO201" s="2050"/>
      <c r="AP201" s="2038"/>
      <c r="AQ201" s="2038"/>
      <c r="AR201" s="2038"/>
      <c r="AS201" s="2038"/>
      <c r="AT201" s="2038"/>
      <c r="AU201" s="2038"/>
      <c r="AV201" s="2038"/>
    </row>
    <row r="202" spans="1:48">
      <c r="A202" s="805" t="b">
        <f>AND(G192,B202&lt;&gt;"")</f>
        <v>0</v>
      </c>
      <c r="B202" s="941"/>
      <c r="D202" s="61" t="s">
        <v>1905</v>
      </c>
      <c r="G202" s="805" t="b">
        <f>AND(G192,NOT(A202))</f>
        <v>0</v>
      </c>
      <c r="H202" s="1574" t="str">
        <f>IF(G202,"X","")</f>
        <v/>
      </c>
      <c r="J202" s="61" t="s">
        <v>1906</v>
      </c>
      <c r="M202" s="1640"/>
      <c r="AA202" s="2038"/>
      <c r="AB202" s="2038"/>
      <c r="AC202" s="2038"/>
      <c r="AD202" s="2038"/>
      <c r="AE202" s="2038"/>
      <c r="AF202" s="2038"/>
      <c r="AG202" s="2038"/>
      <c r="AH202" s="2038"/>
      <c r="AI202" s="2038"/>
      <c r="AJ202" s="2038"/>
      <c r="AK202" s="2038"/>
      <c r="AL202" s="2038"/>
      <c r="AN202" s="2050"/>
      <c r="AO202" s="2050"/>
      <c r="AP202" s="2038"/>
      <c r="AQ202" s="2038"/>
      <c r="AR202" s="2038"/>
      <c r="AS202" s="2038"/>
      <c r="AT202" s="2038"/>
      <c r="AU202" s="2038"/>
      <c r="AV202" s="2038"/>
    </row>
    <row r="203" spans="1:48">
      <c r="A203" s="872"/>
      <c r="C203" s="872"/>
      <c r="D203" s="61" t="s">
        <v>1878</v>
      </c>
      <c r="AA203" s="2038"/>
      <c r="AB203" s="2038"/>
      <c r="AC203" s="2038"/>
      <c r="AD203" s="2038"/>
      <c r="AE203" s="2038"/>
      <c r="AF203" s="2038"/>
      <c r="AG203" s="2038"/>
      <c r="AH203" s="2038"/>
      <c r="AI203" s="2038"/>
      <c r="AJ203" s="2038"/>
      <c r="AK203" s="2038"/>
      <c r="AL203" s="2038"/>
      <c r="AN203" s="2050"/>
      <c r="AO203" s="2050"/>
      <c r="AP203" s="2038"/>
      <c r="AQ203" s="2038"/>
      <c r="AR203" s="2038"/>
      <c r="AS203" s="2038"/>
      <c r="AT203" s="2038"/>
      <c r="AU203" s="2038"/>
      <c r="AV203" s="2038"/>
    </row>
    <row r="204" spans="1:48">
      <c r="A204" s="872"/>
      <c r="C204" s="872"/>
      <c r="D204" s="61" t="s">
        <v>1899</v>
      </c>
      <c r="AA204" s="2038"/>
      <c r="AB204" s="2038"/>
      <c r="AC204" s="2038"/>
      <c r="AD204" s="2038"/>
      <c r="AE204" s="2038"/>
      <c r="AF204" s="2038"/>
      <c r="AG204" s="2038"/>
      <c r="AH204" s="2038"/>
      <c r="AI204" s="2038"/>
      <c r="AJ204" s="2038"/>
      <c r="AK204" s="2038"/>
      <c r="AL204" s="2038"/>
      <c r="AN204" s="2050"/>
      <c r="AO204" s="2050"/>
      <c r="AP204" s="2038"/>
      <c r="AQ204" s="2038"/>
      <c r="AR204" s="2038"/>
      <c r="AS204" s="2038"/>
      <c r="AT204" s="2038"/>
      <c r="AU204" s="2038"/>
      <c r="AV204" s="2038"/>
    </row>
    <row r="205" spans="1:48">
      <c r="A205" s="872"/>
      <c r="C205" s="872"/>
      <c r="D205" s="61" t="s">
        <v>1900</v>
      </c>
      <c r="AA205" s="2038"/>
      <c r="AB205" s="2038"/>
      <c r="AC205" s="2038"/>
      <c r="AD205" s="2038"/>
      <c r="AE205" s="2038"/>
      <c r="AF205" s="2038"/>
      <c r="AG205" s="2038"/>
      <c r="AH205" s="2038"/>
      <c r="AI205" s="2038"/>
      <c r="AJ205" s="2038"/>
      <c r="AK205" s="2038"/>
      <c r="AL205" s="2038"/>
      <c r="AN205" s="2050"/>
      <c r="AO205" s="2050"/>
      <c r="AP205" s="2038"/>
      <c r="AQ205" s="2038"/>
      <c r="AR205" s="2038"/>
      <c r="AS205" s="2038"/>
      <c r="AT205" s="2038"/>
      <c r="AU205" s="2038"/>
      <c r="AV205" s="2038"/>
    </row>
    <row r="206" spans="1:48">
      <c r="A206" s="872"/>
      <c r="B206" s="872"/>
      <c r="C206" s="872"/>
      <c r="D206" s="872"/>
      <c r="E206" s="872"/>
      <c r="F206" s="872"/>
      <c r="G206" s="872"/>
      <c r="H206" s="872"/>
      <c r="I206" s="872"/>
      <c r="J206" s="872"/>
      <c r="K206" s="872"/>
      <c r="L206" s="872"/>
      <c r="AA206" s="2038"/>
      <c r="AB206" s="2038"/>
      <c r="AC206" s="2038"/>
      <c r="AD206" s="2038"/>
      <c r="AE206" s="2038"/>
      <c r="AF206" s="2038"/>
      <c r="AG206" s="2038"/>
      <c r="AH206" s="2038"/>
      <c r="AI206" s="2038"/>
      <c r="AJ206" s="2038"/>
      <c r="AK206" s="2038"/>
      <c r="AL206" s="2038"/>
      <c r="AN206" s="2050"/>
      <c r="AO206" s="2050"/>
      <c r="AP206" s="2038"/>
      <c r="AQ206" s="2038"/>
      <c r="AR206" s="2038"/>
      <c r="AS206" s="2038"/>
      <c r="AT206" s="2038"/>
      <c r="AU206" s="2038"/>
      <c r="AV206" s="2038"/>
    </row>
    <row r="207" spans="1:48">
      <c r="A207" s="872"/>
      <c r="C207" s="4642"/>
      <c r="D207" s="3492"/>
      <c r="E207" s="49"/>
      <c r="F207" s="49"/>
      <c r="G207" s="49"/>
      <c r="H207" s="49"/>
      <c r="I207" s="49"/>
      <c r="J207" s="49"/>
      <c r="K207" s="49"/>
      <c r="AA207" s="2038"/>
      <c r="AB207" s="2038"/>
      <c r="AC207" s="2038"/>
      <c r="AD207" s="2038"/>
      <c r="AE207" s="2038"/>
      <c r="AF207" s="2038"/>
      <c r="AG207" s="2038"/>
      <c r="AH207" s="2038"/>
      <c r="AI207" s="2038"/>
      <c r="AJ207" s="2038"/>
      <c r="AK207" s="2038"/>
      <c r="AL207" s="2038"/>
      <c r="AN207" s="2050"/>
      <c r="AO207" s="2050"/>
      <c r="AP207" s="2038"/>
      <c r="AQ207" s="2038"/>
      <c r="AR207" s="2038"/>
      <c r="AS207" s="2038"/>
      <c r="AT207" s="2038"/>
      <c r="AU207" s="2038"/>
      <c r="AV207" s="2038"/>
    </row>
    <row r="208" spans="1:48">
      <c r="B208" s="4376"/>
      <c r="C208" s="1299" t="s">
        <v>202</v>
      </c>
      <c r="D208" s="61" t="str">
        <f>"Can you be claimed as a dependent on someone else's "&amp;TaxYear&amp;" tax return?"</f>
        <v>Can you be claimed as a dependent on someone else's 2023 tax return?</v>
      </c>
      <c r="AA208" s="2038"/>
      <c r="AB208" s="2038"/>
      <c r="AC208" s="2038"/>
      <c r="AD208" s="2038"/>
      <c r="AE208" s="2038"/>
      <c r="AF208" s="2038"/>
      <c r="AG208" s="2038"/>
      <c r="AH208" s="2038"/>
      <c r="AI208" s="2038"/>
      <c r="AJ208" s="2038"/>
      <c r="AK208" s="2038"/>
      <c r="AL208" s="2038"/>
      <c r="AN208" s="2050"/>
      <c r="AO208" s="2050"/>
      <c r="AP208" s="2038"/>
      <c r="AQ208" s="2038"/>
      <c r="AR208" s="2038"/>
      <c r="AS208" s="2038"/>
      <c r="AT208" s="2038"/>
      <c r="AU208" s="2038"/>
      <c r="AV208" s="2038"/>
    </row>
    <row r="209" spans="1:48">
      <c r="B209" s="4376"/>
      <c r="C209" s="1299"/>
      <c r="D209" s="61" t="str">
        <f>"(If the person who could claim you on their "&amp;TaxYear&amp;" tax return is not required to file, and isn't filing a "&amp;TaxYear&amp;" tax return or"</f>
        <v>(If the person who could claim you on their 2023 tax return is not required to file, and isn't filing a 2023 tax return or</v>
      </c>
      <c r="AA209" s="2038"/>
      <c r="AB209" s="2038"/>
      <c r="AC209" s="2038"/>
      <c r="AD209" s="2038"/>
      <c r="AE209" s="2038"/>
      <c r="AF209" s="2038"/>
      <c r="AG209" s="2038"/>
      <c r="AH209" s="2038"/>
      <c r="AI209" s="2038"/>
      <c r="AJ209" s="2038"/>
      <c r="AK209" s="2038"/>
      <c r="AL209" s="2038"/>
      <c r="AN209" s="2050"/>
      <c r="AO209" s="2050"/>
      <c r="AP209" s="2038"/>
      <c r="AQ209" s="2038"/>
      <c r="AR209" s="2038"/>
      <c r="AS209" s="2038"/>
      <c r="AT209" s="2038"/>
      <c r="AU209" s="2038"/>
      <c r="AV209" s="2038"/>
    </row>
    <row r="210" spans="1:48">
      <c r="B210" s="4376"/>
      <c r="C210" s="1299"/>
      <c r="D210" s="61" t="str">
        <f>"is filing a "&amp;TaxYear&amp;" return only to claim a refund of withheld income tax or estimated tax paid, check “No.”)"</f>
        <v>is filing a 2023 return only to claim a refund of withheld income tax or estimated tax paid, check “No.”)</v>
      </c>
      <c r="AA210" s="2038"/>
      <c r="AB210" s="2038"/>
      <c r="AC210" s="2038"/>
      <c r="AD210" s="2038"/>
      <c r="AE210" s="2038"/>
      <c r="AF210" s="2038"/>
      <c r="AG210" s="2038"/>
      <c r="AH210" s="2038"/>
      <c r="AI210" s="2038"/>
      <c r="AJ210" s="2038"/>
      <c r="AK210" s="2038"/>
      <c r="AL210" s="2038"/>
      <c r="AN210" s="2050"/>
      <c r="AO210" s="2050"/>
      <c r="AP210" s="2038"/>
      <c r="AQ210" s="2038"/>
      <c r="AR210" s="2038"/>
      <c r="AS210" s="2038"/>
      <c r="AT210" s="2038"/>
      <c r="AU210" s="2038"/>
      <c r="AV210" s="2038"/>
    </row>
    <row r="211" spans="1:48">
      <c r="C211" s="1290"/>
      <c r="AA211" s="2038"/>
      <c r="AB211" s="2038"/>
      <c r="AC211" s="2038"/>
      <c r="AD211" s="2038"/>
      <c r="AE211" s="2038"/>
      <c r="AF211" s="2038"/>
      <c r="AG211" s="2038"/>
      <c r="AH211" s="2038"/>
      <c r="AI211" s="2038"/>
      <c r="AJ211" s="2038"/>
      <c r="AK211" s="2038"/>
      <c r="AL211" s="2038"/>
      <c r="AN211" s="2050"/>
      <c r="AO211" s="2050"/>
      <c r="AP211" s="2038"/>
      <c r="AQ211" s="2038"/>
      <c r="AR211" s="2038"/>
      <c r="AS211" s="2038"/>
      <c r="AT211" s="2038"/>
      <c r="AU211" s="2038"/>
      <c r="AV211" s="2038"/>
    </row>
    <row r="212" spans="1:48">
      <c r="A212" s="805" t="b">
        <f>AND(G202,DependentYOU&lt;&gt;"")</f>
        <v>0</v>
      </c>
      <c r="B212" s="1575" t="str">
        <f>IF(A212,"X","")</f>
        <v/>
      </c>
      <c r="D212" s="61" t="s">
        <v>1905</v>
      </c>
      <c r="G212" s="805" t="b">
        <f>AND(G202,NOT(A212))</f>
        <v>0</v>
      </c>
      <c r="H212" s="1574" t="str">
        <f>IF(G212,"X","")</f>
        <v/>
      </c>
      <c r="J212" s="61" t="s">
        <v>1906</v>
      </c>
      <c r="M212" s="1640"/>
      <c r="AA212" s="2038"/>
      <c r="AB212" s="2038"/>
      <c r="AC212" s="2038"/>
      <c r="AD212" s="2038"/>
      <c r="AE212" s="2038"/>
      <c r="AF212" s="2038"/>
      <c r="AG212" s="2038"/>
      <c r="AH212" s="2038"/>
      <c r="AI212" s="2038"/>
      <c r="AJ212" s="2038"/>
      <c r="AK212" s="2038"/>
      <c r="AL212" s="2038"/>
      <c r="AN212" s="2050"/>
      <c r="AO212" s="2050"/>
      <c r="AP212" s="2038"/>
      <c r="AQ212" s="2038"/>
      <c r="AR212" s="2038"/>
      <c r="AS212" s="2038"/>
      <c r="AT212" s="2038"/>
      <c r="AU212" s="2038"/>
      <c r="AV212" s="2038"/>
    </row>
    <row r="213" spans="1:48">
      <c r="A213" s="872"/>
      <c r="C213" s="872"/>
      <c r="D213" s="61" t="s">
        <v>1878</v>
      </c>
      <c r="AA213" s="2038"/>
      <c r="AB213" s="2038"/>
      <c r="AC213" s="2038"/>
      <c r="AD213" s="2038"/>
      <c r="AE213" s="2038"/>
      <c r="AF213" s="2038"/>
      <c r="AG213" s="2038"/>
      <c r="AH213" s="2038"/>
      <c r="AI213" s="2038"/>
      <c r="AJ213" s="2038"/>
      <c r="AK213" s="2038"/>
      <c r="AL213" s="2038"/>
      <c r="AN213" s="2050"/>
      <c r="AO213" s="2050"/>
      <c r="AP213" s="2038"/>
      <c r="AQ213" s="2038"/>
      <c r="AR213" s="2038"/>
      <c r="AS213" s="2038"/>
      <c r="AT213" s="2038"/>
      <c r="AU213" s="2038"/>
      <c r="AV213" s="2038"/>
    </row>
    <row r="214" spans="1:48">
      <c r="A214" s="872"/>
      <c r="B214" s="872"/>
      <c r="C214" s="872"/>
      <c r="D214" s="872"/>
      <c r="E214" s="872"/>
      <c r="F214" s="872"/>
      <c r="G214" s="872"/>
      <c r="H214" s="872"/>
      <c r="I214" s="872"/>
      <c r="J214" s="872"/>
      <c r="K214" s="872"/>
      <c r="L214" s="872"/>
      <c r="AA214" s="2038"/>
      <c r="AB214" s="2038"/>
      <c r="AC214" s="2038"/>
      <c r="AD214" s="2038"/>
      <c r="AE214" s="2038"/>
      <c r="AF214" s="2038"/>
      <c r="AG214" s="2038"/>
      <c r="AH214" s="2038"/>
      <c r="AI214" s="2038"/>
      <c r="AJ214" s="2038"/>
      <c r="AK214" s="2038"/>
      <c r="AL214" s="2038"/>
      <c r="AN214" s="2050"/>
      <c r="AO214" s="2050"/>
      <c r="AP214" s="2038"/>
      <c r="AQ214" s="2038"/>
      <c r="AR214" s="2038"/>
      <c r="AS214" s="2038"/>
      <c r="AT214" s="2038"/>
      <c r="AU214" s="2038"/>
      <c r="AV214" s="2038"/>
    </row>
    <row r="215" spans="1:48">
      <c r="A215" s="872"/>
      <c r="B215" s="872"/>
      <c r="C215" s="872"/>
      <c r="D215" s="872"/>
      <c r="E215" s="872"/>
      <c r="F215" s="872"/>
      <c r="G215" s="872"/>
      <c r="H215" s="872"/>
      <c r="I215" s="872"/>
      <c r="J215" s="872"/>
      <c r="K215" s="872"/>
      <c r="L215" s="872"/>
      <c r="AA215" s="2038"/>
      <c r="AB215" s="2038"/>
      <c r="AC215" s="2038"/>
      <c r="AD215" s="2038"/>
      <c r="AE215" s="2038"/>
      <c r="AF215" s="2038"/>
      <c r="AG215" s="2038"/>
      <c r="AH215" s="2038"/>
      <c r="AI215" s="2038"/>
      <c r="AJ215" s="2038"/>
      <c r="AK215" s="2038"/>
      <c r="AL215" s="2038"/>
      <c r="AN215" s="2050"/>
      <c r="AO215" s="2050"/>
      <c r="AP215" s="2038"/>
      <c r="AQ215" s="2038"/>
      <c r="AR215" s="2038"/>
      <c r="AS215" s="2038"/>
      <c r="AT215" s="2038"/>
      <c r="AU215" s="2038"/>
      <c r="AV215" s="2038"/>
    </row>
    <row r="216" spans="1:48">
      <c r="A216" s="872"/>
      <c r="C216" s="4642"/>
      <c r="D216" s="3492"/>
      <c r="E216" s="49"/>
      <c r="F216" s="49"/>
      <c r="G216" s="49"/>
      <c r="H216" s="49"/>
      <c r="I216" s="49"/>
      <c r="J216" s="49"/>
      <c r="K216" s="49"/>
      <c r="AA216" s="2038"/>
      <c r="AB216" s="2038"/>
      <c r="AC216" s="2038"/>
      <c r="AD216" s="2038"/>
      <c r="AE216" s="2038"/>
      <c r="AF216" s="2038"/>
      <c r="AG216" s="2038"/>
      <c r="AH216" s="2038"/>
      <c r="AI216" s="2038"/>
      <c r="AJ216" s="2038"/>
      <c r="AK216" s="2038"/>
      <c r="AL216" s="2038"/>
      <c r="AN216" s="2050"/>
      <c r="AO216" s="2050"/>
      <c r="AP216" s="2038"/>
      <c r="AQ216" s="2038"/>
      <c r="AR216" s="2038"/>
      <c r="AS216" s="2038"/>
      <c r="AT216" s="2038"/>
      <c r="AU216" s="2038"/>
      <c r="AV216" s="2038"/>
    </row>
    <row r="217" spans="1:48" s="109" customFormat="1" ht="15.75">
      <c r="A217" s="1308" t="s">
        <v>1907</v>
      </c>
      <c r="B217" s="1309" t="s">
        <v>1908</v>
      </c>
      <c r="C217" s="1286"/>
      <c r="N217" s="1287"/>
      <c r="AA217" s="2048"/>
      <c r="AB217" s="2048"/>
      <c r="AC217" s="2048"/>
      <c r="AD217" s="2048"/>
      <c r="AE217" s="2048"/>
      <c r="AF217" s="2048"/>
      <c r="AG217" s="2048"/>
      <c r="AH217" s="2048"/>
      <c r="AI217" s="2048"/>
      <c r="AJ217" s="2048"/>
      <c r="AK217" s="2048"/>
      <c r="AL217" s="2048"/>
      <c r="AN217" s="2049"/>
      <c r="AO217" s="2049"/>
      <c r="AP217" s="2048"/>
      <c r="AQ217" s="2048"/>
      <c r="AR217" s="2048"/>
      <c r="AS217" s="2048"/>
      <c r="AT217" s="2048"/>
      <c r="AU217" s="2048"/>
      <c r="AV217" s="2048"/>
    </row>
    <row r="218" spans="1:48">
      <c r="A218" s="872"/>
      <c r="C218" s="872"/>
      <c r="AA218" s="2038"/>
      <c r="AB218" s="2038"/>
      <c r="AC218" s="2038"/>
      <c r="AD218" s="2038"/>
      <c r="AE218" s="2038"/>
      <c r="AF218" s="2038"/>
      <c r="AG218" s="2038"/>
      <c r="AH218" s="2038"/>
      <c r="AI218" s="2038"/>
      <c r="AJ218" s="2038"/>
      <c r="AK218" s="2038"/>
      <c r="AL218" s="2038"/>
      <c r="AN218" s="2050"/>
      <c r="AO218" s="2050"/>
      <c r="AP218" s="2038"/>
      <c r="AQ218" s="2038"/>
      <c r="AR218" s="2038"/>
      <c r="AS218" s="2038"/>
      <c r="AT218" s="2038"/>
      <c r="AU218" s="2038"/>
      <c r="AV218" s="2038"/>
    </row>
    <row r="219" spans="1:48">
      <c r="A219" s="1290" t="s">
        <v>167</v>
      </c>
      <c r="B219" s="22" t="s">
        <v>1909</v>
      </c>
      <c r="AA219" s="2038"/>
      <c r="AB219" s="2038"/>
      <c r="AC219" s="2038"/>
      <c r="AD219" s="2038"/>
      <c r="AE219" s="2038"/>
      <c r="AF219" s="2038"/>
      <c r="AG219" s="2038"/>
      <c r="AH219" s="2038"/>
      <c r="AI219" s="2038"/>
      <c r="AJ219" s="2038"/>
      <c r="AK219" s="2038"/>
      <c r="AL219" s="2038"/>
      <c r="AN219" s="2050"/>
      <c r="AO219" s="2050"/>
      <c r="AP219" s="2038"/>
      <c r="AQ219" s="2038"/>
      <c r="AR219" s="2038"/>
      <c r="AS219" s="2038"/>
      <c r="AT219" s="2038"/>
      <c r="AU219" s="2038"/>
      <c r="AV219" s="2038"/>
    </row>
    <row r="220" spans="1:48">
      <c r="C220" s="1290"/>
      <c r="AA220" s="2038"/>
      <c r="AB220" s="2038"/>
      <c r="AC220" s="2038"/>
      <c r="AD220" s="2038"/>
      <c r="AE220" s="2038"/>
      <c r="AF220" s="2038"/>
      <c r="AG220" s="2038"/>
      <c r="AH220" s="2038"/>
      <c r="AI220" s="2038"/>
      <c r="AJ220" s="2038"/>
      <c r="AK220" s="2038"/>
      <c r="AL220" s="2038"/>
      <c r="AN220" s="2050"/>
      <c r="AO220" s="2050"/>
      <c r="AP220" s="2038"/>
      <c r="AQ220" s="2038"/>
      <c r="AR220" s="2038"/>
      <c r="AS220" s="2038"/>
      <c r="AT220" s="2038"/>
      <c r="AU220" s="2038"/>
      <c r="AV220" s="2038"/>
    </row>
    <row r="221" spans="1:48">
      <c r="A221" s="4649" t="b">
        <f>AND(OR(A121,N153,A192,G212),B221&lt;&gt;"")</f>
        <v>0</v>
      </c>
      <c r="B221" s="941"/>
      <c r="D221" s="23" t="s">
        <v>1069</v>
      </c>
      <c r="G221" s="805" t="b">
        <f>AND(OR(A121,N153,A192,G212),NOT(A221))</f>
        <v>0</v>
      </c>
      <c r="H221" s="1574" t="str">
        <f>IF(G221,"X","")</f>
        <v/>
      </c>
      <c r="J221" s="44" t="s">
        <v>1910</v>
      </c>
      <c r="AA221" s="2038"/>
      <c r="AB221" s="2038"/>
      <c r="AC221" s="2038"/>
      <c r="AD221" s="2038"/>
      <c r="AE221" s="2038"/>
      <c r="AF221" s="2038"/>
      <c r="AG221" s="2038"/>
      <c r="AH221" s="2038"/>
      <c r="AI221" s="2038"/>
      <c r="AJ221" s="2038"/>
      <c r="AK221" s="2038"/>
      <c r="AL221" s="2038"/>
      <c r="AN221" s="2050"/>
      <c r="AO221" s="2050"/>
      <c r="AP221" s="2038"/>
      <c r="AQ221" s="2038"/>
      <c r="AR221" s="2038"/>
      <c r="AS221" s="2038"/>
      <c r="AT221" s="2038"/>
      <c r="AU221" s="2038"/>
      <c r="AV221" s="2038"/>
    </row>
    <row r="222" spans="1:48">
      <c r="D222" s="22" t="s">
        <v>1911</v>
      </c>
      <c r="J222" s="44" t="s">
        <v>1912</v>
      </c>
      <c r="AA222" s="2038"/>
      <c r="AB222" s="2038"/>
      <c r="AC222" s="2038"/>
      <c r="AD222" s="2038"/>
      <c r="AE222" s="2038"/>
      <c r="AF222" s="2038"/>
      <c r="AG222" s="2038"/>
      <c r="AH222" s="2038"/>
      <c r="AI222" s="2038"/>
      <c r="AJ222" s="2038"/>
      <c r="AK222" s="2038"/>
      <c r="AL222" s="2038"/>
      <c r="AN222" s="2050"/>
      <c r="AO222" s="2050"/>
      <c r="AP222" s="2038"/>
      <c r="AQ222" s="2038"/>
      <c r="AR222" s="2038"/>
      <c r="AS222" s="2038"/>
      <c r="AT222" s="2038"/>
      <c r="AU222" s="2038"/>
      <c r="AV222" s="2038"/>
    </row>
    <row r="223" spans="1:48">
      <c r="D223" s="22" t="s">
        <v>1913</v>
      </c>
      <c r="M223" s="23" t="s">
        <v>1113</v>
      </c>
      <c r="AA223" s="2038"/>
      <c r="AB223" s="2038"/>
      <c r="AC223" s="2038"/>
      <c r="AD223" s="2038"/>
      <c r="AE223" s="2038"/>
      <c r="AF223" s="2038"/>
      <c r="AG223" s="2038"/>
      <c r="AH223" s="2038"/>
      <c r="AI223" s="2038"/>
      <c r="AJ223" s="2038"/>
      <c r="AK223" s="2038"/>
      <c r="AL223" s="2038"/>
      <c r="AN223" s="2050"/>
      <c r="AO223" s="2050"/>
      <c r="AP223" s="2038"/>
      <c r="AQ223" s="2038"/>
      <c r="AR223" s="2038"/>
      <c r="AS223" s="2038"/>
      <c r="AT223" s="2038"/>
      <c r="AU223" s="2038"/>
      <c r="AV223" s="2038"/>
    </row>
    <row r="224" spans="1:48" ht="12.75" customHeight="1" thickBot="1">
      <c r="M224" s="23" t="s">
        <v>1062</v>
      </c>
      <c r="AA224" s="2038"/>
      <c r="AB224" s="2038"/>
      <c r="AC224" s="2038"/>
      <c r="AD224" s="2038"/>
      <c r="AE224" s="2038"/>
      <c r="AF224" s="2038"/>
      <c r="AG224" s="2038"/>
      <c r="AH224" s="2038"/>
      <c r="AI224" s="2038"/>
      <c r="AJ224" s="2038"/>
      <c r="AK224" s="2038"/>
      <c r="AL224" s="2038"/>
      <c r="AN224" s="2050"/>
      <c r="AO224" s="2050"/>
      <c r="AP224" s="2038"/>
      <c r="AQ224" s="2038"/>
      <c r="AR224" s="2038"/>
      <c r="AS224" s="2038"/>
      <c r="AT224" s="2038"/>
      <c r="AU224" s="2038"/>
      <c r="AV224" s="2038"/>
    </row>
    <row r="225" spans="1:48" ht="13.5" thickBot="1">
      <c r="C225" s="1299" t="s">
        <v>167</v>
      </c>
      <c r="D225" s="61" t="s">
        <v>1914</v>
      </c>
      <c r="J225" s="1299" t="s">
        <v>167</v>
      </c>
      <c r="K225" s="1568" t="str">
        <f>IF(M225&lt;&gt;"",ROUND(M225,0),IF(G221,F1040_Line1z,""))</f>
        <v/>
      </c>
      <c r="M225" s="5163"/>
      <c r="AA225" s="2038"/>
      <c r="AB225" s="2038"/>
      <c r="AC225" s="2038"/>
      <c r="AD225" s="2038"/>
      <c r="AE225" s="2038"/>
      <c r="AF225" s="2038"/>
      <c r="AG225" s="2038"/>
      <c r="AH225" s="2038"/>
      <c r="AI225" s="2038"/>
      <c r="AJ225" s="2038"/>
      <c r="AK225" s="2038"/>
      <c r="AL225" s="2038"/>
      <c r="AN225" s="2050"/>
      <c r="AO225" s="2050">
        <v>65</v>
      </c>
      <c r="AP225" s="2038"/>
      <c r="AQ225" s="2038"/>
      <c r="AR225" s="2038"/>
      <c r="AS225" s="2038"/>
      <c r="AT225" s="2038"/>
      <c r="AU225" s="2038"/>
      <c r="AV225" s="2038"/>
    </row>
    <row r="226" spans="1:48">
      <c r="AA226" s="2038"/>
      <c r="AB226" s="2038"/>
      <c r="AC226" s="2038"/>
      <c r="AD226" s="2038"/>
      <c r="AE226" s="2038"/>
      <c r="AF226" s="2038"/>
      <c r="AG226" s="2038"/>
      <c r="AH226" s="2038"/>
      <c r="AI226" s="2038"/>
      <c r="AJ226" s="2038"/>
      <c r="AK226" s="2038"/>
      <c r="AL226" s="2038"/>
      <c r="AN226" s="2050"/>
      <c r="AO226" s="2050"/>
      <c r="AP226" s="2038"/>
      <c r="AQ226" s="2038"/>
      <c r="AR226" s="2038"/>
      <c r="AS226" s="2038"/>
      <c r="AT226" s="2038"/>
      <c r="AU226" s="2038"/>
      <c r="AV226" s="2038"/>
    </row>
    <row r="227" spans="1:48" s="13" customFormat="1">
      <c r="A227" s="22"/>
      <c r="B227" s="37"/>
      <c r="C227" s="1299" t="s">
        <v>171</v>
      </c>
      <c r="D227" s="61" t="s">
        <v>5707</v>
      </c>
      <c r="E227" s="22"/>
      <c r="F227" s="22"/>
      <c r="G227" s="22"/>
      <c r="H227" s="22"/>
      <c r="I227" s="22"/>
      <c r="J227" s="22"/>
      <c r="K227" s="22"/>
      <c r="L227" s="22"/>
      <c r="M227" s="22"/>
      <c r="O227" s="22"/>
      <c r="P227" s="22"/>
      <c r="Q227" s="22"/>
      <c r="R227" s="22"/>
      <c r="S227" s="22"/>
      <c r="T227" s="22"/>
      <c r="U227" s="22"/>
      <c r="V227" s="22"/>
      <c r="W227" s="22"/>
      <c r="X227" s="22"/>
      <c r="Y227" s="22"/>
      <c r="Z227" s="22"/>
      <c r="AA227" s="2038"/>
      <c r="AB227" s="2038"/>
      <c r="AC227" s="2038"/>
      <c r="AD227" s="2038"/>
      <c r="AE227" s="2038"/>
      <c r="AF227" s="2038"/>
      <c r="AG227" s="2050"/>
      <c r="AH227" s="2050"/>
      <c r="AI227" s="2050"/>
      <c r="AJ227" s="2050"/>
      <c r="AK227" s="2050"/>
      <c r="AL227" s="2050"/>
      <c r="AN227" s="2050"/>
      <c r="AO227" s="2050"/>
      <c r="AP227" s="2038"/>
      <c r="AQ227" s="2038"/>
      <c r="AR227" s="2038"/>
      <c r="AS227" s="2038"/>
      <c r="AT227" s="2038"/>
      <c r="AU227" s="2050"/>
      <c r="AV227" s="2050"/>
    </row>
    <row r="228" spans="1:48" s="13" customFormat="1">
      <c r="A228" s="22"/>
      <c r="B228" s="37"/>
      <c r="C228" s="22"/>
      <c r="D228" s="61" t="s">
        <v>5711</v>
      </c>
      <c r="E228" s="22"/>
      <c r="F228" s="22"/>
      <c r="G228" s="22"/>
      <c r="H228" s="22"/>
      <c r="I228" s="22"/>
      <c r="J228" s="22"/>
      <c r="K228" s="22"/>
      <c r="L228" s="22"/>
      <c r="M228" s="22"/>
      <c r="O228" s="22"/>
      <c r="P228" s="22"/>
      <c r="Q228" s="22"/>
      <c r="R228" s="22"/>
      <c r="S228" s="22"/>
      <c r="T228" s="22"/>
      <c r="U228" s="22"/>
      <c r="V228" s="22"/>
      <c r="W228" s="22"/>
      <c r="X228" s="22"/>
      <c r="Y228" s="22"/>
      <c r="Z228" s="22"/>
      <c r="AA228" s="2038"/>
      <c r="AB228" s="2038"/>
      <c r="AC228" s="2038"/>
      <c r="AD228" s="2038"/>
      <c r="AE228" s="2038"/>
      <c r="AF228" s="2038"/>
      <c r="AG228" s="2050"/>
      <c r="AH228" s="2050"/>
      <c r="AI228" s="2050"/>
      <c r="AJ228" s="2050"/>
      <c r="AK228" s="2050"/>
      <c r="AL228" s="2050"/>
      <c r="AN228" s="2050"/>
      <c r="AO228" s="2050"/>
      <c r="AP228" s="2038"/>
      <c r="AQ228" s="2038"/>
      <c r="AR228" s="2038"/>
      <c r="AS228" s="2038"/>
      <c r="AT228" s="2038"/>
      <c r="AU228" s="2050"/>
      <c r="AV228" s="2050"/>
    </row>
    <row r="229" spans="1:48" s="13" customFormat="1">
      <c r="A229" s="22"/>
      <c r="B229" s="37"/>
      <c r="C229" s="22"/>
      <c r="D229" s="61" t="s">
        <v>5708</v>
      </c>
      <c r="E229" s="22"/>
      <c r="F229" s="22"/>
      <c r="G229" s="22"/>
      <c r="H229" s="22"/>
      <c r="I229" s="22"/>
      <c r="J229" s="22"/>
      <c r="K229" s="22"/>
      <c r="L229" s="22"/>
      <c r="M229" s="23" t="s">
        <v>1113</v>
      </c>
      <c r="O229" s="22"/>
      <c r="P229" s="22"/>
      <c r="Q229" s="22"/>
      <c r="R229" s="22"/>
      <c r="S229" s="22"/>
      <c r="T229" s="22"/>
      <c r="U229" s="22"/>
      <c r="V229" s="22"/>
      <c r="W229" s="22"/>
      <c r="X229" s="22"/>
      <c r="Y229" s="22"/>
      <c r="Z229" s="22"/>
      <c r="AA229" s="2038"/>
      <c r="AB229" s="2038"/>
      <c r="AC229" s="2038"/>
      <c r="AD229" s="2038"/>
      <c r="AE229" s="2038"/>
      <c r="AF229" s="2038"/>
      <c r="AG229" s="2050"/>
      <c r="AH229" s="2050"/>
      <c r="AI229" s="2050"/>
      <c r="AJ229" s="2050"/>
      <c r="AK229" s="2050"/>
      <c r="AL229" s="2050"/>
      <c r="AN229" s="2050"/>
      <c r="AO229" s="2050"/>
      <c r="AP229" s="2038"/>
      <c r="AQ229" s="2038"/>
      <c r="AR229" s="2038"/>
      <c r="AS229" s="2038"/>
      <c r="AT229" s="2038"/>
      <c r="AU229" s="2050"/>
      <c r="AV229" s="2050"/>
    </row>
    <row r="230" spans="1:48" s="13" customFormat="1" ht="13.5" thickBot="1">
      <c r="A230" s="22"/>
      <c r="B230" s="37"/>
      <c r="C230" s="22"/>
      <c r="D230" s="61" t="s">
        <v>5710</v>
      </c>
      <c r="E230" s="22"/>
      <c r="F230" s="22"/>
      <c r="G230" s="22"/>
      <c r="H230" s="22"/>
      <c r="I230" s="22"/>
      <c r="J230" s="22"/>
      <c r="K230" s="22"/>
      <c r="L230" s="22"/>
      <c r="M230" s="23" t="s">
        <v>1062</v>
      </c>
      <c r="O230" s="22"/>
      <c r="P230" s="22"/>
      <c r="Q230" s="22"/>
      <c r="R230" s="22"/>
      <c r="S230" s="22"/>
      <c r="T230" s="22"/>
      <c r="U230" s="22"/>
      <c r="V230" s="22"/>
      <c r="W230" s="22"/>
      <c r="X230" s="22"/>
      <c r="Y230" s="22"/>
      <c r="Z230" s="22"/>
      <c r="AA230" s="2038"/>
      <c r="AB230" s="2038"/>
      <c r="AC230" s="2038"/>
      <c r="AD230" s="2038"/>
      <c r="AE230" s="2038"/>
      <c r="AF230" s="2038"/>
      <c r="AG230" s="2050"/>
      <c r="AH230" s="2050"/>
      <c r="AI230" s="2050"/>
      <c r="AJ230" s="2050"/>
      <c r="AK230" s="2050"/>
      <c r="AL230" s="2050"/>
      <c r="AN230" s="2050"/>
      <c r="AO230" s="2050"/>
      <c r="AP230" s="2038"/>
      <c r="AQ230" s="2038"/>
      <c r="AR230" s="2038"/>
      <c r="AS230" s="2038"/>
      <c r="AT230" s="2038"/>
      <c r="AU230" s="2050"/>
      <c r="AV230" s="2050"/>
    </row>
    <row r="231" spans="1:48" s="13" customFormat="1" ht="13.5" thickBot="1">
      <c r="A231" s="22"/>
      <c r="B231" s="37"/>
      <c r="C231" s="22"/>
      <c r="D231" s="61" t="s">
        <v>5709</v>
      </c>
      <c r="E231" s="22"/>
      <c r="F231" s="22"/>
      <c r="G231" s="22"/>
      <c r="H231" s="22"/>
      <c r="I231" s="22"/>
      <c r="J231" s="1299" t="s">
        <v>171</v>
      </c>
      <c r="K231" s="1568" t="str">
        <f>IF(M231&lt;&gt;"",ROUND(M231,0),IF(G221,ROUND(Sch1_Line8s,0),""))</f>
        <v/>
      </c>
      <c r="L231" s="22"/>
      <c r="M231" s="5163"/>
      <c r="O231" s="22"/>
      <c r="P231" s="22"/>
      <c r="Q231" s="22"/>
      <c r="R231" s="22"/>
      <c r="S231" s="22"/>
      <c r="T231" s="22"/>
      <c r="U231" s="22"/>
      <c r="V231" s="22"/>
      <c r="W231" s="22"/>
      <c r="X231" s="22"/>
      <c r="Y231" s="22"/>
      <c r="Z231" s="22"/>
      <c r="AA231" s="2038"/>
      <c r="AB231" s="2038"/>
      <c r="AC231" s="2038"/>
      <c r="AD231" s="2038"/>
      <c r="AE231" s="2038"/>
      <c r="AF231" s="2038"/>
      <c r="AG231" s="2050"/>
      <c r="AH231" s="2050"/>
      <c r="AI231" s="2050"/>
      <c r="AJ231" s="2050"/>
      <c r="AK231" s="2050"/>
      <c r="AL231" s="2050"/>
      <c r="AN231" s="2053"/>
      <c r="AO231" s="2050"/>
      <c r="AP231" s="2038"/>
      <c r="AQ231" s="2038"/>
      <c r="AR231" s="2038"/>
      <c r="AS231" s="2038"/>
      <c r="AT231" s="2038"/>
      <c r="AU231" s="2050"/>
      <c r="AV231" s="2050"/>
    </row>
    <row r="232" spans="1:48" s="13" customFormat="1">
      <c r="A232" s="22"/>
      <c r="B232" s="37"/>
      <c r="C232" s="22"/>
      <c r="D232" s="61"/>
      <c r="E232" s="22"/>
      <c r="F232" s="22"/>
      <c r="G232" s="22"/>
      <c r="H232" s="22"/>
      <c r="I232" s="22"/>
      <c r="J232" s="22"/>
      <c r="K232" s="22"/>
      <c r="L232" s="22"/>
      <c r="M232" s="3438"/>
      <c r="O232" s="22"/>
      <c r="P232" s="22"/>
      <c r="Q232" s="22"/>
      <c r="R232" s="22"/>
      <c r="S232" s="22"/>
      <c r="T232" s="22"/>
      <c r="U232" s="22"/>
      <c r="V232" s="22"/>
      <c r="W232" s="22"/>
      <c r="X232" s="22"/>
      <c r="Y232" s="22"/>
      <c r="Z232" s="22"/>
      <c r="AA232" s="2038"/>
      <c r="AB232" s="2038"/>
      <c r="AC232" s="2038"/>
      <c r="AD232" s="2038"/>
      <c r="AE232" s="2038"/>
      <c r="AF232" s="2038"/>
      <c r="AG232" s="2050"/>
      <c r="AH232" s="2050"/>
      <c r="AI232" s="2050"/>
      <c r="AJ232" s="2050"/>
      <c r="AK232" s="2050"/>
      <c r="AL232" s="2050"/>
      <c r="AN232" s="2053"/>
      <c r="AO232" s="2050"/>
      <c r="AP232" s="2038"/>
      <c r="AQ232" s="2038"/>
      <c r="AR232" s="2038"/>
      <c r="AS232" s="2038"/>
      <c r="AT232" s="2038"/>
      <c r="AU232" s="2050"/>
      <c r="AV232" s="2050"/>
    </row>
    <row r="233" spans="1:48" s="13" customFormat="1" ht="11.25" customHeight="1">
      <c r="A233" s="6796" t="s">
        <v>5546</v>
      </c>
      <c r="B233" s="6990" t="s">
        <v>5545</v>
      </c>
      <c r="C233" s="6990"/>
      <c r="D233" s="6990"/>
      <c r="E233" s="6990"/>
      <c r="F233" s="6990"/>
      <c r="G233" s="6990"/>
      <c r="H233" s="6990"/>
      <c r="I233" s="6990"/>
      <c r="J233" s="22"/>
      <c r="K233" s="22"/>
      <c r="L233" s="22"/>
      <c r="M233" s="3438"/>
      <c r="O233" s="22"/>
      <c r="P233" s="22"/>
      <c r="Q233" s="22"/>
      <c r="R233" s="22"/>
      <c r="S233" s="22"/>
      <c r="T233" s="22"/>
      <c r="U233" s="22"/>
      <c r="V233" s="22"/>
      <c r="W233" s="22"/>
      <c r="X233" s="22"/>
      <c r="Y233" s="22"/>
      <c r="Z233" s="22"/>
      <c r="AA233" s="2038"/>
      <c r="AB233" s="2038"/>
      <c r="AC233" s="2038"/>
      <c r="AD233" s="2038"/>
      <c r="AE233" s="2038"/>
      <c r="AF233" s="2038"/>
      <c r="AG233" s="2050"/>
      <c r="AH233" s="2050"/>
      <c r="AI233" s="2050"/>
      <c r="AJ233" s="2050"/>
      <c r="AK233" s="2050"/>
      <c r="AL233" s="2050"/>
      <c r="AN233" s="2053"/>
      <c r="AO233" s="2050"/>
      <c r="AP233" s="2038"/>
      <c r="AQ233" s="2038"/>
      <c r="AR233" s="2038"/>
      <c r="AS233" s="2038"/>
      <c r="AT233" s="2038"/>
      <c r="AU233" s="2050"/>
      <c r="AV233" s="2050"/>
    </row>
    <row r="234" spans="1:48" s="13" customFormat="1" ht="15.75" customHeight="1">
      <c r="A234" s="6796"/>
      <c r="B234" s="6990"/>
      <c r="C234" s="6990"/>
      <c r="D234" s="6990"/>
      <c r="E234" s="6990"/>
      <c r="F234" s="6990"/>
      <c r="G234" s="6990"/>
      <c r="H234" s="6990"/>
      <c r="I234" s="6990"/>
      <c r="J234" s="22"/>
      <c r="K234" s="22"/>
      <c r="L234" s="22"/>
      <c r="M234" s="3438"/>
      <c r="O234" s="22"/>
      <c r="P234" s="22"/>
      <c r="Q234" s="22"/>
      <c r="R234" s="22"/>
      <c r="S234" s="22"/>
      <c r="T234" s="22"/>
      <c r="U234" s="22"/>
      <c r="V234" s="22"/>
      <c r="W234" s="22"/>
      <c r="X234" s="22"/>
      <c r="Y234" s="22"/>
      <c r="Z234" s="22"/>
      <c r="AA234" s="2038"/>
      <c r="AB234" s="2038"/>
      <c r="AC234" s="2038"/>
      <c r="AD234" s="2038"/>
      <c r="AE234" s="2038"/>
      <c r="AF234" s="2038"/>
      <c r="AG234" s="2050"/>
      <c r="AH234" s="2050"/>
      <c r="AI234" s="2050"/>
      <c r="AJ234" s="2050"/>
      <c r="AK234" s="2050"/>
      <c r="AL234" s="2050"/>
      <c r="AN234" s="2053"/>
      <c r="AO234" s="2050"/>
      <c r="AP234" s="2038"/>
      <c r="AQ234" s="2038"/>
      <c r="AR234" s="2038"/>
      <c r="AS234" s="2038"/>
      <c r="AT234" s="2038"/>
      <c r="AU234" s="2050"/>
      <c r="AV234" s="2050"/>
    </row>
    <row r="235" spans="1:48" s="13" customFormat="1" ht="15.75" customHeight="1">
      <c r="A235" s="22"/>
      <c r="B235" s="6990"/>
      <c r="C235" s="6990"/>
      <c r="D235" s="6990"/>
      <c r="E235" s="6990"/>
      <c r="F235" s="6990"/>
      <c r="G235" s="6990"/>
      <c r="H235" s="6990"/>
      <c r="I235" s="6990"/>
      <c r="J235" s="22"/>
      <c r="K235" s="22"/>
      <c r="L235" s="22"/>
      <c r="M235" s="3438"/>
      <c r="O235" s="22"/>
      <c r="P235" s="22"/>
      <c r="Q235" s="22"/>
      <c r="R235" s="22"/>
      <c r="S235" s="22"/>
      <c r="T235" s="22"/>
      <c r="U235" s="22"/>
      <c r="V235" s="22"/>
      <c r="W235" s="22"/>
      <c r="X235" s="22"/>
      <c r="Y235" s="22"/>
      <c r="Z235" s="22"/>
      <c r="AA235" s="2038"/>
      <c r="AB235" s="2038"/>
      <c r="AC235" s="2038"/>
      <c r="AD235" s="2038"/>
      <c r="AE235" s="2038"/>
      <c r="AF235" s="2038"/>
      <c r="AG235" s="2050"/>
      <c r="AH235" s="2050"/>
      <c r="AI235" s="2050"/>
      <c r="AJ235" s="2050"/>
      <c r="AK235" s="2050"/>
      <c r="AL235" s="2050"/>
      <c r="AN235" s="2053"/>
      <c r="AO235" s="2050"/>
      <c r="AP235" s="2038"/>
      <c r="AQ235" s="2038"/>
      <c r="AR235" s="2038"/>
      <c r="AS235" s="2038"/>
      <c r="AT235" s="2038"/>
      <c r="AU235" s="2050"/>
      <c r="AV235" s="2050"/>
    </row>
    <row r="236" spans="1:48" s="13" customFormat="1" ht="15.75" customHeight="1">
      <c r="A236" s="22"/>
      <c r="B236" s="6990"/>
      <c r="C236" s="6990"/>
      <c r="D236" s="6990"/>
      <c r="E236" s="6990"/>
      <c r="F236" s="6990"/>
      <c r="G236" s="6990"/>
      <c r="H236" s="6990"/>
      <c r="I236" s="6990"/>
      <c r="J236" s="22"/>
      <c r="K236" s="22"/>
      <c r="L236" s="22"/>
      <c r="M236" s="3438"/>
      <c r="O236" s="22"/>
      <c r="P236" s="22"/>
      <c r="Q236" s="22"/>
      <c r="R236" s="22"/>
      <c r="S236" s="22"/>
      <c r="T236" s="22"/>
      <c r="U236" s="22"/>
      <c r="V236" s="22"/>
      <c r="W236" s="22"/>
      <c r="X236" s="22"/>
      <c r="Y236" s="22"/>
      <c r="Z236" s="22"/>
      <c r="AA236" s="2038"/>
      <c r="AB236" s="2038"/>
      <c r="AC236" s="2038"/>
      <c r="AD236" s="2038"/>
      <c r="AE236" s="2038"/>
      <c r="AF236" s="2038"/>
      <c r="AG236" s="2050"/>
      <c r="AH236" s="2050"/>
      <c r="AI236" s="2050"/>
      <c r="AJ236" s="2050"/>
      <c r="AK236" s="2050"/>
      <c r="AL236" s="2050"/>
      <c r="AN236" s="2053"/>
      <c r="AO236" s="2050"/>
      <c r="AP236" s="2038"/>
      <c r="AQ236" s="2038"/>
      <c r="AR236" s="2038"/>
      <c r="AS236" s="2038"/>
      <c r="AT236" s="2038"/>
      <c r="AU236" s="2050"/>
      <c r="AV236" s="2050"/>
    </row>
    <row r="237" spans="1:48" s="13" customFormat="1" ht="15.75" customHeight="1">
      <c r="A237" s="22"/>
      <c r="B237" s="6990"/>
      <c r="C237" s="6990"/>
      <c r="D237" s="6990"/>
      <c r="E237" s="6990"/>
      <c r="F237" s="6990"/>
      <c r="G237" s="6990"/>
      <c r="H237" s="6990"/>
      <c r="I237" s="6990"/>
      <c r="J237" s="22"/>
      <c r="K237" s="22"/>
      <c r="L237" s="22"/>
      <c r="M237" s="3438"/>
      <c r="O237" s="22"/>
      <c r="P237" s="22"/>
      <c r="Q237" s="22"/>
      <c r="R237" s="22"/>
      <c r="S237" s="22"/>
      <c r="T237" s="22"/>
      <c r="U237" s="22"/>
      <c r="V237" s="22"/>
      <c r="W237" s="22"/>
      <c r="X237" s="22"/>
      <c r="Y237" s="22"/>
      <c r="Z237" s="22"/>
      <c r="AA237" s="2038"/>
      <c r="AB237" s="2038"/>
      <c r="AC237" s="2038"/>
      <c r="AD237" s="2038"/>
      <c r="AE237" s="2038"/>
      <c r="AF237" s="2038"/>
      <c r="AG237" s="2050"/>
      <c r="AH237" s="2050"/>
      <c r="AI237" s="2050"/>
      <c r="AJ237" s="2050"/>
      <c r="AK237" s="2050"/>
      <c r="AL237" s="2050"/>
      <c r="AN237" s="2053"/>
      <c r="AO237" s="2050"/>
      <c r="AP237" s="2038"/>
      <c r="AQ237" s="2038"/>
      <c r="AR237" s="2038"/>
      <c r="AS237" s="2038"/>
      <c r="AT237" s="2038"/>
      <c r="AU237" s="2050"/>
      <c r="AV237" s="2050"/>
    </row>
    <row r="238" spans="1:48" ht="15.75" customHeight="1">
      <c r="B238" s="6990"/>
      <c r="C238" s="6990"/>
      <c r="D238" s="6990"/>
      <c r="E238" s="6990"/>
      <c r="F238" s="6990"/>
      <c r="G238" s="6990"/>
      <c r="H238" s="6990"/>
      <c r="I238" s="6990"/>
      <c r="AA238" s="2038"/>
      <c r="AB238" s="2038"/>
      <c r="AC238" s="2038"/>
      <c r="AD238" s="2038"/>
      <c r="AE238" s="2038"/>
      <c r="AF238" s="2038"/>
      <c r="AG238" s="2038"/>
      <c r="AH238" s="2038"/>
      <c r="AI238" s="2038"/>
      <c r="AJ238" s="2038"/>
      <c r="AK238" s="2038"/>
      <c r="AL238" s="2038"/>
      <c r="AN238" s="2050"/>
      <c r="AO238" s="2050"/>
      <c r="AP238" s="2038"/>
      <c r="AQ238" s="2038"/>
      <c r="AR238" s="2038"/>
      <c r="AS238" s="2038"/>
      <c r="AT238" s="2038"/>
      <c r="AU238" s="2038"/>
      <c r="AV238" s="2038"/>
    </row>
    <row r="239" spans="1:48" ht="15.75" customHeight="1">
      <c r="B239" s="6041"/>
      <c r="C239" s="6041"/>
      <c r="D239" s="6041"/>
      <c r="E239" s="6041"/>
      <c r="F239" s="6041"/>
      <c r="G239" s="6041"/>
      <c r="H239" s="6041"/>
      <c r="I239" s="6041"/>
      <c r="AA239" s="2038"/>
      <c r="AB239" s="2038"/>
      <c r="AC239" s="2038"/>
      <c r="AD239" s="2038"/>
      <c r="AE239" s="2038"/>
      <c r="AF239" s="2038"/>
      <c r="AG239" s="2038"/>
      <c r="AH239" s="2038"/>
      <c r="AI239" s="2038"/>
      <c r="AJ239" s="2038"/>
      <c r="AK239" s="2038"/>
      <c r="AL239" s="2038"/>
      <c r="AN239" s="2050"/>
      <c r="AO239" s="2050"/>
      <c r="AP239" s="2038"/>
      <c r="AQ239" s="2038"/>
      <c r="AR239" s="2038"/>
      <c r="AS239" s="2038"/>
      <c r="AT239" s="2038"/>
      <c r="AU239" s="2038"/>
      <c r="AV239" s="2038"/>
    </row>
    <row r="240" spans="1:48">
      <c r="C240" s="1299" t="s">
        <v>177</v>
      </c>
      <c r="D240" s="61" t="s">
        <v>2295</v>
      </c>
      <c r="J240" s="1299" t="s">
        <v>177</v>
      </c>
      <c r="K240" s="1568" t="str">
        <f>IF(G221,SUM(K225,-K231),"")</f>
        <v/>
      </c>
      <c r="AA240" s="2038"/>
      <c r="AB240" s="2038"/>
      <c r="AC240" s="2038"/>
      <c r="AD240" s="2038"/>
      <c r="AE240" s="2038"/>
      <c r="AF240" s="2038"/>
      <c r="AG240" s="2038"/>
      <c r="AH240" s="2038"/>
      <c r="AI240" s="2038"/>
      <c r="AJ240" s="2038"/>
      <c r="AK240" s="2038"/>
      <c r="AL240" s="2038"/>
      <c r="AN240" s="2050"/>
      <c r="AO240" s="2050"/>
      <c r="AP240" s="2038"/>
      <c r="AQ240" s="2038"/>
      <c r="AR240" s="2038"/>
      <c r="AS240" s="2038"/>
      <c r="AT240" s="2038"/>
      <c r="AU240" s="2038"/>
      <c r="AV240" s="2038"/>
    </row>
    <row r="241" spans="3:48">
      <c r="AA241" s="2038"/>
      <c r="AB241" s="2038"/>
      <c r="AC241" s="2038"/>
      <c r="AD241" s="2038"/>
      <c r="AE241" s="2038"/>
      <c r="AF241" s="2038"/>
      <c r="AG241" s="2038"/>
      <c r="AH241" s="2038"/>
      <c r="AI241" s="2038"/>
      <c r="AJ241" s="2038"/>
      <c r="AK241" s="2038"/>
      <c r="AL241" s="2038"/>
      <c r="AN241" s="2050"/>
      <c r="AO241" s="2050"/>
      <c r="AP241" s="2038"/>
      <c r="AQ241" s="2038"/>
      <c r="AR241" s="2038"/>
      <c r="AS241" s="2038"/>
      <c r="AT241" s="2038"/>
      <c r="AU241" s="2038"/>
      <c r="AV241" s="2038"/>
    </row>
    <row r="242" spans="3:48">
      <c r="C242" s="1299" t="s">
        <v>182</v>
      </c>
      <c r="D242" s="22" t="s">
        <v>1915</v>
      </c>
      <c r="AA242" s="2038"/>
      <c r="AB242" s="2038"/>
      <c r="AC242" s="2038"/>
      <c r="AD242" s="2038"/>
      <c r="AE242" s="2038"/>
      <c r="AF242" s="2038"/>
      <c r="AG242" s="2038"/>
      <c r="AH242" s="2038"/>
      <c r="AI242" s="2038"/>
      <c r="AJ242" s="2038"/>
      <c r="AK242" s="2038"/>
      <c r="AL242" s="2038"/>
      <c r="AN242" s="2050"/>
      <c r="AO242" s="2050"/>
      <c r="AP242" s="2038"/>
      <c r="AQ242" s="2038"/>
      <c r="AR242" s="2038"/>
      <c r="AS242" s="2038"/>
      <c r="AT242" s="2038"/>
      <c r="AU242" s="2038"/>
      <c r="AV242" s="2038"/>
    </row>
    <row r="243" spans="3:48">
      <c r="D243" s="22" t="s">
        <v>1916</v>
      </c>
      <c r="AA243" s="2038"/>
      <c r="AB243" s="2038"/>
      <c r="AC243" s="2038"/>
      <c r="AD243" s="2038"/>
      <c r="AE243" s="2038"/>
      <c r="AF243" s="2038"/>
      <c r="AG243" s="2038"/>
      <c r="AH243" s="2038"/>
      <c r="AI243" s="2038"/>
      <c r="AJ243" s="2038"/>
      <c r="AK243" s="2038"/>
      <c r="AL243" s="2038"/>
      <c r="AN243" s="2050"/>
      <c r="AO243" s="2050"/>
      <c r="AP243" s="2038"/>
      <c r="AQ243" s="2038"/>
      <c r="AR243" s="2038"/>
      <c r="AS243" s="2038"/>
      <c r="AT243" s="2038"/>
      <c r="AU243" s="2038"/>
      <c r="AV243" s="2038"/>
    </row>
    <row r="244" spans="3:48">
      <c r="D244" s="61" t="s">
        <v>1917</v>
      </c>
      <c r="AA244" s="2038"/>
      <c r="AB244" s="2038"/>
      <c r="AC244" s="2038"/>
      <c r="AD244" s="2038"/>
      <c r="AE244" s="2038"/>
      <c r="AF244" s="2038"/>
      <c r="AG244" s="2038"/>
      <c r="AH244" s="2038"/>
      <c r="AI244" s="2038"/>
      <c r="AJ244" s="2038"/>
      <c r="AK244" s="2038"/>
      <c r="AL244" s="2038"/>
      <c r="AN244" s="2050"/>
      <c r="AO244" s="2050"/>
      <c r="AP244" s="2038"/>
      <c r="AQ244" s="2038"/>
      <c r="AR244" s="2038"/>
      <c r="AS244" s="2038"/>
      <c r="AT244" s="2038"/>
      <c r="AU244" s="2038"/>
      <c r="AV244" s="2038"/>
    </row>
    <row r="245" spans="3:48">
      <c r="D245" s="61" t="s">
        <v>1918</v>
      </c>
      <c r="M245" s="23" t="s">
        <v>1113</v>
      </c>
      <c r="AA245" s="2038"/>
      <c r="AB245" s="2038"/>
      <c r="AC245" s="2038"/>
      <c r="AD245" s="2038"/>
      <c r="AE245" s="2038"/>
      <c r="AF245" s="2038"/>
      <c r="AG245" s="2038"/>
      <c r="AH245" s="2038"/>
      <c r="AI245" s="2038"/>
      <c r="AJ245" s="2038"/>
      <c r="AK245" s="2038"/>
      <c r="AL245" s="2038"/>
      <c r="AN245" s="2050"/>
      <c r="AO245" s="2050"/>
      <c r="AP245" s="2038"/>
      <c r="AQ245" s="2038"/>
      <c r="AR245" s="2038"/>
      <c r="AS245" s="2038"/>
      <c r="AT245" s="2038"/>
      <c r="AU245" s="2038"/>
      <c r="AV245" s="2038"/>
    </row>
    <row r="246" spans="3:48" ht="13.5" thickBot="1">
      <c r="D246" s="61"/>
      <c r="M246" s="23" t="s">
        <v>1062</v>
      </c>
      <c r="O246" s="61" t="s">
        <v>1919</v>
      </c>
      <c r="AA246" s="2038"/>
      <c r="AB246" s="2038"/>
      <c r="AC246" s="2038"/>
      <c r="AD246" s="2038"/>
      <c r="AE246" s="2038"/>
      <c r="AF246" s="2038"/>
      <c r="AG246" s="2038"/>
      <c r="AH246" s="2038"/>
      <c r="AI246" s="2038"/>
      <c r="AJ246" s="2038"/>
      <c r="AK246" s="2038"/>
      <c r="AL246" s="2038"/>
      <c r="AN246" s="2050"/>
      <c r="AO246" s="2050"/>
      <c r="AP246" s="2038"/>
      <c r="AQ246" s="2038"/>
      <c r="AR246" s="2038"/>
      <c r="AS246" s="2038"/>
      <c r="AT246" s="2038"/>
      <c r="AU246" s="2038"/>
      <c r="AV246" s="2038"/>
    </row>
    <row r="247" spans="3:48" ht="13.5" thickBot="1">
      <c r="D247" s="61" t="s">
        <v>1920</v>
      </c>
      <c r="J247" s="1299" t="s">
        <v>182</v>
      </c>
      <c r="K247" s="1568">
        <f>IF(M247&lt;&gt;"",ROUND(M247,0),CombatPayNoTax)</f>
        <v>0</v>
      </c>
      <c r="M247" s="5163"/>
      <c r="O247" s="61" t="s">
        <v>1921</v>
      </c>
      <c r="AA247" s="2038"/>
      <c r="AB247" s="2038"/>
      <c r="AC247" s="2038"/>
      <c r="AD247" s="2038"/>
      <c r="AE247" s="2038"/>
      <c r="AF247" s="2038"/>
      <c r="AG247" s="2038"/>
      <c r="AH247" s="2038"/>
      <c r="AI247" s="2038"/>
      <c r="AJ247" s="2038"/>
      <c r="AK247" s="2038"/>
      <c r="AL247" s="2038"/>
      <c r="AN247" s="2050"/>
      <c r="AO247" s="2050"/>
      <c r="AP247" s="2038"/>
      <c r="AQ247" s="2038"/>
      <c r="AR247" s="2038"/>
      <c r="AS247" s="2038"/>
      <c r="AT247" s="2038"/>
      <c r="AU247" s="2038"/>
      <c r="AV247" s="2038"/>
    </row>
    <row r="248" spans="3:48" ht="15" customHeight="1">
      <c r="D248" s="61"/>
      <c r="J248" s="1299"/>
      <c r="O248" s="61" t="s">
        <v>1922</v>
      </c>
      <c r="AA248" s="2038"/>
      <c r="AB248" s="2038"/>
      <c r="AC248" s="2038"/>
      <c r="AD248" s="2038"/>
      <c r="AE248" s="2038"/>
      <c r="AF248" s="2038"/>
      <c r="AG248" s="2038"/>
      <c r="AH248" s="2038"/>
      <c r="AI248" s="2038"/>
      <c r="AJ248" s="2038"/>
      <c r="AK248" s="2038"/>
      <c r="AL248" s="2038"/>
      <c r="AN248" s="2050"/>
      <c r="AO248" s="2050"/>
      <c r="AP248" s="2038"/>
      <c r="AQ248" s="2038"/>
      <c r="AR248" s="2038"/>
      <c r="AS248" s="2038"/>
      <c r="AT248" s="2038"/>
      <c r="AU248" s="2038"/>
      <c r="AV248" s="2038"/>
    </row>
    <row r="249" spans="3:48">
      <c r="D249" s="61"/>
      <c r="J249" s="1299"/>
      <c r="AA249" s="2038"/>
      <c r="AB249" s="2038"/>
      <c r="AC249" s="2038"/>
      <c r="AD249" s="2038"/>
      <c r="AE249" s="2038"/>
      <c r="AF249" s="2038"/>
      <c r="AG249" s="2038"/>
      <c r="AH249" s="2038"/>
      <c r="AI249" s="2038"/>
      <c r="AJ249" s="2038"/>
      <c r="AK249" s="2038"/>
      <c r="AL249" s="2038"/>
      <c r="AN249" s="2050"/>
      <c r="AO249" s="2050"/>
      <c r="AP249" s="2038"/>
      <c r="AQ249" s="2038"/>
      <c r="AR249" s="2038"/>
      <c r="AS249" s="2038"/>
      <c r="AT249" s="2038"/>
      <c r="AU249" s="2038"/>
      <c r="AV249" s="2038"/>
    </row>
    <row r="250" spans="3:48">
      <c r="D250" s="1298" t="s">
        <v>1923</v>
      </c>
      <c r="E250" s="1298"/>
      <c r="J250" s="1299"/>
      <c r="AA250" s="2038"/>
      <c r="AB250" s="2038"/>
      <c r="AC250" s="2038"/>
      <c r="AD250" s="2038"/>
      <c r="AE250" s="2038"/>
      <c r="AF250" s="2038"/>
      <c r="AG250" s="2038"/>
      <c r="AH250" s="2038"/>
      <c r="AI250" s="2038"/>
      <c r="AJ250" s="2038"/>
      <c r="AK250" s="2038"/>
      <c r="AL250" s="2038"/>
      <c r="AN250" s="2050"/>
      <c r="AO250" s="2050"/>
      <c r="AP250" s="2038"/>
      <c r="AQ250" s="2038"/>
      <c r="AR250" s="2038"/>
      <c r="AS250" s="2038"/>
      <c r="AT250" s="2038"/>
      <c r="AU250" s="2038"/>
      <c r="AV250" s="2038"/>
    </row>
    <row r="251" spans="3:48">
      <c r="D251" s="1298" t="s">
        <v>1924</v>
      </c>
      <c r="J251" s="1299"/>
      <c r="AA251" s="2038"/>
      <c r="AB251" s="2038"/>
      <c r="AC251" s="2038"/>
      <c r="AD251" s="2038"/>
      <c r="AE251" s="2038"/>
      <c r="AF251" s="2038"/>
      <c r="AG251" s="2038"/>
      <c r="AH251" s="2038"/>
      <c r="AI251" s="2038"/>
      <c r="AJ251" s="2038"/>
      <c r="AK251" s="2038"/>
      <c r="AL251" s="2038"/>
      <c r="AN251" s="2050"/>
      <c r="AO251" s="2050"/>
      <c r="AP251" s="2038"/>
      <c r="AQ251" s="2038"/>
      <c r="AR251" s="2038"/>
      <c r="AS251" s="2038"/>
      <c r="AT251" s="2038"/>
      <c r="AU251" s="2038"/>
      <c r="AV251" s="2038"/>
    </row>
    <row r="252" spans="3:48">
      <c r="D252" s="1298" t="s">
        <v>1925</v>
      </c>
      <c r="J252" s="1299"/>
      <c r="AA252" s="2038"/>
      <c r="AB252" s="2038"/>
      <c r="AC252" s="2038"/>
      <c r="AD252" s="2038"/>
      <c r="AE252" s="2038"/>
      <c r="AF252" s="2038"/>
      <c r="AG252" s="2038"/>
      <c r="AH252" s="2038"/>
      <c r="AI252" s="2038"/>
      <c r="AJ252" s="2038"/>
      <c r="AK252" s="2038"/>
      <c r="AL252" s="2038"/>
      <c r="AN252" s="2050"/>
      <c r="AO252" s="2050"/>
      <c r="AP252" s="2038"/>
      <c r="AQ252" s="2038"/>
      <c r="AR252" s="2038"/>
      <c r="AS252" s="2038"/>
      <c r="AT252" s="2038"/>
      <c r="AU252" s="2038"/>
      <c r="AV252" s="2038"/>
    </row>
    <row r="253" spans="3:48">
      <c r="D253" s="1298" t="s">
        <v>1926</v>
      </c>
      <c r="J253" s="1299"/>
      <c r="AA253" s="2038"/>
      <c r="AB253" s="2038"/>
      <c r="AC253" s="2038"/>
      <c r="AD253" s="2038"/>
      <c r="AE253" s="2038"/>
      <c r="AF253" s="2038"/>
      <c r="AG253" s="2038"/>
      <c r="AH253" s="2038"/>
      <c r="AI253" s="2038"/>
      <c r="AJ253" s="2038"/>
      <c r="AK253" s="2038"/>
      <c r="AL253" s="2038"/>
      <c r="AN253" s="2050"/>
      <c r="AO253" s="2050"/>
      <c r="AP253" s="2038"/>
      <c r="AQ253" s="2038"/>
      <c r="AR253" s="2038"/>
      <c r="AS253" s="2038"/>
      <c r="AT253" s="2038"/>
      <c r="AU253" s="2038"/>
      <c r="AV253" s="2038"/>
    </row>
    <row r="254" spans="3:48">
      <c r="D254" s="1298"/>
      <c r="J254" s="1299"/>
      <c r="M254" s="23" t="s">
        <v>1113</v>
      </c>
      <c r="N254" s="22"/>
      <c r="O254" s="23"/>
      <c r="Q254" s="23"/>
      <c r="AA254" s="2038"/>
      <c r="AB254" s="2038"/>
      <c r="AC254" s="2038"/>
      <c r="AD254" s="2038"/>
      <c r="AE254" s="2038"/>
      <c r="AF254" s="2038"/>
      <c r="AG254" s="2038"/>
      <c r="AH254" s="2038"/>
      <c r="AI254" s="2038"/>
      <c r="AJ254" s="2038"/>
      <c r="AK254" s="2038"/>
      <c r="AL254" s="2038"/>
      <c r="AN254" s="2050"/>
      <c r="AO254" s="2050"/>
      <c r="AP254" s="2038"/>
      <c r="AQ254" s="2038"/>
      <c r="AR254" s="2038"/>
      <c r="AS254" s="2038"/>
      <c r="AT254" s="2038"/>
      <c r="AU254" s="2038"/>
      <c r="AV254" s="2038"/>
    </row>
    <row r="255" spans="3:48" ht="13.5" thickBot="1">
      <c r="C255" s="1299" t="s">
        <v>198</v>
      </c>
      <c r="D255" s="61" t="s">
        <v>5548</v>
      </c>
      <c r="M255" s="23" t="s">
        <v>1062</v>
      </c>
      <c r="AA255" s="2038"/>
      <c r="AB255" s="2038"/>
      <c r="AC255" s="2038"/>
      <c r="AD255" s="2038"/>
      <c r="AE255" s="2038"/>
      <c r="AF255" s="2038"/>
      <c r="AG255" s="2038"/>
      <c r="AH255" s="2038"/>
      <c r="AI255" s="2038"/>
      <c r="AJ255" s="2038"/>
      <c r="AK255" s="2038"/>
      <c r="AL255" s="2038"/>
      <c r="AN255" s="2050"/>
      <c r="AO255" s="2050"/>
      <c r="AP255" s="2038"/>
      <c r="AQ255" s="2038"/>
      <c r="AR255" s="2038"/>
      <c r="AS255" s="2038"/>
      <c r="AT255" s="2038"/>
      <c r="AU255" s="2038"/>
      <c r="AV255" s="2038"/>
    </row>
    <row r="256" spans="3:48" ht="13.5" thickBot="1">
      <c r="D256" s="23" t="s">
        <v>5547</v>
      </c>
      <c r="J256" s="1299" t="s">
        <v>198</v>
      </c>
      <c r="K256" s="1568" t="str">
        <f>IF(M256&lt;&gt;"",M256,IF(G221,SUM(K240,K247),""))</f>
        <v/>
      </c>
      <c r="M256" s="5163"/>
      <c r="N256" s="22"/>
      <c r="O256" s="23"/>
      <c r="Q256" s="23"/>
      <c r="AA256" s="2038"/>
      <c r="AB256" s="2038"/>
      <c r="AC256" s="2038"/>
      <c r="AD256" s="2038"/>
      <c r="AE256" s="2038"/>
      <c r="AF256" s="2038"/>
      <c r="AG256" s="2038"/>
      <c r="AH256" s="2038"/>
      <c r="AI256" s="2038"/>
      <c r="AJ256" s="2038"/>
      <c r="AK256" s="2038"/>
      <c r="AL256" s="2038"/>
      <c r="AN256" s="2050"/>
      <c r="AO256" s="2050"/>
      <c r="AP256" s="2038"/>
      <c r="AQ256" s="2038"/>
      <c r="AR256" s="2038"/>
      <c r="AS256" s="2038"/>
      <c r="AT256" s="2038"/>
      <c r="AU256" s="2038"/>
      <c r="AV256" s="2038"/>
    </row>
    <row r="257" spans="1:48">
      <c r="C257" s="2133"/>
      <c r="D257" s="23"/>
      <c r="J257" s="1299"/>
      <c r="M257" s="575"/>
      <c r="N257" s="22"/>
      <c r="O257" s="23"/>
      <c r="Q257" s="23"/>
      <c r="AA257" s="2038"/>
      <c r="AB257" s="2038"/>
      <c r="AC257" s="2038"/>
      <c r="AD257" s="2038"/>
      <c r="AE257" s="2038"/>
      <c r="AF257" s="2038"/>
      <c r="AG257" s="2038"/>
      <c r="AH257" s="2038"/>
      <c r="AI257" s="2038"/>
      <c r="AJ257" s="2038"/>
      <c r="AK257" s="2038"/>
      <c r="AL257" s="2038"/>
      <c r="AN257" s="2050"/>
      <c r="AO257" s="2050"/>
      <c r="AP257" s="2038"/>
      <c r="AQ257" s="2038"/>
      <c r="AR257" s="2038"/>
      <c r="AS257" s="2038"/>
      <c r="AT257" s="2038"/>
      <c r="AU257" s="2038"/>
      <c r="AV257" s="2038"/>
    </row>
    <row r="258" spans="1:48" ht="9.75" customHeight="1">
      <c r="A258" s="872"/>
      <c r="C258" s="4642"/>
      <c r="D258" s="3492"/>
      <c r="E258" s="49"/>
      <c r="F258" s="49"/>
      <c r="G258" s="49"/>
      <c r="H258" s="49"/>
      <c r="I258" s="49"/>
      <c r="J258" s="49"/>
      <c r="K258" s="49"/>
      <c r="N258" s="1325"/>
      <c r="O258" s="1325"/>
      <c r="AA258" s="2038"/>
      <c r="AB258" s="2038"/>
      <c r="AC258" s="2038"/>
      <c r="AD258" s="2038"/>
      <c r="AE258" s="2038"/>
      <c r="AF258" s="2038"/>
      <c r="AG258" s="2038"/>
      <c r="AH258" s="2038"/>
      <c r="AI258" s="2038"/>
      <c r="AJ258" s="2038"/>
      <c r="AK258" s="2038"/>
      <c r="AL258" s="2038"/>
      <c r="AN258" s="2050"/>
      <c r="AO258" s="2050"/>
      <c r="AP258" s="2038"/>
      <c r="AQ258" s="2038"/>
      <c r="AR258" s="2038"/>
      <c r="AS258" s="2038"/>
      <c r="AT258" s="2038"/>
      <c r="AU258" s="2038"/>
      <c r="AV258" s="2038"/>
    </row>
    <row r="259" spans="1:48">
      <c r="A259" s="110" t="s">
        <v>171</v>
      </c>
      <c r="B259" s="22" t="str">
        <f>"Were you self-employed at any time in "&amp;TaxYear&amp;", or are you filing Schedule SE because you were a member of the"</f>
        <v>Were you self-employed at any time in 2023, or are you filing Schedule SE because you were a member of the</v>
      </c>
      <c r="C259" s="1290"/>
      <c r="N259" s="3953"/>
      <c r="O259" s="3953"/>
      <c r="AA259" s="2038"/>
      <c r="AB259" s="2038"/>
      <c r="AC259" s="2038"/>
      <c r="AD259" s="2038"/>
      <c r="AE259" s="2038"/>
      <c r="AF259" s="2038"/>
      <c r="AG259" s="2038"/>
      <c r="AH259" s="2038"/>
      <c r="AI259" s="2038"/>
      <c r="AJ259" s="2038"/>
      <c r="AK259" s="2038"/>
      <c r="AL259" s="2038"/>
      <c r="AN259" s="2050"/>
      <c r="AO259" s="2050"/>
      <c r="AP259" s="2038"/>
      <c r="AQ259" s="2038"/>
      <c r="AR259" s="2038"/>
      <c r="AS259" s="2038"/>
      <c r="AT259" s="2038"/>
      <c r="AU259" s="2038"/>
      <c r="AV259" s="2038"/>
    </row>
    <row r="260" spans="1:48">
      <c r="A260" s="872"/>
      <c r="B260" s="61" t="s">
        <v>1927</v>
      </c>
      <c r="C260" s="872"/>
      <c r="N260" s="3953"/>
      <c r="O260" s="3953"/>
      <c r="AA260" s="2038"/>
      <c r="AB260" s="2038"/>
      <c r="AC260" s="2038"/>
      <c r="AD260" s="2038"/>
      <c r="AE260" s="2038"/>
      <c r="AF260" s="2038"/>
      <c r="AG260" s="2038"/>
      <c r="AH260" s="2038"/>
      <c r="AI260" s="2038"/>
      <c r="AJ260" s="2038"/>
      <c r="AK260" s="2038"/>
      <c r="AL260" s="2038"/>
      <c r="AN260" s="2050"/>
      <c r="AO260" s="2050"/>
      <c r="AP260" s="2038"/>
      <c r="AQ260" s="2038"/>
      <c r="AR260" s="2038"/>
      <c r="AS260" s="2038"/>
      <c r="AT260" s="2038"/>
      <c r="AU260" s="2038"/>
      <c r="AV260" s="2038"/>
    </row>
    <row r="261" spans="1:48">
      <c r="C261" s="1290"/>
      <c r="AA261" s="2038"/>
      <c r="AB261" s="2038"/>
      <c r="AC261" s="2038"/>
      <c r="AD261" s="2038"/>
      <c r="AE261" s="2038"/>
      <c r="AF261" s="2038"/>
      <c r="AG261" s="2038"/>
      <c r="AH261" s="2038"/>
      <c r="AI261" s="2038"/>
      <c r="AJ261" s="2038"/>
      <c r="AK261" s="2038"/>
      <c r="AL261" s="2038"/>
      <c r="AN261" s="2050"/>
      <c r="AO261" s="2050"/>
      <c r="AP261" s="2038"/>
      <c r="AQ261" s="2038"/>
      <c r="AR261" s="2038"/>
      <c r="AS261" s="2038"/>
      <c r="AT261" s="2038"/>
      <c r="AU261" s="2038"/>
      <c r="AV261" s="2038"/>
    </row>
    <row r="262" spans="1:48">
      <c r="A262" s="805" t="b">
        <f>AND(G221,B262&lt;&gt;"")</f>
        <v>0</v>
      </c>
      <c r="B262" s="941"/>
      <c r="D262" s="61" t="s">
        <v>1928</v>
      </c>
      <c r="H262" s="1574" t="str">
        <f>IF(L262,"X","")</f>
        <v/>
      </c>
      <c r="J262" s="61" t="s">
        <v>1929</v>
      </c>
      <c r="L262" s="4649" t="b">
        <f>AND(G221,NOT(A262))</f>
        <v>0</v>
      </c>
      <c r="AA262" s="2038"/>
      <c r="AB262" s="2038"/>
      <c r="AC262" s="2038"/>
      <c r="AD262" s="2038"/>
      <c r="AE262" s="2038"/>
      <c r="AF262" s="2038"/>
      <c r="AG262" s="2038"/>
      <c r="AH262" s="2038"/>
      <c r="AI262" s="2038"/>
      <c r="AJ262" s="2038"/>
      <c r="AK262" s="2038"/>
      <c r="AL262" s="2038"/>
      <c r="AN262" s="2050"/>
      <c r="AO262" s="2050"/>
      <c r="AP262" s="2038"/>
      <c r="AQ262" s="2038"/>
      <c r="AR262" s="2038"/>
      <c r="AS262" s="2038"/>
      <c r="AT262" s="2038"/>
      <c r="AU262" s="2038"/>
      <c r="AV262" s="2038"/>
    </row>
    <row r="263" spans="1:48">
      <c r="D263" s="61" t="s">
        <v>1930</v>
      </c>
      <c r="F263" s="1324"/>
      <c r="G263" s="1324" t="str">
        <f>IF(AND(B262&lt;&gt;"",H262&lt;&gt;""),"Check ONLY one.","")</f>
        <v/>
      </c>
      <c r="AA263" s="2038"/>
      <c r="AB263" s="2038"/>
      <c r="AC263" s="2038"/>
      <c r="AD263" s="2038"/>
      <c r="AE263" s="2038"/>
      <c r="AF263" s="2038"/>
      <c r="AG263" s="2038"/>
      <c r="AH263" s="2038"/>
      <c r="AI263" s="2038"/>
      <c r="AJ263" s="2038"/>
      <c r="AK263" s="2038"/>
      <c r="AL263" s="2038"/>
      <c r="AN263" s="2050"/>
      <c r="AO263" s="2050"/>
      <c r="AP263" s="2038"/>
      <c r="AQ263" s="2038"/>
      <c r="AR263" s="2038"/>
      <c r="AS263" s="2038"/>
      <c r="AT263" s="2038"/>
      <c r="AU263" s="2038"/>
      <c r="AV263" s="2038"/>
    </row>
    <row r="264" spans="1:48" ht="12.75" customHeight="1">
      <c r="AA264" s="2038"/>
      <c r="AB264" s="2038"/>
      <c r="AC264" s="2038"/>
      <c r="AD264" s="2038"/>
      <c r="AE264" s="2038"/>
      <c r="AF264" s="2038"/>
      <c r="AG264" s="2038"/>
      <c r="AH264" s="2038"/>
      <c r="AI264" s="2038"/>
      <c r="AJ264" s="2038"/>
      <c r="AK264" s="2038"/>
      <c r="AL264" s="2038"/>
      <c r="AN264" s="2050"/>
      <c r="AO264" s="2050"/>
      <c r="AP264" s="2038"/>
      <c r="AQ264" s="2038"/>
      <c r="AR264" s="2038"/>
      <c r="AS264" s="2038"/>
      <c r="AT264" s="2038"/>
      <c r="AU264" s="2038"/>
      <c r="AV264" s="2038"/>
    </row>
    <row r="265" spans="1:48" ht="9.75" customHeight="1">
      <c r="A265" s="872"/>
      <c r="C265" s="4642"/>
      <c r="D265" s="3492"/>
      <c r="E265" s="49"/>
      <c r="F265" s="49"/>
      <c r="G265" s="49"/>
      <c r="H265" s="49"/>
      <c r="I265" s="49"/>
      <c r="J265" s="49"/>
      <c r="K265" s="49"/>
      <c r="AA265" s="2038"/>
      <c r="AB265" s="2038"/>
      <c r="AC265" s="2038"/>
      <c r="AD265" s="2038"/>
      <c r="AE265" s="2038"/>
      <c r="AF265" s="2038"/>
      <c r="AG265" s="2038"/>
      <c r="AH265" s="2038"/>
      <c r="AI265" s="2038"/>
      <c r="AJ265" s="2038"/>
      <c r="AK265" s="2038"/>
      <c r="AL265" s="2038"/>
      <c r="AN265" s="2050"/>
      <c r="AO265" s="2050"/>
      <c r="AP265" s="2038"/>
      <c r="AQ265" s="2038"/>
      <c r="AR265" s="2038"/>
      <c r="AS265" s="2038"/>
      <c r="AT265" s="2038"/>
      <c r="AU265" s="2038"/>
      <c r="AV265" s="2038"/>
    </row>
    <row r="266" spans="1:48">
      <c r="A266" s="1299" t="s">
        <v>177</v>
      </c>
      <c r="B266" s="61" t="s">
        <v>1931</v>
      </c>
      <c r="G266" s="1325"/>
      <c r="AA266" s="2038"/>
      <c r="AB266" s="2038"/>
      <c r="AC266" s="2038"/>
      <c r="AD266" s="2038"/>
      <c r="AE266" s="2038"/>
      <c r="AF266" s="2038"/>
      <c r="AG266" s="2038"/>
      <c r="AH266" s="2038"/>
      <c r="AI266" s="2038"/>
      <c r="AJ266" s="2038"/>
      <c r="AK266" s="2038"/>
      <c r="AL266" s="2038"/>
      <c r="AN266" s="2050"/>
      <c r="AO266" s="2050"/>
      <c r="AP266" s="2038"/>
      <c r="AQ266" s="2038"/>
      <c r="AR266" s="2038"/>
      <c r="AS266" s="2038"/>
      <c r="AT266" s="2038"/>
      <c r="AU266" s="2038"/>
      <c r="AV266" s="2038"/>
    </row>
    <row r="267" spans="1:48" ht="7.5" customHeight="1">
      <c r="AA267" s="2038"/>
      <c r="AB267" s="2038"/>
      <c r="AC267" s="2038"/>
      <c r="AD267" s="2038"/>
      <c r="AE267" s="2038"/>
      <c r="AF267" s="2038"/>
      <c r="AG267" s="2038"/>
      <c r="AH267" s="2038"/>
      <c r="AI267" s="2038"/>
      <c r="AJ267" s="2038"/>
      <c r="AK267" s="2038"/>
      <c r="AL267" s="2038"/>
      <c r="AN267" s="2050"/>
      <c r="AO267" s="2050"/>
      <c r="AP267" s="2038"/>
      <c r="AQ267" s="2038"/>
      <c r="AR267" s="2038"/>
      <c r="AS267" s="2038"/>
      <c r="AT267" s="2038"/>
      <c r="AU267" s="2038"/>
      <c r="AV267" s="2038"/>
    </row>
    <row r="268" spans="1:48">
      <c r="B268" s="1398" t="str">
        <f>IF(M269,"®","")</f>
        <v/>
      </c>
      <c r="C268" s="110" t="s">
        <v>1806</v>
      </c>
      <c r="D268" s="61" t="s">
        <v>1932</v>
      </c>
      <c r="AA268" s="2038"/>
      <c r="AB268" s="2038"/>
      <c r="AC268" s="2038"/>
      <c r="AD268" s="2038"/>
      <c r="AE268" s="2038"/>
      <c r="AF268" s="2038"/>
      <c r="AG268" s="2038"/>
      <c r="AH268" s="2038"/>
      <c r="AI268" s="2038"/>
      <c r="AJ268" s="2038"/>
      <c r="AK268" s="2038"/>
      <c r="AL268" s="2038"/>
      <c r="AN268" s="2050"/>
      <c r="AO268" s="2050"/>
      <c r="AP268" s="2038"/>
      <c r="AQ268" s="2038"/>
      <c r="AR268" s="2038"/>
      <c r="AS268" s="2038"/>
      <c r="AT268" s="2038"/>
      <c r="AU268" s="2038"/>
      <c r="AV268" s="2038"/>
    </row>
    <row r="269" spans="1:48">
      <c r="B269" s="1291"/>
      <c r="D269" s="22" t="str">
        <f>"Is your earned income less than "&amp;TEXT(N10,"$0,000")&amp;" ("&amp;TEXT(O10,"$0,000")&amp;" if married filing jointly)?"</f>
        <v>Is your earned income less than $56,838 ($63,398 if married filing jointly)?</v>
      </c>
      <c r="L269" s="1324" t="str">
        <f>IF(OR(A262,EICNumQualChild&lt;=3),"",IF(M269,"Yes","No"))</f>
        <v/>
      </c>
      <c r="M269" s="805" t="b">
        <f>OR(AND(L262,File_Marr_Joint&lt;&gt;"",EICNumQualChild&gt;=3,EIC_EarnedIncome&lt;O10),AND(L262,EICNumQualChild&gt;=3,EIC_EarnedIncome&lt;N10))</f>
        <v>0</v>
      </c>
      <c r="AA269" s="2038"/>
      <c r="AB269" s="2038"/>
      <c r="AC269" s="2038"/>
      <c r="AD269" s="2038"/>
      <c r="AE269" s="2038"/>
      <c r="AF269" s="2038"/>
      <c r="AG269" s="2038"/>
      <c r="AH269" s="2038"/>
      <c r="AI269" s="2038"/>
      <c r="AJ269" s="2038"/>
      <c r="AK269" s="2038"/>
      <c r="AL269" s="2038"/>
      <c r="AN269" s="2050"/>
      <c r="AO269" s="2050"/>
      <c r="AP269" s="2038"/>
      <c r="AQ269" s="2038"/>
      <c r="AR269" s="2038"/>
      <c r="AS269" s="2038"/>
      <c r="AT269" s="2038"/>
      <c r="AU269" s="2038"/>
      <c r="AV269" s="2038"/>
    </row>
    <row r="270" spans="1:48">
      <c r="B270" s="1291"/>
      <c r="C270" s="37" t="s">
        <v>1445</v>
      </c>
      <c r="M270" s="805"/>
      <c r="AA270" s="2038"/>
      <c r="AB270" s="2038"/>
      <c r="AC270" s="2038"/>
      <c r="AD270" s="2038"/>
      <c r="AE270" s="2038"/>
      <c r="AF270" s="2038"/>
      <c r="AG270" s="2038"/>
      <c r="AH270" s="2038"/>
      <c r="AI270" s="2038"/>
      <c r="AJ270" s="2038"/>
      <c r="AK270" s="2038"/>
      <c r="AL270" s="2038"/>
      <c r="AN270" s="2050"/>
      <c r="AO270" s="2050"/>
      <c r="AP270" s="2038"/>
      <c r="AQ270" s="2038"/>
      <c r="AR270" s="2038"/>
      <c r="AS270" s="2038"/>
      <c r="AT270" s="2038"/>
      <c r="AU270" s="2038"/>
      <c r="AV270" s="2038"/>
    </row>
    <row r="271" spans="1:48">
      <c r="B271" s="1398" t="str">
        <f>IF(M272,"®","")</f>
        <v/>
      </c>
      <c r="C271" s="110" t="s">
        <v>1806</v>
      </c>
      <c r="D271" s="61" t="s">
        <v>1933</v>
      </c>
      <c r="M271" s="805"/>
      <c r="AA271" s="2038"/>
      <c r="AB271" s="2038"/>
      <c r="AC271" s="2038"/>
      <c r="AD271" s="2038"/>
      <c r="AE271" s="2038"/>
      <c r="AF271" s="2038"/>
      <c r="AG271" s="2038"/>
      <c r="AH271" s="2038"/>
      <c r="AI271" s="2038"/>
      <c r="AJ271" s="2038"/>
      <c r="AK271" s="2038"/>
      <c r="AL271" s="2038"/>
      <c r="AN271" s="2050"/>
      <c r="AO271" s="2050"/>
      <c r="AP271" s="2038"/>
      <c r="AQ271" s="2038"/>
      <c r="AR271" s="2038"/>
      <c r="AS271" s="2038"/>
      <c r="AT271" s="2038"/>
      <c r="AU271" s="2038"/>
      <c r="AV271" s="2038"/>
    </row>
    <row r="272" spans="1:48">
      <c r="B272" s="1291"/>
      <c r="D272" s="22" t="str">
        <f>"Is your earned income less than "&amp;TEXT(N13,"$0,000")&amp;" ("&amp;TEXT(O13,"$0,000")&amp;" if married filing jointly)?"</f>
        <v>Is your earned income less than $52,918 ($59,478 if married filing jointly)?</v>
      </c>
      <c r="L272" s="1324" t="str">
        <f>IF(OR(A262,EICNumQualChild&lt;&gt;2),"",IF(M272,"Yes","No"))</f>
        <v/>
      </c>
      <c r="M272" s="805" t="b">
        <f>OR(AND(L262,File_Marr_Joint&lt;&gt;"",EICNumQualChild=2,EIC_EarnedIncome&lt;O13),AND(L262,EICNumQualChild=2,EIC_EarnedIncome&lt;N13))</f>
        <v>0</v>
      </c>
      <c r="AA272" s="2038"/>
      <c r="AB272" s="2038"/>
      <c r="AC272" s="2038"/>
      <c r="AD272" s="2038"/>
      <c r="AE272" s="2038"/>
      <c r="AF272" s="2038"/>
      <c r="AG272" s="2038"/>
      <c r="AH272" s="2038"/>
      <c r="AI272" s="2038"/>
      <c r="AJ272" s="2038"/>
      <c r="AK272" s="2038"/>
      <c r="AL272" s="2038"/>
      <c r="AN272" s="2050"/>
      <c r="AO272" s="2050"/>
      <c r="AP272" s="2038"/>
      <c r="AQ272" s="2038"/>
      <c r="AR272" s="2038"/>
      <c r="AS272" s="2038"/>
      <c r="AT272" s="2038"/>
      <c r="AU272" s="2038"/>
      <c r="AV272" s="2038"/>
    </row>
    <row r="273" spans="1:48">
      <c r="B273" s="1291"/>
      <c r="C273" s="37" t="s">
        <v>1445</v>
      </c>
      <c r="M273" s="805"/>
      <c r="AA273" s="2038"/>
      <c r="AB273" s="2038"/>
      <c r="AC273" s="2038"/>
      <c r="AD273" s="2038"/>
      <c r="AE273" s="2038"/>
      <c r="AF273" s="2038"/>
      <c r="AG273" s="2038"/>
      <c r="AH273" s="2038"/>
      <c r="AI273" s="2038"/>
      <c r="AJ273" s="2038"/>
      <c r="AK273" s="2038"/>
      <c r="AL273" s="2038"/>
      <c r="AN273" s="2050"/>
      <c r="AO273" s="2050"/>
      <c r="AP273" s="2038"/>
      <c r="AQ273" s="2038"/>
      <c r="AR273" s="2038"/>
      <c r="AS273" s="2038"/>
      <c r="AT273" s="2038"/>
      <c r="AU273" s="2038"/>
      <c r="AV273" s="2038"/>
    </row>
    <row r="274" spans="1:48">
      <c r="B274" s="1398" t="str">
        <f>IF(M275,"®","")</f>
        <v/>
      </c>
      <c r="C274" s="110" t="s">
        <v>1806</v>
      </c>
      <c r="D274" s="61" t="s">
        <v>1934</v>
      </c>
      <c r="M274" s="805"/>
      <c r="AA274" s="2038"/>
      <c r="AB274" s="2038"/>
      <c r="AC274" s="2038"/>
      <c r="AD274" s="2038"/>
      <c r="AE274" s="2038"/>
      <c r="AF274" s="2038"/>
      <c r="AG274" s="2038"/>
      <c r="AH274" s="2038"/>
      <c r="AI274" s="2038"/>
      <c r="AJ274" s="2038"/>
      <c r="AK274" s="2038"/>
      <c r="AL274" s="2038"/>
      <c r="AN274" s="2050"/>
      <c r="AO274" s="2050"/>
      <c r="AP274" s="2038"/>
      <c r="AQ274" s="2038"/>
      <c r="AR274" s="2038"/>
      <c r="AS274" s="2038"/>
      <c r="AT274" s="2038"/>
      <c r="AU274" s="2038"/>
      <c r="AV274" s="2038"/>
    </row>
    <row r="275" spans="1:48">
      <c r="B275" s="1291"/>
      <c r="D275" s="22" t="str">
        <f>"Is your earned income less than "&amp;TEXT(N16,"$0,000")&amp;" ("&amp;TEXT(O16,"$0,000")&amp;" if married filing jointly)?"</f>
        <v>Is your earned income less than $46,560 ($53,120 if married filing jointly)?</v>
      </c>
      <c r="L275" s="1324" t="str">
        <f>IF(OR(A262,EICNumQualChild&lt;&gt;1),"",IF(M275,"Yes","No"))</f>
        <v/>
      </c>
      <c r="M275" s="805" t="b">
        <f>OR(AND(L262,File_Marr_Joint&lt;&gt;"",EICNumQualChild=1,EIC_EarnedIncome&lt;O16),AND(L262,EICNumQualChild=1,EIC_EarnedIncome&lt;N16))</f>
        <v>0</v>
      </c>
      <c r="AA275" s="2038"/>
      <c r="AB275" s="2038"/>
      <c r="AC275" s="2038"/>
      <c r="AD275" s="2038"/>
      <c r="AE275" s="2038"/>
      <c r="AF275" s="2038"/>
      <c r="AG275" s="2038"/>
      <c r="AH275" s="2038"/>
      <c r="AI275" s="2038"/>
      <c r="AJ275" s="2038"/>
      <c r="AK275" s="2038"/>
      <c r="AL275" s="2038"/>
      <c r="AN275" s="2050"/>
      <c r="AO275" s="2050"/>
      <c r="AP275" s="2038"/>
      <c r="AQ275" s="2038"/>
      <c r="AR275" s="2038"/>
      <c r="AS275" s="2038"/>
      <c r="AT275" s="2038"/>
      <c r="AU275" s="2038"/>
      <c r="AV275" s="2038"/>
    </row>
    <row r="276" spans="1:48">
      <c r="B276" s="1291"/>
      <c r="C276" s="37" t="s">
        <v>1445</v>
      </c>
      <c r="M276" s="805"/>
      <c r="AA276" s="2038"/>
      <c r="AB276" s="2038"/>
      <c r="AC276" s="2038"/>
      <c r="AD276" s="2038"/>
      <c r="AE276" s="2038"/>
      <c r="AF276" s="2038"/>
      <c r="AG276" s="2038"/>
      <c r="AH276" s="2038"/>
      <c r="AI276" s="2038"/>
      <c r="AJ276" s="2038"/>
      <c r="AK276" s="2038"/>
      <c r="AL276" s="2038"/>
      <c r="AN276" s="2050"/>
      <c r="AO276" s="2050"/>
      <c r="AP276" s="2038"/>
      <c r="AQ276" s="2038"/>
      <c r="AR276" s="2038"/>
      <c r="AS276" s="2038"/>
      <c r="AT276" s="2038"/>
      <c r="AU276" s="2038"/>
      <c r="AV276" s="2038"/>
    </row>
    <row r="277" spans="1:48">
      <c r="B277" s="1398" t="str">
        <f>IF(M278,"®","")</f>
        <v/>
      </c>
      <c r="C277" s="110" t="s">
        <v>1806</v>
      </c>
      <c r="D277" s="22" t="s">
        <v>1935</v>
      </c>
      <c r="M277" s="805"/>
      <c r="AA277" s="2038"/>
      <c r="AB277" s="2038"/>
      <c r="AC277" s="2038"/>
      <c r="AD277" s="2038"/>
      <c r="AE277" s="2038"/>
      <c r="AF277" s="2038"/>
      <c r="AG277" s="2038"/>
      <c r="AH277" s="2038"/>
      <c r="AI277" s="2038"/>
      <c r="AJ277" s="2038"/>
      <c r="AK277" s="2038"/>
      <c r="AL277" s="2038"/>
      <c r="AN277" s="2050"/>
      <c r="AO277" s="2050"/>
      <c r="AP277" s="2038"/>
      <c r="AQ277" s="2038"/>
      <c r="AR277" s="2038"/>
      <c r="AS277" s="2038"/>
      <c r="AT277" s="2038"/>
      <c r="AU277" s="2038"/>
      <c r="AV277" s="2038"/>
    </row>
    <row r="278" spans="1:48">
      <c r="D278" s="22" t="str">
        <f>"Is your earned income less than "&amp;TEXT(N19,"$0,000")&amp;" ("&amp;TEXT(O19,"$0,000")&amp;" if married filing jointly)?"</f>
        <v>Is your earned income less than $17,640 ($24,210 if married filing jointly)?</v>
      </c>
      <c r="L278" s="1324" t="str">
        <f>IF(OR(A262,EICNumQualChild&lt;&gt;0),"",IF(M278,"Yes","No"))</f>
        <v>No</v>
      </c>
      <c r="M278" s="805" t="b">
        <f>OR(AND(L262,File_Marr_Joint&lt;&gt;"",EIC_EarnedIncome&lt;O19),AND(L262,EIC_EarnedIncome&lt;N19))</f>
        <v>0</v>
      </c>
      <c r="N278" s="4641"/>
      <c r="AA278" s="2038"/>
      <c r="AB278" s="2038"/>
      <c r="AC278" s="2038"/>
      <c r="AD278" s="2038"/>
      <c r="AE278" s="2038"/>
      <c r="AF278" s="2038"/>
      <c r="AG278" s="2038"/>
      <c r="AH278" s="2038"/>
      <c r="AI278" s="2038"/>
      <c r="AJ278" s="2038"/>
      <c r="AK278" s="2038"/>
      <c r="AL278" s="2038"/>
      <c r="AN278" s="2050"/>
      <c r="AO278" s="2050"/>
      <c r="AP278" s="2038"/>
      <c r="AQ278" s="2038"/>
      <c r="AR278" s="2038"/>
      <c r="AS278" s="2038"/>
      <c r="AT278" s="2038"/>
      <c r="AU278" s="2038"/>
      <c r="AV278" s="2038"/>
    </row>
    <row r="279" spans="1:48">
      <c r="M279" s="805"/>
      <c r="AA279" s="2038"/>
      <c r="AB279" s="2038"/>
      <c r="AC279" s="2038"/>
      <c r="AD279" s="2038"/>
      <c r="AE279" s="2038"/>
      <c r="AF279" s="2038"/>
      <c r="AG279" s="2038"/>
      <c r="AH279" s="2038"/>
      <c r="AI279" s="2038"/>
      <c r="AJ279" s="2038"/>
      <c r="AK279" s="2038"/>
      <c r="AL279" s="2038"/>
      <c r="AN279" s="2050"/>
      <c r="AO279" s="2050"/>
      <c r="AP279" s="2038"/>
      <c r="AQ279" s="2038"/>
      <c r="AR279" s="2038"/>
      <c r="AS279" s="2038"/>
      <c r="AT279" s="2038"/>
      <c r="AU279" s="2038"/>
      <c r="AV279" s="2038"/>
    </row>
    <row r="280" spans="1:48">
      <c r="A280" s="805" t="b">
        <f>AND(L262,OR(M269,M272,M275,M278))</f>
        <v>0</v>
      </c>
      <c r="B280" s="1575" t="str">
        <f>IF(A280,"X","")</f>
        <v/>
      </c>
      <c r="D280" s="61" t="s">
        <v>1936</v>
      </c>
      <c r="H280" s="1575" t="str">
        <f>IF(M280,"X","")</f>
        <v/>
      </c>
      <c r="J280" s="61" t="s">
        <v>1937</v>
      </c>
      <c r="M280" s="4649" t="b">
        <f>AND(L262,NOT(M269),NOT(M272),NOT(M275),NOT(M278))</f>
        <v>0</v>
      </c>
      <c r="AA280" s="2038"/>
      <c r="AB280" s="2038"/>
      <c r="AC280" s="2038"/>
      <c r="AD280" s="2038"/>
      <c r="AE280" s="2038"/>
      <c r="AF280" s="2038"/>
      <c r="AG280" s="2038"/>
      <c r="AH280" s="2038"/>
      <c r="AI280" s="2038"/>
      <c r="AJ280" s="2038"/>
      <c r="AK280" s="2038"/>
      <c r="AL280" s="2038"/>
      <c r="AN280" s="2050"/>
      <c r="AO280" s="2050"/>
      <c r="AP280" s="2038"/>
      <c r="AQ280" s="2038"/>
      <c r="AR280" s="2038"/>
      <c r="AS280" s="2038"/>
      <c r="AT280" s="2038"/>
      <c r="AU280" s="2038"/>
      <c r="AV280" s="2038"/>
    </row>
    <row r="281" spans="1:48" ht="15.75" customHeight="1">
      <c r="AA281" s="2038"/>
      <c r="AB281" s="2038"/>
      <c r="AC281" s="2038"/>
      <c r="AD281" s="2038"/>
      <c r="AE281" s="2038"/>
      <c r="AF281" s="2038"/>
      <c r="AG281" s="2038"/>
      <c r="AH281" s="2038"/>
      <c r="AI281" s="2038"/>
      <c r="AJ281" s="2038"/>
      <c r="AK281" s="2038"/>
      <c r="AL281" s="2038"/>
      <c r="AN281" s="2050"/>
      <c r="AO281" s="2050"/>
      <c r="AP281" s="2038"/>
      <c r="AQ281" s="2038"/>
      <c r="AR281" s="2038"/>
      <c r="AS281" s="2038"/>
      <c r="AT281" s="2038"/>
      <c r="AU281" s="2038"/>
      <c r="AV281" s="2038"/>
    </row>
    <row r="282" spans="1:48" ht="7.5" customHeight="1">
      <c r="AA282" s="2038"/>
      <c r="AB282" s="2038"/>
      <c r="AC282" s="2038"/>
      <c r="AD282" s="2038"/>
      <c r="AE282" s="2038"/>
      <c r="AF282" s="2038"/>
      <c r="AG282" s="2038"/>
      <c r="AH282" s="2038"/>
      <c r="AI282" s="2038"/>
      <c r="AJ282" s="2038"/>
      <c r="AK282" s="2038"/>
      <c r="AL282" s="2038"/>
      <c r="AN282" s="2050"/>
      <c r="AO282" s="2050"/>
      <c r="AP282" s="2038"/>
      <c r="AQ282" s="2038"/>
      <c r="AR282" s="2038"/>
      <c r="AS282" s="2038"/>
      <c r="AT282" s="2038"/>
      <c r="AU282" s="2038"/>
      <c r="AV282" s="2038"/>
    </row>
    <row r="283" spans="1:48" ht="9.75" customHeight="1">
      <c r="A283" s="872"/>
      <c r="C283" s="4642"/>
      <c r="D283" s="3492"/>
      <c r="E283" s="49"/>
      <c r="F283" s="49"/>
      <c r="G283" s="49"/>
      <c r="H283" s="49"/>
      <c r="I283" s="49"/>
      <c r="J283" s="49"/>
      <c r="K283" s="49"/>
      <c r="AA283" s="2038"/>
      <c r="AB283" s="2038"/>
      <c r="AC283" s="2038"/>
      <c r="AD283" s="2038"/>
      <c r="AE283" s="2038"/>
      <c r="AF283" s="2038"/>
      <c r="AG283" s="2038"/>
      <c r="AH283" s="2038"/>
      <c r="AI283" s="2038"/>
      <c r="AJ283" s="2038"/>
      <c r="AK283" s="2038"/>
      <c r="AL283" s="2038"/>
      <c r="AN283" s="2050"/>
      <c r="AO283" s="2050"/>
      <c r="AP283" s="2038"/>
      <c r="AQ283" s="2038"/>
      <c r="AR283" s="2038"/>
      <c r="AS283" s="2038"/>
      <c r="AT283" s="2038"/>
      <c r="AU283" s="2038"/>
      <c r="AV283" s="2038"/>
    </row>
    <row r="284" spans="1:48" s="109" customFormat="1" ht="15.75">
      <c r="A284" s="1308" t="s">
        <v>1938</v>
      </c>
      <c r="B284" s="1309" t="s">
        <v>1939</v>
      </c>
      <c r="C284" s="1286"/>
      <c r="G284" s="1325" t="str">
        <f>IF(B262&lt;&gt;"","Skip","")</f>
        <v/>
      </c>
      <c r="N284" s="1287"/>
      <c r="AA284" s="2048"/>
      <c r="AB284" s="2048"/>
      <c r="AC284" s="2048"/>
      <c r="AD284" s="2048"/>
      <c r="AE284" s="2048"/>
      <c r="AF284" s="2048"/>
      <c r="AG284" s="2048"/>
      <c r="AH284" s="2048"/>
      <c r="AI284" s="2048"/>
      <c r="AJ284" s="2048"/>
      <c r="AK284" s="2048"/>
      <c r="AL284" s="2048"/>
      <c r="AN284" s="2049"/>
      <c r="AO284" s="2049"/>
      <c r="AP284" s="2048"/>
      <c r="AQ284" s="2048"/>
      <c r="AR284" s="2048"/>
      <c r="AS284" s="2048"/>
      <c r="AT284" s="2048"/>
      <c r="AU284" s="2048"/>
      <c r="AV284" s="2048"/>
    </row>
    <row r="285" spans="1:48" s="109" customFormat="1" ht="15.75">
      <c r="A285" s="1286"/>
      <c r="B285" s="1286"/>
      <c r="C285" s="1286"/>
      <c r="N285" s="1287"/>
      <c r="AA285" s="2048"/>
      <c r="AB285" s="2048"/>
      <c r="AC285" s="2048"/>
      <c r="AD285" s="2048"/>
      <c r="AE285" s="2048"/>
      <c r="AF285" s="2048"/>
      <c r="AG285" s="2048"/>
      <c r="AH285" s="2048"/>
      <c r="AI285" s="2048"/>
      <c r="AJ285" s="2048"/>
      <c r="AK285" s="2048"/>
      <c r="AL285" s="2048"/>
      <c r="AN285" s="2049"/>
      <c r="AO285" s="2049"/>
      <c r="AP285" s="2048"/>
      <c r="AQ285" s="2048"/>
      <c r="AR285" s="2048"/>
      <c r="AS285" s="2048"/>
      <c r="AT285" s="2048"/>
      <c r="AU285" s="2048"/>
      <c r="AV285" s="2048"/>
    </row>
    <row r="286" spans="1:48" s="109" customFormat="1" ht="15.75">
      <c r="A286" s="1286"/>
      <c r="B286" s="1286"/>
      <c r="C286" s="1290" t="s">
        <v>167</v>
      </c>
      <c r="D286" s="22" t="s">
        <v>1940</v>
      </c>
      <c r="N286" s="1287"/>
      <c r="AA286" s="2048"/>
      <c r="AB286" s="2048"/>
      <c r="AC286" s="2048"/>
      <c r="AD286" s="2048"/>
      <c r="AE286" s="2048"/>
      <c r="AF286" s="2048"/>
      <c r="AG286" s="2048"/>
      <c r="AH286" s="2048"/>
      <c r="AI286" s="2048"/>
      <c r="AJ286" s="2048"/>
      <c r="AK286" s="2048"/>
      <c r="AL286" s="2048"/>
      <c r="AN286" s="2049"/>
      <c r="AO286" s="2049"/>
      <c r="AP286" s="2048"/>
      <c r="AQ286" s="2048"/>
      <c r="AR286" s="2048"/>
      <c r="AS286" s="2048"/>
      <c r="AT286" s="2048"/>
      <c r="AU286" s="2048"/>
      <c r="AV286" s="2048"/>
    </row>
    <row r="287" spans="1:48">
      <c r="AA287" s="2038"/>
      <c r="AB287" s="2038"/>
      <c r="AC287" s="2038"/>
      <c r="AD287" s="2038"/>
      <c r="AE287" s="2038"/>
      <c r="AF287" s="2038"/>
      <c r="AG287" s="2038"/>
      <c r="AH287" s="2038"/>
      <c r="AI287" s="2038"/>
      <c r="AJ287" s="2038"/>
      <c r="AK287" s="2038"/>
      <c r="AL287" s="2038"/>
      <c r="AN287" s="2050"/>
      <c r="AO287" s="2050"/>
      <c r="AP287" s="2038"/>
      <c r="AQ287" s="2038"/>
      <c r="AR287" s="2038"/>
      <c r="AS287" s="2038"/>
      <c r="AT287" s="2038"/>
      <c r="AU287" s="2038"/>
      <c r="AV287" s="2038"/>
    </row>
    <row r="288" spans="1:48">
      <c r="A288" s="805" t="b">
        <f>AND(A280,B288&lt;&gt;"")</f>
        <v>0</v>
      </c>
      <c r="B288" s="941"/>
      <c r="D288" s="61" t="s">
        <v>1941</v>
      </c>
      <c r="H288" s="1575" t="str">
        <f>IF(M288,"X","")</f>
        <v/>
      </c>
      <c r="J288" s="22" t="s">
        <v>1942</v>
      </c>
      <c r="M288" s="805" t="b">
        <f>AND(A280,NOT(A288))</f>
        <v>0</v>
      </c>
      <c r="AA288" s="2038"/>
      <c r="AB288" s="2038"/>
      <c r="AC288" s="2038"/>
      <c r="AD288" s="2038"/>
      <c r="AE288" s="2038"/>
      <c r="AF288" s="2038"/>
      <c r="AG288" s="2038"/>
      <c r="AH288" s="2038"/>
      <c r="AI288" s="2038"/>
      <c r="AJ288" s="2038"/>
      <c r="AK288" s="2038"/>
      <c r="AL288" s="2038"/>
      <c r="AN288" s="2050"/>
      <c r="AO288" s="2050"/>
      <c r="AP288" s="2038"/>
      <c r="AQ288" s="2038"/>
      <c r="AR288" s="2038"/>
      <c r="AS288" s="2038"/>
      <c r="AT288" s="2038"/>
      <c r="AU288" s="2038"/>
      <c r="AV288" s="2038"/>
    </row>
    <row r="289" spans="1:48">
      <c r="D289" s="61" t="s">
        <v>1943</v>
      </c>
      <c r="AA289" s="2038"/>
      <c r="AB289" s="2038"/>
      <c r="AC289" s="2038"/>
      <c r="AD289" s="2038"/>
      <c r="AE289" s="2038"/>
      <c r="AF289" s="2038"/>
      <c r="AG289" s="2038"/>
      <c r="AH289" s="2038"/>
      <c r="AI289" s="2038"/>
      <c r="AJ289" s="2038"/>
      <c r="AK289" s="2038"/>
      <c r="AL289" s="2038"/>
      <c r="AN289" s="2050"/>
      <c r="AO289" s="2050"/>
      <c r="AP289" s="2038"/>
      <c r="AQ289" s="2038"/>
      <c r="AR289" s="2038"/>
      <c r="AS289" s="2038"/>
      <c r="AT289" s="2038"/>
      <c r="AU289" s="2038"/>
      <c r="AV289" s="2038"/>
    </row>
    <row r="290" spans="1:48">
      <c r="AA290" s="2038"/>
      <c r="AB290" s="2038"/>
      <c r="AC290" s="2038"/>
      <c r="AD290" s="2038"/>
      <c r="AE290" s="2038"/>
      <c r="AF290" s="2038"/>
      <c r="AG290" s="2038"/>
      <c r="AH290" s="2038"/>
      <c r="AI290" s="2038"/>
      <c r="AJ290" s="2038"/>
      <c r="AK290" s="2038"/>
      <c r="AL290" s="2038"/>
      <c r="AN290" s="2050"/>
      <c r="AO290" s="2050"/>
      <c r="AP290" s="2038"/>
      <c r="AQ290" s="2038"/>
      <c r="AR290" s="2038"/>
      <c r="AS290" s="2038"/>
      <c r="AT290" s="2038"/>
      <c r="AU290" s="2038"/>
      <c r="AV290" s="2038"/>
    </row>
    <row r="291" spans="1:48" s="1293" customFormat="1">
      <c r="B291" s="1292"/>
      <c r="N291" s="1294"/>
      <c r="AA291" s="2051"/>
      <c r="AB291" s="2051"/>
      <c r="AC291" s="2051"/>
      <c r="AD291" s="2051"/>
      <c r="AE291" s="2051"/>
      <c r="AF291" s="2051"/>
      <c r="AG291" s="2051"/>
      <c r="AH291" s="2051"/>
      <c r="AI291" s="2051"/>
      <c r="AJ291" s="2051"/>
      <c r="AK291" s="2051"/>
      <c r="AL291" s="2051"/>
      <c r="AN291" s="2052"/>
      <c r="AO291" s="2052"/>
      <c r="AP291" s="2051"/>
      <c r="AQ291" s="2051"/>
      <c r="AR291" s="2051"/>
      <c r="AS291" s="2051"/>
      <c r="AT291" s="2051"/>
      <c r="AU291" s="2051"/>
      <c r="AV291" s="2051"/>
    </row>
    <row r="292" spans="1:48" s="109" customFormat="1" ht="23.25">
      <c r="A292" s="1286" t="s">
        <v>1944</v>
      </c>
      <c r="B292" s="1286"/>
      <c r="C292" s="1286"/>
      <c r="D292" s="1972" t="str">
        <f>TaxYear&amp;" EIC  —  Line 27"</f>
        <v>2023 EIC  —  Line 27</v>
      </c>
      <c r="L292" s="1414" t="s">
        <v>1057</v>
      </c>
      <c r="N292" s="1287"/>
      <c r="AA292" s="2048"/>
      <c r="AB292" s="2048"/>
      <c r="AC292" s="2048"/>
      <c r="AD292" s="2048"/>
      <c r="AE292" s="2048"/>
      <c r="AF292" s="2048"/>
      <c r="AG292" s="2048"/>
      <c r="AH292" s="2048"/>
      <c r="AI292" s="2048"/>
      <c r="AJ292" s="2048"/>
      <c r="AK292" s="2048"/>
      <c r="AL292" s="2048"/>
      <c r="AN292" s="2049"/>
      <c r="AO292" s="2049"/>
      <c r="AP292" s="2048"/>
      <c r="AQ292" s="2048"/>
      <c r="AR292" s="2048"/>
      <c r="AS292" s="2048"/>
      <c r="AT292" s="2048"/>
      <c r="AU292" s="2048"/>
      <c r="AV292" s="2048"/>
    </row>
    <row r="293" spans="1:48" s="109" customFormat="1" ht="9" customHeight="1">
      <c r="A293" s="1286"/>
      <c r="B293" s="1286"/>
      <c r="C293" s="1286"/>
      <c r="N293" s="1287"/>
      <c r="AA293" s="2048"/>
      <c r="AB293" s="2048"/>
      <c r="AC293" s="2048"/>
      <c r="AD293" s="2048"/>
      <c r="AE293" s="2048"/>
      <c r="AF293" s="2048"/>
      <c r="AG293" s="2048"/>
      <c r="AH293" s="2048"/>
      <c r="AI293" s="2048"/>
      <c r="AJ293" s="2048"/>
      <c r="AK293" s="2048"/>
      <c r="AL293" s="2048"/>
      <c r="AN293" s="2049"/>
      <c r="AO293" s="2049"/>
      <c r="AP293" s="2048"/>
      <c r="AQ293" s="2048"/>
      <c r="AR293" s="2048"/>
      <c r="AS293" s="2048"/>
      <c r="AT293" s="2048"/>
      <c r="AU293" s="2048"/>
      <c r="AV293" s="2048"/>
    </row>
    <row r="294" spans="1:48" s="109" customFormat="1" ht="15.75">
      <c r="A294" s="1308" t="s">
        <v>1945</v>
      </c>
      <c r="B294" s="1286" t="s">
        <v>1946</v>
      </c>
      <c r="C294" s="1286"/>
      <c r="N294" s="1287"/>
      <c r="AA294" s="2048"/>
      <c r="AB294" s="2048"/>
      <c r="AC294" s="2048"/>
      <c r="AD294" s="2048"/>
      <c r="AE294" s="2048"/>
      <c r="AF294" s="2048"/>
      <c r="AG294" s="2048"/>
      <c r="AH294" s="2048"/>
      <c r="AI294" s="2048"/>
      <c r="AJ294" s="2048"/>
      <c r="AK294" s="2048"/>
      <c r="AL294" s="2048"/>
      <c r="AN294" s="2049"/>
      <c r="AO294" s="2049"/>
      <c r="AP294" s="2048"/>
      <c r="AQ294" s="2048"/>
      <c r="AR294" s="2048"/>
      <c r="AS294" s="2048"/>
      <c r="AT294" s="2048"/>
      <c r="AU294" s="2048"/>
      <c r="AV294" s="2048"/>
    </row>
    <row r="295" spans="1:48">
      <c r="AA295" s="2038"/>
      <c r="AB295" s="2038"/>
      <c r="AC295" s="2038"/>
      <c r="AD295" s="2038"/>
      <c r="AE295" s="2038"/>
      <c r="AF295" s="2038"/>
      <c r="AG295" s="2038"/>
      <c r="AH295" s="2038"/>
      <c r="AI295" s="2038"/>
      <c r="AJ295" s="2038"/>
      <c r="AK295" s="2038"/>
      <c r="AL295" s="2038"/>
      <c r="AN295" s="2050"/>
      <c r="AO295" s="2050"/>
      <c r="AP295" s="2038"/>
      <c r="AQ295" s="2038"/>
      <c r="AR295" s="2038"/>
      <c r="AS295" s="2038"/>
      <c r="AT295" s="2038"/>
      <c r="AU295" s="2038"/>
      <c r="AV295" s="2038"/>
    </row>
    <row r="296" spans="1:48">
      <c r="A296" s="805" t="b">
        <f>AND(L262,M288)</f>
        <v>0</v>
      </c>
      <c r="B296" s="1575" t="str">
        <f>IF(A296,"X","")</f>
        <v/>
      </c>
      <c r="D296" s="61" t="s">
        <v>1947</v>
      </c>
      <c r="AA296" s="2038"/>
      <c r="AB296" s="2038"/>
      <c r="AC296" s="2038"/>
      <c r="AD296" s="2038"/>
      <c r="AE296" s="2038"/>
      <c r="AF296" s="2038"/>
      <c r="AG296" s="2038"/>
      <c r="AH296" s="2038"/>
      <c r="AI296" s="2038"/>
      <c r="AJ296" s="2038"/>
      <c r="AK296" s="2038"/>
      <c r="AL296" s="2038"/>
      <c r="AN296" s="2050"/>
      <c r="AO296" s="2050"/>
      <c r="AP296" s="2038"/>
      <c r="AQ296" s="2038"/>
      <c r="AR296" s="2038"/>
      <c r="AS296" s="2038"/>
      <c r="AT296" s="2038"/>
      <c r="AU296" s="2038"/>
      <c r="AV296" s="2038"/>
    </row>
    <row r="297" spans="1:48">
      <c r="D297" s="61" t="s">
        <v>1948</v>
      </c>
      <c r="AA297" s="2038"/>
      <c r="AB297" s="2038"/>
      <c r="AC297" s="2038"/>
      <c r="AD297" s="2038"/>
      <c r="AE297" s="2038"/>
      <c r="AF297" s="2038"/>
      <c r="AG297" s="2038"/>
      <c r="AH297" s="2038"/>
      <c r="AI297" s="2038"/>
      <c r="AJ297" s="2038"/>
      <c r="AK297" s="2038"/>
      <c r="AL297" s="2038"/>
      <c r="AN297" s="2050"/>
      <c r="AO297" s="2050"/>
      <c r="AP297" s="2038"/>
      <c r="AQ297" s="2038"/>
      <c r="AR297" s="2038"/>
      <c r="AS297" s="2038"/>
      <c r="AT297" s="2038"/>
      <c r="AU297" s="2038"/>
      <c r="AV297" s="2038"/>
    </row>
    <row r="298" spans="1:48">
      <c r="D298" s="61" t="s">
        <v>1949</v>
      </c>
      <c r="AA298" s="2038"/>
      <c r="AB298" s="2038"/>
      <c r="AC298" s="2038"/>
      <c r="AD298" s="2038"/>
      <c r="AE298" s="2038"/>
      <c r="AF298" s="2038"/>
      <c r="AG298" s="2038"/>
      <c r="AH298" s="2038"/>
      <c r="AI298" s="2038"/>
      <c r="AJ298" s="2038"/>
      <c r="AK298" s="2038"/>
      <c r="AL298" s="2038"/>
      <c r="AN298" s="2050"/>
      <c r="AO298" s="2050"/>
      <c r="AP298" s="2038"/>
      <c r="AQ298" s="2038"/>
      <c r="AR298" s="2038"/>
      <c r="AS298" s="2038"/>
      <c r="AT298" s="2038"/>
      <c r="AU298" s="2038"/>
      <c r="AV298" s="2038"/>
    </row>
    <row r="299" spans="1:48">
      <c r="AA299" s="2038"/>
      <c r="AB299" s="2038"/>
      <c r="AC299" s="2038"/>
      <c r="AD299" s="2038"/>
      <c r="AE299" s="2038"/>
      <c r="AF299" s="2038"/>
      <c r="AG299" s="2038"/>
      <c r="AH299" s="2038"/>
      <c r="AI299" s="2038"/>
      <c r="AJ299" s="2038"/>
      <c r="AK299" s="2038"/>
      <c r="AL299" s="2038"/>
      <c r="AN299" s="2050"/>
      <c r="AO299" s="2050"/>
      <c r="AP299" s="2038"/>
      <c r="AQ299" s="2038"/>
      <c r="AR299" s="2038"/>
      <c r="AS299" s="2038"/>
      <c r="AT299" s="2038"/>
      <c r="AU299" s="2038"/>
      <c r="AV299" s="2038"/>
    </row>
    <row r="300" spans="1:48">
      <c r="C300" s="1290" t="s">
        <v>167</v>
      </c>
      <c r="D300" s="61" t="s">
        <v>1950</v>
      </c>
      <c r="J300" s="1299" t="s">
        <v>167</v>
      </c>
      <c r="K300" s="1568" t="str">
        <f>IF(A296,EIC_EarnedIncome,"")</f>
        <v/>
      </c>
      <c r="AA300" s="2038"/>
      <c r="AB300" s="2038"/>
      <c r="AC300" s="2038"/>
      <c r="AD300" s="2038"/>
      <c r="AE300" s="2038"/>
      <c r="AF300" s="2038"/>
      <c r="AG300" s="2038"/>
      <c r="AH300" s="2038"/>
      <c r="AI300" s="2038"/>
      <c r="AJ300" s="2038"/>
      <c r="AK300" s="2038"/>
      <c r="AL300" s="2038"/>
      <c r="AN300" s="2050"/>
      <c r="AO300" s="2050"/>
      <c r="AP300" s="2038"/>
      <c r="AQ300" s="2038"/>
      <c r="AR300" s="2038"/>
      <c r="AS300" s="2038"/>
      <c r="AT300" s="2038"/>
      <c r="AU300" s="2038"/>
      <c r="AV300" s="2038"/>
    </row>
    <row r="301" spans="1:48" ht="13.5" thickBot="1">
      <c r="AA301" s="2038"/>
      <c r="AB301" s="2038"/>
      <c r="AC301" s="2038"/>
      <c r="AD301" s="2038"/>
      <c r="AE301" s="2038"/>
      <c r="AF301" s="2038"/>
      <c r="AG301" s="2038"/>
      <c r="AH301" s="2038"/>
      <c r="AI301" s="2038"/>
      <c r="AJ301" s="2038"/>
      <c r="AK301" s="2038"/>
      <c r="AL301" s="2038"/>
      <c r="AN301" s="2044" t="s">
        <v>1951</v>
      </c>
      <c r="AO301" s="2050"/>
      <c r="AP301" s="2038"/>
      <c r="AQ301" s="2038"/>
      <c r="AR301" s="2038"/>
      <c r="AS301" s="2038"/>
      <c r="AT301" s="2038"/>
      <c r="AU301" s="2038"/>
      <c r="AV301" s="2038"/>
    </row>
    <row r="302" spans="1:48">
      <c r="C302" s="1290" t="s">
        <v>171</v>
      </c>
      <c r="D302" s="61" t="s">
        <v>1952</v>
      </c>
      <c r="K302" s="1299" t="s">
        <v>171</v>
      </c>
      <c r="L302" s="1568" t="str">
        <f>IF(A296,IF(ISERROR(AN306),0,AN306),"")</f>
        <v/>
      </c>
      <c r="AA302" s="2038"/>
      <c r="AB302" s="2038"/>
      <c r="AC302" s="2038"/>
      <c r="AD302" s="2038"/>
      <c r="AE302" s="2038"/>
      <c r="AF302" s="2038"/>
      <c r="AG302" s="2038"/>
      <c r="AH302" s="2038"/>
      <c r="AI302" s="2038"/>
      <c r="AJ302" s="2038"/>
      <c r="AK302" s="2038"/>
      <c r="AL302" s="2038"/>
      <c r="AN302" s="2054" t="str">
        <f>EIC_EarnedIncome</f>
        <v/>
      </c>
      <c r="AO302" s="7007" t="s">
        <v>1953</v>
      </c>
      <c r="AP302" s="7008"/>
      <c r="AQ302" s="7007" t="s">
        <v>1954</v>
      </c>
      <c r="AR302" s="7008"/>
      <c r="AS302" s="7007" t="s">
        <v>1955</v>
      </c>
      <c r="AT302" s="7008"/>
      <c r="AU302" s="7007" t="s">
        <v>1956</v>
      </c>
      <c r="AV302" s="7008"/>
    </row>
    <row r="303" spans="1:48">
      <c r="D303" s="61" t="s">
        <v>1957</v>
      </c>
      <c r="AA303" s="2038"/>
      <c r="AB303" s="2038"/>
      <c r="AC303" s="2038"/>
      <c r="AD303" s="2038"/>
      <c r="AE303" s="2038"/>
      <c r="AF303" s="2038"/>
      <c r="AG303" s="2038"/>
      <c r="AH303" s="2038"/>
      <c r="AI303" s="2038"/>
      <c r="AJ303" s="2038"/>
      <c r="AK303" s="2038"/>
      <c r="AL303" s="2038"/>
      <c r="AN303" s="2055" t="str">
        <f>IF(AN302&lt;&gt;"",ROUND(AN302,0),"")</f>
        <v/>
      </c>
      <c r="AO303" s="2056" t="s">
        <v>1958</v>
      </c>
      <c r="AP303" s="2057" t="s">
        <v>1808</v>
      </c>
      <c r="AQ303" s="2056" t="s">
        <v>1958</v>
      </c>
      <c r="AR303" s="2057" t="s">
        <v>1808</v>
      </c>
      <c r="AS303" s="2056" t="s">
        <v>1958</v>
      </c>
      <c r="AT303" s="2058" t="s">
        <v>1808</v>
      </c>
      <c r="AU303" s="2056" t="s">
        <v>1958</v>
      </c>
      <c r="AV303" s="2058" t="s">
        <v>1808</v>
      </c>
    </row>
    <row r="304" spans="1:48">
      <c r="D304" s="61" t="s">
        <v>1959</v>
      </c>
      <c r="AA304" s="2038"/>
      <c r="AB304" s="2038"/>
      <c r="AC304" s="2038"/>
      <c r="AD304" s="2038"/>
      <c r="AE304" s="2038"/>
      <c r="AF304" s="2038"/>
      <c r="AG304" s="2038"/>
      <c r="AH304" s="2038"/>
      <c r="AI304" s="2038"/>
      <c r="AJ304" s="2038"/>
      <c r="AK304" s="2038"/>
      <c r="AL304" s="2038"/>
      <c r="AN304" s="2055"/>
      <c r="AO304" s="1316" t="e">
        <f>LOOKUP(AN305,'EIC Table'!$A$3:$A$1277,'EIC Table'!$C$3:$C$1277)</f>
        <v>#N/A</v>
      </c>
      <c r="AP304" s="1317" t="e">
        <f>LOOKUP(AN305,'EIC Table'!$A$3:$A$1277,'EIC Table'!$G$3:$G$1277)</f>
        <v>#N/A</v>
      </c>
      <c r="AQ304" s="1316" t="e">
        <f>LOOKUP(AN305,'EIC Table'!$A$3:$A$1277,'EIC Table'!$D$3:$D$1277)</f>
        <v>#N/A</v>
      </c>
      <c r="AR304" s="1317" t="e">
        <f>LOOKUP(AN305,'EIC Table'!$A$3:$A$1277,'EIC Table'!$H$3:$H$1277)</f>
        <v>#N/A</v>
      </c>
      <c r="AS304" s="1318" t="e">
        <f>LOOKUP(AN305,'EIC Table'!$A$3:$A$1277,'EIC Table'!$E$3:$E$1277)</f>
        <v>#N/A</v>
      </c>
      <c r="AT304" s="1317" t="e">
        <f>LOOKUP(AN305,'EIC Table'!$A$3:$A$1277,'EIC Table'!$I$3:$I$1277)</f>
        <v>#N/A</v>
      </c>
      <c r="AU304" s="1318" t="e">
        <f>LOOKUP(AN305,'EIC Table'!$A$3:$A$1277,'EIC Table'!$F$3:$F$1277)</f>
        <v>#N/A</v>
      </c>
      <c r="AV304" s="1317" t="e">
        <f>LOOKUP(AN305,'EIC Table'!$A$3:$A$1277,'EIC Table'!$J$3:$J$1277)</f>
        <v>#N/A</v>
      </c>
    </row>
    <row r="305" spans="1:48" ht="13.5" thickBot="1">
      <c r="D305" s="61" t="s">
        <v>1960</v>
      </c>
      <c r="AA305" s="2038"/>
      <c r="AB305" s="2038"/>
      <c r="AC305" s="2038"/>
      <c r="AD305" s="2038"/>
      <c r="AE305" s="2038"/>
      <c r="AF305" s="2038"/>
      <c r="AG305" s="2038"/>
      <c r="AH305" s="2038"/>
      <c r="AI305" s="2038"/>
      <c r="AJ305" s="2038"/>
      <c r="AK305" s="2038"/>
      <c r="AL305" s="2038"/>
      <c r="AN305" s="2055" t="str">
        <f>IF(AN303="","",AN303)</f>
        <v/>
      </c>
      <c r="AO305" s="2059"/>
      <c r="AP305" s="2060"/>
      <c r="AQ305" s="2059"/>
      <c r="AR305" s="2060"/>
      <c r="AS305" s="2061"/>
      <c r="AT305" s="2060"/>
      <c r="AU305" s="2061"/>
      <c r="AV305" s="2060"/>
    </row>
    <row r="306" spans="1:48" ht="13.5" thickBot="1">
      <c r="A306" s="805" t="b">
        <f>AND(A296,L302=0)</f>
        <v>0</v>
      </c>
      <c r="D306" s="61" t="s">
        <v>1961</v>
      </c>
      <c r="L306" s="805"/>
      <c r="AA306" s="2038"/>
      <c r="AB306" s="2038"/>
      <c r="AC306" s="2038"/>
      <c r="AD306" s="2038"/>
      <c r="AE306" s="2038"/>
      <c r="AF306" s="2038"/>
      <c r="AG306" s="2038"/>
      <c r="AH306" s="2038"/>
      <c r="AI306" s="2038"/>
      <c r="AJ306" s="2038"/>
      <c r="AK306" s="2038"/>
      <c r="AL306" s="2038"/>
      <c r="AN306" s="2062" t="e">
        <f>IF(EICNumQualChild&gt;2,AV306,IF(EICNumQualChild=2,AT306,IF(EICNumQualChild=1,AR306,AP306)))</f>
        <v>#N/A</v>
      </c>
      <c r="AO306" s="2063"/>
      <c r="AP306" s="2064" t="e">
        <f>IF(File_Marr_Joint&lt;&gt;"",AP304,AO304)</f>
        <v>#N/A</v>
      </c>
      <c r="AQ306" s="2063"/>
      <c r="AR306" s="2064" t="e">
        <f>IF(File_Marr_Joint&lt;&gt;"",AR304,AQ304)</f>
        <v>#N/A</v>
      </c>
      <c r="AS306" s="2065"/>
      <c r="AT306" s="2064" t="e">
        <f>IF(File_Marr_Joint&lt;&gt;"",AT304,AS304)</f>
        <v>#N/A</v>
      </c>
      <c r="AU306" s="2065"/>
      <c r="AV306" s="2064" t="e">
        <f>IF(File_Marr_Joint&lt;&gt;"",AV304,AU304)</f>
        <v>#N/A</v>
      </c>
    </row>
    <row r="307" spans="1:48">
      <c r="D307" s="61" t="s">
        <v>1962</v>
      </c>
      <c r="N307" s="22"/>
      <c r="AA307" s="2038"/>
      <c r="AB307" s="2038"/>
      <c r="AC307" s="2038"/>
      <c r="AD307" s="2038"/>
      <c r="AE307" s="2038"/>
      <c r="AF307" s="2038"/>
      <c r="AG307" s="2038"/>
      <c r="AH307" s="2038"/>
      <c r="AI307" s="2038"/>
      <c r="AJ307" s="2038"/>
      <c r="AK307" s="2038"/>
      <c r="AL307" s="2038"/>
      <c r="AN307" s="2050"/>
      <c r="AO307" s="2050"/>
      <c r="AP307" s="2038"/>
      <c r="AQ307" s="2038"/>
      <c r="AR307" s="2038"/>
      <c r="AS307" s="2038"/>
      <c r="AT307" s="2038"/>
      <c r="AU307" s="2038"/>
      <c r="AV307" s="2038"/>
    </row>
    <row r="308" spans="1:48">
      <c r="AA308" s="2038"/>
      <c r="AB308" s="2038"/>
      <c r="AC308" s="2038"/>
      <c r="AD308" s="2038"/>
      <c r="AE308" s="2038"/>
      <c r="AF308" s="2038"/>
      <c r="AG308" s="2038"/>
      <c r="AH308" s="2038"/>
      <c r="AI308" s="2038"/>
      <c r="AJ308" s="2038"/>
      <c r="AK308" s="2038"/>
      <c r="AL308" s="2038"/>
      <c r="AN308" s="2050"/>
      <c r="AO308" s="2050"/>
      <c r="AP308" s="2038"/>
      <c r="AQ308" s="2038"/>
      <c r="AR308" s="2038"/>
      <c r="AS308" s="2038"/>
      <c r="AT308" s="2038"/>
      <c r="AU308" s="2038"/>
      <c r="AV308" s="2038"/>
    </row>
    <row r="309" spans="1:48">
      <c r="C309" s="1290" t="s">
        <v>177</v>
      </c>
      <c r="D309" s="61" t="s">
        <v>1963</v>
      </c>
      <c r="J309" s="1299" t="s">
        <v>177</v>
      </c>
      <c r="K309" s="1568" t="str">
        <f>IF(AND(A296,NOT(A306)),Adj_Gross_Inc,"")</f>
        <v/>
      </c>
      <c r="AA309" s="2038"/>
      <c r="AB309" s="2038"/>
      <c r="AC309" s="2038"/>
      <c r="AD309" s="2038"/>
      <c r="AE309" s="2038"/>
      <c r="AF309" s="2038"/>
      <c r="AG309" s="2038"/>
      <c r="AH309" s="2038"/>
      <c r="AI309" s="2038"/>
      <c r="AJ309" s="2038"/>
      <c r="AK309" s="2038"/>
      <c r="AL309" s="2038"/>
      <c r="AN309" s="2050"/>
      <c r="AO309" s="2050"/>
      <c r="AP309" s="2038"/>
      <c r="AQ309" s="2038"/>
      <c r="AR309" s="2038"/>
      <c r="AS309" s="2038"/>
      <c r="AT309" s="2038"/>
      <c r="AU309" s="2038"/>
      <c r="AV309" s="2038"/>
    </row>
    <row r="310" spans="1:48">
      <c r="AA310" s="2038"/>
      <c r="AB310" s="2038"/>
      <c r="AC310" s="2038"/>
      <c r="AD310" s="2038"/>
      <c r="AE310" s="2038"/>
      <c r="AF310" s="2038"/>
      <c r="AG310" s="2038"/>
      <c r="AH310" s="2038"/>
      <c r="AI310" s="2038"/>
      <c r="AJ310" s="2038"/>
      <c r="AK310" s="2038"/>
      <c r="AL310" s="2038"/>
      <c r="AN310" s="2050"/>
      <c r="AO310" s="2050"/>
      <c r="AP310" s="2038"/>
      <c r="AQ310" s="2038"/>
      <c r="AR310" s="2038"/>
      <c r="AS310" s="2038"/>
      <c r="AT310" s="2038"/>
      <c r="AU310" s="2038"/>
      <c r="AV310" s="2038"/>
    </row>
    <row r="311" spans="1:48">
      <c r="C311" s="1290" t="s">
        <v>182</v>
      </c>
      <c r="D311" s="22" t="s">
        <v>1964</v>
      </c>
      <c r="AA311" s="2038"/>
      <c r="AB311" s="2038"/>
      <c r="AC311" s="2038"/>
      <c r="AD311" s="2038"/>
      <c r="AE311" s="2038"/>
      <c r="AF311" s="2038"/>
      <c r="AG311" s="2038"/>
      <c r="AH311" s="2038"/>
      <c r="AI311" s="2038"/>
      <c r="AJ311" s="2038"/>
      <c r="AK311" s="2038"/>
      <c r="AL311" s="2038"/>
      <c r="AN311" s="2050"/>
      <c r="AO311" s="2050"/>
      <c r="AP311" s="2038"/>
      <c r="AQ311" s="2038"/>
      <c r="AR311" s="2038"/>
      <c r="AS311" s="2038"/>
      <c r="AT311" s="2038"/>
      <c r="AU311" s="2038"/>
      <c r="AV311" s="2038"/>
    </row>
    <row r="312" spans="1:48">
      <c r="AA312" s="2038"/>
      <c r="AB312" s="2038"/>
      <c r="AC312" s="2038"/>
      <c r="AD312" s="2038"/>
      <c r="AE312" s="2038"/>
      <c r="AF312" s="2038"/>
      <c r="AG312" s="2038"/>
      <c r="AH312" s="2038"/>
      <c r="AI312" s="2038"/>
      <c r="AJ312" s="2038"/>
      <c r="AK312" s="2038"/>
      <c r="AL312" s="2038"/>
      <c r="AN312" s="2050"/>
      <c r="AO312" s="2050"/>
      <c r="AP312" s="2038"/>
      <c r="AQ312" s="2038"/>
      <c r="AR312" s="2038"/>
      <c r="AS312" s="2038"/>
      <c r="AT312" s="2038"/>
      <c r="AU312" s="2038"/>
      <c r="AV312" s="2038"/>
    </row>
    <row r="313" spans="1:48">
      <c r="A313" s="805" t="b">
        <f>AND(A296,NOT(A306),K309=K300)</f>
        <v>0</v>
      </c>
      <c r="B313" s="1575" t="str">
        <f>IF(A313,"X","")</f>
        <v/>
      </c>
      <c r="D313" s="23" t="s">
        <v>1965</v>
      </c>
      <c r="AA313" s="2038"/>
      <c r="AB313" s="2038"/>
      <c r="AC313" s="2038"/>
      <c r="AD313" s="2038"/>
      <c r="AE313" s="2038"/>
      <c r="AF313" s="2038"/>
      <c r="AG313" s="2038"/>
      <c r="AH313" s="2038"/>
      <c r="AI313" s="2038"/>
      <c r="AJ313" s="2038"/>
      <c r="AK313" s="2038"/>
      <c r="AL313" s="2038"/>
      <c r="AN313" s="2050"/>
      <c r="AO313" s="2050"/>
      <c r="AP313" s="2038"/>
      <c r="AQ313" s="2038"/>
      <c r="AR313" s="2038"/>
      <c r="AS313" s="2038"/>
      <c r="AT313" s="2038"/>
      <c r="AU313" s="2038"/>
      <c r="AV313" s="2038"/>
    </row>
    <row r="314" spans="1:48">
      <c r="AA314" s="2038"/>
      <c r="AB314" s="2038"/>
      <c r="AC314" s="2038"/>
      <c r="AD314" s="2038"/>
      <c r="AE314" s="2038"/>
      <c r="AF314" s="2038"/>
      <c r="AG314" s="2038"/>
      <c r="AH314" s="2038"/>
      <c r="AI314" s="2038"/>
      <c r="AJ314" s="2038"/>
      <c r="AK314" s="2038"/>
      <c r="AL314" s="2038"/>
      <c r="AN314" s="2050"/>
      <c r="AO314" s="2050"/>
      <c r="AP314" s="2038"/>
      <c r="AQ314" s="2038"/>
      <c r="AR314" s="2038"/>
      <c r="AS314" s="2038"/>
      <c r="AT314" s="2038"/>
      <c r="AU314" s="2038"/>
      <c r="AV314" s="2038"/>
    </row>
    <row r="315" spans="1:48">
      <c r="A315" s="805" t="b">
        <f>AND(A296,NOT(A306),K309&lt;&gt;K300)</f>
        <v>0</v>
      </c>
      <c r="B315" s="1575" t="str">
        <f>IF(OR(L302=0,$B$296=""),"",IF(K309=K300,"","X"))</f>
        <v/>
      </c>
      <c r="D315" s="23" t="s">
        <v>1966</v>
      </c>
      <c r="AA315" s="2038"/>
      <c r="AB315" s="2038"/>
      <c r="AC315" s="2038"/>
      <c r="AD315" s="2038"/>
      <c r="AE315" s="2038"/>
      <c r="AF315" s="2038"/>
      <c r="AG315" s="2038"/>
      <c r="AH315" s="2038"/>
      <c r="AI315" s="2038"/>
      <c r="AJ315" s="2038"/>
      <c r="AK315" s="2038"/>
      <c r="AL315" s="2038"/>
      <c r="AN315" s="2050"/>
      <c r="AO315" s="2050"/>
      <c r="AP315" s="2038"/>
      <c r="AQ315" s="2038"/>
      <c r="AR315" s="2038"/>
      <c r="AS315" s="2038"/>
      <c r="AT315" s="2038"/>
      <c r="AU315" s="2038"/>
      <c r="AV315" s="2038"/>
    </row>
    <row r="316" spans="1:48" ht="7.5" customHeight="1">
      <c r="AA316" s="2038"/>
      <c r="AB316" s="2038"/>
      <c r="AC316" s="2038"/>
      <c r="AD316" s="2038"/>
      <c r="AE316" s="2038"/>
      <c r="AF316" s="2038"/>
      <c r="AG316" s="2038"/>
      <c r="AH316" s="2038"/>
      <c r="AI316" s="2038"/>
      <c r="AJ316" s="2038"/>
      <c r="AK316" s="2038"/>
      <c r="AL316" s="2038"/>
      <c r="AN316" s="2050"/>
      <c r="AO316" s="2050"/>
      <c r="AP316" s="2038"/>
      <c r="AQ316" s="2038"/>
      <c r="AR316" s="2038"/>
      <c r="AS316" s="2038"/>
      <c r="AT316" s="2038"/>
      <c r="AU316" s="2038"/>
      <c r="AV316" s="2038"/>
    </row>
    <row r="317" spans="1:48" s="1293" customFormat="1" ht="7.5" customHeight="1">
      <c r="B317" s="1292"/>
      <c r="N317" s="1294"/>
      <c r="AA317" s="2051"/>
      <c r="AB317" s="2051"/>
      <c r="AC317" s="2051"/>
      <c r="AD317" s="2051"/>
      <c r="AE317" s="2051"/>
      <c r="AF317" s="2051"/>
      <c r="AG317" s="2051"/>
      <c r="AH317" s="2051"/>
      <c r="AI317" s="2051"/>
      <c r="AJ317" s="2051"/>
      <c r="AK317" s="2051"/>
      <c r="AL317" s="2051"/>
      <c r="AN317" s="2052"/>
      <c r="AO317" s="2052"/>
      <c r="AP317" s="2051"/>
      <c r="AQ317" s="2051"/>
      <c r="AR317" s="2051"/>
      <c r="AS317" s="2051"/>
      <c r="AT317" s="2051"/>
      <c r="AU317" s="2051"/>
      <c r="AV317" s="2051"/>
    </row>
    <row r="318" spans="1:48" s="109" customFormat="1" ht="16.5" customHeight="1">
      <c r="A318" s="1308" t="s">
        <v>1967</v>
      </c>
      <c r="B318" s="1323" t="s">
        <v>1968</v>
      </c>
      <c r="C318" s="1286"/>
      <c r="N318" s="1287"/>
      <c r="AA318" s="2048"/>
      <c r="AB318" s="2048"/>
      <c r="AC318" s="2048"/>
      <c r="AD318" s="2048"/>
      <c r="AE318" s="2048"/>
      <c r="AF318" s="2048"/>
      <c r="AG318" s="2048"/>
      <c r="AH318" s="2048"/>
      <c r="AI318" s="2048"/>
      <c r="AJ318" s="2048"/>
      <c r="AK318" s="2048"/>
      <c r="AL318" s="2048"/>
      <c r="AN318" s="2049"/>
      <c r="AO318" s="2049"/>
      <c r="AP318" s="2048"/>
      <c r="AQ318" s="2048"/>
      <c r="AR318" s="2048"/>
      <c r="AS318" s="2048"/>
      <c r="AT318" s="2048"/>
      <c r="AU318" s="2048"/>
      <c r="AV318" s="2048"/>
    </row>
    <row r="319" spans="1:48">
      <c r="AA319" s="2038"/>
      <c r="AB319" s="2038"/>
      <c r="AC319" s="2038"/>
      <c r="AD319" s="2038"/>
      <c r="AE319" s="2038"/>
      <c r="AF319" s="2038"/>
      <c r="AG319" s="2038"/>
      <c r="AH319" s="2038"/>
      <c r="AI319" s="2038"/>
      <c r="AJ319" s="2038"/>
      <c r="AK319" s="2038"/>
      <c r="AL319" s="2038"/>
      <c r="AN319" s="2050"/>
      <c r="AO319" s="2050"/>
      <c r="AP319" s="2038"/>
      <c r="AQ319" s="2038"/>
      <c r="AR319" s="2038"/>
      <c r="AS319" s="2038"/>
      <c r="AT319" s="2038"/>
      <c r="AU319" s="2038"/>
      <c r="AV319" s="2038"/>
    </row>
    <row r="320" spans="1:48">
      <c r="C320" s="1290" t="s">
        <v>198</v>
      </c>
      <c r="D320" s="22" t="s">
        <v>1931</v>
      </c>
      <c r="AA320" s="2038"/>
      <c r="AB320" s="2038"/>
      <c r="AC320" s="2038"/>
      <c r="AD320" s="2038"/>
      <c r="AE320" s="2038"/>
      <c r="AF320" s="2038"/>
      <c r="AG320" s="2038"/>
      <c r="AH320" s="2038"/>
      <c r="AI320" s="2038"/>
      <c r="AJ320" s="2038"/>
      <c r="AK320" s="2038"/>
      <c r="AL320" s="2038"/>
      <c r="AN320" s="2050"/>
      <c r="AO320" s="2050"/>
      <c r="AP320" s="2038"/>
      <c r="AQ320" s="2038"/>
      <c r="AR320" s="2038"/>
      <c r="AS320" s="2038"/>
      <c r="AT320" s="2038"/>
      <c r="AU320" s="2038"/>
      <c r="AV320" s="2038"/>
    </row>
    <row r="321" spans="1:48">
      <c r="B321" s="1398" t="str">
        <f>IF(OR($H$280="X",$B$296="",$B$315=""),"",IF(EICNumQualChild=0,"®",""))</f>
        <v/>
      </c>
      <c r="C321" s="110" t="s">
        <v>1806</v>
      </c>
      <c r="D321" s="61" t="s">
        <v>1969</v>
      </c>
      <c r="L321" s="296"/>
      <c r="M321" s="805"/>
      <c r="N321" s="943">
        <v>9800</v>
      </c>
      <c r="AA321" s="2038"/>
      <c r="AB321" s="2038"/>
      <c r="AC321" s="2038"/>
      <c r="AD321" s="2038"/>
      <c r="AE321" s="2038"/>
      <c r="AF321" s="2038"/>
      <c r="AG321" s="2038"/>
      <c r="AH321" s="2038"/>
      <c r="AI321" s="2038"/>
      <c r="AJ321" s="2038"/>
      <c r="AK321" s="2038"/>
      <c r="AL321" s="2038"/>
      <c r="AN321" s="2050"/>
      <c r="AO321" s="2050"/>
      <c r="AP321" s="2038"/>
      <c r="AQ321" s="2038"/>
      <c r="AR321" s="2038"/>
      <c r="AS321" s="2038"/>
      <c r="AT321" s="2038"/>
      <c r="AU321" s="2038"/>
      <c r="AV321" s="2038"/>
    </row>
    <row r="322" spans="1:48">
      <c r="D322" s="22" t="str">
        <f>"line 3 less than "&amp;TEXT(N321,"$0,000")&amp;" ("&amp;TEXT(N322,"$0,000")&amp;" if married filing jointly)? "</f>
        <v xml:space="preserve">line 3 less than $9,800 ($16,370 if married filing jointly)? </v>
      </c>
      <c r="L322" s="37" t="str">
        <f>IF(B321&lt;&gt;"®","",IF(M322,"Yes","No"))</f>
        <v/>
      </c>
      <c r="M322" s="805" t="b">
        <f>AND(EICNumQualChild=0,A315,OR(AND(File_Marr_Joint="",$K$309&lt;N321),AND(File_Marr_Joint&lt;&gt;"",$K$309&lt;N322)))</f>
        <v>0</v>
      </c>
      <c r="N322" s="943">
        <v>16370</v>
      </c>
      <c r="AA322" s="2038"/>
      <c r="AB322" s="2038"/>
      <c r="AC322" s="2038"/>
      <c r="AD322" s="2038"/>
      <c r="AE322" s="2038"/>
      <c r="AF322" s="2038"/>
      <c r="AG322" s="2038"/>
      <c r="AH322" s="2038"/>
      <c r="AI322" s="2038"/>
      <c r="AJ322" s="2038"/>
      <c r="AK322" s="2038"/>
      <c r="AL322" s="2038"/>
      <c r="AN322" s="2050"/>
      <c r="AO322" s="2050"/>
      <c r="AP322" s="2038"/>
      <c r="AQ322" s="2038"/>
      <c r="AR322" s="2038"/>
      <c r="AS322" s="2038"/>
      <c r="AT322" s="2038"/>
      <c r="AU322" s="2038"/>
      <c r="AV322" s="2038"/>
    </row>
    <row r="323" spans="1:48">
      <c r="C323" s="37" t="s">
        <v>1445</v>
      </c>
      <c r="M323" s="805"/>
      <c r="N323" s="943"/>
      <c r="AA323" s="2038"/>
      <c r="AB323" s="2038"/>
      <c r="AC323" s="2038"/>
      <c r="AD323" s="2038"/>
      <c r="AE323" s="2038"/>
      <c r="AF323" s="2038"/>
      <c r="AG323" s="2038"/>
      <c r="AH323" s="2038"/>
      <c r="AI323" s="2038"/>
      <c r="AJ323" s="2038"/>
      <c r="AK323" s="2038"/>
      <c r="AL323" s="2038"/>
      <c r="AN323" s="2050"/>
      <c r="AO323" s="2050"/>
      <c r="AP323" s="2038"/>
      <c r="AQ323" s="2038"/>
      <c r="AR323" s="2038"/>
      <c r="AS323" s="2038"/>
      <c r="AT323" s="2038"/>
      <c r="AU323" s="2038"/>
      <c r="AV323" s="2038"/>
    </row>
    <row r="324" spans="1:48" ht="14.25" customHeight="1">
      <c r="B324" s="1398" t="str">
        <f>IF(OR($H$280="X",$B$296="",$B$315=""),"",IF(EICNumQualChild&gt;0,"®",""))</f>
        <v/>
      </c>
      <c r="C324" s="110" t="s">
        <v>1806</v>
      </c>
      <c r="D324" s="61" t="s">
        <v>1970</v>
      </c>
      <c r="L324" s="296"/>
      <c r="M324" s="805"/>
      <c r="N324" s="943">
        <v>21560</v>
      </c>
      <c r="AA324" s="2038"/>
      <c r="AB324" s="2038"/>
      <c r="AC324" s="2038"/>
      <c r="AD324" s="2038"/>
      <c r="AE324" s="2038"/>
      <c r="AF324" s="2038"/>
      <c r="AG324" s="2038"/>
      <c r="AH324" s="2038"/>
      <c r="AI324" s="2038"/>
      <c r="AJ324" s="2038"/>
      <c r="AK324" s="2038"/>
      <c r="AL324" s="2038"/>
      <c r="AN324" s="2050"/>
      <c r="AO324" s="2050"/>
      <c r="AP324" s="2038"/>
      <c r="AQ324" s="2038"/>
      <c r="AR324" s="2038"/>
      <c r="AS324" s="2038"/>
      <c r="AT324" s="2038"/>
      <c r="AU324" s="2038"/>
      <c r="AV324" s="2038"/>
    </row>
    <row r="325" spans="1:48">
      <c r="D325" s="22" t="str">
        <f>"on line 3 less than "&amp;TEXT(N324,"$0,000")&amp;" ("&amp;TEXT(N325,"$0,000")&amp;" if married filing jointly)?"</f>
        <v>on line 3 less than $21,560 ($28,120 if married filing jointly)?</v>
      </c>
      <c r="L325" s="37" t="str">
        <f>IF(B324&lt;&gt;"®","",IF(M325,"Yes","No"))</f>
        <v/>
      </c>
      <c r="M325" s="805" t="b">
        <f>AND(EICNumQualChild&gt;=1,A315,OR(AND(File_Marr_Joint="",$K$309&lt;N324),AND(File_Marr_Joint&lt;&gt;"",$K$309&lt;N325)))</f>
        <v>0</v>
      </c>
      <c r="N325" s="943">
        <v>28120</v>
      </c>
      <c r="AA325" s="2038"/>
      <c r="AB325" s="2038"/>
      <c r="AC325" s="2038"/>
      <c r="AD325" s="2038"/>
      <c r="AE325" s="2038"/>
      <c r="AF325" s="2038"/>
      <c r="AG325" s="2038"/>
      <c r="AH325" s="2038"/>
      <c r="AI325" s="2038"/>
      <c r="AJ325" s="2038"/>
      <c r="AK325" s="2038"/>
      <c r="AL325" s="2038"/>
      <c r="AN325" s="2050"/>
      <c r="AO325" s="2050"/>
      <c r="AP325" s="2038"/>
      <c r="AQ325" s="2038"/>
      <c r="AR325" s="2038"/>
      <c r="AS325" s="2038"/>
      <c r="AT325" s="2038"/>
      <c r="AU325" s="2038"/>
      <c r="AV325" s="2038"/>
    </row>
    <row r="326" spans="1:48">
      <c r="N326" s="61"/>
      <c r="AA326" s="2038"/>
      <c r="AB326" s="2038"/>
      <c r="AC326" s="2038"/>
      <c r="AD326" s="2038"/>
      <c r="AE326" s="2038"/>
      <c r="AF326" s="2038"/>
      <c r="AG326" s="2038"/>
      <c r="AH326" s="2038"/>
      <c r="AI326" s="2038"/>
      <c r="AJ326" s="2038"/>
      <c r="AK326" s="2038"/>
      <c r="AL326" s="2038"/>
      <c r="AN326" s="2050"/>
      <c r="AO326" s="2050"/>
      <c r="AP326" s="2038"/>
      <c r="AQ326" s="2038"/>
      <c r="AR326" s="2038"/>
      <c r="AS326" s="2038"/>
      <c r="AT326" s="2038"/>
      <c r="AU326" s="2038"/>
      <c r="AV326" s="2038"/>
    </row>
    <row r="327" spans="1:48">
      <c r="A327" s="805" t="b">
        <f>AND(NOT(A306),A315,OR(M322,M325))</f>
        <v>0</v>
      </c>
      <c r="B327" s="1575" t="str">
        <f>IF(A327,"X","")</f>
        <v/>
      </c>
      <c r="D327" s="23" t="s">
        <v>1971</v>
      </c>
      <c r="AA327" s="2038"/>
      <c r="AB327" s="2038"/>
      <c r="AC327" s="2038"/>
      <c r="AD327" s="2038"/>
      <c r="AE327" s="2038"/>
      <c r="AF327" s="2038"/>
      <c r="AG327" s="2038"/>
      <c r="AH327" s="2038"/>
      <c r="AI327" s="2038"/>
      <c r="AJ327" s="2038"/>
      <c r="AK327" s="2038"/>
      <c r="AL327" s="2038"/>
      <c r="AN327" s="2050"/>
      <c r="AO327" s="2050"/>
      <c r="AP327" s="2038"/>
      <c r="AQ327" s="2038"/>
      <c r="AR327" s="2038"/>
      <c r="AS327" s="2038"/>
      <c r="AT327" s="2038"/>
      <c r="AU327" s="2038"/>
      <c r="AV327" s="2038"/>
    </row>
    <row r="328" spans="1:48" ht="13.5" thickBot="1">
      <c r="AA328" s="2038"/>
      <c r="AB328" s="2038"/>
      <c r="AC328" s="2038"/>
      <c r="AD328" s="2038"/>
      <c r="AE328" s="2038"/>
      <c r="AF328" s="2038"/>
      <c r="AG328" s="2038"/>
      <c r="AH328" s="2038"/>
      <c r="AI328" s="2038"/>
      <c r="AJ328" s="2038"/>
      <c r="AK328" s="2038"/>
      <c r="AL328" s="2038"/>
      <c r="AN328" s="2044" t="s">
        <v>1972</v>
      </c>
      <c r="AO328" s="2050"/>
      <c r="AP328" s="2038"/>
      <c r="AQ328" s="2038"/>
      <c r="AR328" s="2038"/>
      <c r="AS328" s="2038"/>
      <c r="AT328" s="2038"/>
      <c r="AU328" s="2038"/>
      <c r="AV328" s="2038"/>
    </row>
    <row r="329" spans="1:48">
      <c r="A329" s="805" t="b">
        <f>AND(A315,NOT(M322),NOT(M325))</f>
        <v>0</v>
      </c>
      <c r="B329" s="1575" t="str">
        <f>IF(A329,"X","")</f>
        <v/>
      </c>
      <c r="D329" s="872" t="s">
        <v>1973</v>
      </c>
      <c r="K329" s="1299"/>
      <c r="AA329" s="2038"/>
      <c r="AB329" s="2038"/>
      <c r="AC329" s="2038"/>
      <c r="AD329" s="2038"/>
      <c r="AE329" s="2038"/>
      <c r="AF329" s="2038"/>
      <c r="AG329" s="2038"/>
      <c r="AH329" s="2038"/>
      <c r="AI329" s="2038"/>
      <c r="AJ329" s="2038"/>
      <c r="AK329" s="2038"/>
      <c r="AL329" s="2038"/>
      <c r="AN329" s="2054">
        <f>Adj_Gross_Inc</f>
        <v>0</v>
      </c>
      <c r="AO329" s="7007" t="s">
        <v>1953</v>
      </c>
      <c r="AP329" s="7008"/>
      <c r="AQ329" s="7007" t="s">
        <v>1954</v>
      </c>
      <c r="AR329" s="7008"/>
      <c r="AS329" s="7007" t="s">
        <v>1955</v>
      </c>
      <c r="AT329" s="7008"/>
      <c r="AU329" s="7007" t="s">
        <v>1956</v>
      </c>
      <c r="AV329" s="7008"/>
    </row>
    <row r="330" spans="1:48">
      <c r="D330" s="61" t="s">
        <v>1974</v>
      </c>
      <c r="AA330" s="2038"/>
      <c r="AB330" s="2038"/>
      <c r="AC330" s="2038"/>
      <c r="AD330" s="2038"/>
      <c r="AE330" s="2038"/>
      <c r="AF330" s="2038"/>
      <c r="AG330" s="2038"/>
      <c r="AH330" s="2038"/>
      <c r="AI330" s="2038"/>
      <c r="AJ330" s="2038"/>
      <c r="AK330" s="2038"/>
      <c r="AL330" s="2038"/>
      <c r="AN330" s="2055">
        <f>IF(AN329&lt;&gt;"",ROUND(AN329,0),"")</f>
        <v>0</v>
      </c>
      <c r="AO330" s="2056" t="s">
        <v>1958</v>
      </c>
      <c r="AP330" s="2057" t="s">
        <v>1808</v>
      </c>
      <c r="AQ330" s="2056" t="s">
        <v>1958</v>
      </c>
      <c r="AR330" s="2057" t="s">
        <v>1808</v>
      </c>
      <c r="AS330" s="2056" t="s">
        <v>1958</v>
      </c>
      <c r="AT330" s="2058" t="s">
        <v>1808</v>
      </c>
      <c r="AU330" s="2056" t="s">
        <v>1958</v>
      </c>
      <c r="AV330" s="2058" t="s">
        <v>1808</v>
      </c>
    </row>
    <row r="331" spans="1:48">
      <c r="D331" s="61" t="s">
        <v>1975</v>
      </c>
      <c r="K331" s="1299"/>
      <c r="AA331" s="2038"/>
      <c r="AB331" s="2038"/>
      <c r="AC331" s="2038"/>
      <c r="AD331" s="2038"/>
      <c r="AE331" s="2038"/>
      <c r="AF331" s="2038"/>
      <c r="AG331" s="2038"/>
      <c r="AH331" s="2038"/>
      <c r="AI331" s="2038"/>
      <c r="AJ331" s="2038"/>
      <c r="AK331" s="2038"/>
      <c r="AL331" s="2038"/>
      <c r="AN331" s="2055"/>
      <c r="AO331" s="1316" t="e">
        <f>LOOKUP(AN332,'EIC Table'!$A$3:$A$1277,'EIC Table'!$C$3:$C$1277)</f>
        <v>#N/A</v>
      </c>
      <c r="AP331" s="1317" t="e">
        <f>LOOKUP(AN332,'EIC Table'!$A$3:$A$1277,'EIC Table'!$G$3:$G$1277)</f>
        <v>#N/A</v>
      </c>
      <c r="AQ331" s="1316" t="e">
        <f>LOOKUP(AN332,'EIC Table'!$A$3:$A$1277,'EIC Table'!$D$3:$D$1277)</f>
        <v>#N/A</v>
      </c>
      <c r="AR331" s="1317" t="e">
        <f>LOOKUP(AN332,'EIC Table'!$A$3:$A$1277,'EIC Table'!$H$3:$H$1277)</f>
        <v>#N/A</v>
      </c>
      <c r="AS331" s="1318" t="e">
        <f>LOOKUP(AN332,'EIC Table'!$A$3:$A$1277,'EIC Table'!$E$3:$E$1277)</f>
        <v>#N/A</v>
      </c>
      <c r="AT331" s="1317" t="e">
        <f>LOOKUP(AN332,'EIC Table'!$A$3:$A$1277,'EIC Table'!$I$3:$I$1277)</f>
        <v>#N/A</v>
      </c>
      <c r="AU331" s="1318" t="e">
        <f>LOOKUP(AN332,'EIC Table'!$A$3:$A$1277,'EIC Table'!$F$3:$F$1277)</f>
        <v>#N/A</v>
      </c>
      <c r="AV331" s="1317" t="e">
        <f>LOOKUP(AN332,'EIC Table'!$A$3:$A$1277,'EIC Table'!$J$3:$J$1277)</f>
        <v>#N/A</v>
      </c>
    </row>
    <row r="332" spans="1:48" ht="13.5" thickBot="1">
      <c r="D332" s="61" t="s">
        <v>1976</v>
      </c>
      <c r="K332" s="1299" t="s">
        <v>198</v>
      </c>
      <c r="L332" s="1568" t="str">
        <f>IF(B315="","",IF(B327&lt;&gt;"","",AN333))</f>
        <v/>
      </c>
      <c r="AA332" s="2038"/>
      <c r="AB332" s="2038"/>
      <c r="AC332" s="2038"/>
      <c r="AD332" s="2038"/>
      <c r="AE332" s="2038"/>
      <c r="AF332" s="2038"/>
      <c r="AG332" s="2038"/>
      <c r="AH332" s="2038"/>
      <c r="AI332" s="2038"/>
      <c r="AJ332" s="2038"/>
      <c r="AK332" s="2038"/>
      <c r="AL332" s="2038"/>
      <c r="AN332" s="2055">
        <f>IF(AN330="","",AN330)</f>
        <v>0</v>
      </c>
      <c r="AO332" s="1316"/>
      <c r="AP332" s="1317"/>
      <c r="AQ332" s="1316"/>
      <c r="AR332" s="1317"/>
      <c r="AS332" s="1318"/>
      <c r="AT332" s="1317"/>
      <c r="AU332" s="1318"/>
      <c r="AV332" s="1317"/>
    </row>
    <row r="333" spans="1:48" ht="13.5" thickBot="1">
      <c r="D333" s="22" t="s">
        <v>1977</v>
      </c>
      <c r="AA333" s="2038"/>
      <c r="AB333" s="2038"/>
      <c r="AC333" s="2038"/>
      <c r="AD333" s="2038"/>
      <c r="AE333" s="2038"/>
      <c r="AF333" s="2038"/>
      <c r="AG333" s="2038"/>
      <c r="AH333" s="2038"/>
      <c r="AI333" s="2038"/>
      <c r="AJ333" s="2038"/>
      <c r="AK333" s="2038"/>
      <c r="AL333" s="2038"/>
      <c r="AN333" s="2062" t="e">
        <f>IF(EICNumQualChild&gt;2,AV333,IF(EICNumQualChild=2,AT333,IF(EICNumQualChild=1,AR333,AP333)))</f>
        <v>#N/A</v>
      </c>
      <c r="AO333" s="2063"/>
      <c r="AP333" s="2064" t="e">
        <f>IF(File_Marr_Joint&lt;&gt;"",AP331,AO331)</f>
        <v>#N/A</v>
      </c>
      <c r="AQ333" s="2063"/>
      <c r="AR333" s="2064" t="e">
        <f>IF(File_Marr_Joint&lt;&gt;"",AR331,AQ331)</f>
        <v>#N/A</v>
      </c>
      <c r="AS333" s="2065"/>
      <c r="AT333" s="2064" t="e">
        <f>IF(File_Marr_Joint&lt;&gt;"",AT331,AS331)</f>
        <v>#N/A</v>
      </c>
      <c r="AU333" s="2065"/>
      <c r="AV333" s="2064" t="e">
        <f>IF(File_Marr_Joint&lt;&gt;"",AV331,AU331)</f>
        <v>#N/A</v>
      </c>
    </row>
    <row r="334" spans="1:48">
      <c r="D334" s="61" t="s">
        <v>1978</v>
      </c>
      <c r="AA334" s="2038"/>
      <c r="AB334" s="2038"/>
      <c r="AC334" s="2038"/>
      <c r="AD334" s="2038"/>
      <c r="AE334" s="2038"/>
      <c r="AF334" s="2038"/>
      <c r="AG334" s="2038"/>
      <c r="AH334" s="2038"/>
      <c r="AI334" s="2038"/>
      <c r="AJ334" s="2038"/>
      <c r="AK334" s="2038"/>
      <c r="AL334" s="2038"/>
      <c r="AN334" s="2038"/>
      <c r="AO334" s="2038"/>
      <c r="AP334" s="2038"/>
      <c r="AQ334" s="2038"/>
      <c r="AR334" s="2038"/>
      <c r="AS334" s="2038"/>
      <c r="AT334" s="2038"/>
      <c r="AU334" s="2038"/>
      <c r="AV334" s="2038"/>
    </row>
    <row r="335" spans="1:48" ht="7.5" customHeight="1">
      <c r="AA335" s="2038"/>
      <c r="AB335" s="2038"/>
      <c r="AC335" s="2038"/>
      <c r="AD335" s="2038"/>
      <c r="AE335" s="2038"/>
      <c r="AF335" s="2038"/>
      <c r="AG335" s="2038"/>
      <c r="AH335" s="2038"/>
      <c r="AI335" s="2038"/>
      <c r="AJ335" s="2038"/>
      <c r="AK335" s="2038"/>
      <c r="AL335" s="2038"/>
      <c r="AN335" s="2050"/>
      <c r="AO335" s="2050"/>
      <c r="AP335" s="2038"/>
      <c r="AQ335" s="2038"/>
      <c r="AR335" s="2038"/>
      <c r="AS335" s="2038"/>
      <c r="AT335" s="2038"/>
      <c r="AU335" s="2038"/>
      <c r="AV335" s="2038"/>
    </row>
    <row r="336" spans="1:48" s="1293" customFormat="1" ht="7.5" customHeight="1">
      <c r="B336" s="1292"/>
      <c r="N336" s="1294"/>
      <c r="AA336" s="2051"/>
      <c r="AB336" s="2051"/>
      <c r="AC336" s="2051"/>
      <c r="AD336" s="2051"/>
      <c r="AE336" s="2051"/>
      <c r="AF336" s="2051"/>
      <c r="AG336" s="2051"/>
      <c r="AH336" s="2051"/>
      <c r="AI336" s="2051"/>
      <c r="AJ336" s="2051"/>
      <c r="AK336" s="2051"/>
      <c r="AL336" s="2051"/>
      <c r="AN336" s="2052"/>
      <c r="AO336" s="2052"/>
      <c r="AP336" s="2051"/>
      <c r="AQ336" s="2051"/>
      <c r="AR336" s="2051"/>
      <c r="AS336" s="2051"/>
      <c r="AT336" s="2051"/>
      <c r="AU336" s="2051"/>
      <c r="AV336" s="2051"/>
    </row>
    <row r="337" spans="1:48" s="109" customFormat="1" ht="15.75">
      <c r="A337" s="1308" t="s">
        <v>1979</v>
      </c>
      <c r="B337" s="1323" t="s">
        <v>1980</v>
      </c>
      <c r="C337" s="1286"/>
      <c r="N337" s="1287"/>
      <c r="AA337" s="2048"/>
      <c r="AB337" s="2048"/>
      <c r="AC337" s="2048"/>
      <c r="AD337" s="2048"/>
      <c r="AE337" s="2048"/>
      <c r="AF337" s="2048"/>
      <c r="AG337" s="2048"/>
      <c r="AH337" s="2048"/>
      <c r="AI337" s="2048"/>
      <c r="AJ337" s="2048"/>
      <c r="AK337" s="2048"/>
      <c r="AL337" s="2048"/>
      <c r="AN337" s="2049"/>
      <c r="AO337" s="2049"/>
      <c r="AP337" s="2048"/>
      <c r="AQ337" s="2048"/>
      <c r="AR337" s="2048"/>
      <c r="AS337" s="2048"/>
      <c r="AT337" s="2048"/>
      <c r="AU337" s="2048"/>
      <c r="AV337" s="2048"/>
    </row>
    <row r="338" spans="1:48">
      <c r="AA338" s="2038"/>
      <c r="AB338" s="2038"/>
      <c r="AC338" s="2038"/>
      <c r="AD338" s="2038"/>
      <c r="AE338" s="2038"/>
      <c r="AF338" s="2038"/>
      <c r="AG338" s="2038"/>
      <c r="AH338" s="2038"/>
      <c r="AI338" s="2038"/>
      <c r="AJ338" s="2038"/>
      <c r="AK338" s="2038"/>
      <c r="AL338" s="2038"/>
      <c r="AN338" s="2050"/>
      <c r="AO338" s="2050"/>
      <c r="AP338" s="2038"/>
      <c r="AQ338" s="2038"/>
      <c r="AR338" s="2038"/>
      <c r="AS338" s="2038"/>
      <c r="AT338" s="2038"/>
      <c r="AU338" s="2038"/>
      <c r="AV338" s="2038"/>
    </row>
    <row r="339" spans="1:48">
      <c r="C339" s="705" t="s">
        <v>202</v>
      </c>
      <c r="D339" s="23" t="s">
        <v>1981</v>
      </c>
      <c r="L339" s="1299" t="s">
        <v>202</v>
      </c>
      <c r="M339" s="1568" t="str">
        <f>IF(OR(A313,A327),L302,IF(A329,MIN(L302,L332),""))</f>
        <v/>
      </c>
      <c r="N339" s="22"/>
      <c r="O339" s="1631" t="str">
        <f>IF(EIC_WSA_Part3&lt;1000,TEXT(EIC_WSA_Part3,"$0"),TEXT(EIC_WSA_Part3,"$0,000"))</f>
        <v/>
      </c>
      <c r="AA339" s="2038"/>
      <c r="AB339" s="2038"/>
      <c r="AC339" s="2038"/>
      <c r="AD339" s="2038"/>
      <c r="AE339" s="2038"/>
      <c r="AF339" s="2038"/>
      <c r="AG339" s="2038"/>
      <c r="AH339" s="2038"/>
      <c r="AI339" s="2038"/>
      <c r="AJ339" s="2038"/>
      <c r="AK339" s="2038"/>
      <c r="AL339" s="2038"/>
      <c r="AN339" s="2050"/>
      <c r="AO339" s="2050"/>
      <c r="AP339" s="2038"/>
      <c r="AQ339" s="2038"/>
      <c r="AR339" s="2038"/>
      <c r="AS339" s="2038"/>
      <c r="AT339" s="2038"/>
      <c r="AU339" s="2038"/>
      <c r="AV339" s="2038"/>
    </row>
    <row r="340" spans="1:48" ht="21.75" customHeight="1">
      <c r="D340" s="688"/>
      <c r="AA340" s="2038"/>
      <c r="AB340" s="2038"/>
      <c r="AC340" s="2038"/>
      <c r="AD340" s="2038"/>
      <c r="AE340" s="2038"/>
      <c r="AF340" s="2038"/>
      <c r="AG340" s="2038"/>
      <c r="AH340" s="2038"/>
      <c r="AI340" s="2038"/>
      <c r="AJ340" s="2038"/>
      <c r="AK340" s="2038"/>
      <c r="AL340" s="2038"/>
      <c r="AN340" s="2050"/>
      <c r="AO340" s="2050"/>
      <c r="AP340" s="2038"/>
      <c r="AQ340" s="2038"/>
      <c r="AR340" s="2038"/>
      <c r="AS340" s="2038"/>
      <c r="AT340" s="2038"/>
      <c r="AU340" s="2038"/>
      <c r="AV340" s="2038"/>
    </row>
    <row r="341" spans="1:48">
      <c r="B341" s="23" t="s">
        <v>1982</v>
      </c>
      <c r="C341" s="23"/>
      <c r="AA341" s="2038"/>
      <c r="AB341" s="2038"/>
      <c r="AC341" s="2038"/>
      <c r="AD341" s="2038"/>
      <c r="AE341" s="2038"/>
      <c r="AF341" s="2038"/>
      <c r="AG341" s="2038"/>
      <c r="AH341" s="2038"/>
      <c r="AI341" s="2038"/>
      <c r="AJ341" s="2038"/>
      <c r="AK341" s="2038"/>
      <c r="AL341" s="2038"/>
      <c r="AN341" s="2050"/>
      <c r="AO341" s="2050"/>
      <c r="AP341" s="2038"/>
      <c r="AQ341" s="2038"/>
      <c r="AR341" s="2038"/>
      <c r="AS341" s="2038"/>
      <c r="AT341" s="2038"/>
      <c r="AU341" s="2038"/>
      <c r="AV341" s="2038"/>
    </row>
    <row r="342" spans="1:48">
      <c r="B342" s="22" t="s">
        <v>1983</v>
      </c>
      <c r="AA342" s="2038"/>
      <c r="AB342" s="2038"/>
      <c r="AC342" s="2038"/>
      <c r="AD342" s="2038"/>
      <c r="AE342" s="2038"/>
      <c r="AF342" s="2038"/>
      <c r="AG342" s="2038"/>
      <c r="AH342" s="2038"/>
      <c r="AI342" s="2038"/>
      <c r="AJ342" s="2038"/>
      <c r="AK342" s="2038"/>
      <c r="AL342" s="2038"/>
      <c r="AN342" s="2050"/>
      <c r="AO342" s="2050"/>
      <c r="AP342" s="2038"/>
      <c r="AQ342" s="2038"/>
      <c r="AR342" s="2038"/>
      <c r="AS342" s="2038"/>
      <c r="AT342" s="2038"/>
      <c r="AU342" s="2038"/>
      <c r="AV342" s="2038"/>
    </row>
    <row r="343" spans="1:48">
      <c r="B343" s="1419" t="s">
        <v>1984</v>
      </c>
      <c r="C343" s="1419"/>
      <c r="D343" s="1419"/>
      <c r="AA343" s="2038"/>
      <c r="AB343" s="2038"/>
      <c r="AC343" s="2038"/>
      <c r="AD343" s="2038"/>
      <c r="AE343" s="2038"/>
      <c r="AF343" s="2038"/>
      <c r="AG343" s="2038"/>
      <c r="AH343" s="2038"/>
      <c r="AI343" s="2038"/>
      <c r="AJ343" s="2038"/>
      <c r="AK343" s="2038"/>
      <c r="AL343" s="2038"/>
      <c r="AN343" s="2050"/>
      <c r="AO343" s="2050"/>
      <c r="AP343" s="2038"/>
      <c r="AQ343" s="2038"/>
      <c r="AR343" s="2038"/>
      <c r="AS343" s="2038"/>
      <c r="AT343" s="2038"/>
      <c r="AU343" s="2038"/>
      <c r="AV343" s="2038"/>
    </row>
    <row r="344" spans="1:48">
      <c r="D344" s="1419"/>
      <c r="AA344" s="2038"/>
      <c r="AB344" s="2038"/>
      <c r="AC344" s="2038"/>
      <c r="AD344" s="2038"/>
      <c r="AE344" s="2038"/>
      <c r="AF344" s="2038"/>
      <c r="AG344" s="2038"/>
      <c r="AH344" s="2038"/>
      <c r="AI344" s="2038"/>
      <c r="AJ344" s="2038"/>
      <c r="AK344" s="2038"/>
      <c r="AL344" s="2038"/>
      <c r="AN344" s="2050"/>
      <c r="AO344" s="2050"/>
      <c r="AP344" s="2038"/>
      <c r="AQ344" s="2038"/>
      <c r="AR344" s="2038"/>
      <c r="AS344" s="2038"/>
      <c r="AT344" s="2038"/>
      <c r="AU344" s="2038"/>
      <c r="AV344" s="2038"/>
    </row>
    <row r="345" spans="1:48">
      <c r="C345" s="49"/>
      <c r="D345" s="2752"/>
      <c r="E345" s="49"/>
      <c r="F345" s="49"/>
      <c r="G345" s="49"/>
      <c r="H345" s="49"/>
      <c r="I345" s="49"/>
      <c r="J345" s="49"/>
      <c r="AA345" s="2038"/>
      <c r="AB345" s="2038"/>
      <c r="AC345" s="2038"/>
      <c r="AD345" s="2038"/>
      <c r="AE345" s="2038"/>
      <c r="AF345" s="2038"/>
      <c r="AG345" s="2038"/>
      <c r="AH345" s="2038"/>
      <c r="AI345" s="2038"/>
      <c r="AJ345" s="2038"/>
      <c r="AK345" s="2038"/>
      <c r="AL345" s="2038"/>
      <c r="AN345" s="2050"/>
      <c r="AO345" s="2050"/>
      <c r="AP345" s="2038"/>
      <c r="AQ345" s="2038"/>
      <c r="AR345" s="2038"/>
      <c r="AS345" s="2038"/>
      <c r="AT345" s="2038"/>
      <c r="AU345" s="2038"/>
      <c r="AV345" s="2038"/>
    </row>
    <row r="346" spans="1:48">
      <c r="C346" s="2133"/>
      <c r="D346" s="2134" t="s">
        <v>1985</v>
      </c>
      <c r="J346" s="1299"/>
      <c r="M346" s="575"/>
      <c r="N346" s="22"/>
      <c r="O346" s="23"/>
      <c r="Q346" s="23"/>
      <c r="AA346" s="2038"/>
      <c r="AB346" s="2038"/>
      <c r="AC346" s="2038"/>
      <c r="AD346" s="2038"/>
      <c r="AE346" s="2038"/>
      <c r="AF346" s="2038"/>
      <c r="AG346" s="2038"/>
      <c r="AH346" s="2038"/>
      <c r="AI346" s="2038"/>
      <c r="AJ346" s="2038"/>
      <c r="AK346" s="2038"/>
      <c r="AL346" s="2038"/>
      <c r="AN346" s="2050"/>
      <c r="AO346" s="2050"/>
      <c r="AP346" s="2038"/>
      <c r="AQ346" s="2038"/>
      <c r="AR346" s="2038"/>
      <c r="AS346" s="2038"/>
      <c r="AT346" s="2038"/>
      <c r="AU346" s="2038"/>
      <c r="AV346" s="2038"/>
    </row>
    <row r="347" spans="1:48">
      <c r="C347" s="2133"/>
      <c r="D347" s="2134" t="s">
        <v>1986</v>
      </c>
      <c r="J347" s="1299"/>
      <c r="M347" s="575"/>
      <c r="N347" s="22"/>
      <c r="O347" s="23"/>
      <c r="Q347" s="23"/>
      <c r="AA347" s="2038"/>
      <c r="AB347" s="2038"/>
      <c r="AC347" s="2038"/>
      <c r="AD347" s="2038"/>
      <c r="AE347" s="2038"/>
      <c r="AF347" s="2038"/>
      <c r="AG347" s="2038"/>
      <c r="AH347" s="2038"/>
      <c r="AI347" s="2038"/>
      <c r="AJ347" s="2038"/>
      <c r="AK347" s="2038"/>
      <c r="AL347" s="2038"/>
      <c r="AN347" s="2050"/>
      <c r="AO347" s="2050"/>
      <c r="AP347" s="2038"/>
      <c r="AQ347" s="2038"/>
      <c r="AR347" s="2038"/>
      <c r="AS347" s="2038"/>
      <c r="AT347" s="2038"/>
      <c r="AU347" s="2038"/>
      <c r="AV347" s="2038"/>
    </row>
    <row r="348" spans="1:48">
      <c r="C348" s="2133"/>
      <c r="D348" s="2134" t="str">
        <f>"take the credit for "&amp;TaxYear&amp;"."</f>
        <v>take the credit for 2023.</v>
      </c>
      <c r="J348" s="1299"/>
      <c r="M348" s="575"/>
      <c r="N348" s="22"/>
      <c r="O348" s="23"/>
      <c r="Q348" s="23"/>
      <c r="AA348" s="2038"/>
      <c r="AB348" s="2038"/>
      <c r="AC348" s="2038"/>
      <c r="AD348" s="2038"/>
      <c r="AE348" s="2038"/>
      <c r="AF348" s="2038"/>
      <c r="AG348" s="2038"/>
      <c r="AH348" s="2038"/>
      <c r="AI348" s="2038"/>
      <c r="AJ348" s="2038"/>
      <c r="AK348" s="2038"/>
      <c r="AL348" s="2038"/>
      <c r="AN348" s="2050"/>
      <c r="AO348" s="2050"/>
      <c r="AP348" s="2038"/>
      <c r="AQ348" s="2038"/>
      <c r="AR348" s="2038"/>
      <c r="AS348" s="2038"/>
      <c r="AT348" s="2038"/>
      <c r="AU348" s="2038"/>
      <c r="AV348" s="2038"/>
    </row>
    <row r="349" spans="1:48">
      <c r="D349" s="1419"/>
      <c r="AA349" s="2038"/>
      <c r="AB349" s="2038"/>
      <c r="AC349" s="2038"/>
      <c r="AD349" s="2038"/>
      <c r="AE349" s="2038"/>
      <c r="AF349" s="2038"/>
      <c r="AG349" s="2038"/>
      <c r="AH349" s="2038"/>
      <c r="AI349" s="2038"/>
      <c r="AJ349" s="2038"/>
      <c r="AK349" s="2038"/>
      <c r="AL349" s="2038"/>
      <c r="AN349" s="2050"/>
      <c r="AO349" s="2050"/>
      <c r="AP349" s="2038"/>
      <c r="AQ349" s="2038"/>
      <c r="AR349" s="2038"/>
      <c r="AS349" s="2038"/>
      <c r="AT349" s="2038"/>
      <c r="AU349" s="2038"/>
      <c r="AV349" s="2038"/>
    </row>
    <row r="350" spans="1:48">
      <c r="AA350" s="2038"/>
      <c r="AB350" s="2038"/>
      <c r="AC350" s="2038"/>
      <c r="AD350" s="2038"/>
      <c r="AE350" s="2038"/>
      <c r="AF350" s="2038"/>
      <c r="AG350" s="2038"/>
      <c r="AH350" s="2038"/>
      <c r="AI350" s="2038"/>
      <c r="AJ350" s="2038"/>
      <c r="AK350" s="2038"/>
      <c r="AL350" s="2038"/>
      <c r="AN350" s="2050"/>
      <c r="AO350" s="2050"/>
      <c r="AP350" s="2038"/>
      <c r="AQ350" s="2038"/>
      <c r="AR350" s="2038"/>
      <c r="AS350" s="2038"/>
      <c r="AT350" s="2038"/>
      <c r="AU350" s="2038"/>
      <c r="AV350" s="2038"/>
    </row>
    <row r="351" spans="1:48">
      <c r="A351" s="2926"/>
      <c r="B351" s="2927"/>
      <c r="C351" s="2926"/>
      <c r="D351" s="2926"/>
      <c r="E351" s="2926"/>
      <c r="F351" s="2926"/>
      <c r="G351" s="2926"/>
      <c r="H351" s="2926"/>
      <c r="I351" s="2926"/>
      <c r="J351" s="2926"/>
      <c r="K351" s="2926"/>
      <c r="L351" s="2926"/>
      <c r="M351" s="2926"/>
      <c r="N351" s="2928"/>
      <c r="O351" s="2926"/>
      <c r="P351" s="2926"/>
      <c r="Q351" s="2926"/>
      <c r="R351" s="2926"/>
      <c r="S351" s="2926"/>
      <c r="AA351" s="2038"/>
      <c r="AB351" s="2038"/>
      <c r="AC351" s="2038"/>
      <c r="AD351" s="2038"/>
      <c r="AE351" s="2038"/>
      <c r="AF351" s="2038"/>
      <c r="AG351" s="2038"/>
      <c r="AH351" s="2038"/>
      <c r="AI351" s="2038"/>
      <c r="AJ351" s="2038"/>
      <c r="AK351" s="2038"/>
      <c r="AL351" s="2038"/>
      <c r="AN351" s="2050"/>
      <c r="AO351" s="2050"/>
      <c r="AP351" s="2038"/>
      <c r="AQ351" s="2038"/>
      <c r="AR351" s="2038"/>
      <c r="AS351" s="2038"/>
      <c r="AT351" s="2038"/>
      <c r="AU351" s="2038"/>
      <c r="AV351" s="2038"/>
    </row>
    <row r="352" spans="1:48" s="109" customFormat="1" ht="23.25">
      <c r="A352" s="1286" t="s">
        <v>1987</v>
      </c>
      <c r="B352" s="1286"/>
      <c r="C352" s="1286"/>
      <c r="D352" s="1972" t="str">
        <f>TaxYear&amp;" EIC  —  Line 27"</f>
        <v>2023 EIC  —  Line 27</v>
      </c>
      <c r="N352" s="1287"/>
      <c r="O352" s="2925" t="s">
        <v>1057</v>
      </c>
      <c r="AA352" s="2038"/>
      <c r="AB352" s="2038"/>
      <c r="AC352" s="2038"/>
      <c r="AD352" s="2038"/>
      <c r="AE352" s="2038"/>
      <c r="AF352" s="2038"/>
      <c r="AG352" s="2038"/>
      <c r="AH352" s="2038"/>
      <c r="AI352" s="2038"/>
      <c r="AJ352" s="2038"/>
      <c r="AK352" s="2038"/>
      <c r="AL352" s="2038"/>
      <c r="AN352" s="1287"/>
      <c r="AO352" s="1287"/>
    </row>
    <row r="353" spans="1:48">
      <c r="AA353" s="2038"/>
      <c r="AB353" s="2038"/>
      <c r="AC353" s="2038"/>
      <c r="AD353" s="2038"/>
      <c r="AE353" s="2038"/>
      <c r="AF353" s="2038"/>
      <c r="AG353" s="2038"/>
      <c r="AH353" s="2038"/>
      <c r="AI353" s="2038"/>
      <c r="AJ353" s="2038"/>
      <c r="AK353" s="2038"/>
      <c r="AL353" s="2038"/>
      <c r="AN353" s="2050"/>
      <c r="AO353" s="2050"/>
      <c r="AP353" s="2038"/>
      <c r="AQ353" s="2038"/>
      <c r="AR353" s="2038"/>
      <c r="AS353" s="2038"/>
      <c r="AT353" s="2038"/>
      <c r="AU353" s="2038"/>
      <c r="AV353" s="2038"/>
    </row>
    <row r="354" spans="1:48" ht="9.75" customHeight="1">
      <c r="A354" s="872"/>
      <c r="C354" s="4642"/>
      <c r="D354" s="3492"/>
      <c r="E354" s="49"/>
      <c r="F354" s="49"/>
      <c r="G354" s="49"/>
      <c r="H354" s="49"/>
      <c r="I354" s="49"/>
      <c r="J354" s="49"/>
      <c r="K354" s="49"/>
      <c r="AA354" s="2038"/>
      <c r="AB354" s="2038"/>
      <c r="AC354" s="2038"/>
      <c r="AD354" s="2038"/>
      <c r="AE354" s="2038"/>
      <c r="AF354" s="2038"/>
      <c r="AG354" s="2038"/>
      <c r="AH354" s="2038"/>
      <c r="AI354" s="2038"/>
      <c r="AJ354" s="2038"/>
      <c r="AK354" s="2038"/>
      <c r="AL354" s="2038"/>
      <c r="AN354" s="2050"/>
      <c r="AO354" s="2050"/>
      <c r="AP354" s="2038"/>
      <c r="AQ354" s="2038"/>
      <c r="AR354" s="2038"/>
      <c r="AS354" s="2038"/>
      <c r="AT354" s="2038"/>
      <c r="AU354" s="2038"/>
      <c r="AV354" s="2038"/>
    </row>
    <row r="355" spans="1:48">
      <c r="A355" s="4649" t="b">
        <f>A262</f>
        <v>0</v>
      </c>
      <c r="B355" s="1575" t="str">
        <f>IF(A355,"X","")</f>
        <v/>
      </c>
      <c r="D355" s="23" t="s">
        <v>1988</v>
      </c>
      <c r="AA355" s="2038"/>
      <c r="AB355" s="2038"/>
      <c r="AC355" s="2038"/>
      <c r="AD355" s="2038"/>
      <c r="AE355" s="2038"/>
      <c r="AF355" s="2038"/>
      <c r="AG355" s="2038"/>
      <c r="AH355" s="2038"/>
      <c r="AI355" s="2038"/>
      <c r="AJ355" s="2038"/>
      <c r="AK355" s="2038"/>
      <c r="AL355" s="2038"/>
      <c r="AN355" s="2050"/>
      <c r="AO355" s="2050"/>
      <c r="AP355" s="2038"/>
      <c r="AQ355" s="2038"/>
      <c r="AR355" s="2038"/>
      <c r="AS355" s="2038"/>
      <c r="AT355" s="2038"/>
      <c r="AU355" s="2038"/>
      <c r="AV355" s="2038"/>
    </row>
    <row r="356" spans="1:48">
      <c r="AA356" s="2038"/>
      <c r="AB356" s="2038"/>
      <c r="AC356" s="2038"/>
      <c r="AD356" s="2038"/>
      <c r="AE356" s="2038"/>
      <c r="AF356" s="2038"/>
      <c r="AG356" s="2038"/>
      <c r="AH356" s="2038"/>
      <c r="AI356" s="2038"/>
      <c r="AJ356" s="2038"/>
      <c r="AK356" s="2038"/>
      <c r="AL356" s="2038"/>
      <c r="AN356" s="2050"/>
      <c r="AO356" s="2050"/>
      <c r="AP356" s="2038"/>
      <c r="AQ356" s="2038"/>
      <c r="AR356" s="2038"/>
      <c r="AS356" s="2038"/>
      <c r="AT356" s="2038"/>
      <c r="AU356" s="2038"/>
      <c r="AV356" s="2038"/>
    </row>
    <row r="357" spans="1:48">
      <c r="C357" s="479" t="s">
        <v>1059</v>
      </c>
      <c r="D357" s="22" t="s">
        <v>1989</v>
      </c>
      <c r="AA357" s="2038"/>
      <c r="AB357" s="2038"/>
      <c r="AC357" s="2038"/>
      <c r="AD357" s="2038"/>
      <c r="AE357" s="2038"/>
      <c r="AF357" s="2038"/>
      <c r="AG357" s="2038"/>
      <c r="AH357" s="2038"/>
      <c r="AI357" s="2038"/>
      <c r="AJ357" s="2038"/>
      <c r="AK357" s="2038"/>
      <c r="AL357" s="2038"/>
      <c r="AN357" s="2050"/>
      <c r="AO357" s="2050"/>
      <c r="AP357" s="2038"/>
      <c r="AQ357" s="2038"/>
      <c r="AR357" s="2038"/>
      <c r="AS357" s="2038"/>
      <c r="AT357" s="2038"/>
      <c r="AU357" s="2038"/>
      <c r="AV357" s="2038"/>
    </row>
    <row r="358" spans="1:48" ht="6" customHeight="1">
      <c r="AA358" s="2038"/>
      <c r="AB358" s="2038"/>
      <c r="AC358" s="2038"/>
      <c r="AD358" s="2038"/>
      <c r="AE358" s="2038"/>
      <c r="AF358" s="2038"/>
      <c r="AG358" s="2038"/>
      <c r="AH358" s="2038"/>
      <c r="AI358" s="2038"/>
      <c r="AJ358" s="2038"/>
      <c r="AK358" s="2038"/>
      <c r="AL358" s="2038"/>
      <c r="AN358" s="2050"/>
      <c r="AO358" s="2050"/>
      <c r="AP358" s="2038"/>
      <c r="AQ358" s="2038"/>
      <c r="AR358" s="2038"/>
      <c r="AS358" s="2038"/>
      <c r="AT358" s="2038"/>
      <c r="AU358" s="2038"/>
      <c r="AV358" s="2038"/>
    </row>
    <row r="359" spans="1:48">
      <c r="C359" s="479" t="s">
        <v>1059</v>
      </c>
      <c r="D359" s="51" t="s">
        <v>1990</v>
      </c>
      <c r="AA359" s="2038"/>
      <c r="AB359" s="2038"/>
      <c r="AC359" s="2038"/>
      <c r="AD359" s="2038"/>
      <c r="AE359" s="2038"/>
      <c r="AF359" s="2038"/>
      <c r="AG359" s="2038"/>
      <c r="AH359" s="2038"/>
      <c r="AI359" s="2038"/>
      <c r="AJ359" s="2038"/>
      <c r="AK359" s="2038"/>
      <c r="AL359" s="2038"/>
      <c r="AN359" s="2050"/>
      <c r="AO359" s="2050"/>
      <c r="AP359" s="2038"/>
      <c r="AQ359" s="2038"/>
      <c r="AR359" s="2038"/>
      <c r="AS359" s="2038"/>
      <c r="AT359" s="2038"/>
      <c r="AU359" s="2038"/>
      <c r="AV359" s="2038"/>
    </row>
    <row r="360" spans="1:48" ht="7.5" customHeight="1">
      <c r="AA360" s="2038"/>
      <c r="AB360" s="2038"/>
      <c r="AC360" s="2038"/>
      <c r="AD360" s="2038"/>
      <c r="AE360" s="2038"/>
      <c r="AF360" s="2038"/>
      <c r="AG360" s="2038"/>
      <c r="AH360" s="2038"/>
      <c r="AI360" s="2038"/>
      <c r="AJ360" s="2038"/>
      <c r="AK360" s="2038"/>
      <c r="AL360" s="2038"/>
      <c r="AN360" s="2050"/>
      <c r="AO360" s="2050"/>
      <c r="AP360" s="2038"/>
      <c r="AQ360" s="2038"/>
      <c r="AR360" s="2038"/>
      <c r="AS360" s="2038"/>
      <c r="AT360" s="2038"/>
      <c r="AU360" s="2038"/>
      <c r="AV360" s="2038"/>
    </row>
    <row r="361" spans="1:48" s="1293" customFormat="1" ht="7.5" customHeight="1">
      <c r="B361" s="1292"/>
      <c r="N361" s="1294"/>
      <c r="AA361" s="2051"/>
      <c r="AB361" s="2051"/>
      <c r="AC361" s="2051"/>
      <c r="AD361" s="2051"/>
      <c r="AE361" s="2051"/>
      <c r="AF361" s="2051"/>
      <c r="AG361" s="2051"/>
      <c r="AH361" s="2051"/>
      <c r="AI361" s="2051"/>
      <c r="AJ361" s="2051"/>
      <c r="AK361" s="2051"/>
      <c r="AL361" s="2051"/>
      <c r="AN361" s="2052"/>
      <c r="AO361" s="2052"/>
      <c r="AP361" s="2051"/>
      <c r="AQ361" s="2051"/>
      <c r="AR361" s="2051"/>
      <c r="AS361" s="2051"/>
      <c r="AT361" s="2051"/>
      <c r="AU361" s="2051"/>
      <c r="AV361" s="2051"/>
    </row>
    <row r="362" spans="1:48" s="109" customFormat="1" ht="15.75">
      <c r="A362" s="1308" t="s">
        <v>1945</v>
      </c>
      <c r="B362" s="5930" t="s">
        <v>1991</v>
      </c>
      <c r="C362" s="1286"/>
      <c r="N362" s="1287"/>
      <c r="AA362" s="2048"/>
      <c r="AB362" s="2048"/>
      <c r="AC362" s="2048"/>
      <c r="AD362" s="2048"/>
      <c r="AE362" s="2048"/>
      <c r="AF362" s="2048"/>
      <c r="AG362" s="2048"/>
      <c r="AH362" s="2048"/>
      <c r="AI362" s="2048"/>
      <c r="AJ362" s="2048"/>
      <c r="AK362" s="2048"/>
      <c r="AL362" s="2048"/>
      <c r="AN362" s="2049"/>
      <c r="AO362" s="2049"/>
      <c r="AP362" s="2048"/>
      <c r="AQ362" s="2048"/>
      <c r="AR362" s="2048"/>
      <c r="AS362" s="2048"/>
      <c r="AT362" s="2048"/>
      <c r="AU362" s="2048"/>
      <c r="AV362" s="2048"/>
    </row>
    <row r="363" spans="1:48">
      <c r="AA363" s="2038"/>
      <c r="AB363" s="2038"/>
      <c r="AC363" s="2038"/>
      <c r="AD363" s="2038"/>
      <c r="AE363" s="2038"/>
      <c r="AF363" s="2038"/>
      <c r="AG363" s="2038"/>
      <c r="AH363" s="2038"/>
      <c r="AI363" s="2038"/>
      <c r="AJ363" s="2038"/>
      <c r="AK363" s="2038"/>
      <c r="AL363" s="2038"/>
      <c r="AN363" s="2050"/>
      <c r="AO363" s="2050"/>
      <c r="AP363" s="2038"/>
      <c r="AQ363" s="2038"/>
      <c r="AR363" s="2038"/>
      <c r="AS363" s="2038"/>
      <c r="AT363" s="2038"/>
      <c r="AU363" s="2038"/>
      <c r="AV363" s="2038"/>
    </row>
    <row r="364" spans="1:48">
      <c r="A364" s="805" t="b">
        <f>AND(A355,B364="X")</f>
        <v>0</v>
      </c>
      <c r="B364" s="941"/>
      <c r="D364" s="23" t="s">
        <v>1992</v>
      </c>
      <c r="AA364" s="2038"/>
      <c r="AB364" s="2038"/>
      <c r="AC364" s="2038"/>
      <c r="AD364" s="2038"/>
      <c r="AE364" s="2038"/>
      <c r="AF364" s="2038"/>
      <c r="AG364" s="2038"/>
      <c r="AH364" s="2038"/>
      <c r="AI364" s="2038"/>
      <c r="AJ364" s="2038"/>
      <c r="AK364" s="2038"/>
      <c r="AL364" s="2038"/>
      <c r="AN364" s="2050"/>
      <c r="AO364" s="2050"/>
      <c r="AP364" s="2038"/>
      <c r="AQ364" s="2038"/>
      <c r="AR364" s="2038"/>
      <c r="AS364" s="2038"/>
      <c r="AT364" s="2038"/>
      <c r="AU364" s="2038"/>
      <c r="AV364" s="2038"/>
    </row>
    <row r="365" spans="1:48">
      <c r="AA365" s="2038"/>
      <c r="AB365" s="2038"/>
      <c r="AC365" s="2038"/>
      <c r="AD365" s="2038"/>
      <c r="AE365" s="2038"/>
      <c r="AF365" s="2038"/>
      <c r="AG365" s="2038"/>
      <c r="AH365" s="2038"/>
      <c r="AI365" s="2038"/>
      <c r="AJ365" s="2038"/>
      <c r="AK365" s="2038"/>
      <c r="AL365" s="2038"/>
      <c r="AN365" s="2050"/>
      <c r="AO365" s="2050"/>
      <c r="AP365" s="2038"/>
      <c r="AQ365" s="2038"/>
      <c r="AR365" s="2038"/>
      <c r="AS365" s="2038"/>
      <c r="AT365" s="2038"/>
      <c r="AU365" s="2038"/>
      <c r="AV365" s="2038"/>
    </row>
    <row r="366" spans="1:48">
      <c r="C366" s="1290" t="s">
        <v>1104</v>
      </c>
      <c r="D366" s="61" t="s">
        <v>1993</v>
      </c>
      <c r="M366" s="2545"/>
      <c r="N366" s="1290" t="s">
        <v>1994</v>
      </c>
      <c r="O366" s="1568" t="str">
        <f>IF(AND(A364,A355),SUM(SchSE_Profit1,SchSE_Profit2),"")</f>
        <v/>
      </c>
      <c r="AA366" s="2038"/>
      <c r="AB366" s="2038"/>
      <c r="AC366" s="2038"/>
      <c r="AD366" s="2038"/>
      <c r="AE366" s="2038"/>
      <c r="AF366" s="2038"/>
      <c r="AG366" s="2038"/>
      <c r="AH366" s="2038"/>
      <c r="AI366" s="2038"/>
      <c r="AJ366" s="2038"/>
      <c r="AK366" s="2038"/>
      <c r="AL366" s="2038"/>
      <c r="AN366" s="2050"/>
      <c r="AO366" s="2050"/>
      <c r="AP366" s="2038"/>
      <c r="AQ366" s="2038"/>
      <c r="AR366" s="2038"/>
      <c r="AS366" s="2038"/>
      <c r="AT366" s="2038"/>
      <c r="AU366" s="2038"/>
      <c r="AV366" s="2038"/>
    </row>
    <row r="367" spans="1:48">
      <c r="AA367" s="2038"/>
      <c r="AB367" s="2038"/>
      <c r="AC367" s="2038"/>
      <c r="AD367" s="2038"/>
      <c r="AE367" s="2038"/>
      <c r="AF367" s="2038"/>
      <c r="AG367" s="2038"/>
      <c r="AH367" s="2038"/>
      <c r="AI367" s="2038"/>
      <c r="AJ367" s="2038"/>
      <c r="AK367" s="2038"/>
      <c r="AL367" s="2038"/>
      <c r="AN367" s="2050"/>
      <c r="AO367" s="2050"/>
      <c r="AP367" s="2038"/>
      <c r="AQ367" s="2038"/>
      <c r="AR367" s="2038"/>
      <c r="AS367" s="2038"/>
      <c r="AT367" s="2038"/>
      <c r="AU367" s="2038"/>
      <c r="AV367" s="2038"/>
    </row>
    <row r="368" spans="1:48">
      <c r="C368" s="1290" t="s">
        <v>1363</v>
      </c>
      <c r="D368" s="61" t="s">
        <v>1995</v>
      </c>
      <c r="M368" s="2545"/>
      <c r="N368" s="1290" t="s">
        <v>1996</v>
      </c>
      <c r="O368" s="1568" t="str">
        <f>IF(AND(A364,A355),SUM(SchSELine4b1,SchSELine4b2,ChurchEmployeeIncome1,ChurchEmployeeIncome2),"")</f>
        <v/>
      </c>
      <c r="AA368" s="2038"/>
      <c r="AB368" s="2038"/>
      <c r="AC368" s="2038"/>
      <c r="AD368" s="2038"/>
      <c r="AE368" s="2038"/>
      <c r="AF368" s="2038"/>
      <c r="AG368" s="2038"/>
      <c r="AH368" s="2038"/>
      <c r="AI368" s="2038"/>
      <c r="AJ368" s="2038"/>
      <c r="AK368" s="2038"/>
      <c r="AL368" s="2038"/>
      <c r="AN368" s="2050"/>
      <c r="AO368" s="2050"/>
      <c r="AP368" s="2038"/>
      <c r="AQ368" s="2038"/>
      <c r="AR368" s="2038"/>
      <c r="AS368" s="2038"/>
      <c r="AT368" s="2038"/>
      <c r="AU368" s="2038"/>
      <c r="AV368" s="2038"/>
    </row>
    <row r="369" spans="1:48">
      <c r="AA369" s="2038"/>
      <c r="AB369" s="2038"/>
      <c r="AC369" s="2038"/>
      <c r="AD369" s="2038"/>
      <c r="AE369" s="2038"/>
      <c r="AF369" s="2038"/>
      <c r="AG369" s="2038"/>
      <c r="AH369" s="2038"/>
      <c r="AI369" s="2038"/>
      <c r="AJ369" s="2038"/>
      <c r="AK369" s="2038"/>
      <c r="AL369" s="2038"/>
      <c r="AN369" s="2050"/>
      <c r="AO369" s="2050"/>
      <c r="AP369" s="2038"/>
      <c r="AQ369" s="2038"/>
      <c r="AR369" s="2038"/>
      <c r="AS369" s="2038"/>
      <c r="AT369" s="2038"/>
      <c r="AU369" s="2038"/>
      <c r="AV369" s="2038"/>
    </row>
    <row r="370" spans="1:48">
      <c r="C370" s="1290" t="s">
        <v>1381</v>
      </c>
      <c r="D370" s="22" t="s">
        <v>1997</v>
      </c>
      <c r="N370" s="1290" t="s">
        <v>1998</v>
      </c>
      <c r="O370" s="1568" t="str">
        <f>IF(AND(A355,A364,OR(O366&lt;&gt;"",O368&lt;&gt;"")),SUM(O366,O368),"")</f>
        <v/>
      </c>
      <c r="AA370" s="2038"/>
      <c r="AB370" s="2038"/>
      <c r="AC370" s="2038"/>
      <c r="AD370" s="2038"/>
      <c r="AE370" s="2038"/>
      <c r="AF370" s="2038"/>
      <c r="AG370" s="2038"/>
      <c r="AH370" s="2038"/>
      <c r="AI370" s="2038"/>
      <c r="AJ370" s="2038"/>
      <c r="AK370" s="2038"/>
      <c r="AL370" s="2038"/>
      <c r="AN370" s="2050"/>
      <c r="AO370" s="2050"/>
      <c r="AP370" s="2038"/>
      <c r="AQ370" s="2038"/>
      <c r="AR370" s="2038"/>
      <c r="AS370" s="2038"/>
      <c r="AT370" s="2038"/>
      <c r="AU370" s="2038"/>
      <c r="AV370" s="2038"/>
    </row>
    <row r="371" spans="1:48">
      <c r="AA371" s="2038"/>
      <c r="AB371" s="2038"/>
      <c r="AC371" s="2038"/>
      <c r="AD371" s="2038"/>
      <c r="AE371" s="2038"/>
      <c r="AF371" s="2038"/>
      <c r="AG371" s="2038"/>
      <c r="AH371" s="2038"/>
      <c r="AI371" s="2038"/>
      <c r="AJ371" s="2038"/>
      <c r="AK371" s="2038"/>
      <c r="AL371" s="2038"/>
      <c r="AN371" s="2050"/>
      <c r="AO371" s="2050"/>
      <c r="AP371" s="2038"/>
      <c r="AQ371" s="2038"/>
      <c r="AR371" s="2038"/>
      <c r="AS371" s="2038"/>
      <c r="AT371" s="2038"/>
      <c r="AU371" s="2038"/>
      <c r="AV371" s="2038"/>
    </row>
    <row r="372" spans="1:48">
      <c r="C372" s="1290" t="s">
        <v>1389</v>
      </c>
      <c r="D372" s="61" t="s">
        <v>1999</v>
      </c>
      <c r="N372" s="1290" t="s">
        <v>2000</v>
      </c>
      <c r="O372" s="1568" t="str">
        <f>IF(AND(A355,A364),SUM(SchSEHalfTax1,SchSEHalfTax2),"")</f>
        <v/>
      </c>
      <c r="R372" s="23" t="s">
        <v>1113</v>
      </c>
      <c r="AA372" s="2038"/>
      <c r="AB372" s="2038"/>
      <c r="AC372" s="2038"/>
      <c r="AD372" s="2038"/>
      <c r="AE372" s="2038"/>
      <c r="AF372" s="2038"/>
      <c r="AG372" s="2038"/>
      <c r="AH372" s="2038"/>
      <c r="AI372" s="2038"/>
      <c r="AJ372" s="2038"/>
      <c r="AK372" s="2038"/>
      <c r="AL372" s="2038"/>
      <c r="AN372" s="2050"/>
      <c r="AO372" s="2050"/>
      <c r="AP372" s="2038"/>
      <c r="AQ372" s="2038"/>
      <c r="AR372" s="2038"/>
      <c r="AS372" s="2038"/>
      <c r="AT372" s="2038"/>
      <c r="AU372" s="2038"/>
      <c r="AV372" s="2038"/>
    </row>
    <row r="373" spans="1:48">
      <c r="R373" s="23" t="s">
        <v>1062</v>
      </c>
      <c r="AA373" s="2038"/>
      <c r="AB373" s="2038"/>
      <c r="AC373" s="2038"/>
      <c r="AD373" s="2038"/>
      <c r="AE373" s="2038"/>
      <c r="AF373" s="2038"/>
      <c r="AG373" s="2038"/>
      <c r="AH373" s="2038"/>
      <c r="AI373" s="2038"/>
      <c r="AJ373" s="2038"/>
      <c r="AK373" s="2038"/>
      <c r="AL373" s="2038"/>
      <c r="AN373" s="2050"/>
      <c r="AO373" s="2050"/>
      <c r="AP373" s="2038"/>
      <c r="AQ373" s="2038"/>
      <c r="AR373" s="2038"/>
      <c r="AS373" s="2038"/>
      <c r="AT373" s="2038"/>
      <c r="AU373" s="2038"/>
      <c r="AV373" s="2038"/>
    </row>
    <row r="374" spans="1:48">
      <c r="C374" s="1290" t="s">
        <v>1396</v>
      </c>
      <c r="D374" s="22" t="s">
        <v>2001</v>
      </c>
      <c r="N374" s="1299" t="s">
        <v>2002</v>
      </c>
      <c r="O374" s="1568" t="str">
        <f>IF(R374&lt;&gt;"",ROUND(R374,0),IF(OR(NOT(A355),NOT(A364)),"",IF(OR(O372=0,O372=""),O370,SUM(O370,-O372))))</f>
        <v/>
      </c>
      <c r="R374" s="7003"/>
      <c r="S374" s="7004"/>
      <c r="T374" s="7004"/>
      <c r="U374" s="7004"/>
      <c r="V374" s="7004"/>
      <c r="W374" s="7004"/>
      <c r="X374" s="7004"/>
      <c r="AA374" s="2038"/>
      <c r="AB374" s="2038"/>
      <c r="AC374" s="2038"/>
      <c r="AD374" s="2038"/>
      <c r="AE374" s="2038"/>
      <c r="AF374" s="2038"/>
      <c r="AG374" s="2038"/>
      <c r="AH374" s="2038"/>
      <c r="AI374" s="2038"/>
      <c r="AJ374" s="2038"/>
      <c r="AK374" s="2038"/>
      <c r="AL374" s="2038"/>
      <c r="AN374" s="2050"/>
      <c r="AO374" s="2050"/>
      <c r="AP374" s="2038"/>
      <c r="AQ374" s="2038"/>
      <c r="AR374" s="2038"/>
      <c r="AS374" s="2038"/>
      <c r="AT374" s="2038"/>
      <c r="AU374" s="2038"/>
      <c r="AV374" s="2038"/>
    </row>
    <row r="375" spans="1:48" ht="7.5" customHeight="1"/>
    <row r="376" spans="1:48" s="1293" customFormat="1" ht="7.5" customHeight="1">
      <c r="B376" s="1292"/>
      <c r="N376" s="1294"/>
      <c r="AN376" s="1294"/>
      <c r="AO376" s="1294"/>
    </row>
    <row r="377" spans="1:48" s="109" customFormat="1" ht="15.75">
      <c r="A377" s="1308" t="s">
        <v>1967</v>
      </c>
      <c r="B377" s="5930" t="s">
        <v>2003</v>
      </c>
      <c r="C377" s="1286"/>
      <c r="K377" s="1324"/>
      <c r="N377" s="1287"/>
      <c r="AN377" s="1287"/>
      <c r="AO377" s="1287"/>
    </row>
    <row r="378" spans="1:48" s="109" customFormat="1" ht="15" customHeight="1">
      <c r="A378" s="3866"/>
      <c r="B378" s="3866"/>
      <c r="C378" s="764" t="s">
        <v>2004</v>
      </c>
      <c r="N378" s="1287"/>
      <c r="AN378" s="1287"/>
      <c r="AO378" s="1287"/>
    </row>
    <row r="379" spans="1:48">
      <c r="AA379" s="2038"/>
      <c r="AB379" s="2038"/>
      <c r="AC379" s="2038"/>
      <c r="AD379" s="2038"/>
      <c r="AE379" s="2038"/>
      <c r="AF379" s="2038"/>
      <c r="AG379" s="2038"/>
      <c r="AH379" s="2038"/>
      <c r="AI379" s="2038"/>
      <c r="AJ379" s="2038"/>
      <c r="AK379" s="2038"/>
      <c r="AL379" s="2038"/>
      <c r="AN379" s="2050"/>
      <c r="AO379" s="2050"/>
      <c r="AP379" s="2038"/>
      <c r="AQ379" s="2038"/>
      <c r="AR379" s="2038"/>
      <c r="AS379" s="2038"/>
      <c r="AT379" s="2038"/>
      <c r="AU379" s="2038"/>
      <c r="AV379" s="2038"/>
    </row>
    <row r="380" spans="1:48">
      <c r="A380" s="805" t="b">
        <f>AND(A355,B380="X")</f>
        <v>0</v>
      </c>
      <c r="B380" s="941"/>
      <c r="D380" s="23" t="s">
        <v>2005</v>
      </c>
      <c r="AA380" s="2038"/>
      <c r="AB380" s="2038"/>
      <c r="AC380" s="2038"/>
      <c r="AD380" s="2038"/>
      <c r="AE380" s="2038"/>
      <c r="AF380" s="2038"/>
      <c r="AG380" s="2038"/>
      <c r="AH380" s="2038"/>
      <c r="AI380" s="2038"/>
      <c r="AJ380" s="2038"/>
      <c r="AK380" s="2038"/>
      <c r="AL380" s="2038"/>
      <c r="AN380" s="2050"/>
      <c r="AO380" s="2050"/>
      <c r="AP380" s="2038"/>
      <c r="AQ380" s="2038"/>
      <c r="AR380" s="2038"/>
      <c r="AS380" s="2038"/>
      <c r="AT380" s="2038"/>
      <c r="AU380" s="2038"/>
      <c r="AV380" s="2038"/>
    </row>
    <row r="381" spans="1:48">
      <c r="A381" s="3866"/>
      <c r="B381" s="3866"/>
    </row>
    <row r="382" spans="1:48" ht="13.5" customHeight="1">
      <c r="A382" s="3866"/>
      <c r="B382" s="3866"/>
      <c r="C382" s="1290" t="s">
        <v>171</v>
      </c>
      <c r="D382" s="61" t="s">
        <v>2006</v>
      </c>
      <c r="R382" s="23" t="s">
        <v>1113</v>
      </c>
    </row>
    <row r="383" spans="1:48">
      <c r="A383" s="3866"/>
      <c r="B383" s="3866"/>
      <c r="D383" s="61" t="s">
        <v>2007</v>
      </c>
      <c r="R383" s="23" t="s">
        <v>1062</v>
      </c>
    </row>
    <row r="384" spans="1:48">
      <c r="A384" s="3866"/>
      <c r="B384" s="3866"/>
      <c r="D384" s="61" t="s">
        <v>2008</v>
      </c>
      <c r="R384" s="23"/>
      <c r="T384" s="23"/>
      <c r="U384" s="274"/>
      <c r="V384" s="23"/>
      <c r="X384" s="23"/>
    </row>
    <row r="385" spans="1:41">
      <c r="D385" s="61"/>
      <c r="R385" s="7006"/>
      <c r="S385" s="7006"/>
      <c r="T385" s="7006"/>
      <c r="U385" s="7006"/>
      <c r="V385" s="7006"/>
      <c r="W385" s="7006"/>
      <c r="X385" s="7006"/>
      <c r="AA385" s="61" t="s">
        <v>2009</v>
      </c>
    </row>
    <row r="386" spans="1:41">
      <c r="C386" s="1290"/>
      <c r="D386" s="110" t="s">
        <v>1404</v>
      </c>
      <c r="E386" s="61" t="s">
        <v>2010</v>
      </c>
      <c r="N386" s="1290" t="s">
        <v>2011</v>
      </c>
      <c r="O386" s="1401" t="str">
        <f>IF(OR(R385&lt;&gt;"",R386&lt;&gt;""),SUM(ROUND(R385,0),ROUND(R386,0)),IF(A380,FarmProfitNet,""))</f>
        <v/>
      </c>
      <c r="R386" s="7005"/>
      <c r="S386" s="7005"/>
      <c r="T386" s="7005"/>
      <c r="U386" s="7005"/>
      <c r="V386" s="7005"/>
      <c r="W386" s="7005"/>
      <c r="X386" s="7005"/>
      <c r="AA386" s="61" t="s">
        <v>2012</v>
      </c>
    </row>
    <row r="387" spans="1:41">
      <c r="E387" s="61" t="s">
        <v>2013</v>
      </c>
      <c r="R387" s="6993"/>
      <c r="S387" s="6993"/>
      <c r="T387" s="6993"/>
      <c r="U387" s="6993"/>
      <c r="V387" s="6993"/>
      <c r="W387" s="6993"/>
      <c r="X387" s="6993"/>
      <c r="Y387" s="296"/>
      <c r="Z387" s="296"/>
      <c r="AA387" s="61"/>
    </row>
    <row r="388" spans="1:41">
      <c r="N388" s="22"/>
      <c r="R388" s="7006"/>
      <c r="S388" s="7006"/>
      <c r="T388" s="7006"/>
      <c r="U388" s="7006"/>
      <c r="V388" s="7006"/>
      <c r="W388" s="7006"/>
      <c r="X388" s="7006"/>
      <c r="Y388" s="296"/>
      <c r="Z388" s="296"/>
      <c r="AA388" s="61" t="s">
        <v>2014</v>
      </c>
      <c r="AN388" s="22"/>
      <c r="AO388" s="22"/>
    </row>
    <row r="389" spans="1:41">
      <c r="C389" s="1290"/>
      <c r="D389" s="110" t="s">
        <v>1363</v>
      </c>
      <c r="E389" s="61" t="s">
        <v>2015</v>
      </c>
      <c r="N389" s="1290" t="s">
        <v>2016</v>
      </c>
      <c r="O389" s="1568" t="str">
        <f>IF(OR(R388&lt;&gt;"",R389&lt;&gt;""),SUM(ROUND(R388,0),ROUND(R389,0)),IF(NOT(A380),"",IF(Business_Profit&gt;400,"&gt;$400",IF(AND(SchC_StatutoryEmp_1&lt;&gt;"",SchC_StatutoryEmp_2&lt;&gt;""),SUM(Business_Profit,-'Sch. C'!T23,-'Sch. C'!T137),IF(SchC_StatutoryEmp_1&lt;&gt;"",SUM(SchC_ProfitLoss1,-'Sch. C'!T23),IF(SchC_StatutoryEmp_2&lt;&gt;"",SUM(SchC_ProfitLoss2,-'Sch. C'!T137),Business_Profit))))))</f>
        <v/>
      </c>
      <c r="R389" s="7005"/>
      <c r="S389" s="7005"/>
      <c r="T389" s="7005"/>
      <c r="U389" s="7005"/>
      <c r="V389" s="7005"/>
      <c r="W389" s="7005"/>
      <c r="X389" s="7005"/>
      <c r="Y389" s="296"/>
      <c r="Z389" s="296"/>
      <c r="AA389" s="22" t="s">
        <v>2017</v>
      </c>
    </row>
    <row r="390" spans="1:41">
      <c r="E390" s="61" t="s">
        <v>2018</v>
      </c>
      <c r="R390" s="7011"/>
      <c r="S390" s="7011"/>
      <c r="T390" s="7011"/>
      <c r="U390" s="7011"/>
      <c r="V390" s="7011"/>
      <c r="W390" s="7011"/>
      <c r="X390" s="7011"/>
      <c r="Y390" s="296"/>
      <c r="Z390" s="296"/>
    </row>
    <row r="392" spans="1:41">
      <c r="C392" s="1290" t="s">
        <v>1381</v>
      </c>
      <c r="D392" s="22" t="s">
        <v>2019</v>
      </c>
      <c r="N392" s="1290" t="s">
        <v>2020</v>
      </c>
      <c r="O392" s="1568" t="str">
        <f>IF(A380,SUM(O386,O389),"")</f>
        <v/>
      </c>
    </row>
    <row r="394" spans="1:41">
      <c r="D394" s="1298" t="s">
        <v>5712</v>
      </c>
    </row>
    <row r="395" spans="1:41">
      <c r="D395" s="1298" t="s">
        <v>2021</v>
      </c>
    </row>
    <row r="396" spans="1:41">
      <c r="D396" s="1298" t="s">
        <v>2022</v>
      </c>
    </row>
    <row r="398" spans="1:41" s="1293" customFormat="1">
      <c r="B398" s="1292"/>
      <c r="N398" s="1294"/>
      <c r="AN398" s="1294"/>
      <c r="AO398" s="1294"/>
    </row>
    <row r="399" spans="1:41" s="109" customFormat="1" ht="20.25">
      <c r="A399" s="1286" t="s">
        <v>2023</v>
      </c>
      <c r="B399" s="1286"/>
      <c r="C399" s="1286"/>
      <c r="D399" s="1286" t="str">
        <f>"—  "&amp;TaxYear&amp;" EIC  —"</f>
        <v>—  2023 EIC  —</v>
      </c>
      <c r="F399" s="1286" t="s">
        <v>2024</v>
      </c>
      <c r="N399" s="1287"/>
      <c r="O399" s="2925" t="s">
        <v>1057</v>
      </c>
      <c r="AN399" s="1287"/>
      <c r="AO399" s="1287"/>
    </row>
    <row r="401" spans="1:43" s="109" customFormat="1" ht="15.75">
      <c r="A401" s="1308" t="s">
        <v>1979</v>
      </c>
      <c r="B401" s="1323" t="s">
        <v>2025</v>
      </c>
      <c r="C401" s="1286"/>
      <c r="N401" s="1287"/>
      <c r="R401" s="23" t="s">
        <v>1113</v>
      </c>
      <c r="S401" s="22"/>
      <c r="T401" s="23"/>
      <c r="U401" s="22"/>
      <c r="V401" s="23"/>
      <c r="W401" s="22"/>
      <c r="X401" s="23"/>
      <c r="AN401" s="1287"/>
      <c r="AO401" s="1287"/>
    </row>
    <row r="402" spans="1:43">
      <c r="R402" s="23" t="s">
        <v>1062</v>
      </c>
      <c r="T402" s="23"/>
      <c r="V402" s="23"/>
      <c r="X402" s="23"/>
    </row>
    <row r="403" spans="1:43">
      <c r="C403" s="1290" t="s">
        <v>177</v>
      </c>
      <c r="D403" s="61" t="s">
        <v>2026</v>
      </c>
      <c r="N403" s="1299" t="s">
        <v>2027</v>
      </c>
      <c r="O403" s="1568" t="str">
        <f>IF(R403&lt;&gt;"",ROUND(R403,0),IF(NOT(A355),"",IF(AND(SchC_StatutoryEmp_1&lt;&gt;"",SchC_StatutoryEmp_2&lt;&gt;""),SUM('Sch. C'!T23,'Sch. C'!T137),IF(SchC_StatutoryEmp_1&lt;&gt;"",'Sch. C'!T23,IF(SchC_StatutoryEmp_2&lt;&gt;"",'Sch. C'!T137,"")))))</f>
        <v/>
      </c>
      <c r="Q403" s="274"/>
      <c r="R403" s="7012"/>
      <c r="S403" s="7013"/>
      <c r="T403" s="7013"/>
      <c r="U403" s="7013"/>
      <c r="V403" s="7013"/>
      <c r="W403" s="7013"/>
      <c r="X403" s="7014"/>
    </row>
    <row r="404" spans="1:43">
      <c r="D404" s="22" t="s">
        <v>2028</v>
      </c>
      <c r="O404" s="334"/>
    </row>
    <row r="405" spans="1:43" ht="7.5" customHeight="1"/>
    <row r="406" spans="1:43" s="1293" customFormat="1" ht="7.5" customHeight="1">
      <c r="B406" s="1292"/>
      <c r="N406" s="1294"/>
      <c r="AN406" s="1294"/>
      <c r="AO406" s="1294"/>
    </row>
    <row r="407" spans="1:43" s="109" customFormat="1" ht="15.75">
      <c r="A407" s="1308" t="s">
        <v>2029</v>
      </c>
      <c r="B407" s="1323" t="s">
        <v>2030</v>
      </c>
      <c r="C407" s="1286"/>
      <c r="N407" s="1287"/>
      <c r="AN407" s="1287"/>
      <c r="AO407" s="1287"/>
    </row>
    <row r="408" spans="1:43" ht="15" customHeight="1">
      <c r="D408" s="23" t="s">
        <v>2031</v>
      </c>
    </row>
    <row r="409" spans="1:43">
      <c r="D409" s="22" t="s">
        <v>2032</v>
      </c>
      <c r="R409" s="23" t="s">
        <v>1113</v>
      </c>
      <c r="T409" s="23"/>
      <c r="V409" s="23"/>
      <c r="X409" s="23"/>
      <c r="AA409" s="23"/>
      <c r="AN409" s="22"/>
      <c r="AO409" s="22"/>
      <c r="AP409" s="13"/>
      <c r="AQ409" s="13"/>
    </row>
    <row r="410" spans="1:43">
      <c r="R410" s="23" t="s">
        <v>1062</v>
      </c>
      <c r="T410" s="23"/>
      <c r="V410" s="23"/>
      <c r="X410" s="23"/>
      <c r="AA410" s="23"/>
      <c r="AN410" s="22"/>
      <c r="AO410" s="22"/>
      <c r="AP410" s="13"/>
      <c r="AQ410" s="13"/>
    </row>
    <row r="411" spans="1:43">
      <c r="C411" s="1290" t="s">
        <v>1406</v>
      </c>
      <c r="D411" s="61" t="s">
        <v>1950</v>
      </c>
      <c r="N411" s="1299" t="s">
        <v>2033</v>
      </c>
      <c r="O411" s="1568" t="str">
        <f>IF(R411&lt;&gt;"",R411,IF(NOT(A355),"",EIC_EarnedIncome))</f>
        <v/>
      </c>
      <c r="R411" s="7012"/>
      <c r="S411" s="7013"/>
      <c r="T411" s="7013"/>
      <c r="U411" s="7013"/>
      <c r="V411" s="7013"/>
      <c r="W411" s="7013"/>
      <c r="X411" s="7014"/>
    </row>
    <row r="413" spans="1:43">
      <c r="C413" s="1290" t="s">
        <v>1363</v>
      </c>
      <c r="D413" s="61" t="s">
        <v>2034</v>
      </c>
      <c r="G413" s="23" t="s">
        <v>2035</v>
      </c>
      <c r="N413" s="1299" t="s">
        <v>2036</v>
      </c>
      <c r="O413" s="1568" t="str">
        <f>IF(NOT(A355),"",SUM(O374,O392,O403,O411))</f>
        <v/>
      </c>
    </row>
    <row r="414" spans="1:43">
      <c r="B414" s="22"/>
    </row>
    <row r="415" spans="1:43">
      <c r="D415" s="61" t="s">
        <v>5713</v>
      </c>
    </row>
    <row r="416" spans="1:43">
      <c r="D416" s="61" t="s">
        <v>5714</v>
      </c>
    </row>
    <row r="417" spans="1:29">
      <c r="D417" s="61"/>
    </row>
    <row r="418" spans="1:29">
      <c r="D418" s="49"/>
      <c r="E418" s="49"/>
      <c r="F418" s="49"/>
      <c r="G418" s="49"/>
      <c r="H418" s="49"/>
      <c r="I418" s="49"/>
      <c r="J418" s="49"/>
      <c r="K418" s="3492"/>
      <c r="L418" s="61"/>
      <c r="M418" s="61"/>
      <c r="N418" s="61"/>
      <c r="O418" s="61"/>
      <c r="P418" s="61"/>
      <c r="Q418" s="61"/>
      <c r="R418" s="61"/>
      <c r="S418" s="61"/>
      <c r="T418" s="61"/>
      <c r="U418" s="61"/>
      <c r="V418" s="61"/>
      <c r="W418" s="61"/>
      <c r="X418" s="61"/>
      <c r="Y418" s="61"/>
      <c r="Z418" s="61"/>
      <c r="AA418" s="61"/>
      <c r="AB418" s="61"/>
      <c r="AC418" s="61"/>
    </row>
    <row r="419" spans="1:29">
      <c r="C419" s="1290" t="s">
        <v>198</v>
      </c>
      <c r="D419" s="22" t="s">
        <v>1931</v>
      </c>
      <c r="K419" s="61"/>
      <c r="L419" s="61"/>
      <c r="M419" s="61"/>
      <c r="N419" s="61"/>
      <c r="O419" s="61"/>
      <c r="P419" s="61"/>
      <c r="Q419" s="61"/>
      <c r="R419" s="61"/>
      <c r="S419" s="61"/>
      <c r="T419" s="61"/>
      <c r="U419" s="61"/>
      <c r="V419" s="61"/>
      <c r="W419" s="61"/>
      <c r="X419" s="61"/>
      <c r="Y419" s="61"/>
      <c r="Z419" s="61"/>
      <c r="AA419" s="61"/>
      <c r="AB419" s="61"/>
      <c r="AC419" s="61"/>
    </row>
    <row r="420" spans="1:29">
      <c r="B420" s="1398" t="str">
        <f>IF(M421,"®","")</f>
        <v/>
      </c>
      <c r="C420" s="110" t="s">
        <v>1806</v>
      </c>
      <c r="D420" s="61" t="s">
        <v>2037</v>
      </c>
      <c r="K420" s="61"/>
      <c r="L420" s="61"/>
      <c r="M420" s="61"/>
      <c r="N420" s="61"/>
      <c r="O420" s="61"/>
      <c r="P420" s="61"/>
      <c r="Q420" s="61"/>
      <c r="R420" s="61"/>
      <c r="S420" s="61"/>
      <c r="T420" s="61"/>
      <c r="U420" s="61"/>
      <c r="V420" s="61"/>
      <c r="W420" s="61"/>
      <c r="X420" s="61"/>
      <c r="Y420" s="61"/>
      <c r="Z420" s="61"/>
      <c r="AA420" s="61"/>
      <c r="AB420" s="61"/>
      <c r="AC420" s="61"/>
    </row>
    <row r="421" spans="1:29">
      <c r="B421" s="1300"/>
      <c r="D421" s="61" t="str">
        <f>"Is line 4b less than "&amp;TEXT(N10,"$0,000")&amp;" ("&amp;TEXT(O10,"$0,000")&amp;" if married filing jointly)?"</f>
        <v>Is line 4b less than $56,838 ($63,398 if married filing jointly)?</v>
      </c>
      <c r="K421" s="61"/>
      <c r="L421" s="61"/>
      <c r="M421" s="805" t="b">
        <f>AND($A$355,EICNumQualChild&gt;=3,OR(AND(File_Marr_Joint&lt;&gt;"",EarnedIncomeWSB&lt;O10),EarnedIncomeWSB&lt;N10))</f>
        <v>0</v>
      </c>
      <c r="N421" s="61"/>
      <c r="O421" s="61"/>
      <c r="P421" s="61"/>
      <c r="Q421" s="61"/>
      <c r="R421" s="61"/>
      <c r="S421" s="61"/>
      <c r="T421" s="61"/>
      <c r="U421" s="61"/>
      <c r="V421" s="61"/>
      <c r="W421" s="61"/>
      <c r="X421" s="61"/>
      <c r="Y421" s="61"/>
      <c r="Z421" s="61"/>
      <c r="AA421" s="61"/>
      <c r="AB421" s="61"/>
      <c r="AC421" s="61"/>
    </row>
    <row r="422" spans="1:29">
      <c r="B422" s="1300"/>
      <c r="C422" s="37" t="s">
        <v>1445</v>
      </c>
      <c r="K422" s="61"/>
      <c r="L422" s="61"/>
      <c r="M422" s="61"/>
      <c r="N422" s="61"/>
      <c r="O422" s="61"/>
      <c r="P422" s="61"/>
      <c r="Q422" s="61"/>
      <c r="R422" s="61"/>
      <c r="S422" s="61"/>
      <c r="T422" s="61"/>
      <c r="U422" s="61"/>
      <c r="V422" s="61"/>
      <c r="W422" s="61"/>
      <c r="X422" s="61"/>
      <c r="Y422" s="61"/>
      <c r="Z422" s="61"/>
      <c r="AA422" s="61"/>
      <c r="AB422" s="61"/>
      <c r="AC422" s="61"/>
    </row>
    <row r="423" spans="1:29">
      <c r="B423" s="1398" t="str">
        <f>IF(M424,"®","")</f>
        <v/>
      </c>
      <c r="C423" s="110" t="s">
        <v>1806</v>
      </c>
      <c r="D423" s="61" t="s">
        <v>1933</v>
      </c>
      <c r="K423" s="61"/>
      <c r="L423" s="61"/>
      <c r="M423" s="61"/>
      <c r="N423" s="61"/>
      <c r="O423" s="61"/>
      <c r="P423" s="61"/>
      <c r="Q423" s="61"/>
      <c r="R423" s="61"/>
      <c r="S423" s="61"/>
      <c r="T423" s="61"/>
      <c r="U423" s="61"/>
      <c r="V423" s="61"/>
      <c r="W423" s="61"/>
      <c r="X423" s="61"/>
      <c r="Y423" s="61"/>
      <c r="Z423" s="61"/>
      <c r="AA423" s="61"/>
      <c r="AB423" s="61"/>
      <c r="AC423" s="61"/>
    </row>
    <row r="424" spans="1:29">
      <c r="B424" s="1300"/>
      <c r="D424" s="61" t="str">
        <f>"Is line 4b less than "&amp;TEXT(N13,"$0,000")&amp;" ("&amp;TEXT(O13,"$0,000")&amp;" if married filing jointly)?"</f>
        <v>Is line 4b less than $52,918 ($59,478 if married filing jointly)?</v>
      </c>
      <c r="K424" s="61"/>
      <c r="L424" s="61"/>
      <c r="M424" s="805" t="b">
        <f>AND($A$355,EICNumQualChild=2,OR(AND(File_Marr_Joint&lt;&gt;"",EarnedIncomeWSB&lt;O13),EarnedIncomeWSB&lt;N13))</f>
        <v>0</v>
      </c>
      <c r="N424" s="61"/>
      <c r="O424" s="61"/>
      <c r="P424" s="61"/>
      <c r="Q424" s="61"/>
      <c r="R424" s="61"/>
      <c r="S424" s="61"/>
      <c r="T424" s="61"/>
      <c r="U424" s="61"/>
      <c r="V424" s="61"/>
      <c r="W424" s="61"/>
      <c r="X424" s="61"/>
      <c r="Y424" s="61"/>
      <c r="Z424" s="61"/>
      <c r="AA424" s="61"/>
      <c r="AB424" s="61"/>
      <c r="AC424" s="61"/>
    </row>
    <row r="425" spans="1:29">
      <c r="B425" s="1300"/>
      <c r="C425" s="37" t="s">
        <v>1445</v>
      </c>
      <c r="K425" s="61"/>
      <c r="L425" s="61"/>
      <c r="M425" s="61"/>
      <c r="N425" s="61"/>
      <c r="O425" s="61"/>
      <c r="P425" s="61"/>
      <c r="Q425" s="61"/>
      <c r="R425" s="61"/>
      <c r="S425" s="61"/>
      <c r="T425" s="61"/>
      <c r="U425" s="61"/>
      <c r="V425" s="61"/>
      <c r="W425" s="61"/>
      <c r="X425" s="61"/>
      <c r="Y425" s="61"/>
      <c r="Z425" s="61"/>
      <c r="AA425" s="61"/>
      <c r="AB425" s="61"/>
      <c r="AC425" s="61"/>
    </row>
    <row r="426" spans="1:29">
      <c r="B426" s="1398" t="str">
        <f>IF(M427,"®","")</f>
        <v/>
      </c>
      <c r="C426" s="110" t="s">
        <v>1806</v>
      </c>
      <c r="D426" s="61" t="s">
        <v>1934</v>
      </c>
      <c r="K426" s="61"/>
      <c r="L426" s="61"/>
      <c r="M426" s="61"/>
      <c r="N426" s="61"/>
      <c r="O426" s="61"/>
      <c r="P426" s="61"/>
      <c r="Q426" s="61"/>
      <c r="R426" s="61"/>
      <c r="S426" s="61"/>
      <c r="T426" s="61"/>
      <c r="U426" s="61"/>
      <c r="V426" s="61"/>
      <c r="W426" s="61"/>
      <c r="X426" s="61"/>
      <c r="Y426" s="61"/>
      <c r="Z426" s="61"/>
      <c r="AA426" s="61"/>
      <c r="AB426" s="61"/>
      <c r="AC426" s="61"/>
    </row>
    <row r="427" spans="1:29">
      <c r="B427" s="1300"/>
      <c r="D427" s="61" t="str">
        <f>"Is line 4b less than "&amp;TEXT(N16,"$0,000")&amp;" ("&amp;TEXT(O16,"$0,000")&amp;" if married filing jointly)?"</f>
        <v>Is line 4b less than $46,560 ($53,120 if married filing jointly)?</v>
      </c>
      <c r="K427" s="61"/>
      <c r="L427" s="61"/>
      <c r="M427" s="805" t="b">
        <f>AND($A$355,EICNumQualChild=1,OR(AND(File_Marr_Joint&lt;&gt;"",EarnedIncomeWSB&lt;O16),EarnedIncomeWSB&lt;N16))</f>
        <v>0</v>
      </c>
      <c r="N427" s="61"/>
      <c r="O427" s="61"/>
      <c r="P427" s="61"/>
      <c r="Q427" s="61"/>
      <c r="R427" s="61"/>
      <c r="S427" s="61"/>
      <c r="T427" s="61"/>
      <c r="U427" s="61"/>
      <c r="V427" s="61"/>
      <c r="W427" s="61"/>
      <c r="X427" s="61"/>
      <c r="Y427" s="61"/>
      <c r="Z427" s="61"/>
      <c r="AA427" s="61"/>
      <c r="AB427" s="61"/>
      <c r="AC427" s="61"/>
    </row>
    <row r="428" spans="1:29">
      <c r="B428" s="1300"/>
      <c r="C428" s="37" t="s">
        <v>1445</v>
      </c>
      <c r="K428" s="61"/>
      <c r="L428" s="61"/>
      <c r="M428" s="61"/>
      <c r="N428" s="61"/>
      <c r="O428" s="61"/>
      <c r="P428" s="61"/>
      <c r="Q428" s="61"/>
      <c r="R428" s="61"/>
      <c r="S428" s="61"/>
      <c r="T428" s="61"/>
      <c r="U428" s="61"/>
      <c r="V428" s="61"/>
      <c r="W428" s="61"/>
      <c r="X428" s="61"/>
      <c r="Y428" s="61"/>
      <c r="Z428" s="61"/>
      <c r="AA428" s="61"/>
      <c r="AB428" s="61"/>
      <c r="AC428" s="61"/>
    </row>
    <row r="429" spans="1:29">
      <c r="B429" s="1398" t="str">
        <f>IF(M430,"®","")</f>
        <v/>
      </c>
      <c r="C429" s="110" t="s">
        <v>1806</v>
      </c>
      <c r="D429" s="22" t="s">
        <v>1935</v>
      </c>
      <c r="K429" s="61"/>
      <c r="L429" s="61"/>
      <c r="M429" s="61"/>
      <c r="N429" s="61"/>
      <c r="O429" s="61"/>
      <c r="P429" s="61"/>
      <c r="Q429" s="61"/>
      <c r="R429" s="61"/>
      <c r="S429" s="61"/>
      <c r="T429" s="61"/>
      <c r="U429" s="61"/>
      <c r="V429" s="61"/>
      <c r="W429" s="61"/>
      <c r="X429" s="61"/>
      <c r="Y429" s="61"/>
      <c r="Z429" s="61"/>
      <c r="AA429" s="61"/>
      <c r="AB429" s="61"/>
      <c r="AC429" s="61"/>
    </row>
    <row r="430" spans="1:29">
      <c r="D430" s="22" t="str">
        <f>"Is line 4b less than "&amp;TEXT(N19,"$0,000")&amp;" ("&amp;TEXT(O19,"$0,000")&amp;" if married filing jointly)?"</f>
        <v>Is line 4b less than $17,640 ($24,210 if married filing jointly)?</v>
      </c>
      <c r="K430" s="61"/>
      <c r="L430" s="61"/>
      <c r="M430" s="805" t="b">
        <f>AND($A$355,EICNumQualChild=0,OR(AND(File_Marr_Joint&lt;&gt;"",EarnedIncomeWSB&lt;O19),EarnedIncomeWSB&lt;N19))</f>
        <v>0</v>
      </c>
      <c r="N430" s="61"/>
      <c r="O430" s="61"/>
      <c r="P430" s="61"/>
      <c r="Q430" s="61"/>
      <c r="R430" s="61"/>
      <c r="S430" s="61"/>
      <c r="T430" s="61"/>
      <c r="U430" s="61"/>
      <c r="V430" s="61"/>
      <c r="W430" s="61"/>
      <c r="X430" s="61"/>
      <c r="Y430" s="61"/>
      <c r="Z430" s="61"/>
      <c r="AA430" s="61"/>
      <c r="AB430" s="61"/>
      <c r="AC430" s="61"/>
    </row>
    <row r="432" spans="1:29">
      <c r="A432" s="805" t="b">
        <f>AND(A355,OR(M421,M424,M427,M430))</f>
        <v>0</v>
      </c>
      <c r="B432" s="1575" t="str">
        <f>IF(A432,"X","")</f>
        <v/>
      </c>
      <c r="D432" s="23" t="s">
        <v>2038</v>
      </c>
    </row>
    <row r="433" spans="1:48">
      <c r="D433" s="61" t="s">
        <v>2039</v>
      </c>
    </row>
    <row r="435" spans="1:48">
      <c r="A435" s="805" t="b">
        <f>AND(A355,NOT(M421),NOT(M424),NOT(M427),NOT(M430),NOT(M433))</f>
        <v>0</v>
      </c>
      <c r="B435" s="1575" t="str">
        <f>IF(A435,"X","")</f>
        <v/>
      </c>
      <c r="D435" s="61" t="s">
        <v>2040</v>
      </c>
    </row>
    <row r="436" spans="1:48" ht="7.5" customHeight="1"/>
    <row r="437" spans="1:48" s="1293" customFormat="1" ht="7.5" customHeight="1">
      <c r="B437" s="1292"/>
      <c r="N437" s="1294"/>
      <c r="AN437" s="1294"/>
      <c r="AO437" s="1294"/>
    </row>
    <row r="438" spans="1:48" s="109" customFormat="1" ht="15.75">
      <c r="A438" s="1308" t="s">
        <v>2041</v>
      </c>
      <c r="B438" s="1323" t="s">
        <v>2030</v>
      </c>
      <c r="C438" s="1286"/>
      <c r="N438" s="1287"/>
      <c r="AN438" s="1287"/>
      <c r="AO438" s="1287"/>
    </row>
    <row r="440" spans="1:48" ht="13.5" thickBot="1">
      <c r="C440" s="1290" t="s">
        <v>202</v>
      </c>
      <c r="D440" s="61" t="s">
        <v>2042</v>
      </c>
      <c r="L440" s="1299" t="s">
        <v>2043</v>
      </c>
      <c r="M440" s="1568" t="str">
        <f>IF(A432,EarnedIncomeWSB,"")</f>
        <v/>
      </c>
      <c r="O440" s="4648"/>
      <c r="AN440" s="1325" t="s">
        <v>2044</v>
      </c>
    </row>
    <row r="441" spans="1:48">
      <c r="C441" s="1290"/>
      <c r="N441" s="1290"/>
      <c r="O441" s="296"/>
      <c r="AN441" s="1310" t="str">
        <f>M440</f>
        <v/>
      </c>
      <c r="AO441" s="7009" t="s">
        <v>1953</v>
      </c>
      <c r="AP441" s="7010"/>
      <c r="AQ441" s="7009" t="s">
        <v>1954</v>
      </c>
      <c r="AR441" s="7010"/>
      <c r="AS441" s="7009" t="s">
        <v>1955</v>
      </c>
      <c r="AT441" s="7010"/>
      <c r="AU441" s="7009" t="s">
        <v>1956</v>
      </c>
      <c r="AV441" s="7010"/>
    </row>
    <row r="442" spans="1:48">
      <c r="C442" s="1290" t="s">
        <v>215</v>
      </c>
      <c r="D442" s="61" t="s">
        <v>2045</v>
      </c>
      <c r="N442" s="1290"/>
      <c r="O442" s="296"/>
      <c r="AN442" s="1311" t="str">
        <f>IF(AN441&lt;&gt;"",ROUND(AN441,0),"")</f>
        <v/>
      </c>
      <c r="AO442" s="1312" t="s">
        <v>1958</v>
      </c>
      <c r="AP442" s="1313" t="s">
        <v>1808</v>
      </c>
      <c r="AQ442" s="1312" t="s">
        <v>1958</v>
      </c>
      <c r="AR442" s="1313" t="s">
        <v>1808</v>
      </c>
      <c r="AS442" s="1312" t="s">
        <v>1958</v>
      </c>
      <c r="AT442" s="1314" t="s">
        <v>1808</v>
      </c>
      <c r="AU442" s="1312" t="s">
        <v>1958</v>
      </c>
      <c r="AV442" s="1314" t="s">
        <v>1808</v>
      </c>
    </row>
    <row r="443" spans="1:48">
      <c r="C443" s="1290"/>
      <c r="D443" s="61" t="s">
        <v>2046</v>
      </c>
      <c r="N443" s="1299" t="s">
        <v>2047</v>
      </c>
      <c r="O443" s="1568" t="str">
        <f>IF(A432,AN445,"")</f>
        <v/>
      </c>
      <c r="AN443" s="1315"/>
      <c r="AO443" s="1316" t="e">
        <f>LOOKUP(AN444,'EIC Table'!$A$3:$A$1277,'EIC Table'!$C$3:$C$1277)</f>
        <v>#N/A</v>
      </c>
      <c r="AP443" s="1317" t="e">
        <f>LOOKUP(AN444,'EIC Table'!$A$3:$A$1277,'EIC Table'!$G$3:$G$1277)</f>
        <v>#N/A</v>
      </c>
      <c r="AQ443" s="1316" t="e">
        <f>LOOKUP(AN444,'EIC Table'!$A$3:$A$1277,'EIC Table'!$D$3:$D$1277)</f>
        <v>#N/A</v>
      </c>
      <c r="AR443" s="1317" t="e">
        <f>LOOKUP(AN444,'EIC Table'!$A$3:$A$1277,'EIC Table'!$H$3:$H$1277)</f>
        <v>#N/A</v>
      </c>
      <c r="AS443" s="1318" t="e">
        <f>LOOKUP(AN444,'EIC Table'!$A$3:$A$1277,'EIC Table'!$E$3:$E$1277)</f>
        <v>#N/A</v>
      </c>
      <c r="AT443" s="1317" t="e">
        <f>LOOKUP(AN444,'EIC Table'!$A$3:$A$1277,'EIC Table'!$I$3:$I$1277)</f>
        <v>#N/A</v>
      </c>
      <c r="AU443" s="1318" t="e">
        <f>LOOKUP(AN444,'EIC Table'!$A$3:$A$1277,'EIC Table'!$F$3:$F$1277)</f>
        <v>#N/A</v>
      </c>
      <c r="AV443" s="1317" t="e">
        <f>LOOKUP(AN444,'EIC Table'!$A$3:$A$1277,'EIC Table'!$J$3:$J$1277)</f>
        <v>#N/A</v>
      </c>
    </row>
    <row r="444" spans="1:48" ht="13.5" thickBot="1">
      <c r="C444" s="1290"/>
      <c r="D444" s="61" t="s">
        <v>2048</v>
      </c>
      <c r="N444" s="1290"/>
      <c r="O444" s="296"/>
      <c r="AN444" s="1311" t="str">
        <f>IF(AN442="","",AN442)</f>
        <v/>
      </c>
      <c r="AO444" s="1316"/>
      <c r="AP444" s="1317"/>
      <c r="AQ444" s="1316"/>
      <c r="AR444" s="1317"/>
      <c r="AS444" s="1318"/>
      <c r="AT444" s="1317"/>
      <c r="AU444" s="1318"/>
      <c r="AV444" s="1317"/>
    </row>
    <row r="445" spans="1:48" ht="13.5" thickBot="1">
      <c r="C445" s="1290"/>
      <c r="N445" s="1290"/>
      <c r="O445" s="296"/>
      <c r="AN445" s="1319" t="e">
        <f>IF(EICNumQualChild&gt;2,AV445,IF(EICNumQualChild=2,AT445,IF(EICNumQualChild=1,AR445,AP445)))</f>
        <v>#N/A</v>
      </c>
      <c r="AO445" s="1320"/>
      <c r="AP445" s="1321" t="e">
        <f>IF(File_Marr_Joint&lt;&gt;"",AP443,AO443)</f>
        <v>#N/A</v>
      </c>
      <c r="AQ445" s="1320"/>
      <c r="AR445" s="1321" t="e">
        <f>IF(File_Marr_Joint&lt;&gt;"",AR443,AQ443)</f>
        <v>#N/A</v>
      </c>
      <c r="AS445" s="1322"/>
      <c r="AT445" s="1321" t="e">
        <f>IF(File_Marr_Joint&lt;&gt;"",AT443,AS443)</f>
        <v>#N/A</v>
      </c>
      <c r="AU445" s="1322"/>
      <c r="AV445" s="1321" t="e">
        <f>IF(File_Marr_Joint&lt;&gt;"",AV443,AU443)</f>
        <v>#N/A</v>
      </c>
    </row>
    <row r="446" spans="1:48">
      <c r="C446" s="1290"/>
      <c r="D446" s="61" t="s">
        <v>2049</v>
      </c>
      <c r="N446" s="1290"/>
      <c r="O446" s="943" t="b">
        <f>AND(B355&lt;&gt;"",O443=0)</f>
        <v>0</v>
      </c>
      <c r="AN446" s="22"/>
      <c r="AO446" s="22"/>
    </row>
    <row r="447" spans="1:48">
      <c r="C447" s="1290"/>
      <c r="D447" s="61" t="s">
        <v>2050</v>
      </c>
      <c r="N447" s="1290"/>
      <c r="O447" s="296"/>
      <c r="AN447" s="22"/>
      <c r="AO447" s="22"/>
    </row>
    <row r="448" spans="1:48">
      <c r="C448" s="1290"/>
      <c r="N448" s="1290"/>
      <c r="O448" s="296"/>
      <c r="AN448" s="22"/>
      <c r="AO448" s="22"/>
    </row>
    <row r="449" spans="1:41">
      <c r="C449" s="1290" t="s">
        <v>217</v>
      </c>
      <c r="D449" s="61" t="s">
        <v>1963</v>
      </c>
      <c r="L449" s="1299" t="s">
        <v>2051</v>
      </c>
      <c r="M449" s="1568" t="str">
        <f>IF(OR($B$355="",B435&lt;&gt;""),"",Adj_Gross_Inc)</f>
        <v/>
      </c>
      <c r="N449" s="1290"/>
      <c r="O449" s="296"/>
      <c r="AN449" s="22"/>
      <c r="AO449" s="22"/>
    </row>
    <row r="450" spans="1:41">
      <c r="C450" s="1290"/>
      <c r="N450" s="1290"/>
      <c r="O450" s="296"/>
      <c r="AN450" s="22"/>
      <c r="AO450" s="22"/>
    </row>
    <row r="451" spans="1:41">
      <c r="C451" s="1290" t="s">
        <v>222</v>
      </c>
      <c r="D451" s="22" t="s">
        <v>2052</v>
      </c>
      <c r="N451" s="1290"/>
      <c r="O451" s="296"/>
      <c r="AN451" s="22"/>
      <c r="AO451" s="22"/>
    </row>
    <row r="452" spans="1:41">
      <c r="C452" s="1290"/>
      <c r="N452" s="1290"/>
      <c r="O452" s="296"/>
      <c r="AN452" s="22"/>
      <c r="AO452" s="22"/>
    </row>
    <row r="453" spans="1:41">
      <c r="A453" s="805" t="b">
        <f>AND(A432,M449=M440)</f>
        <v>0</v>
      </c>
      <c r="B453" s="1575" t="str">
        <f>IF(A453,"X","")</f>
        <v/>
      </c>
      <c r="D453" s="61" t="s">
        <v>2053</v>
      </c>
      <c r="AN453" s="22"/>
      <c r="AO453" s="22"/>
    </row>
    <row r="454" spans="1:41">
      <c r="C454" s="1290"/>
      <c r="N454" s="1290"/>
      <c r="O454" s="296"/>
      <c r="AN454" s="22"/>
      <c r="AO454" s="22"/>
    </row>
    <row r="455" spans="1:41">
      <c r="A455" s="805" t="b">
        <f>AND(A432,NOT(A453))</f>
        <v>0</v>
      </c>
      <c r="B455" s="1575" t="str">
        <f>IF(OR($B$355="",B435&lt;&gt;""),"",IF(M449=M440,"","X"))</f>
        <v/>
      </c>
      <c r="D455" s="61" t="s">
        <v>2054</v>
      </c>
      <c r="AN455" s="22"/>
      <c r="AO455" s="22"/>
    </row>
    <row r="456" spans="1:41" ht="7.5" customHeight="1"/>
    <row r="457" spans="1:41" s="1293" customFormat="1" ht="7.5" customHeight="1">
      <c r="B457" s="1292"/>
      <c r="N457" s="1294"/>
      <c r="AN457" s="1294"/>
      <c r="AO457" s="1294"/>
    </row>
    <row r="458" spans="1:41" s="109" customFormat="1" ht="15.75">
      <c r="A458" s="1308" t="s">
        <v>2055</v>
      </c>
      <c r="B458" s="1323" t="s">
        <v>2056</v>
      </c>
      <c r="C458" s="1286"/>
      <c r="N458" s="1287"/>
      <c r="AN458" s="1287"/>
      <c r="AO458" s="1287"/>
    </row>
    <row r="460" spans="1:41">
      <c r="C460" s="1290" t="s">
        <v>227</v>
      </c>
      <c r="D460" s="22" t="s">
        <v>1931</v>
      </c>
      <c r="N460" s="22"/>
    </row>
    <row r="461" spans="1:41">
      <c r="C461" s="1290"/>
      <c r="N461" s="22"/>
    </row>
    <row r="462" spans="1:41">
      <c r="A462" s="805" t="b">
        <f>AND(A455,EICNumQualChild=0,OR(AND(File_Marr_Joint&lt;&gt;"",M449&lt;N322),M449&lt;N321))</f>
        <v>0</v>
      </c>
      <c r="B462" s="1398" t="str">
        <f>IF(A462,"®","")</f>
        <v/>
      </c>
      <c r="C462" s="1290" t="s">
        <v>2057</v>
      </c>
      <c r="D462" s="61" t="s">
        <v>1935</v>
      </c>
      <c r="N462" s="22"/>
    </row>
    <row r="463" spans="1:41">
      <c r="B463" s="1300"/>
      <c r="C463" s="1290"/>
      <c r="D463" s="22" t="str">
        <f>" Is the amount on line 8 less than "&amp;TEXT(N321,"$0,000")&amp;" ("&amp;TEXT(N322,"$0,000")&amp;" if married filing jointly)?"</f>
        <v xml:space="preserve"> Is the amount on line 8 less than $9,800 ($16,370 if married filing jointly)?</v>
      </c>
      <c r="L463" s="37" t="str">
        <f>IF(OR(NOT(A455),EICNumQualChild&lt;&gt;0),"",IF(A462,"Yes","No"))</f>
        <v/>
      </c>
      <c r="M463" s="805" t="b">
        <f>IF(OR(AND(File_Marr_Joint&lt;&gt;"",M449&lt;N322),M449&lt;N321),TRUE,FALSE)</f>
        <v>0</v>
      </c>
      <c r="N463" s="22"/>
    </row>
    <row r="464" spans="1:41">
      <c r="B464" s="1300"/>
      <c r="C464" s="1290"/>
      <c r="N464" s="22"/>
    </row>
    <row r="465" spans="1:48">
      <c r="A465" s="805" t="b">
        <f>AND(A455,EICNumQualChild&gt;=1,OR(AND(File_Marr_Joint&lt;&gt;"",M449&lt;N325),M449&lt;N324))</f>
        <v>0</v>
      </c>
      <c r="B465" s="1398" t="str">
        <f>IF(OR($B$355="",B435&lt;&gt;"",B453&lt;&gt;""),"",IF(AND(File_Marr_Joint,EICNumQualChild&gt;0),"®",IF(EICNumQualChild&gt;0,"®","")))</f>
        <v/>
      </c>
      <c r="C465" s="1290" t="s">
        <v>2057</v>
      </c>
      <c r="D465" s="61" t="s">
        <v>2058</v>
      </c>
      <c r="N465" s="22"/>
    </row>
    <row r="466" spans="1:48">
      <c r="C466" s="1290"/>
      <c r="D466" s="22" t="str">
        <f>" Is the amount on line 8 less than "&amp;TEXT(N324,"$0,000")&amp;" ("&amp;TEXT(N325,"$0,000")&amp;" if married filing jointly)?"</f>
        <v xml:space="preserve"> Is the amount on line 8 less than $21,560 ($28,120 if married filing jointly)?</v>
      </c>
      <c r="L466" s="37" t="str">
        <f>IF(OR(NOT(A455),EICNumQualChild&lt;1),"",IF(A465,"Yes","No"))</f>
        <v/>
      </c>
      <c r="M466" s="805" t="b">
        <f>IF(OR(AND(File_Marr_Joint&lt;&gt;"",M449&lt;N325),M449&lt;N324),TRUE,FALSE)</f>
        <v>0</v>
      </c>
      <c r="N466" s="22"/>
    </row>
    <row r="467" spans="1:48" ht="13.5" thickBot="1">
      <c r="C467" s="1290"/>
      <c r="N467" s="22"/>
      <c r="AN467" s="1325" t="s">
        <v>2059</v>
      </c>
    </row>
    <row r="468" spans="1:48">
      <c r="A468" s="805" t="b">
        <f>OR(A462,A465)</f>
        <v>0</v>
      </c>
      <c r="B468" s="1575" t="str">
        <f>IF(A468,"X","")</f>
        <v/>
      </c>
      <c r="C468" s="1290"/>
      <c r="D468" s="61" t="s">
        <v>2060</v>
      </c>
      <c r="N468" s="22"/>
      <c r="AN468" s="1310" t="str">
        <f>M449</f>
        <v/>
      </c>
      <c r="AO468" s="7009" t="s">
        <v>1953</v>
      </c>
      <c r="AP468" s="7010"/>
      <c r="AQ468" s="7009" t="s">
        <v>1954</v>
      </c>
      <c r="AR468" s="7010"/>
      <c r="AS468" s="7009" t="s">
        <v>1955</v>
      </c>
      <c r="AT468" s="7010"/>
      <c r="AU468" s="7009" t="s">
        <v>1956</v>
      </c>
      <c r="AV468" s="7010"/>
    </row>
    <row r="469" spans="1:48">
      <c r="C469" s="1290"/>
      <c r="N469" s="22"/>
      <c r="AN469" s="1311" t="str">
        <f>IF(AN468&lt;&gt;"",ROUND(AN468,0),"")</f>
        <v/>
      </c>
      <c r="AO469" s="1312" t="s">
        <v>1958</v>
      </c>
      <c r="AP469" s="1313" t="s">
        <v>1808</v>
      </c>
      <c r="AQ469" s="1312" t="s">
        <v>1958</v>
      </c>
      <c r="AR469" s="1313" t="s">
        <v>1808</v>
      </c>
      <c r="AS469" s="1312" t="s">
        <v>1958</v>
      </c>
      <c r="AT469" s="1314" t="s">
        <v>1808</v>
      </c>
      <c r="AU469" s="1312" t="s">
        <v>1958</v>
      </c>
      <c r="AV469" s="1314" t="s">
        <v>1808</v>
      </c>
    </row>
    <row r="470" spans="1:48">
      <c r="A470" s="805" t="b">
        <f>AND(A455,NOT(A462),NOT(A465))</f>
        <v>0</v>
      </c>
      <c r="B470" s="1575" t="str">
        <f>IF(A470,"X","")</f>
        <v/>
      </c>
      <c r="C470" s="1290"/>
      <c r="D470" s="61" t="s">
        <v>2061</v>
      </c>
      <c r="N470" s="22"/>
      <c r="AN470" s="1315"/>
      <c r="AO470" s="1316" t="e">
        <f>LOOKUP(AN471,'EIC Table'!$A$3:$A$1277,'EIC Table'!$C$3:$C$1277)</f>
        <v>#N/A</v>
      </c>
      <c r="AP470" s="1317" t="e">
        <f>LOOKUP(AN471,'EIC Table'!$A$3:$A$1277,'EIC Table'!$G$3:$G$1277)</f>
        <v>#N/A</v>
      </c>
      <c r="AQ470" s="1316" t="e">
        <f>LOOKUP(AN471,'EIC Table'!$A$3:$A$1277,'EIC Table'!$D$3:$D$1277)</f>
        <v>#N/A</v>
      </c>
      <c r="AR470" s="1317" t="e">
        <f>LOOKUP(AN471,'EIC Table'!$A$3:$A$1277,'EIC Table'!$H$3:$H$1277)</f>
        <v>#N/A</v>
      </c>
      <c r="AS470" s="1318" t="e">
        <f>LOOKUP(AN471,'EIC Table'!$A$3:$A$1277,'EIC Table'!$E$3:$E$1277)</f>
        <v>#N/A</v>
      </c>
      <c r="AT470" s="1317" t="e">
        <f>LOOKUP(AN471,'EIC Table'!$A$3:$A$1277,'EIC Table'!$I$3:$I$1277)</f>
        <v>#N/A</v>
      </c>
      <c r="AU470" s="1318" t="e">
        <f>LOOKUP(AN471,'EIC Table'!$A$3:$A$1277,'EIC Table'!$F$3:$F$1277)</f>
        <v>#N/A</v>
      </c>
      <c r="AV470" s="1317" t="e">
        <f>LOOKUP(AN471,'EIC Table'!$A$3:$A$1277,'EIC Table'!$J$3:$J$1277)</f>
        <v>#N/A</v>
      </c>
    </row>
    <row r="471" spans="1:48" ht="13.5" thickBot="1">
      <c r="C471" s="1290"/>
      <c r="D471" s="61" t="s">
        <v>2062</v>
      </c>
      <c r="N471" s="22"/>
      <c r="AN471" s="1311" t="str">
        <f>IF(AN469="","",AN469)</f>
        <v/>
      </c>
      <c r="AO471" s="1316"/>
      <c r="AP471" s="1317"/>
      <c r="AQ471" s="1316"/>
      <c r="AR471" s="1317"/>
      <c r="AS471" s="1318"/>
      <c r="AT471" s="1317"/>
      <c r="AU471" s="1318"/>
      <c r="AV471" s="1317"/>
    </row>
    <row r="472" spans="1:48" ht="13.5" thickBot="1">
      <c r="C472" s="1290"/>
      <c r="D472" s="61" t="s">
        <v>5716</v>
      </c>
      <c r="N472" s="22"/>
      <c r="AN472" s="1319" t="e">
        <f>IF(EICNumQualChild&gt;2,AV472,IF(EICNumQualChild=2,AT472,IF(EICNumQualChild=1,AR472,AP472)))</f>
        <v>#N/A</v>
      </c>
      <c r="AO472" s="1320"/>
      <c r="AP472" s="1321" t="e">
        <f>IF(File_Marr_Joint&lt;&gt;"",AP470,AO470)</f>
        <v>#N/A</v>
      </c>
      <c r="AQ472" s="1320"/>
      <c r="AR472" s="1321" t="e">
        <f>IF(File_Marr_Joint&lt;&gt;"",AR470,AQ470)</f>
        <v>#N/A</v>
      </c>
      <c r="AS472" s="1322"/>
      <c r="AT472" s="1321" t="e">
        <f>IF(File_Marr_Joint&lt;&gt;"",AT470,AS470)</f>
        <v>#N/A</v>
      </c>
      <c r="AU472" s="1322"/>
      <c r="AV472" s="1321" t="e">
        <f>IF(File_Marr_Joint&lt;&gt;"",AV470,AU470)</f>
        <v>#N/A</v>
      </c>
    </row>
    <row r="473" spans="1:48">
      <c r="C473" s="1290"/>
      <c r="D473" s="61" t="s">
        <v>5715</v>
      </c>
      <c r="N473" s="1290" t="s">
        <v>2063</v>
      </c>
      <c r="O473" s="1568" t="str">
        <f>IF(OR($B$470="",$B$355=""),"",AN472)</f>
        <v/>
      </c>
    </row>
    <row r="474" spans="1:48">
      <c r="C474" s="1290"/>
      <c r="D474" s="61"/>
      <c r="N474" s="22"/>
    </row>
    <row r="475" spans="1:48">
      <c r="C475" s="1290"/>
      <c r="D475" s="22" t="s">
        <v>2064</v>
      </c>
      <c r="N475" s="22"/>
    </row>
    <row r="476" spans="1:48">
      <c r="C476" s="1290"/>
      <c r="D476" s="61" t="s">
        <v>2065</v>
      </c>
      <c r="N476" s="22"/>
      <c r="O476" s="4019">
        <f>MIN(O443,O473)</f>
        <v>0</v>
      </c>
    </row>
    <row r="477" spans="1:48" ht="7.5" customHeight="1"/>
    <row r="478" spans="1:48" s="1293" customFormat="1" ht="7.5" customHeight="1">
      <c r="B478" s="1292"/>
      <c r="N478" s="1294"/>
      <c r="AN478" s="1294"/>
      <c r="AO478" s="1294"/>
    </row>
    <row r="479" spans="1:48" s="109" customFormat="1" ht="15.75">
      <c r="A479" s="1308" t="s">
        <v>2066</v>
      </c>
      <c r="B479" s="1323" t="s">
        <v>1980</v>
      </c>
      <c r="C479" s="1286"/>
      <c r="N479" s="1287"/>
      <c r="AN479" s="1287"/>
      <c r="AO479" s="1287"/>
    </row>
    <row r="480" spans="1:48">
      <c r="N480" s="1290" t="s">
        <v>2067</v>
      </c>
      <c r="O480" s="1568" t="str">
        <f>IF(OR(A453,A468),O443,IF(A470,O476,""))</f>
        <v/>
      </c>
      <c r="AA480" s="216" t="str">
        <f>IF(EIC_WSB_Part7&lt;1000,TEXT(EIC_WSB_Part7,"$0"),TEXT(EIC_WSB_Part7,"$0,000"))</f>
        <v/>
      </c>
    </row>
    <row r="481" spans="3:27">
      <c r="C481" s="1973" t="s">
        <v>229</v>
      </c>
      <c r="D481" s="23" t="s">
        <v>1981</v>
      </c>
      <c r="N481" s="22"/>
    </row>
    <row r="482" spans="3:27">
      <c r="C482" s="1290"/>
      <c r="N482" s="22"/>
    </row>
    <row r="483" spans="3:27">
      <c r="C483" s="1290"/>
      <c r="D483" s="23" t="s">
        <v>2068</v>
      </c>
    </row>
    <row r="484" spans="3:27">
      <c r="C484" s="2929" t="s">
        <v>1059</v>
      </c>
      <c r="D484" s="22" t="s">
        <v>1983</v>
      </c>
    </row>
    <row r="485" spans="3:27">
      <c r="D485" s="1419" t="s">
        <v>1984</v>
      </c>
    </row>
    <row r="487" spans="3:27">
      <c r="D487" s="49"/>
      <c r="E487" s="49"/>
      <c r="F487" s="49"/>
      <c r="G487" s="49"/>
      <c r="H487" s="49"/>
      <c r="I487" s="49"/>
      <c r="J487" s="49"/>
      <c r="K487" s="49"/>
      <c r="O487" s="61"/>
    </row>
    <row r="488" spans="3:27">
      <c r="E488" s="1298" t="s">
        <v>1985</v>
      </c>
      <c r="O488" s="61"/>
    </row>
    <row r="489" spans="3:27" ht="13.5" thickBot="1">
      <c r="E489" s="683" t="s">
        <v>2069</v>
      </c>
    </row>
    <row r="490" spans="3:27" ht="13.5" thickBot="1">
      <c r="E490" s="1298" t="str">
        <f>"8862 to take the credit for "&amp;TaxYear&amp;"."</f>
        <v>8862 to take the credit for 2023.</v>
      </c>
      <c r="N490" s="2139" t="s">
        <v>2070</v>
      </c>
      <c r="O490" s="3332">
        <f>IF(EIC_WSA_Part3&lt;&gt;"",EIC_WSA_Part3,IF(EIC_WSB_Part7&lt;&gt;"",EIC_WSB_Part7,0))</f>
        <v>0</v>
      </c>
      <c r="AA490" s="216"/>
    </row>
  </sheetData>
  <sheetProtection algorithmName="SHA-512" hashValue="xnmLfaKGMDhoa6PQERDLaaGkCXOzoqtgilSbVB3/4mmW23i90t173BN9J5ZLwGBhGAuwE4gThPoH2UzHy8HakA==" saltValue="srrLEq0ZL5JMVIGBQqQxhg==" spinCount="100000" sheet="1" objects="1" scenarios="1"/>
  <mergeCells count="40">
    <mergeCell ref="R388:X388"/>
    <mergeCell ref="R389:X389"/>
    <mergeCell ref="AU468:AV468"/>
    <mergeCell ref="AS468:AT468"/>
    <mergeCell ref="AQ468:AR468"/>
    <mergeCell ref="AO468:AP468"/>
    <mergeCell ref="AU441:AV441"/>
    <mergeCell ref="AS441:AT441"/>
    <mergeCell ref="AQ441:AR441"/>
    <mergeCell ref="AO441:AP441"/>
    <mergeCell ref="R390:X390"/>
    <mergeCell ref="R411:X411"/>
    <mergeCell ref="R403:X403"/>
    <mergeCell ref="AU329:AV329"/>
    <mergeCell ref="AS302:AT302"/>
    <mergeCell ref="AO329:AP329"/>
    <mergeCell ref="AQ329:AR329"/>
    <mergeCell ref="AS329:AT329"/>
    <mergeCell ref="AO302:AP302"/>
    <mergeCell ref="AQ302:AR302"/>
    <mergeCell ref="AU302:AV302"/>
    <mergeCell ref="R387:X387"/>
    <mergeCell ref="M90:Y95"/>
    <mergeCell ref="M98:Y100"/>
    <mergeCell ref="M103:Y106"/>
    <mergeCell ref="R374:X374"/>
    <mergeCell ref="R386:X386"/>
    <mergeCell ref="R385:X385"/>
    <mergeCell ref="B233:I238"/>
    <mergeCell ref="A233:A234"/>
    <mergeCell ref="A62:B62"/>
    <mergeCell ref="A147:B147"/>
    <mergeCell ref="A119:B119"/>
    <mergeCell ref="A148:B148"/>
    <mergeCell ref="A149:B149"/>
    <mergeCell ref="A150:B150"/>
    <mergeCell ref="A151:B151"/>
    <mergeCell ref="A125:B125"/>
    <mergeCell ref="A132:B132"/>
    <mergeCell ref="A138:B138"/>
  </mergeCells>
  <conditionalFormatting sqref="A70">
    <cfRule type="expression" dxfId="2644" priority="224">
      <formula>IF(AND($B$70="",$B$72="",$B$75="",$B$78="",H$80="",NOT(NoEICredit)),1,0)</formula>
    </cfRule>
  </conditionalFormatting>
  <conditionalFormatting sqref="A72">
    <cfRule type="expression" dxfId="2643" priority="211">
      <formula>IF(AND($B$70="",$B$72="",$B$75="",$B$78="",H$80="",NOT(NoEICredit)),1,0)</formula>
    </cfRule>
  </conditionalFormatting>
  <conditionalFormatting sqref="A75">
    <cfRule type="expression" dxfId="2642" priority="210">
      <formula>IF(AND($B$70="",$B$72="",$B$75="",$B$78="",H$80="",NOT(NoEICredit)),1,0)</formula>
    </cfRule>
  </conditionalFormatting>
  <conditionalFormatting sqref="A78">
    <cfRule type="expression" dxfId="2641" priority="209">
      <formula>IF(AND($B$70="",$B$72="",$B$75="",$B$78="",H$80="",NOT(NoEICredit)),1,0)</formula>
    </cfRule>
  </conditionalFormatting>
  <conditionalFormatting sqref="A259 B259:B260">
    <cfRule type="expression" dxfId="2640" priority="174">
      <formula>IF(AND(OR($B$221&lt;&gt;"",$H$221&lt;&gt;""),$B$262="",$H$262=""),1,0)</formula>
    </cfRule>
  </conditionalFormatting>
  <conditionalFormatting sqref="A219:B219">
    <cfRule type="expression" dxfId="2639" priority="184">
      <formula>IF(AND(OR($B$121="X",$H$153="X",#REF!="X"),$B$221="",$H$221=""),1,0)</formula>
    </cfRule>
  </conditionalFormatting>
  <conditionalFormatting sqref="B38">
    <cfRule type="expression" dxfId="2638" priority="135">
      <formula>IF(NoColor,1,0)</formula>
    </cfRule>
  </conditionalFormatting>
  <conditionalFormatting sqref="B59">
    <cfRule type="expression" dxfId="2637" priority="133">
      <formula>IF(NoColor,1,0)</formula>
    </cfRule>
  </conditionalFormatting>
  <conditionalFormatting sqref="B64">
    <cfRule type="expression" dxfId="2636" priority="134">
      <formula>IF(NoColor,1,0)</formula>
    </cfRule>
  </conditionalFormatting>
  <conditionalFormatting sqref="B70">
    <cfRule type="expression" dxfId="2635" priority="143">
      <formula>IF(NoColor,1,0)</formula>
    </cfRule>
  </conditionalFormatting>
  <conditionalFormatting sqref="B72">
    <cfRule type="expression" dxfId="2634" priority="142">
      <formula>IF(NoColor,1,0)</formula>
    </cfRule>
  </conditionalFormatting>
  <conditionalFormatting sqref="B75">
    <cfRule type="expression" dxfId="2633" priority="141">
      <formula>IF(NoColor,1,0)</formula>
    </cfRule>
  </conditionalFormatting>
  <conditionalFormatting sqref="B78">
    <cfRule type="expression" dxfId="2632" priority="140">
      <formula>IF(NoColor,1,0)</formula>
    </cfRule>
  </conditionalFormatting>
  <conditionalFormatting sqref="B221">
    <cfRule type="expression" dxfId="2631" priority="155">
      <formula>IF(NoColor,1,0)</formula>
    </cfRule>
  </conditionalFormatting>
  <conditionalFormatting sqref="B262">
    <cfRule type="expression" dxfId="2630" priority="132">
      <formula>IF(NoColor,1,0)</formula>
    </cfRule>
  </conditionalFormatting>
  <conditionalFormatting sqref="B288">
    <cfRule type="expression" dxfId="2629" priority="144">
      <formula>IF(NoColor,1,0)</formula>
    </cfRule>
  </conditionalFormatting>
  <conditionalFormatting sqref="B341:C343 D341:D345 D349 D485">
    <cfRule type="expression" dxfId="2628" priority="3053" stopIfTrue="1">
      <formula>IF(OR($M$339="",$M$339=0),0,IF(AND($H$288&lt;&gt;"",EICNumQualChild&gt;1),1,0))</formula>
    </cfRule>
  </conditionalFormatting>
  <conditionalFormatting sqref="C1">
    <cfRule type="expression" dxfId="2627" priority="323" stopIfTrue="1">
      <formula>IF($A$1=1,1,0)</formula>
    </cfRule>
  </conditionalFormatting>
  <conditionalFormatting sqref="C339">
    <cfRule type="expression" dxfId="2626" priority="3058">
      <formula>IF($B$262&lt;&gt;"",0,IF($M$339&gt;0,1,0))</formula>
    </cfRule>
  </conditionalFormatting>
  <conditionalFormatting sqref="D21">
    <cfRule type="expression" dxfId="2625" priority="284" stopIfTrue="1">
      <formula>IF($B$21="X",1,0)</formula>
    </cfRule>
  </conditionalFormatting>
  <conditionalFormatting sqref="D24:D25">
    <cfRule type="expression" dxfId="2624" priority="280">
      <formula>IF(AND($B$27="",$H$27="",NOT(NoEICredit)),1,0)</formula>
    </cfRule>
  </conditionalFormatting>
  <conditionalFormatting sqref="D27">
    <cfRule type="expression" dxfId="2623" priority="236" stopIfTrue="1">
      <formula>IF($B$27="X",1,0)</formula>
    </cfRule>
  </conditionalFormatting>
  <conditionalFormatting sqref="D31">
    <cfRule type="expression" dxfId="2622" priority="279">
      <formula>IF(AND($B$33="",$H$33="",NOT(NoEICredit)),1,0)</formula>
    </cfRule>
  </conditionalFormatting>
  <conditionalFormatting sqref="D33">
    <cfRule type="expression" dxfId="2621" priority="4866" stopIfTrue="1">
      <formula>IF(AND(B33="X",#REF!="",$H$27="",$H$21=""),1,0)</formula>
    </cfRule>
  </conditionalFormatting>
  <conditionalFormatting sqref="D36">
    <cfRule type="expression" dxfId="2620" priority="1">
      <formula>IF(AND($B$33="",$H$33="",NOT(NoEICredit)),1,0)</formula>
    </cfRule>
  </conditionalFormatting>
  <conditionalFormatting sqref="D38:D39">
    <cfRule type="expression" dxfId="2619" priority="4917" stopIfTrue="1">
      <formula>IF(AND($B$38="X",$B33="",#REF!="",$H$27="",$H$21=""),1,0)</formula>
    </cfRule>
  </conditionalFormatting>
  <conditionalFormatting sqref="D40">
    <cfRule type="expression" dxfId="2618" priority="4918" stopIfTrue="1">
      <formula>IF(AND($B$38="X",$B36="",#REF!="",$H$27="",$H$21=""),1,0)</formula>
    </cfRule>
  </conditionalFormatting>
  <conditionalFormatting sqref="D59">
    <cfRule type="expression" dxfId="2617" priority="2">
      <formula>$A$59</formula>
    </cfRule>
  </conditionalFormatting>
  <conditionalFormatting sqref="D62">
    <cfRule type="expression" dxfId="2616" priority="1320">
      <formula>IF(AND($B$59&lt;&gt;"",$B$64="",H$64="",NOT(NoEICredit)),1,0)</formula>
    </cfRule>
  </conditionalFormatting>
  <conditionalFormatting sqref="D64:D65">
    <cfRule type="expression" dxfId="2615" priority="76">
      <formula>AND($A$59,NOT($N$66))</formula>
    </cfRule>
  </conditionalFormatting>
  <conditionalFormatting sqref="D68">
    <cfRule type="expression" dxfId="2614" priority="272">
      <formula>IF(AND($B$70="",$B$72="",$B$75="",$B$78="",H$80="",NOT(NoEICredit)),1,0)</formula>
    </cfRule>
  </conditionalFormatting>
  <conditionalFormatting sqref="D80:D82">
    <cfRule type="expression" dxfId="2613" priority="231">
      <formula>IF(AND($B$80="X",$H$82=""),1,0)</formula>
    </cfRule>
  </conditionalFormatting>
  <conditionalFormatting sqref="D108">
    <cfRule type="expression" dxfId="2612" priority="322" stopIfTrue="1">
      <formula>IF($B$108="",1,0)</formula>
    </cfRule>
  </conditionalFormatting>
  <conditionalFormatting sqref="D116">
    <cfRule type="expression" dxfId="2611" priority="71">
      <formula>$A$116</formula>
    </cfRule>
  </conditionalFormatting>
  <conditionalFormatting sqref="D121:D122">
    <cfRule type="expression" dxfId="2610" priority="13">
      <formula>$A$121</formula>
    </cfRule>
  </conditionalFormatting>
  <conditionalFormatting sqref="D122 D129">
    <cfRule type="expression" dxfId="2609" priority="327" stopIfTrue="1">
      <formula>IF(AND($B$116="X",$B$153="X",$H$113="",#REF!="",$H$27="",$H$21=""),1,0)</formula>
    </cfRule>
  </conditionalFormatting>
  <conditionalFormatting sqref="D128">
    <cfRule type="expression" dxfId="2608" priority="72">
      <formula>$A$128</formula>
    </cfRule>
  </conditionalFormatting>
  <conditionalFormatting sqref="D135">
    <cfRule type="expression" dxfId="2607" priority="73">
      <formula>$A$135</formula>
    </cfRule>
  </conditionalFormatting>
  <conditionalFormatting sqref="D143">
    <cfRule type="expression" dxfId="2606" priority="70">
      <formula>$A$143</formula>
    </cfRule>
  </conditionalFormatting>
  <conditionalFormatting sqref="D144">
    <cfRule type="expression" dxfId="2605" priority="4945" stopIfTrue="1">
      <formula>IF(AND(B128="X",B144="X",$H$113="",#REF!="",$H$27="",$H$21=""),1,0)</formula>
    </cfRule>
  </conditionalFormatting>
  <conditionalFormatting sqref="D153:D155">
    <cfRule type="expression" dxfId="2604" priority="103">
      <formula>$A$153</formula>
    </cfRule>
    <cfRule type="expression" dxfId="2603" priority="104" stopIfTrue="1">
      <formula>IF(AND($B$116="X",$B$153="X",$H$113="",#REF!="",$H$27="",$H$21=""),1,0)</formula>
    </cfRule>
  </conditionalFormatting>
  <conditionalFormatting sqref="D163">
    <cfRule type="expression" dxfId="2602" priority="4660">
      <formula>IF(AND($B$108=0,#REF!&lt;&gt;""),1,0)</formula>
    </cfRule>
  </conditionalFormatting>
  <conditionalFormatting sqref="D163:D164">
    <cfRule type="expression" dxfId="2601" priority="97">
      <formula>$A$163</formula>
    </cfRule>
  </conditionalFormatting>
  <conditionalFormatting sqref="D176:D177">
    <cfRule type="expression" dxfId="2600" priority="67">
      <formula>$A$176</formula>
    </cfRule>
  </conditionalFormatting>
  <conditionalFormatting sqref="D178:D179">
    <cfRule type="expression" dxfId="2599" priority="49">
      <formula>$A$163</formula>
    </cfRule>
  </conditionalFormatting>
  <conditionalFormatting sqref="D185">
    <cfRule type="expression" dxfId="2598" priority="47">
      <formula>$A185</formula>
    </cfRule>
  </conditionalFormatting>
  <conditionalFormatting sqref="D186:D189">
    <cfRule type="expression" dxfId="2597" priority="41">
      <formula>$A$163</formula>
    </cfRule>
  </conditionalFormatting>
  <conditionalFormatting sqref="D192">
    <cfRule type="expression" dxfId="2596" priority="40">
      <formula>$A192</formula>
    </cfRule>
  </conditionalFormatting>
  <conditionalFormatting sqref="D193:D194">
    <cfRule type="expression" dxfId="2595" priority="39">
      <formula>$A$192</formula>
    </cfRule>
  </conditionalFormatting>
  <conditionalFormatting sqref="D195">
    <cfRule type="expression" dxfId="2594" priority="37">
      <formula>$A$163</formula>
    </cfRule>
  </conditionalFormatting>
  <conditionalFormatting sqref="D202:D205">
    <cfRule type="expression" dxfId="2593" priority="32">
      <formula>$A$202</formula>
    </cfRule>
  </conditionalFormatting>
  <conditionalFormatting sqref="D207">
    <cfRule type="expression" dxfId="2592" priority="31">
      <formula>$A$163</formula>
    </cfRule>
  </conditionalFormatting>
  <conditionalFormatting sqref="D212:D213">
    <cfRule type="expression" dxfId="2591" priority="29">
      <formula>$A$212</formula>
    </cfRule>
  </conditionalFormatting>
  <conditionalFormatting sqref="D216">
    <cfRule type="expression" dxfId="2590" priority="28">
      <formula>$A$163</formula>
    </cfRule>
  </conditionalFormatting>
  <conditionalFormatting sqref="D221:D223">
    <cfRule type="expression" dxfId="2589" priority="1288" stopIfTrue="1">
      <formula>IF(AND($B$221="X",#REF!="",$H$27="",$H$21=""),1,0)</formula>
    </cfRule>
  </conditionalFormatting>
  <conditionalFormatting sqref="D258">
    <cfRule type="expression" dxfId="2588" priority="8">
      <formula>$A$163</formula>
    </cfRule>
  </conditionalFormatting>
  <conditionalFormatting sqref="D262:D263">
    <cfRule type="expression" dxfId="2587" priority="242" stopIfTrue="1">
      <formula>IF($B$262="X",1,0)</formula>
    </cfRule>
  </conditionalFormatting>
  <conditionalFormatting sqref="D265">
    <cfRule type="expression" dxfId="2586" priority="7">
      <formula>$A$163</formula>
    </cfRule>
  </conditionalFormatting>
  <conditionalFormatting sqref="D280">
    <cfRule type="expression" dxfId="2585" priority="239" stopIfTrue="1">
      <formula>IF($B$280="X",1,0)</formula>
    </cfRule>
  </conditionalFormatting>
  <conditionalFormatting sqref="D283">
    <cfRule type="expression" dxfId="2584" priority="6">
      <formula>$A$163</formula>
    </cfRule>
  </conditionalFormatting>
  <conditionalFormatting sqref="D288:D289">
    <cfRule type="expression" dxfId="2583" priority="315" stopIfTrue="1">
      <formula>IF(AND($H$288="",$B$288="X"),1,0)</formula>
    </cfRule>
  </conditionalFormatting>
  <conditionalFormatting sqref="D306:D307">
    <cfRule type="expression" dxfId="2582" priority="311" stopIfTrue="1">
      <formula>$A$306</formula>
    </cfRule>
  </conditionalFormatting>
  <conditionalFormatting sqref="D313">
    <cfRule type="expression" dxfId="2581" priority="194">
      <formula>IF(B313="X",1,0)</formula>
    </cfRule>
  </conditionalFormatting>
  <conditionalFormatting sqref="D315">
    <cfRule type="expression" dxfId="2580" priority="195">
      <formula>IF(B315="X",1,0)</formula>
    </cfRule>
  </conditionalFormatting>
  <conditionalFormatting sqref="D327">
    <cfRule type="expression" dxfId="2579" priority="312" stopIfTrue="1">
      <formula>IF($B$327&lt;&gt;"",1,0)</formula>
    </cfRule>
  </conditionalFormatting>
  <conditionalFormatting sqref="D329:D334">
    <cfRule type="expression" dxfId="2578" priority="313" stopIfTrue="1">
      <formula>$A$329</formula>
    </cfRule>
  </conditionalFormatting>
  <conditionalFormatting sqref="D339">
    <cfRule type="expression" dxfId="2577" priority="3057">
      <formula>IF(OR($B$262=0,$B$262&lt;&gt;""),0,IF($M$339&gt;0,1,0))</formula>
    </cfRule>
  </conditionalFormatting>
  <conditionalFormatting sqref="D354">
    <cfRule type="expression" dxfId="2576" priority="5">
      <formula>$A$163</formula>
    </cfRule>
  </conditionalFormatting>
  <conditionalFormatting sqref="D355">
    <cfRule type="expression" dxfId="2575" priority="21">
      <formula>$A$355</formula>
    </cfRule>
  </conditionalFormatting>
  <conditionalFormatting sqref="D415:D417">
    <cfRule type="expression" dxfId="2574" priority="316" stopIfTrue="1">
      <formula>$O$413&lt;=0</formula>
    </cfRule>
  </conditionalFormatting>
  <conditionalFormatting sqref="D420:D421">
    <cfRule type="expression" dxfId="2573" priority="18">
      <formula>$M$421</formula>
    </cfRule>
  </conditionalFormatting>
  <conditionalFormatting sqref="D423:D424">
    <cfRule type="expression" dxfId="2572" priority="19">
      <formula>$M$424</formula>
    </cfRule>
  </conditionalFormatting>
  <conditionalFormatting sqref="D426:D427">
    <cfRule type="expression" dxfId="2571" priority="20">
      <formula>$M$427</formula>
    </cfRule>
  </conditionalFormatting>
  <conditionalFormatting sqref="D432:D433">
    <cfRule type="expression" dxfId="2570" priority="201">
      <formula>$A$432</formula>
    </cfRule>
  </conditionalFormatting>
  <conditionalFormatting sqref="D435">
    <cfRule type="expression" dxfId="2569" priority="318" stopIfTrue="1">
      <formula>IF(B435&lt;&gt;"",1,0)</formula>
    </cfRule>
  </conditionalFormatting>
  <conditionalFormatting sqref="D446:D448 D450 D452 D454">
    <cfRule type="expression" dxfId="2568" priority="317" stopIfTrue="1">
      <formula>$O$446</formula>
    </cfRule>
  </conditionalFormatting>
  <conditionalFormatting sqref="D453">
    <cfRule type="expression" dxfId="2567" priority="319" stopIfTrue="1">
      <formula>$A$453</formula>
    </cfRule>
  </conditionalFormatting>
  <conditionalFormatting sqref="D468">
    <cfRule type="expression" dxfId="2566" priority="321" stopIfTrue="1">
      <formula>IF($B$468&lt;&gt;"",1,0)</formula>
    </cfRule>
  </conditionalFormatting>
  <conditionalFormatting sqref="D470:D476">
    <cfRule type="expression" dxfId="2565" priority="320" stopIfTrue="1">
      <formula>$A$470</formula>
    </cfRule>
  </conditionalFormatting>
  <conditionalFormatting sqref="D481">
    <cfRule type="expression" dxfId="2564" priority="191">
      <formula>IF($O$480="",0,IF($O$480&gt;0,1,0))</formula>
    </cfRule>
  </conditionalFormatting>
  <conditionalFormatting sqref="D483:D484">
    <cfRule type="expression" dxfId="2563" priority="325" stopIfTrue="1">
      <formula>IF(AND($B$244&lt;&gt;"",$B$108&gt;0),1,0)</formula>
    </cfRule>
  </conditionalFormatting>
  <conditionalFormatting sqref="D386:E386 E387 D389:E389">
    <cfRule type="expression" dxfId="2562" priority="170">
      <formula>$A$380</formula>
    </cfRule>
  </conditionalFormatting>
  <conditionalFormatting sqref="E390">
    <cfRule type="expression" dxfId="2561" priority="165">
      <formula>$A$380</formula>
    </cfRule>
  </conditionalFormatting>
  <conditionalFormatting sqref="G80">
    <cfRule type="expression" dxfId="2560" priority="196">
      <formula>IF($H$80&lt;&gt;"",1,0)</formula>
    </cfRule>
    <cfRule type="expression" dxfId="2559" priority="208">
      <formula>IF(AND($B$70="",$B$72="",$B$75="",$B$78="",N$80="",NOT(NoEICredit)),1,0)</formula>
    </cfRule>
  </conditionalFormatting>
  <conditionalFormatting sqref="G82">
    <cfRule type="expression" dxfId="2558" priority="228">
      <formula>IF(H82&lt;&gt;"",1,0)</formula>
    </cfRule>
    <cfRule type="expression" dxfId="2557" priority="233">
      <formula>IF($B$80="X",1,0)</formula>
    </cfRule>
  </conditionalFormatting>
  <conditionalFormatting sqref="G266">
    <cfRule type="expression" dxfId="2556" priority="122" stopIfTrue="1">
      <formula>IF(G266&lt;&gt;"",1,0)</formula>
    </cfRule>
  </conditionalFormatting>
  <conditionalFormatting sqref="G284">
    <cfRule type="expression" dxfId="2555" priority="238" stopIfTrue="1">
      <formula>IF(G284&lt;&gt;"",1,0)</formula>
    </cfRule>
  </conditionalFormatting>
  <conditionalFormatting sqref="G413">
    <cfRule type="expression" dxfId="2554" priority="202">
      <formula>IF(AND($B$262&lt;&gt;"",$H$280&lt;&gt;"X",$O$413&gt;0),1,0)</formula>
    </cfRule>
  </conditionalFormatting>
  <conditionalFormatting sqref="H27">
    <cfRule type="expression" dxfId="2553" priority="161">
      <formula>IF(NoColor,1,0)</formula>
    </cfRule>
  </conditionalFormatting>
  <conditionalFormatting sqref="H38">
    <cfRule type="expression" dxfId="2552" priority="148">
      <formula>IF(NoColor,1,0)</formula>
    </cfRule>
  </conditionalFormatting>
  <conditionalFormatting sqref="H66">
    <cfRule type="expression" dxfId="2551" priority="84">
      <formula>AND($A$59,$A$64)</formula>
    </cfRule>
  </conditionalFormatting>
  <conditionalFormatting sqref="H80">
    <cfRule type="expression" dxfId="2550" priority="149">
      <formula>IF(NoColor,1,0)</formula>
    </cfRule>
  </conditionalFormatting>
  <conditionalFormatting sqref="H82">
    <cfRule type="expression" dxfId="2549" priority="137">
      <formula>IF($B$80="",1,0)</formula>
    </cfRule>
    <cfRule type="expression" dxfId="2548" priority="138">
      <formula>IF(OR(NoColor,$B$80=""),1,0)</formula>
    </cfRule>
    <cfRule type="expression" dxfId="2547" priority="229">
      <formula>IF($B$80="X",1,0)</formula>
    </cfRule>
  </conditionalFormatting>
  <conditionalFormatting sqref="H221">
    <cfRule type="expression" dxfId="2546" priority="154">
      <formula>IF(NoColor,1,0)</formula>
    </cfRule>
  </conditionalFormatting>
  <conditionalFormatting sqref="H262">
    <cfRule type="expression" dxfId="2545" priority="146">
      <formula>IF(NoColor,1,0)</formula>
    </cfRule>
  </conditionalFormatting>
  <conditionalFormatting sqref="J21">
    <cfRule type="expression" dxfId="2544" priority="285" stopIfTrue="1">
      <formula>IF(H21="X",1,0)</formula>
    </cfRule>
  </conditionalFormatting>
  <conditionalFormatting sqref="J27">
    <cfRule type="expression" dxfId="2543" priority="1246" stopIfTrue="1">
      <formula>IF(AND(H21="",H27="X"),1,0)</formula>
    </cfRule>
  </conditionalFormatting>
  <conditionalFormatting sqref="J28">
    <cfRule type="expression" dxfId="2542" priority="1247" stopIfTrue="1">
      <formula>IF(AND(H21="",H27="X"),1,0)</formula>
    </cfRule>
  </conditionalFormatting>
  <conditionalFormatting sqref="J33">
    <cfRule type="expression" dxfId="2541" priority="235" stopIfTrue="1">
      <formula>IF($H$33="X",1,0)</formula>
    </cfRule>
  </conditionalFormatting>
  <conditionalFormatting sqref="J38">
    <cfRule type="expression" dxfId="2540" priority="4">
      <formula>$H$38="X"</formula>
    </cfRule>
  </conditionalFormatting>
  <conditionalFormatting sqref="J59">
    <cfRule type="expression" dxfId="2539" priority="3">
      <formula>N59</formula>
    </cfRule>
  </conditionalFormatting>
  <conditionalFormatting sqref="J64">
    <cfRule type="expression" dxfId="2538" priority="4930" stopIfTrue="1">
      <formula>H64="X"</formula>
    </cfRule>
  </conditionalFormatting>
  <conditionalFormatting sqref="J66">
    <cfRule type="expression" dxfId="2537" priority="82">
      <formula>AND($A$64,$H$66&lt;&gt;"")</formula>
    </cfRule>
    <cfRule type="expression" dxfId="2536" priority="83">
      <formula>$A$64</formula>
    </cfRule>
  </conditionalFormatting>
  <conditionalFormatting sqref="J80">
    <cfRule type="expression" dxfId="2535" priority="207">
      <formula>IF($H$80&lt;&gt;"",1,0)</formula>
    </cfRule>
    <cfRule type="expression" dxfId="2534" priority="297">
      <formula>IF(AND($B$70="",$B$72="",$B$75="",$B$78="",N$80="",NOT(NoEICredit)),1,0)</formula>
    </cfRule>
  </conditionalFormatting>
  <conditionalFormatting sqref="J82">
    <cfRule type="expression" dxfId="2533" priority="226">
      <formula>IF(H82&lt;&gt;"",1,0)</formula>
    </cfRule>
    <cfRule type="expression" dxfId="2532" priority="227">
      <formula>IF($B$80="X",1,0)</formula>
    </cfRule>
  </conditionalFormatting>
  <conditionalFormatting sqref="J116">
    <cfRule type="expression" dxfId="2531" priority="293" stopIfTrue="1">
      <formula>IF(B108="",0,IF(AND(H80&lt;&gt;"",EICNumQualChild=0),1,0))</formula>
    </cfRule>
  </conditionalFormatting>
  <conditionalFormatting sqref="J128">
    <cfRule type="expression" dxfId="2530" priority="4946" stopIfTrue="1">
      <formula>IF(AND(H114="X",H128="X",$H$113="",#REF!="",$H$27="",$H$21=""),1,0)</formula>
    </cfRule>
  </conditionalFormatting>
  <conditionalFormatting sqref="J135">
    <cfRule type="expression" dxfId="2529" priority="4875" stopIfTrue="1">
      <formula>IF(AND(H135="X",H120="",#REF!="",$H$27="",$H$21=""),1,0)</formula>
    </cfRule>
  </conditionalFormatting>
  <conditionalFormatting sqref="J143:J144">
    <cfRule type="expression" dxfId="2528" priority="108">
      <formula>$M$143</formula>
    </cfRule>
    <cfRule type="expression" dxfId="2527" priority="4893" stopIfTrue="1">
      <formula>IF(AND(H143="X",H127="",#REF!="",$H$27="",$H$21=""),1,0)</formula>
    </cfRule>
  </conditionalFormatting>
  <conditionalFormatting sqref="J153">
    <cfRule type="expression" dxfId="2526" priority="4878" stopIfTrue="1">
      <formula>IF(AND(H153="X",H116="",#REF!="",$H$27="",$H$21=""),1,0)</formula>
    </cfRule>
  </conditionalFormatting>
  <conditionalFormatting sqref="J163">
    <cfRule type="expression" dxfId="2525" priority="69">
      <formula>$G$163</formula>
    </cfRule>
  </conditionalFormatting>
  <conditionalFormatting sqref="J176:J177">
    <cfRule type="expression" dxfId="2524" priority="9">
      <formula>$G$176</formula>
    </cfRule>
  </conditionalFormatting>
  <conditionalFormatting sqref="J185:J188">
    <cfRule type="expression" dxfId="2523" priority="43">
      <formula>$G$185</formula>
    </cfRule>
  </conditionalFormatting>
  <conditionalFormatting sqref="J192">
    <cfRule type="expression" dxfId="2522" priority="38">
      <formula>$G$192</formula>
    </cfRule>
  </conditionalFormatting>
  <conditionalFormatting sqref="J202">
    <cfRule type="expression" dxfId="2521" priority="36">
      <formula>$G202</formula>
    </cfRule>
  </conditionalFormatting>
  <conditionalFormatting sqref="J212">
    <cfRule type="expression" dxfId="2520" priority="30">
      <formula>$G212</formula>
    </cfRule>
  </conditionalFormatting>
  <conditionalFormatting sqref="J221:J222">
    <cfRule type="expression" dxfId="2519" priority="1297" stopIfTrue="1">
      <formula>$G$221</formula>
    </cfRule>
  </conditionalFormatting>
  <conditionalFormatting sqref="J262">
    <cfRule type="expression" dxfId="2518" priority="241" stopIfTrue="1">
      <formula>IF($H$262="X",1,0)</formula>
    </cfRule>
  </conditionalFormatting>
  <conditionalFormatting sqref="J280">
    <cfRule type="expression" dxfId="2517" priority="240" stopIfTrue="1">
      <formula>IF($H$280="X",1,0)</formula>
    </cfRule>
  </conditionalFormatting>
  <conditionalFormatting sqref="J288 D455">
    <cfRule type="expression" dxfId="2516" priority="314" stopIfTrue="1">
      <formula>IF(AND($B$262="",$B$280="X",B288&lt;&gt;""),1,0)</formula>
    </cfRule>
  </conditionalFormatting>
  <conditionalFormatting sqref="J121:L121">
    <cfRule type="expression" dxfId="2515" priority="2648" stopIfTrue="1">
      <formula>$N$121</formula>
    </cfRule>
  </conditionalFormatting>
  <conditionalFormatting sqref="L269">
    <cfRule type="expression" dxfId="2514" priority="22">
      <formula>IF(M269,1,0)</formula>
    </cfRule>
  </conditionalFormatting>
  <conditionalFormatting sqref="L272">
    <cfRule type="expression" dxfId="2513" priority="27">
      <formula>IF(M272,1,0)</formula>
    </cfRule>
  </conditionalFormatting>
  <conditionalFormatting sqref="L275">
    <cfRule type="expression" dxfId="2512" priority="24">
      <formula>IF(M275,1,0)</formula>
    </cfRule>
  </conditionalFormatting>
  <conditionalFormatting sqref="L278">
    <cfRule type="expression" dxfId="2511" priority="23">
      <formula>IF(M278,1,0)</formula>
    </cfRule>
  </conditionalFormatting>
  <conditionalFormatting sqref="L322">
    <cfRule type="expression" dxfId="2510" priority="192">
      <formula>$M$322</formula>
    </cfRule>
  </conditionalFormatting>
  <conditionalFormatting sqref="L325">
    <cfRule type="expression" dxfId="2509" priority="193">
      <formula>IF(L325="Yes",1,0)</formula>
    </cfRule>
  </conditionalFormatting>
  <conditionalFormatting sqref="L463">
    <cfRule type="expression" dxfId="2508" priority="16">
      <formula>$L$463="No"</formula>
    </cfRule>
    <cfRule type="expression" dxfId="2507" priority="17">
      <formula>$L$463="Yes"</formula>
    </cfRule>
  </conditionalFormatting>
  <conditionalFormatting sqref="L466">
    <cfRule type="expression" dxfId="2506" priority="14">
      <formula>$L$466="No"</formula>
    </cfRule>
    <cfRule type="expression" dxfId="2505" priority="15">
      <formula>$L$466="Yes"</formula>
    </cfRule>
  </conditionalFormatting>
  <conditionalFormatting sqref="M10">
    <cfRule type="expression" dxfId="2504" priority="189">
      <formula>IF(M10="No",1,0)</formula>
    </cfRule>
  </conditionalFormatting>
  <conditionalFormatting sqref="M13">
    <cfRule type="expression" dxfId="2503" priority="188">
      <formula>IF(M13="No",1,0)</formula>
    </cfRule>
  </conditionalFormatting>
  <conditionalFormatting sqref="M16">
    <cfRule type="expression" dxfId="2502" priority="187">
      <formula>IF(M16="No",1,0)</formula>
    </cfRule>
  </conditionalFormatting>
  <conditionalFormatting sqref="M19">
    <cfRule type="expression" dxfId="2501" priority="186">
      <formula>IF(M19="No",1,0)</formula>
    </cfRule>
  </conditionalFormatting>
  <conditionalFormatting sqref="N5">
    <cfRule type="expression" dxfId="2500" priority="126">
      <formula>NoColor</formula>
    </cfRule>
  </conditionalFormatting>
  <conditionalFormatting sqref="N62:Y65">
    <cfRule type="expression" dxfId="2499" priority="85">
      <formula>$N$59</formula>
    </cfRule>
  </conditionalFormatting>
  <conditionalFormatting sqref="O486:O488">
    <cfRule type="expression" dxfId="2498" priority="190">
      <formula>IF($O$480="",0,IF($O$480&gt;0,1,0))</formula>
    </cfRule>
  </conditionalFormatting>
  <hyperlinks>
    <hyperlink ref="D485" r:id="rId1" xr:uid="{00000000-0004-0000-1800-000000000000}"/>
    <hyperlink ref="B343" r:id="rId2" xr:uid="{00000000-0004-0000-1800-000001000000}"/>
  </hyperlinks>
  <pageMargins left="0.75" right="0.25" top="0.36" bottom="0.28999999999999998" header="0.36" footer="0.21"/>
  <pageSetup scale="67" fitToHeight="0" orientation="portrait" r:id="rId3"/>
  <rowBreaks count="9" manualBreakCount="9">
    <brk id="41" max="16383" man="1"/>
    <brk id="83" max="24" man="1"/>
    <brk id="156" max="24" man="1"/>
    <brk id="215" max="24" man="1"/>
    <brk id="282" max="16383" man="1"/>
    <brk id="290" max="24" man="1"/>
    <brk id="350" max="24" man="1"/>
    <brk id="397" max="24" man="1"/>
    <brk id="456" max="16383" man="1"/>
  </rowBreaks>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zoomScaleNormal="100" zoomScaleSheetLayoutView="100" workbookViewId="0">
      <selection activeCell="G74" sqref="G74:H76"/>
    </sheetView>
  </sheetViews>
  <sheetFormatPr defaultRowHeight="12.75"/>
  <cols>
    <col min="1" max="1" width="1.85546875" customWidth="1"/>
    <col min="2" max="2" width="14" customWidth="1"/>
    <col min="3" max="3" width="5.28515625" customWidth="1"/>
    <col min="4" max="4" width="2.140625" customWidth="1"/>
    <col min="5" max="5" width="3.85546875" customWidth="1"/>
    <col min="6" max="6" width="11" customWidth="1"/>
    <col min="7" max="7" width="4.140625" customWidth="1"/>
    <col min="8" max="8" width="21.42578125" customWidth="1"/>
    <col min="9" max="9" width="4.42578125" customWidth="1"/>
    <col min="10" max="10" width="10.5703125" customWidth="1"/>
    <col min="11" max="11" width="3.28515625" customWidth="1"/>
    <col min="12" max="12" width="4.28515625" customWidth="1"/>
    <col min="13" max="13" width="15.5703125" customWidth="1"/>
    <col min="14" max="14" width="3.5703125" style="187" customWidth="1"/>
    <col min="15" max="15" width="18.140625" customWidth="1"/>
    <col min="16" max="16" width="2.28515625" customWidth="1"/>
    <col min="17" max="17" width="14" style="665" customWidth="1"/>
    <col min="18" max="18" width="6.140625" customWidth="1"/>
    <col min="19" max="19" width="18.7109375" customWidth="1"/>
    <col min="20" max="21" width="3.5703125" customWidth="1"/>
    <col min="22" max="22" width="4.5703125" style="979" customWidth="1"/>
    <col min="23" max="23" width="3.5703125" style="39" customWidth="1"/>
    <col min="24" max="24" width="5.42578125" style="39" customWidth="1"/>
    <col min="25" max="25" width="9.85546875" style="39" customWidth="1"/>
    <col min="26" max="27" width="10.42578125" style="39" customWidth="1"/>
    <col min="28" max="28" width="11.85546875" style="39" customWidth="1"/>
    <col min="29" max="29" width="19.85546875" style="39" customWidth="1"/>
    <col min="30" max="30" width="5.28515625" style="39" customWidth="1"/>
    <col min="31" max="31" width="13.42578125" style="39" customWidth="1"/>
    <col min="32" max="32" width="3.28515625" style="39" customWidth="1"/>
    <col min="33" max="33" width="3.5703125" style="39" customWidth="1"/>
    <col min="34" max="34" width="12.7109375" style="39" customWidth="1"/>
    <col min="35" max="36" width="3.5703125" style="39" customWidth="1"/>
    <col min="37" max="37" width="6.5703125" style="39" customWidth="1"/>
    <col min="38" max="38" width="10.5703125" customWidth="1"/>
    <col min="39" max="39" width="4.140625" customWidth="1"/>
    <col min="40" max="40" width="13.7109375" style="4698" customWidth="1"/>
    <col min="41" max="50" width="10.7109375" style="2038" customWidth="1"/>
  </cols>
  <sheetData>
    <row r="1" spans="1:40" ht="16.5" customHeight="1" thickBot="1">
      <c r="A1" s="394"/>
      <c r="B1" s="394"/>
      <c r="C1" s="394"/>
      <c r="D1" s="394"/>
      <c r="E1" s="394"/>
      <c r="F1" s="394"/>
      <c r="G1" s="394"/>
      <c r="H1" s="394"/>
      <c r="I1" s="394"/>
      <c r="J1" s="394"/>
      <c r="K1" s="394"/>
      <c r="L1" s="394"/>
      <c r="M1" s="394"/>
      <c r="N1" s="394"/>
      <c r="O1" s="394"/>
      <c r="P1" s="394"/>
      <c r="AK1"/>
      <c r="AN1" s="4697" t="s">
        <v>241</v>
      </c>
    </row>
    <row r="2" spans="1:40" ht="14.25" customHeight="1">
      <c r="A2" s="394"/>
      <c r="B2" s="1467"/>
      <c r="C2" s="980"/>
      <c r="D2" s="1077"/>
      <c r="E2" s="1077"/>
      <c r="F2" s="1077"/>
      <c r="G2" s="1077"/>
      <c r="H2" s="1077"/>
      <c r="I2" s="1077"/>
      <c r="J2" s="1077"/>
      <c r="K2" s="1077"/>
      <c r="L2" s="1078"/>
      <c r="M2" s="394"/>
      <c r="N2" s="1467"/>
      <c r="O2" s="1078"/>
      <c r="P2" s="394"/>
      <c r="V2" s="3029" t="s">
        <v>2071</v>
      </c>
      <c r="W2" s="890"/>
      <c r="X2" s="890"/>
      <c r="Y2" s="890"/>
      <c r="Z2" s="890"/>
      <c r="AA2" s="890"/>
      <c r="AB2" s="890"/>
      <c r="AC2" s="890"/>
      <c r="AD2" s="1636" t="s">
        <v>2072</v>
      </c>
      <c r="AE2" s="890"/>
      <c r="AF2" s="890"/>
      <c r="AG2" s="890"/>
      <c r="AH2" s="890"/>
      <c r="AI2" s="2703"/>
      <c r="AJ2" s="902"/>
      <c r="AK2"/>
      <c r="AM2" s="550"/>
    </row>
    <row r="3" spans="1:40" ht="15.75" customHeight="1">
      <c r="A3" s="394"/>
      <c r="B3" s="1468" t="s">
        <v>2074</v>
      </c>
      <c r="C3" s="1459"/>
      <c r="D3" s="780"/>
      <c r="E3" s="780"/>
      <c r="F3" s="780"/>
      <c r="G3" s="780"/>
      <c r="H3" s="780"/>
      <c r="I3" s="780"/>
      <c r="J3" s="780"/>
      <c r="K3" s="780"/>
      <c r="L3" s="1079"/>
      <c r="M3" s="394"/>
      <c r="N3" s="2714" t="s">
        <v>421</v>
      </c>
      <c r="O3" s="1079"/>
      <c r="P3" s="394"/>
      <c r="V3" s="2635" t="s">
        <v>2073</v>
      </c>
      <c r="W3" s="808"/>
      <c r="X3" s="808"/>
      <c r="Y3" s="808"/>
      <c r="Z3" s="808"/>
      <c r="AA3" s="808"/>
      <c r="AB3" s="808"/>
      <c r="AC3" s="814" t="str">
        <f>TEXT(O18,"0.0%")&amp;" of the amount of your adjusted gross income on Form 1040, line 11."</f>
        <v>7.5% of the amount of your adjusted gross income on Form 1040, line 11.</v>
      </c>
      <c r="AD3" s="808"/>
      <c r="AE3" s="808"/>
      <c r="AF3" s="808"/>
      <c r="AG3" s="808"/>
      <c r="AH3" s="808"/>
      <c r="AI3" s="900"/>
      <c r="AJ3" s="4610"/>
      <c r="AK3"/>
      <c r="AM3" s="4608"/>
      <c r="AN3" s="4705" t="s">
        <v>251</v>
      </c>
    </row>
    <row r="4" spans="1:40" ht="12" customHeight="1">
      <c r="A4" s="394"/>
      <c r="B4" s="3739" t="s">
        <v>2076</v>
      </c>
      <c r="C4" s="1459"/>
      <c r="D4" s="780"/>
      <c r="E4" s="780"/>
      <c r="F4" s="780"/>
      <c r="G4" s="780"/>
      <c r="H4" s="780"/>
      <c r="I4" s="780"/>
      <c r="J4" s="780"/>
      <c r="K4" s="780"/>
      <c r="L4" s="1079"/>
      <c r="M4" s="394"/>
      <c r="N4" s="1466" t="s">
        <v>2077</v>
      </c>
      <c r="O4" s="1079"/>
      <c r="P4" s="394"/>
      <c r="V4" s="2077" t="s">
        <v>2075</v>
      </c>
      <c r="W4" s="2715"/>
      <c r="X4" s="2715"/>
      <c r="Y4" s="2715"/>
      <c r="Z4" s="2715"/>
      <c r="AA4" s="2715"/>
      <c r="AB4" s="2715"/>
      <c r="AC4" s="2715"/>
      <c r="AD4" s="2715"/>
      <c r="AE4" s="2715"/>
      <c r="AF4" s="2715"/>
      <c r="AG4" s="814" t="str">
        <f>"of  "&amp;TaxYear&amp;","</f>
        <v>of  2023,</v>
      </c>
      <c r="AH4" s="2715"/>
      <c r="AI4" s="900"/>
      <c r="AJ4" s="4612"/>
      <c r="AK4" s="866"/>
      <c r="AL4" s="866"/>
      <c r="AM4" s="866"/>
    </row>
    <row r="5" spans="1:40" ht="13.5" customHeight="1" thickBot="1">
      <c r="A5" s="394"/>
      <c r="B5" s="3739" t="str">
        <f>"If you paid additional state and local income taxes during "&amp;TaxYear&amp;", see worksheet at the right."</f>
        <v>If you paid additional state and local income taxes during 2023, see worksheet at the right.</v>
      </c>
      <c r="C5" s="981"/>
      <c r="D5" s="780"/>
      <c r="E5" s="780"/>
      <c r="F5" s="780"/>
      <c r="G5" s="780"/>
      <c r="H5" s="780"/>
      <c r="I5" s="780"/>
      <c r="J5" s="780"/>
      <c r="K5" s="780"/>
      <c r="L5" s="1079"/>
      <c r="M5" s="394"/>
      <c r="N5" s="1466" t="s">
        <v>2080</v>
      </c>
      <c r="O5" s="1079"/>
      <c r="P5" s="394"/>
      <c r="V5" s="7021" t="s">
        <v>2078</v>
      </c>
      <c r="W5" s="7022"/>
      <c r="X5" s="7022"/>
      <c r="Y5" s="7022"/>
      <c r="Z5" s="7022"/>
      <c r="AA5" s="7022"/>
      <c r="AB5" s="7022"/>
      <c r="AC5" s="7022"/>
      <c r="AD5" s="7022"/>
      <c r="AE5" s="7022"/>
      <c r="AF5" s="7022"/>
      <c r="AG5" s="7022"/>
      <c r="AH5" s="7022"/>
      <c r="AI5" s="1443"/>
      <c r="AJ5" s="4612"/>
      <c r="AK5" s="808"/>
      <c r="AL5" s="1376" t="s">
        <v>2079</v>
      </c>
      <c r="AM5" s="866"/>
    </row>
    <row r="6" spans="1:40" ht="13.5" thickBot="1">
      <c r="A6" s="394"/>
      <c r="B6" s="3739" t="s">
        <v>2082</v>
      </c>
      <c r="C6" s="981"/>
      <c r="D6" s="780"/>
      <c r="E6" s="780"/>
      <c r="F6" s="780"/>
      <c r="G6" s="780"/>
      <c r="H6" s="780"/>
      <c r="I6" s="780"/>
      <c r="J6" s="780"/>
      <c r="K6" s="780"/>
      <c r="L6" s="1079"/>
      <c r="M6" s="394"/>
      <c r="N6" s="1466" t="s">
        <v>2083</v>
      </c>
      <c r="O6" s="1079"/>
      <c r="P6" s="394"/>
      <c r="V6" s="2704"/>
      <c r="W6" s="2705"/>
      <c r="X6" s="2706"/>
      <c r="Y6" s="2706"/>
      <c r="Z6" s="2706"/>
      <c r="AA6" s="2706"/>
      <c r="AB6" s="2706"/>
      <c r="AC6" s="2707"/>
      <c r="AD6" s="2708"/>
      <c r="AE6" s="2713" t="str">
        <f>IF(File_Marr_Joint="","","You")</f>
        <v/>
      </c>
      <c r="AF6" s="2706"/>
      <c r="AG6" s="2712"/>
      <c r="AH6" s="2713" t="str">
        <f>IF(File_Marr_Joint="","","Spouse")</f>
        <v/>
      </c>
      <c r="AI6" s="3355"/>
      <c r="AJ6" s="4612"/>
      <c r="AK6" s="1896" t="s">
        <v>858</v>
      </c>
      <c r="AL6" s="1376" t="s">
        <v>2081</v>
      </c>
      <c r="AM6" s="866"/>
    </row>
    <row r="7" spans="1:40" ht="13.5" thickBot="1">
      <c r="A7" s="394"/>
      <c r="B7" s="1229"/>
      <c r="C7" s="896"/>
      <c r="D7" s="1081"/>
      <c r="E7" s="1081"/>
      <c r="F7" s="1081"/>
      <c r="G7" s="1081"/>
      <c r="H7" s="1081"/>
      <c r="I7" s="1081"/>
      <c r="J7" s="1081"/>
      <c r="K7" s="1081"/>
      <c r="L7" s="1082"/>
      <c r="M7" s="394"/>
      <c r="N7" s="1229"/>
      <c r="O7" s="1082"/>
      <c r="P7" s="394"/>
      <c r="V7" s="986"/>
      <c r="W7" s="866"/>
      <c r="X7" s="866"/>
      <c r="Y7" s="866"/>
      <c r="Z7" s="866"/>
      <c r="AA7" s="866"/>
      <c r="AB7" s="866"/>
      <c r="AC7" s="866"/>
      <c r="AD7" s="1104" t="str">
        <f>IF(AE7="","","Age:")</f>
        <v/>
      </c>
      <c r="AE7" s="5184" t="str">
        <f>IF(ISERROR(YourAge+1),"",YourAge)</f>
        <v/>
      </c>
      <c r="AF7" s="866"/>
      <c r="AG7" s="866"/>
      <c r="AH7" s="5184" t="str">
        <f>IF(ISERROR(SpouseAge+1),"",SpouseAge)</f>
        <v/>
      </c>
      <c r="AI7" s="987"/>
      <c r="AJ7" s="4612"/>
      <c r="AK7" s="4964">
        <v>0</v>
      </c>
      <c r="AL7" s="4613">
        <v>480</v>
      </c>
      <c r="AM7" s="866"/>
    </row>
    <row r="8" spans="1:40" ht="12.75" customHeight="1">
      <c r="A8" s="394"/>
      <c r="B8" s="394"/>
      <c r="C8" s="394"/>
      <c r="D8" s="394"/>
      <c r="E8" s="394"/>
      <c r="F8" s="394"/>
      <c r="G8" s="394"/>
      <c r="H8" s="394"/>
      <c r="I8" s="394"/>
      <c r="J8" s="394"/>
      <c r="K8" s="394"/>
      <c r="L8" s="394"/>
      <c r="M8" s="394"/>
      <c r="N8" s="431"/>
      <c r="O8" s="394"/>
      <c r="P8" s="394"/>
      <c r="V8" s="1635" t="s">
        <v>167</v>
      </c>
      <c r="W8" s="1104" t="s">
        <v>2084</v>
      </c>
      <c r="X8" s="866"/>
      <c r="Y8" s="866"/>
      <c r="Z8" s="866"/>
      <c r="AA8" s="866"/>
      <c r="AB8" s="866"/>
      <c r="AC8" s="866"/>
      <c r="AD8" s="2709" t="str">
        <f>IF(File_Marr_Joint="","1.","1a.")</f>
        <v>1.</v>
      </c>
      <c r="AE8" s="2701"/>
      <c r="AF8" s="866"/>
      <c r="AG8" s="2709" t="str">
        <f>IF(File_Marr_Joint="","","1b.")</f>
        <v/>
      </c>
      <c r="AH8" s="2701"/>
      <c r="AI8" s="867"/>
      <c r="AJ8" s="866"/>
      <c r="AK8" s="2102">
        <v>41</v>
      </c>
      <c r="AL8" s="4614">
        <v>890</v>
      </c>
      <c r="AM8" s="866"/>
    </row>
    <row r="9" spans="1:40" ht="15.75" customHeight="1">
      <c r="A9" s="394"/>
      <c r="B9" s="229" t="s">
        <v>2085</v>
      </c>
      <c r="C9" s="5115"/>
      <c r="D9" s="7035" t="s">
        <v>2086</v>
      </c>
      <c r="E9" s="7036"/>
      <c r="F9" s="7036"/>
      <c r="G9" s="7036"/>
      <c r="H9" s="7036"/>
      <c r="I9" s="7036"/>
      <c r="J9" s="7036"/>
      <c r="K9" s="7036"/>
      <c r="L9" s="7036"/>
      <c r="M9" s="7037"/>
      <c r="N9" s="7041" t="s">
        <v>576</v>
      </c>
      <c r="O9" s="7042"/>
      <c r="P9" s="431"/>
      <c r="Q9" s="5021" t="b">
        <f>OR(ItemizeAnyway,AND(O62&lt;&gt;0,O62&gt;Standard))</f>
        <v>0</v>
      </c>
      <c r="S9" s="962"/>
      <c r="V9" s="986"/>
      <c r="W9" s="866"/>
      <c r="X9" s="866"/>
      <c r="Y9" s="866"/>
      <c r="Z9" s="866"/>
      <c r="AA9" s="866"/>
      <c r="AB9" s="866"/>
      <c r="AC9" s="866"/>
      <c r="AD9" s="866"/>
      <c r="AE9" s="866"/>
      <c r="AF9" s="866"/>
      <c r="AG9" s="866"/>
      <c r="AH9" s="866"/>
      <c r="AI9" s="867"/>
      <c r="AJ9" s="866"/>
      <c r="AK9" s="2102">
        <v>51</v>
      </c>
      <c r="AL9" s="4614">
        <v>1790</v>
      </c>
      <c r="AM9" s="866"/>
    </row>
    <row r="10" spans="1:40" ht="18.75" customHeight="1">
      <c r="A10" s="394"/>
      <c r="B10" s="3741" t="s">
        <v>2088</v>
      </c>
      <c r="C10" s="5116"/>
      <c r="D10" s="7049" t="s">
        <v>2090</v>
      </c>
      <c r="E10" s="7049"/>
      <c r="F10" s="7049"/>
      <c r="G10" s="7049"/>
      <c r="H10" s="7049"/>
      <c r="I10" s="7049"/>
      <c r="J10" s="7049"/>
      <c r="K10" s="7049"/>
      <c r="L10" s="7049"/>
      <c r="M10" s="7049"/>
      <c r="N10" s="7047">
        <f>TaxYear</f>
        <v>2023</v>
      </c>
      <c r="O10" s="7048"/>
      <c r="P10" s="431"/>
      <c r="Q10" s="666"/>
      <c r="R10" s="187"/>
      <c r="V10" s="1635" t="s">
        <v>171</v>
      </c>
      <c r="W10" s="1104" t="s">
        <v>2087</v>
      </c>
      <c r="X10" s="866"/>
      <c r="Y10" s="866"/>
      <c r="Z10" s="866"/>
      <c r="AA10" s="866"/>
      <c r="AB10" s="866"/>
      <c r="AC10" s="866"/>
      <c r="AD10" s="2709" t="str">
        <f>IF(File_Marr_Joint="","2.","2a.")</f>
        <v>2.</v>
      </c>
      <c r="AE10" s="5893" t="str">
        <f>IF(AE8="","",IF(YourAge="?","Birthdate needed.",LOOKUP(YourAge,AK7:AK11,AL7:AL11)))</f>
        <v/>
      </c>
      <c r="AF10" s="866"/>
      <c r="AG10" s="2709" t="str">
        <f>IF(File_Marr_Joint="","","2b.")</f>
        <v/>
      </c>
      <c r="AH10" s="2702" t="str">
        <f>IF(AH8="","",IF(File_Marr_Joint="","",IF(SpouseAge="?","Birthdate needed.",LOOKUP(SpouseAge,AK7:AK11,AL7:AL11))))</f>
        <v/>
      </c>
      <c r="AI10" s="867"/>
      <c r="AJ10" s="866"/>
      <c r="AK10" s="2102">
        <v>61</v>
      </c>
      <c r="AL10" s="4614">
        <v>4770</v>
      </c>
      <c r="AM10" s="866"/>
    </row>
    <row r="11" spans="1:40" ht="13.5" customHeight="1" thickBot="1">
      <c r="A11" s="394"/>
      <c r="B11" s="6044" t="s">
        <v>535</v>
      </c>
      <c r="C11" s="5117"/>
      <c r="D11" s="7050" t="s">
        <v>2089</v>
      </c>
      <c r="E11" s="7050"/>
      <c r="F11" s="7050"/>
      <c r="G11" s="7050"/>
      <c r="H11" s="7050"/>
      <c r="I11" s="7050"/>
      <c r="J11" s="7050"/>
      <c r="K11" s="7050"/>
      <c r="L11" s="7050"/>
      <c r="M11" s="7050"/>
      <c r="N11" s="5562"/>
      <c r="O11" s="6045" t="s">
        <v>1194</v>
      </c>
      <c r="P11" s="431"/>
      <c r="Q11" s="666"/>
      <c r="R11" s="187"/>
      <c r="V11" s="986"/>
      <c r="W11" s="866"/>
      <c r="X11" s="866"/>
      <c r="Y11" s="866"/>
      <c r="Z11" s="866"/>
      <c r="AA11" s="866"/>
      <c r="AB11" s="866"/>
      <c r="AC11" s="866"/>
      <c r="AD11" s="866"/>
      <c r="AE11" s="866"/>
      <c r="AF11" s="866"/>
      <c r="AG11" s="866"/>
      <c r="AH11" s="866"/>
      <c r="AI11" s="867"/>
      <c r="AJ11" s="866"/>
      <c r="AK11" s="4965">
        <v>71</v>
      </c>
      <c r="AL11" s="4615">
        <v>5960</v>
      </c>
      <c r="AM11" s="866"/>
    </row>
    <row r="12" spans="1:40" ht="13.5" customHeight="1" thickBot="1">
      <c r="A12" s="394"/>
      <c r="B12" s="5118" t="s">
        <v>537</v>
      </c>
      <c r="C12" s="5119"/>
      <c r="D12" s="7051" t="s">
        <v>2091</v>
      </c>
      <c r="E12" s="7052"/>
      <c r="F12" s="7052"/>
      <c r="G12" s="7052"/>
      <c r="H12" s="7052"/>
      <c r="I12" s="7052"/>
      <c r="J12" s="7052"/>
      <c r="K12" s="7052"/>
      <c r="L12" s="7052"/>
      <c r="M12" s="7052"/>
      <c r="N12" s="5120"/>
      <c r="O12" s="6043" t="s">
        <v>2092</v>
      </c>
      <c r="P12" s="431"/>
      <c r="Q12" s="667" t="s">
        <v>1113</v>
      </c>
      <c r="R12" s="187"/>
      <c r="V12" s="1635" t="s">
        <v>177</v>
      </c>
      <c r="W12" s="1104" t="str">
        <f>IF(File_Marr_Joint="","Enter the smaller of line 1 or line 2","Enter the smaller of 1.a or 2.a (and of 1.b or 2.b)")</f>
        <v>Enter the smaller of line 1 or line 2</v>
      </c>
      <c r="X12" s="2710"/>
      <c r="Y12" s="2710"/>
      <c r="Z12" s="2710"/>
      <c r="AA12" s="2710"/>
      <c r="AB12" s="2710"/>
      <c r="AC12" s="2710"/>
      <c r="AD12" s="2709" t="str">
        <f>IF(File_Marr_Joint="","3.","3a.")</f>
        <v>3.</v>
      </c>
      <c r="AE12" s="2702" t="str">
        <f>IF(OR(AE8="",ISERROR(AE10+1)),"",MIN(AE8,AE10))</f>
        <v/>
      </c>
      <c r="AF12" s="866"/>
      <c r="AG12" s="2709" t="str">
        <f>IF(File_Marr_Joint="","","3b.")</f>
        <v/>
      </c>
      <c r="AH12" s="2702" t="str">
        <f>IF(OR(ISERROR(AH10+1),File_Marr_Joint="", AH8=""),"",MIN(AH8,AH10))</f>
        <v/>
      </c>
      <c r="AI12" s="867"/>
      <c r="AJ12" s="866"/>
      <c r="AK12" s="866"/>
      <c r="AL12" s="866"/>
      <c r="AM12" s="866"/>
    </row>
    <row r="13" spans="1:40" ht="15.75" customHeight="1" thickTop="1">
      <c r="A13" s="394"/>
      <c r="B13" s="20" t="s">
        <v>2093</v>
      </c>
      <c r="C13" s="21"/>
      <c r="D13" s="132"/>
      <c r="E13" s="132"/>
      <c r="F13" s="132"/>
      <c r="G13" s="132"/>
      <c r="H13" s="132"/>
      <c r="I13" s="111"/>
      <c r="J13" s="111"/>
      <c r="K13" s="111"/>
      <c r="L13" s="111"/>
      <c r="M13" s="112"/>
      <c r="N13" s="7045" t="s">
        <v>586</v>
      </c>
      <c r="O13" s="7046"/>
      <c r="P13" s="431"/>
      <c r="Q13" s="667" t="s">
        <v>867</v>
      </c>
      <c r="R13" s="187"/>
      <c r="V13" s="986"/>
      <c r="W13" s="866"/>
      <c r="X13" s="866"/>
      <c r="Y13" s="866"/>
      <c r="Z13" s="866"/>
      <c r="AA13" s="866"/>
      <c r="AB13" s="866"/>
      <c r="AC13" s="866"/>
      <c r="AD13" s="866"/>
      <c r="AE13" s="866"/>
      <c r="AF13" s="866"/>
      <c r="AG13" s="866"/>
      <c r="AH13" s="866"/>
      <c r="AI13" s="867"/>
      <c r="AK13"/>
    </row>
    <row r="14" spans="1:40" ht="17.25" customHeight="1">
      <c r="A14" s="394"/>
      <c r="B14" s="7053" t="str">
        <f>Names</f>
        <v/>
      </c>
      <c r="C14" s="7053"/>
      <c r="D14" s="7053"/>
      <c r="E14" s="7053"/>
      <c r="F14" s="7053"/>
      <c r="G14" s="7053"/>
      <c r="H14" s="7053"/>
      <c r="I14" s="7053"/>
      <c r="J14" s="7053"/>
      <c r="K14" s="7053"/>
      <c r="L14" s="7053"/>
      <c r="M14" s="7054"/>
      <c r="N14" s="7043">
        <f>IF(NoSSN,"",SS_Yours)</f>
        <v>1010001</v>
      </c>
      <c r="O14" s="7044"/>
      <c r="P14" s="431"/>
      <c r="Q14" s="667" t="s">
        <v>2094</v>
      </c>
      <c r="R14" s="187"/>
      <c r="V14" s="1635" t="s">
        <v>182</v>
      </c>
      <c r="W14" s="1104" t="str">
        <f>IF(File_Marr_Joint="","Enter amount from line 3.","Add lines 3a and 3b.")</f>
        <v>Enter amount from line 3.</v>
      </c>
      <c r="X14" s="866"/>
      <c r="Y14" s="866"/>
      <c r="Z14" s="866"/>
      <c r="AA14" s="866"/>
      <c r="AB14" s="866"/>
      <c r="AC14" s="866"/>
      <c r="AD14" s="2709"/>
      <c r="AE14" s="2710"/>
      <c r="AF14" s="866"/>
      <c r="AG14" s="2709" t="s">
        <v>182</v>
      </c>
      <c r="AH14" s="2702" t="str">
        <f>IF(AND(AE12="",AH12=""),"",IF(File_Marr_Joint&lt;&gt;"",SUM(AE12,AH12),AE12))</f>
        <v/>
      </c>
      <c r="AI14" s="867"/>
      <c r="AK14"/>
      <c r="AN14" s="4703"/>
    </row>
    <row r="15" spans="1:40" ht="14.25" customHeight="1" thickBot="1">
      <c r="A15" s="394"/>
      <c r="B15" s="1176" t="s">
        <v>2095</v>
      </c>
      <c r="C15" s="21"/>
      <c r="D15" s="21" t="s">
        <v>2096</v>
      </c>
      <c r="E15" s="130"/>
      <c r="F15" s="130"/>
      <c r="G15" s="130"/>
      <c r="H15" s="130"/>
      <c r="I15" s="111"/>
      <c r="J15" s="111"/>
      <c r="K15" s="2508"/>
      <c r="L15" s="2516"/>
      <c r="M15" s="112"/>
      <c r="N15" s="2516"/>
      <c r="O15" s="1866"/>
      <c r="P15" s="431"/>
      <c r="Q15" s="668"/>
      <c r="R15" s="187"/>
      <c r="V15" s="986"/>
      <c r="W15" s="866"/>
      <c r="X15" s="866"/>
      <c r="Y15" s="866"/>
      <c r="Z15" s="866"/>
      <c r="AA15" s="866"/>
      <c r="AB15" s="866"/>
      <c r="AC15" s="866"/>
      <c r="AD15" s="866"/>
      <c r="AE15" s="866"/>
      <c r="AF15" s="866"/>
      <c r="AG15" s="866"/>
      <c r="AH15" s="866"/>
      <c r="AI15" s="867"/>
      <c r="AK15"/>
      <c r="AN15" s="4703"/>
    </row>
    <row r="16" spans="1:40" ht="16.5" thickBot="1">
      <c r="A16" s="394"/>
      <c r="B16" s="1176" t="s">
        <v>495</v>
      </c>
      <c r="C16" s="21">
        <v>1</v>
      </c>
      <c r="D16" s="133" t="s">
        <v>2097</v>
      </c>
      <c r="E16" s="133"/>
      <c r="F16" s="133"/>
      <c r="G16" s="133"/>
      <c r="H16" s="133"/>
      <c r="I16" s="21"/>
      <c r="J16" s="379"/>
      <c r="K16" s="379" t="s">
        <v>2098</v>
      </c>
      <c r="L16" s="228">
        <v>1</v>
      </c>
      <c r="M16" s="5888" t="str">
        <f>IF(Q16&lt;&gt;"",ROUND(Q16,0),IF(SchA_Blank,"",AH18))</f>
        <v/>
      </c>
      <c r="N16" s="2517"/>
      <c r="O16" s="2523">
        <v>5000</v>
      </c>
      <c r="P16" s="431"/>
      <c r="Q16" s="669"/>
      <c r="R16" s="187"/>
      <c r="V16" s="1635" t="s">
        <v>198</v>
      </c>
      <c r="W16" s="1104" t="s">
        <v>5718</v>
      </c>
      <c r="X16" s="866"/>
      <c r="Y16" s="866"/>
      <c r="Z16" s="866"/>
      <c r="AA16" s="866"/>
      <c r="AB16" s="866"/>
      <c r="AC16" s="866"/>
      <c r="AD16" s="2709"/>
      <c r="AE16" s="2710"/>
      <c r="AF16" s="866"/>
      <c r="AG16" s="2709" t="s">
        <v>198</v>
      </c>
      <c r="AH16" s="2701"/>
      <c r="AI16" s="867"/>
      <c r="AK16"/>
      <c r="AN16" s="4703"/>
    </row>
    <row r="17" spans="1:41" ht="15.75">
      <c r="A17" s="394"/>
      <c r="B17" s="1176" t="s">
        <v>2099</v>
      </c>
      <c r="C17" s="21">
        <v>2</v>
      </c>
      <c r="D17" s="133" t="s">
        <v>2100</v>
      </c>
      <c r="E17" s="189"/>
      <c r="F17" s="189"/>
      <c r="G17" s="189"/>
      <c r="H17" s="379"/>
      <c r="I17" s="227">
        <v>2</v>
      </c>
      <c r="J17" s="7055" t="str">
        <f>IF(M16="","",IF(SchA_Blank,"",Adj_Gross_Inc))</f>
        <v/>
      </c>
      <c r="K17" s="7056"/>
      <c r="L17" s="2517"/>
      <c r="M17" s="18"/>
      <c r="N17" s="2525"/>
      <c r="O17" s="2523">
        <v>10000</v>
      </c>
      <c r="P17" s="431"/>
      <c r="Q17" s="668"/>
      <c r="R17" s="187"/>
      <c r="S17" s="918"/>
      <c r="V17" s="986"/>
      <c r="W17" s="866"/>
      <c r="X17" s="866"/>
      <c r="Y17" s="866"/>
      <c r="Z17" s="866"/>
      <c r="AA17" s="866"/>
      <c r="AB17" s="866"/>
      <c r="AC17" s="866"/>
      <c r="AD17" s="866"/>
      <c r="AE17" s="866"/>
      <c r="AF17" s="866"/>
      <c r="AG17" s="866"/>
      <c r="AH17" s="866"/>
      <c r="AI17" s="867"/>
      <c r="AK17"/>
      <c r="AN17" s="4703"/>
    </row>
    <row r="18" spans="1:41" ht="14.25" customHeight="1" thickBot="1">
      <c r="A18" s="394"/>
      <c r="B18" s="1176" t="s">
        <v>2102</v>
      </c>
      <c r="C18" s="21">
        <v>3</v>
      </c>
      <c r="D18" s="133" t="str">
        <f>"Multiply line 2 above by "&amp;TEXT(O18,"0.0%")&amp;" ("&amp;TEXT(O18,"0.000")&amp;")"</f>
        <v>Multiply line 2 above by 7.5% (0.075)</v>
      </c>
      <c r="E18" s="133"/>
      <c r="F18" s="133"/>
      <c r="G18" s="133"/>
      <c r="H18" s="133"/>
      <c r="I18" s="21"/>
      <c r="J18" s="379"/>
      <c r="K18" s="379" t="s">
        <v>709</v>
      </c>
      <c r="L18" s="228">
        <v>3</v>
      </c>
      <c r="M18" s="5888" t="str">
        <f>IF(SchA_Blank,"",IF(AND(J17&lt;&gt;0,J17&lt;&gt;""),J17*O18,""))</f>
        <v/>
      </c>
      <c r="N18" s="2517"/>
      <c r="O18" s="2524">
        <v>7.4999999999999997E-2</v>
      </c>
      <c r="P18" s="431"/>
      <c r="Q18" s="668"/>
      <c r="R18" s="906"/>
      <c r="S18" s="918"/>
      <c r="V18" s="1635" t="s">
        <v>202</v>
      </c>
      <c r="W18" s="1104" t="s">
        <v>2101</v>
      </c>
      <c r="X18" s="866"/>
      <c r="Y18" s="866"/>
      <c r="Z18" s="866"/>
      <c r="AA18" s="866"/>
      <c r="AB18" s="866"/>
      <c r="AC18" s="866"/>
      <c r="AD18" s="2709"/>
      <c r="AE18" s="2710"/>
      <c r="AF18" s="866"/>
      <c r="AG18" s="2709" t="s">
        <v>202</v>
      </c>
      <c r="AH18" s="5893" t="str">
        <f>IF(AND(AH14="",AH16=""),"",IF(AH14="",ROUND(AH16,0),SUM(ROUND(AH14,0),ROUND(AH16,0))))</f>
        <v/>
      </c>
      <c r="AI18" s="867"/>
      <c r="AK18"/>
      <c r="AN18" s="4703"/>
    </row>
    <row r="19" spans="1:41" ht="13.5" thickBot="1">
      <c r="A19" s="394"/>
      <c r="B19" s="15"/>
      <c r="C19" s="15">
        <v>4</v>
      </c>
      <c r="D19" s="172" t="s">
        <v>2103</v>
      </c>
      <c r="E19" s="172"/>
      <c r="F19" s="172"/>
      <c r="G19" s="172"/>
      <c r="H19" s="172"/>
      <c r="I19" s="16"/>
      <c r="J19" s="16"/>
      <c r="K19" s="2515"/>
      <c r="L19" s="16"/>
      <c r="M19" s="627" t="s">
        <v>709</v>
      </c>
      <c r="N19" s="227">
        <v>4</v>
      </c>
      <c r="O19" s="5889" t="str">
        <f>IF(Q19&lt;&gt;"",ROUND(Q19,0),IF(OR(SchA_Blank,M16="",M16=0,J17=0,J17=""),"",IF(M18&lt;0, M16,IF(M18&gt;M16,0,ROUND(M16-M18,0)))))</f>
        <v/>
      </c>
      <c r="P19" s="431"/>
      <c r="Q19" s="669"/>
      <c r="R19" s="187"/>
      <c r="S19" s="918"/>
      <c r="V19" s="2711"/>
      <c r="W19" s="871"/>
      <c r="X19" s="871"/>
      <c r="Y19" s="871"/>
      <c r="Z19" s="871"/>
      <c r="AA19" s="871"/>
      <c r="AB19" s="871"/>
      <c r="AC19" s="871"/>
      <c r="AD19" s="871"/>
      <c r="AE19" s="871"/>
      <c r="AF19" s="871"/>
      <c r="AG19" s="871"/>
      <c r="AH19" s="871"/>
      <c r="AI19" s="990"/>
      <c r="AK19"/>
    </row>
    <row r="20" spans="1:41" ht="16.5" thickBot="1">
      <c r="A20" s="394"/>
      <c r="B20" s="1176" t="s">
        <v>2104</v>
      </c>
      <c r="C20" s="21">
        <v>5</v>
      </c>
      <c r="D20" s="699" t="s">
        <v>2105</v>
      </c>
      <c r="E20" s="133"/>
      <c r="F20" s="133"/>
      <c r="G20" s="133"/>
      <c r="H20" s="133"/>
      <c r="I20" s="21"/>
      <c r="J20" s="589"/>
      <c r="K20" s="2510"/>
      <c r="L20" s="431"/>
      <c r="M20" s="5563"/>
      <c r="N20" s="431"/>
      <c r="O20" s="3147">
        <f>ROUND(SUM(StateTaxW2,LocalTaxW2,StateTax_INT,StateTax_DIV,StateTaxIRA,LocalTaxIRA,StateTaxPA,LocalTaxPA),0)</f>
        <v>0</v>
      </c>
      <c r="P20" s="431"/>
      <c r="Q20" s="668"/>
      <c r="R20" s="187"/>
      <c r="AK20"/>
    </row>
    <row r="21" spans="1:41" ht="15" customHeight="1" thickBot="1">
      <c r="A21" s="394"/>
      <c r="B21" s="4953" t="s">
        <v>2106</v>
      </c>
      <c r="C21" s="21"/>
      <c r="D21" s="168" t="s">
        <v>640</v>
      </c>
      <c r="E21" s="267" t="s">
        <v>2107</v>
      </c>
      <c r="F21" s="1391"/>
      <c r="G21" s="133"/>
      <c r="H21" s="133"/>
      <c r="I21" s="21"/>
      <c r="J21" s="316"/>
      <c r="K21" s="2511"/>
      <c r="L21" s="2517"/>
      <c r="M21" s="5563"/>
      <c r="N21" s="2517"/>
      <c r="O21" s="3148">
        <f>IF(File_Marr_Sep&lt;&gt;"",$O$16,$O$17)</f>
        <v>10000</v>
      </c>
      <c r="P21" s="431"/>
      <c r="Q21" s="858" t="s">
        <v>2108</v>
      </c>
      <c r="R21" s="187"/>
      <c r="V21" s="983"/>
      <c r="W21" s="1636" t="s">
        <v>2072</v>
      </c>
      <c r="X21" s="890"/>
      <c r="Y21" s="890"/>
      <c r="Z21" s="890"/>
      <c r="AA21" s="890"/>
      <c r="AB21" s="890"/>
      <c r="AC21" s="890"/>
      <c r="AD21" s="890"/>
      <c r="AE21" s="7029" t="s">
        <v>1057</v>
      </c>
      <c r="AF21" s="7029"/>
      <c r="AG21" s="7029"/>
      <c r="AH21" s="7029"/>
      <c r="AI21" s="891"/>
      <c r="AK21"/>
    </row>
    <row r="22" spans="1:41" ht="12.75" customHeight="1" thickBot="1">
      <c r="A22" s="394"/>
      <c r="B22" s="397"/>
      <c r="C22" s="21"/>
      <c r="D22" s="21"/>
      <c r="E22" s="699" t="s">
        <v>2110</v>
      </c>
      <c r="F22" s="130"/>
      <c r="G22" s="130"/>
      <c r="H22" s="130"/>
      <c r="I22" s="21"/>
      <c r="J22" s="379"/>
      <c r="K22" s="2511"/>
      <c r="L22" s="2517"/>
      <c r="M22" s="5563"/>
      <c r="N22" s="2517"/>
      <c r="O22" s="5564"/>
      <c r="P22" s="431"/>
      <c r="Q22" s="669"/>
      <c r="R22" s="187"/>
      <c r="V22" s="3030" t="s">
        <v>2109</v>
      </c>
      <c r="W22" s="808"/>
      <c r="X22" s="808"/>
      <c r="Y22" s="808"/>
      <c r="Z22" s="808"/>
      <c r="AA22" s="808"/>
      <c r="AB22" s="808"/>
      <c r="AC22" s="808"/>
      <c r="AD22" s="808"/>
      <c r="AE22" s="7030"/>
      <c r="AF22" s="7030"/>
      <c r="AG22" s="7030"/>
      <c r="AH22" s="7030"/>
      <c r="AI22" s="860"/>
      <c r="AK22"/>
    </row>
    <row r="23" spans="1:41" ht="12.75" customHeight="1" thickBot="1">
      <c r="A23" s="394"/>
      <c r="B23" s="397"/>
      <c r="C23" s="21"/>
      <c r="D23" s="21"/>
      <c r="E23" s="699" t="s">
        <v>2111</v>
      </c>
      <c r="F23" s="130"/>
      <c r="G23" s="130"/>
      <c r="H23" s="130"/>
      <c r="I23" s="21"/>
      <c r="J23" s="379"/>
      <c r="K23" s="2511"/>
      <c r="L23" s="2518"/>
      <c r="M23" s="5563"/>
      <c r="N23" s="2517"/>
      <c r="O23" s="2368"/>
      <c r="P23" s="431"/>
      <c r="Q23" s="668"/>
      <c r="R23" s="187"/>
      <c r="V23" s="982"/>
      <c r="W23" s="896"/>
      <c r="X23" s="896"/>
      <c r="Y23" s="896"/>
      <c r="Z23" s="896"/>
      <c r="AA23" s="896"/>
      <c r="AB23" s="896"/>
      <c r="AC23" s="896"/>
      <c r="AD23" s="896"/>
      <c r="AE23" s="896"/>
      <c r="AF23" s="896"/>
      <c r="AG23" s="896"/>
      <c r="AH23" s="896"/>
      <c r="AI23" s="897"/>
      <c r="AK23"/>
    </row>
    <row r="24" spans="1:41" ht="12.75" customHeight="1" thickBot="1">
      <c r="A24" s="394"/>
      <c r="B24" s="20"/>
      <c r="C24" s="21"/>
      <c r="D24" s="21"/>
      <c r="E24" s="699" t="s">
        <v>2112</v>
      </c>
      <c r="F24" s="1391"/>
      <c r="G24" s="133"/>
      <c r="H24" s="133"/>
      <c r="I24" s="21"/>
      <c r="J24" s="379" t="s">
        <v>898</v>
      </c>
      <c r="K24" s="809"/>
      <c r="L24" s="227" t="s">
        <v>682</v>
      </c>
      <c r="M24" s="5890" t="str">
        <f>IF(SchA_Blank,"",IF(AND(O24,Q22&lt;&gt;""),Q22,IF(O24,SUM(O20,AH38),IF(K24="X",Q24,""))))</f>
        <v/>
      </c>
      <c r="N24" s="2517"/>
      <c r="O24" s="2519" t="b">
        <f>IF(K24&lt;&gt;"",FALSE,IF(OR(O20&lt;&gt;0,Q22&lt;&gt;"",AH38&gt;0),TRUE,FALSE))</f>
        <v>0</v>
      </c>
      <c r="P24" s="431"/>
      <c r="Q24" s="669"/>
      <c r="R24" s="187"/>
      <c r="S24" s="3143">
        <f>IF(Q22&lt;&gt;"",ROUND(Q22,0),SUM(O20,AH38))</f>
        <v>0</v>
      </c>
      <c r="V24" s="986"/>
      <c r="W24" s="866"/>
      <c r="X24" s="866"/>
      <c r="Y24" s="866"/>
      <c r="Z24" s="866"/>
      <c r="AA24" s="866"/>
      <c r="AB24" s="866"/>
      <c r="AC24" s="866"/>
      <c r="AD24" s="866"/>
      <c r="AE24" s="987"/>
      <c r="AF24" s="987"/>
      <c r="AG24" s="866"/>
      <c r="AH24" s="866"/>
      <c r="AI24" s="867"/>
      <c r="AK24"/>
    </row>
    <row r="25" spans="1:41" ht="12.75" customHeight="1">
      <c r="A25" s="394"/>
      <c r="B25" s="20"/>
      <c r="C25" s="21"/>
      <c r="D25" s="168" t="s">
        <v>644</v>
      </c>
      <c r="E25" s="699" t="s">
        <v>2113</v>
      </c>
      <c r="F25" s="133"/>
      <c r="G25" s="133"/>
      <c r="H25" s="133"/>
      <c r="I25" s="21"/>
      <c r="J25" s="379"/>
      <c r="K25" s="379" t="s">
        <v>2114</v>
      </c>
      <c r="L25" s="227" t="s">
        <v>1119</v>
      </c>
      <c r="M25" s="2591"/>
      <c r="N25" s="2517"/>
      <c r="O25" s="3149">
        <f>IF(M24="",0,ROUND(M24,0))</f>
        <v>0</v>
      </c>
      <c r="P25" s="431"/>
      <c r="Q25" s="858" t="s">
        <v>2115</v>
      </c>
      <c r="R25" s="187"/>
      <c r="V25" s="986" t="s">
        <v>167</v>
      </c>
      <c r="W25" s="1104" t="str">
        <f>"Enter State and local income taxes paid in "&amp;TaxYear&amp;" for a prior year, such as taxes paid with your "&amp;TaxYear-1&amp;" state or"</f>
        <v>Enter State and local income taxes paid in 2023 for a prior year, such as taxes paid with your 2022 state or</v>
      </c>
      <c r="X25" s="866"/>
      <c r="Y25" s="866"/>
      <c r="Z25" s="866"/>
      <c r="AA25" s="866"/>
      <c r="AB25" s="866"/>
      <c r="AC25" s="866"/>
      <c r="AD25" s="866"/>
      <c r="AE25" s="987"/>
      <c r="AF25" s="987"/>
      <c r="AG25" s="866"/>
      <c r="AH25" s="866"/>
      <c r="AI25" s="867"/>
      <c r="AK25"/>
    </row>
    <row r="26" spans="1:41" ht="13.5" customHeight="1">
      <c r="A26" s="394"/>
      <c r="B26" s="20"/>
      <c r="C26" s="21"/>
      <c r="D26" s="168" t="s">
        <v>648</v>
      </c>
      <c r="E26" s="699" t="s">
        <v>2116</v>
      </c>
      <c r="F26" s="133"/>
      <c r="G26" s="133"/>
      <c r="H26" s="133"/>
      <c r="I26" s="21"/>
      <c r="J26" s="21"/>
      <c r="K26" s="379" t="s">
        <v>888</v>
      </c>
      <c r="L26" s="227" t="s">
        <v>2117</v>
      </c>
      <c r="M26" s="2591"/>
      <c r="N26" s="2517"/>
      <c r="O26" s="3149">
        <f>ROUND(M25,0)</f>
        <v>0</v>
      </c>
      <c r="P26" s="431"/>
      <c r="Q26" s="668"/>
      <c r="R26" s="187"/>
      <c r="V26" s="986"/>
      <c r="W26" s="1104" t="str">
        <f>"local income tax return. Don't include the portion of State and local taxes paid in "&amp;TaxYear-1&amp;", penalties or interest."</f>
        <v>local income tax return. Don't include the portion of State and local taxes paid in 2022, penalties or interest.</v>
      </c>
      <c r="X26" s="866"/>
      <c r="Y26" s="866"/>
      <c r="Z26" s="866"/>
      <c r="AA26" s="866"/>
      <c r="AB26" s="866"/>
      <c r="AC26" s="866"/>
      <c r="AD26" s="866"/>
      <c r="AE26" s="987"/>
      <c r="AF26" s="987"/>
      <c r="AG26" s="866"/>
      <c r="AH26" s="1637"/>
      <c r="AI26" s="867"/>
      <c r="AK26"/>
      <c r="AO26" s="2044"/>
    </row>
    <row r="27" spans="1:41" ht="12.75" customHeight="1">
      <c r="A27" s="394"/>
      <c r="B27" s="20"/>
      <c r="C27" s="21"/>
      <c r="D27" s="168" t="s">
        <v>652</v>
      </c>
      <c r="E27" s="699" t="s">
        <v>2118</v>
      </c>
      <c r="F27" s="133"/>
      <c r="G27" s="133"/>
      <c r="H27" s="133"/>
      <c r="I27" s="21"/>
      <c r="J27" s="21"/>
      <c r="K27" s="379" t="s">
        <v>1034</v>
      </c>
      <c r="L27" s="227" t="s">
        <v>2119</v>
      </c>
      <c r="M27" s="5891">
        <f>IF(SchA_Blank,"",SUM(O25:O27))</f>
        <v>0</v>
      </c>
      <c r="N27" s="2517"/>
      <c r="O27" s="3149">
        <f>ROUND(M26,0)</f>
        <v>0</v>
      </c>
      <c r="P27" s="431"/>
      <c r="Q27" s="668"/>
      <c r="R27" s="187"/>
      <c r="V27" s="986"/>
      <c r="W27" s="866"/>
      <c r="X27" s="866"/>
      <c r="Y27" s="866"/>
      <c r="Z27" s="866"/>
      <c r="AA27" s="866"/>
      <c r="AB27" s="866"/>
      <c r="AC27" s="866"/>
      <c r="AD27" s="866"/>
      <c r="AE27" s="987"/>
      <c r="AF27" s="987"/>
      <c r="AG27" s="866"/>
      <c r="AH27" s="866"/>
      <c r="AI27" s="867"/>
      <c r="AK27"/>
    </row>
    <row r="28" spans="1:41" ht="12.75" customHeight="1" thickBot="1">
      <c r="A28" s="394"/>
      <c r="B28" s="20"/>
      <c r="C28" s="21"/>
      <c r="D28" s="168" t="s">
        <v>656</v>
      </c>
      <c r="E28" s="699" t="str">
        <f>"Enter the smaller of line 5d or "&amp;TEXT($O$17,"$0,000")&amp;" ("&amp;TEXT(O16,"$0,000")&amp;" if married filing"</f>
        <v>Enter the smaller of line 5d or $10,000 ($5,000 if married filing</v>
      </c>
      <c r="F28" s="133"/>
      <c r="G28" s="133"/>
      <c r="H28" s="133"/>
      <c r="I28" s="21"/>
      <c r="J28" s="21"/>
      <c r="K28" s="379"/>
      <c r="L28" s="2518"/>
      <c r="M28" s="188"/>
      <c r="N28" s="2517"/>
      <c r="O28" s="2369"/>
      <c r="P28" s="431"/>
      <c r="Q28" s="668"/>
      <c r="R28" s="187"/>
      <c r="V28" s="868" t="s">
        <v>171</v>
      </c>
      <c r="W28" s="1104" t="str">
        <f>"State and local estimated tax payments made during "&amp;TaxYear&amp;", including any part of a prior year refund that you"</f>
        <v>State and local estimated tax payments made during 2023, including any part of a prior year refund that you</v>
      </c>
      <c r="X28" s="866"/>
      <c r="Y28" s="866"/>
      <c r="Z28" s="866"/>
      <c r="AA28" s="866"/>
      <c r="AB28" s="866"/>
      <c r="AC28" s="866"/>
      <c r="AD28" s="866"/>
      <c r="AE28" s="987"/>
      <c r="AF28" s="987"/>
      <c r="AG28" s="866"/>
      <c r="AH28" s="866"/>
      <c r="AI28" s="867"/>
      <c r="AK28"/>
    </row>
    <row r="29" spans="1:41" ht="12.75" customHeight="1" thickBot="1">
      <c r="A29" s="394"/>
      <c r="B29" s="20"/>
      <c r="C29" s="21"/>
      <c r="D29" s="168"/>
      <c r="E29" s="699" t="s">
        <v>2120</v>
      </c>
      <c r="F29" s="133"/>
      <c r="G29" s="133"/>
      <c r="H29" s="133"/>
      <c r="I29" s="21"/>
      <c r="J29" s="21"/>
      <c r="K29" s="379" t="s">
        <v>1211</v>
      </c>
      <c r="L29" s="227" t="s">
        <v>2121</v>
      </c>
      <c r="M29" s="5890">
        <f>IF(Q29&lt;&gt;"",ROUND(Q29,0),IF(SchA_Blank,"",MIN(M27,O21)))</f>
        <v>0</v>
      </c>
      <c r="N29" s="2517"/>
      <c r="O29" s="2369"/>
      <c r="P29" s="431"/>
      <c r="Q29" s="669"/>
      <c r="R29" s="187"/>
      <c r="S29" s="962"/>
      <c r="V29" s="986"/>
      <c r="W29" s="1104" t="str">
        <f>"chose to have credited to your "&amp;TaxYear&amp;" state or local income taxes."</f>
        <v>chose to have credited to your 2023 state or local income taxes.</v>
      </c>
      <c r="X29" s="866"/>
      <c r="Y29" s="866"/>
      <c r="Z29" s="866"/>
      <c r="AA29" s="866"/>
      <c r="AB29" s="866"/>
      <c r="AC29" s="866"/>
      <c r="AD29" s="866"/>
      <c r="AE29" s="987"/>
      <c r="AF29" s="987"/>
      <c r="AG29" s="866"/>
      <c r="AH29" s="1637"/>
      <c r="AI29" s="867"/>
      <c r="AK29"/>
    </row>
    <row r="30" spans="1:41" ht="12.75" customHeight="1" thickBot="1">
      <c r="A30" s="394"/>
      <c r="B30" s="20"/>
      <c r="C30" s="21">
        <v>6</v>
      </c>
      <c r="D30" s="699" t="s">
        <v>2122</v>
      </c>
      <c r="E30" s="133"/>
      <c r="F30" s="133"/>
      <c r="G30" s="133"/>
      <c r="H30" s="133"/>
      <c r="I30" s="7057"/>
      <c r="J30" s="7057"/>
      <c r="K30" s="2510"/>
      <c r="L30" s="431"/>
      <c r="M30" s="188"/>
      <c r="N30" s="2517"/>
      <c r="O30" s="2369"/>
      <c r="P30" s="431"/>
      <c r="Q30" s="668"/>
      <c r="R30" s="187"/>
      <c r="S30" s="1213">
        <v>750000</v>
      </c>
      <c r="V30" s="986"/>
      <c r="W30" s="866"/>
      <c r="X30" s="866"/>
      <c r="Y30" s="866"/>
      <c r="Z30" s="866"/>
      <c r="AA30" s="866"/>
      <c r="AB30" s="866"/>
      <c r="AC30" s="866"/>
      <c r="AD30" s="866"/>
      <c r="AE30" s="987"/>
      <c r="AF30" s="987"/>
      <c r="AG30" s="866"/>
      <c r="AH30" s="866"/>
      <c r="AI30" s="867"/>
      <c r="AK30"/>
    </row>
    <row r="31" spans="1:41" ht="13.5" customHeight="1" thickBot="1">
      <c r="A31" s="394"/>
      <c r="B31" s="20"/>
      <c r="C31" s="21"/>
      <c r="D31" s="7057"/>
      <c r="E31" s="7057"/>
      <c r="F31" s="7057"/>
      <c r="G31" s="7057"/>
      <c r="H31" s="7057"/>
      <c r="I31" s="7057"/>
      <c r="J31" s="7057"/>
      <c r="K31" s="2509"/>
      <c r="L31" s="227">
        <v>6</v>
      </c>
      <c r="M31" s="2591"/>
      <c r="N31" s="2517"/>
      <c r="O31" s="946"/>
      <c r="P31" s="431"/>
      <c r="Q31" s="669"/>
      <c r="R31" s="187"/>
      <c r="S31" s="1213">
        <v>375000</v>
      </c>
      <c r="V31" s="1635" t="s">
        <v>177</v>
      </c>
      <c r="W31" s="1104" t="s">
        <v>2123</v>
      </c>
      <c r="X31" s="866"/>
      <c r="Y31" s="866"/>
      <c r="Z31" s="866"/>
      <c r="AA31" s="866"/>
      <c r="AB31" s="866"/>
      <c r="AC31" s="866"/>
      <c r="AD31" s="866"/>
      <c r="AE31" s="987"/>
      <c r="AF31" s="987"/>
      <c r="AG31" s="866"/>
      <c r="AH31" s="866"/>
      <c r="AI31" s="867"/>
      <c r="AK31"/>
    </row>
    <row r="32" spans="1:41" ht="13.5" thickBot="1">
      <c r="A32" s="394"/>
      <c r="B32" s="15"/>
      <c r="C32" s="15">
        <v>7</v>
      </c>
      <c r="D32" s="1186" t="s">
        <v>2125</v>
      </c>
      <c r="E32" s="172"/>
      <c r="F32" s="172"/>
      <c r="G32" s="172"/>
      <c r="H32" s="172"/>
      <c r="I32" s="16"/>
      <c r="J32" s="16"/>
      <c r="K32" s="2512"/>
      <c r="L32" s="16"/>
      <c r="M32" s="627" t="s">
        <v>2126</v>
      </c>
      <c r="N32" s="228">
        <v>7</v>
      </c>
      <c r="O32" s="5889">
        <f>IF(Q32&lt;&gt;"",ROUND(Q32,0),IF(SchA_Blank,"",SUM(M29,ROUND(M31,0))))</f>
        <v>0</v>
      </c>
      <c r="P32" s="431"/>
      <c r="Q32" s="669"/>
      <c r="R32" s="217"/>
      <c r="S32" s="3127" t="s">
        <v>2140</v>
      </c>
      <c r="V32" s="1635"/>
      <c r="W32" s="1104" t="s">
        <v>2124</v>
      </c>
      <c r="X32" s="866"/>
      <c r="Y32" s="866"/>
      <c r="Z32" s="866"/>
      <c r="AA32" s="866"/>
      <c r="AB32" s="866"/>
      <c r="AC32" s="866"/>
      <c r="AD32" s="866"/>
      <c r="AE32" s="987"/>
      <c r="AF32" s="987"/>
      <c r="AG32" s="866"/>
      <c r="AH32" s="1637"/>
      <c r="AI32" s="867"/>
      <c r="AK32"/>
    </row>
    <row r="33" spans="1:37" ht="15.75">
      <c r="A33" s="394"/>
      <c r="B33" s="1176" t="s">
        <v>2210</v>
      </c>
      <c r="C33" s="21">
        <v>8</v>
      </c>
      <c r="D33" s="152"/>
      <c r="E33" s="699" t="s">
        <v>2127</v>
      </c>
      <c r="F33" s="133"/>
      <c r="G33" s="133"/>
      <c r="H33" s="133"/>
      <c r="I33" s="21"/>
      <c r="J33" s="21"/>
      <c r="K33" s="2514"/>
      <c r="L33" s="431"/>
      <c r="M33" s="5565"/>
      <c r="N33" s="431"/>
      <c r="O33" s="19"/>
      <c r="P33" s="431"/>
      <c r="Q33" s="668"/>
      <c r="R33" s="187"/>
      <c r="S33" s="3124">
        <v>43084</v>
      </c>
      <c r="V33" s="986"/>
      <c r="W33" s="866"/>
      <c r="X33" s="866"/>
      <c r="Y33" s="866"/>
      <c r="Z33" s="866"/>
      <c r="AA33" s="866"/>
      <c r="AB33" s="866"/>
      <c r="AC33" s="866"/>
      <c r="AD33" s="866"/>
      <c r="AE33" s="987"/>
      <c r="AF33" s="987"/>
      <c r="AG33" s="866"/>
      <c r="AH33" s="866"/>
      <c r="AI33" s="867"/>
      <c r="AK33"/>
    </row>
    <row r="34" spans="1:37" ht="15.75">
      <c r="A34" s="394"/>
      <c r="B34" s="1176" t="s">
        <v>5505</v>
      </c>
      <c r="C34" s="21"/>
      <c r="D34" s="133"/>
      <c r="E34" s="699" t="s">
        <v>2129</v>
      </c>
      <c r="F34" s="133"/>
      <c r="G34" s="133"/>
      <c r="H34" s="133"/>
      <c r="I34" s="21"/>
      <c r="J34" s="21"/>
      <c r="K34" s="2510"/>
      <c r="L34" s="2517"/>
      <c r="M34" s="946"/>
      <c r="N34" s="2517"/>
      <c r="O34" s="3125"/>
      <c r="P34" s="431"/>
      <c r="Q34" s="668"/>
      <c r="R34" s="187"/>
      <c r="S34" s="3124"/>
      <c r="V34" s="1635" t="s">
        <v>182</v>
      </c>
      <c r="W34" s="1104" t="s">
        <v>2128</v>
      </c>
      <c r="X34" s="866"/>
      <c r="Y34" s="866"/>
      <c r="Z34" s="866"/>
      <c r="AA34" s="866"/>
      <c r="AB34" s="866"/>
      <c r="AC34" s="866"/>
      <c r="AD34" s="866"/>
      <c r="AE34" s="987"/>
      <c r="AF34" s="987"/>
      <c r="AG34" s="866"/>
      <c r="AH34" s="866"/>
      <c r="AI34" s="867"/>
      <c r="AK34"/>
    </row>
    <row r="35" spans="1:37" ht="12.75" customHeight="1">
      <c r="A35" s="394"/>
      <c r="B35" s="20"/>
      <c r="C35" s="21"/>
      <c r="D35" s="133"/>
      <c r="E35" s="699" t="s">
        <v>2131</v>
      </c>
      <c r="F35" s="133"/>
      <c r="G35" s="133"/>
      <c r="H35" s="133"/>
      <c r="I35" s="21"/>
      <c r="J35" s="379" t="s">
        <v>994</v>
      </c>
      <c r="K35" s="809"/>
      <c r="L35" s="2517"/>
      <c r="M35" s="946"/>
      <c r="N35" s="2517"/>
      <c r="O35" s="3125"/>
      <c r="P35" s="431"/>
      <c r="Q35" s="668"/>
      <c r="R35" s="187"/>
      <c r="S35" s="1213">
        <v>1000000</v>
      </c>
      <c r="V35" s="1635"/>
      <c r="W35" s="1104" t="s">
        <v>2130</v>
      </c>
      <c r="X35" s="866"/>
      <c r="Y35" s="866"/>
      <c r="Z35" s="866"/>
      <c r="AA35" s="866"/>
      <c r="AB35" s="866"/>
      <c r="AC35" s="866"/>
      <c r="AD35" s="866"/>
      <c r="AE35" s="987"/>
      <c r="AF35" s="987"/>
      <c r="AG35" s="866"/>
      <c r="AH35" s="5894">
        <f>F1099G_StateTaxWH</f>
        <v>0</v>
      </c>
      <c r="AI35" s="867"/>
      <c r="AK35"/>
    </row>
    <row r="36" spans="1:37" ht="12.75" customHeight="1" thickBot="1">
      <c r="A36" s="394"/>
      <c r="B36" s="7058" t="s">
        <v>2133</v>
      </c>
      <c r="C36" s="21"/>
      <c r="D36" s="168" t="s">
        <v>640</v>
      </c>
      <c r="E36" s="699" t="s">
        <v>2134</v>
      </c>
      <c r="F36" s="133"/>
      <c r="G36" s="133"/>
      <c r="H36" s="133"/>
      <c r="I36" s="21"/>
      <c r="J36" s="21"/>
      <c r="K36" s="2510"/>
      <c r="L36" s="2517"/>
      <c r="M36" s="946"/>
      <c r="N36" s="2517"/>
      <c r="O36" s="3125"/>
      <c r="P36" s="431"/>
      <c r="Q36" s="668"/>
      <c r="R36" s="187"/>
      <c r="S36" s="1213">
        <v>500000</v>
      </c>
      <c r="V36" s="986"/>
      <c r="W36" s="978"/>
      <c r="X36" s="866"/>
      <c r="Y36" s="866"/>
      <c r="Z36" s="866"/>
      <c r="AA36" s="866"/>
      <c r="AB36" s="866"/>
      <c r="AC36" s="866"/>
      <c r="AD36" s="866"/>
      <c r="AE36" s="987"/>
      <c r="AF36" s="987"/>
      <c r="AG36" s="987"/>
      <c r="AH36" s="987"/>
      <c r="AI36" s="867"/>
      <c r="AK36"/>
    </row>
    <row r="37" spans="1:37" ht="12.75" customHeight="1" thickBot="1">
      <c r="A37" s="394"/>
      <c r="B37" s="7058"/>
      <c r="C37" s="2370"/>
      <c r="D37" s="2520"/>
      <c r="E37" s="3354" t="s">
        <v>2136</v>
      </c>
      <c r="F37" s="2521"/>
      <c r="G37" s="2521"/>
      <c r="H37" s="2521"/>
      <c r="I37" s="2521"/>
      <c r="J37" s="2521"/>
      <c r="K37" s="379" t="s">
        <v>917</v>
      </c>
      <c r="L37" s="227" t="s">
        <v>904</v>
      </c>
      <c r="M37" s="5892">
        <f>IF(SchA_Blank,"",MIN(S42,ROUND(S37,0)))</f>
        <v>0</v>
      </c>
      <c r="N37" s="2517"/>
      <c r="O37" s="3125"/>
      <c r="P37" s="431"/>
      <c r="Q37" s="668"/>
      <c r="R37" s="550" t="s">
        <v>904</v>
      </c>
      <c r="S37" s="4145"/>
      <c r="V37" s="1635" t="s">
        <v>198</v>
      </c>
      <c r="W37" s="1104" t="s">
        <v>2135</v>
      </c>
      <c r="X37" s="866"/>
      <c r="Y37" s="866"/>
      <c r="Z37" s="866"/>
      <c r="AA37" s="866"/>
      <c r="AB37" s="866"/>
      <c r="AC37" s="866"/>
      <c r="AD37" s="866"/>
      <c r="AE37" s="987"/>
      <c r="AF37" s="987"/>
      <c r="AG37" s="866"/>
      <c r="AH37" s="866"/>
      <c r="AI37" s="867"/>
      <c r="AK37"/>
    </row>
    <row r="38" spans="1:37">
      <c r="A38" s="394"/>
      <c r="B38" s="7058"/>
      <c r="C38" s="21"/>
      <c r="D38" s="168" t="s">
        <v>644</v>
      </c>
      <c r="E38" s="3354" t="s">
        <v>2138</v>
      </c>
      <c r="F38" s="2521"/>
      <c r="G38" s="2521"/>
      <c r="H38" s="2521"/>
      <c r="I38" s="2521"/>
      <c r="J38" s="2521"/>
      <c r="K38" s="2511"/>
      <c r="L38" s="2517"/>
      <c r="M38" s="19"/>
      <c r="N38" s="2517"/>
      <c r="O38" s="19"/>
      <c r="P38" s="431"/>
      <c r="Q38" s="668"/>
      <c r="R38" s="187"/>
      <c r="S38" s="3865" t="s">
        <v>2132</v>
      </c>
      <c r="V38" s="986"/>
      <c r="W38" s="1104" t="s">
        <v>2137</v>
      </c>
      <c r="X38" s="866"/>
      <c r="Y38" s="866"/>
      <c r="Z38" s="866"/>
      <c r="AA38" s="866"/>
      <c r="AB38" s="866"/>
      <c r="AC38" s="866"/>
      <c r="AD38" s="866"/>
      <c r="AE38" s="987"/>
      <c r="AF38" s="987"/>
      <c r="AG38" s="866"/>
      <c r="AH38" s="5888">
        <f>ROUND(SUM(AH26,AH29,AH32,AH35),0)</f>
        <v>0</v>
      </c>
      <c r="AI38" s="867"/>
      <c r="AK38"/>
    </row>
    <row r="39" spans="1:37" ht="13.5" thickBot="1">
      <c r="A39" s="394"/>
      <c r="B39" s="7058"/>
      <c r="C39" s="21"/>
      <c r="D39" s="2522"/>
      <c r="E39" s="3354" t="s">
        <v>2139</v>
      </c>
      <c r="F39" s="2521"/>
      <c r="G39" s="2521"/>
      <c r="H39" s="2521"/>
      <c r="I39" s="2521"/>
      <c r="J39" s="2521"/>
      <c r="K39" s="2511"/>
      <c r="L39" s="2517"/>
      <c r="M39" s="19"/>
      <c r="N39" s="2517"/>
      <c r="O39" s="19"/>
      <c r="P39" s="431"/>
      <c r="Q39" s="668"/>
      <c r="R39" s="187"/>
      <c r="V39" s="989"/>
      <c r="W39" s="871"/>
      <c r="X39" s="871"/>
      <c r="Y39" s="871"/>
      <c r="Z39" s="871"/>
      <c r="AA39" s="871"/>
      <c r="AB39" s="871"/>
      <c r="AC39" s="871"/>
      <c r="AD39" s="871"/>
      <c r="AE39" s="1634"/>
      <c r="AF39" s="1634"/>
      <c r="AG39" s="871"/>
      <c r="AH39" s="871"/>
      <c r="AI39" s="990"/>
      <c r="AK39"/>
    </row>
    <row r="40" spans="1:37" ht="13.5" thickBot="1">
      <c r="A40" s="394"/>
      <c r="B40" s="2526"/>
      <c r="C40" s="21"/>
      <c r="D40" s="2522"/>
      <c r="E40" s="3354" t="s">
        <v>2141</v>
      </c>
      <c r="F40" s="2521"/>
      <c r="G40" s="2521"/>
      <c r="H40" s="2521"/>
      <c r="I40" s="2521"/>
      <c r="J40" s="2521"/>
      <c r="K40" s="2511"/>
      <c r="L40" s="2517"/>
      <c r="M40" s="19"/>
      <c r="N40" s="2517"/>
      <c r="O40" s="19"/>
      <c r="P40" s="431"/>
      <c r="Q40" s="668"/>
      <c r="R40" s="550"/>
      <c r="S40" s="3128"/>
      <c r="AK40"/>
    </row>
    <row r="41" spans="1:37" ht="13.5" thickBot="1">
      <c r="A41" s="394"/>
      <c r="B41" s="2526"/>
      <c r="C41" s="21"/>
      <c r="D41" s="2522"/>
      <c r="E41" s="3354" t="s">
        <v>2142</v>
      </c>
      <c r="F41" s="2521"/>
      <c r="G41" s="2521"/>
      <c r="H41" s="2521"/>
      <c r="I41" s="2521"/>
      <c r="J41" s="2521"/>
      <c r="K41" s="379" t="s">
        <v>2143</v>
      </c>
      <c r="L41" s="227" t="s">
        <v>909</v>
      </c>
      <c r="M41" s="2591"/>
      <c r="N41" s="2517"/>
      <c r="O41" s="19"/>
      <c r="P41" s="431"/>
      <c r="Q41" s="668"/>
      <c r="R41" s="187"/>
      <c r="S41" s="3126" t="str">
        <f>IF(AND(M37&lt;&gt;"",S40=""),"Enter Loan Date","Date of Loan")</f>
        <v>Enter Loan Date</v>
      </c>
      <c r="V41" s="983"/>
      <c r="W41" s="890"/>
      <c r="X41" s="890"/>
      <c r="Y41" s="890"/>
      <c r="Z41" s="890"/>
      <c r="AA41" s="890"/>
      <c r="AB41" s="890"/>
      <c r="AC41" s="890"/>
      <c r="AD41" s="890"/>
      <c r="AE41" s="890"/>
      <c r="AF41" s="890"/>
      <c r="AG41" s="890"/>
      <c r="AH41" s="890"/>
      <c r="AI41" s="891"/>
      <c r="AK41"/>
    </row>
    <row r="42" spans="1:37" ht="16.5" thickBot="1">
      <c r="A42" s="394"/>
      <c r="B42" s="2526"/>
      <c r="C42" s="21"/>
      <c r="D42" s="2522"/>
      <c r="E42" s="7059"/>
      <c r="F42" s="7059"/>
      <c r="G42" s="7059"/>
      <c r="H42" s="7059"/>
      <c r="I42" s="7059"/>
      <c r="J42" s="7059"/>
      <c r="K42" s="2511"/>
      <c r="L42" s="2517"/>
      <c r="M42" s="19"/>
      <c r="N42" s="2517"/>
      <c r="O42" s="19"/>
      <c r="P42" s="431"/>
      <c r="Q42" s="668"/>
      <c r="R42" s="187"/>
      <c r="S42" s="3129">
        <f>IF(AND(S45,File_Marr_Sep&lt;&gt;""),S31,IF(S45,S30,IF(File_Marr_Sep&lt;&gt;"",S36,S35)))</f>
        <v>1000000</v>
      </c>
      <c r="V42" s="984" t="s">
        <v>2144</v>
      </c>
      <c r="W42" s="808"/>
      <c r="X42" s="808"/>
      <c r="Y42" s="808"/>
      <c r="Z42" s="808"/>
      <c r="AA42" s="808"/>
      <c r="AB42" s="899"/>
      <c r="AC42" s="899"/>
      <c r="AD42" s="808"/>
      <c r="AE42" s="808"/>
      <c r="AF42" s="808"/>
      <c r="AG42" s="4146" t="s">
        <v>1057</v>
      </c>
      <c r="AH42" s="808"/>
      <c r="AI42" s="860"/>
      <c r="AK42"/>
    </row>
    <row r="43" spans="1:37" ht="13.5" thickBot="1">
      <c r="A43" s="394"/>
      <c r="B43" s="2526"/>
      <c r="C43" s="21"/>
      <c r="D43" s="2522"/>
      <c r="E43" s="7060"/>
      <c r="F43" s="7060"/>
      <c r="G43" s="7060"/>
      <c r="H43" s="7060"/>
      <c r="I43" s="7060"/>
      <c r="J43" s="7060"/>
      <c r="K43" s="2511"/>
      <c r="L43" s="2517"/>
      <c r="M43" s="19"/>
      <c r="N43" s="2517"/>
      <c r="O43" s="19"/>
      <c r="P43" s="431"/>
      <c r="Q43" s="668"/>
      <c r="R43" s="187"/>
      <c r="S43" s="3126" t="s">
        <v>2145</v>
      </c>
      <c r="V43" s="982"/>
      <c r="W43" s="1257"/>
      <c r="X43" s="1257"/>
      <c r="Y43" s="1442"/>
      <c r="Z43" s="1443"/>
      <c r="AA43" s="1443"/>
      <c r="AB43" s="1443"/>
      <c r="AC43" s="1443"/>
      <c r="AD43" s="1443"/>
      <c r="AE43" s="1443"/>
      <c r="AF43" s="1257"/>
      <c r="AG43" s="1257"/>
      <c r="AH43" s="1257"/>
      <c r="AI43" s="1983"/>
      <c r="AJ43" s="676"/>
      <c r="AK43"/>
    </row>
    <row r="44" spans="1:37">
      <c r="A44" s="394"/>
      <c r="B44" s="2526"/>
      <c r="C44" s="21"/>
      <c r="D44" s="168" t="s">
        <v>648</v>
      </c>
      <c r="E44" s="699" t="s">
        <v>2147</v>
      </c>
      <c r="F44" s="2521"/>
      <c r="G44" s="2521"/>
      <c r="H44" s="2521"/>
      <c r="I44" s="2521"/>
      <c r="J44" s="2521"/>
      <c r="K44" s="2511"/>
      <c r="L44" s="2517"/>
      <c r="M44" s="19"/>
      <c r="N44" s="2517"/>
      <c r="O44" s="19"/>
      <c r="P44" s="431"/>
      <c r="Q44" s="668"/>
      <c r="R44" s="187"/>
      <c r="S44" s="887" t="b">
        <f>AND(S37&lt;&gt;"",S37&gt;S42)</f>
        <v>0</v>
      </c>
      <c r="V44" s="1577"/>
      <c r="W44" s="862" t="s">
        <v>2146</v>
      </c>
      <c r="X44" s="862"/>
      <c r="Y44" s="862"/>
      <c r="Z44" s="862"/>
      <c r="AA44" s="862"/>
      <c r="AB44" s="862"/>
      <c r="AC44" s="862"/>
      <c r="AD44" s="862"/>
      <c r="AE44" s="862"/>
      <c r="AF44" s="862"/>
      <c r="AG44" s="862"/>
      <c r="AH44" s="862"/>
      <c r="AI44" s="863"/>
      <c r="AK44"/>
    </row>
    <row r="45" spans="1:37" ht="13.5" thickBot="1">
      <c r="A45" s="394"/>
      <c r="B45" s="1233"/>
      <c r="C45" s="21"/>
      <c r="D45" s="2522"/>
      <c r="E45" s="699" t="s">
        <v>2148</v>
      </c>
      <c r="F45" s="2521"/>
      <c r="G45" s="2521"/>
      <c r="H45" s="2521"/>
      <c r="I45" s="2521"/>
      <c r="J45" s="2521"/>
      <c r="K45" s="379" t="s">
        <v>988</v>
      </c>
      <c r="L45" s="227" t="s">
        <v>912</v>
      </c>
      <c r="M45" s="2591"/>
      <c r="N45" s="2517"/>
      <c r="O45" s="19"/>
      <c r="P45" s="431"/>
      <c r="Q45" s="668"/>
      <c r="R45" s="187"/>
      <c r="S45" s="887" t="b">
        <f>S40&gt;S33</f>
        <v>0</v>
      </c>
      <c r="V45" s="3123" t="str">
        <f>"•"</f>
        <v>•</v>
      </c>
      <c r="W45" s="1091" t="str">
        <f>"On or before December 15, 2017:  Interest on up to "&amp;TEXT(S35,"$0,000")&amp;" ("&amp;TEXT(S36,"$0,000")&amp;" if you are married filing separately) of that debt."</f>
        <v>On or before December 15, 2017:  Interest on up to $1,000,000 ($500,000 if you are married filing separately) of that debt.</v>
      </c>
      <c r="X45" s="866"/>
      <c r="Y45" s="866"/>
      <c r="Z45" s="866"/>
      <c r="AA45" s="866"/>
      <c r="AB45" s="866"/>
      <c r="AC45" s="866"/>
      <c r="AD45" s="866"/>
      <c r="AE45" s="866"/>
      <c r="AF45" s="866"/>
      <c r="AG45" s="866"/>
      <c r="AH45" s="866"/>
      <c r="AI45" s="867"/>
      <c r="AK45"/>
    </row>
    <row r="46" spans="1:37" ht="13.5" thickBot="1">
      <c r="A46" s="394"/>
      <c r="B46" s="1233"/>
      <c r="C46" s="21"/>
      <c r="D46" s="168" t="s">
        <v>652</v>
      </c>
      <c r="E46" s="699" t="s">
        <v>784</v>
      </c>
      <c r="F46" s="133"/>
      <c r="G46" s="133"/>
      <c r="H46" s="133"/>
      <c r="I46" s="21"/>
      <c r="J46" s="21"/>
      <c r="K46" s="379" t="s">
        <v>1034</v>
      </c>
      <c r="L46" s="227" t="s">
        <v>915</v>
      </c>
      <c r="M46" s="5121"/>
      <c r="N46" s="2517"/>
      <c r="O46" s="4149"/>
      <c r="P46" s="4150"/>
      <c r="Q46" s="4151"/>
      <c r="R46" s="550"/>
      <c r="S46" s="3864"/>
      <c r="V46" s="1441"/>
      <c r="W46" s="1091"/>
      <c r="X46" s="866" t="s">
        <v>2149</v>
      </c>
      <c r="Y46" s="866"/>
      <c r="Z46" s="866"/>
      <c r="AA46" s="866"/>
      <c r="AB46" s="866"/>
      <c r="AC46" s="866"/>
      <c r="AD46" s="866"/>
      <c r="AE46" s="866"/>
      <c r="AF46" s="866"/>
      <c r="AG46" s="866"/>
      <c r="AH46" s="866"/>
      <c r="AI46" s="867"/>
      <c r="AK46"/>
    </row>
    <row r="47" spans="1:37">
      <c r="A47" s="394"/>
      <c r="B47" s="1233"/>
      <c r="C47" s="21"/>
      <c r="D47" s="168" t="s">
        <v>656</v>
      </c>
      <c r="E47" s="699" t="s">
        <v>5717</v>
      </c>
      <c r="F47" s="133"/>
      <c r="G47" s="133"/>
      <c r="H47" s="133"/>
      <c r="I47" s="21"/>
      <c r="J47" s="21"/>
      <c r="K47" s="379" t="s">
        <v>1034</v>
      </c>
      <c r="L47" s="227" t="s">
        <v>918</v>
      </c>
      <c r="M47" s="5891">
        <f>IF(SchA_Blank,"",SUM(ROUND(M37,0),ROUND(M41,0),ROUND(M45,0)))</f>
        <v>0</v>
      </c>
      <c r="N47" s="2517"/>
      <c r="O47" s="4149"/>
      <c r="P47" s="431"/>
      <c r="Q47" s="668"/>
      <c r="R47" s="187"/>
      <c r="S47" s="550" t="s">
        <v>2150</v>
      </c>
      <c r="V47" s="3123" t="str">
        <f>"•"</f>
        <v>•</v>
      </c>
      <c r="W47" s="1091" t="str">
        <f>"After December 15, 2017:  Interest on up to "&amp;TEXT(S30,"$0,000")&amp;" ("&amp;TEXT(S31,"$0,000")&amp;" if you are married filing separately) of that debt."</f>
        <v>After December 15, 2017:  Interest on up to $750,000 ($375,000 if you are married filing separately) of that debt.</v>
      </c>
      <c r="X47" s="866"/>
      <c r="Y47" s="866"/>
      <c r="Z47" s="866"/>
      <c r="AA47" s="866"/>
      <c r="AB47" s="866"/>
      <c r="AC47" s="866"/>
      <c r="AD47" s="866"/>
      <c r="AE47" s="866"/>
      <c r="AF47" s="866"/>
      <c r="AG47" s="866"/>
      <c r="AH47" s="866"/>
      <c r="AI47" s="867"/>
      <c r="AK47"/>
    </row>
    <row r="48" spans="1:37" ht="13.5" thickBot="1">
      <c r="A48" s="394"/>
      <c r="B48" s="20"/>
      <c r="C48" s="21">
        <v>9</v>
      </c>
      <c r="D48" s="133"/>
      <c r="E48" s="699" t="s">
        <v>2152</v>
      </c>
      <c r="F48" s="133"/>
      <c r="G48" s="133"/>
      <c r="H48" s="133"/>
      <c r="I48" s="21"/>
      <c r="J48" s="21"/>
      <c r="K48" s="379"/>
      <c r="L48" s="227">
        <v>9</v>
      </c>
      <c r="M48" s="2591"/>
      <c r="N48" s="2517"/>
      <c r="O48" s="4149"/>
      <c r="P48" s="431"/>
      <c r="Q48" s="668"/>
      <c r="R48" s="187"/>
      <c r="S48" s="550" t="s">
        <v>2153</v>
      </c>
      <c r="V48" s="989"/>
      <c r="W48" s="1437"/>
      <c r="X48" s="3489" t="s">
        <v>2151</v>
      </c>
      <c r="Y48" s="871"/>
      <c r="Z48" s="871"/>
      <c r="AA48" s="871"/>
      <c r="AB48" s="871"/>
      <c r="AC48" s="871"/>
      <c r="AD48" s="871"/>
      <c r="AE48" s="871"/>
      <c r="AF48" s="871"/>
      <c r="AG48" s="871"/>
      <c r="AH48" s="871"/>
      <c r="AI48" s="990"/>
      <c r="AK48"/>
    </row>
    <row r="49" spans="1:50" ht="13.5" thickBot="1">
      <c r="A49" s="394"/>
      <c r="B49" s="15"/>
      <c r="C49" s="15">
        <v>10</v>
      </c>
      <c r="D49" s="172"/>
      <c r="E49" s="1186" t="str">
        <f>"Add lines "&amp;L47&amp;" and "&amp;L48</f>
        <v>Add lines 8e and 9</v>
      </c>
      <c r="F49" s="172"/>
      <c r="G49" s="172"/>
      <c r="H49" s="172"/>
      <c r="I49" s="16"/>
      <c r="J49" s="16"/>
      <c r="K49" s="16"/>
      <c r="L49" s="16"/>
      <c r="M49" s="627" t="s">
        <v>2154</v>
      </c>
      <c r="N49" s="227">
        <f>C49</f>
        <v>10</v>
      </c>
      <c r="O49" s="5889">
        <f>IF(Q49&lt;&gt;"",ROUND(Q49,0),IF(SchA_Blank,"",SUM(M47,ROUND(M48,0))))</f>
        <v>0</v>
      </c>
      <c r="P49" s="431"/>
      <c r="Q49" s="669"/>
      <c r="R49" s="187"/>
      <c r="S49" s="4152">
        <v>109000</v>
      </c>
      <c r="AK49"/>
    </row>
    <row r="50" spans="1:50" ht="15.75">
      <c r="A50" s="394"/>
      <c r="B50" s="1176" t="s">
        <v>2155</v>
      </c>
      <c r="C50" s="21">
        <v>11</v>
      </c>
      <c r="D50" s="222" t="s">
        <v>2156</v>
      </c>
      <c r="E50" s="133"/>
      <c r="F50" s="133"/>
      <c r="G50" s="133"/>
      <c r="H50" s="133"/>
      <c r="I50" s="21"/>
      <c r="J50" s="21"/>
      <c r="K50" s="2513"/>
      <c r="L50" s="431"/>
      <c r="M50" s="19"/>
      <c r="N50" s="2516"/>
      <c r="O50" s="1438" t="str">
        <f>IF(SchA_Blank,"",IF(AND($AE$52,$P$54=""),"Your charitable",""))</f>
        <v/>
      </c>
      <c r="P50" s="431"/>
      <c r="Q50" s="668"/>
      <c r="R50" s="217"/>
      <c r="S50" s="4152">
        <v>100000</v>
      </c>
      <c r="V50" s="983"/>
      <c r="W50" s="890"/>
      <c r="X50" s="890"/>
      <c r="Y50" s="890"/>
      <c r="Z50" s="890"/>
      <c r="AA50" s="890"/>
      <c r="AB50" s="890"/>
      <c r="AC50" s="890"/>
      <c r="AD50" s="890"/>
      <c r="AE50" s="890"/>
      <c r="AF50" s="890"/>
      <c r="AG50" s="890"/>
      <c r="AH50" s="890"/>
      <c r="AI50" s="891"/>
      <c r="AK50"/>
    </row>
    <row r="51" spans="1:50" ht="13.5" customHeight="1">
      <c r="A51" s="394"/>
      <c r="B51" s="1176" t="s">
        <v>2157</v>
      </c>
      <c r="C51" s="21"/>
      <c r="D51" s="3007" t="s">
        <v>2158</v>
      </c>
      <c r="E51" s="190"/>
      <c r="F51" s="190"/>
      <c r="G51" s="190"/>
      <c r="H51" s="190"/>
      <c r="I51" s="21"/>
      <c r="J51" s="21"/>
      <c r="K51" s="4954" t="s">
        <v>740</v>
      </c>
      <c r="L51" s="227">
        <f>C50</f>
        <v>11</v>
      </c>
      <c r="M51" s="2591"/>
      <c r="N51" s="2517"/>
      <c r="O51" s="1438" t="str">
        <f>IF(SchA_Blank,"",IF(AND($AE$52,$P$54=""),"contribution",""))</f>
        <v/>
      </c>
      <c r="P51" s="431"/>
      <c r="Q51" s="668"/>
      <c r="R51" s="217"/>
      <c r="S51" s="4152">
        <f>IF(File_Marr_Sep&lt;&gt;"",S50,S49)</f>
        <v>109000</v>
      </c>
      <c r="V51" s="984" t="s">
        <v>2185</v>
      </c>
      <c r="W51" s="808"/>
      <c r="X51" s="808"/>
      <c r="Y51" s="808"/>
      <c r="Z51" s="808"/>
      <c r="AA51" s="808"/>
      <c r="AB51" s="899" t="s">
        <v>2186</v>
      </c>
      <c r="AC51" s="899" t="s">
        <v>2187</v>
      </c>
      <c r="AD51" s="808"/>
      <c r="AE51" s="808"/>
      <c r="AF51" s="808"/>
      <c r="AG51" s="808"/>
      <c r="AH51" s="808"/>
      <c r="AI51" s="860"/>
      <c r="AK51"/>
    </row>
    <row r="52" spans="1:50" ht="14.25" customHeight="1" thickBot="1">
      <c r="A52" s="394"/>
      <c r="B52" s="7038" t="s">
        <v>5506</v>
      </c>
      <c r="C52" s="21">
        <v>12</v>
      </c>
      <c r="D52" s="5064" t="s">
        <v>2159</v>
      </c>
      <c r="E52" s="370"/>
      <c r="F52" s="370"/>
      <c r="G52" s="370"/>
      <c r="H52" s="370"/>
      <c r="I52" s="21"/>
      <c r="J52" s="21"/>
      <c r="K52" s="2511"/>
      <c r="L52" s="231"/>
      <c r="M52" s="19"/>
      <c r="N52" s="2517"/>
      <c r="O52" s="1438" t="str">
        <f>IF(SchA_Blank,"",IF(AND($AE$52,$P$54=""),"may be limited.",""))</f>
        <v/>
      </c>
      <c r="P52" s="431"/>
      <c r="Q52" s="668"/>
      <c r="R52" s="217"/>
      <c r="V52" s="982"/>
      <c r="W52" s="1257"/>
      <c r="X52" s="1257"/>
      <c r="Y52" s="1442"/>
      <c r="Z52" s="1443" t="b">
        <f>IF(O55="",FALSE,AND(O55&lt;&gt;"",O55&gt;0,O55&gt;AD52*Adj_Gross_Inc))</f>
        <v>0</v>
      </c>
      <c r="AA52" s="1443" t="b">
        <f>IF(O55="",FALSE,IF(O55&gt;AC52*Adj_Gross_Inc,TRUE,FALSE))</f>
        <v>0</v>
      </c>
      <c r="AB52" s="1443" t="b">
        <f>IF(O55="",FALSE,IF(O55&gt;AD52*Adj_Gross_Inc,TRUE,FALSE))</f>
        <v>0</v>
      </c>
      <c r="AC52" s="1443">
        <v>0.6</v>
      </c>
      <c r="AD52" s="1443">
        <v>0.2</v>
      </c>
      <c r="AE52" s="1443" t="b">
        <f>OR(AND(Z52,AB52),AA52)</f>
        <v>0</v>
      </c>
      <c r="AF52" s="1257"/>
      <c r="AG52" s="1257"/>
      <c r="AH52" s="1257"/>
      <c r="AI52" s="1983"/>
      <c r="AJ52" s="676"/>
      <c r="AK52"/>
    </row>
    <row r="53" spans="1:50" ht="16.5" customHeight="1">
      <c r="A53" s="394"/>
      <c r="B53" s="7039"/>
      <c r="C53" s="21"/>
      <c r="D53" s="404" t="s">
        <v>2160</v>
      </c>
      <c r="E53" s="253"/>
      <c r="F53" s="253"/>
      <c r="G53" s="253"/>
      <c r="H53" s="253"/>
      <c r="I53" s="21"/>
      <c r="J53" s="21"/>
      <c r="K53" s="379" t="s">
        <v>680</v>
      </c>
      <c r="L53" s="228">
        <f>C52</f>
        <v>12</v>
      </c>
      <c r="M53" s="2591"/>
      <c r="N53" s="2517"/>
      <c r="O53" s="1438" t="str">
        <f>IF(SchA_Blank,"",IF(AND($AE$52,$P$54=""),"See 'Limits on",""))</f>
        <v/>
      </c>
      <c r="P53" s="431"/>
      <c r="Q53" s="668"/>
      <c r="R53" s="187"/>
      <c r="V53" s="986"/>
      <c r="W53" s="978"/>
      <c r="X53" s="866"/>
      <c r="Y53" s="866"/>
      <c r="Z53" s="866"/>
      <c r="AA53" s="866"/>
      <c r="AB53" s="866"/>
      <c r="AC53" s="866"/>
      <c r="AD53" s="866"/>
      <c r="AE53" s="866"/>
      <c r="AF53" s="866"/>
      <c r="AG53" s="866"/>
      <c r="AH53" s="866"/>
      <c r="AI53" s="867"/>
      <c r="AK53"/>
    </row>
    <row r="54" spans="1:50" ht="16.5" customHeight="1" thickBot="1">
      <c r="A54" s="394"/>
      <c r="B54" s="7039"/>
      <c r="C54" s="21">
        <v>13</v>
      </c>
      <c r="D54" s="222" t="s">
        <v>2161</v>
      </c>
      <c r="E54" s="133"/>
      <c r="F54" s="133"/>
      <c r="G54" s="133"/>
      <c r="H54" s="133"/>
      <c r="I54" s="21"/>
      <c r="J54" s="21"/>
      <c r="K54" s="4954" t="s">
        <v>2162</v>
      </c>
      <c r="L54" s="227">
        <f>C54</f>
        <v>13</v>
      </c>
      <c r="M54" s="2591"/>
      <c r="N54" s="2517"/>
      <c r="O54" s="1438" t="str">
        <f>IF(SchA_Blank,"",IF(AND($AE$52,$P$54=""),"Deductions-Line 14'",""))</f>
        <v/>
      </c>
      <c r="P54" s="1439"/>
      <c r="Q54" s="1440" t="str">
        <f>IF($AE$52,"Hide note.","")</f>
        <v/>
      </c>
      <c r="R54" s="187"/>
      <c r="V54" s="1457" t="s">
        <v>167</v>
      </c>
      <c r="W54" s="1091" t="str">
        <f>"If your total contributions for the year are "&amp;TEXT(AD52,"0%")&amp;" or less of your adjusted gross income, the limits discussed in this section"</f>
        <v>If your total contributions for the year are 20% or less of your adjusted gross income, the limits discussed in this section</v>
      </c>
      <c r="X54" s="1436"/>
      <c r="Y54" s="1435"/>
      <c r="Z54" s="1091"/>
      <c r="AA54" s="866"/>
      <c r="AB54" s="866"/>
      <c r="AC54" s="866"/>
      <c r="AD54" s="866"/>
      <c r="AE54" s="866"/>
      <c r="AF54" s="866"/>
      <c r="AG54" s="866"/>
      <c r="AH54" s="866"/>
      <c r="AI54" s="867"/>
      <c r="AK54"/>
    </row>
    <row r="55" spans="1:50" ht="16.5" customHeight="1" thickBot="1">
      <c r="A55" s="394"/>
      <c r="B55" s="7040"/>
      <c r="C55" s="15">
        <v>14</v>
      </c>
      <c r="D55" s="223" t="str">
        <f>"Add lines "&amp;C50&amp;" through "&amp;C54</f>
        <v>Add lines 11 through 13</v>
      </c>
      <c r="E55" s="172"/>
      <c r="F55" s="172"/>
      <c r="G55" s="172"/>
      <c r="H55" s="172"/>
      <c r="I55" s="15"/>
      <c r="J55" s="15"/>
      <c r="K55" s="15"/>
      <c r="L55" s="15"/>
      <c r="M55" s="627" t="s">
        <v>2163</v>
      </c>
      <c r="N55" s="227">
        <f>C55</f>
        <v>14</v>
      </c>
      <c r="O55" s="5889">
        <f>IF(Q55&lt;&gt;"",ROUND(Q55,0),IF(SchA_Blank,"",SUM(ROUND(M51,0),ROUND(M53,0),ROUND(M54,0))))</f>
        <v>0</v>
      </c>
      <c r="P55" s="431"/>
      <c r="Q55" s="669"/>
      <c r="R55" s="668"/>
      <c r="S55" s="668"/>
      <c r="T55" s="668"/>
      <c r="V55" s="1441"/>
      <c r="W55" s="1091" t="s">
        <v>2188</v>
      </c>
      <c r="X55" s="1436"/>
      <c r="Y55" s="1435"/>
      <c r="Z55" s="1091"/>
      <c r="AA55" s="866"/>
      <c r="AB55" s="866"/>
      <c r="AC55" s="866"/>
      <c r="AD55" s="866"/>
      <c r="AE55" s="866"/>
      <c r="AF55" s="866"/>
      <c r="AG55" s="866"/>
      <c r="AH55" s="866"/>
      <c r="AI55" s="867"/>
      <c r="AK55"/>
    </row>
    <row r="56" spans="1:50" ht="16.5" customHeight="1" thickBot="1">
      <c r="A56" s="394"/>
      <c r="B56" s="397" t="s">
        <v>2164</v>
      </c>
      <c r="C56" s="121">
        <v>15</v>
      </c>
      <c r="D56" s="5885" t="s">
        <v>2165</v>
      </c>
      <c r="E56" s="2145"/>
      <c r="F56" s="2145"/>
      <c r="G56" s="2145"/>
      <c r="H56" s="2145"/>
      <c r="I56" s="2145"/>
      <c r="J56" s="2145"/>
      <c r="K56" s="2145"/>
      <c r="L56" s="2145"/>
      <c r="M56" s="2146"/>
      <c r="N56" s="2516"/>
      <c r="O56" s="19"/>
      <c r="P56" s="431"/>
      <c r="Q56" s="2295"/>
      <c r="R56" s="668"/>
      <c r="S56" s="3733" t="s">
        <v>2166</v>
      </c>
      <c r="T56" s="668"/>
      <c r="V56" s="986"/>
      <c r="W56" s="978"/>
      <c r="X56" s="866"/>
      <c r="Y56" s="866"/>
      <c r="Z56" s="866"/>
      <c r="AA56" s="866"/>
      <c r="AB56" s="866"/>
      <c r="AC56" s="866"/>
      <c r="AD56" s="866"/>
      <c r="AE56" s="866"/>
      <c r="AF56" s="866"/>
      <c r="AG56" s="866"/>
      <c r="AH56" s="866"/>
      <c r="AI56" s="867"/>
      <c r="AK56"/>
    </row>
    <row r="57" spans="1:50" ht="15" customHeight="1" thickBot="1">
      <c r="A57" s="394"/>
      <c r="B57" s="397" t="s">
        <v>2167</v>
      </c>
      <c r="C57" s="21"/>
      <c r="D57" s="5886" t="s">
        <v>2168</v>
      </c>
      <c r="E57" s="878"/>
      <c r="F57" s="878"/>
      <c r="G57" s="878"/>
      <c r="H57" s="878"/>
      <c r="I57" s="878"/>
      <c r="J57" s="878"/>
      <c r="K57" s="878"/>
      <c r="L57" s="878"/>
      <c r="M57" s="878"/>
      <c r="N57" s="2517"/>
      <c r="O57" s="19"/>
      <c r="P57" s="431"/>
      <c r="Q57" s="6207"/>
      <c r="R57" s="668"/>
      <c r="S57" s="3733" t="s">
        <v>2169</v>
      </c>
      <c r="T57" s="668"/>
      <c r="V57" s="1457" t="s">
        <v>171</v>
      </c>
      <c r="W57" s="1091" t="s">
        <v>2189</v>
      </c>
      <c r="X57" s="866"/>
      <c r="Y57" s="866"/>
      <c r="Z57" s="866"/>
      <c r="AA57" s="866"/>
      <c r="AB57" s="866"/>
      <c r="AC57" s="866"/>
      <c r="AD57" s="866"/>
      <c r="AE57" s="866"/>
      <c r="AF57" s="866"/>
      <c r="AG57" s="866"/>
      <c r="AH57" s="866"/>
      <c r="AI57" s="867"/>
      <c r="AK57"/>
    </row>
    <row r="58" spans="1:50" s="2296" customFormat="1" ht="16.5" customHeight="1" thickBot="1">
      <c r="A58" s="2293"/>
      <c r="B58" s="153"/>
      <c r="C58" s="2294"/>
      <c r="D58" s="223" t="s">
        <v>2158</v>
      </c>
      <c r="E58" s="2294"/>
      <c r="F58" s="2294"/>
      <c r="G58" s="2294"/>
      <c r="H58" s="2294"/>
      <c r="I58" s="2294"/>
      <c r="J58" s="2294"/>
      <c r="K58" s="2294"/>
      <c r="L58" s="2294"/>
      <c r="M58" s="627" t="s">
        <v>2170</v>
      </c>
      <c r="N58" s="227">
        <f>C56</f>
        <v>15</v>
      </c>
      <c r="O58" s="2591"/>
      <c r="P58" s="431"/>
      <c r="Q58" s="7031" t="s">
        <v>5842</v>
      </c>
      <c r="R58" s="668"/>
      <c r="S58" s="669"/>
      <c r="T58" s="668"/>
      <c r="U58"/>
      <c r="V58" s="986"/>
      <c r="W58" s="865" t="s">
        <v>2190</v>
      </c>
      <c r="X58" s="866"/>
      <c r="Y58" s="866"/>
      <c r="Z58" s="866"/>
      <c r="AA58" s="866"/>
      <c r="AB58" s="866"/>
      <c r="AC58" s="866"/>
      <c r="AD58" s="866"/>
      <c r="AE58" s="866"/>
      <c r="AF58" s="866"/>
      <c r="AG58" s="866"/>
      <c r="AH58" s="866"/>
      <c r="AI58" s="867"/>
      <c r="AJ58" s="39"/>
      <c r="AK58"/>
      <c r="AL58"/>
      <c r="AM58"/>
      <c r="AN58" s="4704"/>
      <c r="AO58" s="2297"/>
      <c r="AP58" s="2297"/>
      <c r="AQ58" s="2297"/>
      <c r="AR58" s="2297"/>
      <c r="AS58" s="2297"/>
      <c r="AT58" s="2297"/>
      <c r="AU58" s="2297"/>
      <c r="AV58" s="2297"/>
      <c r="AW58" s="2297"/>
      <c r="AX58" s="2297"/>
    </row>
    <row r="59" spans="1:50" ht="15.75" thickBot="1">
      <c r="A59" s="394"/>
      <c r="B59" s="229" t="s">
        <v>283</v>
      </c>
      <c r="C59" s="21">
        <v>16</v>
      </c>
      <c r="D59" s="3736" t="s">
        <v>2171</v>
      </c>
      <c r="E59" s="822"/>
      <c r="F59" s="822"/>
      <c r="G59" s="822"/>
      <c r="H59" s="822"/>
      <c r="I59" s="1211"/>
      <c r="J59" s="7033" t="str">
        <f>S77</f>
        <v xml:space="preserve">  </v>
      </c>
      <c r="K59" s="7033"/>
      <c r="L59" s="7033"/>
      <c r="M59" s="7034"/>
      <c r="N59" s="2516"/>
      <c r="O59" s="6215"/>
      <c r="P59" s="4150"/>
      <c r="Q59" s="7032"/>
      <c r="R59" s="668"/>
      <c r="S59" s="3735" t="s">
        <v>2172</v>
      </c>
      <c r="T59" s="668"/>
      <c r="V59" s="986"/>
      <c r="W59" s="865" t="s">
        <v>2191</v>
      </c>
      <c r="X59" s="866"/>
      <c r="Y59" s="866"/>
      <c r="Z59" s="866"/>
      <c r="AA59" s="866"/>
      <c r="AB59" s="866"/>
      <c r="AC59" s="866"/>
      <c r="AD59" s="866"/>
      <c r="AE59" s="866"/>
      <c r="AF59" s="866"/>
      <c r="AG59" s="866"/>
      <c r="AH59" s="866"/>
      <c r="AI59" s="867"/>
      <c r="AK59"/>
    </row>
    <row r="60" spans="1:50" ht="15.75" thickBot="1">
      <c r="A60" s="394"/>
      <c r="B60" s="229" t="s">
        <v>702</v>
      </c>
      <c r="C60" s="21"/>
      <c r="D60" s="7025" t="str">
        <f>IF(SchA_Blank,S73&amp;"   "&amp;S72,IF(AND(ItemizedDeduct,NQDisasterLoss&lt;&gt;"",NQDisasterLoss&gt;0),S73,""))</f>
        <v/>
      </c>
      <c r="E60" s="7025"/>
      <c r="F60" s="7025"/>
      <c r="G60" s="7025"/>
      <c r="H60" s="7025"/>
      <c r="I60" s="7025"/>
      <c r="J60" s="7025"/>
      <c r="K60" s="7025"/>
      <c r="L60" s="7025"/>
      <c r="M60" s="7026"/>
      <c r="N60" s="2517"/>
      <c r="O60" s="6216"/>
      <c r="P60" s="431"/>
      <c r="Q60" s="668"/>
      <c r="R60" s="668"/>
      <c r="S60" s="3734"/>
      <c r="T60" s="668"/>
      <c r="V60" s="986"/>
      <c r="W60" s="865" t="s">
        <v>2192</v>
      </c>
      <c r="X60" s="866"/>
      <c r="Y60" s="866"/>
      <c r="Z60" s="866"/>
      <c r="AA60" s="866"/>
      <c r="AB60" s="866"/>
      <c r="AC60" s="866"/>
      <c r="AD60" s="866"/>
      <c r="AE60" s="866"/>
      <c r="AF60" s="866"/>
      <c r="AG60" s="866"/>
      <c r="AH60" s="866"/>
      <c r="AI60" s="867"/>
      <c r="AK60"/>
    </row>
    <row r="61" spans="1:50" ht="15.75" thickBot="1">
      <c r="A61" s="394"/>
      <c r="B61" s="153" t="s">
        <v>2169</v>
      </c>
      <c r="C61" s="15"/>
      <c r="D61" s="7027"/>
      <c r="E61" s="7027"/>
      <c r="F61" s="7027"/>
      <c r="G61" s="7027"/>
      <c r="H61" s="7027"/>
      <c r="I61" s="7027"/>
      <c r="J61" s="7027"/>
      <c r="K61" s="7027"/>
      <c r="L61" s="7027"/>
      <c r="M61" s="7028"/>
      <c r="N61" s="227">
        <f>C59</f>
        <v>16</v>
      </c>
      <c r="O61" s="5891">
        <f>IF(SchA_Blank,SUM(Standard,ROUND(NQDisasterLoss,0),Q61),SUM(S71,Q61))</f>
        <v>0</v>
      </c>
      <c r="P61" s="431"/>
      <c r="Q61" s="6203"/>
      <c r="R61" s="668"/>
      <c r="S61" s="3735" t="s">
        <v>2173</v>
      </c>
      <c r="T61" s="668"/>
      <c r="V61" s="989"/>
      <c r="W61" s="1437"/>
      <c r="X61" s="871"/>
      <c r="Y61" s="871"/>
      <c r="Z61" s="871"/>
      <c r="AA61" s="871"/>
      <c r="AB61" s="871"/>
      <c r="AC61" s="871"/>
      <c r="AD61" s="871"/>
      <c r="AE61" s="871"/>
      <c r="AF61" s="871"/>
      <c r="AG61" s="871"/>
      <c r="AH61" s="871"/>
      <c r="AI61" s="990"/>
      <c r="AJ61" s="676"/>
      <c r="AK61"/>
    </row>
    <row r="62" spans="1:50" ht="16.5" thickBot="1">
      <c r="A62" s="394"/>
      <c r="B62" s="4953" t="s">
        <v>248</v>
      </c>
      <c r="C62" s="21">
        <v>17</v>
      </c>
      <c r="D62" s="5887" t="s">
        <v>2174</v>
      </c>
      <c r="E62" s="133"/>
      <c r="F62" s="133"/>
      <c r="G62" s="133"/>
      <c r="H62" s="133"/>
      <c r="I62" s="21"/>
      <c r="J62" s="21"/>
      <c r="K62" s="21"/>
      <c r="L62" s="21"/>
      <c r="M62" s="116"/>
      <c r="N62" s="2516"/>
      <c r="O62" s="3732">
        <f>IF(Q63&lt;&gt;"",ROUND(Q63,0),IF(SchA_Blank,"",SUM(O19,O32,O49,O55,O58,S71)))</f>
        <v>0</v>
      </c>
      <c r="P62" s="431"/>
      <c r="Q62" s="6202" t="s">
        <v>5843</v>
      </c>
      <c r="R62" s="668"/>
      <c r="S62" s="668"/>
      <c r="T62" s="668"/>
      <c r="V62"/>
      <c r="W62"/>
      <c r="X62"/>
      <c r="Y62"/>
      <c r="Z62"/>
      <c r="AA62"/>
      <c r="AB62"/>
      <c r="AC62"/>
      <c r="AD62"/>
      <c r="AE62"/>
      <c r="AF62"/>
      <c r="AG62"/>
      <c r="AH62"/>
      <c r="AI62"/>
      <c r="AJ62" s="4609"/>
      <c r="AK62"/>
    </row>
    <row r="63" spans="1:50" ht="16.5" thickBot="1">
      <c r="A63" s="394"/>
      <c r="B63" s="4953" t="s">
        <v>702</v>
      </c>
      <c r="C63" s="21"/>
      <c r="D63" s="682" t="s">
        <v>2175</v>
      </c>
      <c r="E63" s="133"/>
      <c r="F63" s="133"/>
      <c r="G63" s="133"/>
      <c r="H63" s="133"/>
      <c r="I63" s="21"/>
      <c r="J63" s="21"/>
      <c r="K63" s="21"/>
      <c r="L63" s="21"/>
      <c r="M63" s="1051" t="s">
        <v>769</v>
      </c>
      <c r="N63" s="227">
        <f>C62</f>
        <v>17</v>
      </c>
      <c r="O63" s="5889">
        <f>IF(SchA_Blank,"",IF(Q68,SUM(O61,Q63),SUM(O19,O32,O49,O55,ROUND(O58,0),O61,Q63)))</f>
        <v>0</v>
      </c>
      <c r="P63" s="431"/>
      <c r="Q63" s="6203"/>
      <c r="R63" s="668"/>
      <c r="S63" s="669"/>
      <c r="T63" s="668"/>
      <c r="V63"/>
      <c r="W63"/>
      <c r="X63"/>
      <c r="Y63"/>
      <c r="Z63"/>
      <c r="AA63"/>
      <c r="AB63"/>
      <c r="AC63"/>
      <c r="AD63"/>
      <c r="AE63"/>
      <c r="AF63"/>
      <c r="AG63"/>
      <c r="AH63"/>
      <c r="AI63"/>
      <c r="AJ63" s="4609"/>
      <c r="AK63"/>
    </row>
    <row r="64" spans="1:50" ht="12" customHeight="1" thickBot="1">
      <c r="A64" s="394"/>
      <c r="B64" s="4953" t="s">
        <v>2169</v>
      </c>
      <c r="C64" s="21">
        <v>18</v>
      </c>
      <c r="D64" s="5064" t="s">
        <v>2176</v>
      </c>
      <c r="E64" s="133"/>
      <c r="F64" s="133"/>
      <c r="G64" s="133"/>
      <c r="H64" s="133"/>
      <c r="I64" s="21"/>
      <c r="J64" s="21"/>
      <c r="K64" s="21"/>
      <c r="L64" s="21"/>
      <c r="M64" s="821"/>
      <c r="N64" s="2517"/>
      <c r="O64" s="2528"/>
      <c r="P64" s="431"/>
      <c r="Q64" s="6202" t="s">
        <v>5844</v>
      </c>
      <c r="R64" s="668"/>
      <c r="S64" s="3735" t="s">
        <v>2172</v>
      </c>
      <c r="T64" s="668"/>
      <c r="V64"/>
      <c r="W64"/>
      <c r="X64"/>
      <c r="Y64"/>
      <c r="Z64"/>
      <c r="AA64"/>
      <c r="AB64"/>
      <c r="AC64"/>
      <c r="AD64"/>
      <c r="AE64"/>
      <c r="AF64"/>
      <c r="AG64"/>
      <c r="AH64"/>
      <c r="AI64"/>
      <c r="AJ64" s="676"/>
      <c r="AK64"/>
    </row>
    <row r="65" spans="1:39" ht="12.75" customHeight="1" thickBot="1">
      <c r="A65" s="394"/>
      <c r="B65" s="2529" t="b">
        <f>IF(N65&lt;&gt;"",TRUE,FALSE)</f>
        <v>0</v>
      </c>
      <c r="C65" s="551"/>
      <c r="D65" s="5122" t="s">
        <v>5507</v>
      </c>
      <c r="E65" s="125"/>
      <c r="F65" s="170"/>
      <c r="G65" s="170"/>
      <c r="H65" s="170"/>
      <c r="I65" s="125"/>
      <c r="J65" s="125"/>
      <c r="K65" s="125"/>
      <c r="L65" s="125"/>
      <c r="M65" s="719" t="s">
        <v>1226</v>
      </c>
      <c r="N65" s="820"/>
      <c r="O65" s="2530"/>
      <c r="P65" s="431"/>
      <c r="Q65" s="668"/>
      <c r="R65" s="668"/>
      <c r="S65" s="3734"/>
      <c r="T65" s="668"/>
      <c r="V65"/>
      <c r="W65"/>
      <c r="X65"/>
      <c r="Y65"/>
      <c r="Z65"/>
      <c r="AA65"/>
      <c r="AB65"/>
      <c r="AC65"/>
      <c r="AD65"/>
      <c r="AE65"/>
      <c r="AF65"/>
      <c r="AG65"/>
      <c r="AH65"/>
      <c r="AI65"/>
      <c r="AJ65" s="676"/>
      <c r="AK65"/>
    </row>
    <row r="66" spans="1:39" ht="12.75" customHeight="1">
      <c r="A66" s="394"/>
      <c r="B66" s="3738" t="s">
        <v>2178</v>
      </c>
      <c r="C66" s="715"/>
      <c r="D66" s="715"/>
      <c r="E66" s="715"/>
      <c r="F66" s="715"/>
      <c r="G66" s="715"/>
      <c r="H66" s="715"/>
      <c r="I66" s="715"/>
      <c r="J66" s="715"/>
      <c r="K66" s="718"/>
      <c r="L66" s="718" t="s">
        <v>2179</v>
      </c>
      <c r="M66" s="716"/>
      <c r="N66" s="717"/>
      <c r="O66" s="5123" t="str">
        <f>"Schedule A (Form 1040) "&amp;TaxYear</f>
        <v>Schedule A (Form 1040) 2023</v>
      </c>
      <c r="P66" s="431"/>
      <c r="Q66" s="668"/>
      <c r="R66" s="668"/>
      <c r="S66" s="3735" t="s">
        <v>2173</v>
      </c>
      <c r="T66" s="668"/>
      <c r="V66"/>
      <c r="W66"/>
      <c r="X66"/>
      <c r="Y66"/>
      <c r="Z66"/>
      <c r="AA66"/>
      <c r="AB66"/>
      <c r="AC66"/>
      <c r="AD66"/>
      <c r="AE66"/>
      <c r="AF66"/>
      <c r="AG66"/>
      <c r="AH66"/>
      <c r="AI66"/>
      <c r="AJ66" s="676"/>
      <c r="AK66"/>
    </row>
    <row r="67" spans="1:39" ht="13.5" customHeight="1">
      <c r="A67" s="836"/>
      <c r="B67" s="1606"/>
      <c r="C67" s="1606"/>
      <c r="D67" s="1606"/>
      <c r="E67" s="1606"/>
      <c r="F67" s="1606"/>
      <c r="G67" s="1606"/>
      <c r="H67" s="1606"/>
      <c r="I67" s="1607"/>
      <c r="J67" s="1607"/>
      <c r="K67" s="1607"/>
      <c r="L67" s="1607"/>
      <c r="M67" s="1608"/>
      <c r="N67" s="1609"/>
      <c r="O67" s="1608"/>
      <c r="P67" s="1608"/>
      <c r="Q67" s="668"/>
      <c r="R67" s="668"/>
      <c r="S67" s="668"/>
      <c r="T67" s="668"/>
      <c r="V67"/>
      <c r="W67"/>
      <c r="X67"/>
      <c r="Y67"/>
      <c r="Z67"/>
      <c r="AA67"/>
      <c r="AB67"/>
      <c r="AC67"/>
      <c r="AD67"/>
      <c r="AE67"/>
      <c r="AF67"/>
      <c r="AG67"/>
      <c r="AH67"/>
      <c r="AI67"/>
      <c r="AJ67" s="676"/>
      <c r="AK67"/>
    </row>
    <row r="68" spans="1:39" ht="13.5" thickBot="1">
      <c r="B68" s="1"/>
      <c r="C68" s="1"/>
      <c r="D68" s="3"/>
      <c r="E68" s="3"/>
      <c r="F68" s="3"/>
      <c r="G68" s="3"/>
      <c r="H68" s="3"/>
      <c r="I68" s="1"/>
      <c r="J68" s="1"/>
      <c r="K68" s="1"/>
      <c r="L68" s="1"/>
      <c r="M68" s="2"/>
      <c r="N68" s="1"/>
      <c r="O68" s="6210" t="b">
        <f>AND(NQDisasterLoss&lt;&gt;"",NQDisasterLoss&lt;&gt;0)</f>
        <v>0</v>
      </c>
      <c r="P68" s="1"/>
      <c r="Q68" s="6212" t="b">
        <f>AND(StdDeduct,NQDisasterLoss&lt;&gt;"",NQDisasterLoss&gt;0)</f>
        <v>0</v>
      </c>
      <c r="S68" s="4626" t="str">
        <f>IF(S60&lt;&gt;"",TEXT(ROUND(S60,0),"$0"),"")</f>
        <v/>
      </c>
      <c r="V68"/>
      <c r="W68"/>
      <c r="X68"/>
      <c r="Y68"/>
      <c r="Z68"/>
      <c r="AA68"/>
      <c r="AB68"/>
      <c r="AC68"/>
      <c r="AD68"/>
      <c r="AE68"/>
      <c r="AF68"/>
      <c r="AG68"/>
      <c r="AH68"/>
      <c r="AI68"/>
      <c r="AJ68" s="676"/>
      <c r="AK68"/>
    </row>
    <row r="69" spans="1:39" ht="14.25" thickTop="1" thickBot="1">
      <c r="B69" s="1"/>
      <c r="C69" s="6558" t="s">
        <v>2180</v>
      </c>
      <c r="D69" s="7023"/>
      <c r="E69" s="7023"/>
      <c r="F69" s="7023"/>
      <c r="G69" s="7023"/>
      <c r="H69" s="7023"/>
      <c r="I69" s="7023"/>
      <c r="J69" s="7024"/>
      <c r="K69" s="1"/>
      <c r="L69" s="1"/>
      <c r="M69" s="6213" t="str">
        <f>IF(AND(O68,NOT(SchA_Filed)),"Please check this box.  &gt;",IF(AND(O68,SchA_Filed),"Do NOT check this box. &gt;",""))</f>
        <v/>
      </c>
      <c r="N69" s="6208"/>
      <c r="O69" s="6214" t="str">
        <f>IF(AND($O$68,NOT(SchA_Filed)),"Check this box",IF(AND($O$68,SchA_Filed),"&lt;  This box is only",""))</f>
        <v/>
      </c>
      <c r="P69" s="1"/>
      <c r="Q69" s="6204"/>
      <c r="R69" s="887"/>
      <c r="S69" s="4626" t="str">
        <f>IF(S65&lt;&gt;"",TEXT(ROUND(S65,0),"$0"),"")</f>
        <v/>
      </c>
      <c r="T69" s="887"/>
      <c r="U69" s="887"/>
      <c r="V69" s="887"/>
      <c r="W69" s="887"/>
      <c r="X69" s="887"/>
      <c r="Y69"/>
      <c r="Z69"/>
      <c r="AA69"/>
      <c r="AB69"/>
      <c r="AC69"/>
      <c r="AD69"/>
      <c r="AE69"/>
      <c r="AF69"/>
      <c r="AG69"/>
      <c r="AH69"/>
      <c r="AI69"/>
      <c r="AJ69" s="676"/>
      <c r="AK69"/>
    </row>
    <row r="70" spans="1:39" ht="14.25" thickTop="1" thickBot="1">
      <c r="B70" s="1"/>
      <c r="C70" s="1"/>
      <c r="D70" s="3"/>
      <c r="E70" s="3"/>
      <c r="F70" s="3"/>
      <c r="G70" s="3"/>
      <c r="H70" s="3"/>
      <c r="I70" s="1"/>
      <c r="J70" s="1"/>
      <c r="K70" s="1"/>
      <c r="L70" s="1"/>
      <c r="M70" s="2"/>
      <c r="N70" s="1"/>
      <c r="O70" s="6214" t="str">
        <f>IF(AND($O$68,NOT(SchA_Filed)),"because you are",IF(AND($O$68,SchA_Filed),"checked if you",""))</f>
        <v/>
      </c>
      <c r="P70" s="1"/>
      <c r="Q70" s="6204"/>
      <c r="R70" s="887"/>
      <c r="S70" s="887" t="str">
        <f>S58&amp;" "&amp;S68&amp;"     "&amp;S63&amp;" "&amp;S69</f>
        <v xml:space="preserve">       </v>
      </c>
      <c r="T70" s="887"/>
      <c r="U70" s="887"/>
      <c r="V70" s="887"/>
      <c r="W70" s="887"/>
      <c r="X70" s="887"/>
      <c r="Y70"/>
      <c r="Z70"/>
      <c r="AA70"/>
      <c r="AB70"/>
      <c r="AC70"/>
      <c r="AD70"/>
      <c r="AE70"/>
      <c r="AF70"/>
      <c r="AG70"/>
      <c r="AH70"/>
      <c r="AI70"/>
      <c r="AJ70" s="676"/>
      <c r="AK70"/>
    </row>
    <row r="71" spans="1:39" ht="14.25" thickTop="1" thickBot="1">
      <c r="B71" s="1"/>
      <c r="C71" s="6558" t="s">
        <v>2183</v>
      </c>
      <c r="D71" s="7023"/>
      <c r="E71" s="7023"/>
      <c r="F71" s="7023"/>
      <c r="G71" s="7023"/>
      <c r="H71" s="7023"/>
      <c r="I71" s="7023"/>
      <c r="J71" s="7024"/>
      <c r="K71" s="1"/>
      <c r="L71" s="1"/>
      <c r="M71" s="2"/>
      <c r="N71" s="1"/>
      <c r="O71" s="6214" t="str">
        <f>IF(AND($O$68,NOT(SchA_Filed)),"claiming the",IF(AND($O$68,SchA_Filed),"are claiming the",""))</f>
        <v/>
      </c>
      <c r="P71" s="1"/>
      <c r="Q71" s="5021"/>
      <c r="R71" s="887"/>
      <c r="S71" s="1213">
        <f>SUM(ROUND(NQDisasterLoss,0),ROUND(S60,0),ROUND(S65,0))</f>
        <v>0</v>
      </c>
      <c r="T71" s="887"/>
      <c r="U71" s="887"/>
      <c r="V71" s="887"/>
      <c r="W71" s="887"/>
      <c r="X71" s="887"/>
      <c r="Y71"/>
      <c r="Z71"/>
      <c r="AA71"/>
      <c r="AB71"/>
      <c r="AC71"/>
      <c r="AD71"/>
      <c r="AE71"/>
      <c r="AF71"/>
      <c r="AG71"/>
      <c r="AH71"/>
      <c r="AI71"/>
      <c r="AJ71" s="676"/>
      <c r="AK71"/>
    </row>
    <row r="72" spans="1:39" ht="13.5" thickTop="1">
      <c r="N72" s="1"/>
      <c r="O72" s="6214" t="str">
        <f>IF(AND($O$68,NOT(SchA_Filed)),"standard deduction.",IF(AND($O$68,SchA_Filed),"standard deduction.",""))</f>
        <v/>
      </c>
      <c r="P72" s="1"/>
      <c r="Q72" s="5021"/>
      <c r="R72" s="887"/>
      <c r="S72" s="6205" t="str">
        <f>IF(AND(Standard,NQDisasterLoss&lt;&gt;"",NQDisasterLoss&gt;0),"Claimed with qualified disaster losses = "&amp;TEXT(Standard,"$0,000"),"")</f>
        <v/>
      </c>
      <c r="T72" s="887"/>
      <c r="U72" s="887"/>
      <c r="V72" s="887"/>
      <c r="W72" s="887"/>
      <c r="X72" s="887"/>
      <c r="Y72"/>
      <c r="Z72"/>
      <c r="AA72"/>
      <c r="AB72"/>
      <c r="AC72"/>
      <c r="AD72"/>
      <c r="AE72"/>
      <c r="AF72"/>
      <c r="AG72"/>
      <c r="AH72"/>
      <c r="AI72"/>
      <c r="AJ72" s="676"/>
      <c r="AK72"/>
    </row>
    <row r="73" spans="1:39" ht="13.5" thickBot="1">
      <c r="N73" s="1"/>
      <c r="O73" s="6210" t="b">
        <f>AND(O68,N69&lt;&gt;"")</f>
        <v>0</v>
      </c>
      <c r="P73" s="1"/>
      <c r="Q73" s="1213"/>
      <c r="R73" s="887"/>
      <c r="S73" s="6205" t="str">
        <f>IF(AND(NQDisasterLoss&lt;&gt;"",NQDisasterLoss&gt;0,$Q$57&gt;999),"Net Qualified Disaster Loss = "&amp;TEXT(NQDisasterLoss,"$0,000"),IF(AND(NQDisasterLoss&lt;&gt;"",NQDisasterLoss&gt;0),"Net Qualified Disaster Loss = "&amp;TEXT(NQDisasterLoss,"$0"),""))</f>
        <v/>
      </c>
      <c r="T73" s="887"/>
      <c r="U73" s="887"/>
      <c r="V73" s="887"/>
      <c r="W73" s="887"/>
      <c r="X73" s="887"/>
      <c r="Y73"/>
      <c r="Z73"/>
      <c r="AA73"/>
      <c r="AB73"/>
      <c r="AC73"/>
      <c r="AD73"/>
      <c r="AE73"/>
      <c r="AF73"/>
      <c r="AG73"/>
      <c r="AH73"/>
      <c r="AI73"/>
      <c r="AJ73" s="676"/>
      <c r="AK73"/>
    </row>
    <row r="74" spans="1:39">
      <c r="F74" s="547"/>
      <c r="G74" s="7015" t="s">
        <v>46</v>
      </c>
      <c r="H74" s="7016"/>
      <c r="N74" s="1"/>
      <c r="O74" s="6211" t="str">
        <f>IF($O$73,"IMPORTANT!","")</f>
        <v/>
      </c>
      <c r="P74" s="1"/>
      <c r="Q74" s="1213"/>
      <c r="R74" s="887"/>
      <c r="S74" s="2826" t="str">
        <f>IF(OR(S65="",S65=0),"",IF(S65&gt;999,S63&amp;" = "&amp;TEXT(S65,"$0,000"),S63&amp;" = "&amp;TEXT(S65,"$0")))</f>
        <v/>
      </c>
      <c r="T74" s="887"/>
      <c r="U74" s="887"/>
      <c r="V74" s="887"/>
      <c r="W74" s="887"/>
      <c r="X74" s="887"/>
      <c r="Y74"/>
      <c r="Z74"/>
      <c r="AA74"/>
      <c r="AB74"/>
      <c r="AC74"/>
      <c r="AD74"/>
      <c r="AE74"/>
      <c r="AF74"/>
      <c r="AG74"/>
      <c r="AH74"/>
      <c r="AI74"/>
      <c r="AJ74" s="676"/>
      <c r="AK74"/>
    </row>
    <row r="75" spans="1:39" ht="12.75" customHeight="1">
      <c r="B75" s="1"/>
      <c r="C75" s="1"/>
      <c r="D75" s="3"/>
      <c r="E75" s="3"/>
      <c r="F75" s="3"/>
      <c r="G75" s="7017"/>
      <c r="H75" s="7018"/>
      <c r="I75" s="1"/>
      <c r="J75" s="1"/>
      <c r="K75" s="1"/>
      <c r="L75" s="1"/>
      <c r="M75" s="2"/>
      <c r="N75" s="1"/>
      <c r="O75" s="6209" t="str">
        <f>IF($O$73,"Do not enter","")</f>
        <v/>
      </c>
      <c r="P75" s="1"/>
      <c r="Q75" s="6206"/>
      <c r="R75" s="887"/>
      <c r="S75" s="2826" t="str">
        <f>IF(OR(S60="",S60=0),"",IF(S60&gt;999,S58&amp;" = "&amp;TEXT(S60,"$0,000"),S58&amp;" = "&amp;TEXT(S60,"$0")))</f>
        <v/>
      </c>
      <c r="T75" s="887"/>
      <c r="U75" s="887"/>
      <c r="V75" s="887"/>
      <c r="W75" s="887"/>
      <c r="X75" s="887"/>
      <c r="Y75"/>
      <c r="Z75"/>
      <c r="AA75"/>
      <c r="AB75"/>
      <c r="AC75"/>
      <c r="AD75"/>
      <c r="AE75"/>
      <c r="AF75"/>
      <c r="AG75"/>
      <c r="AH75"/>
      <c r="AI75"/>
      <c r="AJ75" s="676"/>
      <c r="AK75"/>
    </row>
    <row r="76" spans="1:39" ht="12.75" customHeight="1" thickBot="1">
      <c r="G76" s="7019"/>
      <c r="H76" s="7020"/>
      <c r="N76" s="1"/>
      <c r="O76" s="6209" t="str">
        <f>IF($O$73,"an amount","")</f>
        <v/>
      </c>
      <c r="P76" s="1"/>
      <c r="Q76" s="1213"/>
      <c r="R76" s="887"/>
      <c r="S76" s="887"/>
      <c r="T76" s="887"/>
      <c r="U76" s="887"/>
      <c r="V76" s="887"/>
      <c r="W76" s="887"/>
      <c r="X76" s="887"/>
      <c r="Y76"/>
      <c r="Z76"/>
      <c r="AA76"/>
      <c r="AB76"/>
      <c r="AC76"/>
      <c r="AD76"/>
      <c r="AE76"/>
      <c r="AF76"/>
      <c r="AG76"/>
      <c r="AH76"/>
      <c r="AI76"/>
      <c r="AJ76" s="676"/>
      <c r="AK76"/>
      <c r="AL76" s="2589"/>
      <c r="AM76" s="2589"/>
    </row>
    <row r="77" spans="1:39" ht="12.75" customHeight="1">
      <c r="N77" s="1"/>
      <c r="O77" s="6209" t="str">
        <f>IF($O$73,"on any other","")</f>
        <v/>
      </c>
      <c r="P77" s="1"/>
      <c r="Q77" s="1213"/>
      <c r="R77" s="887"/>
      <c r="S77" s="918" t="str">
        <f>S75&amp;"  "&amp;S74</f>
        <v xml:space="preserve">  </v>
      </c>
      <c r="T77" s="887"/>
      <c r="U77" s="887"/>
      <c r="V77" s="887"/>
      <c r="W77" s="887"/>
      <c r="X77" s="887"/>
      <c r="Y77"/>
      <c r="Z77"/>
      <c r="AA77"/>
      <c r="AB77"/>
      <c r="AC77"/>
      <c r="AD77"/>
      <c r="AE77"/>
      <c r="AF77"/>
      <c r="AG77"/>
      <c r="AH77"/>
      <c r="AI77"/>
      <c r="AJ77" s="676"/>
      <c r="AK77"/>
      <c r="AL77" s="4144"/>
      <c r="AM77" s="4144"/>
    </row>
    <row r="78" spans="1:39" ht="12.75" customHeight="1">
      <c r="N78" s="1"/>
      <c r="O78" s="6209" t="str">
        <f>IF($O$73,"line of Schedule A.","")</f>
        <v/>
      </c>
      <c r="P78" s="1"/>
      <c r="S78" s="887"/>
      <c r="V78"/>
      <c r="W78"/>
      <c r="X78"/>
      <c r="Y78"/>
      <c r="Z78"/>
      <c r="AA78"/>
      <c r="AB78"/>
      <c r="AC78"/>
      <c r="AD78"/>
      <c r="AE78"/>
      <c r="AF78"/>
      <c r="AG78"/>
      <c r="AH78"/>
      <c r="AI78"/>
      <c r="AJ78" s="676"/>
      <c r="AK78"/>
      <c r="AL78" s="4144"/>
      <c r="AM78" s="4144"/>
    </row>
    <row r="79" spans="1:39" ht="11.25" customHeight="1">
      <c r="N79" s="1"/>
      <c r="O79" s="6209" t="str">
        <f>IF($O$73,"(See instructions.)","")</f>
        <v/>
      </c>
      <c r="P79" s="1"/>
      <c r="S79" s="887"/>
      <c r="V79"/>
      <c r="W79"/>
      <c r="X79"/>
      <c r="Y79"/>
      <c r="Z79"/>
      <c r="AA79"/>
      <c r="AB79"/>
      <c r="AC79"/>
      <c r="AD79"/>
      <c r="AE79"/>
      <c r="AF79"/>
      <c r="AG79"/>
      <c r="AH79"/>
      <c r="AI79"/>
      <c r="AJ79" s="676"/>
      <c r="AK79"/>
      <c r="AL79" s="887"/>
      <c r="AM79" s="887"/>
    </row>
    <row r="80" spans="1:39" ht="12.75" customHeight="1">
      <c r="S80" s="887"/>
      <c r="V80"/>
      <c r="W80"/>
      <c r="X80"/>
      <c r="Y80"/>
      <c r="Z80"/>
      <c r="AA80"/>
      <c r="AB80"/>
      <c r="AC80"/>
      <c r="AD80"/>
      <c r="AE80"/>
      <c r="AF80"/>
      <c r="AG80"/>
      <c r="AH80"/>
      <c r="AI80"/>
      <c r="AJ80" s="676"/>
      <c r="AK80"/>
      <c r="AL80" s="4148"/>
      <c r="AM80" s="4148"/>
    </row>
    <row r="81" spans="22:39" ht="14.25" customHeight="1">
      <c r="V81"/>
      <c r="W81"/>
      <c r="X81"/>
      <c r="Y81"/>
      <c r="Z81"/>
      <c r="AA81"/>
      <c r="AB81"/>
      <c r="AC81"/>
      <c r="AD81"/>
      <c r="AE81"/>
      <c r="AF81"/>
      <c r="AG81"/>
      <c r="AH81"/>
      <c r="AI81"/>
      <c r="AJ81" s="676"/>
      <c r="AK81"/>
      <c r="AL81" s="4148"/>
      <c r="AM81" s="4148"/>
    </row>
    <row r="82" spans="22:39" ht="12.75" customHeight="1">
      <c r="V82"/>
      <c r="W82"/>
      <c r="X82"/>
      <c r="Y82"/>
      <c r="Z82"/>
      <c r="AA82"/>
      <c r="AB82"/>
      <c r="AC82"/>
      <c r="AD82"/>
      <c r="AE82"/>
      <c r="AF82"/>
      <c r="AG82"/>
      <c r="AH82"/>
      <c r="AI82"/>
      <c r="AJ82" s="676"/>
      <c r="AK82"/>
    </row>
    <row r="83" spans="22:39" ht="12.75" customHeight="1">
      <c r="V83"/>
      <c r="W83"/>
      <c r="X83"/>
      <c r="Y83"/>
      <c r="Z83"/>
      <c r="AA83"/>
      <c r="AB83"/>
      <c r="AC83"/>
      <c r="AD83"/>
      <c r="AE83"/>
      <c r="AF83"/>
      <c r="AG83"/>
      <c r="AH83"/>
      <c r="AI83"/>
      <c r="AJ83" s="676"/>
      <c r="AK83"/>
    </row>
    <row r="84" spans="22:39" ht="12.75" customHeight="1">
      <c r="V84"/>
      <c r="W84"/>
      <c r="X84"/>
      <c r="Y84"/>
      <c r="Z84"/>
      <c r="AA84"/>
      <c r="AB84"/>
      <c r="AC84"/>
      <c r="AD84"/>
      <c r="AE84"/>
      <c r="AF84"/>
      <c r="AG84"/>
      <c r="AH84"/>
      <c r="AI84"/>
      <c r="AJ84" s="676"/>
      <c r="AK84"/>
    </row>
    <row r="85" spans="22:39" ht="12.75" customHeight="1">
      <c r="V85"/>
      <c r="W85"/>
      <c r="X85"/>
      <c r="Y85"/>
      <c r="Z85"/>
      <c r="AA85"/>
      <c r="AB85"/>
      <c r="AC85"/>
      <c r="AD85"/>
      <c r="AE85"/>
      <c r="AF85"/>
      <c r="AG85"/>
      <c r="AH85"/>
      <c r="AI85"/>
      <c r="AJ85" s="676"/>
      <c r="AK85"/>
    </row>
    <row r="86" spans="22:39" ht="12.75" customHeight="1">
      <c r="V86"/>
      <c r="W86"/>
      <c r="X86"/>
      <c r="Y86"/>
      <c r="Z86"/>
      <c r="AA86"/>
      <c r="AB86"/>
      <c r="AC86"/>
      <c r="AD86"/>
      <c r="AE86"/>
      <c r="AF86"/>
      <c r="AG86"/>
      <c r="AH86"/>
      <c r="AI86"/>
      <c r="AJ86" s="676"/>
      <c r="AK86"/>
      <c r="AM86" s="4153"/>
    </row>
    <row r="87" spans="22:39" ht="12.75" customHeight="1">
      <c r="V87"/>
      <c r="W87"/>
      <c r="X87"/>
      <c r="Y87"/>
      <c r="Z87"/>
      <c r="AA87"/>
      <c r="AB87"/>
      <c r="AC87"/>
      <c r="AD87"/>
      <c r="AE87"/>
      <c r="AF87"/>
      <c r="AG87"/>
      <c r="AH87"/>
      <c r="AI87"/>
      <c r="AJ87" s="676"/>
      <c r="AK87"/>
      <c r="AM87" s="4611"/>
    </row>
    <row r="88" spans="22:39" ht="12.75" customHeight="1">
      <c r="V88"/>
      <c r="W88"/>
      <c r="X88"/>
      <c r="Y88"/>
      <c r="Z88"/>
      <c r="AA88"/>
      <c r="AB88"/>
      <c r="AC88"/>
      <c r="AD88"/>
      <c r="AE88"/>
      <c r="AF88"/>
      <c r="AG88"/>
      <c r="AH88"/>
      <c r="AI88"/>
      <c r="AJ88" s="676"/>
      <c r="AK88"/>
    </row>
    <row r="89" spans="22:39" ht="12.75" customHeight="1">
      <c r="V89"/>
      <c r="W89"/>
      <c r="X89"/>
      <c r="Y89"/>
      <c r="Z89"/>
      <c r="AA89"/>
      <c r="AB89"/>
      <c r="AC89"/>
      <c r="AD89"/>
      <c r="AE89"/>
      <c r="AF89"/>
      <c r="AG89"/>
      <c r="AH89"/>
      <c r="AI89"/>
      <c r="AK89"/>
    </row>
    <row r="90" spans="22:39" ht="12.75" customHeight="1">
      <c r="V90"/>
      <c r="W90"/>
      <c r="X90"/>
      <c r="Y90"/>
      <c r="Z90"/>
      <c r="AA90"/>
      <c r="AB90"/>
      <c r="AC90"/>
      <c r="AD90"/>
      <c r="AE90"/>
      <c r="AF90"/>
      <c r="AG90"/>
      <c r="AH90"/>
      <c r="AI90"/>
      <c r="AK90"/>
    </row>
    <row r="91" spans="22:39" ht="12.75" customHeight="1">
      <c r="V91"/>
      <c r="W91"/>
      <c r="X91"/>
      <c r="Y91"/>
      <c r="Z91"/>
      <c r="AA91"/>
      <c r="AB91"/>
      <c r="AC91"/>
      <c r="AD91"/>
      <c r="AE91"/>
      <c r="AF91"/>
      <c r="AG91"/>
      <c r="AH91"/>
      <c r="AI91"/>
      <c r="AK91"/>
    </row>
    <row r="92" spans="22:39" ht="12.75" customHeight="1">
      <c r="V92"/>
      <c r="W92"/>
      <c r="X92"/>
      <c r="Y92"/>
      <c r="Z92"/>
      <c r="AA92"/>
      <c r="AB92"/>
      <c r="AC92"/>
      <c r="AD92"/>
      <c r="AE92"/>
      <c r="AF92"/>
      <c r="AG92"/>
      <c r="AH92"/>
      <c r="AI92"/>
      <c r="AJ92" s="676"/>
      <c r="AK92"/>
    </row>
    <row r="93" spans="22:39" ht="12.75" customHeight="1">
      <c r="V93"/>
      <c r="W93"/>
      <c r="X93"/>
      <c r="Y93"/>
      <c r="Z93"/>
      <c r="AA93"/>
      <c r="AB93"/>
      <c r="AC93"/>
      <c r="AD93"/>
      <c r="AE93"/>
      <c r="AF93"/>
      <c r="AG93"/>
      <c r="AH93"/>
      <c r="AI93"/>
      <c r="AK93"/>
    </row>
    <row r="94" spans="22:39" ht="12.75" customHeight="1">
      <c r="V94"/>
      <c r="W94"/>
      <c r="X94"/>
      <c r="Y94"/>
      <c r="Z94"/>
      <c r="AA94"/>
      <c r="AB94"/>
      <c r="AC94"/>
      <c r="AD94"/>
      <c r="AE94"/>
      <c r="AF94"/>
      <c r="AG94"/>
      <c r="AH94"/>
      <c r="AI94"/>
      <c r="AK94"/>
    </row>
    <row r="95" spans="22:39" ht="16.5" customHeight="1">
      <c r="V95"/>
      <c r="W95"/>
      <c r="X95"/>
      <c r="Y95"/>
      <c r="Z95"/>
      <c r="AA95"/>
      <c r="AB95"/>
      <c r="AC95"/>
      <c r="AD95"/>
      <c r="AE95"/>
      <c r="AF95"/>
      <c r="AG95"/>
      <c r="AH95"/>
      <c r="AI95"/>
      <c r="AK95"/>
    </row>
    <row r="96" spans="22:39">
      <c r="V96"/>
      <c r="W96"/>
      <c r="X96"/>
      <c r="Y96"/>
      <c r="Z96"/>
      <c r="AA96"/>
      <c r="AB96"/>
      <c r="AC96"/>
      <c r="AD96"/>
      <c r="AE96"/>
      <c r="AF96"/>
      <c r="AG96"/>
      <c r="AH96"/>
      <c r="AI96"/>
      <c r="AK96"/>
    </row>
    <row r="97" spans="22:37">
      <c r="V97"/>
      <c r="W97"/>
      <c r="X97"/>
      <c r="Y97"/>
      <c r="Z97"/>
      <c r="AA97"/>
      <c r="AB97"/>
      <c r="AC97"/>
      <c r="AD97"/>
      <c r="AE97"/>
      <c r="AF97"/>
      <c r="AG97"/>
      <c r="AH97"/>
      <c r="AI97"/>
      <c r="AK97"/>
    </row>
    <row r="98" spans="22:37">
      <c r="V98"/>
      <c r="W98"/>
      <c r="X98"/>
      <c r="Y98"/>
      <c r="Z98"/>
      <c r="AA98"/>
      <c r="AB98"/>
      <c r="AC98"/>
      <c r="AD98"/>
      <c r="AE98"/>
      <c r="AF98"/>
      <c r="AG98"/>
      <c r="AH98"/>
      <c r="AI98"/>
      <c r="AK98"/>
    </row>
    <row r="99" spans="22:37" ht="15" customHeight="1">
      <c r="V99"/>
      <c r="W99"/>
      <c r="X99"/>
      <c r="Y99"/>
      <c r="Z99"/>
      <c r="AA99"/>
      <c r="AB99"/>
      <c r="AC99"/>
      <c r="AD99"/>
      <c r="AE99"/>
      <c r="AF99"/>
      <c r="AG99"/>
      <c r="AH99"/>
      <c r="AI99"/>
      <c r="AK99"/>
    </row>
    <row r="100" spans="22:37">
      <c r="V100"/>
      <c r="W100"/>
      <c r="X100"/>
      <c r="Y100"/>
      <c r="Z100"/>
      <c r="AA100"/>
      <c r="AB100"/>
      <c r="AC100"/>
      <c r="AD100"/>
      <c r="AE100"/>
      <c r="AF100"/>
      <c r="AG100"/>
      <c r="AH100"/>
      <c r="AI100"/>
      <c r="AK100"/>
    </row>
    <row r="101" spans="22:37">
      <c r="V101"/>
      <c r="W101"/>
      <c r="X101"/>
      <c r="Y101"/>
      <c r="Z101"/>
      <c r="AA101"/>
      <c r="AB101"/>
      <c r="AC101"/>
      <c r="AD101"/>
      <c r="AE101"/>
      <c r="AF101"/>
      <c r="AG101"/>
      <c r="AH101"/>
      <c r="AI101"/>
      <c r="AK101"/>
    </row>
    <row r="102" spans="22:37">
      <c r="V102"/>
      <c r="W102"/>
      <c r="X102"/>
      <c r="Y102"/>
      <c r="Z102"/>
      <c r="AA102"/>
      <c r="AB102"/>
      <c r="AC102"/>
      <c r="AD102"/>
      <c r="AE102"/>
      <c r="AF102"/>
      <c r="AG102"/>
      <c r="AH102"/>
      <c r="AI102"/>
      <c r="AJ102"/>
      <c r="AK102"/>
    </row>
    <row r="103" spans="22:37">
      <c r="V103"/>
      <c r="W103"/>
      <c r="X103"/>
      <c r="Y103"/>
      <c r="Z103"/>
      <c r="AA103"/>
      <c r="AB103"/>
      <c r="AC103"/>
      <c r="AD103"/>
      <c r="AE103"/>
      <c r="AF103"/>
      <c r="AG103"/>
      <c r="AH103"/>
      <c r="AI103"/>
      <c r="AJ103"/>
      <c r="AK103"/>
    </row>
    <row r="104" spans="22:37">
      <c r="V104"/>
      <c r="W104"/>
      <c r="X104"/>
      <c r="Y104"/>
      <c r="Z104"/>
      <c r="AA104"/>
      <c r="AB104"/>
      <c r="AC104"/>
      <c r="AD104"/>
      <c r="AE104"/>
      <c r="AF104"/>
      <c r="AG104"/>
      <c r="AH104"/>
      <c r="AI104"/>
      <c r="AJ104"/>
      <c r="AK104"/>
    </row>
    <row r="105" spans="22:37">
      <c r="V105"/>
      <c r="W105"/>
      <c r="X105"/>
      <c r="Y105"/>
      <c r="Z105"/>
      <c r="AA105"/>
      <c r="AB105"/>
      <c r="AC105"/>
      <c r="AD105"/>
      <c r="AE105"/>
      <c r="AF105"/>
      <c r="AG105"/>
      <c r="AH105"/>
      <c r="AI105"/>
      <c r="AJ105"/>
      <c r="AK105"/>
    </row>
    <row r="106" spans="22:37">
      <c r="V106"/>
      <c r="W106"/>
      <c r="X106"/>
      <c r="Y106"/>
      <c r="Z106"/>
      <c r="AA106"/>
      <c r="AB106"/>
      <c r="AC106"/>
      <c r="AD106"/>
      <c r="AE106"/>
      <c r="AF106"/>
      <c r="AG106"/>
      <c r="AH106"/>
      <c r="AI106"/>
      <c r="AJ106"/>
      <c r="AK106"/>
    </row>
    <row r="107" spans="22:37">
      <c r="V107"/>
      <c r="W107"/>
      <c r="X107"/>
      <c r="Y107"/>
      <c r="Z107"/>
      <c r="AA107"/>
      <c r="AB107"/>
      <c r="AC107"/>
      <c r="AD107"/>
      <c r="AE107"/>
      <c r="AF107"/>
      <c r="AG107"/>
      <c r="AH107"/>
      <c r="AI107"/>
      <c r="AJ107"/>
      <c r="AK107"/>
    </row>
    <row r="108" spans="22:37">
      <c r="V108"/>
      <c r="W108"/>
      <c r="X108"/>
      <c r="Y108"/>
      <c r="Z108"/>
      <c r="AA108"/>
      <c r="AB108"/>
      <c r="AC108"/>
      <c r="AD108"/>
      <c r="AE108"/>
      <c r="AF108"/>
      <c r="AG108"/>
      <c r="AH108"/>
      <c r="AI108"/>
      <c r="AJ108"/>
      <c r="AK108"/>
    </row>
    <row r="109" spans="22:37">
      <c r="V109"/>
      <c r="W109"/>
      <c r="X109"/>
      <c r="Y109"/>
      <c r="Z109"/>
      <c r="AA109"/>
      <c r="AB109"/>
      <c r="AC109"/>
      <c r="AD109"/>
      <c r="AE109"/>
      <c r="AF109"/>
      <c r="AG109"/>
      <c r="AH109"/>
      <c r="AI109"/>
      <c r="AJ109"/>
      <c r="AK109"/>
    </row>
    <row r="110" spans="22:37">
      <c r="V110"/>
      <c r="W110"/>
      <c r="X110"/>
      <c r="Y110"/>
      <c r="Z110"/>
      <c r="AA110"/>
      <c r="AB110"/>
      <c r="AC110"/>
      <c r="AD110"/>
      <c r="AE110"/>
      <c r="AF110"/>
      <c r="AG110"/>
      <c r="AH110"/>
      <c r="AI110"/>
      <c r="AJ110"/>
      <c r="AK110"/>
    </row>
    <row r="111" spans="22:37">
      <c r="AJ111"/>
      <c r="AK111"/>
    </row>
    <row r="112" spans="22:37">
      <c r="AJ112"/>
      <c r="AK112"/>
    </row>
    <row r="113" spans="36:37">
      <c r="AJ113"/>
      <c r="AK113"/>
    </row>
    <row r="114" spans="36:37">
      <c r="AJ114"/>
      <c r="AK114"/>
    </row>
    <row r="115" spans="36:37">
      <c r="AJ115"/>
      <c r="AK115"/>
    </row>
    <row r="116" spans="36:37">
      <c r="AJ116"/>
      <c r="AK116"/>
    </row>
    <row r="117" spans="36:37">
      <c r="AJ117"/>
      <c r="AK117"/>
    </row>
    <row r="118" spans="36:37">
      <c r="AJ118"/>
      <c r="AK118"/>
    </row>
    <row r="119" spans="36:37">
      <c r="AJ119"/>
    </row>
    <row r="120" spans="36:37">
      <c r="AJ120"/>
    </row>
    <row r="121" spans="36:37">
      <c r="AJ121"/>
    </row>
    <row r="122" spans="36:37">
      <c r="AJ122"/>
    </row>
    <row r="123" spans="36:37">
      <c r="AJ123"/>
    </row>
    <row r="124" spans="36:37">
      <c r="AJ124"/>
    </row>
    <row r="125" spans="36:37">
      <c r="AJ125"/>
    </row>
    <row r="126" spans="36:37">
      <c r="AJ126"/>
    </row>
    <row r="127" spans="36:37">
      <c r="AJ127"/>
    </row>
    <row r="128" spans="36:37">
      <c r="AJ128"/>
    </row>
    <row r="129" spans="36:36">
      <c r="AJ129"/>
    </row>
    <row r="130" spans="36:36">
      <c r="AJ130"/>
    </row>
    <row r="131" spans="36:36">
      <c r="AJ131"/>
    </row>
    <row r="132" spans="36:36">
      <c r="AJ132"/>
    </row>
    <row r="133" spans="36:36">
      <c r="AJ133"/>
    </row>
    <row r="134" spans="36:36">
      <c r="AJ134"/>
    </row>
    <row r="135" spans="36:36">
      <c r="AJ135"/>
    </row>
    <row r="136" spans="36:36">
      <c r="AJ136"/>
    </row>
    <row r="137" spans="36:36">
      <c r="AJ137"/>
    </row>
    <row r="138" spans="36:36">
      <c r="AJ138"/>
    </row>
    <row r="139" spans="36:36">
      <c r="AJ139"/>
    </row>
    <row r="140" spans="36:36">
      <c r="AJ140"/>
    </row>
    <row r="141" spans="36:36">
      <c r="AJ141"/>
    </row>
    <row r="142" spans="36:36">
      <c r="AJ142"/>
    </row>
    <row r="143" spans="36:36">
      <c r="AJ143"/>
    </row>
    <row r="144" spans="36:36">
      <c r="AJ144"/>
    </row>
    <row r="145" spans="36:36">
      <c r="AJ145"/>
    </row>
    <row r="146" spans="36:36">
      <c r="AJ146"/>
    </row>
    <row r="147" spans="36:36">
      <c r="AJ147"/>
    </row>
    <row r="148" spans="36:36">
      <c r="AJ148"/>
    </row>
    <row r="149" spans="36:36">
      <c r="AJ149"/>
    </row>
    <row r="150" spans="36:36">
      <c r="AJ150"/>
    </row>
  </sheetData>
  <sheetProtection password="F07E" sheet="1" objects="1" scenarios="1"/>
  <mergeCells count="25">
    <mergeCell ref="B52:B55"/>
    <mergeCell ref="N9:O9"/>
    <mergeCell ref="N14:O14"/>
    <mergeCell ref="N13:O13"/>
    <mergeCell ref="N10:O10"/>
    <mergeCell ref="D10:M10"/>
    <mergeCell ref="D11:M11"/>
    <mergeCell ref="D12:M12"/>
    <mergeCell ref="B14:M14"/>
    <mergeCell ref="J17:K17"/>
    <mergeCell ref="I30:J30"/>
    <mergeCell ref="D31:J31"/>
    <mergeCell ref="B36:B39"/>
    <mergeCell ref="E42:J42"/>
    <mergeCell ref="E43:J43"/>
    <mergeCell ref="G74:H76"/>
    <mergeCell ref="V5:AH5"/>
    <mergeCell ref="C71:J71"/>
    <mergeCell ref="C69:J69"/>
    <mergeCell ref="D60:M60"/>
    <mergeCell ref="D61:M61"/>
    <mergeCell ref="AE21:AH22"/>
    <mergeCell ref="Q58:Q59"/>
    <mergeCell ref="J59:M59"/>
    <mergeCell ref="D9:M9"/>
  </mergeCells>
  <phoneticPr fontId="12" type="noConversion"/>
  <conditionalFormatting sqref="B14">
    <cfRule type="expression" dxfId="2497" priority="265">
      <formula>IF(NoColor,1,0)</formula>
    </cfRule>
  </conditionalFormatting>
  <conditionalFormatting sqref="D45">
    <cfRule type="expression" dxfId="2496" priority="108">
      <formula>IF(NoColor,1,0)</formula>
    </cfRule>
  </conditionalFormatting>
  <conditionalFormatting sqref="D60:D61">
    <cfRule type="expression" dxfId="2495" priority="62">
      <formula>IF(NoColor,1,0)</formula>
    </cfRule>
  </conditionalFormatting>
  <conditionalFormatting sqref="D31:J31">
    <cfRule type="expression" dxfId="2494" priority="255">
      <formula>IF(NoColor,1,0)</formula>
    </cfRule>
  </conditionalFormatting>
  <conditionalFormatting sqref="D37:J37 E38:J38">
    <cfRule type="expression" dxfId="2493" priority="249">
      <formula>IF(NoColor,1,0)</formula>
    </cfRule>
  </conditionalFormatting>
  <conditionalFormatting sqref="D39:J40 D41:D42 D43:E43 F44:J45">
    <cfRule type="expression" dxfId="2492" priority="107">
      <formula>IF(NoColor,1,0)</formula>
    </cfRule>
  </conditionalFormatting>
  <conditionalFormatting sqref="E42">
    <cfRule type="expression" dxfId="2491" priority="10">
      <formula>IF(NoColor,1,0)</formula>
    </cfRule>
  </conditionalFormatting>
  <conditionalFormatting sqref="E41:J41">
    <cfRule type="expression" dxfId="2490" priority="11">
      <formula>IF(NoColor,1,0)</formula>
    </cfRule>
  </conditionalFormatting>
  <conditionalFormatting sqref="I30:J30">
    <cfRule type="expression" dxfId="2489" priority="256">
      <formula>IF(NoColor,1,0)</formula>
    </cfRule>
  </conditionalFormatting>
  <conditionalFormatting sqref="J17">
    <cfRule type="expression" dxfId="2488" priority="262">
      <formula>IF(NoColor,1,0)</formula>
    </cfRule>
  </conditionalFormatting>
  <conditionalFormatting sqref="K24">
    <cfRule type="expression" dxfId="2487" priority="93">
      <formula>NoColor</formula>
    </cfRule>
  </conditionalFormatting>
  <conditionalFormatting sqref="K35">
    <cfRule type="expression" dxfId="2486" priority="100">
      <formula>NoColor</formula>
    </cfRule>
  </conditionalFormatting>
  <conditionalFormatting sqref="M16">
    <cfRule type="expression" dxfId="2485" priority="97">
      <formula>IF(NoColor,1,0)</formula>
    </cfRule>
  </conditionalFormatting>
  <conditionalFormatting sqref="M18">
    <cfRule type="expression" dxfId="2484" priority="225">
      <formula>IF(NoColor,1,0)</formula>
    </cfRule>
  </conditionalFormatting>
  <conditionalFormatting sqref="M20:M27">
    <cfRule type="expression" dxfId="2483" priority="110">
      <formula>IF(NoColor,1,0)</formula>
    </cfRule>
  </conditionalFormatting>
  <conditionalFormatting sqref="M29">
    <cfRule type="expression" dxfId="2482" priority="111">
      <formula>IF(NoColor,1,0)</formula>
    </cfRule>
  </conditionalFormatting>
  <conditionalFormatting sqref="M31">
    <cfRule type="expression" dxfId="2481" priority="254">
      <formula>IF(NoColor,1,0)</formula>
    </cfRule>
  </conditionalFormatting>
  <conditionalFormatting sqref="M33">
    <cfRule type="expression" dxfId="2480" priority="253">
      <formula>IF(NoColor,1,0)</formula>
    </cfRule>
  </conditionalFormatting>
  <conditionalFormatting sqref="M37">
    <cfRule type="expression" dxfId="2479" priority="109">
      <formula>IF(NoColor,1,0)</formula>
    </cfRule>
  </conditionalFormatting>
  <conditionalFormatting sqref="M41">
    <cfRule type="expression" dxfId="2478" priority="9">
      <formula>IF(NoColor,1,0)</formula>
    </cfRule>
  </conditionalFormatting>
  <conditionalFormatting sqref="M45">
    <cfRule type="expression" dxfId="2477" priority="105">
      <formula>IF(NoColor,1,0)</formula>
    </cfRule>
  </conditionalFormatting>
  <conditionalFormatting sqref="M47:M48">
    <cfRule type="expression" dxfId="2476" priority="102">
      <formula>IF(NoColor,1,0)</formula>
    </cfRule>
  </conditionalFormatting>
  <conditionalFormatting sqref="M51">
    <cfRule type="expression" dxfId="2475" priority="248">
      <formula>IF(NoColor,1,0)</formula>
    </cfRule>
  </conditionalFormatting>
  <conditionalFormatting sqref="M53:M54">
    <cfRule type="expression" dxfId="2474" priority="246">
      <formula>IF(NoColor,1,0)</formula>
    </cfRule>
  </conditionalFormatting>
  <conditionalFormatting sqref="M69">
    <cfRule type="expression" dxfId="2473" priority="4">
      <formula>AND(O68,SchA_Filed)</formula>
    </cfRule>
  </conditionalFormatting>
  <conditionalFormatting sqref="N65">
    <cfRule type="expression" dxfId="2472" priority="234">
      <formula>IF(NoColor,1,0)</formula>
    </cfRule>
  </conditionalFormatting>
  <conditionalFormatting sqref="N69">
    <cfRule type="expression" dxfId="2471" priority="7">
      <formula>$O$68</formula>
    </cfRule>
  </conditionalFormatting>
  <conditionalFormatting sqref="N14:O14">
    <cfRule type="expression" dxfId="2470" priority="264">
      <formula>IF(NoColor,1,0)</formula>
    </cfRule>
  </conditionalFormatting>
  <conditionalFormatting sqref="O19">
    <cfRule type="expression" dxfId="2469" priority="223">
      <formula>IF(NoColor,1,0)</formula>
    </cfRule>
  </conditionalFormatting>
  <conditionalFormatting sqref="O32">
    <cfRule type="expression" dxfId="2468" priority="221">
      <formula>IF(NoColor,1,0)</formula>
    </cfRule>
  </conditionalFormatting>
  <conditionalFormatting sqref="O49">
    <cfRule type="expression" dxfId="2467" priority="219">
      <formula>IF(NoColor,1,0)</formula>
    </cfRule>
  </conditionalFormatting>
  <conditionalFormatting sqref="O55">
    <cfRule type="expression" dxfId="2466" priority="217">
      <formula>IF(NoColor,1,0)</formula>
    </cfRule>
  </conditionalFormatting>
  <conditionalFormatting sqref="O58">
    <cfRule type="expression" dxfId="2465" priority="244">
      <formula>IF(NoColor,1,0)</formula>
    </cfRule>
  </conditionalFormatting>
  <conditionalFormatting sqref="O61">
    <cfRule type="expression" dxfId="2464" priority="236">
      <formula>IF(NoColor,1,0)</formula>
    </cfRule>
  </conditionalFormatting>
  <conditionalFormatting sqref="O63">
    <cfRule type="expression" dxfId="2463" priority="101">
      <formula>IF(NoColor,1,0)</formula>
    </cfRule>
  </conditionalFormatting>
  <conditionalFormatting sqref="O69:O72">
    <cfRule type="expression" dxfId="2462" priority="1">
      <formula>AND($O$68,SchA_Filed)</formula>
    </cfRule>
    <cfRule type="expression" dxfId="2461" priority="2">
      <formula>SchA_Blank</formula>
    </cfRule>
  </conditionalFormatting>
  <conditionalFormatting sqref="P46">
    <cfRule type="expression" dxfId="2460" priority="5090">
      <formula>#REF!</formula>
    </cfRule>
  </conditionalFormatting>
  <conditionalFormatting sqref="P54">
    <cfRule type="expression" dxfId="2459" priority="156">
      <formula>IF($AE$52,1,0)</formula>
    </cfRule>
  </conditionalFormatting>
  <conditionalFormatting sqref="P59">
    <cfRule type="expression" dxfId="2458" priority="8">
      <formula>AND(P59="",$Q$68)</formula>
    </cfRule>
  </conditionalFormatting>
  <conditionalFormatting sqref="Q46">
    <cfRule type="expression" dxfId="2457" priority="5091">
      <formula>#REF!</formula>
    </cfRule>
  </conditionalFormatting>
  <conditionalFormatting sqref="Q54">
    <cfRule type="expression" dxfId="2456" priority="157">
      <formula>IF($AE$52,1,0)</formula>
    </cfRule>
  </conditionalFormatting>
  <conditionalFormatting sqref="R46">
    <cfRule type="expression" dxfId="2455" priority="15">
      <formula>$S$37=""</formula>
    </cfRule>
  </conditionalFormatting>
  <conditionalFormatting sqref="S32 S41">
    <cfRule type="expression" dxfId="2454" priority="71">
      <formula>$M$47=0</formula>
    </cfRule>
  </conditionalFormatting>
  <conditionalFormatting sqref="S40">
    <cfRule type="expression" dxfId="2453" priority="73">
      <formula>$M$47=0</formula>
    </cfRule>
  </conditionalFormatting>
  <conditionalFormatting sqref="S42">
    <cfRule type="expression" dxfId="2452" priority="67">
      <formula>$M$47=0</formula>
    </cfRule>
  </conditionalFormatting>
  <conditionalFormatting sqref="S43">
    <cfRule type="expression" dxfId="2451" priority="60">
      <formula>$S$44</formula>
    </cfRule>
    <cfRule type="expression" dxfId="2450" priority="68">
      <formula>$M$37=0</formula>
    </cfRule>
  </conditionalFormatting>
  <conditionalFormatting sqref="S46">
    <cfRule type="expression" dxfId="2449" priority="12">
      <formula>$S$37=""</formula>
    </cfRule>
  </conditionalFormatting>
  <conditionalFormatting sqref="S47:S48">
    <cfRule type="expression" dxfId="2448" priority="13">
      <formula>$S$37=""</formula>
    </cfRule>
  </conditionalFormatting>
  <conditionalFormatting sqref="V46">
    <cfRule type="expression" dxfId="2447" priority="83" stopIfTrue="1">
      <formula>IF(AND($Z$52,NOT($AB$52)),1,0)</formula>
    </cfRule>
    <cfRule type="expression" dxfId="2446" priority="84">
      <formula>IF($Z$52,1,0)</formula>
    </cfRule>
  </conditionalFormatting>
  <conditionalFormatting sqref="V55">
    <cfRule type="expression" dxfId="2445" priority="147">
      <formula>IF($AA$52,1,0)</formula>
    </cfRule>
  </conditionalFormatting>
  <conditionalFormatting sqref="V57">
    <cfRule type="expression" dxfId="2444" priority="139">
      <formula>IF($AA$52,1,0)</formula>
    </cfRule>
  </conditionalFormatting>
  <conditionalFormatting sqref="V54:W54">
    <cfRule type="expression" dxfId="2443" priority="142">
      <formula>IF(AND($Z$52,NOT($AB$52)),1,0)</formula>
    </cfRule>
  </conditionalFormatting>
  <conditionalFormatting sqref="W45">
    <cfRule type="expression" dxfId="2442" priority="4125">
      <formula>AND(S40&lt;&gt;"",NOT($S$45),$S$44)</formula>
    </cfRule>
  </conditionalFormatting>
  <conditionalFormatting sqref="W45:W47">
    <cfRule type="expression" dxfId="2441" priority="82" stopIfTrue="1">
      <formula>IF(AND($Z$52,NOT($AB$52)),1,0)</formula>
    </cfRule>
  </conditionalFormatting>
  <conditionalFormatting sqref="W47">
    <cfRule type="expression" dxfId="2440" priority="5098">
      <formula>AND(S40&lt;&gt;"",S45,$S$44)</formula>
    </cfRule>
  </conditionalFormatting>
  <conditionalFormatting sqref="W55">
    <cfRule type="expression" dxfId="2439" priority="120">
      <formula>IF(AND($Z$52,NOT($AB$52)),1,0)</formula>
    </cfRule>
  </conditionalFormatting>
  <conditionalFormatting sqref="W57:W60">
    <cfRule type="expression" dxfId="2438" priority="137">
      <formula>$AA$52</formula>
    </cfRule>
  </conditionalFormatting>
  <conditionalFormatting sqref="AE6">
    <cfRule type="expression" dxfId="2437" priority="94">
      <formula>(File_Marr_Joint="")</formula>
    </cfRule>
  </conditionalFormatting>
  <conditionalFormatting sqref="AE8">
    <cfRule type="expression" dxfId="2436" priority="91">
      <formula>NoColor</formula>
    </cfRule>
  </conditionalFormatting>
  <conditionalFormatting sqref="AE10">
    <cfRule type="expression" dxfId="2435" priority="89">
      <formula>NoColor</formula>
    </cfRule>
  </conditionalFormatting>
  <conditionalFormatting sqref="AE12">
    <cfRule type="expression" dxfId="2434" priority="88">
      <formula>NoColor</formula>
    </cfRule>
  </conditionalFormatting>
  <conditionalFormatting sqref="AH6">
    <cfRule type="expression" dxfId="2433" priority="95">
      <formula>(File_Marr_Joint="")</formula>
    </cfRule>
  </conditionalFormatting>
  <conditionalFormatting sqref="AH8:AH12">
    <cfRule type="expression" dxfId="2432" priority="96">
      <formula>(File_Marr_Joint="")</formula>
    </cfRule>
  </conditionalFormatting>
  <conditionalFormatting sqref="AH14">
    <cfRule type="expression" dxfId="2431" priority="87">
      <formula>NoColor</formula>
    </cfRule>
  </conditionalFormatting>
  <conditionalFormatting sqref="AH16">
    <cfRule type="expression" dxfId="2430" priority="90">
      <formula>NoColor</formula>
    </cfRule>
  </conditionalFormatting>
  <conditionalFormatting sqref="AH18">
    <cfRule type="expression" dxfId="2429" priority="86">
      <formula>NoColor</formula>
    </cfRule>
  </conditionalFormatting>
  <conditionalFormatting sqref="AH26">
    <cfRule type="expression" dxfId="2428" priority="134">
      <formula>IF(NoColor,1,0)</formula>
    </cfRule>
  </conditionalFormatting>
  <conditionalFormatting sqref="AH29">
    <cfRule type="expression" dxfId="2427" priority="130">
      <formula>IF(NoColor,1,0)</formula>
    </cfRule>
  </conditionalFormatting>
  <conditionalFormatting sqref="AH32">
    <cfRule type="expression" dxfId="2426" priority="92">
      <formula>IF(NoColor,1,0)</formula>
    </cfRule>
  </conditionalFormatting>
  <conditionalFormatting sqref="AH35">
    <cfRule type="expression" dxfId="2425" priority="66">
      <formula>IF(NoColor,1,0)</formula>
    </cfRule>
  </conditionalFormatting>
  <conditionalFormatting sqref="AH38">
    <cfRule type="expression" dxfId="2424" priority="131">
      <formula>IF(NoColor,1,0)</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 ref="G74:H76" location="'Table of Contents'!A1" display="Table of Contents" xr:uid="{00000000-0004-0000-1900-000002000000}"/>
  </hyperlinks>
  <pageMargins left="0.75" right="0.25" top="0.36" bottom="0.28999999999999998" header="0.36" footer="0.21"/>
  <pageSetup scale="80"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94"/>
  <sheetViews>
    <sheetView zoomScaleNormal="100" zoomScaleSheetLayoutView="100" workbookViewId="0"/>
  </sheetViews>
  <sheetFormatPr defaultRowHeight="12.75"/>
  <cols>
    <col min="1" max="1" width="1.85546875" style="39" customWidth="1"/>
    <col min="2" max="2" width="15.5703125" customWidth="1"/>
    <col min="3" max="3" width="2.7109375" customWidth="1"/>
    <col min="4" max="4" width="19.85546875" customWidth="1"/>
    <col min="5" max="5" width="19" customWidth="1"/>
    <col min="6" max="6" width="9.140625" customWidth="1"/>
    <col min="7" max="7" width="20" customWidth="1"/>
    <col min="8" max="8" width="3.140625" customWidth="1"/>
    <col min="9" max="9" width="3.42578125" customWidth="1"/>
    <col min="10" max="11" width="1.5703125" customWidth="1"/>
    <col min="12" max="12" width="1.85546875" customWidth="1"/>
    <col min="13" max="14" width="1.5703125" customWidth="1"/>
    <col min="15" max="15" width="3" customWidth="1"/>
    <col min="16" max="16" width="1.85546875" customWidth="1"/>
    <col min="17" max="17" width="2.5703125" customWidth="1"/>
    <col min="18" max="18" width="4.42578125" style="187" customWidth="1"/>
    <col min="19" max="29" width="10.7109375" style="2038" customWidth="1"/>
    <col min="30" max="31" width="4.42578125" style="187" customWidth="1"/>
  </cols>
  <sheetData>
    <row r="1" spans="1:32">
      <c r="A1" s="808"/>
      <c r="B1" s="808"/>
      <c r="C1" s="808"/>
      <c r="D1" s="808"/>
      <c r="E1" s="808"/>
      <c r="F1" s="808"/>
      <c r="G1" s="808"/>
      <c r="H1" s="808"/>
      <c r="I1" s="808"/>
      <c r="J1" s="808"/>
      <c r="K1" s="808"/>
      <c r="L1" s="808"/>
      <c r="M1" s="808"/>
      <c r="N1" s="808"/>
      <c r="O1" s="808"/>
      <c r="P1" s="808"/>
      <c r="Q1" s="808"/>
      <c r="R1" s="1461"/>
    </row>
    <row r="2" spans="1:32" ht="15">
      <c r="A2" s="808"/>
      <c r="B2" s="3277" t="s">
        <v>2193</v>
      </c>
      <c r="C2" s="3278"/>
      <c r="D2" s="808"/>
      <c r="E2" s="808"/>
      <c r="F2" s="808"/>
      <c r="G2" s="808"/>
      <c r="H2" s="808"/>
      <c r="I2" s="808"/>
      <c r="J2" s="808"/>
      <c r="K2" s="808"/>
      <c r="L2" s="808"/>
      <c r="M2" s="808"/>
      <c r="N2" s="808"/>
      <c r="O2" s="808"/>
      <c r="P2" s="808"/>
      <c r="Q2" s="808"/>
      <c r="R2" s="1461"/>
    </row>
    <row r="3" spans="1:32" ht="15.75">
      <c r="A3" s="808"/>
      <c r="B3" s="3273" t="s">
        <v>691</v>
      </c>
      <c r="C3" s="3279" t="str">
        <f>"You had over "&amp;TEXT(H44,"$0,000")&amp;" of taxable interest or ordinary dividends. "</f>
        <v xml:space="preserve">You had over $1,500 of taxable interest or ordinary dividends. </v>
      </c>
      <c r="D3" s="3278"/>
      <c r="E3" s="808"/>
      <c r="F3" s="808"/>
      <c r="G3" s="808"/>
      <c r="H3" s="808"/>
      <c r="I3" s="808"/>
      <c r="J3" s="808"/>
      <c r="K3" s="808"/>
      <c r="L3" s="808"/>
      <c r="M3" s="808"/>
      <c r="N3" s="808"/>
      <c r="O3" s="808"/>
      <c r="P3" s="808"/>
      <c r="Q3" s="808"/>
      <c r="R3" s="808"/>
      <c r="AF3" s="187"/>
    </row>
    <row r="4" spans="1:32" ht="15.75">
      <c r="A4" s="808"/>
      <c r="B4" s="3273" t="s">
        <v>691</v>
      </c>
      <c r="C4" s="3279" t="s">
        <v>2194</v>
      </c>
      <c r="D4" s="3278"/>
      <c r="E4" s="808"/>
      <c r="F4" s="808"/>
      <c r="G4" s="808"/>
      <c r="H4" s="808"/>
      <c r="I4" s="808"/>
      <c r="J4" s="808"/>
      <c r="K4" s="808"/>
      <c r="L4" s="808"/>
      <c r="M4" s="808"/>
      <c r="N4" s="808"/>
      <c r="O4" s="808"/>
      <c r="P4" s="808"/>
      <c r="Q4" s="808"/>
      <c r="R4" s="808"/>
      <c r="AF4" s="187"/>
    </row>
    <row r="5" spans="1:32" ht="15.75">
      <c r="A5" s="808"/>
      <c r="B5" s="3273" t="s">
        <v>691</v>
      </c>
      <c r="C5" s="3279" t="s">
        <v>2195</v>
      </c>
      <c r="D5" s="3278"/>
      <c r="E5" s="808"/>
      <c r="F5" s="808"/>
      <c r="G5" s="808"/>
      <c r="H5" s="808"/>
      <c r="I5" s="808"/>
      <c r="J5" s="808"/>
      <c r="K5" s="808"/>
      <c r="L5" s="808"/>
      <c r="M5" s="808"/>
      <c r="N5" s="808"/>
      <c r="O5" s="808"/>
      <c r="P5" s="808"/>
      <c r="Q5" s="808"/>
      <c r="R5" s="808"/>
      <c r="AF5" s="187"/>
    </row>
    <row r="6" spans="1:32" ht="15.75">
      <c r="A6" s="808"/>
      <c r="B6" s="3273" t="s">
        <v>691</v>
      </c>
      <c r="C6" s="3279" t="s">
        <v>2196</v>
      </c>
      <c r="D6" s="3278"/>
      <c r="E6" s="808"/>
      <c r="F6" s="808"/>
      <c r="G6" s="808"/>
      <c r="H6" s="808"/>
      <c r="I6" s="808"/>
      <c r="J6" s="808"/>
      <c r="K6" s="808"/>
      <c r="L6" s="808"/>
      <c r="M6" s="808"/>
      <c r="N6" s="808"/>
      <c r="O6" s="808"/>
      <c r="P6" s="808"/>
      <c r="Q6" s="808"/>
      <c r="R6" s="808"/>
      <c r="AF6" s="187"/>
    </row>
    <row r="7" spans="1:32" ht="15.75">
      <c r="A7" s="808"/>
      <c r="B7" s="3273" t="s">
        <v>691</v>
      </c>
      <c r="C7" s="3279" t="s">
        <v>2197</v>
      </c>
      <c r="D7" s="3278"/>
      <c r="E7" s="808"/>
      <c r="F7" s="808"/>
      <c r="G7" s="808"/>
      <c r="H7" s="808"/>
      <c r="I7" s="808"/>
      <c r="J7" s="808"/>
      <c r="K7" s="808"/>
      <c r="L7" s="808"/>
      <c r="M7" s="808"/>
      <c r="N7" s="808"/>
      <c r="O7" s="808"/>
      <c r="P7" s="808"/>
      <c r="Q7" s="808"/>
      <c r="R7" s="808"/>
      <c r="AF7" s="187"/>
    </row>
    <row r="8" spans="1:32" ht="15.75">
      <c r="A8" s="808"/>
      <c r="B8" s="3273" t="s">
        <v>691</v>
      </c>
      <c r="C8" s="3279" t="s">
        <v>2198</v>
      </c>
      <c r="D8" s="3278"/>
      <c r="E8" s="808"/>
      <c r="F8" s="808"/>
      <c r="G8" s="808"/>
      <c r="H8" s="808"/>
      <c r="I8" s="808"/>
      <c r="J8" s="808"/>
      <c r="K8" s="808"/>
      <c r="L8" s="808"/>
      <c r="M8" s="808"/>
      <c r="N8" s="808"/>
      <c r="O8" s="808"/>
      <c r="P8" s="808"/>
      <c r="Q8" s="808"/>
      <c r="R8" s="808"/>
      <c r="AF8" s="187"/>
    </row>
    <row r="9" spans="1:32" ht="15.75">
      <c r="A9" s="808"/>
      <c r="B9" s="3273" t="s">
        <v>691</v>
      </c>
      <c r="C9" s="3279" t="s">
        <v>2199</v>
      </c>
      <c r="D9" s="3278"/>
      <c r="E9" s="808"/>
      <c r="F9" s="808"/>
      <c r="G9" s="808"/>
      <c r="H9" s="808"/>
      <c r="I9" s="808"/>
      <c r="J9" s="808"/>
      <c r="K9" s="808"/>
      <c r="L9" s="808"/>
      <c r="M9" s="808"/>
      <c r="N9" s="808"/>
      <c r="O9" s="808"/>
      <c r="P9" s="808"/>
      <c r="Q9" s="808"/>
      <c r="R9" s="808"/>
      <c r="AF9" s="187"/>
    </row>
    <row r="10" spans="1:32" ht="15.75">
      <c r="A10" s="808"/>
      <c r="B10" s="3273" t="s">
        <v>691</v>
      </c>
      <c r="C10" s="3279" t="s">
        <v>2200</v>
      </c>
      <c r="D10" s="3278"/>
      <c r="E10" s="808"/>
      <c r="F10" s="808"/>
      <c r="G10" s="808"/>
      <c r="H10" s="808"/>
      <c r="I10" s="808"/>
      <c r="J10" s="808"/>
      <c r="K10" s="808"/>
      <c r="L10" s="808"/>
      <c r="M10" s="808"/>
      <c r="N10" s="808"/>
      <c r="O10" s="808"/>
      <c r="P10" s="808"/>
      <c r="Q10" s="808"/>
      <c r="R10" s="808"/>
      <c r="AF10" s="187"/>
    </row>
    <row r="11" spans="1:32">
      <c r="A11" s="808"/>
      <c r="B11" s="808"/>
      <c r="C11" s="3279" t="s">
        <v>2201</v>
      </c>
      <c r="D11" s="3279"/>
      <c r="E11" s="808"/>
      <c r="F11" s="808"/>
      <c r="G11" s="808"/>
      <c r="H11" s="808"/>
      <c r="I11" s="808"/>
      <c r="J11" s="808"/>
      <c r="K11" s="808"/>
      <c r="L11" s="808"/>
      <c r="M11" s="808"/>
      <c r="N11" s="808"/>
      <c r="O11" s="808"/>
      <c r="P11" s="808"/>
      <c r="Q11" s="808"/>
      <c r="R11" s="808"/>
      <c r="AF11" s="187"/>
    </row>
    <row r="12" spans="1:32">
      <c r="A12" s="808"/>
      <c r="B12" s="808"/>
      <c r="C12" s="808"/>
      <c r="D12" s="808"/>
      <c r="E12" s="808"/>
      <c r="F12" s="808"/>
      <c r="G12" s="808"/>
      <c r="H12" s="808"/>
      <c r="I12" s="808"/>
      <c r="J12" s="808"/>
      <c r="K12" s="808"/>
      <c r="L12" s="808"/>
      <c r="M12" s="808"/>
      <c r="N12" s="808"/>
      <c r="O12" s="808"/>
      <c r="P12" s="808"/>
      <c r="Q12" s="808"/>
      <c r="R12" s="1461"/>
    </row>
    <row r="13" spans="1:32" s="39" customFormat="1" ht="15.75" customHeight="1">
      <c r="A13" s="66"/>
      <c r="B13" s="66"/>
      <c r="C13" s="66"/>
      <c r="D13" s="66"/>
      <c r="E13" s="66"/>
      <c r="F13" s="66"/>
      <c r="G13" s="66"/>
      <c r="H13" s="66"/>
      <c r="I13" s="66"/>
      <c r="J13" s="66"/>
      <c r="K13" s="66"/>
      <c r="L13" s="66"/>
      <c r="M13" s="66"/>
      <c r="N13" s="66"/>
      <c r="O13" s="66"/>
      <c r="P13" s="66"/>
      <c r="Q13" s="808"/>
      <c r="R13" s="1461"/>
      <c r="S13" s="2037" t="s">
        <v>241</v>
      </c>
      <c r="T13" s="2038"/>
      <c r="U13" s="2038"/>
      <c r="V13" s="2038"/>
      <c r="W13" s="2038"/>
      <c r="X13" s="2038"/>
      <c r="Y13" s="2038"/>
      <c r="Z13" s="2038"/>
      <c r="AA13" s="2038"/>
      <c r="AB13" s="2038"/>
      <c r="AC13" s="2038"/>
      <c r="AD13" s="217"/>
      <c r="AE13" s="217"/>
    </row>
    <row r="14" spans="1:32" s="39" customFormat="1" ht="8.25" customHeight="1">
      <c r="A14" s="66"/>
      <c r="B14" s="29"/>
      <c r="C14" s="186"/>
      <c r="D14" s="29"/>
      <c r="E14" s="29"/>
      <c r="F14" s="29"/>
      <c r="G14" s="29"/>
      <c r="H14" s="29"/>
      <c r="I14" s="7087" t="s">
        <v>576</v>
      </c>
      <c r="J14" s="7088"/>
      <c r="K14" s="7088"/>
      <c r="L14" s="7088"/>
      <c r="M14" s="7088"/>
      <c r="N14" s="7088"/>
      <c r="O14" s="7088"/>
      <c r="P14" s="66"/>
      <c r="Q14" s="808"/>
      <c r="R14" s="1461"/>
      <c r="S14" s="2038"/>
      <c r="T14" s="2038"/>
      <c r="U14" s="2038"/>
      <c r="V14" s="2038"/>
      <c r="W14" s="2038"/>
      <c r="X14" s="2038"/>
      <c r="Y14" s="2038"/>
      <c r="Z14" s="2038"/>
      <c r="AA14" s="2038"/>
      <c r="AB14" s="2038"/>
      <c r="AC14" s="2038"/>
      <c r="AD14" s="217"/>
      <c r="AE14" s="217"/>
    </row>
    <row r="15" spans="1:32" s="39" customFormat="1" ht="12.75" customHeight="1">
      <c r="A15" s="66"/>
      <c r="B15" s="236" t="s">
        <v>2202</v>
      </c>
      <c r="C15" s="186"/>
      <c r="D15" s="2535"/>
      <c r="E15" s="2532"/>
      <c r="F15" s="2532"/>
      <c r="G15" s="2532"/>
      <c r="H15" s="2533"/>
      <c r="I15" s="7089"/>
      <c r="J15" s="7090"/>
      <c r="K15" s="7090"/>
      <c r="L15" s="7090"/>
      <c r="M15" s="7090"/>
      <c r="N15" s="7090"/>
      <c r="O15" s="7090"/>
      <c r="P15" s="66"/>
      <c r="Q15" s="808"/>
      <c r="R15" s="1461"/>
      <c r="S15" s="2038"/>
      <c r="T15" s="2038"/>
      <c r="U15" s="2038"/>
      <c r="V15" s="2038"/>
      <c r="W15" s="2038"/>
      <c r="X15" s="2038"/>
      <c r="Y15" s="2038"/>
      <c r="Z15" s="2038"/>
      <c r="AA15" s="2038"/>
      <c r="AB15" s="2038"/>
      <c r="AC15" s="2038"/>
      <c r="AD15" s="217"/>
      <c r="AE15" s="217"/>
    </row>
    <row r="16" spans="1:32" s="39" customFormat="1" ht="16.5" customHeight="1">
      <c r="A16" s="66"/>
      <c r="B16" s="5051" t="s">
        <v>2088</v>
      </c>
      <c r="C16" s="186"/>
      <c r="D16" s="7107" t="s">
        <v>2203</v>
      </c>
      <c r="E16" s="7108"/>
      <c r="F16" s="7108"/>
      <c r="G16" s="7108"/>
      <c r="H16" s="7109"/>
      <c r="I16" s="7091">
        <f>TaxYear</f>
        <v>2023</v>
      </c>
      <c r="J16" s="7092"/>
      <c r="K16" s="7092"/>
      <c r="L16" s="7092"/>
      <c r="M16" s="7092"/>
      <c r="N16" s="7092"/>
      <c r="O16" s="7092"/>
      <c r="P16" s="66"/>
      <c r="Q16" s="808"/>
      <c r="R16" s="1461"/>
      <c r="S16" s="2038"/>
      <c r="T16" s="2038"/>
      <c r="U16" s="2038"/>
      <c r="V16" s="2038"/>
      <c r="W16" s="2038"/>
      <c r="X16" s="2038"/>
      <c r="Y16" s="2038"/>
      <c r="Z16" s="2038"/>
      <c r="AA16" s="2038"/>
      <c r="AB16" s="2038"/>
      <c r="AC16" s="2038"/>
      <c r="AD16" s="217"/>
      <c r="AE16" s="217"/>
    </row>
    <row r="17" spans="1:31" s="39" customFormat="1" ht="12" customHeight="1">
      <c r="A17" s="66"/>
      <c r="B17" s="2534"/>
      <c r="C17" s="186"/>
      <c r="D17" s="7061"/>
      <c r="E17" s="7050"/>
      <c r="F17" s="7050"/>
      <c r="G17" s="7050"/>
      <c r="H17" s="7062"/>
      <c r="I17" s="7093"/>
      <c r="J17" s="7094"/>
      <c r="K17" s="7094"/>
      <c r="L17" s="7094"/>
      <c r="M17" s="7094"/>
      <c r="N17" s="7094"/>
      <c r="O17" s="7094"/>
      <c r="P17" s="66"/>
      <c r="Q17" s="808"/>
      <c r="R17" s="1461"/>
      <c r="S17" s="2038"/>
      <c r="T17" s="2038"/>
      <c r="U17" s="2038"/>
      <c r="V17" s="2038"/>
      <c r="W17" s="2038"/>
      <c r="X17" s="2038"/>
      <c r="Y17" s="2038"/>
      <c r="Z17" s="2038"/>
      <c r="AA17" s="2038"/>
      <c r="AB17" s="2038"/>
      <c r="AC17" s="2038"/>
      <c r="AD17" s="217"/>
      <c r="AE17" s="217"/>
    </row>
    <row r="18" spans="1:31" s="39" customFormat="1" ht="9.75" customHeight="1">
      <c r="A18" s="66"/>
      <c r="B18" s="233" t="s">
        <v>535</v>
      </c>
      <c r="C18" s="186"/>
      <c r="D18" s="7110" t="s">
        <v>2090</v>
      </c>
      <c r="E18" s="7111"/>
      <c r="F18" s="7111"/>
      <c r="G18" s="7111"/>
      <c r="H18" s="7112"/>
      <c r="I18" s="2938" t="s">
        <v>2205</v>
      </c>
      <c r="J18" s="233"/>
      <c r="K18" s="233"/>
      <c r="L18" s="233"/>
      <c r="M18" s="233"/>
      <c r="N18" s="233"/>
      <c r="O18" s="29"/>
      <c r="P18" s="66"/>
      <c r="Q18" s="808"/>
      <c r="R18" s="1461"/>
      <c r="S18" s="2038"/>
      <c r="T18" s="2038"/>
      <c r="U18" s="2038"/>
      <c r="V18" s="2038"/>
      <c r="W18" s="2038"/>
      <c r="X18" s="2038"/>
      <c r="Y18" s="2038"/>
      <c r="Z18" s="2038"/>
      <c r="AA18" s="2038"/>
      <c r="AB18" s="2038"/>
      <c r="AC18" s="2038"/>
      <c r="AD18" s="217"/>
      <c r="AE18" s="217"/>
    </row>
    <row r="19" spans="1:31" ht="12.75" customHeight="1" thickBot="1">
      <c r="A19" s="66"/>
      <c r="B19" s="233" t="s">
        <v>2206</v>
      </c>
      <c r="C19" s="605"/>
      <c r="D19" s="7061" t="s">
        <v>2204</v>
      </c>
      <c r="E19" s="7050"/>
      <c r="F19" s="7050"/>
      <c r="G19" s="7050"/>
      <c r="H19" s="7062"/>
      <c r="I19" s="2531" t="s">
        <v>2207</v>
      </c>
      <c r="J19" s="720"/>
      <c r="K19" s="720"/>
      <c r="L19" s="720"/>
      <c r="M19" s="720"/>
      <c r="N19" s="720"/>
      <c r="O19" s="28"/>
      <c r="P19" s="394"/>
      <c r="Q19" s="780"/>
      <c r="R19" s="1252"/>
    </row>
    <row r="20" spans="1:31" ht="11.25" customHeight="1">
      <c r="A20" s="66"/>
      <c r="B20" s="362" t="s">
        <v>2208</v>
      </c>
      <c r="C20" s="129"/>
      <c r="D20" s="5566"/>
      <c r="E20" s="5566"/>
      <c r="F20" s="5566"/>
      <c r="G20" s="5567"/>
      <c r="H20" s="7113" t="s">
        <v>586</v>
      </c>
      <c r="I20" s="7114"/>
      <c r="J20" s="7114"/>
      <c r="K20" s="7114"/>
      <c r="L20" s="7114"/>
      <c r="M20" s="7114"/>
      <c r="N20" s="7114"/>
      <c r="O20" s="7114"/>
      <c r="P20" s="394"/>
      <c r="Q20" s="780"/>
      <c r="R20" s="1252"/>
    </row>
    <row r="21" spans="1:31" ht="17.25" customHeight="1">
      <c r="A21" s="66"/>
      <c r="B21" s="912" t="str">
        <f>Names</f>
        <v/>
      </c>
      <c r="C21" s="913"/>
      <c r="D21" s="5568"/>
      <c r="E21" s="5568"/>
      <c r="F21" s="5568"/>
      <c r="G21" s="5568"/>
      <c r="H21" s="7115">
        <f>IF(NoSSN,"",SS_Yours)</f>
        <v>1010001</v>
      </c>
      <c r="I21" s="7116"/>
      <c r="J21" s="7116"/>
      <c r="K21" s="7116"/>
      <c r="L21" s="7116"/>
      <c r="M21" s="7116"/>
      <c r="N21" s="7116"/>
      <c r="O21" s="7116"/>
      <c r="P21" s="394"/>
      <c r="Q21" s="780"/>
      <c r="R21" s="1252"/>
    </row>
    <row r="22" spans="1:31" ht="13.5" customHeight="1">
      <c r="A22" s="66"/>
      <c r="B22" s="21" t="s">
        <v>884</v>
      </c>
      <c r="C22" s="21">
        <v>1</v>
      </c>
      <c r="D22" s="699" t="s">
        <v>2209</v>
      </c>
      <c r="E22" s="20"/>
      <c r="F22" s="20"/>
      <c r="G22" s="20"/>
      <c r="H22" s="230"/>
      <c r="I22" s="7081" t="s">
        <v>971</v>
      </c>
      <c r="J22" s="7082"/>
      <c r="K22" s="7082"/>
      <c r="L22" s="7082"/>
      <c r="M22" s="7082"/>
      <c r="N22" s="7082"/>
      <c r="O22" s="7082"/>
      <c r="P22" s="394"/>
      <c r="Q22" s="780"/>
      <c r="R22" s="1252"/>
    </row>
    <row r="23" spans="1:31" ht="12" customHeight="1">
      <c r="A23" s="66"/>
      <c r="B23" s="21" t="s">
        <v>2210</v>
      </c>
      <c r="C23" s="21"/>
      <c r="D23" s="699" t="s">
        <v>2211</v>
      </c>
      <c r="E23" s="20"/>
      <c r="F23" s="20"/>
      <c r="G23" s="20"/>
      <c r="H23" s="231"/>
      <c r="I23" s="7117"/>
      <c r="J23" s="7118"/>
      <c r="K23" s="7118"/>
      <c r="L23" s="7118"/>
      <c r="M23" s="7118"/>
      <c r="N23" s="7118"/>
      <c r="O23" s="7118"/>
      <c r="P23" s="394"/>
      <c r="Q23" s="780"/>
      <c r="R23" s="1252"/>
    </row>
    <row r="24" spans="1:31" ht="12.75" customHeight="1">
      <c r="A24" s="66"/>
      <c r="B24" s="20"/>
      <c r="C24" s="21"/>
      <c r="D24" s="699" t="s">
        <v>5511</v>
      </c>
      <c r="E24" s="20"/>
      <c r="F24" s="20"/>
      <c r="G24" s="174"/>
      <c r="H24" s="231"/>
      <c r="I24" s="7095"/>
      <c r="J24" s="7096"/>
      <c r="K24" s="7096"/>
      <c r="L24" s="7096"/>
      <c r="M24" s="7096"/>
      <c r="N24" s="7096"/>
      <c r="O24" s="7097"/>
      <c r="P24" s="394"/>
      <c r="Q24" s="780"/>
      <c r="R24" s="1252"/>
      <c r="T24" s="2044"/>
    </row>
    <row r="25" spans="1:31" ht="12.75" customHeight="1">
      <c r="A25" s="66"/>
      <c r="B25" s="133" t="s">
        <v>2212</v>
      </c>
      <c r="C25" s="21"/>
      <c r="D25" s="7068" t="str">
        <f>IF('1099-INT'!D30="","Use sheet '1099-INT' to enter interest amounts.",'1099-INT'!D30)</f>
        <v>Use sheet '1099-INT' to enter interest amounts.</v>
      </c>
      <c r="E25" s="7069"/>
      <c r="F25" s="7069"/>
      <c r="G25" s="7070"/>
      <c r="H25" s="231"/>
      <c r="I25" s="7071" t="str">
        <f>IF(AND('1099-INT'!D6="",'1099-INT'!D26="",'1099-INT'!D17=""),"",ROUND(SUM('1099-INT'!D6,'1099-INT'!D17,'1099-INT'!D26),2))</f>
        <v/>
      </c>
      <c r="J25" s="7072"/>
      <c r="K25" s="7072"/>
      <c r="L25" s="7072"/>
      <c r="M25" s="7072"/>
      <c r="N25" s="7072"/>
      <c r="O25" s="7073"/>
      <c r="P25" s="394"/>
      <c r="Q25" s="780"/>
      <c r="R25" s="3274"/>
      <c r="S25" s="2044" t="s">
        <v>421</v>
      </c>
      <c r="AD25" s="918"/>
      <c r="AE25" s="918"/>
    </row>
    <row r="26" spans="1:31" ht="12.75" customHeight="1">
      <c r="A26" s="66"/>
      <c r="B26" s="133" t="s">
        <v>2213</v>
      </c>
      <c r="C26" s="21"/>
      <c r="D26" s="7068" t="str">
        <f>IF('1099-INT'!E30="","",'1099-INT'!E30)</f>
        <v/>
      </c>
      <c r="E26" s="7069"/>
      <c r="F26" s="7069"/>
      <c r="G26" s="7070"/>
      <c r="H26" s="231"/>
      <c r="I26" s="7071" t="str">
        <f>IF(AND('1099-INT'!E6="",'1099-INT'!E26="",'1099-INT'!E17=""),"",ROUND(SUM('1099-INT'!E6,'1099-INT'!E17,'1099-INT'!E26),2))</f>
        <v/>
      </c>
      <c r="J26" s="7072"/>
      <c r="K26" s="7072"/>
      <c r="L26" s="7072"/>
      <c r="M26" s="7072"/>
      <c r="N26" s="7072"/>
      <c r="O26" s="7073"/>
      <c r="P26" s="394"/>
      <c r="Q26" s="780"/>
      <c r="R26" s="3274"/>
      <c r="S26" s="2044" t="s">
        <v>2214</v>
      </c>
      <c r="AD26" s="918"/>
      <c r="AE26" s="918"/>
    </row>
    <row r="27" spans="1:31" ht="12.75" customHeight="1">
      <c r="A27" s="66"/>
      <c r="B27" s="133" t="s">
        <v>2215</v>
      </c>
      <c r="C27" s="21"/>
      <c r="D27" s="7068" t="str">
        <f>IF('1099-INT'!F27="","",'1099-INT'!F30)</f>
        <v/>
      </c>
      <c r="E27" s="7069"/>
      <c r="F27" s="7069"/>
      <c r="G27" s="7070"/>
      <c r="H27" s="231"/>
      <c r="I27" s="7071" t="str">
        <f>IF(AND('1099-INT'!F6="",'1099-INT'!F26="",'1099-INT'!F17=""),"",ROUND(SUM('1099-INT'!F6,'1099-INT'!F$17,'1099-INT'!F$26),2))</f>
        <v/>
      </c>
      <c r="J27" s="7072"/>
      <c r="K27" s="7072"/>
      <c r="L27" s="7072"/>
      <c r="M27" s="7072"/>
      <c r="N27" s="7072"/>
      <c r="O27" s="7073"/>
      <c r="P27" s="394"/>
      <c r="Q27" s="780"/>
      <c r="R27" s="3274"/>
      <c r="AD27" s="918"/>
      <c r="AE27" s="918"/>
    </row>
    <row r="28" spans="1:31" ht="12.75" customHeight="1">
      <c r="A28" s="66"/>
      <c r="B28" s="133" t="s">
        <v>5509</v>
      </c>
      <c r="C28" s="21"/>
      <c r="D28" s="7068" t="str">
        <f>IF('1099-INT'!G27="","",'1099-INT'!G30)</f>
        <v/>
      </c>
      <c r="E28" s="7069"/>
      <c r="F28" s="7069"/>
      <c r="G28" s="7070"/>
      <c r="H28" s="231"/>
      <c r="I28" s="7071" t="str">
        <f>IF(AND('1099-INT'!G6="",'1099-INT'!G26="",'1099-INT'!G17=""),"",ROUND(SUM('1099-INT'!G6,'1099-INT'!G$17,'1099-INT'!G$26),2))</f>
        <v/>
      </c>
      <c r="J28" s="7072"/>
      <c r="K28" s="7072"/>
      <c r="L28" s="7072"/>
      <c r="M28" s="7072"/>
      <c r="N28" s="7072"/>
      <c r="O28" s="7073"/>
      <c r="P28" s="394"/>
      <c r="Q28" s="780"/>
      <c r="R28" s="3274"/>
      <c r="S28" s="2038" t="s">
        <v>2216</v>
      </c>
      <c r="AD28" s="918"/>
      <c r="AE28" s="918"/>
    </row>
    <row r="29" spans="1:31" ht="12.75" customHeight="1">
      <c r="A29" s="66"/>
      <c r="B29" s="133" t="s">
        <v>5508</v>
      </c>
      <c r="C29" s="21"/>
      <c r="D29" s="7068" t="str">
        <f>IF('1099-INT'!H27="","",'1099-INT'!H30)</f>
        <v/>
      </c>
      <c r="E29" s="7069"/>
      <c r="F29" s="7069"/>
      <c r="G29" s="7070"/>
      <c r="H29" s="231"/>
      <c r="I29" s="7071" t="str">
        <f>IF(AND('1099-INT'!H6="",'1099-INT'!H26="",'1099-INT'!H17=""),"",ROUND(SUM('1099-INT'!H6,'1099-INT'!H$17,'1099-INT'!H$26),2))</f>
        <v/>
      </c>
      <c r="J29" s="7072"/>
      <c r="K29" s="7072"/>
      <c r="L29" s="7072"/>
      <c r="M29" s="7072"/>
      <c r="N29" s="7072"/>
      <c r="O29" s="7073"/>
      <c r="P29" s="394"/>
      <c r="Q29" s="780"/>
      <c r="R29" s="3274"/>
      <c r="AD29" s="918"/>
      <c r="AE29" s="918"/>
    </row>
    <row r="30" spans="1:31" ht="12.75" customHeight="1">
      <c r="A30" s="66"/>
      <c r="B30" s="133"/>
      <c r="C30" s="21"/>
      <c r="D30" s="7068" t="str">
        <f>IF('1099-INT'!D56="","",'1099-INT'!D59)</f>
        <v/>
      </c>
      <c r="E30" s="7069"/>
      <c r="F30" s="7069"/>
      <c r="G30" s="7070"/>
      <c r="H30" s="231"/>
      <c r="I30" s="7071" t="str">
        <f>IF(AND('1099-INT'!D35="",'1099-INT'!D55="",'1099-INT'!D46=""),"",ROUND(SUM('1099-INT'!D$35,'1099-INT'!D$46,'1099-INT'!D$55),2))</f>
        <v/>
      </c>
      <c r="J30" s="7072"/>
      <c r="K30" s="7072"/>
      <c r="L30" s="7072"/>
      <c r="M30" s="7072"/>
      <c r="N30" s="7072"/>
      <c r="O30" s="7073"/>
      <c r="P30" s="394"/>
      <c r="Q30" s="780"/>
      <c r="R30" s="3274"/>
      <c r="S30" s="2044" t="s">
        <v>2217</v>
      </c>
      <c r="AD30" s="918"/>
      <c r="AE30" s="918"/>
    </row>
    <row r="31" spans="1:31" ht="12.75" customHeight="1">
      <c r="A31" s="66"/>
      <c r="B31" s="130" t="s">
        <v>2218</v>
      </c>
      <c r="C31" s="21"/>
      <c r="D31" s="7068" t="str">
        <f>IF('1099-INT'!E56="","",'1099-INT'!E59)</f>
        <v/>
      </c>
      <c r="E31" s="7069"/>
      <c r="F31" s="7069"/>
      <c r="G31" s="7070"/>
      <c r="H31" s="231"/>
      <c r="I31" s="7071" t="str">
        <f>IF(AND('1099-INT'!E35="",'1099-INT'!E55="",'1099-INT'!E46=""),"",ROUND(SUM('1099-INT'!E$35,'1099-INT'!E$46,'1099-INT'!E$55),2))</f>
        <v/>
      </c>
      <c r="J31" s="7072"/>
      <c r="K31" s="7072"/>
      <c r="L31" s="7072"/>
      <c r="M31" s="7072"/>
      <c r="N31" s="7072"/>
      <c r="O31" s="7073"/>
      <c r="P31" s="394"/>
      <c r="Q31" s="780"/>
      <c r="R31" s="3274"/>
      <c r="AD31" s="918"/>
      <c r="AE31" s="918"/>
    </row>
    <row r="32" spans="1:31" ht="12.75" customHeight="1">
      <c r="A32" s="66"/>
      <c r="B32" s="7119" t="s">
        <v>5510</v>
      </c>
      <c r="C32" s="21"/>
      <c r="D32" s="7068" t="str">
        <f>IF('1099-INT'!F56="","",'1099-INT'!F59)</f>
        <v/>
      </c>
      <c r="E32" s="7069"/>
      <c r="F32" s="7069"/>
      <c r="G32" s="7070"/>
      <c r="H32" s="231"/>
      <c r="I32" s="7071" t="str">
        <f>IF(AND('1099-INT'!F35="",'1099-INT'!F55="",'1099-INT'!F46=""),"",ROUND(SUM('1099-INT'!F$35,'1099-INT'!F$46,'1099-INT'!F$55),2))</f>
        <v/>
      </c>
      <c r="J32" s="7072"/>
      <c r="K32" s="7072"/>
      <c r="L32" s="7072"/>
      <c r="M32" s="7072"/>
      <c r="N32" s="7072"/>
      <c r="O32" s="7073"/>
      <c r="P32" s="394"/>
      <c r="Q32" s="780"/>
      <c r="R32" s="3274"/>
      <c r="AD32" s="918"/>
      <c r="AE32" s="918"/>
    </row>
    <row r="33" spans="1:31" ht="12.75" customHeight="1">
      <c r="A33" s="66"/>
      <c r="B33" s="7119"/>
      <c r="C33" s="21"/>
      <c r="D33" s="7068" t="str">
        <f>IF('1099-INT'!G56="","",'1099-INT'!G59)</f>
        <v/>
      </c>
      <c r="E33" s="7069"/>
      <c r="F33" s="7069"/>
      <c r="G33" s="7070"/>
      <c r="H33" s="231">
        <v>1</v>
      </c>
      <c r="I33" s="7071" t="str">
        <f>IF(AND('1099-INT'!G35="",'1099-INT'!G55="",'1099-INT'!G46=""),"",ROUND(SUM('1099-INT'!G$35,'1099-INT'!G$46,'1099-INT'!G$55),2))</f>
        <v/>
      </c>
      <c r="J33" s="7072"/>
      <c r="K33" s="7072"/>
      <c r="L33" s="7072"/>
      <c r="M33" s="7072"/>
      <c r="N33" s="7072"/>
      <c r="O33" s="7073"/>
      <c r="P33" s="394"/>
      <c r="Q33" s="780"/>
      <c r="R33" s="3274"/>
      <c r="AD33" s="918"/>
      <c r="AE33" s="918"/>
    </row>
    <row r="34" spans="1:31" ht="12.75" customHeight="1">
      <c r="A34" s="66"/>
      <c r="B34" s="7119"/>
      <c r="C34" s="21"/>
      <c r="D34" s="7068" t="str">
        <f>IF('1099-INT'!H56="","",'1099-INT'!H59)</f>
        <v/>
      </c>
      <c r="E34" s="7069"/>
      <c r="F34" s="7069"/>
      <c r="G34" s="7070"/>
      <c r="H34" s="231"/>
      <c r="I34" s="7071" t="str">
        <f>IF(AND('1099-INT'!H35="",'1099-INT'!H55="",'1099-INT'!H46=""),"",ROUND(SUM('1099-INT'!H$35,'1099-INT'!H$46,'1099-INT'!H$55),2))</f>
        <v/>
      </c>
      <c r="J34" s="7072"/>
      <c r="K34" s="7072"/>
      <c r="L34" s="7072"/>
      <c r="M34" s="7072"/>
      <c r="N34" s="7072"/>
      <c r="O34" s="7073"/>
      <c r="P34" s="394"/>
      <c r="Q34" s="780"/>
      <c r="R34" s="3274"/>
      <c r="AD34" s="918"/>
      <c r="AE34" s="918"/>
    </row>
    <row r="35" spans="1:31" ht="12.75" customHeight="1">
      <c r="A35" s="66"/>
      <c r="B35" s="7119"/>
      <c r="C35" s="21"/>
      <c r="D35" s="7068" t="str">
        <f>IF('1099-INT'!D86="","",'1099-INT'!D89)</f>
        <v/>
      </c>
      <c r="E35" s="7069"/>
      <c r="F35" s="7069"/>
      <c r="G35" s="7070"/>
      <c r="H35" s="231"/>
      <c r="I35" s="7076" t="str">
        <f>IF(AND('1099-INT'!D65="",'1099-INT'!D85="",'1099-INT'!D76=""),"",ROUND(SUM('1099-INT'!D65,'1099-INT'!D76,'1099-INT'!D85),2))</f>
        <v/>
      </c>
      <c r="J35" s="7077"/>
      <c r="K35" s="7077"/>
      <c r="L35" s="7077"/>
      <c r="M35" s="7077"/>
      <c r="N35" s="7077"/>
      <c r="O35" s="7078"/>
      <c r="P35" s="394"/>
      <c r="Q35" s="780"/>
      <c r="R35" s="3274"/>
      <c r="AD35" s="918"/>
      <c r="AE35" s="918"/>
    </row>
    <row r="36" spans="1:31" ht="12.75" customHeight="1">
      <c r="A36" s="66"/>
      <c r="B36" s="7119"/>
      <c r="C36" s="21"/>
      <c r="D36" s="7068" t="str">
        <f>IF('1099-INT'!E86="","",'1099-INT'!E89)</f>
        <v/>
      </c>
      <c r="E36" s="7069"/>
      <c r="F36" s="7069"/>
      <c r="G36" s="7070"/>
      <c r="H36" s="231"/>
      <c r="I36" s="7076" t="str">
        <f>IF(AND('1099-INT'!E65="",'1099-INT'!E85="",'1099-INT'!E76=""),"",ROUND(SUM('1099-INT'!E65,'1099-INT'!E76,'1099-INT'!E85),2))</f>
        <v/>
      </c>
      <c r="J36" s="7077"/>
      <c r="K36" s="7077"/>
      <c r="L36" s="7077"/>
      <c r="M36" s="7077"/>
      <c r="N36" s="7077"/>
      <c r="O36" s="7078"/>
      <c r="P36" s="394"/>
      <c r="Q36" s="780"/>
      <c r="R36" s="3274"/>
      <c r="AD36" s="918"/>
      <c r="AE36" s="918"/>
    </row>
    <row r="37" spans="1:31" ht="12.75" customHeight="1">
      <c r="A37" s="66"/>
      <c r="B37" s="7119"/>
      <c r="C37" s="21"/>
      <c r="D37" s="7068" t="str">
        <f>IF('1099-INT'!F86="","",'1099-INT'!F89)</f>
        <v/>
      </c>
      <c r="E37" s="7069"/>
      <c r="F37" s="7069"/>
      <c r="G37" s="7070"/>
      <c r="H37" s="231"/>
      <c r="I37" s="7076" t="str">
        <f>IF(AND('1099-INT'!F65="",'1099-INT'!F85="",'1099-INT'!F76=""),"",ROUND(SUM('1099-INT'!F65,'1099-INT'!F76,'1099-INT'!F85),2))</f>
        <v/>
      </c>
      <c r="J37" s="7077"/>
      <c r="K37" s="7077"/>
      <c r="L37" s="7077"/>
      <c r="M37" s="7077"/>
      <c r="N37" s="7077"/>
      <c r="O37" s="7078"/>
      <c r="P37" s="394"/>
      <c r="Q37" s="780"/>
      <c r="R37" s="3274"/>
      <c r="AD37" s="918"/>
      <c r="AE37" s="918"/>
    </row>
    <row r="38" spans="1:31" ht="12.75" customHeight="1">
      <c r="A38" s="66"/>
      <c r="B38" s="7119"/>
      <c r="C38" s="21"/>
      <c r="D38" s="7068" t="str">
        <f>IF('1099-INT'!G86="","",'1099-INT'!G89)</f>
        <v/>
      </c>
      <c r="E38" s="7069"/>
      <c r="F38" s="7069"/>
      <c r="G38" s="7070"/>
      <c r="H38" s="231"/>
      <c r="I38" s="7076" t="str">
        <f>IF(AND('1099-INT'!G65="",'1099-INT'!G85="",'1099-INT'!G76=""),"",ROUND(SUM('1099-INT'!G65,'1099-INT'!G76,'1099-INT'!G85),2))</f>
        <v/>
      </c>
      <c r="J38" s="7077"/>
      <c r="K38" s="7077"/>
      <c r="L38" s="7077"/>
      <c r="M38" s="7077"/>
      <c r="N38" s="7077"/>
      <c r="O38" s="7078"/>
      <c r="P38" s="394"/>
      <c r="Q38" s="780"/>
      <c r="R38" s="3274"/>
      <c r="AD38" s="918"/>
      <c r="AE38" s="918"/>
    </row>
    <row r="39" spans="1:31" ht="12.75" customHeight="1">
      <c r="A39" s="66"/>
      <c r="B39" s="7119"/>
      <c r="C39" s="21"/>
      <c r="D39" s="7068" t="str">
        <f>IF('1099-INT'!H86="","",'1099-INT'!H89)</f>
        <v/>
      </c>
      <c r="E39" s="7069"/>
      <c r="F39" s="7069"/>
      <c r="G39" s="7070"/>
      <c r="H39" s="228"/>
      <c r="I39" s="7076" t="str">
        <f>IF(AND('1099-INT'!H65="",'1099-INT'!H85="",'1099-INT'!H76=""),"",ROUND(SUM('1099-INT'!H65,'1099-INT'!H76,'1099-INT'!H85),2))</f>
        <v/>
      </c>
      <c r="J39" s="7077"/>
      <c r="K39" s="7077"/>
      <c r="L39" s="7077"/>
      <c r="M39" s="7077"/>
      <c r="N39" s="7077"/>
      <c r="O39" s="7078"/>
      <c r="P39" s="394"/>
      <c r="Q39" s="780"/>
      <c r="R39" s="3274"/>
      <c r="AD39" s="918"/>
      <c r="AE39" s="918"/>
    </row>
    <row r="40" spans="1:31" ht="12.75" customHeight="1">
      <c r="A40" s="66"/>
      <c r="B40" s="7119"/>
      <c r="C40" s="21">
        <v>2</v>
      </c>
      <c r="D40" s="699" t="s">
        <v>2219</v>
      </c>
      <c r="E40" s="20"/>
      <c r="F40" s="20"/>
      <c r="G40" s="20"/>
      <c r="H40" s="232">
        <v>2</v>
      </c>
      <c r="I40" s="7079">
        <f>ROUND(SUM(I25:I39),0)</f>
        <v>0</v>
      </c>
      <c r="J40" s="7080"/>
      <c r="K40" s="7080"/>
      <c r="L40" s="7080"/>
      <c r="M40" s="7080"/>
      <c r="N40" s="7080"/>
      <c r="O40" s="7080"/>
      <c r="P40" s="394"/>
      <c r="Q40" s="780"/>
      <c r="R40" s="3274"/>
      <c r="AD40" s="918"/>
      <c r="AE40" s="918"/>
    </row>
    <row r="41" spans="1:31" ht="12.75" customHeight="1">
      <c r="A41" s="66"/>
      <c r="B41" s="7119"/>
      <c r="C41" s="21">
        <v>3</v>
      </c>
      <c r="D41" s="699" t="s">
        <v>2220</v>
      </c>
      <c r="E41" s="20"/>
      <c r="F41" s="20"/>
      <c r="G41" s="20"/>
      <c r="H41" s="230"/>
      <c r="I41" s="123"/>
      <c r="J41" s="123"/>
      <c r="K41" s="123"/>
      <c r="L41" s="123"/>
      <c r="M41" s="123"/>
      <c r="N41" s="123"/>
      <c r="O41" s="123"/>
      <c r="P41" s="394"/>
      <c r="Q41" s="780"/>
      <c r="R41" s="1252"/>
    </row>
    <row r="42" spans="1:31" ht="12.75" customHeight="1">
      <c r="A42" s="66"/>
      <c r="B42" s="7119"/>
      <c r="C42" s="21"/>
      <c r="D42" s="699" t="s">
        <v>2221</v>
      </c>
      <c r="E42" s="20"/>
      <c r="F42" s="20"/>
      <c r="G42" s="721" t="s">
        <v>2222</v>
      </c>
      <c r="H42" s="228">
        <v>3</v>
      </c>
      <c r="I42" s="7085"/>
      <c r="J42" s="7086"/>
      <c r="K42" s="7086"/>
      <c r="L42" s="7086"/>
      <c r="M42" s="7086"/>
      <c r="N42" s="7086"/>
      <c r="O42" s="7086"/>
      <c r="P42" s="394"/>
      <c r="Q42" s="780"/>
      <c r="R42" s="1252"/>
    </row>
    <row r="43" spans="1:31" ht="12.75" customHeight="1">
      <c r="A43" s="66"/>
      <c r="B43" s="114"/>
      <c r="C43" s="21">
        <v>4</v>
      </c>
      <c r="D43" s="133" t="s">
        <v>2223</v>
      </c>
      <c r="E43" s="20"/>
      <c r="F43" s="20"/>
      <c r="G43" s="721"/>
      <c r="H43" s="228">
        <f>C43</f>
        <v>4</v>
      </c>
      <c r="I43" s="7083">
        <f>(I40)-ROUND(I42,0)</f>
        <v>0</v>
      </c>
      <c r="J43" s="7084"/>
      <c r="K43" s="7084"/>
      <c r="L43" s="7084"/>
      <c r="M43" s="7084"/>
      <c r="N43" s="7084"/>
      <c r="O43" s="7084"/>
      <c r="P43" s="394"/>
      <c r="Q43" s="780"/>
      <c r="R43" s="1252"/>
    </row>
    <row r="44" spans="1:31">
      <c r="A44" s="66"/>
      <c r="B44" s="15"/>
      <c r="C44" s="700" t="s">
        <v>2224</v>
      </c>
      <c r="D44" s="1046" t="str">
        <f>"If line 4 is over "&amp;TEXT(H44,"$0,000")&amp;", you must complete Part III."</f>
        <v>If line 4 is over $1,500, you must complete Part III.</v>
      </c>
      <c r="E44" s="122"/>
      <c r="F44" s="122"/>
      <c r="G44" s="803" t="b">
        <f>AND($I$43&gt;$H$44,OR(AND(K73="",N73=""),AND(N73="",K77="",N77=""),AND(K83="",N83="")))</f>
        <v>0</v>
      </c>
      <c r="H44" s="5569">
        <v>1500</v>
      </c>
      <c r="I44" s="7081" t="s">
        <v>971</v>
      </c>
      <c r="J44" s="7082"/>
      <c r="K44" s="7082"/>
      <c r="L44" s="7082"/>
      <c r="M44" s="7082"/>
      <c r="N44" s="7082"/>
      <c r="O44" s="7082"/>
      <c r="P44" s="394"/>
      <c r="Q44" s="780"/>
      <c r="R44" s="1252"/>
    </row>
    <row r="45" spans="1:31" ht="12.75" customHeight="1">
      <c r="A45" s="66"/>
      <c r="B45" s="121" t="s">
        <v>982</v>
      </c>
      <c r="C45" s="21">
        <v>5</v>
      </c>
      <c r="D45" s="822" t="s">
        <v>2225</v>
      </c>
      <c r="E45" s="7074"/>
      <c r="F45" s="7075"/>
      <c r="G45" s="7075"/>
      <c r="H45" s="231"/>
      <c r="I45" s="7076"/>
      <c r="J45" s="7077"/>
      <c r="K45" s="7077"/>
      <c r="L45" s="7077"/>
      <c r="M45" s="7077"/>
      <c r="N45" s="7077"/>
      <c r="O45" s="7078"/>
      <c r="P45" s="394"/>
      <c r="Q45" s="780"/>
      <c r="R45" s="3274"/>
      <c r="S45" s="2044" t="s">
        <v>421</v>
      </c>
      <c r="T45" s="2044"/>
      <c r="AD45" s="918"/>
      <c r="AE45" s="918"/>
    </row>
    <row r="46" spans="1:31" ht="12.75" customHeight="1">
      <c r="A46" s="66"/>
      <c r="B46" s="21" t="s">
        <v>2226</v>
      </c>
      <c r="C46" s="21"/>
      <c r="D46" s="7068" t="str">
        <f>IF('1099-DIV'!D6="","Use sheet '1099-DIV' to enter dividend amounts.",'1099-DIV'!D30)</f>
        <v>Use sheet '1099-DIV' to enter dividend amounts.</v>
      </c>
      <c r="E46" s="7069"/>
      <c r="F46" s="7069"/>
      <c r="G46" s="7070"/>
      <c r="H46" s="231"/>
      <c r="I46" s="7076" t="str">
        <f>IF('1099-DIV'!D6="","",ROUND('1099-DIV'!D6,2))</f>
        <v/>
      </c>
      <c r="J46" s="7077"/>
      <c r="K46" s="7077"/>
      <c r="L46" s="7077"/>
      <c r="M46" s="7077"/>
      <c r="N46" s="7077"/>
      <c r="O46" s="7078"/>
      <c r="P46" s="394"/>
      <c r="Q46" s="780"/>
      <c r="R46" s="3274"/>
      <c r="S46" s="2044" t="s">
        <v>2227</v>
      </c>
      <c r="AD46" s="918"/>
      <c r="AE46" s="918"/>
    </row>
    <row r="47" spans="1:31" ht="12.75" customHeight="1">
      <c r="A47" s="66"/>
      <c r="B47" s="21" t="s">
        <v>2228</v>
      </c>
      <c r="C47" s="21"/>
      <c r="D47" s="7068" t="str">
        <f>IF('1099-DIV'!E6="","",'1099-DIV'!E30)</f>
        <v/>
      </c>
      <c r="E47" s="7069"/>
      <c r="F47" s="7069"/>
      <c r="G47" s="7070"/>
      <c r="H47" s="231"/>
      <c r="I47" s="7076" t="str">
        <f>IF('1099-DIV'!E6="","",ROUND('1099-DIV'!E6,2))</f>
        <v/>
      </c>
      <c r="J47" s="7077"/>
      <c r="K47" s="7077"/>
      <c r="L47" s="7077"/>
      <c r="M47" s="7077"/>
      <c r="N47" s="7077"/>
      <c r="O47" s="7078"/>
      <c r="P47" s="394"/>
      <c r="Q47" s="780"/>
      <c r="R47" s="3274"/>
      <c r="AD47" s="918"/>
      <c r="AE47" s="918"/>
    </row>
    <row r="48" spans="1:31" ht="12.75" customHeight="1">
      <c r="A48" s="66"/>
      <c r="B48" s="21"/>
      <c r="C48" s="21"/>
      <c r="D48" s="7068" t="str">
        <f>IF('1099-DIV'!F6="","",'1099-DIV'!F30)</f>
        <v/>
      </c>
      <c r="E48" s="7069"/>
      <c r="F48" s="7069"/>
      <c r="G48" s="7070"/>
      <c r="H48" s="231"/>
      <c r="I48" s="7076" t="str">
        <f>IF('1099-DIV'!F6="","",ROUND('1099-DIV'!F6,2))</f>
        <v/>
      </c>
      <c r="J48" s="7077"/>
      <c r="K48" s="7077"/>
      <c r="L48" s="7077"/>
      <c r="M48" s="7077"/>
      <c r="N48" s="7077"/>
      <c r="O48" s="7078"/>
      <c r="P48" s="394"/>
      <c r="Q48" s="780"/>
      <c r="R48" s="3274"/>
      <c r="S48" s="2038" t="s">
        <v>2216</v>
      </c>
      <c r="AD48" s="918"/>
      <c r="AE48" s="918"/>
    </row>
    <row r="49" spans="1:31" ht="12.75" customHeight="1">
      <c r="A49" s="66"/>
      <c r="B49" s="20" t="s">
        <v>2212</v>
      </c>
      <c r="C49" s="21"/>
      <c r="D49" s="7068" t="str">
        <f>IF('1099-DIV'!G6="","",'1099-DIV'!G30)</f>
        <v/>
      </c>
      <c r="E49" s="7069"/>
      <c r="F49" s="7069"/>
      <c r="G49" s="7070"/>
      <c r="H49" s="231"/>
      <c r="I49" s="7076" t="str">
        <f>IF('1099-DIV'!G6="","",ROUND('1099-DIV'!G6,2))</f>
        <v/>
      </c>
      <c r="J49" s="7077"/>
      <c r="K49" s="7077"/>
      <c r="L49" s="7077"/>
      <c r="M49" s="7077"/>
      <c r="N49" s="7077"/>
      <c r="O49" s="7078"/>
      <c r="P49" s="394"/>
      <c r="Q49" s="780"/>
      <c r="R49" s="3274"/>
      <c r="AD49" s="918"/>
      <c r="AE49" s="918"/>
    </row>
    <row r="50" spans="1:31" ht="12.75" customHeight="1">
      <c r="A50" s="66"/>
      <c r="B50" s="20" t="s">
        <v>2213</v>
      </c>
      <c r="C50" s="21"/>
      <c r="D50" s="7068" t="str">
        <f>IF('1099-DIV'!H6="","",'1099-DIV'!H30)</f>
        <v/>
      </c>
      <c r="E50" s="7069"/>
      <c r="F50" s="7069"/>
      <c r="G50" s="7070"/>
      <c r="H50" s="231"/>
      <c r="I50" s="7076" t="str">
        <f>IF('1099-DIV'!H6="","",ROUND('1099-DIV'!H6,2))</f>
        <v/>
      </c>
      <c r="J50" s="7077"/>
      <c r="K50" s="7077"/>
      <c r="L50" s="7077"/>
      <c r="M50" s="7077"/>
      <c r="N50" s="7077"/>
      <c r="O50" s="7078"/>
      <c r="P50" s="394"/>
      <c r="Q50" s="780"/>
      <c r="R50" s="3274"/>
      <c r="S50" s="2044" t="s">
        <v>2229</v>
      </c>
      <c r="AD50" s="918"/>
      <c r="AE50" s="918"/>
    </row>
    <row r="51" spans="1:31" ht="12.75" customHeight="1">
      <c r="A51" s="66"/>
      <c r="B51" s="20" t="s">
        <v>2215</v>
      </c>
      <c r="C51" s="21"/>
      <c r="D51" s="7068" t="str">
        <f>IF('1099-DIV'!D35="","",'1099-DIV'!D59)</f>
        <v/>
      </c>
      <c r="E51" s="7069"/>
      <c r="F51" s="7069"/>
      <c r="G51" s="7070"/>
      <c r="H51" s="231"/>
      <c r="I51" s="7076" t="str">
        <f>IF('1099-DIV'!D35="","",ROUND('1099-DIV'!D35,2))</f>
        <v/>
      </c>
      <c r="J51" s="7077"/>
      <c r="K51" s="7077"/>
      <c r="L51" s="7077"/>
      <c r="M51" s="7077"/>
      <c r="N51" s="7077"/>
      <c r="O51" s="7078"/>
      <c r="P51" s="394"/>
      <c r="Q51" s="780"/>
      <c r="R51" s="3274"/>
      <c r="AD51" s="918"/>
      <c r="AE51" s="918"/>
    </row>
    <row r="52" spans="1:31" ht="12.75" customHeight="1">
      <c r="A52" s="66"/>
      <c r="B52" s="20" t="s">
        <v>5509</v>
      </c>
      <c r="C52" s="21"/>
      <c r="D52" s="7068" t="str">
        <f>IF('1099-DIV'!E35="","",'1099-DIV'!E59)</f>
        <v/>
      </c>
      <c r="E52" s="7069"/>
      <c r="F52" s="7069"/>
      <c r="G52" s="7070"/>
      <c r="H52" s="231"/>
      <c r="I52" s="7076" t="str">
        <f>IF('1099-DIV'!E35="","",ROUND('1099-DIV'!E35,2))</f>
        <v/>
      </c>
      <c r="J52" s="7077"/>
      <c r="K52" s="7077"/>
      <c r="L52" s="7077"/>
      <c r="M52" s="7077"/>
      <c r="N52" s="7077"/>
      <c r="O52" s="7078"/>
      <c r="P52" s="394"/>
      <c r="Q52" s="780"/>
      <c r="R52" s="3274"/>
      <c r="AD52" s="918"/>
      <c r="AE52" s="918"/>
    </row>
    <row r="53" spans="1:31" ht="12.75" customHeight="1">
      <c r="A53" s="66"/>
      <c r="B53" s="20" t="s">
        <v>5512</v>
      </c>
      <c r="C53" s="21"/>
      <c r="D53" s="7068" t="str">
        <f>IF('1099-DIV'!F35="","",'1099-DIV'!F59)</f>
        <v/>
      </c>
      <c r="E53" s="7069"/>
      <c r="F53" s="7069"/>
      <c r="G53" s="7070"/>
      <c r="H53" s="231">
        <v>5</v>
      </c>
      <c r="I53" s="7076" t="str">
        <f>IF('1099-DIV'!F35="","",ROUND('1099-DIV'!F35,2))</f>
        <v/>
      </c>
      <c r="J53" s="7077"/>
      <c r="K53" s="7077"/>
      <c r="L53" s="7077"/>
      <c r="M53" s="7077"/>
      <c r="N53" s="7077"/>
      <c r="O53" s="7078"/>
      <c r="P53" s="394"/>
      <c r="Q53" s="780"/>
      <c r="R53" s="3274"/>
      <c r="AD53" s="918"/>
      <c r="AE53" s="918"/>
    </row>
    <row r="54" spans="1:31" ht="12.75" customHeight="1">
      <c r="A54" s="66"/>
      <c r="B54" s="114"/>
      <c r="C54" s="21"/>
      <c r="D54" s="7068" t="str">
        <f>IF('1099-DIV'!G35="","",'1099-DIV'!G59)</f>
        <v/>
      </c>
      <c r="E54" s="7069"/>
      <c r="F54" s="7069"/>
      <c r="G54" s="7070"/>
      <c r="H54" s="231"/>
      <c r="I54" s="7076" t="str">
        <f>IF('1099-DIV'!G35="","",ROUND('1099-DIV'!G35,2))</f>
        <v/>
      </c>
      <c r="J54" s="7077"/>
      <c r="K54" s="7077"/>
      <c r="L54" s="7077"/>
      <c r="M54" s="7077"/>
      <c r="N54" s="7077"/>
      <c r="O54" s="7078"/>
      <c r="P54" s="394"/>
      <c r="Q54" s="780"/>
      <c r="R54" s="3274"/>
      <c r="AD54" s="918"/>
      <c r="AE54" s="918"/>
    </row>
    <row r="55" spans="1:31" ht="12.75" customHeight="1">
      <c r="A55" s="66"/>
      <c r="B55" s="114" t="s">
        <v>2230</v>
      </c>
      <c r="C55" s="21"/>
      <c r="D55" s="7068" t="str">
        <f>IF('1099-DIV'!H35="","",'1099-DIV'!H59)</f>
        <v/>
      </c>
      <c r="E55" s="7069"/>
      <c r="F55" s="7069"/>
      <c r="G55" s="7070"/>
      <c r="H55" s="231"/>
      <c r="I55" s="7076" t="str">
        <f>IF('1099-DIV'!H35="","",ROUND('1099-DIV'!H35,2))</f>
        <v/>
      </c>
      <c r="J55" s="7077"/>
      <c r="K55" s="7077"/>
      <c r="L55" s="7077"/>
      <c r="M55" s="7077"/>
      <c r="N55" s="7077"/>
      <c r="O55" s="7078"/>
      <c r="P55" s="394"/>
      <c r="Q55" s="780"/>
      <c r="R55" s="3274"/>
      <c r="AD55" s="918"/>
      <c r="AE55" s="918"/>
    </row>
    <row r="56" spans="1:31" ht="12.75" customHeight="1">
      <c r="A56" s="66"/>
      <c r="B56" s="20" t="s">
        <v>2231</v>
      </c>
      <c r="C56" s="21"/>
      <c r="D56" s="7068" t="str">
        <f>IF('1099-DIV'!D64="","",'1099-DIV'!D88)</f>
        <v/>
      </c>
      <c r="E56" s="7069"/>
      <c r="F56" s="7069"/>
      <c r="G56" s="7070"/>
      <c r="H56" s="231"/>
      <c r="I56" s="7076" t="str">
        <f>IF('1099-DIV'!D64="","",ROUND('1099-DIV'!D64,2))</f>
        <v/>
      </c>
      <c r="J56" s="7077"/>
      <c r="K56" s="7077"/>
      <c r="L56" s="7077"/>
      <c r="M56" s="7077"/>
      <c r="N56" s="7077"/>
      <c r="O56" s="7078"/>
      <c r="P56" s="394"/>
      <c r="Q56" s="780"/>
      <c r="R56" s="3274"/>
      <c r="AD56" s="918"/>
      <c r="AE56" s="918"/>
    </row>
    <row r="57" spans="1:31" ht="12.75" customHeight="1">
      <c r="A57" s="66"/>
      <c r="B57" s="20" t="s">
        <v>2232</v>
      </c>
      <c r="C57" s="21"/>
      <c r="D57" s="7068" t="str">
        <f>IF('1099-DIV'!E64="","",'1099-DIV'!E88)</f>
        <v/>
      </c>
      <c r="E57" s="7069"/>
      <c r="F57" s="7069"/>
      <c r="G57" s="7070"/>
      <c r="H57" s="231"/>
      <c r="I57" s="7076" t="str">
        <f>IF('1099-DIV'!E64="","",ROUND('1099-DIV'!E64,2))</f>
        <v/>
      </c>
      <c r="J57" s="7077"/>
      <c r="K57" s="7077"/>
      <c r="L57" s="7077"/>
      <c r="M57" s="7077"/>
      <c r="N57" s="7077"/>
      <c r="O57" s="7078"/>
      <c r="P57" s="394"/>
      <c r="Q57" s="780"/>
      <c r="R57" s="3274"/>
      <c r="AD57" s="918"/>
      <c r="AE57" s="918"/>
    </row>
    <row r="58" spans="1:31" ht="12.75" customHeight="1">
      <c r="A58" s="66"/>
      <c r="B58" s="20" t="s">
        <v>2233</v>
      </c>
      <c r="C58" s="21"/>
      <c r="D58" s="7068" t="str">
        <f>IF('1099-DIV'!F64="","",'1099-DIV'!F88)</f>
        <v/>
      </c>
      <c r="E58" s="7069"/>
      <c r="F58" s="7069"/>
      <c r="G58" s="7070"/>
      <c r="H58" s="231"/>
      <c r="I58" s="7076" t="str">
        <f>IF('1099-DIV'!F64="","",ROUND('1099-DIV'!F64,2))</f>
        <v/>
      </c>
      <c r="J58" s="7077"/>
      <c r="K58" s="7077"/>
      <c r="L58" s="7077"/>
      <c r="M58" s="7077"/>
      <c r="N58" s="7077"/>
      <c r="O58" s="7078"/>
      <c r="P58" s="394"/>
      <c r="Q58" s="780"/>
      <c r="R58" s="3274"/>
      <c r="AD58" s="918"/>
      <c r="AE58" s="918"/>
    </row>
    <row r="59" spans="1:31" ht="12.75" customHeight="1">
      <c r="A59" s="66"/>
      <c r="B59" s="20" t="s">
        <v>2234</v>
      </c>
      <c r="C59" s="21"/>
      <c r="D59" s="7068" t="str">
        <f>IF('1099-DIV'!G64="","",'1099-DIV'!G88)</f>
        <v/>
      </c>
      <c r="E59" s="7069"/>
      <c r="F59" s="7069"/>
      <c r="G59" s="7070"/>
      <c r="H59" s="231"/>
      <c r="I59" s="7076" t="str">
        <f>IF('1099-DIV'!G64="","",ROUND('1099-DIV'!G64,2))</f>
        <v/>
      </c>
      <c r="J59" s="7077"/>
      <c r="K59" s="7077"/>
      <c r="L59" s="7077"/>
      <c r="M59" s="7077"/>
      <c r="N59" s="7077"/>
      <c r="O59" s="7078"/>
      <c r="P59" s="394"/>
      <c r="Q59" s="780"/>
      <c r="R59" s="3274"/>
      <c r="AD59" s="918"/>
      <c r="AE59" s="918"/>
    </row>
    <row r="60" spans="1:31" ht="12.75" customHeight="1">
      <c r="A60" s="66"/>
      <c r="B60" s="20" t="s">
        <v>2235</v>
      </c>
      <c r="C60" s="21"/>
      <c r="D60" s="7068" t="str">
        <f>IF('1099-DIV'!H64="","",'1099-DIV'!H88)</f>
        <v/>
      </c>
      <c r="E60" s="7069"/>
      <c r="F60" s="7069"/>
      <c r="G60" s="7070"/>
      <c r="H60" s="231"/>
      <c r="I60" s="7076" t="str">
        <f>IF('1099-DIV'!H64="","",ROUND('1099-DIV'!H64,2))</f>
        <v/>
      </c>
      <c r="J60" s="7077"/>
      <c r="K60" s="7077"/>
      <c r="L60" s="7077"/>
      <c r="M60" s="7077"/>
      <c r="N60" s="7077"/>
      <c r="O60" s="7078"/>
      <c r="P60" s="394"/>
      <c r="Q60" s="780"/>
      <c r="R60" s="3274"/>
      <c r="AD60" s="918"/>
      <c r="AE60" s="918"/>
    </row>
    <row r="61" spans="1:31" ht="12.75" customHeight="1">
      <c r="A61" s="66"/>
      <c r="B61" s="20" t="s">
        <v>2236</v>
      </c>
      <c r="C61" s="21"/>
      <c r="D61" s="7068" t="str">
        <f>IF('1099-DIV'!D93="","",'1099-DIV'!D117)</f>
        <v/>
      </c>
      <c r="E61" s="7069"/>
      <c r="F61" s="7069"/>
      <c r="G61" s="7070"/>
      <c r="H61" s="231"/>
      <c r="I61" s="7076" t="str">
        <f>IF('1099-DIV'!D93="","",ROUND('1099-DIV'!D93,2))</f>
        <v/>
      </c>
      <c r="J61" s="7077"/>
      <c r="K61" s="7077"/>
      <c r="L61" s="7077"/>
      <c r="M61" s="7077"/>
      <c r="N61" s="7077"/>
      <c r="O61" s="7078"/>
      <c r="P61" s="394"/>
      <c r="Q61" s="780"/>
      <c r="R61" s="3274"/>
      <c r="AD61" s="918"/>
      <c r="AE61" s="918"/>
    </row>
    <row r="62" spans="1:31" ht="12.75" customHeight="1">
      <c r="A62" s="66"/>
      <c r="B62" s="20" t="s">
        <v>2237</v>
      </c>
      <c r="C62" s="21"/>
      <c r="D62" s="7068" t="str">
        <f>IF('1099-DIV'!E93="","",'1099-DIV'!E117)</f>
        <v/>
      </c>
      <c r="E62" s="7069"/>
      <c r="F62" s="7069"/>
      <c r="G62" s="7070"/>
      <c r="H62" s="231"/>
      <c r="I62" s="7076" t="str">
        <f>IF('1099-DIV'!E93="","",ROUND('1099-DIV'!E93,2))</f>
        <v/>
      </c>
      <c r="J62" s="7077"/>
      <c r="K62" s="7077"/>
      <c r="L62" s="7077"/>
      <c r="M62" s="7077"/>
      <c r="N62" s="7077"/>
      <c r="O62" s="7078"/>
      <c r="P62" s="394"/>
      <c r="Q62" s="780"/>
      <c r="R62" s="3274"/>
      <c r="AD62" s="918"/>
      <c r="AE62" s="918"/>
    </row>
    <row r="63" spans="1:31" ht="12.75" customHeight="1">
      <c r="A63" s="66"/>
      <c r="B63" s="20" t="s">
        <v>2238</v>
      </c>
      <c r="C63" s="21"/>
      <c r="D63" s="7068" t="str">
        <f>IF('1099-DIV'!F93="","",'1099-DIV'!F117)</f>
        <v/>
      </c>
      <c r="E63" s="7069"/>
      <c r="F63" s="7069"/>
      <c r="G63" s="7070"/>
      <c r="H63" s="231"/>
      <c r="I63" s="7076" t="str">
        <f>IF('1099-DIV'!F93="","",ROUND('1099-DIV'!F93,2))</f>
        <v/>
      </c>
      <c r="J63" s="7077"/>
      <c r="K63" s="7077"/>
      <c r="L63" s="7077"/>
      <c r="M63" s="7077"/>
      <c r="N63" s="7077"/>
      <c r="O63" s="7078"/>
      <c r="P63" s="394"/>
      <c r="Q63" s="780"/>
      <c r="R63" s="3274"/>
      <c r="AD63" s="918"/>
      <c r="AE63" s="918"/>
    </row>
    <row r="64" spans="1:31" ht="12.75" customHeight="1">
      <c r="A64" s="66"/>
      <c r="B64" s="20" t="s">
        <v>2239</v>
      </c>
      <c r="C64" s="21"/>
      <c r="D64" s="7068" t="str">
        <f>IF('1099-DIV'!G93="","",'1099-DIV'!G117)</f>
        <v/>
      </c>
      <c r="E64" s="7069"/>
      <c r="F64" s="7069"/>
      <c r="G64" s="7070"/>
      <c r="H64" s="231"/>
      <c r="I64" s="7076" t="str">
        <f>IF('1099-DIV'!G93="","",ROUND('1099-DIV'!G93,2))</f>
        <v/>
      </c>
      <c r="J64" s="7077"/>
      <c r="K64" s="7077"/>
      <c r="L64" s="7077"/>
      <c r="M64" s="7077"/>
      <c r="N64" s="7077"/>
      <c r="O64" s="7078"/>
      <c r="P64" s="394"/>
      <c r="Q64" s="780"/>
      <c r="R64" s="3274"/>
      <c r="AD64" s="918"/>
      <c r="AE64" s="918"/>
    </row>
    <row r="65" spans="1:31" ht="12.75" customHeight="1">
      <c r="A65" s="66"/>
      <c r="B65" s="20" t="s">
        <v>2240</v>
      </c>
      <c r="C65" s="21"/>
      <c r="D65" s="7068"/>
      <c r="E65" s="7069"/>
      <c r="F65" s="7069"/>
      <c r="G65" s="7070"/>
      <c r="H65" s="228"/>
      <c r="I65" s="7076"/>
      <c r="J65" s="7077"/>
      <c r="K65" s="7077"/>
      <c r="L65" s="7077"/>
      <c r="M65" s="7077"/>
      <c r="N65" s="7077"/>
      <c r="O65" s="7078"/>
      <c r="P65" s="394"/>
      <c r="Q65" s="780"/>
      <c r="R65" s="3274"/>
      <c r="AD65" s="918"/>
      <c r="AE65" s="918"/>
    </row>
    <row r="66" spans="1:31" ht="12.75" customHeight="1">
      <c r="A66" s="66"/>
      <c r="B66" s="20" t="s">
        <v>2241</v>
      </c>
      <c r="C66" s="21">
        <v>6</v>
      </c>
      <c r="D66" s="133" t="s">
        <v>2242</v>
      </c>
      <c r="E66" s="20"/>
      <c r="F66" s="20"/>
      <c r="G66" s="721"/>
      <c r="H66" s="228">
        <v>6</v>
      </c>
      <c r="I66" s="7079">
        <f>ROUND(SUM(I45:I64),0)</f>
        <v>0</v>
      </c>
      <c r="J66" s="7080"/>
      <c r="K66" s="7080"/>
      <c r="L66" s="7080"/>
      <c r="M66" s="7080"/>
      <c r="N66" s="7080"/>
      <c r="O66" s="7080"/>
      <c r="P66" s="394"/>
      <c r="Q66" s="780"/>
      <c r="R66" s="3274"/>
      <c r="AD66" s="918"/>
      <c r="AE66" s="918"/>
    </row>
    <row r="67" spans="1:31" ht="12.75" customHeight="1" thickBot="1">
      <c r="A67" s="66"/>
      <c r="B67" s="125"/>
      <c r="C67" s="725" t="s">
        <v>2224</v>
      </c>
      <c r="D67" s="726" t="str">
        <f>"If line 6 is over "&amp;TEXT(H44,"$0,000")&amp;", you must complete Part III."</f>
        <v>If line 6 is over $1,500, you must complete Part III.</v>
      </c>
      <c r="E67" s="727"/>
      <c r="F67" s="727"/>
      <c r="G67" s="804" t="b">
        <f>AND($I$66&gt;$H$44,OR(AND(K73="",N73=""),AND(N73="",K77="",N77=""),AND(K83="",N83="")))</f>
        <v>0</v>
      </c>
      <c r="H67" s="728"/>
      <c r="I67" s="729"/>
      <c r="J67" s="729"/>
      <c r="K67" s="729"/>
      <c r="L67" s="729"/>
      <c r="M67" s="729"/>
      <c r="N67" s="729"/>
      <c r="O67" s="729"/>
      <c r="P67" s="394"/>
      <c r="Q67" s="780"/>
      <c r="R67" s="1252"/>
    </row>
    <row r="68" spans="1:31" ht="16.5" customHeight="1">
      <c r="A68" s="66"/>
      <c r="B68" s="397" t="s">
        <v>2243</v>
      </c>
      <c r="C68" s="699" t="s">
        <v>5515</v>
      </c>
      <c r="D68" s="20"/>
      <c r="E68" s="20"/>
      <c r="F68" s="699" t="str">
        <f>TEXT(H44,"$0,000")&amp;" of interest or dividends;"</f>
        <v>$1,500 of interest or dividends;</v>
      </c>
      <c r="G68" s="20"/>
      <c r="H68" s="21" t="s">
        <v>5514</v>
      </c>
      <c r="I68" s="21"/>
      <c r="J68" s="21"/>
      <c r="K68" s="21"/>
      <c r="L68" s="21"/>
      <c r="M68" s="21"/>
      <c r="N68" s="21"/>
      <c r="O68" s="21"/>
      <c r="P68" s="394"/>
      <c r="Q68" s="780"/>
      <c r="R68" s="1252"/>
    </row>
    <row r="69" spans="1:31" ht="19.5" customHeight="1">
      <c r="A69" s="66"/>
      <c r="B69" s="7066" t="s">
        <v>2244</v>
      </c>
      <c r="C69" s="5895" t="s">
        <v>5513</v>
      </c>
      <c r="D69" s="115"/>
      <c r="E69" s="115"/>
      <c r="F69" s="115"/>
      <c r="G69" s="115"/>
      <c r="H69" s="15"/>
      <c r="I69" s="15"/>
      <c r="J69" s="15"/>
      <c r="K69" s="15"/>
      <c r="L69" s="15"/>
      <c r="M69" s="15"/>
      <c r="N69" s="15"/>
      <c r="O69" s="15"/>
      <c r="P69" s="394"/>
      <c r="Q69" s="780"/>
      <c r="R69" s="1252"/>
    </row>
    <row r="70" spans="1:31" ht="13.5" customHeight="1">
      <c r="A70" s="66"/>
      <c r="B70" s="7066"/>
      <c r="C70" s="1193"/>
      <c r="D70" s="20"/>
      <c r="E70" s="20"/>
      <c r="F70" s="20"/>
      <c r="G70" s="20"/>
      <c r="H70" s="21"/>
      <c r="I70" s="137"/>
      <c r="J70" s="7063" t="s">
        <v>608</v>
      </c>
      <c r="K70" s="7064"/>
      <c r="L70" s="7065"/>
      <c r="M70" s="7063" t="s">
        <v>609</v>
      </c>
      <c r="N70" s="7064"/>
      <c r="O70" s="7064"/>
      <c r="P70" s="394"/>
      <c r="Q70" s="780"/>
      <c r="R70" s="1252"/>
    </row>
    <row r="71" spans="1:31" ht="11.25" customHeight="1">
      <c r="A71" s="66"/>
      <c r="B71" s="7066"/>
      <c r="C71" s="124" t="s">
        <v>402</v>
      </c>
      <c r="D71" s="133" t="str">
        <f>"At any time during "&amp;TaxYear&amp;", did you have interest in or a signature or other authority over a financial"</f>
        <v>At any time during 2023, did you have interest in or a signature or other authority over a financial</v>
      </c>
      <c r="E71" s="20"/>
      <c r="F71" s="20"/>
      <c r="G71" s="20"/>
      <c r="H71" s="21"/>
      <c r="I71" s="137"/>
      <c r="J71" s="2536"/>
      <c r="K71" s="394"/>
      <c r="L71" s="2537"/>
      <c r="M71" s="394"/>
      <c r="N71" s="394"/>
      <c r="O71" s="394"/>
      <c r="P71" s="394"/>
      <c r="Q71" s="780"/>
      <c r="R71" s="1252"/>
    </row>
    <row r="72" spans="1:31" ht="9.75" customHeight="1">
      <c r="A72" s="66"/>
      <c r="B72" s="7038" t="s">
        <v>2245</v>
      </c>
      <c r="C72" s="111"/>
      <c r="D72" s="133" t="s">
        <v>2246</v>
      </c>
      <c r="E72" s="20"/>
      <c r="F72" s="20"/>
      <c r="G72" s="20"/>
      <c r="H72" s="21"/>
      <c r="I72" s="137"/>
      <c r="J72" s="722"/>
      <c r="K72" s="112"/>
      <c r="L72" s="137"/>
      <c r="M72" s="722"/>
      <c r="N72" s="112"/>
      <c r="O72" s="112"/>
      <c r="P72" s="394"/>
      <c r="Q72" s="780"/>
      <c r="R72" s="1252"/>
    </row>
    <row r="73" spans="1:31" ht="9.75" customHeight="1">
      <c r="A73" s="66"/>
      <c r="B73" s="7038"/>
      <c r="C73" s="111"/>
      <c r="D73" s="133" t="s">
        <v>2247</v>
      </c>
      <c r="E73" s="20"/>
      <c r="F73" s="20"/>
      <c r="G73" s="20"/>
      <c r="H73" s="21"/>
      <c r="I73" s="721" t="s">
        <v>5516</v>
      </c>
      <c r="J73" s="722"/>
      <c r="K73" s="1000"/>
      <c r="L73" s="137"/>
      <c r="M73" s="722"/>
      <c r="N73" s="1000"/>
      <c r="O73" s="112"/>
      <c r="P73" s="394"/>
      <c r="Q73" s="780"/>
      <c r="R73" s="1252"/>
    </row>
    <row r="74" spans="1:31" ht="11.25" customHeight="1">
      <c r="A74" s="66"/>
      <c r="B74" s="7038"/>
      <c r="C74" s="111"/>
      <c r="D74" s="20"/>
      <c r="E74" s="20"/>
      <c r="F74" s="20"/>
      <c r="G74" s="20"/>
      <c r="H74" s="21"/>
      <c r="I74" s="721"/>
      <c r="J74" s="2539"/>
      <c r="K74" s="5361"/>
      <c r="L74" s="363"/>
      <c r="M74" s="2539"/>
      <c r="N74" s="5361"/>
      <c r="O74" s="17"/>
      <c r="P74" s="394"/>
      <c r="Q74" s="780"/>
      <c r="R74" s="1252"/>
    </row>
    <row r="75" spans="1:31" ht="10.5" customHeight="1">
      <c r="A75" s="66"/>
      <c r="B75" s="7038"/>
      <c r="C75" s="111"/>
      <c r="D75" s="133" t="s">
        <v>2248</v>
      </c>
      <c r="E75" s="20"/>
      <c r="F75" s="20"/>
      <c r="G75" s="20"/>
      <c r="H75" s="21"/>
      <c r="I75" s="721"/>
      <c r="J75" s="2536"/>
      <c r="K75" s="394"/>
      <c r="L75" s="2537"/>
      <c r="M75" s="394"/>
      <c r="N75" s="394"/>
      <c r="O75" s="394"/>
      <c r="P75" s="394"/>
      <c r="Q75" s="780"/>
      <c r="R75" s="1252"/>
    </row>
    <row r="76" spans="1:31" ht="9.75" customHeight="1">
      <c r="A76" s="66"/>
      <c r="B76" s="7038"/>
      <c r="C76" s="111"/>
      <c r="D76" s="133" t="s">
        <v>2249</v>
      </c>
      <c r="E76" s="20"/>
      <c r="F76" s="20"/>
      <c r="G76" s="20"/>
      <c r="H76" s="21"/>
      <c r="I76" s="721"/>
      <c r="J76" s="722"/>
      <c r="K76" s="112"/>
      <c r="L76" s="137"/>
      <c r="M76" s="722"/>
      <c r="N76" s="112"/>
      <c r="O76" s="112"/>
      <c r="P76" s="394"/>
      <c r="Q76" s="780"/>
      <c r="R76" s="1252"/>
    </row>
    <row r="77" spans="1:31" ht="9.75" customHeight="1">
      <c r="A77" s="66"/>
      <c r="B77" s="7038"/>
      <c r="C77" s="111"/>
      <c r="D77" s="133" t="s">
        <v>2250</v>
      </c>
      <c r="E77" s="20"/>
      <c r="F77" s="20"/>
      <c r="G77" s="20"/>
      <c r="H77" s="21"/>
      <c r="I77" s="721" t="s">
        <v>1300</v>
      </c>
      <c r="J77" s="722"/>
      <c r="K77" s="1000"/>
      <c r="L77" s="137"/>
      <c r="M77" s="722"/>
      <c r="N77" s="1000"/>
      <c r="O77" s="112"/>
      <c r="P77" s="394"/>
      <c r="Q77" s="780"/>
      <c r="R77" s="1252"/>
    </row>
    <row r="78" spans="1:31" ht="5.25" customHeight="1">
      <c r="A78" s="66"/>
      <c r="B78" s="7038"/>
      <c r="C78" s="111"/>
      <c r="D78" s="20"/>
      <c r="E78" s="20"/>
      <c r="F78" s="20"/>
      <c r="G78" s="20"/>
      <c r="H78" s="21"/>
      <c r="I78" s="721"/>
      <c r="J78" s="2539"/>
      <c r="K78" s="5361"/>
      <c r="L78" s="363"/>
      <c r="M78" s="2539"/>
      <c r="N78" s="5361"/>
      <c r="O78" s="17"/>
      <c r="P78" s="394"/>
      <c r="Q78" s="780"/>
      <c r="R78" s="1252"/>
    </row>
    <row r="79" spans="1:31" ht="12.75" customHeight="1">
      <c r="A79" s="66"/>
      <c r="B79" s="7038"/>
      <c r="C79" s="124" t="s">
        <v>644</v>
      </c>
      <c r="D79" s="133" t="s">
        <v>2251</v>
      </c>
      <c r="E79" s="20"/>
      <c r="F79" s="20"/>
      <c r="G79" s="20"/>
      <c r="H79" s="21"/>
      <c r="I79" s="721"/>
      <c r="J79" s="2536"/>
      <c r="K79" s="394"/>
      <c r="L79" s="2537"/>
      <c r="M79" s="394"/>
      <c r="N79" s="394"/>
      <c r="O79" s="394"/>
      <c r="P79" s="394"/>
      <c r="Q79" s="780"/>
      <c r="R79" s="1252"/>
    </row>
    <row r="80" spans="1:31" ht="12" customHeight="1">
      <c r="A80" s="66"/>
      <c r="B80" s="7038"/>
      <c r="C80" s="124"/>
      <c r="D80" s="723" t="s">
        <v>2252</v>
      </c>
      <c r="E80" s="7102"/>
      <c r="F80" s="7102"/>
      <c r="G80" s="7103"/>
      <c r="H80" s="7103"/>
      <c r="I80" s="7104"/>
      <c r="J80" s="2536"/>
      <c r="K80" s="394"/>
      <c r="L80" s="2537"/>
      <c r="M80" s="394"/>
      <c r="N80" s="394"/>
      <c r="O80" s="394"/>
      <c r="P80" s="394"/>
      <c r="Q80" s="780"/>
      <c r="R80" s="1252"/>
    </row>
    <row r="81" spans="1:18" ht="12" customHeight="1">
      <c r="A81" s="66"/>
      <c r="B81" s="7038"/>
      <c r="C81" s="124"/>
      <c r="D81" s="7105"/>
      <c r="E81" s="7105"/>
      <c r="F81" s="7105"/>
      <c r="G81" s="7105"/>
      <c r="H81" s="7105"/>
      <c r="I81" s="7106"/>
      <c r="J81" s="2536"/>
      <c r="K81" s="394"/>
      <c r="L81" s="2537"/>
      <c r="M81" s="394"/>
      <c r="N81" s="394"/>
      <c r="O81" s="394"/>
      <c r="P81" s="394"/>
      <c r="Q81" s="780"/>
      <c r="R81" s="1252"/>
    </row>
    <row r="82" spans="1:18" ht="15" customHeight="1">
      <c r="A82" s="66"/>
      <c r="B82" s="7038"/>
      <c r="C82" s="7100">
        <v>8</v>
      </c>
      <c r="D82" s="133" t="str">
        <f>"During "&amp;TaxYear&amp;", did you receive a distribution from, or were you the grantor of, or transferor to, a"</f>
        <v>During 2023, did you receive a distribution from, or were you the grantor of, or transferor to, a</v>
      </c>
      <c r="E82" s="20"/>
      <c r="F82" s="20"/>
      <c r="G82" s="20"/>
      <c r="H82" s="21"/>
      <c r="I82" s="137"/>
      <c r="J82" s="799"/>
      <c r="K82" s="800"/>
      <c r="L82" s="801"/>
      <c r="M82" s="799"/>
      <c r="N82" s="800"/>
      <c r="O82" s="800"/>
      <c r="P82" s="394"/>
      <c r="Q82" s="780"/>
      <c r="R82" s="1252"/>
    </row>
    <row r="83" spans="1:18" ht="9.75" customHeight="1">
      <c r="A83" s="66"/>
      <c r="B83" s="7038"/>
      <c r="C83" s="7101"/>
      <c r="D83" s="133" t="s">
        <v>2253</v>
      </c>
      <c r="E83" s="20"/>
      <c r="F83" s="20"/>
      <c r="G83" s="20"/>
      <c r="H83" s="21"/>
      <c r="I83" s="721" t="s">
        <v>2254</v>
      </c>
      <c r="J83" s="722"/>
      <c r="K83" s="1000"/>
      <c r="L83" s="137"/>
      <c r="M83" s="722"/>
      <c r="N83" s="1000"/>
      <c r="O83" s="112"/>
      <c r="P83" s="394"/>
      <c r="Q83" s="780"/>
      <c r="R83" s="1252"/>
    </row>
    <row r="84" spans="1:18" ht="4.5" customHeight="1" thickBot="1">
      <c r="A84" s="66"/>
      <c r="B84" s="7067"/>
      <c r="C84" s="797"/>
      <c r="D84" s="127"/>
      <c r="E84" s="127"/>
      <c r="F84" s="127"/>
      <c r="G84" s="127"/>
      <c r="H84" s="125"/>
      <c r="I84" s="5570"/>
      <c r="J84" s="798"/>
      <c r="K84" s="5571"/>
      <c r="L84" s="802"/>
      <c r="M84" s="798"/>
      <c r="N84" s="5572"/>
      <c r="O84" s="2538"/>
      <c r="P84" s="394"/>
      <c r="Q84" s="780"/>
      <c r="R84" s="1252"/>
    </row>
    <row r="85" spans="1:18" ht="13.5" customHeight="1">
      <c r="A85" s="66"/>
      <c r="B85" s="184" t="s">
        <v>979</v>
      </c>
      <c r="C85" s="129"/>
      <c r="D85" s="129"/>
      <c r="E85" s="129"/>
      <c r="F85" s="730" t="s">
        <v>2255</v>
      </c>
      <c r="G85" s="129"/>
      <c r="H85" s="129"/>
      <c r="I85" s="191"/>
      <c r="J85" s="265"/>
      <c r="K85" s="379"/>
      <c r="L85" s="265"/>
      <c r="M85" s="265"/>
      <c r="N85" s="265"/>
      <c r="O85" s="724" t="str">
        <f>"Schedule B (Form 1040)  "&amp;TaxYear</f>
        <v>Schedule B (Form 1040)  2023</v>
      </c>
      <c r="P85" s="394"/>
      <c r="Q85" s="780"/>
      <c r="R85" s="1252"/>
    </row>
    <row r="86" spans="1:18" ht="9.75" customHeight="1">
      <c r="A86" s="66"/>
      <c r="B86" s="428"/>
      <c r="C86" s="428"/>
      <c r="D86" s="429"/>
      <c r="E86" s="429"/>
      <c r="F86" s="429"/>
      <c r="G86" s="429"/>
      <c r="H86" s="428"/>
      <c r="I86" s="430"/>
      <c r="J86" s="430"/>
      <c r="K86" s="430"/>
      <c r="L86" s="430"/>
      <c r="M86" s="430"/>
      <c r="N86" s="430"/>
      <c r="O86" s="430"/>
      <c r="P86" s="394"/>
      <c r="Q86" s="780"/>
      <c r="R86" s="1252"/>
    </row>
    <row r="87" spans="1:18" ht="15" customHeight="1">
      <c r="A87" s="1"/>
      <c r="B87" s="1"/>
      <c r="C87" s="1"/>
      <c r="D87" s="3"/>
      <c r="E87" s="3"/>
      <c r="F87" s="3"/>
      <c r="G87" s="3"/>
      <c r="H87" s="1"/>
      <c r="I87" s="4"/>
      <c r="J87" s="4"/>
      <c r="K87" s="4"/>
      <c r="L87" s="4"/>
      <c r="M87" s="4"/>
      <c r="N87" s="4"/>
      <c r="O87" s="4"/>
    </row>
    <row r="88" spans="1:18">
      <c r="C88" s="1"/>
      <c r="D88" s="3"/>
      <c r="E88" s="3"/>
      <c r="F88" s="3"/>
      <c r="G88" s="3"/>
      <c r="H88" s="1"/>
      <c r="I88" s="4"/>
      <c r="J88" s="4"/>
      <c r="K88" s="4"/>
      <c r="L88" s="4"/>
      <c r="M88" s="4"/>
      <c r="N88" s="4"/>
      <c r="O88" s="4"/>
    </row>
    <row r="89" spans="1:18" ht="13.5" thickBot="1">
      <c r="B89" s="1"/>
      <c r="C89" s="1"/>
      <c r="D89" s="3"/>
      <c r="E89" s="3"/>
      <c r="F89" s="3"/>
      <c r="G89" s="3"/>
      <c r="H89" s="1"/>
      <c r="I89" s="4"/>
      <c r="J89" s="4"/>
      <c r="K89" s="4"/>
      <c r="L89" s="4"/>
      <c r="M89" s="4"/>
      <c r="N89" s="4"/>
      <c r="O89" s="4"/>
    </row>
    <row r="90" spans="1:18" ht="14.25" thickTop="1" thickBot="1">
      <c r="B90" s="1"/>
      <c r="C90" s="6558" t="s">
        <v>2256</v>
      </c>
      <c r="D90" s="7098"/>
      <c r="E90" s="7098"/>
      <c r="F90" s="7098"/>
      <c r="G90" s="7099"/>
      <c r="H90" s="1"/>
      <c r="I90" s="4"/>
      <c r="J90" s="4"/>
      <c r="K90" s="4"/>
      <c r="L90" s="4"/>
      <c r="M90" s="4"/>
      <c r="N90" s="4"/>
      <c r="O90" s="4"/>
    </row>
    <row r="91" spans="1:18" ht="14.25" thickTop="1" thickBot="1">
      <c r="B91" s="1"/>
      <c r="C91" s="1"/>
      <c r="D91" s="3"/>
      <c r="E91" s="3"/>
      <c r="F91" s="3"/>
      <c r="G91" s="3"/>
      <c r="H91" s="1"/>
      <c r="I91" s="4"/>
      <c r="J91" s="4"/>
      <c r="K91" s="4"/>
      <c r="L91" s="4"/>
      <c r="M91" s="4"/>
      <c r="N91" s="4"/>
      <c r="O91" s="4"/>
    </row>
    <row r="92" spans="1:18">
      <c r="C92" s="7015" t="s">
        <v>46</v>
      </c>
      <c r="D92" s="7016"/>
    </row>
    <row r="93" spans="1:18">
      <c r="C93" s="7017"/>
      <c r="D93" s="7018"/>
    </row>
    <row r="94" spans="1:18" ht="13.5" thickBot="1">
      <c r="C94" s="7019"/>
      <c r="D94" s="7020"/>
    </row>
  </sheetData>
  <sheetProtection algorithmName="SHA-512" hashValue="rVQFLwr0TNpGF9sk38eDSiNGBZ+0sXV/Gb4tKHSU0fp59ziNOYA0t2V/N1nzIMlkbQOr5do2yxy/sSNyinYTqw==" saltValue="m/TNynmTGknWWC008I8gcg==" spinCount="100000" sheet="1" objects="1" scenarios="1"/>
  <mergeCells count="98">
    <mergeCell ref="I49:O49"/>
    <mergeCell ref="I50:O50"/>
    <mergeCell ref="I57:O57"/>
    <mergeCell ref="I58:O58"/>
    <mergeCell ref="B32:B42"/>
    <mergeCell ref="D56:G56"/>
    <mergeCell ref="D57:G57"/>
    <mergeCell ref="D51:G51"/>
    <mergeCell ref="D32:G32"/>
    <mergeCell ref="D34:G34"/>
    <mergeCell ref="D35:G35"/>
    <mergeCell ref="D38:G38"/>
    <mergeCell ref="D39:G39"/>
    <mergeCell ref="D46:G46"/>
    <mergeCell ref="D48:G48"/>
    <mergeCell ref="D49:G49"/>
    <mergeCell ref="D17:H17"/>
    <mergeCell ref="D16:H16"/>
    <mergeCell ref="D27:G27"/>
    <mergeCell ref="D33:G33"/>
    <mergeCell ref="I28:O28"/>
    <mergeCell ref="I29:O29"/>
    <mergeCell ref="D18:H18"/>
    <mergeCell ref="H20:O20"/>
    <mergeCell ref="H21:O21"/>
    <mergeCell ref="I22:O22"/>
    <mergeCell ref="I23:O23"/>
    <mergeCell ref="D26:G26"/>
    <mergeCell ref="D28:G28"/>
    <mergeCell ref="D29:G29"/>
    <mergeCell ref="D30:G30"/>
    <mergeCell ref="D31:G31"/>
    <mergeCell ref="C90:G90"/>
    <mergeCell ref="C82:C83"/>
    <mergeCell ref="E80:I80"/>
    <mergeCell ref="D65:G65"/>
    <mergeCell ref="D81:I81"/>
    <mergeCell ref="I66:O66"/>
    <mergeCell ref="I65:O65"/>
    <mergeCell ref="I63:O63"/>
    <mergeCell ref="I64:O64"/>
    <mergeCell ref="I59:O59"/>
    <mergeCell ref="I60:O60"/>
    <mergeCell ref="I61:O61"/>
    <mergeCell ref="I62:O62"/>
    <mergeCell ref="I14:O15"/>
    <mergeCell ref="I26:O26"/>
    <mergeCell ref="I27:O27"/>
    <mergeCell ref="I34:O34"/>
    <mergeCell ref="I16:O17"/>
    <mergeCell ref="I24:O24"/>
    <mergeCell ref="I30:O30"/>
    <mergeCell ref="I31:O31"/>
    <mergeCell ref="I32:O32"/>
    <mergeCell ref="I33:O33"/>
    <mergeCell ref="D36:G36"/>
    <mergeCell ref="D37:G37"/>
    <mergeCell ref="I56:O56"/>
    <mergeCell ref="I51:O51"/>
    <mergeCell ref="I44:O44"/>
    <mergeCell ref="I43:O43"/>
    <mergeCell ref="I37:O37"/>
    <mergeCell ref="I42:O42"/>
    <mergeCell ref="I55:O55"/>
    <mergeCell ref="I53:O53"/>
    <mergeCell ref="I52:O52"/>
    <mergeCell ref="I54:O54"/>
    <mergeCell ref="I45:O45"/>
    <mergeCell ref="I46:O46"/>
    <mergeCell ref="I48:O48"/>
    <mergeCell ref="I47:O47"/>
    <mergeCell ref="I35:O35"/>
    <mergeCell ref="I36:O36"/>
    <mergeCell ref="I38:O38"/>
    <mergeCell ref="I39:O39"/>
    <mergeCell ref="I40:O40"/>
    <mergeCell ref="D58:G58"/>
    <mergeCell ref="D60:G60"/>
    <mergeCell ref="D61:G61"/>
    <mergeCell ref="D59:G59"/>
    <mergeCell ref="D63:G63"/>
    <mergeCell ref="D62:G62"/>
    <mergeCell ref="D19:H19"/>
    <mergeCell ref="J70:L70"/>
    <mergeCell ref="M70:O70"/>
    <mergeCell ref="C92:D94"/>
    <mergeCell ref="B69:B71"/>
    <mergeCell ref="B72:B84"/>
    <mergeCell ref="D47:G47"/>
    <mergeCell ref="D25:G25"/>
    <mergeCell ref="I25:O25"/>
    <mergeCell ref="E45:G45"/>
    <mergeCell ref="D50:G50"/>
    <mergeCell ref="D55:G55"/>
    <mergeCell ref="D52:G52"/>
    <mergeCell ref="D54:G54"/>
    <mergeCell ref="D53:G53"/>
    <mergeCell ref="D64:G64"/>
  </mergeCells>
  <phoneticPr fontId="12" type="noConversion"/>
  <conditionalFormatting sqref="B17">
    <cfRule type="expression" dxfId="2423" priority="7">
      <formula>NOT(Draft)</formula>
    </cfRule>
  </conditionalFormatting>
  <conditionalFormatting sqref="B21:O21">
    <cfRule type="expression" dxfId="2422" priority="65">
      <formula>IF(NoColor,1,0)</formula>
    </cfRule>
  </conditionalFormatting>
  <conditionalFormatting sqref="C3">
    <cfRule type="expression" dxfId="2421" priority="5">
      <formula>Sch.B_Reqd</formula>
    </cfRule>
  </conditionalFormatting>
  <conditionalFormatting sqref="C44">
    <cfRule type="expression" dxfId="2420" priority="69" stopIfTrue="1">
      <formula>$G$44</formula>
    </cfRule>
  </conditionalFormatting>
  <conditionalFormatting sqref="C67:D67">
    <cfRule type="expression" dxfId="2419" priority="66" stopIfTrue="1">
      <formula>IF($G$67,1,0)</formula>
    </cfRule>
  </conditionalFormatting>
  <conditionalFormatting sqref="D15">
    <cfRule type="expression" dxfId="2418" priority="6">
      <formula>NOT(Draft)</formula>
    </cfRule>
  </conditionalFormatting>
  <conditionalFormatting sqref="D44">
    <cfRule type="expression" dxfId="2417" priority="68" stopIfTrue="1">
      <formula>IF($G$44,TRUE,FALSE)</formula>
    </cfRule>
  </conditionalFormatting>
  <conditionalFormatting sqref="D25:G39">
    <cfRule type="expression" dxfId="2416" priority="25">
      <formula>IF(NoColor,1,0)</formula>
    </cfRule>
  </conditionalFormatting>
  <conditionalFormatting sqref="D46:G65">
    <cfRule type="expression" dxfId="2415" priority="8">
      <formula>IF(NoColor,1,0)</formula>
    </cfRule>
  </conditionalFormatting>
  <conditionalFormatting sqref="E45:G45">
    <cfRule type="expression" dxfId="2414" priority="59">
      <formula>IF(NoColor,1,0)</formula>
    </cfRule>
  </conditionalFormatting>
  <conditionalFormatting sqref="E80:I80">
    <cfRule type="expression" dxfId="2413" priority="50">
      <formula>IF(NoColor,1,0)</formula>
    </cfRule>
  </conditionalFormatting>
  <conditionalFormatting sqref="I25:I39">
    <cfRule type="expression" dxfId="2412" priority="9">
      <formula>IF(R25&lt;&gt;0,TRUE,FALSE)</formula>
    </cfRule>
  </conditionalFormatting>
  <conditionalFormatting sqref="I45:I65">
    <cfRule type="expression" dxfId="2411" priority="2">
      <formula>IF(R45&lt;&gt;0,1,0)</formula>
    </cfRule>
  </conditionalFormatting>
  <conditionalFormatting sqref="I25:O40">
    <cfRule type="expression" dxfId="2410" priority="10">
      <formula>IF(NoColor,1,0)</formula>
    </cfRule>
  </conditionalFormatting>
  <conditionalFormatting sqref="I42:O43">
    <cfRule type="expression" dxfId="2409" priority="61">
      <formula>IF(NoColor,1,0)</formula>
    </cfRule>
  </conditionalFormatting>
  <conditionalFormatting sqref="I45:O66">
    <cfRule type="expression" dxfId="2408" priority="3">
      <formula>IF(NoColor,1,0)</formula>
    </cfRule>
  </conditionalFormatting>
  <conditionalFormatting sqref="J25:O39">
    <cfRule type="expression" dxfId="2407" priority="11">
      <formula>IF(#REF!&lt;&gt;0,TRUE,FALSE)</formula>
    </cfRule>
  </conditionalFormatting>
  <conditionalFormatting sqref="J45:O64">
    <cfRule type="expression" dxfId="2406" priority="1932">
      <formula>IF(#REF!&lt;&gt;0,1,0)</formula>
    </cfRule>
  </conditionalFormatting>
  <conditionalFormatting sqref="J65:O65">
    <cfRule type="expression" dxfId="2405" priority="4">
      <formula>IF(#REF!&lt;&gt;0,1,0)</formula>
    </cfRule>
  </conditionalFormatting>
  <conditionalFormatting sqref="K73">
    <cfRule type="expression" dxfId="2404" priority="56">
      <formula>IF(NoColor,1,0)</formula>
    </cfRule>
  </conditionalFormatting>
  <conditionalFormatting sqref="K77">
    <cfRule type="expression" dxfId="2403" priority="54">
      <formula>IF(NoColor,1,0)</formula>
    </cfRule>
  </conditionalFormatting>
  <conditionalFormatting sqref="K83">
    <cfRule type="expression" dxfId="2402" priority="52">
      <formula>IF(NoColor,1,0)</formula>
    </cfRule>
  </conditionalFormatting>
  <conditionalFormatting sqref="N73">
    <cfRule type="expression" dxfId="2401" priority="55">
      <formula>IF(NoColor,1,0)</formula>
    </cfRule>
  </conditionalFormatting>
  <conditionalFormatting sqref="N77">
    <cfRule type="expression" dxfId="2400" priority="53">
      <formula>IF(NoColor,1,0)</formula>
    </cfRule>
  </conditionalFormatting>
  <conditionalFormatting sqref="N83">
    <cfRule type="expression" dxfId="2399" priority="51">
      <formula>IF(NoColor,1,0)</formula>
    </cfRule>
  </conditionalFormatting>
  <hyperlinks>
    <hyperlink ref="C90:G90" r:id="rId1" display="Download Form 1040 Schedules A&amp;B" xr:uid="{00000000-0004-0000-1A00-000000000000}"/>
    <hyperlink ref="C92:D94" location="'Table of Contents'!A1" display="Table of Contents" xr:uid="{00000000-0004-0000-1A00-000001000000}"/>
  </hyperlinks>
  <pageMargins left="0.75" right="0.25" top="0.36" bottom="0.28999999999999998" header="0.36" footer="0.21"/>
  <pageSetup scale="85"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9"/>
  <sheetViews>
    <sheetView zoomScaleNormal="100" zoomScaleSheetLayoutView="100" workbookViewId="0"/>
  </sheetViews>
  <sheetFormatPr defaultRowHeight="12.75"/>
  <cols>
    <col min="1" max="1" width="2" customWidth="1"/>
    <col min="2" max="2" width="7" customWidth="1"/>
    <col min="3" max="3" width="14" customWidth="1"/>
    <col min="4" max="4" width="9.7109375" customWidth="1"/>
    <col min="5" max="5" width="3" customWidth="1"/>
    <col min="6" max="6" width="4.85546875" customWidth="1"/>
    <col min="7" max="7" width="3.5703125" customWidth="1"/>
    <col min="8" max="8" width="4" customWidth="1"/>
    <col min="9" max="9" width="14.7109375" customWidth="1"/>
    <col min="10" max="10" width="3" customWidth="1"/>
    <col min="11" max="11" width="3.42578125" customWidth="1"/>
    <col min="12" max="12" width="10.85546875" customWidth="1"/>
    <col min="13" max="19" width="4.5703125" customWidth="1"/>
    <col min="20" max="20" width="4.42578125" customWidth="1"/>
    <col min="21" max="21" width="11" customWidth="1"/>
    <col min="22" max="22" width="2.85546875" customWidth="1"/>
    <col min="23" max="23" width="14.85546875" style="39" customWidth="1"/>
    <col min="24" max="24" width="2.5703125" style="1652" customWidth="1"/>
    <col min="25" max="25" width="10.7109375" customWidth="1"/>
    <col min="26" max="26" width="33" customWidth="1"/>
    <col min="27" max="27" width="12.28515625" customWidth="1"/>
    <col min="28" max="28" width="20" bestFit="1" customWidth="1"/>
    <col min="29" max="39" width="10.7109375" style="2038" customWidth="1"/>
    <col min="40" max="41" width="10.7109375" customWidth="1"/>
  </cols>
  <sheetData>
    <row r="1" spans="1:29" ht="21.75" customHeight="1">
      <c r="A1" s="66"/>
      <c r="B1" s="66"/>
      <c r="C1" s="66"/>
      <c r="D1" s="66"/>
      <c r="E1" s="66"/>
      <c r="F1" s="2759" t="s">
        <v>2257</v>
      </c>
      <c r="G1" s="66"/>
      <c r="H1" s="66"/>
      <c r="I1" s="66"/>
      <c r="J1" s="66"/>
      <c r="K1" s="66"/>
      <c r="L1" s="66"/>
      <c r="M1" s="66"/>
      <c r="N1" s="66"/>
      <c r="O1" s="66"/>
      <c r="P1" s="66"/>
      <c r="Q1" s="66"/>
      <c r="R1" s="66"/>
      <c r="S1" s="66"/>
      <c r="T1" s="66"/>
      <c r="U1" s="66"/>
      <c r="V1" s="394"/>
      <c r="W1" s="260"/>
      <c r="X1" s="3899"/>
      <c r="AC1" s="2037" t="s">
        <v>241</v>
      </c>
    </row>
    <row r="2" spans="1:29" ht="20.25" customHeight="1">
      <c r="A2" s="394"/>
      <c r="B2" s="229" t="s">
        <v>2258</v>
      </c>
      <c r="C2" s="570"/>
      <c r="D2" s="2542"/>
      <c r="E2" s="130"/>
      <c r="F2" s="398"/>
      <c r="G2" s="192"/>
      <c r="H2" s="192"/>
      <c r="I2" s="3740" t="s">
        <v>2259</v>
      </c>
      <c r="J2" s="112"/>
      <c r="K2" s="112"/>
      <c r="L2" s="21"/>
      <c r="M2" s="112"/>
      <c r="N2" s="192"/>
      <c r="O2" s="192"/>
      <c r="P2" s="134"/>
      <c r="Q2" s="2541"/>
      <c r="R2" s="7130" t="s">
        <v>576</v>
      </c>
      <c r="S2" s="6918"/>
      <c r="T2" s="6918"/>
      <c r="U2" s="6918"/>
      <c r="V2" s="394"/>
      <c r="W2" s="3924" t="s">
        <v>2260</v>
      </c>
      <c r="X2" s="1665" t="str">
        <f>IF(X3&lt;&gt;"","","X")</f>
        <v>X</v>
      </c>
      <c r="Y2" s="3938"/>
      <c r="Z2" s="3938"/>
      <c r="AA2" s="3938"/>
      <c r="AB2" s="3938"/>
    </row>
    <row r="3" spans="1:29" ht="18.75" customHeight="1">
      <c r="A3" s="394"/>
      <c r="B3" s="3741" t="s">
        <v>2088</v>
      </c>
      <c r="C3" s="570"/>
      <c r="D3" s="2540"/>
      <c r="E3" s="130"/>
      <c r="F3" s="130"/>
      <c r="G3" s="130"/>
      <c r="H3" s="131"/>
      <c r="I3" s="670" t="s">
        <v>2261</v>
      </c>
      <c r="J3" s="132"/>
      <c r="K3" s="132"/>
      <c r="L3" s="130"/>
      <c r="M3" s="133"/>
      <c r="N3" s="131"/>
      <c r="O3" s="131"/>
      <c r="P3" s="134"/>
      <c r="Q3" s="130"/>
      <c r="R3" s="7131">
        <f>TaxYear</f>
        <v>2023</v>
      </c>
      <c r="S3" s="7132"/>
      <c r="T3" s="7133"/>
      <c r="U3" s="6864"/>
      <c r="V3" s="394"/>
      <c r="W3" s="3924" t="s">
        <v>2262</v>
      </c>
      <c r="X3" s="861"/>
    </row>
    <row r="4" spans="1:29" ht="12" customHeight="1">
      <c r="A4" s="394"/>
      <c r="B4" s="7134" t="s">
        <v>2263</v>
      </c>
      <c r="C4" s="7135"/>
      <c r="D4" s="7151" t="s">
        <v>2267</v>
      </c>
      <c r="E4" s="7152"/>
      <c r="F4" s="7152"/>
      <c r="G4" s="7152"/>
      <c r="H4" s="7152"/>
      <c r="I4" s="7152"/>
      <c r="J4" s="7152"/>
      <c r="K4" s="7152"/>
      <c r="L4" s="7152"/>
      <c r="M4" s="7152"/>
      <c r="N4" s="7152"/>
      <c r="O4" s="7152"/>
      <c r="P4" s="7152"/>
      <c r="Q4" s="7153"/>
      <c r="R4" s="7155" t="s">
        <v>2265</v>
      </c>
      <c r="S4" s="7156"/>
      <c r="T4" s="7156"/>
      <c r="U4" s="7159" t="s">
        <v>2266</v>
      </c>
      <c r="V4" s="394"/>
      <c r="W4" s="260"/>
      <c r="X4" s="3899"/>
    </row>
    <row r="5" spans="1:29" ht="11.25" customHeight="1">
      <c r="A5" s="394"/>
      <c r="B5" s="7136"/>
      <c r="C5" s="7137"/>
      <c r="D5" s="7138" t="s">
        <v>2264</v>
      </c>
      <c r="E5" s="6587"/>
      <c r="F5" s="6587"/>
      <c r="G5" s="6587"/>
      <c r="H5" s="6587"/>
      <c r="I5" s="6587"/>
      <c r="J5" s="6587"/>
      <c r="K5" s="6587"/>
      <c r="L5" s="6587"/>
      <c r="M5" s="6587"/>
      <c r="N5" s="6587"/>
      <c r="O5" s="6587"/>
      <c r="P5" s="6587"/>
      <c r="Q5" s="7164"/>
      <c r="R5" s="7157"/>
      <c r="S5" s="7158"/>
      <c r="T5" s="7158"/>
      <c r="U5" s="7160"/>
      <c r="V5" s="394"/>
      <c r="W5" s="7192"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861" t="s">
        <v>2268</v>
      </c>
      <c r="Y5" s="962" t="s">
        <v>2269</v>
      </c>
      <c r="Z5" s="962"/>
      <c r="AA5" s="962"/>
      <c r="AB5" s="962"/>
    </row>
    <row r="6" spans="1:29" ht="12" customHeight="1">
      <c r="A6" s="394"/>
      <c r="B6" s="133" t="s">
        <v>2270</v>
      </c>
      <c r="C6" s="130"/>
      <c r="D6" s="130"/>
      <c r="E6" s="130"/>
      <c r="F6" s="111"/>
      <c r="G6" s="111"/>
      <c r="H6" s="112"/>
      <c r="I6" s="20"/>
      <c r="J6" s="20"/>
      <c r="K6" s="20"/>
      <c r="L6" s="137"/>
      <c r="M6" s="5958" t="s">
        <v>2271</v>
      </c>
      <c r="N6" s="112"/>
      <c r="O6" s="112"/>
      <c r="P6" s="112"/>
      <c r="Q6" s="111"/>
      <c r="R6" s="111"/>
      <c r="S6" s="111"/>
      <c r="T6" s="111"/>
      <c r="U6" s="111"/>
      <c r="V6" s="394"/>
      <c r="W6" s="7192"/>
      <c r="X6" s="3899"/>
      <c r="Y6" s="887" t="b">
        <f>(X5&lt;&gt;"")</f>
        <v>1</v>
      </c>
      <c r="Z6" s="887"/>
      <c r="AA6" s="887"/>
      <c r="AB6" s="887"/>
    </row>
    <row r="7" spans="1:29" ht="14.25" customHeight="1" thickBot="1">
      <c r="A7" s="394"/>
      <c r="B7" s="7165"/>
      <c r="C7" s="7165"/>
      <c r="D7" s="7165"/>
      <c r="E7" s="7165"/>
      <c r="F7" s="7165"/>
      <c r="G7" s="7165"/>
      <c r="H7" s="7165"/>
      <c r="I7" s="7165"/>
      <c r="J7" s="7165"/>
      <c r="K7" s="7165"/>
      <c r="L7" s="7166"/>
      <c r="M7" s="7161">
        <f>IF(AND(SS_Yours&lt;&gt;"",X2&lt;&gt;""),SS_Yours,IF(SS_Spouse&lt;&gt;"",SS_Spouse,1))</f>
        <v>1010001</v>
      </c>
      <c r="N7" s="7162"/>
      <c r="O7" s="7162"/>
      <c r="P7" s="7162"/>
      <c r="Q7" s="7162"/>
      <c r="R7" s="7162"/>
      <c r="S7" s="7162"/>
      <c r="T7" s="7162"/>
      <c r="U7" s="7162"/>
      <c r="V7" s="394"/>
      <c r="W7" s="7192"/>
      <c r="X7" s="861"/>
      <c r="Y7" s="962" t="s">
        <v>2272</v>
      </c>
      <c r="Z7" s="962"/>
      <c r="AA7" s="962"/>
      <c r="AB7" s="962"/>
    </row>
    <row r="8" spans="1:29" ht="12.75" customHeight="1" thickTop="1">
      <c r="A8" s="394"/>
      <c r="B8" s="152" t="s">
        <v>542</v>
      </c>
      <c r="C8" s="133" t="s">
        <v>2273</v>
      </c>
      <c r="D8" s="133"/>
      <c r="E8" s="130"/>
      <c r="F8" s="111"/>
      <c r="G8" s="111"/>
      <c r="H8" s="112"/>
      <c r="I8" s="20"/>
      <c r="J8" s="20"/>
      <c r="K8" s="20"/>
      <c r="L8" s="112"/>
      <c r="M8" s="678" t="s">
        <v>2274</v>
      </c>
      <c r="N8" s="52"/>
      <c r="O8" s="52"/>
      <c r="P8" s="52"/>
      <c r="Q8" s="53"/>
      <c r="R8" s="53"/>
      <c r="S8" s="53"/>
      <c r="T8" s="53"/>
      <c r="U8" s="251"/>
      <c r="V8" s="394"/>
      <c r="W8" s="7192"/>
      <c r="X8" s="3899"/>
      <c r="Y8" s="887" t="b">
        <f>(X7&lt;&gt;"")</f>
        <v>0</v>
      </c>
      <c r="Z8" s="887"/>
      <c r="AA8" s="887"/>
      <c r="AB8" s="887"/>
    </row>
    <row r="9" spans="1:29" ht="12.75" customHeight="1" thickBot="1">
      <c r="A9" s="394"/>
      <c r="B9" s="7167"/>
      <c r="C9" s="7167"/>
      <c r="D9" s="7167"/>
      <c r="E9" s="7167"/>
      <c r="F9" s="7167"/>
      <c r="G9" s="7167"/>
      <c r="H9" s="7167"/>
      <c r="I9" s="7167"/>
      <c r="J9" s="7167"/>
      <c r="K9" s="7167"/>
      <c r="L9" s="7168"/>
      <c r="M9" s="679"/>
      <c r="N9" s="5957"/>
      <c r="O9" s="5957"/>
      <c r="P9" s="5957"/>
      <c r="Q9" s="5957"/>
      <c r="R9" s="5957"/>
      <c r="S9" s="5957"/>
      <c r="T9" s="5956"/>
      <c r="U9" s="5955"/>
      <c r="V9" s="394"/>
      <c r="W9" s="7192"/>
      <c r="X9" s="861"/>
      <c r="Y9" s="962" t="s">
        <v>2275</v>
      </c>
      <c r="Z9" s="962"/>
      <c r="AA9" s="962"/>
      <c r="AB9" s="962"/>
    </row>
    <row r="10" spans="1:29" ht="12" customHeight="1" thickTop="1">
      <c r="A10" s="394"/>
      <c r="B10" s="152" t="s">
        <v>550</v>
      </c>
      <c r="C10" s="133" t="s">
        <v>2276</v>
      </c>
      <c r="D10" s="133"/>
      <c r="E10" s="130"/>
      <c r="F10" s="111"/>
      <c r="G10" s="111"/>
      <c r="H10" s="112"/>
      <c r="I10" s="20"/>
      <c r="J10" s="20"/>
      <c r="K10" s="20"/>
      <c r="L10" s="137"/>
      <c r="M10" s="138" t="s">
        <v>2277</v>
      </c>
      <c r="N10" s="112"/>
      <c r="O10" s="112"/>
      <c r="P10" s="112"/>
      <c r="Q10" s="111"/>
      <c r="R10" s="111"/>
      <c r="S10" s="111"/>
      <c r="T10" s="111"/>
      <c r="U10" s="111"/>
      <c r="V10" s="394"/>
      <c r="W10" s="260"/>
      <c r="X10" s="3899"/>
      <c r="Y10" s="887" t="b">
        <f>(X9&lt;&gt;"")</f>
        <v>0</v>
      </c>
      <c r="Z10" s="887"/>
      <c r="AA10" s="887"/>
      <c r="AB10" s="887"/>
    </row>
    <row r="11" spans="1:29" ht="14.25" customHeight="1">
      <c r="A11" s="394"/>
      <c r="B11" s="7167"/>
      <c r="C11" s="7167"/>
      <c r="D11" s="7167"/>
      <c r="E11" s="7167"/>
      <c r="F11" s="7167"/>
      <c r="G11" s="7167"/>
      <c r="H11" s="7167"/>
      <c r="I11" s="7167"/>
      <c r="J11" s="7167"/>
      <c r="K11" s="7167"/>
      <c r="L11" s="7169"/>
      <c r="M11" s="823"/>
      <c r="N11" s="824"/>
      <c r="O11" s="825"/>
      <c r="P11" s="823"/>
      <c r="Q11" s="823"/>
      <c r="R11" s="823"/>
      <c r="S11" s="823"/>
      <c r="T11" s="5573"/>
      <c r="U11" s="6220"/>
      <c r="V11" s="394"/>
      <c r="W11" s="260"/>
      <c r="X11" s="3899"/>
      <c r="Y11" s="887" t="b">
        <f>OR(AND(Y6,Y10),AND(Y8,Y10))</f>
        <v>0</v>
      </c>
      <c r="Z11" s="887"/>
      <c r="AA11" s="887"/>
      <c r="AB11" s="887"/>
    </row>
    <row r="12" spans="1:29" ht="11.25" customHeight="1">
      <c r="A12" s="394"/>
      <c r="B12" s="152" t="s">
        <v>556</v>
      </c>
      <c r="C12" s="133" t="s">
        <v>2278</v>
      </c>
      <c r="D12" s="133"/>
      <c r="E12" s="130"/>
      <c r="F12" s="111"/>
      <c r="G12" s="111"/>
      <c r="H12" s="2754"/>
      <c r="I12" s="7170"/>
      <c r="J12" s="7170"/>
      <c r="K12" s="7170"/>
      <c r="L12" s="7170"/>
      <c r="M12" s="7170"/>
      <c r="N12" s="7170"/>
      <c r="O12" s="7170"/>
      <c r="P12" s="7170"/>
      <c r="Q12" s="7170"/>
      <c r="R12" s="7170"/>
      <c r="S12" s="7170"/>
      <c r="T12" s="7170"/>
      <c r="U12" s="7170"/>
      <c r="V12" s="394"/>
      <c r="W12" s="260"/>
      <c r="X12" s="3899"/>
    </row>
    <row r="13" spans="1:29" ht="11.25" customHeight="1">
      <c r="A13" s="394"/>
      <c r="B13" s="5574"/>
      <c r="C13" s="172" t="s">
        <v>2279</v>
      </c>
      <c r="D13" s="172"/>
      <c r="E13" s="119"/>
      <c r="F13" s="16"/>
      <c r="G13" s="16"/>
      <c r="H13" s="16"/>
      <c r="I13" s="7174"/>
      <c r="J13" s="7174"/>
      <c r="K13" s="7174"/>
      <c r="L13" s="7174"/>
      <c r="M13" s="7174"/>
      <c r="N13" s="7174"/>
      <c r="O13" s="7174"/>
      <c r="P13" s="7174"/>
      <c r="Q13" s="7174"/>
      <c r="R13" s="7174"/>
      <c r="S13" s="7174"/>
      <c r="T13" s="7174"/>
      <c r="U13" s="7174"/>
      <c r="V13" s="394"/>
      <c r="W13" s="260"/>
      <c r="X13" s="3899"/>
    </row>
    <row r="14" spans="1:29" ht="3" customHeight="1" thickBot="1">
      <c r="A14" s="394"/>
      <c r="B14" s="995"/>
      <c r="C14" s="133"/>
      <c r="D14" s="133"/>
      <c r="E14" s="130"/>
      <c r="F14" s="111"/>
      <c r="G14" s="111"/>
      <c r="H14" s="111"/>
      <c r="I14" s="5575"/>
      <c r="J14" s="731"/>
      <c r="K14" s="733"/>
      <c r="L14" s="734"/>
      <c r="M14" s="734"/>
      <c r="N14" s="734"/>
      <c r="O14" s="734"/>
      <c r="P14" s="734"/>
      <c r="Q14" s="734"/>
      <c r="R14" s="734"/>
      <c r="S14" s="734"/>
      <c r="T14" s="734"/>
      <c r="U14" s="734"/>
      <c r="V14" s="394"/>
      <c r="W14" s="260"/>
      <c r="X14" s="3899"/>
    </row>
    <row r="15" spans="1:29" ht="14.25" customHeight="1" thickBot="1">
      <c r="A15" s="394"/>
      <c r="B15" s="3753" t="s">
        <v>2280</v>
      </c>
      <c r="C15" s="133" t="s">
        <v>2281</v>
      </c>
      <c r="D15" s="133"/>
      <c r="E15" s="820"/>
      <c r="F15" s="732" t="s">
        <v>2282</v>
      </c>
      <c r="G15" s="124" t="str">
        <f>"(2) "</f>
        <v xml:space="preserve">(2) </v>
      </c>
      <c r="H15" s="820"/>
      <c r="I15" s="133" t="s">
        <v>2283</v>
      </c>
      <c r="J15" s="124" t="str">
        <f>"(3) "</f>
        <v xml:space="preserve">(3) </v>
      </c>
      <c r="K15" s="820"/>
      <c r="L15" s="133" t="s">
        <v>2284</v>
      </c>
      <c r="M15" s="133"/>
      <c r="N15" s="7163"/>
      <c r="O15" s="6802"/>
      <c r="P15" s="6802"/>
      <c r="Q15" s="6802"/>
      <c r="R15" s="6802"/>
      <c r="S15" s="6802"/>
      <c r="T15" s="6802"/>
      <c r="U15" s="6802"/>
      <c r="V15" s="394"/>
      <c r="W15" s="260"/>
      <c r="X15" s="3899"/>
    </row>
    <row r="16" spans="1:29" ht="3.75" customHeight="1" thickBot="1">
      <c r="A16" s="394"/>
      <c r="B16" s="152"/>
      <c r="C16" s="133"/>
      <c r="D16" s="133"/>
      <c r="E16" s="5576"/>
      <c r="F16" s="111"/>
      <c r="G16" s="124"/>
      <c r="H16" s="5577"/>
      <c r="I16" s="133"/>
      <c r="J16" s="379"/>
      <c r="K16" s="5577"/>
      <c r="L16" s="133"/>
      <c r="M16" s="133"/>
      <c r="N16" s="399"/>
      <c r="O16" s="5578"/>
      <c r="P16" s="5578"/>
      <c r="Q16" s="5578"/>
      <c r="R16" s="5578"/>
      <c r="S16" s="5578"/>
      <c r="T16" s="5578"/>
      <c r="U16" s="5578"/>
      <c r="V16" s="394"/>
      <c r="W16" s="260"/>
      <c r="X16" s="3899"/>
    </row>
    <row r="17" spans="1:28" ht="12.75" customHeight="1" thickBot="1">
      <c r="A17" s="394"/>
      <c r="B17" s="152" t="s">
        <v>2285</v>
      </c>
      <c r="C17" s="133" t="str">
        <f>"Did you 'materially participate' in the operation of this business during "&amp;TaxYear&amp;"? If 'No,' see instructions for limit on losses."</f>
        <v>Did you 'materially participate' in the operation of this business during 2023? If 'No,' see instructions for limit on losses.</v>
      </c>
      <c r="D17" s="20"/>
      <c r="E17" s="111"/>
      <c r="F17" s="111"/>
      <c r="G17" s="124"/>
      <c r="H17" s="111"/>
      <c r="I17" s="133"/>
      <c r="J17" s="379"/>
      <c r="K17" s="379"/>
      <c r="L17" s="111"/>
      <c r="M17" s="133"/>
      <c r="N17" s="111"/>
      <c r="O17" s="111"/>
      <c r="P17" s="111"/>
      <c r="Q17" s="111"/>
      <c r="R17" s="820"/>
      <c r="S17" s="132" t="s">
        <v>608</v>
      </c>
      <c r="T17" s="820"/>
      <c r="U17" s="132" t="s">
        <v>609</v>
      </c>
      <c r="V17" s="394"/>
      <c r="W17" s="260"/>
      <c r="X17" s="3899"/>
    </row>
    <row r="18" spans="1:28" ht="12.75" customHeight="1" thickBot="1">
      <c r="A18" s="394"/>
      <c r="B18" s="152" t="s">
        <v>2286</v>
      </c>
      <c r="C18" s="133" t="str">
        <f>"If you started or acquired this business during "&amp;TaxYear&amp;", check here"</f>
        <v>If you started or acquired this business during 2023, check here</v>
      </c>
      <c r="D18" s="133"/>
      <c r="E18" s="130"/>
      <c r="F18" s="111"/>
      <c r="G18" s="111"/>
      <c r="H18" s="399"/>
      <c r="I18" s="735"/>
      <c r="J18" s="735"/>
      <c r="K18" s="735"/>
      <c r="L18" s="399"/>
      <c r="M18" s="735"/>
      <c r="N18" s="399"/>
      <c r="O18" s="399"/>
      <c r="P18" s="399"/>
      <c r="Q18" s="379" t="s">
        <v>898</v>
      </c>
      <c r="R18" s="820"/>
      <c r="S18" s="379"/>
      <c r="T18" s="736"/>
      <c r="U18" s="111"/>
      <c r="V18" s="394"/>
      <c r="W18" s="260"/>
      <c r="X18" s="3899"/>
    </row>
    <row r="19" spans="1:28" ht="12.75" customHeight="1" thickBot="1">
      <c r="A19" s="394"/>
      <c r="B19" s="152" t="s">
        <v>2287</v>
      </c>
      <c r="C19" s="133" t="str">
        <f>"Did you make any payments in "&amp;TaxYear&amp;" that would require you to file Form(s) 1099? (see instructions) "</f>
        <v xml:space="preserve">Did you make any payments in 2023 that would require you to file Form(s) 1099? (see instructions) </v>
      </c>
      <c r="D19" s="20"/>
      <c r="E19" s="111"/>
      <c r="F19" s="111"/>
      <c r="G19" s="124"/>
      <c r="H19" s="111"/>
      <c r="I19" s="133"/>
      <c r="J19" s="379"/>
      <c r="K19" s="379"/>
      <c r="L19" s="111"/>
      <c r="M19" s="133"/>
      <c r="N19" s="111"/>
      <c r="O19" s="111"/>
      <c r="P19" s="111"/>
      <c r="Q19" s="379" t="s">
        <v>2114</v>
      </c>
      <c r="R19" s="820"/>
      <c r="S19" s="132" t="s">
        <v>608</v>
      </c>
      <c r="T19" s="820"/>
      <c r="U19" s="132" t="s">
        <v>609</v>
      </c>
      <c r="V19" s="394"/>
      <c r="W19" s="260"/>
      <c r="X19" s="3899"/>
    </row>
    <row r="20" spans="1:28" ht="12.75" customHeight="1" thickBot="1">
      <c r="A20" s="394"/>
      <c r="B20" s="152" t="s">
        <v>2288</v>
      </c>
      <c r="C20" s="133" t="s">
        <v>2289</v>
      </c>
      <c r="D20" s="20"/>
      <c r="E20" s="111"/>
      <c r="F20" s="111"/>
      <c r="G20" s="124"/>
      <c r="H20" s="111"/>
      <c r="I20" s="133"/>
      <c r="J20" s="379"/>
      <c r="K20" s="379"/>
      <c r="L20" s="111"/>
      <c r="M20" s="133"/>
      <c r="N20" s="111"/>
      <c r="O20" s="111"/>
      <c r="P20" s="111"/>
      <c r="Q20" s="379" t="s">
        <v>2290</v>
      </c>
      <c r="R20" s="820"/>
      <c r="S20" s="132" t="s">
        <v>608</v>
      </c>
      <c r="T20" s="820"/>
      <c r="U20" s="132" t="s">
        <v>609</v>
      </c>
      <c r="V20" s="394"/>
      <c r="W20" s="118" t="s">
        <v>1113</v>
      </c>
      <c r="X20" s="3899"/>
    </row>
    <row r="21" spans="1:28" ht="15" customHeight="1">
      <c r="A21" s="394"/>
      <c r="B21" s="1848" t="s">
        <v>884</v>
      </c>
      <c r="C21" s="1045" t="s">
        <v>2291</v>
      </c>
      <c r="D21" s="1045"/>
      <c r="E21" s="139"/>
      <c r="F21" s="140"/>
      <c r="G21" s="140"/>
      <c r="H21" s="140"/>
      <c r="I21" s="141"/>
      <c r="J21" s="141"/>
      <c r="K21" s="141"/>
      <c r="L21" s="141"/>
      <c r="M21" s="141"/>
      <c r="N21" s="140"/>
      <c r="O21" s="140"/>
      <c r="P21" s="142"/>
      <c r="Q21" s="140"/>
      <c r="R21" s="140"/>
      <c r="S21" s="140"/>
      <c r="T21" s="140"/>
      <c r="U21" s="140"/>
      <c r="V21" s="394"/>
      <c r="W21" s="118" t="s">
        <v>1062</v>
      </c>
      <c r="X21" s="3899"/>
    </row>
    <row r="22" spans="1:28" ht="13.5" customHeight="1" thickBot="1">
      <c r="A22" s="394"/>
      <c r="B22" s="168">
        <v>1</v>
      </c>
      <c r="C22" s="267" t="s">
        <v>2292</v>
      </c>
      <c r="D22" s="190"/>
      <c r="E22" s="5366"/>
      <c r="F22" s="5366"/>
      <c r="G22" s="5366"/>
      <c r="H22" s="5366"/>
      <c r="I22" s="5579"/>
      <c r="J22" s="5579"/>
      <c r="K22" s="5579"/>
      <c r="L22" s="5579"/>
      <c r="M22" s="379"/>
      <c r="N22" s="5366"/>
      <c r="O22" s="5366"/>
      <c r="P22" s="5366"/>
      <c r="Q22" s="5580"/>
      <c r="R22" s="379"/>
      <c r="S22" s="5581"/>
      <c r="T22" s="5582"/>
      <c r="U22" s="5582"/>
      <c r="V22" s="394"/>
      <c r="W22" s="260"/>
      <c r="X22" s="3899"/>
      <c r="Y22" s="887" t="b">
        <f>(M7=SS_Spouse)</f>
        <v>0</v>
      </c>
      <c r="Z22" s="887"/>
      <c r="AA22" s="887"/>
      <c r="AB22" s="887"/>
    </row>
    <row r="23" spans="1:28" ht="12" customHeight="1" thickBot="1">
      <c r="A23" s="394"/>
      <c r="B23" s="168"/>
      <c r="C23" s="267" t="s">
        <v>2293</v>
      </c>
      <c r="D23" s="190"/>
      <c r="E23" s="5366"/>
      <c r="F23" s="5366"/>
      <c r="G23" s="5366"/>
      <c r="H23" s="5366"/>
      <c r="I23" s="5579"/>
      <c r="J23" s="5579"/>
      <c r="K23" s="5579"/>
      <c r="L23" s="5579"/>
      <c r="M23" s="379"/>
      <c r="N23" s="5366"/>
      <c r="O23" s="379" t="s">
        <v>888</v>
      </c>
      <c r="P23" s="5366"/>
      <c r="Q23" s="820"/>
      <c r="R23" s="379"/>
      <c r="S23" s="228">
        <v>1</v>
      </c>
      <c r="T23" s="7154"/>
      <c r="U23" s="7146"/>
      <c r="V23" s="394"/>
      <c r="W23" s="260"/>
      <c r="X23" s="3899"/>
      <c r="Y23" s="4657">
        <f>IF(AND(Y22,SchC_StatutoryEmp_1&lt;&gt;""),T23,0)</f>
        <v>0</v>
      </c>
      <c r="Z23" s="4657"/>
      <c r="AA23" s="4657"/>
      <c r="AB23" s="4657"/>
    </row>
    <row r="24" spans="1:28" ht="12.75" customHeight="1">
      <c r="A24" s="394"/>
      <c r="B24" s="168">
        <v>2</v>
      </c>
      <c r="C24" s="267" t="s">
        <v>2294</v>
      </c>
      <c r="D24" s="190"/>
      <c r="E24" s="5366"/>
      <c r="F24" s="5366"/>
      <c r="G24" s="5366"/>
      <c r="H24" s="5366"/>
      <c r="I24" s="5579"/>
      <c r="J24" s="5579"/>
      <c r="K24" s="5579"/>
      <c r="L24" s="5579"/>
      <c r="M24" s="5579"/>
      <c r="N24" s="5366"/>
      <c r="O24" s="5366"/>
      <c r="P24" s="5363"/>
      <c r="Q24" s="5366"/>
      <c r="R24" s="400" t="s">
        <v>1328</v>
      </c>
      <c r="S24" s="228">
        <v>2</v>
      </c>
      <c r="T24" s="7179"/>
      <c r="U24" s="7180"/>
      <c r="V24" s="394"/>
      <c r="W24" s="260"/>
      <c r="X24" s="3899"/>
      <c r="Y24" s="4657">
        <f>IF(AND(NOT(Y22),SchC_StatutoryEmp_1&lt;&gt;""),T23,0)</f>
        <v>0</v>
      </c>
      <c r="Z24" s="4657"/>
      <c r="AA24" s="4657"/>
      <c r="AB24" s="4657"/>
    </row>
    <row r="25" spans="1:28" ht="12.75" customHeight="1">
      <c r="A25" s="394"/>
      <c r="B25" s="168">
        <v>3</v>
      </c>
      <c r="C25" s="936" t="s">
        <v>2295</v>
      </c>
      <c r="D25" s="680"/>
      <c r="E25" s="680"/>
      <c r="F25" s="5363"/>
      <c r="G25" s="5363"/>
      <c r="H25" s="5363"/>
      <c r="I25" s="680"/>
      <c r="J25" s="680"/>
      <c r="K25" s="680"/>
      <c r="L25" s="680"/>
      <c r="M25" s="680"/>
      <c r="N25" s="5363"/>
      <c r="O25" s="5363"/>
      <c r="P25" s="680"/>
      <c r="Q25" s="5363"/>
      <c r="R25" s="400" t="s">
        <v>2296</v>
      </c>
      <c r="S25" s="227">
        <v>3</v>
      </c>
      <c r="T25" s="7149">
        <f>SUM(T23,-T24)</f>
        <v>0</v>
      </c>
      <c r="U25" s="7150"/>
      <c r="V25" s="394"/>
      <c r="W25" s="260"/>
      <c r="X25" s="3899"/>
    </row>
    <row r="26" spans="1:28" ht="12.75" customHeight="1">
      <c r="A26" s="394"/>
      <c r="B26" s="168">
        <v>4</v>
      </c>
      <c r="C26" s="936" t="s">
        <v>2297</v>
      </c>
      <c r="D26" s="680"/>
      <c r="E26" s="680"/>
      <c r="F26" s="5363"/>
      <c r="G26" s="5363"/>
      <c r="H26" s="5363"/>
      <c r="I26" s="680"/>
      <c r="J26" s="680"/>
      <c r="K26" s="680"/>
      <c r="L26" s="680"/>
      <c r="M26" s="680"/>
      <c r="N26" s="5363"/>
      <c r="O26" s="5363"/>
      <c r="P26" s="680"/>
      <c r="Q26" s="5363"/>
      <c r="R26" s="400" t="s">
        <v>2298</v>
      </c>
      <c r="S26" s="227">
        <v>4</v>
      </c>
      <c r="T26" s="7149">
        <f>IF(W26&lt;&gt;"",W26,T86)</f>
        <v>0</v>
      </c>
      <c r="U26" s="7150"/>
      <c r="V26" s="394"/>
      <c r="W26" s="2933"/>
      <c r="X26" s="3899"/>
    </row>
    <row r="27" spans="1:28" ht="12.75" customHeight="1">
      <c r="A27" s="394"/>
      <c r="B27" s="168">
        <v>5</v>
      </c>
      <c r="C27" s="3744" t="s">
        <v>2299</v>
      </c>
      <c r="D27" s="735"/>
      <c r="E27" s="680"/>
      <c r="F27" s="5363"/>
      <c r="G27" s="5363"/>
      <c r="H27" s="5363"/>
      <c r="I27" s="680"/>
      <c r="J27" s="680"/>
      <c r="K27" s="680"/>
      <c r="L27" s="680"/>
      <c r="M27" s="680"/>
      <c r="N27" s="5363"/>
      <c r="O27" s="5363"/>
      <c r="P27" s="680"/>
      <c r="Q27" s="5363"/>
      <c r="R27" s="400" t="s">
        <v>2177</v>
      </c>
      <c r="S27" s="227">
        <v>5</v>
      </c>
      <c r="T27" s="7149">
        <f>T25-T26</f>
        <v>0</v>
      </c>
      <c r="U27" s="7150"/>
      <c r="V27" s="394"/>
      <c r="W27" s="260"/>
      <c r="X27" s="3899"/>
    </row>
    <row r="28" spans="1:28" ht="12.75" customHeight="1">
      <c r="A28" s="394"/>
      <c r="B28" s="168">
        <v>6</v>
      </c>
      <c r="C28" s="936" t="s">
        <v>2300</v>
      </c>
      <c r="D28" s="680"/>
      <c r="E28" s="680"/>
      <c r="F28" s="5363"/>
      <c r="G28" s="5363"/>
      <c r="H28" s="5363"/>
      <c r="I28" s="680"/>
      <c r="J28" s="680"/>
      <c r="K28" s="680"/>
      <c r="L28" s="680"/>
      <c r="M28" s="680"/>
      <c r="N28" s="5363"/>
      <c r="O28" s="5363"/>
      <c r="P28" s="680"/>
      <c r="Q28" s="5363"/>
      <c r="R28" s="400" t="s">
        <v>888</v>
      </c>
      <c r="S28" s="227">
        <v>6</v>
      </c>
      <c r="T28" s="7154"/>
      <c r="U28" s="7146"/>
      <c r="V28" s="394"/>
      <c r="W28" s="260"/>
      <c r="X28" s="3899"/>
    </row>
    <row r="29" spans="1:28" ht="12.75" customHeight="1">
      <c r="A29" s="394"/>
      <c r="B29" s="168">
        <v>7</v>
      </c>
      <c r="C29" s="21" t="s">
        <v>2301</v>
      </c>
      <c r="D29" s="130"/>
      <c r="E29" s="133"/>
      <c r="F29" s="5366"/>
      <c r="G29" s="5366"/>
      <c r="H29" s="3662"/>
      <c r="I29" s="680"/>
      <c r="J29" s="680"/>
      <c r="K29" s="680"/>
      <c r="L29" s="116"/>
      <c r="M29" s="680"/>
      <c r="N29" s="3662"/>
      <c r="O29" s="3662"/>
      <c r="P29" s="680"/>
      <c r="Q29" s="5366"/>
      <c r="R29" s="1049" t="s">
        <v>1554</v>
      </c>
      <c r="S29" s="227">
        <v>7</v>
      </c>
      <c r="T29" s="7149">
        <f>SUM(T27,T28)</f>
        <v>0</v>
      </c>
      <c r="U29" s="7150"/>
      <c r="V29" s="394"/>
      <c r="W29" s="260"/>
      <c r="X29" s="3899"/>
    </row>
    <row r="30" spans="1:28" ht="15.75">
      <c r="A30" s="394"/>
      <c r="B30" s="1848" t="s">
        <v>982</v>
      </c>
      <c r="C30" s="4156" t="s">
        <v>2302</v>
      </c>
      <c r="D30" s="3743" t="s">
        <v>2303</v>
      </c>
      <c r="E30" s="140"/>
      <c r="F30" s="140"/>
      <c r="G30" s="140"/>
      <c r="H30" s="139"/>
      <c r="I30" s="140"/>
      <c r="J30" s="140"/>
      <c r="K30" s="140"/>
      <c r="L30" s="140"/>
      <c r="M30" s="140"/>
      <c r="N30" s="140"/>
      <c r="O30" s="140"/>
      <c r="P30" s="140"/>
      <c r="Q30" s="140"/>
      <c r="R30" s="140"/>
      <c r="S30" s="140"/>
      <c r="T30" s="258"/>
      <c r="U30" s="258"/>
      <c r="V30" s="394"/>
      <c r="W30" s="260"/>
      <c r="X30" s="3899"/>
    </row>
    <row r="31" spans="1:28" ht="14.25" customHeight="1">
      <c r="A31" s="394"/>
      <c r="B31" s="168">
        <v>8</v>
      </c>
      <c r="C31" s="699" t="s">
        <v>2304</v>
      </c>
      <c r="D31" s="699"/>
      <c r="E31" s="5366"/>
      <c r="F31" s="5366"/>
      <c r="G31" s="3662"/>
      <c r="H31" s="228">
        <f>B31</f>
        <v>8</v>
      </c>
      <c r="I31" s="2315"/>
      <c r="J31" s="124">
        <v>18</v>
      </c>
      <c r="K31" s="699"/>
      <c r="L31" s="267" t="s">
        <v>2305</v>
      </c>
      <c r="M31" s="222"/>
      <c r="N31" s="222"/>
      <c r="O31" s="222"/>
      <c r="P31" s="222"/>
      <c r="Q31" s="222"/>
      <c r="R31" s="379" t="s">
        <v>801</v>
      </c>
      <c r="S31" s="227">
        <f>J31</f>
        <v>18</v>
      </c>
      <c r="T31" s="7143"/>
      <c r="U31" s="7144"/>
      <c r="V31" s="394"/>
      <c r="W31" s="260"/>
      <c r="X31" s="3899"/>
    </row>
    <row r="32" spans="1:28" ht="14.25" customHeight="1">
      <c r="A32" s="394"/>
      <c r="B32" s="168">
        <v>9</v>
      </c>
      <c r="C32" s="699" t="s">
        <v>2306</v>
      </c>
      <c r="D32" s="699"/>
      <c r="E32" s="5366"/>
      <c r="F32" s="5366"/>
      <c r="G32" s="3662"/>
      <c r="H32" s="231"/>
      <c r="I32" s="772"/>
      <c r="J32" s="124">
        <v>19</v>
      </c>
      <c r="K32" s="152"/>
      <c r="L32" s="737" t="s">
        <v>2307</v>
      </c>
      <c r="M32" s="1199"/>
      <c r="N32" s="699"/>
      <c r="O32" s="699"/>
      <c r="P32" s="936"/>
      <c r="Q32" s="5583"/>
      <c r="R32" s="379" t="s">
        <v>801</v>
      </c>
      <c r="S32" s="227">
        <f>J32</f>
        <v>19</v>
      </c>
      <c r="T32" s="7143"/>
      <c r="U32" s="7144"/>
      <c r="V32" s="394"/>
      <c r="W32" s="260"/>
      <c r="X32" s="3899"/>
    </row>
    <row r="33" spans="1:24" ht="14.25" customHeight="1">
      <c r="A33" s="394"/>
      <c r="B33" s="168"/>
      <c r="C33" s="699" t="s">
        <v>2326</v>
      </c>
      <c r="D33" s="699"/>
      <c r="E33" s="5366"/>
      <c r="F33" s="5366"/>
      <c r="G33" s="379" t="s">
        <v>994</v>
      </c>
      <c r="H33" s="228">
        <f>B32</f>
        <v>9</v>
      </c>
      <c r="I33" s="2316"/>
      <c r="J33" s="124">
        <v>20</v>
      </c>
      <c r="K33" s="152"/>
      <c r="L33" s="737" t="s">
        <v>2309</v>
      </c>
      <c r="M33" s="1199"/>
      <c r="N33" s="1865"/>
      <c r="O33" s="1865"/>
      <c r="P33" s="936"/>
      <c r="Q33" s="5583"/>
      <c r="R33" s="5583"/>
      <c r="S33" s="3745"/>
      <c r="T33" s="767"/>
      <c r="U33" s="774"/>
      <c r="V33" s="394"/>
      <c r="W33" s="260"/>
      <c r="X33" s="3899"/>
    </row>
    <row r="34" spans="1:24" ht="14.25" customHeight="1">
      <c r="A34" s="394"/>
      <c r="B34" s="168">
        <v>10</v>
      </c>
      <c r="C34" s="699" t="s">
        <v>2310</v>
      </c>
      <c r="D34" s="699"/>
      <c r="E34" s="5366"/>
      <c r="F34" s="5366"/>
      <c r="G34" s="379" t="s">
        <v>2311</v>
      </c>
      <c r="H34" s="232">
        <f>B34</f>
        <v>10</v>
      </c>
      <c r="I34" s="2315"/>
      <c r="J34" s="124"/>
      <c r="K34" s="152" t="s">
        <v>640</v>
      </c>
      <c r="L34" s="737" t="s">
        <v>2312</v>
      </c>
      <c r="M34" s="1199"/>
      <c r="N34" s="699"/>
      <c r="O34" s="699"/>
      <c r="P34" s="936"/>
      <c r="Q34" s="5583"/>
      <c r="R34" s="379" t="s">
        <v>680</v>
      </c>
      <c r="S34" s="227" t="s">
        <v>2313</v>
      </c>
      <c r="T34" s="7145"/>
      <c r="U34" s="7146"/>
      <c r="V34" s="394"/>
      <c r="W34" s="260"/>
      <c r="X34" s="3899"/>
    </row>
    <row r="35" spans="1:24" ht="14.25" customHeight="1">
      <c r="A35" s="394"/>
      <c r="B35" s="168">
        <v>11</v>
      </c>
      <c r="C35" s="699" t="s">
        <v>2314</v>
      </c>
      <c r="D35" s="699"/>
      <c r="E35" s="5366"/>
      <c r="F35" s="5366"/>
      <c r="G35" s="379" t="s">
        <v>2315</v>
      </c>
      <c r="H35" s="228">
        <f>B35</f>
        <v>11</v>
      </c>
      <c r="I35" s="2316"/>
      <c r="J35" s="124"/>
      <c r="K35" s="152" t="s">
        <v>644</v>
      </c>
      <c r="L35" s="267" t="s">
        <v>2316</v>
      </c>
      <c r="M35" s="936"/>
      <c r="N35" s="699"/>
      <c r="O35" s="699"/>
      <c r="P35" s="936"/>
      <c r="Q35" s="5583"/>
      <c r="R35" s="379" t="s">
        <v>2317</v>
      </c>
      <c r="S35" s="227" t="s">
        <v>2318</v>
      </c>
      <c r="T35" s="7143"/>
      <c r="U35" s="7144"/>
      <c r="V35" s="394"/>
      <c r="W35" s="260"/>
      <c r="X35" s="3899"/>
    </row>
    <row r="36" spans="1:24" ht="14.25" customHeight="1">
      <c r="A36" s="394"/>
      <c r="B36" s="168">
        <v>12</v>
      </c>
      <c r="C36" s="699" t="s">
        <v>2319</v>
      </c>
      <c r="D36" s="699"/>
      <c r="E36" s="5366"/>
      <c r="F36" s="5366"/>
      <c r="G36" s="3662"/>
      <c r="H36" s="228">
        <f>B36</f>
        <v>12</v>
      </c>
      <c r="I36" s="2315"/>
      <c r="J36" s="124">
        <v>21</v>
      </c>
      <c r="K36" s="152"/>
      <c r="L36" s="267" t="s">
        <v>2320</v>
      </c>
      <c r="M36" s="267"/>
      <c r="N36" s="267"/>
      <c r="O36" s="267"/>
      <c r="P36" s="267"/>
      <c r="Q36" s="267"/>
      <c r="R36" s="379" t="s">
        <v>2321</v>
      </c>
      <c r="S36" s="227">
        <f>J36</f>
        <v>21</v>
      </c>
      <c r="T36" s="7143"/>
      <c r="U36" s="7144"/>
      <c r="V36" s="394"/>
      <c r="W36" s="260"/>
      <c r="X36" s="3899"/>
    </row>
    <row r="37" spans="1:24" ht="14.25" customHeight="1">
      <c r="A37" s="394"/>
      <c r="B37" s="168">
        <v>13</v>
      </c>
      <c r="C37" s="699" t="s">
        <v>2322</v>
      </c>
      <c r="D37" s="699"/>
      <c r="E37" s="5366"/>
      <c r="F37" s="5366"/>
      <c r="G37" s="3662"/>
      <c r="H37" s="231"/>
      <c r="I37" s="772"/>
      <c r="J37" s="124">
        <v>22</v>
      </c>
      <c r="K37" s="152"/>
      <c r="L37" s="267" t="s">
        <v>2323</v>
      </c>
      <c r="M37" s="267"/>
      <c r="N37" s="267"/>
      <c r="O37" s="267"/>
      <c r="P37" s="267"/>
      <c r="Q37" s="267"/>
      <c r="R37" s="379" t="s">
        <v>801</v>
      </c>
      <c r="S37" s="227">
        <v>22</v>
      </c>
      <c r="T37" s="7143"/>
      <c r="U37" s="7144"/>
      <c r="V37" s="394"/>
      <c r="W37" s="260"/>
      <c r="X37" s="3899"/>
    </row>
    <row r="38" spans="1:24" ht="14.25" customHeight="1">
      <c r="A38" s="394"/>
      <c r="B38" s="168"/>
      <c r="C38" s="699" t="s">
        <v>5521</v>
      </c>
      <c r="D38" s="699"/>
      <c r="E38" s="5366"/>
      <c r="F38" s="5366"/>
      <c r="G38" s="3662"/>
      <c r="H38" s="231"/>
      <c r="I38" s="773"/>
      <c r="J38" s="124">
        <v>23</v>
      </c>
      <c r="K38" s="152"/>
      <c r="L38" s="267" t="s">
        <v>2325</v>
      </c>
      <c r="M38" s="267"/>
      <c r="N38" s="267"/>
      <c r="O38" s="267"/>
      <c r="P38" s="267"/>
      <c r="Q38" s="267"/>
      <c r="R38" s="379" t="s">
        <v>746</v>
      </c>
      <c r="S38" s="227">
        <v>23</v>
      </c>
      <c r="T38" s="7143"/>
      <c r="U38" s="7144"/>
      <c r="V38" s="394"/>
      <c r="W38" s="260"/>
      <c r="X38" s="3899"/>
    </row>
    <row r="39" spans="1:24" ht="14.25" customHeight="1">
      <c r="A39" s="394"/>
      <c r="B39" s="168"/>
      <c r="C39" s="699" t="s">
        <v>2326</v>
      </c>
      <c r="D39" s="699"/>
      <c r="E39" s="5366"/>
      <c r="F39" s="5366"/>
      <c r="G39" s="379" t="s">
        <v>994</v>
      </c>
      <c r="H39" s="228">
        <f>B37</f>
        <v>13</v>
      </c>
      <c r="I39" s="2316"/>
      <c r="J39" s="124">
        <v>24</v>
      </c>
      <c r="K39" s="152"/>
      <c r="L39" s="267" t="s">
        <v>2327</v>
      </c>
      <c r="M39" s="267"/>
      <c r="N39" s="267"/>
      <c r="O39" s="267"/>
      <c r="P39" s="267"/>
      <c r="Q39" s="267"/>
      <c r="R39" s="267"/>
      <c r="S39" s="3745"/>
      <c r="T39" s="767"/>
      <c r="U39" s="774"/>
      <c r="V39" s="394"/>
      <c r="W39" s="260"/>
      <c r="X39" s="3899"/>
    </row>
    <row r="40" spans="1:24" ht="14.25" customHeight="1">
      <c r="A40" s="394"/>
      <c r="B40" s="168">
        <v>14</v>
      </c>
      <c r="C40" s="699" t="s">
        <v>2328</v>
      </c>
      <c r="D40" s="699"/>
      <c r="E40" s="5366"/>
      <c r="F40" s="5366"/>
      <c r="G40" s="3662"/>
      <c r="H40" s="231"/>
      <c r="I40" s="772"/>
      <c r="J40" s="124"/>
      <c r="K40" s="152" t="s">
        <v>640</v>
      </c>
      <c r="L40" s="267" t="s">
        <v>2329</v>
      </c>
      <c r="M40" s="267"/>
      <c r="N40" s="267"/>
      <c r="O40" s="267"/>
      <c r="P40" s="267"/>
      <c r="Q40" s="267"/>
      <c r="R40" s="379" t="s">
        <v>650</v>
      </c>
      <c r="S40" s="227" t="s">
        <v>1013</v>
      </c>
      <c r="T40" s="7145"/>
      <c r="U40" s="7146"/>
      <c r="V40" s="394"/>
      <c r="W40" s="260"/>
      <c r="X40" s="3899"/>
    </row>
    <row r="41" spans="1:24" ht="14.25" customHeight="1">
      <c r="A41" s="394"/>
      <c r="B41" s="168"/>
      <c r="C41" s="699" t="s">
        <v>2330</v>
      </c>
      <c r="D41" s="699"/>
      <c r="E41" s="5366"/>
      <c r="F41" s="5366"/>
      <c r="G41" s="379" t="s">
        <v>950</v>
      </c>
      <c r="H41" s="228">
        <f>B40</f>
        <v>14</v>
      </c>
      <c r="I41" s="2316"/>
      <c r="J41" s="124"/>
      <c r="K41" s="152" t="s">
        <v>644</v>
      </c>
      <c r="L41" s="267" t="s">
        <v>5519</v>
      </c>
      <c r="M41" s="780"/>
      <c r="N41" s="780"/>
      <c r="O41" s="780"/>
      <c r="P41" s="780"/>
      <c r="Q41" s="780"/>
      <c r="R41" s="379"/>
      <c r="S41" s="227" t="s">
        <v>1017</v>
      </c>
      <c r="T41" s="7145"/>
      <c r="U41" s="7146"/>
      <c r="V41" s="394"/>
      <c r="W41" s="260"/>
      <c r="X41" s="3899"/>
    </row>
    <row r="42" spans="1:24" ht="14.25" customHeight="1">
      <c r="A42" s="394"/>
      <c r="B42" s="168">
        <v>15</v>
      </c>
      <c r="C42" s="222" t="s">
        <v>2331</v>
      </c>
      <c r="D42" s="699"/>
      <c r="E42" s="5366"/>
      <c r="F42" s="5366"/>
      <c r="G42" s="379" t="s">
        <v>992</v>
      </c>
      <c r="H42" s="228">
        <f>B42</f>
        <v>15</v>
      </c>
      <c r="I42" s="2315"/>
      <c r="J42" s="124">
        <v>25</v>
      </c>
      <c r="K42" s="152"/>
      <c r="L42" s="267" t="s">
        <v>2333</v>
      </c>
      <c r="M42" s="267"/>
      <c r="N42" s="267"/>
      <c r="O42" s="267"/>
      <c r="P42" s="267"/>
      <c r="Q42" s="267"/>
      <c r="R42" s="379" t="s">
        <v>650</v>
      </c>
      <c r="S42" s="227">
        <v>25</v>
      </c>
      <c r="T42" s="7143"/>
      <c r="U42" s="7144"/>
      <c r="V42" s="394"/>
      <c r="W42" s="260"/>
      <c r="X42" s="3899"/>
    </row>
    <row r="43" spans="1:24" ht="14.25" customHeight="1">
      <c r="A43" s="394"/>
      <c r="B43" s="168">
        <v>16</v>
      </c>
      <c r="C43" s="699" t="s">
        <v>2332</v>
      </c>
      <c r="D43" s="699"/>
      <c r="E43" s="5366"/>
      <c r="F43" s="5366"/>
      <c r="G43" s="3662"/>
      <c r="H43" s="3745"/>
      <c r="I43" s="772"/>
      <c r="J43" s="124">
        <v>26</v>
      </c>
      <c r="K43" s="152"/>
      <c r="L43" s="267" t="s">
        <v>2336</v>
      </c>
      <c r="M43" s="267"/>
      <c r="N43" s="267"/>
      <c r="O43" s="267"/>
      <c r="P43" s="267"/>
      <c r="Q43" s="267"/>
      <c r="R43" s="379" t="s">
        <v>801</v>
      </c>
      <c r="S43" s="227">
        <v>26</v>
      </c>
      <c r="T43" s="7143"/>
      <c r="U43" s="7144"/>
      <c r="V43" s="394"/>
      <c r="W43" s="260"/>
      <c r="X43" s="3899"/>
    </row>
    <row r="44" spans="1:24" ht="14.25" customHeight="1">
      <c r="A44" s="394"/>
      <c r="B44" s="124" t="s">
        <v>640</v>
      </c>
      <c r="C44" s="699" t="s">
        <v>2334</v>
      </c>
      <c r="D44" s="699"/>
      <c r="E44" s="5366"/>
      <c r="F44" s="5366"/>
      <c r="G44" s="3662"/>
      <c r="H44" s="228" t="s">
        <v>2335</v>
      </c>
      <c r="I44" s="2316"/>
      <c r="J44" s="3748">
        <v>27</v>
      </c>
      <c r="K44" s="152" t="s">
        <v>640</v>
      </c>
      <c r="L44" s="267" t="s">
        <v>2339</v>
      </c>
      <c r="M44" s="267"/>
      <c r="N44" s="267"/>
      <c r="O44" s="267"/>
      <c r="P44" s="267"/>
      <c r="Q44" s="267"/>
      <c r="R44" s="5585"/>
      <c r="S44" s="227" t="s">
        <v>2340</v>
      </c>
      <c r="T44" s="7195">
        <f>IF(W45&lt;&gt;"",W45,T114)</f>
        <v>0</v>
      </c>
      <c r="U44" s="7196"/>
      <c r="V44" s="394"/>
      <c r="W44" s="260"/>
      <c r="X44" s="3899"/>
    </row>
    <row r="45" spans="1:24" ht="14.25" customHeight="1">
      <c r="A45" s="394"/>
      <c r="B45" s="124" t="s">
        <v>644</v>
      </c>
      <c r="C45" s="699" t="s">
        <v>2337</v>
      </c>
      <c r="D45" s="699"/>
      <c r="E45" s="5366"/>
      <c r="F45" s="5366"/>
      <c r="G45" s="3662"/>
      <c r="H45" s="228" t="s">
        <v>2338</v>
      </c>
      <c r="I45" s="2317"/>
      <c r="J45" s="124"/>
      <c r="K45" s="152" t="s">
        <v>644</v>
      </c>
      <c r="L45" s="267" t="s">
        <v>5517</v>
      </c>
      <c r="M45" s="267"/>
      <c r="N45" s="267"/>
      <c r="O45" s="267"/>
      <c r="P45" s="267"/>
      <c r="Q45" s="267"/>
      <c r="R45" s="379"/>
      <c r="S45" s="230"/>
      <c r="T45" s="5896"/>
      <c r="U45" s="5897"/>
      <c r="V45" s="394"/>
      <c r="W45" s="2933"/>
      <c r="X45" s="3899"/>
    </row>
    <row r="46" spans="1:24" ht="14.25" customHeight="1" thickBot="1">
      <c r="A46" s="394"/>
      <c r="B46" s="3028">
        <v>17</v>
      </c>
      <c r="C46" s="739" t="s">
        <v>2341</v>
      </c>
      <c r="D46" s="739"/>
      <c r="E46" s="5586"/>
      <c r="F46" s="5586"/>
      <c r="G46" s="5587"/>
      <c r="H46" s="3746">
        <v>17</v>
      </c>
      <c r="I46" s="2318"/>
      <c r="J46" s="3749"/>
      <c r="K46" s="3750"/>
      <c r="L46" s="739" t="s">
        <v>5518</v>
      </c>
      <c r="M46" s="739"/>
      <c r="N46" s="739"/>
      <c r="O46" s="739"/>
      <c r="P46" s="739"/>
      <c r="Q46" s="739"/>
      <c r="R46" s="826" t="s">
        <v>2321</v>
      </c>
      <c r="S46" s="3746" t="s">
        <v>2342</v>
      </c>
      <c r="T46" s="7181"/>
      <c r="U46" s="7182"/>
      <c r="V46" s="394"/>
      <c r="W46" s="260"/>
      <c r="X46" s="3899"/>
    </row>
    <row r="47" spans="1:24" ht="14.25" customHeight="1">
      <c r="A47" s="394"/>
      <c r="B47" s="168">
        <v>28</v>
      </c>
      <c r="C47" s="3744" t="s">
        <v>5522</v>
      </c>
      <c r="D47" s="735"/>
      <c r="E47" s="680"/>
      <c r="F47" s="5363"/>
      <c r="G47" s="5363"/>
      <c r="H47" s="5363"/>
      <c r="I47" s="680"/>
      <c r="J47" s="680"/>
      <c r="K47" s="680"/>
      <c r="L47" s="680"/>
      <c r="M47" s="680"/>
      <c r="N47" s="5363"/>
      <c r="O47" s="5363"/>
      <c r="P47" s="680"/>
      <c r="Q47" s="5363"/>
      <c r="R47" s="400" t="s">
        <v>2343</v>
      </c>
      <c r="S47" s="227">
        <v>28</v>
      </c>
      <c r="T47" s="7149">
        <f>IF(W47&lt;&gt;"",W47,ROUND(SUM(I31:I46,T31:T46),0))</f>
        <v>0</v>
      </c>
      <c r="U47" s="7150"/>
      <c r="V47" s="394"/>
      <c r="W47" s="2933"/>
      <c r="X47" s="3899"/>
    </row>
    <row r="48" spans="1:24" ht="15" customHeight="1">
      <c r="A48" s="394"/>
      <c r="B48" s="168">
        <v>29</v>
      </c>
      <c r="C48" s="936" t="s">
        <v>2344</v>
      </c>
      <c r="D48" s="680"/>
      <c r="E48" s="680"/>
      <c r="F48" s="5363"/>
      <c r="G48" s="5363"/>
      <c r="H48" s="5363"/>
      <c r="I48" s="680"/>
      <c r="J48" s="680"/>
      <c r="K48" s="680"/>
      <c r="L48" s="680"/>
      <c r="M48" s="680"/>
      <c r="N48" s="5363"/>
      <c r="O48" s="5363"/>
      <c r="P48" s="680"/>
      <c r="Q48" s="5363"/>
      <c r="R48" s="400" t="s">
        <v>1226</v>
      </c>
      <c r="S48" s="227">
        <v>29</v>
      </c>
      <c r="T48" s="7149">
        <f>SUM(T29,-T47)</f>
        <v>0</v>
      </c>
      <c r="U48" s="7150"/>
      <c r="V48" s="394"/>
      <c r="W48" s="260"/>
      <c r="X48" s="3899"/>
    </row>
    <row r="49" spans="1:28" ht="12.75" customHeight="1">
      <c r="A49" s="394"/>
      <c r="B49" s="168">
        <v>30</v>
      </c>
      <c r="C49" s="936" t="s">
        <v>2345</v>
      </c>
      <c r="D49" s="680"/>
      <c r="E49" s="680"/>
      <c r="F49" s="5363"/>
      <c r="G49" s="5363"/>
      <c r="H49" s="5363"/>
      <c r="I49" s="680"/>
      <c r="J49" s="680"/>
      <c r="K49" s="680"/>
      <c r="L49" s="680"/>
      <c r="M49" s="680"/>
      <c r="N49" s="5363"/>
      <c r="O49" s="5363"/>
      <c r="P49" s="680"/>
      <c r="Q49" s="5363"/>
      <c r="R49" s="5363"/>
      <c r="S49" s="5898"/>
      <c r="T49" s="7186" t="str">
        <f>IF(AND(V49="",O52),"The number in",IF(AND(V49="",Q52),"The area you use",""))</f>
        <v/>
      </c>
      <c r="U49" s="7187"/>
      <c r="V49" s="2605"/>
      <c r="W49" s="260" t="str">
        <f>IF(Y50,"Hide note.","")</f>
        <v/>
      </c>
      <c r="X49" s="3899"/>
    </row>
    <row r="50" spans="1:28" ht="14.25" customHeight="1">
      <c r="A50" s="394"/>
      <c r="B50" s="168"/>
      <c r="C50" s="936" t="s">
        <v>2346</v>
      </c>
      <c r="D50" s="680"/>
      <c r="E50" s="680"/>
      <c r="F50" s="5363"/>
      <c r="G50" s="5363"/>
      <c r="H50" s="5363"/>
      <c r="I50" s="680"/>
      <c r="J50" s="680"/>
      <c r="K50" s="680"/>
      <c r="L50" s="680"/>
      <c r="M50" s="680"/>
      <c r="N50" s="5363"/>
      <c r="O50" s="5363"/>
      <c r="P50" s="680"/>
      <c r="Q50" s="7190">
        <v>300</v>
      </c>
      <c r="R50" s="7191"/>
      <c r="S50" s="5899"/>
      <c r="T50" s="7188" t="str">
        <f>IF(AND(V49="",O52),"line 30a must be",IF(AND(V49="",Q52),"to figure your",""))</f>
        <v/>
      </c>
      <c r="U50" s="7189"/>
      <c r="V50" s="394"/>
      <c r="W50" s="260"/>
      <c r="X50" s="3899"/>
      <c r="Y50" s="887" t="b">
        <f>OR(O52,Q52)</f>
        <v>0</v>
      </c>
      <c r="Z50" s="887"/>
      <c r="AA50" s="887"/>
      <c r="AB50" s="887"/>
    </row>
    <row r="51" spans="1:28" ht="14.25" customHeight="1">
      <c r="A51" s="394"/>
      <c r="B51" s="168"/>
      <c r="C51" s="936" t="s">
        <v>2348</v>
      </c>
      <c r="D51" s="680"/>
      <c r="E51" s="680"/>
      <c r="F51" s="5363"/>
      <c r="G51" s="5363"/>
      <c r="H51" s="5363"/>
      <c r="I51" s="680"/>
      <c r="J51" s="680"/>
      <c r="K51" s="680"/>
      <c r="L51" s="680"/>
      <c r="M51" s="7185"/>
      <c r="N51" s="7185"/>
      <c r="O51" s="7185"/>
      <c r="P51" s="7185"/>
      <c r="Q51" s="7185"/>
      <c r="R51" s="5363"/>
      <c r="S51" s="5899"/>
      <c r="T51" s="7188" t="str">
        <f>IF(AND(V49="",O52),"larger than the",IF(AND(V49="",Q52),"deduction, cannot",""))</f>
        <v/>
      </c>
      <c r="U51" s="7189"/>
      <c r="V51" s="394"/>
      <c r="W51" s="260"/>
      <c r="X51" s="3899"/>
      <c r="Y51" s="4836" t="s">
        <v>2347</v>
      </c>
      <c r="Z51" s="1240"/>
      <c r="AA51" s="1240"/>
      <c r="AB51" s="1241"/>
    </row>
    <row r="52" spans="1:28" ht="14.25" customHeight="1">
      <c r="A52" s="394"/>
      <c r="B52" s="168"/>
      <c r="C52" s="936" t="s">
        <v>2350</v>
      </c>
      <c r="D52" s="680"/>
      <c r="E52" s="680"/>
      <c r="F52" s="5363"/>
      <c r="G52" s="5363"/>
      <c r="H52" s="680"/>
      <c r="I52" s="5363"/>
      <c r="J52" s="7185"/>
      <c r="K52" s="7185"/>
      <c r="L52" s="7185"/>
      <c r="M52" s="7185"/>
      <c r="N52" s="680"/>
      <c r="O52" s="7190" t="b">
        <f>J52&gt;M51</f>
        <v>0</v>
      </c>
      <c r="P52" s="7190"/>
      <c r="Q52" s="7190" t="b">
        <f>J52&gt;Q50</f>
        <v>0</v>
      </c>
      <c r="R52" s="7191"/>
      <c r="S52" s="5899"/>
      <c r="T52" s="7188" t="str">
        <f>IF(AND(V49="",O52),"one in line 30b.",IF(AND(V49="",Q52),"exceed "&amp;TEXT(Q50,"0")&amp;" sq. ft.",""))</f>
        <v/>
      </c>
      <c r="U52" s="7189"/>
      <c r="V52" s="394"/>
      <c r="W52" s="260"/>
      <c r="X52" s="3899"/>
      <c r="Y52" s="4837" t="s">
        <v>167</v>
      </c>
      <c r="Z52" s="4838" t="s">
        <v>2349</v>
      </c>
      <c r="AA52" s="780"/>
      <c r="AB52" s="1243"/>
    </row>
    <row r="53" spans="1:28" ht="14.25" customHeight="1">
      <c r="A53" s="394"/>
      <c r="B53" s="168"/>
      <c r="C53" s="936" t="s">
        <v>2353</v>
      </c>
      <c r="D53" s="680"/>
      <c r="E53" s="680"/>
      <c r="F53" s="5363"/>
      <c r="G53" s="5363"/>
      <c r="H53" s="5363"/>
      <c r="I53" s="680"/>
      <c r="J53" s="680"/>
      <c r="K53" s="680"/>
      <c r="L53" s="680"/>
      <c r="M53" s="680"/>
      <c r="N53" s="5363"/>
      <c r="O53" s="5363"/>
      <c r="P53" s="680"/>
      <c r="Q53" s="5363"/>
      <c r="R53" s="1073" t="s">
        <v>2321</v>
      </c>
      <c r="S53" s="227">
        <v>30</v>
      </c>
      <c r="T53" s="7193" t="str">
        <f>IF(W53&lt;&gt;"",ROUND(W53,0),IF(F8829_SchC_1,F8829_Deduction,IF(OR(AND(M51="",J52=""),Y50),"",AA65)))</f>
        <v/>
      </c>
      <c r="U53" s="7194"/>
      <c r="V53" s="394"/>
      <c r="W53" s="2933"/>
      <c r="X53" s="3899"/>
      <c r="Y53" s="3417" t="s">
        <v>2351</v>
      </c>
      <c r="Z53" s="3417" t="s">
        <v>2352</v>
      </c>
      <c r="AA53" s="1568">
        <f>SchC_TentativeProfit1</f>
        <v>0</v>
      </c>
      <c r="AB53" s="1243"/>
    </row>
    <row r="54" spans="1:28" ht="14.25" customHeight="1">
      <c r="A54" s="394"/>
      <c r="B54" s="168">
        <v>31</v>
      </c>
      <c r="C54" s="21" t="s">
        <v>2356</v>
      </c>
      <c r="D54" s="130"/>
      <c r="E54" s="133"/>
      <c r="F54" s="5366"/>
      <c r="G54" s="5366"/>
      <c r="H54" s="3662"/>
      <c r="I54" s="116"/>
      <c r="J54" s="116"/>
      <c r="K54" s="116"/>
      <c r="L54" s="116"/>
      <c r="M54" s="116"/>
      <c r="N54" s="3662"/>
      <c r="O54" s="3662"/>
      <c r="P54" s="680"/>
      <c r="Q54" s="5366"/>
      <c r="R54" s="5366"/>
      <c r="S54" s="3752"/>
      <c r="T54" s="768"/>
      <c r="U54" s="769"/>
      <c r="V54" s="394"/>
      <c r="W54" s="260"/>
      <c r="X54" s="3899"/>
      <c r="Y54" s="3417" t="s">
        <v>2354</v>
      </c>
      <c r="Z54" s="3417" t="s">
        <v>2355</v>
      </c>
      <c r="AA54" s="4839"/>
      <c r="AB54" s="1243"/>
    </row>
    <row r="55" spans="1:28" ht="12.75" customHeight="1">
      <c r="A55" s="394"/>
      <c r="B55" s="168"/>
      <c r="C55" s="222" t="s">
        <v>2359</v>
      </c>
      <c r="D55" s="143"/>
      <c r="E55" s="133"/>
      <c r="F55" s="5366"/>
      <c r="G55" s="5366"/>
      <c r="H55" s="3662"/>
      <c r="I55" s="680"/>
      <c r="J55" s="680"/>
      <c r="K55" s="680"/>
      <c r="L55" s="116"/>
      <c r="M55" s="680"/>
      <c r="N55" s="3662"/>
      <c r="O55" s="3662"/>
      <c r="P55" s="680"/>
      <c r="Q55" s="5366"/>
      <c r="R55" s="5366"/>
      <c r="S55" s="396"/>
      <c r="T55" s="770"/>
      <c r="U55" s="771"/>
      <c r="V55" s="394"/>
      <c r="W55" s="260"/>
      <c r="X55" s="3899"/>
      <c r="Y55" s="3417" t="s">
        <v>2357</v>
      </c>
      <c r="Z55" s="3417" t="s">
        <v>2358</v>
      </c>
      <c r="AA55" s="4834">
        <f>SUM(AA53,AA54)</f>
        <v>0</v>
      </c>
      <c r="AB55" s="1243"/>
    </row>
    <row r="56" spans="1:28" ht="12.75" customHeight="1">
      <c r="A56" s="394"/>
      <c r="B56" s="124"/>
      <c r="C56" s="222" t="s">
        <v>2362</v>
      </c>
      <c r="D56" s="133"/>
      <c r="E56" s="133"/>
      <c r="F56" s="5366"/>
      <c r="G56" s="5366"/>
      <c r="H56" s="5366"/>
      <c r="I56" s="133"/>
      <c r="J56" s="133"/>
      <c r="K56" s="133"/>
      <c r="L56" s="116"/>
      <c r="M56" s="133"/>
      <c r="N56" s="5366"/>
      <c r="O56" s="5366"/>
      <c r="P56" s="680"/>
      <c r="Q56" s="5366"/>
      <c r="R56" s="5366"/>
      <c r="S56" s="227">
        <v>31</v>
      </c>
      <c r="T56" s="7149">
        <f>IF(W56&lt;&gt;"",ROUND(W56,0),IF(AND(Y50,V49&lt;&gt;"",W53=""),SchC_TentativeProfit1,IF(T53="",T48,ROUND(SUM(T48,-T53),0))))</f>
        <v>0</v>
      </c>
      <c r="U56" s="7150"/>
      <c r="V56" s="394"/>
      <c r="W56" s="2933"/>
      <c r="X56" s="3899"/>
      <c r="Y56" s="3417" t="s">
        <v>2360</v>
      </c>
      <c r="Z56" s="3417" t="s">
        <v>5603</v>
      </c>
      <c r="AB56" s="1243"/>
    </row>
    <row r="57" spans="1:28" ht="12.75" customHeight="1">
      <c r="A57" s="394"/>
      <c r="B57" s="124"/>
      <c r="C57" s="222" t="s">
        <v>2365</v>
      </c>
      <c r="D57" s="143"/>
      <c r="E57" s="133"/>
      <c r="F57" s="5366"/>
      <c r="G57" s="5366"/>
      <c r="H57" s="5366"/>
      <c r="I57" s="133"/>
      <c r="J57" s="133"/>
      <c r="K57" s="133"/>
      <c r="L57" s="116"/>
      <c r="M57" s="133"/>
      <c r="N57" s="5366"/>
      <c r="O57" s="5366"/>
      <c r="P57" s="680"/>
      <c r="Q57" s="5366"/>
      <c r="R57" s="937"/>
      <c r="S57" s="131"/>
      <c r="T57" s="18"/>
      <c r="U57" s="18"/>
      <c r="V57" s="394"/>
      <c r="W57" s="260"/>
      <c r="X57" s="3899"/>
      <c r="Y57" s="3417"/>
      <c r="Z57" s="3417" t="s">
        <v>5604</v>
      </c>
      <c r="AA57" s="4840"/>
      <c r="AB57" s="1844" t="s">
        <v>2361</v>
      </c>
    </row>
    <row r="58" spans="1:28" ht="12.75" customHeight="1" thickBot="1">
      <c r="A58" s="394"/>
      <c r="B58" s="168">
        <v>32</v>
      </c>
      <c r="C58" s="699" t="s">
        <v>2367</v>
      </c>
      <c r="D58" s="699"/>
      <c r="E58" s="699"/>
      <c r="F58" s="5583"/>
      <c r="G58" s="5583"/>
      <c r="H58" s="5583"/>
      <c r="I58" s="699"/>
      <c r="J58" s="699"/>
      <c r="K58" s="699"/>
      <c r="L58" s="1199"/>
      <c r="M58" s="699"/>
      <c r="N58" s="5583"/>
      <c r="O58" s="5583"/>
      <c r="P58" s="680"/>
      <c r="Q58" s="5366"/>
      <c r="R58" s="937"/>
      <c r="S58" s="131"/>
      <c r="T58" s="18"/>
      <c r="U58" s="18"/>
      <c r="V58" s="394"/>
      <c r="W58" s="1986" t="str">
        <f>IF(Y68,"Check only",IF(Y70,"Check ONLY",""))</f>
        <v/>
      </c>
      <c r="X58" s="3899"/>
      <c r="Y58" s="3417" t="s">
        <v>2363</v>
      </c>
      <c r="Z58" s="3417" t="s">
        <v>2364</v>
      </c>
      <c r="AA58" s="4834">
        <f>IF(AA57="",AA55,SUM(AA55,-AA57))</f>
        <v>0</v>
      </c>
      <c r="AB58" s="1243"/>
    </row>
    <row r="59" spans="1:28" ht="12.75" customHeight="1" thickBot="1">
      <c r="A59" s="394"/>
      <c r="B59" s="124"/>
      <c r="C59" s="699" t="s">
        <v>2369</v>
      </c>
      <c r="D59" s="143"/>
      <c r="E59" s="133"/>
      <c r="F59" s="5366"/>
      <c r="G59" s="5366"/>
      <c r="H59" s="5366"/>
      <c r="I59" s="133"/>
      <c r="J59" s="133"/>
      <c r="K59" s="133"/>
      <c r="L59" s="116"/>
      <c r="M59" s="133"/>
      <c r="N59" s="5366"/>
      <c r="O59" s="5366"/>
      <c r="P59" s="680"/>
      <c r="Q59" s="379" t="s">
        <v>2370</v>
      </c>
      <c r="R59" s="820"/>
      <c r="S59" s="160" t="s">
        <v>2371</v>
      </c>
      <c r="T59" s="250"/>
      <c r="U59" s="250"/>
      <c r="V59" s="394"/>
      <c r="W59" s="1986" t="str">
        <f>IF(Y68,"if Line 31",IF(Y70,"one.",""))</f>
        <v/>
      </c>
      <c r="X59" s="3899"/>
      <c r="Y59" s="4837" t="s">
        <v>171</v>
      </c>
      <c r="Z59" s="4838" t="s">
        <v>2366</v>
      </c>
      <c r="AA59" s="4841">
        <f>IF(J52="",0,MIN(Q50,J52))</f>
        <v>0</v>
      </c>
      <c r="AB59" s="1844" t="str">
        <f>"(&lt;= "&amp;Q50&amp;" sq. ft.)"</f>
        <v>(&lt;= 300 sq. ft.)</v>
      </c>
    </row>
    <row r="60" spans="1:28" ht="12.75" customHeight="1" thickBot="1">
      <c r="A60" s="394"/>
      <c r="B60" s="124"/>
      <c r="C60" s="699" t="s">
        <v>2373</v>
      </c>
      <c r="D60" s="133"/>
      <c r="E60" s="133"/>
      <c r="F60" s="5366"/>
      <c r="G60" s="5366"/>
      <c r="H60" s="5366"/>
      <c r="I60" s="133"/>
      <c r="J60" s="133"/>
      <c r="K60" s="133"/>
      <c r="L60" s="116"/>
      <c r="M60" s="133"/>
      <c r="N60" s="5366"/>
      <c r="O60" s="5366"/>
      <c r="P60" s="680"/>
      <c r="Q60" s="379" t="s">
        <v>2374</v>
      </c>
      <c r="R60" s="820"/>
      <c r="S60" s="5884" t="s">
        <v>2375</v>
      </c>
      <c r="T60" s="18"/>
      <c r="U60" s="18"/>
      <c r="V60" s="394"/>
      <c r="W60" s="1986" t="str">
        <f>IF(Y68,"is a loss.","")</f>
        <v/>
      </c>
      <c r="X60" s="3899"/>
      <c r="Y60" s="4837" t="s">
        <v>177</v>
      </c>
      <c r="Z60" s="4838" t="s">
        <v>2368</v>
      </c>
      <c r="AB60" s="1243"/>
    </row>
    <row r="61" spans="1:28" ht="12.75" customHeight="1">
      <c r="A61" s="394"/>
      <c r="B61" s="124"/>
      <c r="C61" s="699" t="s">
        <v>2378</v>
      </c>
      <c r="D61" s="133"/>
      <c r="E61" s="133"/>
      <c r="F61" s="5366"/>
      <c r="G61" s="5366"/>
      <c r="H61" s="5366"/>
      <c r="I61" s="133"/>
      <c r="J61" s="133"/>
      <c r="K61" s="133"/>
      <c r="L61" s="116"/>
      <c r="M61" s="133"/>
      <c r="N61" s="5366"/>
      <c r="O61" s="5366"/>
      <c r="P61" s="680"/>
      <c r="Q61" s="3334"/>
      <c r="R61" s="18"/>
      <c r="S61" s="5900" t="s">
        <v>2379</v>
      </c>
      <c r="T61" s="18"/>
      <c r="U61" s="18"/>
      <c r="V61" s="394"/>
      <c r="W61" s="1986"/>
      <c r="X61" s="3899"/>
      <c r="Y61" s="3417" t="s">
        <v>1404</v>
      </c>
      <c r="Z61" s="3417" t="s">
        <v>2372</v>
      </c>
      <c r="AA61" s="4842">
        <v>5</v>
      </c>
      <c r="AB61" s="1243"/>
    </row>
    <row r="62" spans="1:28" ht="12" customHeight="1" thickBot="1">
      <c r="A62" s="394"/>
      <c r="B62" s="1203"/>
      <c r="C62" s="3737" t="s">
        <v>2381</v>
      </c>
      <c r="D62" s="144"/>
      <c r="E62" s="1074"/>
      <c r="F62" s="5586"/>
      <c r="G62" s="5586"/>
      <c r="H62" s="5586"/>
      <c r="I62" s="1074"/>
      <c r="J62" s="1074"/>
      <c r="K62" s="1074"/>
      <c r="L62" s="5591"/>
      <c r="M62" s="1074"/>
      <c r="N62" s="5586"/>
      <c r="O62" s="5586"/>
      <c r="P62" s="2866"/>
      <c r="Q62" s="5586"/>
      <c r="R62" s="5586"/>
      <c r="S62" s="145"/>
      <c r="T62" s="339"/>
      <c r="U62" s="339"/>
      <c r="V62" s="394"/>
      <c r="W62" s="260"/>
      <c r="X62" s="3899"/>
      <c r="Y62" s="3417" t="s">
        <v>1363</v>
      </c>
      <c r="Z62" s="3417" t="s">
        <v>2376</v>
      </c>
      <c r="AA62" s="4843">
        <v>1</v>
      </c>
      <c r="AB62" s="1844" t="s">
        <v>2377</v>
      </c>
    </row>
    <row r="63" spans="1:28" ht="14.25" customHeight="1">
      <c r="A63" s="394"/>
      <c r="B63" s="1445" t="s">
        <v>2383</v>
      </c>
      <c r="C63" s="5073"/>
      <c r="D63" s="5073"/>
      <c r="E63" s="5073"/>
      <c r="F63" s="5592"/>
      <c r="G63" s="5592"/>
      <c r="H63" s="5592"/>
      <c r="I63" s="5073"/>
      <c r="J63" s="5073"/>
      <c r="K63" s="5073"/>
      <c r="L63" s="741" t="s">
        <v>2384</v>
      </c>
      <c r="M63" s="741"/>
      <c r="N63" s="741"/>
      <c r="O63" s="5592"/>
      <c r="P63" s="5593"/>
      <c r="Q63" s="5592"/>
      <c r="R63" s="5592"/>
      <c r="S63" s="5594"/>
      <c r="T63" s="338"/>
      <c r="U63" s="338" t="str">
        <f>"Schedule C (Form 1040)  "&amp;TaxYear</f>
        <v>Schedule C (Form 1040)  2023</v>
      </c>
      <c r="V63" s="394"/>
      <c r="W63" s="260"/>
      <c r="X63" s="3899"/>
      <c r="Y63" s="3417" t="s">
        <v>1381</v>
      </c>
      <c r="Z63" s="3417" t="s">
        <v>2380</v>
      </c>
      <c r="AA63" s="4844">
        <f>ROUND(AA61*AA62,2)</f>
        <v>5</v>
      </c>
      <c r="AB63" s="1243"/>
    </row>
    <row r="64" spans="1:28" ht="22.5" customHeight="1" thickBot="1">
      <c r="A64" s="394"/>
      <c r="B64" s="680" t="str">
        <f>"Schedule C (Form 1040) "&amp;TaxYear</f>
        <v>Schedule C (Form 1040) 2023</v>
      </c>
      <c r="C64" s="680"/>
      <c r="D64" s="680"/>
      <c r="E64" s="680"/>
      <c r="F64" s="680"/>
      <c r="G64" s="680"/>
      <c r="H64" s="680"/>
      <c r="I64" s="680"/>
      <c r="J64" s="680"/>
      <c r="K64" s="680"/>
      <c r="L64" s="680"/>
      <c r="M64" s="680"/>
      <c r="N64" s="680"/>
      <c r="O64" s="680"/>
      <c r="P64" s="680"/>
      <c r="Q64" s="680"/>
      <c r="R64" s="146"/>
      <c r="S64" s="146"/>
      <c r="T64" s="146" t="s">
        <v>2387</v>
      </c>
      <c r="U64" s="147" t="str">
        <f>"2"</f>
        <v>2</v>
      </c>
      <c r="V64" s="394"/>
      <c r="W64" s="260"/>
      <c r="X64" s="3899"/>
      <c r="Y64" s="4837" t="s">
        <v>182</v>
      </c>
      <c r="Z64" s="4838" t="s">
        <v>2382</v>
      </c>
      <c r="AA64" s="4844">
        <f>ROUND(AA59*AA63,2)</f>
        <v>0</v>
      </c>
      <c r="AB64" s="1243"/>
    </row>
    <row r="65" spans="1:28" ht="19.5" customHeight="1">
      <c r="A65" s="394"/>
      <c r="B65" s="3292" t="s">
        <v>2243</v>
      </c>
      <c r="C65" s="5902" t="s">
        <v>2388</v>
      </c>
      <c r="D65" s="148"/>
      <c r="E65" s="148"/>
      <c r="F65" s="148"/>
      <c r="G65" s="148"/>
      <c r="H65" s="148"/>
      <c r="I65" s="148"/>
      <c r="J65" s="148"/>
      <c r="K65" s="148"/>
      <c r="L65" s="148"/>
      <c r="M65" s="148"/>
      <c r="N65" s="148"/>
      <c r="O65" s="148"/>
      <c r="P65" s="148"/>
      <c r="Q65" s="148"/>
      <c r="R65" s="148"/>
      <c r="S65" s="148"/>
      <c r="T65" s="148"/>
      <c r="U65" s="148"/>
      <c r="V65" s="394"/>
      <c r="W65" s="260"/>
      <c r="X65" s="3899"/>
      <c r="Y65" s="4837" t="s">
        <v>198</v>
      </c>
      <c r="Z65" s="3417" t="s">
        <v>2385</v>
      </c>
      <c r="AA65" s="4844">
        <f>MAX(0,MIN(AA58,AA64))</f>
        <v>0</v>
      </c>
      <c r="AB65" s="1844" t="s">
        <v>2386</v>
      </c>
    </row>
    <row r="66" spans="1:28" ht="4.5" customHeight="1">
      <c r="A66" s="394"/>
      <c r="B66" s="699"/>
      <c r="C66" s="222"/>
      <c r="D66" s="222"/>
      <c r="E66" s="222"/>
      <c r="F66" s="222"/>
      <c r="G66" s="222"/>
      <c r="H66" s="222"/>
      <c r="I66" s="222"/>
      <c r="J66" s="222"/>
      <c r="K66" s="222"/>
      <c r="L66" s="222"/>
      <c r="M66" s="222"/>
      <c r="N66" s="222"/>
      <c r="O66" s="222"/>
      <c r="P66" s="222"/>
      <c r="Q66" s="222"/>
      <c r="R66" s="222"/>
      <c r="S66" s="222"/>
      <c r="T66" s="222"/>
      <c r="U66" s="222"/>
      <c r="V66" s="394"/>
      <c r="W66" s="260"/>
      <c r="X66" s="3899"/>
      <c r="Y66" s="1247"/>
      <c r="Z66" s="1247"/>
      <c r="AA66" s="1247"/>
      <c r="AB66" s="1248"/>
    </row>
    <row r="67" spans="1:28" ht="15" customHeight="1" thickBot="1">
      <c r="A67" s="394"/>
      <c r="B67" s="168">
        <v>33</v>
      </c>
      <c r="C67" s="699" t="s">
        <v>2389</v>
      </c>
      <c r="D67" s="133"/>
      <c r="E67" s="133"/>
      <c r="F67" s="133"/>
      <c r="G67" s="133"/>
      <c r="H67" s="133"/>
      <c r="I67" s="133"/>
      <c r="J67" s="133"/>
      <c r="K67" s="133"/>
      <c r="L67" s="133"/>
      <c r="M67" s="133"/>
      <c r="N67" s="133"/>
      <c r="O67" s="133"/>
      <c r="P67" s="133"/>
      <c r="Q67" s="133"/>
      <c r="R67" s="133"/>
      <c r="S67" s="133"/>
      <c r="T67" s="133"/>
      <c r="U67" s="133"/>
      <c r="V67" s="394"/>
      <c r="W67" s="260"/>
      <c r="X67" s="3899"/>
      <c r="Y67" s="4144">
        <f>SUM(SchC_ProfitLoss1,SchC_ProfitLoss2)</f>
        <v>0</v>
      </c>
      <c r="Z67" s="4144"/>
      <c r="AA67" s="4144"/>
      <c r="AB67" s="4144"/>
    </row>
    <row r="68" spans="1:28" ht="14.25" customHeight="1" thickBot="1">
      <c r="A68" s="394"/>
      <c r="B68" s="168"/>
      <c r="C68" s="699" t="s">
        <v>2390</v>
      </c>
      <c r="D68" s="133"/>
      <c r="E68" s="820"/>
      <c r="F68" s="699" t="s">
        <v>2391</v>
      </c>
      <c r="G68" s="124" t="s">
        <v>2392</v>
      </c>
      <c r="H68" s="820"/>
      <c r="I68" s="699" t="s">
        <v>2393</v>
      </c>
      <c r="J68" s="379"/>
      <c r="K68" s="133"/>
      <c r="L68" s="124" t="s">
        <v>2394</v>
      </c>
      <c r="M68" s="820"/>
      <c r="N68" s="699" t="s">
        <v>2395</v>
      </c>
      <c r="O68" s="133"/>
      <c r="P68" s="133"/>
      <c r="Q68" s="133"/>
      <c r="R68" s="133"/>
      <c r="S68" s="133"/>
      <c r="T68" s="133"/>
      <c r="U68" s="133"/>
      <c r="V68" s="394"/>
      <c r="W68" s="260"/>
      <c r="X68" s="3899"/>
      <c r="Y68" s="887" t="b">
        <f>IF(AND(R59&lt;&gt;"",R60&lt;&gt;""),FALSE,IF(AND(T56&gt;=0,OR(R59&lt;&gt;"",R60&lt;&gt;"")),TRUE,FALSE))</f>
        <v>0</v>
      </c>
      <c r="Z68" s="887"/>
      <c r="AA68" s="887"/>
      <c r="AB68" s="887"/>
    </row>
    <row r="69" spans="1:28" ht="15.75" customHeight="1" thickBot="1">
      <c r="A69" s="394"/>
      <c r="B69" s="168">
        <v>34</v>
      </c>
      <c r="C69" s="936" t="s">
        <v>2396</v>
      </c>
      <c r="D69" s="680"/>
      <c r="E69" s="680"/>
      <c r="F69" s="680"/>
      <c r="G69" s="680"/>
      <c r="H69" s="680"/>
      <c r="I69" s="680"/>
      <c r="J69" s="680"/>
      <c r="K69" s="133"/>
      <c r="L69" s="133"/>
      <c r="M69" s="133"/>
      <c r="N69" s="133"/>
      <c r="O69" s="133"/>
      <c r="P69" s="133"/>
      <c r="Q69" s="680"/>
      <c r="R69" s="680"/>
      <c r="S69" s="680"/>
      <c r="T69" s="680"/>
      <c r="U69" s="680"/>
      <c r="V69" s="394"/>
      <c r="W69" s="260"/>
      <c r="X69" s="3899"/>
      <c r="Y69" s="887" t="b">
        <f>OR(Y68,Y70)</f>
        <v>0</v>
      </c>
      <c r="Z69" s="887"/>
      <c r="AA69" s="887"/>
      <c r="AB69" s="887"/>
    </row>
    <row r="70" spans="1:28" ht="15" customHeight="1" thickBot="1">
      <c r="A70" s="394"/>
      <c r="B70" s="168"/>
      <c r="C70" s="936" t="s">
        <v>2397</v>
      </c>
      <c r="D70" s="680"/>
      <c r="E70" s="680"/>
      <c r="F70" s="680"/>
      <c r="G70" s="680"/>
      <c r="H70" s="680"/>
      <c r="I70" s="680"/>
      <c r="J70" s="680"/>
      <c r="K70" s="680"/>
      <c r="L70" s="680"/>
      <c r="M70" s="680"/>
      <c r="N70" s="680"/>
      <c r="O70" s="735"/>
      <c r="P70" s="400" t="s">
        <v>2398</v>
      </c>
      <c r="Q70" s="820"/>
      <c r="R70" s="735" t="s">
        <v>608</v>
      </c>
      <c r="S70" s="1985"/>
      <c r="T70" s="820"/>
      <c r="U70" s="735" t="s">
        <v>609</v>
      </c>
      <c r="V70" s="394"/>
      <c r="W70" s="260"/>
      <c r="X70" s="3899"/>
      <c r="Y70" s="887" t="b">
        <f>AND(R59&lt;&gt;"",R60&lt;&gt;"")</f>
        <v>0</v>
      </c>
      <c r="Z70" s="887"/>
      <c r="AA70" s="887"/>
      <c r="AB70" s="887"/>
    </row>
    <row r="71" spans="1:28" ht="7.5" customHeight="1">
      <c r="A71" s="394"/>
      <c r="B71" s="168"/>
      <c r="C71" s="936"/>
      <c r="D71" s="680"/>
      <c r="E71" s="680"/>
      <c r="F71" s="680"/>
      <c r="G71" s="680"/>
      <c r="H71" s="680"/>
      <c r="I71" s="680"/>
      <c r="J71" s="680"/>
      <c r="K71" s="680"/>
      <c r="L71" s="680"/>
      <c r="M71" s="680"/>
      <c r="N71" s="680"/>
      <c r="O71" s="680"/>
      <c r="P71" s="680"/>
      <c r="Q71" s="680"/>
      <c r="R71" s="680"/>
      <c r="S71" s="680"/>
      <c r="T71" s="680"/>
      <c r="U71" s="680"/>
      <c r="V71" s="394"/>
      <c r="W71" s="260"/>
      <c r="X71" s="3899"/>
      <c r="Y71" s="4835"/>
      <c r="Z71" s="918"/>
      <c r="AA71" s="918"/>
      <c r="AB71" s="918"/>
    </row>
    <row r="72" spans="1:28" ht="14.25" customHeight="1">
      <c r="A72" s="394"/>
      <c r="B72" s="168">
        <v>35</v>
      </c>
      <c r="C72" s="936" t="s">
        <v>2399</v>
      </c>
      <c r="D72" s="680"/>
      <c r="E72" s="680"/>
      <c r="F72" s="680"/>
      <c r="G72" s="680"/>
      <c r="H72" s="680"/>
      <c r="I72" s="680"/>
      <c r="J72" s="680"/>
      <c r="K72" s="680"/>
      <c r="L72" s="680"/>
      <c r="M72" s="680"/>
      <c r="N72" s="680"/>
      <c r="O72" s="680"/>
      <c r="P72" s="680"/>
      <c r="Q72" s="680"/>
      <c r="R72" s="400" t="s">
        <v>677</v>
      </c>
      <c r="S72" s="227">
        <v>35</v>
      </c>
      <c r="T72" s="7179"/>
      <c r="U72" s="7180"/>
      <c r="V72" s="394"/>
      <c r="W72" s="260"/>
      <c r="X72" s="3899"/>
    </row>
    <row r="73" spans="1:28" ht="12.75" customHeight="1">
      <c r="A73" s="394"/>
      <c r="B73" s="168"/>
      <c r="C73" s="936"/>
      <c r="D73" s="680"/>
      <c r="E73" s="680"/>
      <c r="F73" s="680"/>
      <c r="G73" s="680"/>
      <c r="H73" s="680"/>
      <c r="I73" s="680"/>
      <c r="J73" s="680"/>
      <c r="K73" s="680"/>
      <c r="L73" s="680"/>
      <c r="M73" s="680"/>
      <c r="N73" s="680"/>
      <c r="O73" s="680"/>
      <c r="P73" s="680"/>
      <c r="Q73" s="680"/>
      <c r="R73" s="680"/>
      <c r="S73" s="3752"/>
      <c r="T73" s="5903"/>
      <c r="U73" s="5904"/>
      <c r="V73" s="394"/>
      <c r="W73" s="260"/>
      <c r="X73" s="3899"/>
    </row>
    <row r="74" spans="1:28" ht="14.25" customHeight="1">
      <c r="A74" s="394"/>
      <c r="B74" s="168">
        <v>36</v>
      </c>
      <c r="C74" s="936" t="s">
        <v>2400</v>
      </c>
      <c r="D74" s="680"/>
      <c r="E74" s="680"/>
      <c r="F74" s="680"/>
      <c r="G74" s="680"/>
      <c r="H74" s="680"/>
      <c r="I74" s="680"/>
      <c r="J74" s="680"/>
      <c r="K74" s="680"/>
      <c r="L74" s="680"/>
      <c r="M74" s="680"/>
      <c r="N74" s="680"/>
      <c r="O74" s="680"/>
      <c r="P74" s="680"/>
      <c r="Q74" s="680"/>
      <c r="R74" s="400" t="s">
        <v>754</v>
      </c>
      <c r="S74" s="227">
        <v>36</v>
      </c>
      <c r="T74" s="7179"/>
      <c r="U74" s="7180"/>
      <c r="V74" s="394"/>
      <c r="W74" s="260"/>
      <c r="X74" s="3899"/>
    </row>
    <row r="75" spans="1:28">
      <c r="A75" s="394"/>
      <c r="B75" s="168"/>
      <c r="C75" s="936"/>
      <c r="D75" s="680"/>
      <c r="E75" s="680"/>
      <c r="F75" s="680"/>
      <c r="G75" s="680"/>
      <c r="H75" s="680"/>
      <c r="I75" s="680"/>
      <c r="J75" s="680"/>
      <c r="K75" s="680"/>
      <c r="L75" s="680"/>
      <c r="M75" s="680"/>
      <c r="N75" s="680"/>
      <c r="O75" s="680"/>
      <c r="P75" s="680"/>
      <c r="Q75" s="680"/>
      <c r="R75" s="680"/>
      <c r="S75" s="3752"/>
      <c r="T75" s="5903"/>
      <c r="U75" s="5904"/>
      <c r="V75" s="394"/>
      <c r="W75" s="260"/>
      <c r="X75" s="3899"/>
    </row>
    <row r="76" spans="1:28" ht="14.25" customHeight="1">
      <c r="A76" s="394"/>
      <c r="B76" s="168">
        <v>37</v>
      </c>
      <c r="C76" s="936" t="s">
        <v>2401</v>
      </c>
      <c r="D76" s="680"/>
      <c r="E76" s="680"/>
      <c r="F76" s="680"/>
      <c r="G76" s="680"/>
      <c r="H76" s="680"/>
      <c r="I76" s="680"/>
      <c r="J76" s="680"/>
      <c r="K76" s="680"/>
      <c r="L76" s="680"/>
      <c r="M76" s="680"/>
      <c r="N76" s="680"/>
      <c r="O76" s="680"/>
      <c r="P76" s="680"/>
      <c r="Q76" s="680"/>
      <c r="R76" s="400" t="s">
        <v>740</v>
      </c>
      <c r="S76" s="227">
        <v>37</v>
      </c>
      <c r="T76" s="7179"/>
      <c r="U76" s="7180"/>
      <c r="V76" s="394"/>
      <c r="W76" s="260"/>
      <c r="X76" s="3899"/>
    </row>
    <row r="77" spans="1:28">
      <c r="A77" s="394"/>
      <c r="B77" s="168"/>
      <c r="C77" s="936"/>
      <c r="D77" s="680"/>
      <c r="E77" s="680"/>
      <c r="F77" s="680"/>
      <c r="G77" s="680"/>
      <c r="H77" s="680"/>
      <c r="I77" s="680"/>
      <c r="J77" s="680"/>
      <c r="K77" s="680"/>
      <c r="L77" s="680"/>
      <c r="M77" s="680"/>
      <c r="N77" s="680"/>
      <c r="O77" s="680"/>
      <c r="P77" s="680"/>
      <c r="Q77" s="680"/>
      <c r="R77" s="680"/>
      <c r="S77" s="3752"/>
      <c r="T77" s="5903"/>
      <c r="U77" s="5904"/>
      <c r="V77" s="394"/>
      <c r="W77" s="260"/>
      <c r="X77" s="3899"/>
    </row>
    <row r="78" spans="1:28" ht="14.25" customHeight="1">
      <c r="A78" s="394"/>
      <c r="B78" s="168">
        <v>38</v>
      </c>
      <c r="C78" s="936" t="s">
        <v>2402</v>
      </c>
      <c r="D78" s="680"/>
      <c r="E78" s="680"/>
      <c r="F78" s="680"/>
      <c r="G78" s="680"/>
      <c r="H78" s="680"/>
      <c r="I78" s="680"/>
      <c r="J78" s="680"/>
      <c r="K78" s="680"/>
      <c r="L78" s="680"/>
      <c r="M78" s="680"/>
      <c r="N78" s="680"/>
      <c r="O78" s="680"/>
      <c r="P78" s="680"/>
      <c r="Q78" s="680"/>
      <c r="R78" s="400" t="s">
        <v>2403</v>
      </c>
      <c r="S78" s="227">
        <v>38</v>
      </c>
      <c r="T78" s="7179"/>
      <c r="U78" s="7180"/>
      <c r="V78" s="394"/>
      <c r="W78" s="260"/>
      <c r="X78" s="3899"/>
    </row>
    <row r="79" spans="1:28">
      <c r="A79" s="394"/>
      <c r="B79" s="168"/>
      <c r="C79" s="936"/>
      <c r="D79" s="680"/>
      <c r="E79" s="680"/>
      <c r="F79" s="680"/>
      <c r="G79" s="680"/>
      <c r="H79" s="680"/>
      <c r="I79" s="680"/>
      <c r="J79" s="680"/>
      <c r="K79" s="680"/>
      <c r="L79" s="680"/>
      <c r="M79" s="680"/>
      <c r="N79" s="680"/>
      <c r="O79" s="680"/>
      <c r="P79" s="680"/>
      <c r="Q79" s="680"/>
      <c r="R79" s="680"/>
      <c r="S79" s="3752"/>
      <c r="T79" s="5903"/>
      <c r="U79" s="5904"/>
      <c r="V79" s="394"/>
      <c r="W79" s="260"/>
      <c r="X79" s="3899"/>
    </row>
    <row r="80" spans="1:28" ht="14.25" customHeight="1" thickBot="1">
      <c r="A80" s="394"/>
      <c r="B80" s="168">
        <v>39</v>
      </c>
      <c r="C80" s="936" t="s">
        <v>2404</v>
      </c>
      <c r="D80" s="680"/>
      <c r="E80" s="680"/>
      <c r="F80" s="680"/>
      <c r="G80" s="680"/>
      <c r="H80" s="680"/>
      <c r="I80" s="680"/>
      <c r="J80" s="680"/>
      <c r="K80" s="680"/>
      <c r="L80" s="680"/>
      <c r="M80" s="680"/>
      <c r="N80" s="680"/>
      <c r="O80" s="680"/>
      <c r="P80" s="680"/>
      <c r="Q80" s="680"/>
      <c r="R80" s="400" t="s">
        <v>2405</v>
      </c>
      <c r="S80" s="5907">
        <v>39</v>
      </c>
      <c r="T80" s="7197"/>
      <c r="U80" s="7198"/>
      <c r="V80" s="394"/>
      <c r="W80" s="260"/>
      <c r="X80" s="3899"/>
    </row>
    <row r="81" spans="1:28">
      <c r="A81" s="394"/>
      <c r="B81" s="168"/>
      <c r="C81" s="936"/>
      <c r="D81" s="680"/>
      <c r="E81" s="680"/>
      <c r="F81" s="680"/>
      <c r="G81" s="680"/>
      <c r="H81" s="680"/>
      <c r="I81" s="680"/>
      <c r="J81" s="680"/>
      <c r="K81" s="680"/>
      <c r="L81" s="680"/>
      <c r="M81" s="680"/>
      <c r="N81" s="680"/>
      <c r="O81" s="680"/>
      <c r="P81" s="680"/>
      <c r="Q81" s="680"/>
      <c r="R81" s="680"/>
      <c r="S81" s="3752"/>
      <c r="T81" s="5905"/>
      <c r="U81" s="5906"/>
      <c r="V81" s="394"/>
      <c r="W81" s="260"/>
      <c r="X81" s="3899"/>
    </row>
    <row r="82" spans="1:28" ht="14.25" customHeight="1">
      <c r="A82" s="394"/>
      <c r="B82" s="168">
        <v>40</v>
      </c>
      <c r="C82" s="936" t="s">
        <v>2406</v>
      </c>
      <c r="D82" s="680"/>
      <c r="E82" s="680"/>
      <c r="F82" s="680"/>
      <c r="G82" s="680"/>
      <c r="H82" s="680"/>
      <c r="I82" s="680"/>
      <c r="J82" s="680"/>
      <c r="K82" s="680"/>
      <c r="L82" s="680"/>
      <c r="M82" s="680"/>
      <c r="N82" s="680"/>
      <c r="O82" s="680"/>
      <c r="P82" s="680"/>
      <c r="Q82" s="680"/>
      <c r="R82" s="400" t="s">
        <v>2407</v>
      </c>
      <c r="S82" s="227">
        <v>40</v>
      </c>
      <c r="T82" s="7055">
        <f>ROUND(SUM(T72:U80),0)</f>
        <v>0</v>
      </c>
      <c r="U82" s="7199"/>
      <c r="V82" s="394"/>
      <c r="W82" s="260"/>
      <c r="X82" s="3899"/>
    </row>
    <row r="83" spans="1:28">
      <c r="A83" s="394"/>
      <c r="B83" s="168"/>
      <c r="C83" s="936"/>
      <c r="D83" s="680"/>
      <c r="E83" s="680"/>
      <c r="F83" s="680"/>
      <c r="G83" s="680"/>
      <c r="H83" s="680"/>
      <c r="I83" s="680"/>
      <c r="J83" s="680"/>
      <c r="K83" s="680"/>
      <c r="L83" s="680"/>
      <c r="M83" s="680"/>
      <c r="N83" s="680"/>
      <c r="O83" s="680"/>
      <c r="P83" s="680"/>
      <c r="Q83" s="680"/>
      <c r="R83" s="680"/>
      <c r="S83" s="3752"/>
      <c r="T83" s="5903"/>
      <c r="U83" s="5904"/>
      <c r="V83" s="394"/>
      <c r="W83" s="260"/>
      <c r="X83" s="3899"/>
    </row>
    <row r="84" spans="1:28" ht="14.25" customHeight="1" thickBot="1">
      <c r="A84" s="394"/>
      <c r="B84" s="168">
        <v>41</v>
      </c>
      <c r="C84" s="936" t="s">
        <v>2408</v>
      </c>
      <c r="D84" s="680"/>
      <c r="E84" s="680"/>
      <c r="F84" s="680"/>
      <c r="G84" s="680"/>
      <c r="H84" s="680"/>
      <c r="I84" s="680"/>
      <c r="J84" s="680"/>
      <c r="K84" s="680"/>
      <c r="L84" s="680"/>
      <c r="M84" s="680"/>
      <c r="N84" s="680"/>
      <c r="O84" s="680"/>
      <c r="P84" s="680"/>
      <c r="Q84" s="680"/>
      <c r="R84" s="400" t="s">
        <v>2407</v>
      </c>
      <c r="S84" s="5907">
        <v>41</v>
      </c>
      <c r="T84" s="7197"/>
      <c r="U84" s="7198"/>
      <c r="V84" s="394"/>
      <c r="W84" s="260"/>
      <c r="X84" s="3899"/>
    </row>
    <row r="85" spans="1:28">
      <c r="A85" s="394"/>
      <c r="B85" s="168"/>
      <c r="C85" s="936"/>
      <c r="D85" s="680"/>
      <c r="E85" s="680"/>
      <c r="F85" s="680"/>
      <c r="G85" s="680"/>
      <c r="H85" s="680"/>
      <c r="I85" s="680"/>
      <c r="J85" s="680"/>
      <c r="K85" s="680"/>
      <c r="L85" s="680"/>
      <c r="M85" s="680"/>
      <c r="N85" s="680"/>
      <c r="O85" s="680"/>
      <c r="P85" s="680"/>
      <c r="Q85" s="680"/>
      <c r="R85" s="680"/>
      <c r="S85" s="3752"/>
      <c r="T85" s="5905"/>
      <c r="U85" s="5906"/>
      <c r="V85" s="394"/>
      <c r="W85" s="260"/>
      <c r="X85" s="3899"/>
    </row>
    <row r="86" spans="1:28" ht="14.25" customHeight="1" thickBot="1">
      <c r="A86" s="394"/>
      <c r="B86" s="168">
        <v>42</v>
      </c>
      <c r="C86" s="3744" t="s">
        <v>2409</v>
      </c>
      <c r="D86" s="735"/>
      <c r="E86" s="680"/>
      <c r="F86" s="680"/>
      <c r="G86" s="680"/>
      <c r="H86" s="680"/>
      <c r="I86" s="680"/>
      <c r="J86" s="680"/>
      <c r="K86" s="680"/>
      <c r="L86" s="680"/>
      <c r="M86" s="680"/>
      <c r="N86" s="680"/>
      <c r="O86" s="680"/>
      <c r="P86" s="680"/>
      <c r="Q86" s="680"/>
      <c r="R86" s="400" t="s">
        <v>746</v>
      </c>
      <c r="S86" s="227">
        <v>42</v>
      </c>
      <c r="T86" s="7175">
        <f>ROUND(SUM(T82,-T84),0)</f>
        <v>0</v>
      </c>
      <c r="U86" s="7176"/>
      <c r="V86" s="394"/>
      <c r="W86" s="260"/>
      <c r="X86" s="3899"/>
    </row>
    <row r="87" spans="1:28" ht="15">
      <c r="A87" s="394"/>
      <c r="B87" s="1848" t="s">
        <v>2410</v>
      </c>
      <c r="C87" s="150" t="s">
        <v>2411</v>
      </c>
      <c r="D87" s="150"/>
      <c r="E87" s="150"/>
      <c r="F87" s="150"/>
      <c r="G87" s="150" t="s">
        <v>2412</v>
      </c>
      <c r="H87" s="150"/>
      <c r="I87" s="150"/>
      <c r="J87" s="150"/>
      <c r="K87" s="150"/>
      <c r="L87" s="150"/>
      <c r="M87" s="150"/>
      <c r="N87" s="150"/>
      <c r="O87" s="150"/>
      <c r="P87" s="150"/>
      <c r="Q87" s="150"/>
      <c r="R87" s="150"/>
      <c r="S87" s="150"/>
      <c r="T87" s="150"/>
      <c r="U87" s="150"/>
      <c r="V87" s="394"/>
      <c r="W87" s="260"/>
      <c r="X87" s="3899"/>
    </row>
    <row r="88" spans="1:28" ht="12.75" customHeight="1">
      <c r="A88" s="394"/>
      <c r="B88" s="131"/>
      <c r="C88" s="151" t="s">
        <v>2413</v>
      </c>
      <c r="D88" s="936"/>
      <c r="E88" s="151"/>
      <c r="F88" s="151"/>
      <c r="G88" s="151"/>
      <c r="H88" s="151"/>
      <c r="I88" s="151"/>
      <c r="J88" s="151"/>
      <c r="K88" s="151"/>
      <c r="L88" s="151"/>
      <c r="M88" s="151"/>
      <c r="N88" s="151"/>
      <c r="O88" s="151"/>
      <c r="P88" s="151"/>
      <c r="Q88" s="151"/>
      <c r="R88" s="151"/>
      <c r="S88" s="151"/>
      <c r="T88" s="151"/>
      <c r="U88" s="151"/>
      <c r="V88" s="394"/>
      <c r="W88" s="260"/>
      <c r="X88" s="3899"/>
    </row>
    <row r="89" spans="1:28" ht="12.75" customHeight="1">
      <c r="A89" s="394"/>
      <c r="B89" s="1062"/>
      <c r="C89" s="3928" t="s">
        <v>2414</v>
      </c>
      <c r="D89" s="1453"/>
      <c r="E89" s="5595"/>
      <c r="F89" s="5595"/>
      <c r="G89" s="5595"/>
      <c r="H89" s="5595"/>
      <c r="I89" s="5595"/>
      <c r="J89" s="5595"/>
      <c r="K89" s="5595"/>
      <c r="L89" s="5595"/>
      <c r="M89" s="5595"/>
      <c r="N89" s="5595"/>
      <c r="O89" s="5595"/>
      <c r="P89" s="5595"/>
      <c r="Q89" s="5595"/>
      <c r="R89" s="5595"/>
      <c r="S89" s="5595"/>
      <c r="T89" s="5595"/>
      <c r="U89" s="5595"/>
      <c r="V89" s="394"/>
      <c r="W89" s="260"/>
      <c r="X89" s="3899"/>
    </row>
    <row r="90" spans="1:28" ht="12.75" customHeight="1">
      <c r="A90" s="394"/>
      <c r="B90" s="131"/>
      <c r="C90" s="680"/>
      <c r="D90" s="680"/>
      <c r="E90" s="680"/>
      <c r="F90" s="680"/>
      <c r="G90" s="680"/>
      <c r="H90" s="680"/>
      <c r="I90" s="680"/>
      <c r="J90" s="680"/>
      <c r="K90" s="680"/>
      <c r="L90" s="680"/>
      <c r="M90" s="680"/>
      <c r="N90" s="680"/>
      <c r="O90" s="680"/>
      <c r="P90" s="680"/>
      <c r="Q90" s="680"/>
      <c r="R90" s="680"/>
      <c r="S90" s="680"/>
      <c r="T90" s="680"/>
      <c r="U90" s="680"/>
      <c r="V90" s="394"/>
      <c r="W90" s="260"/>
      <c r="X90" s="3899"/>
    </row>
    <row r="91" spans="1:28" ht="12.75" customHeight="1">
      <c r="A91" s="394"/>
      <c r="B91" s="168">
        <v>43</v>
      </c>
      <c r="C91" s="903" t="s">
        <v>2415</v>
      </c>
      <c r="D91" s="903"/>
      <c r="E91" s="680"/>
      <c r="F91" s="680"/>
      <c r="G91" s="680"/>
      <c r="H91" s="680"/>
      <c r="I91" s="680"/>
      <c r="J91" s="680"/>
      <c r="K91" s="680"/>
      <c r="L91" s="680"/>
      <c r="M91" s="7171"/>
      <c r="N91" s="7171"/>
      <c r="O91" s="2850" t="s">
        <v>2416</v>
      </c>
      <c r="P91" s="7171"/>
      <c r="Q91" s="7171"/>
      <c r="R91" s="2850" t="s">
        <v>2416</v>
      </c>
      <c r="S91" s="7171"/>
      <c r="T91" s="7171"/>
      <c r="U91" s="735"/>
      <c r="V91" s="394"/>
      <c r="W91" s="260"/>
      <c r="X91" s="3899"/>
    </row>
    <row r="92" spans="1:28" ht="13.5" customHeight="1">
      <c r="A92" s="394"/>
      <c r="B92" s="131"/>
      <c r="C92" s="680"/>
      <c r="D92" s="680"/>
      <c r="E92" s="680"/>
      <c r="F92" s="680"/>
      <c r="G92" s="680"/>
      <c r="H92" s="680"/>
      <c r="I92" s="680"/>
      <c r="J92" s="680"/>
      <c r="K92" s="680"/>
      <c r="L92" s="680"/>
      <c r="M92" s="680"/>
      <c r="N92" s="680"/>
      <c r="O92" s="680"/>
      <c r="P92" s="680"/>
      <c r="Q92" s="680"/>
      <c r="R92" s="680"/>
      <c r="S92" s="680"/>
      <c r="T92" s="680"/>
      <c r="U92" s="680"/>
      <c r="V92" s="394"/>
      <c r="W92" s="260"/>
      <c r="X92" s="3899"/>
    </row>
    <row r="93" spans="1:28" ht="14.25" customHeight="1">
      <c r="A93" s="394"/>
      <c r="B93" s="168">
        <v>44</v>
      </c>
      <c r="C93" s="680" t="str">
        <f>"Of the total number of miles you drove your vehicle during "&amp;TaxYear&amp;", enter the number of miles you used your vehicle for:"</f>
        <v>Of the total number of miles you drove your vehicle during 2023, enter the number of miles you used your vehicle for:</v>
      </c>
      <c r="D93" s="680"/>
      <c r="E93" s="680"/>
      <c r="F93" s="680"/>
      <c r="G93" s="680"/>
      <c r="H93" s="680"/>
      <c r="I93" s="680"/>
      <c r="J93" s="680"/>
      <c r="K93" s="680"/>
      <c r="L93" s="680"/>
      <c r="M93" s="680"/>
      <c r="N93" s="680"/>
      <c r="O93" s="680"/>
      <c r="P93" s="680"/>
      <c r="Q93" s="680"/>
      <c r="R93" s="680"/>
      <c r="S93" s="680"/>
      <c r="T93" s="680"/>
      <c r="U93" s="680"/>
      <c r="V93" s="394"/>
      <c r="W93" s="260"/>
      <c r="X93" s="3899"/>
    </row>
    <row r="94" spans="1:28">
      <c r="A94" s="394"/>
      <c r="B94" s="379"/>
      <c r="C94" s="2755" t="s">
        <v>2417</v>
      </c>
      <c r="D94" s="7201"/>
      <c r="E94" s="7201"/>
      <c r="F94" s="571"/>
      <c r="G94" s="146"/>
      <c r="H94" s="146"/>
      <c r="I94" s="2756" t="s">
        <v>2418</v>
      </c>
      <c r="J94" s="7183"/>
      <c r="K94" s="7184"/>
      <c r="L94" s="7184"/>
      <c r="M94" s="400"/>
      <c r="N94" s="2757" t="s">
        <v>648</v>
      </c>
      <c r="O94" s="7177" t="s">
        <v>283</v>
      </c>
      <c r="P94" s="7178"/>
      <c r="Q94" s="7201"/>
      <c r="R94" s="7201"/>
      <c r="S94" s="7201"/>
      <c r="T94" s="7201"/>
      <c r="U94" s="548"/>
      <c r="V94" s="394"/>
      <c r="W94" s="1987" t="str">
        <f>IF(Y96,"Check","")</f>
        <v/>
      </c>
      <c r="X94" s="3899"/>
    </row>
    <row r="95" spans="1:28" ht="15" customHeight="1" thickBot="1">
      <c r="A95" s="394"/>
      <c r="B95" s="131"/>
      <c r="C95" s="680"/>
      <c r="D95" s="680"/>
      <c r="E95" s="680"/>
      <c r="F95" s="680"/>
      <c r="G95" s="680"/>
      <c r="H95" s="680"/>
      <c r="I95" s="680"/>
      <c r="J95" s="680"/>
      <c r="K95" s="680"/>
      <c r="L95" s="680"/>
      <c r="M95" s="680"/>
      <c r="N95" s="680"/>
      <c r="O95" s="680"/>
      <c r="P95" s="680"/>
      <c r="Q95" s="680"/>
      <c r="R95" s="401"/>
      <c r="S95" s="680"/>
      <c r="T95" s="680"/>
      <c r="U95" s="680"/>
      <c r="V95" s="394"/>
      <c r="W95" s="1987"/>
      <c r="X95" s="3899"/>
    </row>
    <row r="96" spans="1:28" ht="14.25" customHeight="1" thickBot="1">
      <c r="A96" s="394"/>
      <c r="B96" s="168">
        <v>45</v>
      </c>
      <c r="C96" s="936" t="s">
        <v>2419</v>
      </c>
      <c r="D96" s="680"/>
      <c r="E96" s="680"/>
      <c r="F96" s="680"/>
      <c r="G96" s="680"/>
      <c r="H96" s="680"/>
      <c r="I96" s="402"/>
      <c r="J96" s="152"/>
      <c r="K96" s="680"/>
      <c r="L96" s="152"/>
      <c r="M96" s="680"/>
      <c r="N96" s="680"/>
      <c r="O96" s="680"/>
      <c r="P96" s="400" t="s">
        <v>1691</v>
      </c>
      <c r="Q96" s="820"/>
      <c r="R96" s="152" t="s">
        <v>608</v>
      </c>
      <c r="S96" s="680"/>
      <c r="T96" s="820"/>
      <c r="U96" s="3744" t="s">
        <v>609</v>
      </c>
      <c r="V96" s="394"/>
      <c r="W96" s="1987" t="str">
        <f>IF(Y98,"ONLY one.","")</f>
        <v/>
      </c>
      <c r="X96" s="3899"/>
      <c r="Y96" s="887" t="b">
        <f>OR(Y98,Y100,Y102,Y104)</f>
        <v>0</v>
      </c>
      <c r="Z96" s="887"/>
      <c r="AA96" s="887"/>
      <c r="AB96" s="887"/>
    </row>
    <row r="97" spans="1:28" ht="12.75" customHeight="1" thickBot="1">
      <c r="A97" s="394"/>
      <c r="B97" s="379"/>
      <c r="C97" s="3756"/>
      <c r="D97" s="146"/>
      <c r="E97" s="146"/>
      <c r="F97" s="146"/>
      <c r="G97" s="146"/>
      <c r="H97" s="146"/>
      <c r="I97" s="146"/>
      <c r="J97" s="146"/>
      <c r="K97" s="146"/>
      <c r="L97" s="146"/>
      <c r="M97" s="146"/>
      <c r="N97" s="146"/>
      <c r="O97" s="680"/>
      <c r="P97" s="146"/>
      <c r="Q97" s="146"/>
      <c r="R97" s="146"/>
      <c r="S97" s="146"/>
      <c r="T97" s="680"/>
      <c r="U97" s="680"/>
      <c r="V97" s="394"/>
      <c r="W97" s="260"/>
      <c r="X97" s="3899"/>
      <c r="Y97" s="887"/>
      <c r="Z97" s="887"/>
      <c r="AA97" s="887"/>
      <c r="AB97" s="887"/>
    </row>
    <row r="98" spans="1:28" ht="14.25" customHeight="1" thickBot="1">
      <c r="A98" s="394"/>
      <c r="B98" s="168">
        <v>46</v>
      </c>
      <c r="C98" s="936" t="s">
        <v>2420</v>
      </c>
      <c r="D98" s="680"/>
      <c r="E98" s="680"/>
      <c r="F98" s="680"/>
      <c r="G98" s="680"/>
      <c r="H98" s="680"/>
      <c r="I98" s="680"/>
      <c r="J98" s="680"/>
      <c r="K98" s="402"/>
      <c r="L98" s="680"/>
      <c r="M98" s="152"/>
      <c r="N98" s="152"/>
      <c r="O98" s="680"/>
      <c r="P98" s="400" t="s">
        <v>1648</v>
      </c>
      <c r="Q98" s="820"/>
      <c r="R98" s="152" t="s">
        <v>608</v>
      </c>
      <c r="S98" s="680"/>
      <c r="T98" s="820"/>
      <c r="U98" s="3744" t="s">
        <v>609</v>
      </c>
      <c r="V98" s="394"/>
      <c r="W98" s="1987" t="str">
        <f>IF(Y100,"ONLY one.","")</f>
        <v/>
      </c>
      <c r="X98" s="3899"/>
      <c r="Y98" s="887" t="b">
        <f>IF(AND(Q96&lt;&gt;"",T96&lt;&gt;""),TRUE,FALSE)</f>
        <v>0</v>
      </c>
      <c r="Z98" s="887"/>
      <c r="AA98" s="887"/>
      <c r="AB98" s="887"/>
    </row>
    <row r="99" spans="1:28" ht="13.5" thickBot="1">
      <c r="A99" s="394"/>
      <c r="B99" s="131"/>
      <c r="C99" s="936"/>
      <c r="D99" s="680"/>
      <c r="E99" s="680"/>
      <c r="F99" s="680"/>
      <c r="G99" s="680"/>
      <c r="H99" s="680"/>
      <c r="I99" s="680"/>
      <c r="J99" s="680"/>
      <c r="K99" s="680"/>
      <c r="L99" s="680"/>
      <c r="M99" s="680"/>
      <c r="N99" s="680"/>
      <c r="O99" s="680"/>
      <c r="P99" s="680"/>
      <c r="Q99" s="680"/>
      <c r="R99" s="401"/>
      <c r="S99" s="680"/>
      <c r="T99" s="680"/>
      <c r="U99" s="680"/>
      <c r="V99" s="394"/>
      <c r="W99" s="260"/>
      <c r="X99" s="3899"/>
      <c r="Y99" s="887"/>
      <c r="Z99" s="887"/>
      <c r="AA99" s="887"/>
      <c r="AB99" s="887"/>
    </row>
    <row r="100" spans="1:28" ht="14.25" customHeight="1" thickBot="1">
      <c r="A100" s="394"/>
      <c r="B100" s="168" t="s">
        <v>2421</v>
      </c>
      <c r="C100" s="936" t="s">
        <v>2422</v>
      </c>
      <c r="D100" s="680"/>
      <c r="E100" s="680"/>
      <c r="F100" s="680"/>
      <c r="G100" s="680"/>
      <c r="H100" s="680"/>
      <c r="I100" s="402"/>
      <c r="J100" s="680"/>
      <c r="K100" s="680"/>
      <c r="L100" s="680"/>
      <c r="M100" s="680"/>
      <c r="N100" s="680"/>
      <c r="O100" s="680"/>
      <c r="P100" s="400" t="s">
        <v>1669</v>
      </c>
      <c r="Q100" s="820"/>
      <c r="R100" s="152" t="s">
        <v>608</v>
      </c>
      <c r="S100" s="680"/>
      <c r="T100" s="820"/>
      <c r="U100" s="3744" t="s">
        <v>609</v>
      </c>
      <c r="V100" s="394"/>
      <c r="W100" s="1987" t="str">
        <f>IF(Y102,"ONLY one.","")</f>
        <v/>
      </c>
      <c r="X100" s="3899"/>
      <c r="Y100" s="887" t="b">
        <f>IF(AND(Q98&lt;&gt;"",T98&lt;&gt;""),TRUE,FALSE)</f>
        <v>0</v>
      </c>
      <c r="Z100" s="887"/>
      <c r="AA100" s="887"/>
      <c r="AB100" s="887"/>
    </row>
    <row r="101" spans="1:28" ht="13.5" thickBot="1">
      <c r="A101" s="394"/>
      <c r="B101" s="131"/>
      <c r="C101" s="936"/>
      <c r="D101" s="680"/>
      <c r="E101" s="680"/>
      <c r="F101" s="680"/>
      <c r="G101" s="680"/>
      <c r="H101" s="680"/>
      <c r="I101" s="680"/>
      <c r="J101" s="680"/>
      <c r="K101" s="680"/>
      <c r="L101" s="680"/>
      <c r="M101" s="680"/>
      <c r="N101" s="680"/>
      <c r="O101" s="680"/>
      <c r="P101" s="680"/>
      <c r="Q101" s="680"/>
      <c r="R101" s="401"/>
      <c r="S101" s="680"/>
      <c r="T101" s="680"/>
      <c r="U101" s="680"/>
      <c r="V101" s="394"/>
      <c r="W101" s="260"/>
      <c r="X101" s="3899"/>
      <c r="Y101" s="887"/>
      <c r="Z101" s="887"/>
      <c r="AA101" s="887"/>
      <c r="AB101" s="887"/>
    </row>
    <row r="102" spans="1:28" ht="14.25" customHeight="1" thickBot="1">
      <c r="A102" s="394"/>
      <c r="B102" s="379" t="s">
        <v>644</v>
      </c>
      <c r="C102" s="936" t="s">
        <v>2423</v>
      </c>
      <c r="D102" s="680"/>
      <c r="E102" s="680"/>
      <c r="F102" s="680"/>
      <c r="G102" s="402"/>
      <c r="H102" s="680"/>
      <c r="I102" s="680"/>
      <c r="J102" s="680"/>
      <c r="K102" s="680"/>
      <c r="L102" s="680"/>
      <c r="M102" s="680"/>
      <c r="N102" s="680"/>
      <c r="O102" s="680"/>
      <c r="P102" s="400" t="s">
        <v>2424</v>
      </c>
      <c r="Q102" s="820"/>
      <c r="R102" s="152" t="s">
        <v>608</v>
      </c>
      <c r="S102" s="680"/>
      <c r="T102" s="820"/>
      <c r="U102" s="3744" t="s">
        <v>609</v>
      </c>
      <c r="V102" s="394"/>
      <c r="W102" s="1987" t="str">
        <f>IF(Y104,"ONLY one.","")</f>
        <v/>
      </c>
      <c r="X102" s="3899"/>
      <c r="Y102" s="887" t="b">
        <f>IF(AND(Q100&lt;&gt;"",T100&lt;&gt;""),TRUE,FALSE)</f>
        <v>0</v>
      </c>
      <c r="Z102" s="887"/>
      <c r="AA102" s="887"/>
      <c r="AB102" s="887"/>
    </row>
    <row r="103" spans="1:28" ht="13.5" thickBot="1">
      <c r="A103" s="394"/>
      <c r="B103" s="131"/>
      <c r="C103" s="680"/>
      <c r="D103" s="680"/>
      <c r="E103" s="680"/>
      <c r="F103" s="680"/>
      <c r="G103" s="680"/>
      <c r="H103" s="680"/>
      <c r="I103" s="680"/>
      <c r="J103" s="680"/>
      <c r="K103" s="680"/>
      <c r="L103" s="680"/>
      <c r="M103" s="680"/>
      <c r="N103" s="680"/>
      <c r="O103" s="680"/>
      <c r="P103" s="680"/>
      <c r="Q103" s="680"/>
      <c r="R103" s="680"/>
      <c r="S103" s="680"/>
      <c r="T103" s="680"/>
      <c r="U103" s="680"/>
      <c r="V103" s="394"/>
      <c r="W103" s="260"/>
      <c r="X103" s="3899"/>
      <c r="Y103" s="887"/>
      <c r="Z103" s="887"/>
      <c r="AA103" s="887"/>
      <c r="AB103" s="887"/>
    </row>
    <row r="104" spans="1:28" ht="18" customHeight="1">
      <c r="A104" s="394"/>
      <c r="B104" s="1848" t="s">
        <v>2425</v>
      </c>
      <c r="C104" s="148" t="s">
        <v>5602</v>
      </c>
      <c r="D104" s="148"/>
      <c r="E104" s="148"/>
      <c r="F104" s="148"/>
      <c r="G104" s="148"/>
      <c r="H104" s="148"/>
      <c r="I104" s="148"/>
      <c r="J104" s="148"/>
      <c r="K104" s="148"/>
      <c r="L104" s="148"/>
      <c r="M104" s="148"/>
      <c r="N104" s="148"/>
      <c r="O104" s="148"/>
      <c r="P104" s="148"/>
      <c r="Q104" s="148"/>
      <c r="R104" s="148"/>
      <c r="S104" s="148"/>
      <c r="T104" s="148"/>
      <c r="U104" s="148"/>
      <c r="V104" s="394"/>
      <c r="W104" s="260"/>
      <c r="X104" s="3899"/>
      <c r="Y104" s="887" t="b">
        <f>IF(AND(Q102&lt;&gt;"",T102&lt;&gt;""),TRUE,FALSE)</f>
        <v>0</v>
      </c>
      <c r="Z104" s="887"/>
      <c r="AA104" s="887"/>
      <c r="AB104" s="887"/>
    </row>
    <row r="105" spans="1:28" ht="27" customHeight="1">
      <c r="A105" s="394"/>
      <c r="B105" s="7120"/>
      <c r="C105" s="7120"/>
      <c r="D105" s="7120"/>
      <c r="E105" s="7120"/>
      <c r="F105" s="7120"/>
      <c r="G105" s="7120"/>
      <c r="H105" s="7120"/>
      <c r="I105" s="7120"/>
      <c r="J105" s="7120"/>
      <c r="K105" s="7120"/>
      <c r="L105" s="7120"/>
      <c r="M105" s="7120"/>
      <c r="N105" s="7120"/>
      <c r="O105" s="7120"/>
      <c r="P105" s="7120"/>
      <c r="Q105" s="7120"/>
      <c r="R105" s="7120"/>
      <c r="S105" s="7121"/>
      <c r="T105" s="7141"/>
      <c r="U105" s="7142"/>
      <c r="V105" s="394"/>
      <c r="W105" s="260"/>
      <c r="X105" s="3899"/>
    </row>
    <row r="106" spans="1:28" ht="27.75" customHeight="1">
      <c r="A106" s="394"/>
      <c r="B106" s="7122"/>
      <c r="C106" s="7122"/>
      <c r="D106" s="7122"/>
      <c r="E106" s="7122"/>
      <c r="F106" s="7122"/>
      <c r="G106" s="7122"/>
      <c r="H106" s="7122"/>
      <c r="I106" s="7122"/>
      <c r="J106" s="7122"/>
      <c r="K106" s="7122"/>
      <c r="L106" s="7122"/>
      <c r="M106" s="7122"/>
      <c r="N106" s="7122"/>
      <c r="O106" s="7122"/>
      <c r="P106" s="7122"/>
      <c r="Q106" s="7122"/>
      <c r="R106" s="7122"/>
      <c r="S106" s="7123"/>
      <c r="T106" s="7141"/>
      <c r="U106" s="7142"/>
      <c r="V106" s="394"/>
      <c r="W106" s="260"/>
      <c r="X106" s="3899"/>
    </row>
    <row r="107" spans="1:28" ht="27.75" customHeight="1">
      <c r="A107" s="394"/>
      <c r="B107" s="7122"/>
      <c r="C107" s="7122"/>
      <c r="D107" s="7122"/>
      <c r="E107" s="7122"/>
      <c r="F107" s="7122"/>
      <c r="G107" s="7122"/>
      <c r="H107" s="7122"/>
      <c r="I107" s="7122"/>
      <c r="J107" s="7122"/>
      <c r="K107" s="7122"/>
      <c r="L107" s="7122"/>
      <c r="M107" s="7122"/>
      <c r="N107" s="7122"/>
      <c r="O107" s="7122"/>
      <c r="P107" s="7122"/>
      <c r="Q107" s="7122"/>
      <c r="R107" s="7122"/>
      <c r="S107" s="7123"/>
      <c r="T107" s="7141"/>
      <c r="U107" s="7142"/>
      <c r="V107" s="394"/>
      <c r="W107" s="260"/>
      <c r="X107" s="3899"/>
    </row>
    <row r="108" spans="1:28" ht="27.75" customHeight="1">
      <c r="A108" s="394"/>
      <c r="B108" s="7122"/>
      <c r="C108" s="7122"/>
      <c r="D108" s="7122"/>
      <c r="E108" s="7122"/>
      <c r="F108" s="7122"/>
      <c r="G108" s="7122"/>
      <c r="H108" s="7122"/>
      <c r="I108" s="7122"/>
      <c r="J108" s="7122"/>
      <c r="K108" s="7122"/>
      <c r="L108" s="7122"/>
      <c r="M108" s="7122"/>
      <c r="N108" s="7122"/>
      <c r="O108" s="7122"/>
      <c r="P108" s="7122"/>
      <c r="Q108" s="7122"/>
      <c r="R108" s="7122"/>
      <c r="S108" s="7123"/>
      <c r="T108" s="7141"/>
      <c r="U108" s="7142"/>
      <c r="V108" s="394"/>
      <c r="W108" s="260"/>
      <c r="X108" s="3899"/>
    </row>
    <row r="109" spans="1:28" ht="27.75" customHeight="1">
      <c r="A109" s="394"/>
      <c r="B109" s="7122"/>
      <c r="C109" s="7122"/>
      <c r="D109" s="7122"/>
      <c r="E109" s="7122"/>
      <c r="F109" s="7122"/>
      <c r="G109" s="7122"/>
      <c r="H109" s="7122"/>
      <c r="I109" s="7122"/>
      <c r="J109" s="7122"/>
      <c r="K109" s="7122"/>
      <c r="L109" s="7122"/>
      <c r="M109" s="7122"/>
      <c r="N109" s="7122"/>
      <c r="O109" s="7122"/>
      <c r="P109" s="7122"/>
      <c r="Q109" s="7122"/>
      <c r="R109" s="7122"/>
      <c r="S109" s="7123"/>
      <c r="T109" s="7141"/>
      <c r="U109" s="7142"/>
      <c r="V109" s="394"/>
      <c r="W109" s="260"/>
      <c r="X109" s="3899"/>
    </row>
    <row r="110" spans="1:28" ht="27.75" customHeight="1">
      <c r="A110" s="394"/>
      <c r="B110" s="7122"/>
      <c r="C110" s="7122"/>
      <c r="D110" s="7122"/>
      <c r="E110" s="7122"/>
      <c r="F110" s="7122"/>
      <c r="G110" s="7122"/>
      <c r="H110" s="7122"/>
      <c r="I110" s="7122"/>
      <c r="J110" s="7122"/>
      <c r="K110" s="7122"/>
      <c r="L110" s="7122"/>
      <c r="M110" s="7122"/>
      <c r="N110" s="7122"/>
      <c r="O110" s="7122"/>
      <c r="P110" s="7122"/>
      <c r="Q110" s="7122"/>
      <c r="R110" s="7122"/>
      <c r="S110" s="7123"/>
      <c r="T110" s="7141"/>
      <c r="U110" s="7142"/>
      <c r="V110" s="394"/>
      <c r="W110" s="260"/>
      <c r="X110" s="3899"/>
    </row>
    <row r="111" spans="1:28" ht="27.75" customHeight="1">
      <c r="A111" s="394"/>
      <c r="B111" s="7122"/>
      <c r="C111" s="7122"/>
      <c r="D111" s="7122"/>
      <c r="E111" s="7122"/>
      <c r="F111" s="7122"/>
      <c r="G111" s="7122"/>
      <c r="H111" s="7122"/>
      <c r="I111" s="7122"/>
      <c r="J111" s="7122"/>
      <c r="K111" s="7122"/>
      <c r="L111" s="7122"/>
      <c r="M111" s="7122"/>
      <c r="N111" s="7122"/>
      <c r="O111" s="7122"/>
      <c r="P111" s="7122"/>
      <c r="Q111" s="7122"/>
      <c r="R111" s="7122"/>
      <c r="S111" s="7123"/>
      <c r="T111" s="7141"/>
      <c r="U111" s="7142"/>
      <c r="V111" s="394"/>
      <c r="W111" s="260"/>
      <c r="X111" s="3899"/>
    </row>
    <row r="112" spans="1:28" ht="27.75" customHeight="1">
      <c r="A112" s="394"/>
      <c r="B112" s="7122"/>
      <c r="C112" s="7122"/>
      <c r="D112" s="7122"/>
      <c r="E112" s="7122"/>
      <c r="F112" s="7122"/>
      <c r="G112" s="7122"/>
      <c r="H112" s="7122"/>
      <c r="I112" s="7122"/>
      <c r="J112" s="7122"/>
      <c r="K112" s="7122"/>
      <c r="L112" s="7122"/>
      <c r="M112" s="7122"/>
      <c r="N112" s="7122"/>
      <c r="O112" s="7122"/>
      <c r="P112" s="7122"/>
      <c r="Q112" s="7122"/>
      <c r="R112" s="7122"/>
      <c r="S112" s="7123"/>
      <c r="T112" s="7141"/>
      <c r="U112" s="7142"/>
      <c r="V112" s="394"/>
      <c r="W112" s="260"/>
      <c r="X112" s="3899"/>
    </row>
    <row r="113" spans="1:28" ht="27.75" customHeight="1">
      <c r="A113" s="394"/>
      <c r="B113" s="7172"/>
      <c r="C113" s="7172"/>
      <c r="D113" s="7172"/>
      <c r="E113" s="7172"/>
      <c r="F113" s="7172"/>
      <c r="G113" s="7172"/>
      <c r="H113" s="7172"/>
      <c r="I113" s="7172"/>
      <c r="J113" s="7172"/>
      <c r="K113" s="7172"/>
      <c r="L113" s="7172"/>
      <c r="M113" s="7172"/>
      <c r="N113" s="7172"/>
      <c r="O113" s="7172"/>
      <c r="P113" s="7172"/>
      <c r="Q113" s="7172"/>
      <c r="R113" s="7172"/>
      <c r="S113" s="7173"/>
      <c r="T113" s="7141"/>
      <c r="U113" s="7142"/>
      <c r="V113" s="394"/>
      <c r="W113" s="260"/>
      <c r="X113" s="3899"/>
    </row>
    <row r="114" spans="1:28" ht="27.75" customHeight="1" thickBot="1">
      <c r="A114" s="394"/>
      <c r="B114" s="3028">
        <v>48</v>
      </c>
      <c r="C114" s="3751" t="s">
        <v>2426</v>
      </c>
      <c r="D114" s="740"/>
      <c r="E114" s="2866"/>
      <c r="F114" s="2866"/>
      <c r="G114" s="2866"/>
      <c r="H114" s="2866"/>
      <c r="I114" s="2866"/>
      <c r="J114" s="2866"/>
      <c r="K114" s="2866"/>
      <c r="L114" s="2866"/>
      <c r="M114" s="2866"/>
      <c r="N114" s="2866"/>
      <c r="O114" s="2866"/>
      <c r="P114" s="2866"/>
      <c r="Q114" s="3751"/>
      <c r="R114" s="1905" t="s">
        <v>2427</v>
      </c>
      <c r="S114" s="5588">
        <v>48</v>
      </c>
      <c r="T114" s="7147">
        <f>ROUND(SUM(T105,T106,T107,T108,T109,T110,T111,T112,T113),0)</f>
        <v>0</v>
      </c>
      <c r="U114" s="7148"/>
      <c r="V114" s="394"/>
      <c r="W114" s="260"/>
      <c r="X114" s="3899"/>
    </row>
    <row r="115" spans="1:28" ht="16.5" customHeight="1">
      <c r="A115" s="394"/>
      <c r="B115" s="2597"/>
      <c r="C115" s="2597"/>
      <c r="D115" s="2597"/>
      <c r="E115" s="2597"/>
      <c r="F115" s="2598"/>
      <c r="G115" s="2598"/>
      <c r="H115" s="2598"/>
      <c r="I115" s="2599"/>
      <c r="J115" s="2599"/>
      <c r="K115" s="2599"/>
      <c r="L115" s="2600"/>
      <c r="M115" s="2599"/>
      <c r="N115" s="2598"/>
      <c r="O115" s="2598"/>
      <c r="P115" s="2601"/>
      <c r="Q115" s="2598"/>
      <c r="R115" s="2598"/>
      <c r="S115" s="2600"/>
      <c r="T115" s="2602"/>
      <c r="U115" s="2602" t="str">
        <f>"Schedule C   (Form 1040)  "&amp;TaxYear</f>
        <v>Schedule C   (Form 1040)  2023</v>
      </c>
      <c r="V115" s="394"/>
      <c r="W115" s="260"/>
      <c r="X115" s="3899"/>
    </row>
    <row r="116" spans="1:28" ht="20.25" customHeight="1">
      <c r="A116" s="394"/>
      <c r="B116" s="229" t="s">
        <v>2258</v>
      </c>
      <c r="C116" s="570"/>
      <c r="D116" s="2542"/>
      <c r="E116" s="130"/>
      <c r="F116" s="398"/>
      <c r="G116" s="192"/>
      <c r="H116" s="192"/>
      <c r="I116" s="3740" t="s">
        <v>2259</v>
      </c>
      <c r="J116" s="112"/>
      <c r="K116" s="112"/>
      <c r="L116" s="21"/>
      <c r="M116" s="112"/>
      <c r="N116" s="192"/>
      <c r="O116" s="192"/>
      <c r="P116" s="134"/>
      <c r="Q116" s="2541"/>
      <c r="R116" s="7130" t="s">
        <v>576</v>
      </c>
      <c r="S116" s="6918"/>
      <c r="T116" s="6918"/>
      <c r="U116" s="6918"/>
      <c r="V116" s="394"/>
      <c r="W116" s="3924" t="s">
        <v>2260</v>
      </c>
      <c r="X116" s="1665" t="str">
        <f>IF(X117&lt;&gt;"","","X")</f>
        <v>X</v>
      </c>
    </row>
    <row r="117" spans="1:28" ht="20.25" customHeight="1">
      <c r="A117" s="394"/>
      <c r="B117" s="3741" t="s">
        <v>2088</v>
      </c>
      <c r="C117" s="570"/>
      <c r="D117" s="2540"/>
      <c r="E117" s="130"/>
      <c r="F117" s="130"/>
      <c r="G117" s="130"/>
      <c r="H117" s="131"/>
      <c r="I117" s="3742" t="s">
        <v>2261</v>
      </c>
      <c r="J117" s="132"/>
      <c r="K117" s="132"/>
      <c r="L117" s="130"/>
      <c r="M117" s="133"/>
      <c r="N117" s="131"/>
      <c r="O117" s="131"/>
      <c r="P117" s="134"/>
      <c r="Q117" s="130"/>
      <c r="R117" s="7131">
        <f>TaxYear</f>
        <v>2023</v>
      </c>
      <c r="S117" s="7132"/>
      <c r="T117" s="7133"/>
      <c r="U117" s="6864"/>
      <c r="V117" s="394"/>
      <c r="W117" s="3924" t="s">
        <v>2262</v>
      </c>
      <c r="X117" s="861" t="str">
        <f>IF(File_Marr_Joint&lt;&gt;"","X","")</f>
        <v/>
      </c>
    </row>
    <row r="118" spans="1:28" ht="18.75" customHeight="1">
      <c r="A118" s="394"/>
      <c r="B118" s="7134" t="s">
        <v>2263</v>
      </c>
      <c r="C118" s="7135"/>
      <c r="D118" s="7203" t="s">
        <v>2267</v>
      </c>
      <c r="E118" s="7050"/>
      <c r="F118" s="7050"/>
      <c r="G118" s="7050"/>
      <c r="H118" s="7050"/>
      <c r="I118" s="7050"/>
      <c r="J118" s="7050"/>
      <c r="K118" s="7050"/>
      <c r="L118" s="7050"/>
      <c r="M118" s="7050"/>
      <c r="N118" s="7050"/>
      <c r="O118" s="7050"/>
      <c r="P118" s="7050"/>
      <c r="Q118" s="7062"/>
      <c r="R118" s="7155" t="s">
        <v>2428</v>
      </c>
      <c r="S118" s="7156"/>
      <c r="T118" s="7156"/>
      <c r="U118" s="7159" t="s">
        <v>2266</v>
      </c>
      <c r="V118" s="394"/>
      <c r="W118" s="260"/>
      <c r="X118" s="3899"/>
    </row>
    <row r="119" spans="1:28" ht="12" customHeight="1">
      <c r="A119" s="394"/>
      <c r="B119" s="7136"/>
      <c r="C119" s="7137"/>
      <c r="D119" s="7138" t="s">
        <v>2264</v>
      </c>
      <c r="E119" s="7139"/>
      <c r="F119" s="7139"/>
      <c r="G119" s="7139"/>
      <c r="H119" s="7139"/>
      <c r="I119" s="7139"/>
      <c r="J119" s="7139"/>
      <c r="K119" s="7139"/>
      <c r="L119" s="7139"/>
      <c r="M119" s="7139"/>
      <c r="N119" s="7139"/>
      <c r="O119" s="7139"/>
      <c r="P119" s="7139"/>
      <c r="Q119" s="7140"/>
      <c r="R119" s="7157"/>
      <c r="S119" s="7158"/>
      <c r="T119" s="7158"/>
      <c r="U119" s="7160"/>
      <c r="V119" s="394"/>
      <c r="W119" s="7192"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861"/>
      <c r="Y119" s="962" t="s">
        <v>2269</v>
      </c>
      <c r="Z119" s="962"/>
      <c r="AA119" s="962"/>
      <c r="AB119" s="962"/>
    </row>
    <row r="120" spans="1:28" ht="11.25" customHeight="1">
      <c r="A120" s="394"/>
      <c r="B120" s="133" t="s">
        <v>2270</v>
      </c>
      <c r="C120" s="130"/>
      <c r="D120" s="130"/>
      <c r="E120" s="130"/>
      <c r="F120" s="111"/>
      <c r="G120" s="111"/>
      <c r="H120" s="112"/>
      <c r="I120" s="20"/>
      <c r="J120" s="20"/>
      <c r="K120" s="20"/>
      <c r="L120" s="137"/>
      <c r="M120" s="5958" t="s">
        <v>2271</v>
      </c>
      <c r="N120" s="112"/>
      <c r="O120" s="112"/>
      <c r="P120" s="112"/>
      <c r="Q120" s="111"/>
      <c r="R120" s="111"/>
      <c r="S120" s="111"/>
      <c r="T120" s="111"/>
      <c r="U120" s="111"/>
      <c r="V120" s="394"/>
      <c r="W120" s="7192"/>
      <c r="X120" s="3899"/>
      <c r="Y120" s="887" t="b">
        <f>(X119&lt;&gt;"")</f>
        <v>0</v>
      </c>
      <c r="Z120" s="887"/>
      <c r="AA120" s="887"/>
      <c r="AB120" s="887"/>
    </row>
    <row r="121" spans="1:28" ht="12" customHeight="1" thickBot="1">
      <c r="A121" s="394"/>
      <c r="B121" s="7165"/>
      <c r="C121" s="7165"/>
      <c r="D121" s="7165"/>
      <c r="E121" s="7165"/>
      <c r="F121" s="7165"/>
      <c r="G121" s="7165"/>
      <c r="H121" s="7165"/>
      <c r="I121" s="7165"/>
      <c r="J121" s="7165"/>
      <c r="K121" s="7165"/>
      <c r="L121" s="7166"/>
      <c r="M121" s="7161">
        <f>IF(AND(SS_Yours&lt;&gt;"",X116&lt;&gt;""),SS_Yours,IF(SS_Spouse&lt;&gt;"",SS_Spouse,2))</f>
        <v>1010001</v>
      </c>
      <c r="N121" s="7162"/>
      <c r="O121" s="7162"/>
      <c r="P121" s="7162"/>
      <c r="Q121" s="7162"/>
      <c r="R121" s="7162"/>
      <c r="S121" s="7162"/>
      <c r="T121" s="7162"/>
      <c r="U121" s="7162"/>
      <c r="V121" s="394"/>
      <c r="W121" s="7192"/>
      <c r="X121" s="861" t="s">
        <v>2429</v>
      </c>
      <c r="Y121" s="962" t="s">
        <v>2272</v>
      </c>
      <c r="Z121" s="962"/>
      <c r="AA121" s="962"/>
      <c r="AB121" s="962"/>
    </row>
    <row r="122" spans="1:28" ht="14.25" customHeight="1" thickTop="1">
      <c r="A122" s="394"/>
      <c r="B122" s="152" t="s">
        <v>542</v>
      </c>
      <c r="C122" s="133" t="s">
        <v>2273</v>
      </c>
      <c r="D122" s="133"/>
      <c r="E122" s="130"/>
      <c r="F122" s="111"/>
      <c r="G122" s="111"/>
      <c r="H122" s="112"/>
      <c r="I122" s="20"/>
      <c r="J122" s="20"/>
      <c r="K122" s="20"/>
      <c r="L122" s="112"/>
      <c r="M122" s="678" t="s">
        <v>2274</v>
      </c>
      <c r="N122" s="52"/>
      <c r="O122" s="52"/>
      <c r="P122" s="52"/>
      <c r="Q122" s="53"/>
      <c r="R122" s="53"/>
      <c r="S122" s="53"/>
      <c r="T122" s="53"/>
      <c r="U122" s="251"/>
      <c r="V122" s="394"/>
      <c r="W122" s="7192"/>
      <c r="X122" s="3899"/>
      <c r="Y122" s="887" t="b">
        <f>(X121&lt;&gt;"")</f>
        <v>1</v>
      </c>
      <c r="Z122" s="887"/>
      <c r="AA122" s="887"/>
      <c r="AB122" s="887"/>
    </row>
    <row r="123" spans="1:28" ht="12.75" customHeight="1" thickBot="1">
      <c r="A123" s="394"/>
      <c r="B123" s="7167"/>
      <c r="C123" s="7167"/>
      <c r="D123" s="7167"/>
      <c r="E123" s="7167"/>
      <c r="F123" s="7167"/>
      <c r="G123" s="7167"/>
      <c r="H123" s="7167"/>
      <c r="I123" s="7167"/>
      <c r="J123" s="7167"/>
      <c r="K123" s="7167"/>
      <c r="L123" s="7168"/>
      <c r="M123" s="679"/>
      <c r="N123" s="5957"/>
      <c r="O123" s="5957"/>
      <c r="P123" s="5957"/>
      <c r="Q123" s="5957"/>
      <c r="R123" s="5957"/>
      <c r="S123" s="5957"/>
      <c r="T123" s="5956"/>
      <c r="U123" s="5955"/>
      <c r="V123" s="394"/>
      <c r="W123" s="7192"/>
      <c r="X123" s="861"/>
      <c r="Y123" s="962" t="s">
        <v>2275</v>
      </c>
      <c r="Z123" s="962"/>
      <c r="AA123" s="962"/>
      <c r="AB123" s="962"/>
    </row>
    <row r="124" spans="1:28" ht="12.75" customHeight="1" thickTop="1">
      <c r="A124" s="394"/>
      <c r="B124" s="152" t="s">
        <v>550</v>
      </c>
      <c r="C124" s="133" t="s">
        <v>2276</v>
      </c>
      <c r="D124" s="133"/>
      <c r="E124" s="130"/>
      <c r="F124" s="111"/>
      <c r="G124" s="111"/>
      <c r="H124" s="112"/>
      <c r="I124" s="20"/>
      <c r="J124" s="20"/>
      <c r="K124" s="20"/>
      <c r="L124" s="137"/>
      <c r="M124" s="138" t="s">
        <v>2277</v>
      </c>
      <c r="N124" s="112"/>
      <c r="O124" s="112"/>
      <c r="P124" s="112"/>
      <c r="Q124" s="111"/>
      <c r="R124" s="111"/>
      <c r="S124" s="111"/>
      <c r="T124" s="111"/>
      <c r="U124" s="111"/>
      <c r="V124" s="394"/>
      <c r="W124" s="260"/>
      <c r="X124" s="3899"/>
      <c r="Y124" s="887" t="b">
        <f>(X123&lt;&gt;"")</f>
        <v>0</v>
      </c>
      <c r="Z124" s="887"/>
      <c r="AA124" s="887"/>
      <c r="AB124" s="887"/>
    </row>
    <row r="125" spans="1:28" ht="12" customHeight="1">
      <c r="A125" s="394"/>
      <c r="B125" s="7167"/>
      <c r="C125" s="7167"/>
      <c r="D125" s="7167"/>
      <c r="E125" s="7167"/>
      <c r="F125" s="7167"/>
      <c r="G125" s="7167"/>
      <c r="H125" s="7167"/>
      <c r="I125" s="7167"/>
      <c r="J125" s="7167"/>
      <c r="K125" s="7167"/>
      <c r="L125" s="7169"/>
      <c r="M125" s="823"/>
      <c r="N125" s="824"/>
      <c r="O125" s="825"/>
      <c r="P125" s="823"/>
      <c r="Q125" s="823"/>
      <c r="R125" s="823"/>
      <c r="S125" s="823"/>
      <c r="T125" s="5573"/>
      <c r="U125" s="6220"/>
      <c r="V125" s="394"/>
      <c r="W125" s="260"/>
      <c r="X125" s="3899"/>
      <c r="Y125" s="887" t="b">
        <f>OR(AND(Y120,Y124),AND(Y122,Y124))</f>
        <v>0</v>
      </c>
      <c r="Z125" s="887"/>
      <c r="AA125" s="887"/>
      <c r="AB125" s="887"/>
    </row>
    <row r="126" spans="1:28" ht="14.25" customHeight="1">
      <c r="A126" s="394"/>
      <c r="B126" s="152" t="s">
        <v>556</v>
      </c>
      <c r="C126" s="133" t="s">
        <v>2278</v>
      </c>
      <c r="D126" s="133"/>
      <c r="E126" s="130"/>
      <c r="F126" s="111"/>
      <c r="G126" s="111"/>
      <c r="H126" s="135"/>
      <c r="I126" s="7170"/>
      <c r="J126" s="7170"/>
      <c r="K126" s="7170"/>
      <c r="L126" s="7170"/>
      <c r="M126" s="7170"/>
      <c r="N126" s="7170"/>
      <c r="O126" s="7170"/>
      <c r="P126" s="7170"/>
      <c r="Q126" s="7170"/>
      <c r="R126" s="7170"/>
      <c r="S126" s="7170"/>
      <c r="T126" s="7170"/>
      <c r="U126" s="7170"/>
      <c r="V126" s="394"/>
      <c r="W126" s="260"/>
      <c r="X126" s="3899"/>
    </row>
    <row r="127" spans="1:28" ht="11.25" customHeight="1">
      <c r="A127" s="394"/>
      <c r="B127" s="5574"/>
      <c r="C127" s="172" t="s">
        <v>2279</v>
      </c>
      <c r="D127" s="172"/>
      <c r="E127" s="119"/>
      <c r="F127" s="16"/>
      <c r="G127" s="16"/>
      <c r="H127" s="16"/>
      <c r="I127" s="7174"/>
      <c r="J127" s="7174"/>
      <c r="K127" s="7174"/>
      <c r="L127" s="7174"/>
      <c r="M127" s="7174"/>
      <c r="N127" s="7174"/>
      <c r="O127" s="7174"/>
      <c r="P127" s="7174"/>
      <c r="Q127" s="7174"/>
      <c r="R127" s="7174"/>
      <c r="S127" s="7174"/>
      <c r="T127" s="7174"/>
      <c r="U127" s="7174"/>
      <c r="V127" s="394"/>
      <c r="W127" s="260"/>
      <c r="X127" s="3899"/>
    </row>
    <row r="128" spans="1:28" ht="4.5" customHeight="1" thickBot="1">
      <c r="A128" s="394"/>
      <c r="B128" s="995"/>
      <c r="C128" s="133"/>
      <c r="D128" s="133"/>
      <c r="E128" s="130"/>
      <c r="F128" s="111"/>
      <c r="G128" s="111"/>
      <c r="H128" s="111"/>
      <c r="I128" s="5575"/>
      <c r="J128" s="731"/>
      <c r="K128" s="733"/>
      <c r="L128" s="734"/>
      <c r="M128" s="734"/>
      <c r="N128" s="734"/>
      <c r="O128" s="734"/>
      <c r="P128" s="734"/>
      <c r="Q128" s="734"/>
      <c r="R128" s="734"/>
      <c r="S128" s="734"/>
      <c r="T128" s="734"/>
      <c r="U128" s="734"/>
      <c r="V128" s="394"/>
      <c r="W128" s="260"/>
      <c r="X128" s="3899"/>
    </row>
    <row r="129" spans="1:28" ht="13.5" customHeight="1" thickBot="1">
      <c r="A129" s="394"/>
      <c r="B129" s="152" t="s">
        <v>2280</v>
      </c>
      <c r="C129" s="133" t="s">
        <v>2281</v>
      </c>
      <c r="D129" s="133"/>
      <c r="E129" s="820"/>
      <c r="F129" s="732" t="s">
        <v>2282</v>
      </c>
      <c r="G129" s="124" t="str">
        <f>"(2) "</f>
        <v xml:space="preserve">(2) </v>
      </c>
      <c r="H129" s="820"/>
      <c r="I129" s="133" t="s">
        <v>2283</v>
      </c>
      <c r="J129" s="124" t="str">
        <f>"(3)"</f>
        <v>(3)</v>
      </c>
      <c r="K129" s="820"/>
      <c r="L129" s="133" t="s">
        <v>2284</v>
      </c>
      <c r="M129" s="133"/>
      <c r="N129" s="7163"/>
      <c r="O129" s="6802"/>
      <c r="P129" s="6802"/>
      <c r="Q129" s="6802"/>
      <c r="R129" s="6802"/>
      <c r="S129" s="6802"/>
      <c r="T129" s="6802"/>
      <c r="U129" s="6802"/>
      <c r="V129" s="394"/>
      <c r="W129" s="260"/>
      <c r="X129" s="3899"/>
    </row>
    <row r="130" spans="1:28" ht="5.25" customHeight="1" thickBot="1">
      <c r="A130" s="394"/>
      <c r="B130" s="152"/>
      <c r="C130" s="133"/>
      <c r="D130" s="133"/>
      <c r="E130" s="5576"/>
      <c r="F130" s="111"/>
      <c r="G130" s="124"/>
      <c r="H130" s="5577"/>
      <c r="I130" s="133"/>
      <c r="J130" s="379"/>
      <c r="K130" s="5577"/>
      <c r="L130" s="133"/>
      <c r="M130" s="133"/>
      <c r="N130" s="399"/>
      <c r="O130" s="5578"/>
      <c r="P130" s="5578"/>
      <c r="Q130" s="5578"/>
      <c r="R130" s="5578"/>
      <c r="S130" s="5578"/>
      <c r="T130" s="5578"/>
      <c r="U130" s="5578"/>
      <c r="V130" s="394"/>
      <c r="W130" s="260"/>
      <c r="X130" s="3899"/>
    </row>
    <row r="131" spans="1:28" ht="15" customHeight="1" thickBot="1">
      <c r="A131" s="394"/>
      <c r="B131" s="152" t="s">
        <v>2285</v>
      </c>
      <c r="C131" s="133" t="str">
        <f>"Did you 'materially participate' in the operation of this business during "&amp;TaxYear&amp;"? If 'No,' see instructions for limit on losses."</f>
        <v>Did you 'materially participate' in the operation of this business during 2023? If 'No,' see instructions for limit on losses.</v>
      </c>
      <c r="D131" s="20"/>
      <c r="E131" s="111"/>
      <c r="F131" s="111"/>
      <c r="G131" s="124"/>
      <c r="H131" s="111"/>
      <c r="I131" s="133"/>
      <c r="J131" s="379"/>
      <c r="K131" s="379"/>
      <c r="L131" s="111"/>
      <c r="M131" s="133"/>
      <c r="N131" s="111"/>
      <c r="O131" s="111"/>
      <c r="P131" s="111"/>
      <c r="Q131" s="111"/>
      <c r="R131" s="820"/>
      <c r="S131" s="132" t="s">
        <v>608</v>
      </c>
      <c r="T131" s="820"/>
      <c r="U131" s="132" t="s">
        <v>609</v>
      </c>
      <c r="V131" s="394"/>
      <c r="W131" s="260"/>
      <c r="X131" s="3899"/>
    </row>
    <row r="132" spans="1:28" ht="12.75" customHeight="1" thickBot="1">
      <c r="A132" s="394"/>
      <c r="B132" s="152" t="s">
        <v>2286</v>
      </c>
      <c r="C132" s="133" t="str">
        <f>"If you started or acquired this business during "&amp;TaxYear&amp;", check here"</f>
        <v>If you started or acquired this business during 2023, check here</v>
      </c>
      <c r="D132" s="133"/>
      <c r="E132" s="130"/>
      <c r="F132" s="111"/>
      <c r="G132" s="111"/>
      <c r="H132" s="399"/>
      <c r="I132" s="735"/>
      <c r="J132" s="735"/>
      <c r="K132" s="735"/>
      <c r="L132" s="399"/>
      <c r="M132" s="735"/>
      <c r="N132" s="399"/>
      <c r="O132" s="399"/>
      <c r="P132" s="399"/>
      <c r="Q132" s="379" t="s">
        <v>898</v>
      </c>
      <c r="R132" s="820"/>
      <c r="S132" s="379"/>
      <c r="T132" s="736"/>
      <c r="U132" s="111"/>
      <c r="V132" s="394"/>
      <c r="W132" s="260"/>
      <c r="X132" s="3899"/>
    </row>
    <row r="133" spans="1:28" ht="12.75" customHeight="1" thickBot="1">
      <c r="A133" s="394"/>
      <c r="B133" s="152" t="s">
        <v>2287</v>
      </c>
      <c r="C133" s="133" t="str">
        <f>"Did you make any payments in "&amp;TaxYear&amp;" that would require you to file Form(s) 1099? (see instructions) "</f>
        <v xml:space="preserve">Did you make any payments in 2023 that would require you to file Form(s) 1099? (see instructions) </v>
      </c>
      <c r="D133" s="20"/>
      <c r="E133" s="111"/>
      <c r="F133" s="111"/>
      <c r="G133" s="124"/>
      <c r="H133" s="111"/>
      <c r="I133" s="133"/>
      <c r="J133" s="379"/>
      <c r="K133" s="379"/>
      <c r="L133" s="111"/>
      <c r="M133" s="133"/>
      <c r="N133" s="111"/>
      <c r="O133" s="111"/>
      <c r="P133" s="111"/>
      <c r="Q133" s="379" t="s">
        <v>2114</v>
      </c>
      <c r="R133" s="820"/>
      <c r="S133" s="132" t="s">
        <v>608</v>
      </c>
      <c r="T133" s="820"/>
      <c r="U133" s="132" t="s">
        <v>609</v>
      </c>
      <c r="V133" s="394"/>
      <c r="W133" s="260"/>
      <c r="X133" s="3899"/>
    </row>
    <row r="134" spans="1:28" ht="12.75" customHeight="1" thickBot="1">
      <c r="A134" s="394"/>
      <c r="B134" s="152" t="s">
        <v>2288</v>
      </c>
      <c r="C134" s="133" t="s">
        <v>2289</v>
      </c>
      <c r="D134" s="20"/>
      <c r="E134" s="111"/>
      <c r="F134" s="111"/>
      <c r="G134" s="124"/>
      <c r="H134" s="111"/>
      <c r="I134" s="133"/>
      <c r="J134" s="379"/>
      <c r="K134" s="379"/>
      <c r="L134" s="111"/>
      <c r="M134" s="133"/>
      <c r="N134" s="111"/>
      <c r="O134" s="111"/>
      <c r="P134" s="111"/>
      <c r="Q134" s="379" t="s">
        <v>2290</v>
      </c>
      <c r="R134" s="820"/>
      <c r="S134" s="132" t="s">
        <v>608</v>
      </c>
      <c r="T134" s="820"/>
      <c r="U134" s="132" t="s">
        <v>609</v>
      </c>
      <c r="V134" s="394"/>
      <c r="W134" s="118" t="s">
        <v>1113</v>
      </c>
      <c r="X134" s="3899"/>
    </row>
    <row r="135" spans="1:28" ht="12.75" customHeight="1">
      <c r="A135" s="394"/>
      <c r="B135" s="3292" t="s">
        <v>884</v>
      </c>
      <c r="C135" s="1045" t="s">
        <v>2291</v>
      </c>
      <c r="D135" s="1045"/>
      <c r="E135" s="139"/>
      <c r="F135" s="140"/>
      <c r="G135" s="140"/>
      <c r="H135" s="140"/>
      <c r="I135" s="141"/>
      <c r="J135" s="141"/>
      <c r="K135" s="141"/>
      <c r="L135" s="141"/>
      <c r="M135" s="141"/>
      <c r="N135" s="140"/>
      <c r="O135" s="140"/>
      <c r="P135" s="142"/>
      <c r="Q135" s="140"/>
      <c r="R135" s="140"/>
      <c r="S135" s="140"/>
      <c r="T135" s="140"/>
      <c r="U135" s="140"/>
      <c r="V135" s="394"/>
      <c r="W135" s="118" t="s">
        <v>1062</v>
      </c>
      <c r="X135" s="3899"/>
    </row>
    <row r="136" spans="1:28" ht="15" customHeight="1" thickBot="1">
      <c r="A136" s="394"/>
      <c r="B136" s="168">
        <v>1</v>
      </c>
      <c r="C136" s="267" t="s">
        <v>2292</v>
      </c>
      <c r="D136" s="190"/>
      <c r="E136" s="5366"/>
      <c r="F136" s="5366"/>
      <c r="G136" s="5366"/>
      <c r="H136" s="5366"/>
      <c r="I136" s="5579"/>
      <c r="J136" s="5579"/>
      <c r="K136" s="5579"/>
      <c r="L136" s="5579"/>
      <c r="M136" s="379"/>
      <c r="N136" s="5366"/>
      <c r="O136" s="5366"/>
      <c r="P136" s="5366"/>
      <c r="Q136" s="5580"/>
      <c r="R136" s="379"/>
      <c r="S136" s="5581"/>
      <c r="T136" s="5582"/>
      <c r="U136" s="5582"/>
      <c r="V136" s="394"/>
      <c r="W136" s="260"/>
      <c r="X136" s="3899"/>
      <c r="Y136" s="887" t="b">
        <f>(M121=SS_Spouse)</f>
        <v>0</v>
      </c>
      <c r="Z136" s="887"/>
      <c r="AA136" s="887"/>
      <c r="AB136" s="887"/>
    </row>
    <row r="137" spans="1:28" ht="12.75" customHeight="1" thickBot="1">
      <c r="A137" s="394"/>
      <c r="B137" s="168"/>
      <c r="C137" s="267" t="s">
        <v>2293</v>
      </c>
      <c r="D137" s="190"/>
      <c r="E137" s="5366"/>
      <c r="F137" s="5366"/>
      <c r="G137" s="5366"/>
      <c r="H137" s="5366"/>
      <c r="I137" s="5579"/>
      <c r="J137" s="5579"/>
      <c r="K137" s="5579"/>
      <c r="L137" s="5579"/>
      <c r="M137" s="379"/>
      <c r="N137" s="5366"/>
      <c r="O137" s="379" t="s">
        <v>2430</v>
      </c>
      <c r="P137" s="5366"/>
      <c r="Q137" s="820"/>
      <c r="R137" s="379"/>
      <c r="S137" s="228">
        <v>1</v>
      </c>
      <c r="T137" s="7154"/>
      <c r="U137" s="7146"/>
      <c r="V137" s="394"/>
      <c r="W137" s="260"/>
      <c r="X137" s="3899"/>
      <c r="Y137" s="4657">
        <f>IF(AND(Y136,SchC_StatutoryEmp_2&lt;&gt;""),T137,0)</f>
        <v>0</v>
      </c>
      <c r="Z137" s="4657"/>
      <c r="AA137" s="4657"/>
      <c r="AB137" s="4657"/>
    </row>
    <row r="138" spans="1:28" ht="12.75" customHeight="1">
      <c r="A138" s="394"/>
      <c r="B138" s="168">
        <v>2</v>
      </c>
      <c r="C138" s="267" t="s">
        <v>2294</v>
      </c>
      <c r="D138" s="190"/>
      <c r="E138" s="5366"/>
      <c r="F138" s="5366"/>
      <c r="G138" s="5366"/>
      <c r="H138" s="5366"/>
      <c r="I138" s="5579"/>
      <c r="J138" s="5579"/>
      <c r="K138" s="5579"/>
      <c r="L138" s="5579"/>
      <c r="M138" s="5579"/>
      <c r="N138" s="5366"/>
      <c r="O138" s="5366"/>
      <c r="P138" s="5363"/>
      <c r="Q138" s="5366"/>
      <c r="R138" s="400" t="s">
        <v>1328</v>
      </c>
      <c r="S138" s="228">
        <v>2</v>
      </c>
      <c r="T138" s="7179"/>
      <c r="U138" s="7180"/>
      <c r="V138" s="394"/>
      <c r="W138" s="260"/>
      <c r="X138" s="3899"/>
      <c r="Y138" s="4657">
        <f>IF(AND(NOT(Y136),SchC_StatutoryEmp_2&lt;&gt;""),T137,0)</f>
        <v>0</v>
      </c>
      <c r="Z138" s="4657"/>
      <c r="AA138" s="4657"/>
      <c r="AB138" s="4657"/>
    </row>
    <row r="139" spans="1:28" ht="12.75" customHeight="1">
      <c r="A139" s="394"/>
      <c r="B139" s="168">
        <v>3</v>
      </c>
      <c r="C139" s="936" t="s">
        <v>2295</v>
      </c>
      <c r="D139" s="680"/>
      <c r="E139" s="680"/>
      <c r="F139" s="5363"/>
      <c r="G139" s="5363"/>
      <c r="H139" s="5363"/>
      <c r="I139" s="680"/>
      <c r="J139" s="680"/>
      <c r="K139" s="680"/>
      <c r="L139" s="680"/>
      <c r="M139" s="680"/>
      <c r="N139" s="5363"/>
      <c r="O139" s="5363"/>
      <c r="P139" s="680"/>
      <c r="Q139" s="5363"/>
      <c r="R139" s="400" t="s">
        <v>2296</v>
      </c>
      <c r="S139" s="227">
        <v>3</v>
      </c>
      <c r="T139" s="7149">
        <f>SUM(T137,-T138)</f>
        <v>0</v>
      </c>
      <c r="U139" s="7150"/>
      <c r="V139" s="394"/>
      <c r="W139" s="260"/>
      <c r="X139" s="3899"/>
      <c r="Y139" s="887">
        <f>SUM(Y23,Y137)</f>
        <v>0</v>
      </c>
      <c r="Z139" s="887"/>
      <c r="AA139" s="887"/>
      <c r="AB139" s="887"/>
    </row>
    <row r="140" spans="1:28" ht="12.75" customHeight="1">
      <c r="A140" s="394"/>
      <c r="B140" s="168">
        <v>4</v>
      </c>
      <c r="C140" s="936" t="s">
        <v>2297</v>
      </c>
      <c r="D140" s="680"/>
      <c r="E140" s="680"/>
      <c r="F140" s="5363"/>
      <c r="G140" s="5363"/>
      <c r="H140" s="5363"/>
      <c r="I140" s="680"/>
      <c r="J140" s="680"/>
      <c r="K140" s="680"/>
      <c r="L140" s="680"/>
      <c r="M140" s="680"/>
      <c r="N140" s="5363"/>
      <c r="O140" s="5363"/>
      <c r="P140" s="680"/>
      <c r="Q140" s="5363"/>
      <c r="R140" s="400" t="s">
        <v>2298</v>
      </c>
      <c r="S140" s="227">
        <v>4</v>
      </c>
      <c r="T140" s="7149">
        <f>IF(W140&lt;&gt;"",W140,T200)</f>
        <v>0</v>
      </c>
      <c r="U140" s="7150"/>
      <c r="V140" s="394"/>
      <c r="W140" s="2933"/>
      <c r="X140" s="3899"/>
      <c r="Y140" s="887">
        <f>SUM(Y24,Y138)</f>
        <v>0</v>
      </c>
      <c r="Z140" s="887"/>
      <c r="AA140" s="887"/>
      <c r="AB140" s="887"/>
    </row>
    <row r="141" spans="1:28" ht="12.75" customHeight="1">
      <c r="A141" s="394"/>
      <c r="B141" s="168">
        <v>5</v>
      </c>
      <c r="C141" s="735" t="s">
        <v>2431</v>
      </c>
      <c r="D141" s="735"/>
      <c r="E141" s="680"/>
      <c r="F141" s="5363"/>
      <c r="G141" s="5363"/>
      <c r="H141" s="5363"/>
      <c r="I141" s="680"/>
      <c r="J141" s="680"/>
      <c r="K141" s="680"/>
      <c r="L141" s="680"/>
      <c r="M141" s="680"/>
      <c r="N141" s="5363"/>
      <c r="O141" s="5363"/>
      <c r="P141" s="680"/>
      <c r="Q141" s="5363"/>
      <c r="R141" s="400" t="s">
        <v>2177</v>
      </c>
      <c r="S141" s="227">
        <v>5</v>
      </c>
      <c r="T141" s="7149">
        <f>T139-T140</f>
        <v>0</v>
      </c>
      <c r="U141" s="7150"/>
      <c r="V141" s="394"/>
      <c r="W141" s="260"/>
      <c r="X141" s="3899"/>
      <c r="Y141" s="887">
        <f>SUM(SchC_Sp_StatEmp_Inc,SchC_You_StatEmp_Inc)</f>
        <v>0</v>
      </c>
      <c r="Z141" s="887"/>
      <c r="AA141" s="887"/>
      <c r="AB141" s="887"/>
    </row>
    <row r="142" spans="1:28" ht="12.75" customHeight="1">
      <c r="A142" s="394"/>
      <c r="B142" s="168">
        <v>6</v>
      </c>
      <c r="C142" s="936" t="s">
        <v>2300</v>
      </c>
      <c r="D142" s="680"/>
      <c r="E142" s="680"/>
      <c r="F142" s="5363"/>
      <c r="G142" s="5363"/>
      <c r="H142" s="5363"/>
      <c r="I142" s="680"/>
      <c r="J142" s="680"/>
      <c r="K142" s="680"/>
      <c r="L142" s="680"/>
      <c r="M142" s="680"/>
      <c r="N142" s="5363"/>
      <c r="O142" s="5363"/>
      <c r="P142" s="680"/>
      <c r="Q142" s="5363"/>
      <c r="R142" s="400" t="s">
        <v>888</v>
      </c>
      <c r="S142" s="227">
        <v>6</v>
      </c>
      <c r="T142" s="7154"/>
      <c r="U142" s="7146"/>
      <c r="V142" s="394"/>
      <c r="W142" s="260"/>
      <c r="X142" s="3899"/>
    </row>
    <row r="143" spans="1:28" ht="12.75" customHeight="1">
      <c r="A143" s="394"/>
      <c r="B143" s="168">
        <v>7</v>
      </c>
      <c r="C143" s="130" t="s">
        <v>2432</v>
      </c>
      <c r="D143" s="130"/>
      <c r="E143" s="133"/>
      <c r="F143" s="5366"/>
      <c r="G143" s="5366"/>
      <c r="H143" s="3662"/>
      <c r="I143" s="680"/>
      <c r="J143" s="680"/>
      <c r="K143" s="680"/>
      <c r="L143" s="116"/>
      <c r="M143" s="680"/>
      <c r="N143" s="3662"/>
      <c r="O143" s="3662"/>
      <c r="P143" s="680"/>
      <c r="Q143" s="5366"/>
      <c r="R143" s="1049" t="s">
        <v>1554</v>
      </c>
      <c r="S143" s="227">
        <v>7</v>
      </c>
      <c r="T143" s="7149">
        <f>SUM(T141,T142)</f>
        <v>0</v>
      </c>
      <c r="U143" s="7150"/>
      <c r="V143" s="394"/>
      <c r="W143" s="260"/>
      <c r="X143" s="3899"/>
    </row>
    <row r="144" spans="1:28" ht="12.75" customHeight="1">
      <c r="A144" s="394"/>
      <c r="B144" s="3292" t="s">
        <v>982</v>
      </c>
      <c r="C144" s="3743" t="s">
        <v>2433</v>
      </c>
      <c r="D144" s="140" t="s">
        <v>2434</v>
      </c>
      <c r="E144" s="140"/>
      <c r="F144" s="140"/>
      <c r="G144" s="140"/>
      <c r="H144" s="139"/>
      <c r="I144" s="140"/>
      <c r="J144" s="140"/>
      <c r="K144" s="140"/>
      <c r="L144" s="140"/>
      <c r="M144" s="140"/>
      <c r="N144" s="140"/>
      <c r="O144" s="140"/>
      <c r="P144" s="140"/>
      <c r="Q144" s="140"/>
      <c r="R144" s="140"/>
      <c r="S144" s="140"/>
      <c r="T144" s="258"/>
      <c r="U144" s="258"/>
      <c r="V144" s="394"/>
      <c r="W144" s="260"/>
      <c r="X144" s="3899"/>
    </row>
    <row r="145" spans="1:24" ht="14.25">
      <c r="A145" s="394"/>
      <c r="B145" s="168">
        <v>8</v>
      </c>
      <c r="C145" s="699" t="s">
        <v>2304</v>
      </c>
      <c r="D145" s="699"/>
      <c r="E145" s="5366"/>
      <c r="F145" s="5366"/>
      <c r="G145" s="3662"/>
      <c r="H145" s="228">
        <f>B145</f>
        <v>8</v>
      </c>
      <c r="I145" s="2315"/>
      <c r="J145" s="124">
        <v>18</v>
      </c>
      <c r="K145" s="699"/>
      <c r="L145" s="267" t="s">
        <v>2305</v>
      </c>
      <c r="M145" s="222"/>
      <c r="N145" s="222"/>
      <c r="O145" s="222"/>
      <c r="P145" s="222"/>
      <c r="Q145" s="222"/>
      <c r="R145" s="379" t="s">
        <v>801</v>
      </c>
      <c r="S145" s="227">
        <f>J145</f>
        <v>18</v>
      </c>
      <c r="T145" s="7143"/>
      <c r="U145" s="7144"/>
      <c r="V145" s="394"/>
      <c r="W145" s="260"/>
      <c r="X145" s="3899"/>
    </row>
    <row r="146" spans="1:24" ht="14.25" customHeight="1">
      <c r="A146" s="394"/>
      <c r="B146" s="168">
        <v>9</v>
      </c>
      <c r="C146" s="699" t="s">
        <v>2306</v>
      </c>
      <c r="D146" s="699"/>
      <c r="E146" s="5366"/>
      <c r="F146" s="5366"/>
      <c r="G146" s="3662"/>
      <c r="H146" s="231"/>
      <c r="I146" s="772"/>
      <c r="J146" s="124">
        <v>19</v>
      </c>
      <c r="K146" s="152"/>
      <c r="L146" s="737" t="s">
        <v>2307</v>
      </c>
      <c r="M146" s="1199"/>
      <c r="N146" s="699"/>
      <c r="O146" s="699"/>
      <c r="P146" s="936"/>
      <c r="Q146" s="5583"/>
      <c r="R146" s="379" t="s">
        <v>801</v>
      </c>
      <c r="S146" s="227">
        <f>J146</f>
        <v>19</v>
      </c>
      <c r="T146" s="7143"/>
      <c r="U146" s="7144"/>
      <c r="V146" s="394"/>
      <c r="W146" s="260"/>
      <c r="X146" s="3899"/>
    </row>
    <row r="147" spans="1:24" ht="14.25" customHeight="1">
      <c r="A147" s="394"/>
      <c r="B147" s="168"/>
      <c r="C147" s="699" t="s">
        <v>2308</v>
      </c>
      <c r="D147" s="699"/>
      <c r="E147" s="5366"/>
      <c r="F147" s="5366"/>
      <c r="G147" s="3662"/>
      <c r="H147" s="228">
        <f>B146</f>
        <v>9</v>
      </c>
      <c r="I147" s="2316"/>
      <c r="J147" s="124">
        <v>20</v>
      </c>
      <c r="K147" s="152"/>
      <c r="L147" s="737" t="s">
        <v>2309</v>
      </c>
      <c r="M147" s="1199"/>
      <c r="N147" s="1865"/>
      <c r="O147" s="1865"/>
      <c r="P147" s="936"/>
      <c r="Q147" s="5583"/>
      <c r="R147" s="5583"/>
      <c r="S147" s="3745"/>
      <c r="T147" s="767"/>
      <c r="U147" s="774"/>
      <c r="V147" s="394"/>
      <c r="W147" s="260"/>
      <c r="X147" s="3899"/>
    </row>
    <row r="148" spans="1:24" ht="14.25" customHeight="1">
      <c r="A148" s="394"/>
      <c r="B148" s="168">
        <v>10</v>
      </c>
      <c r="C148" s="699" t="s">
        <v>2310</v>
      </c>
      <c r="D148" s="699"/>
      <c r="E148" s="5366"/>
      <c r="F148" s="5366"/>
      <c r="G148" s="379" t="s">
        <v>2311</v>
      </c>
      <c r="H148" s="232">
        <f>B148</f>
        <v>10</v>
      </c>
      <c r="I148" s="2315"/>
      <c r="J148" s="124"/>
      <c r="K148" s="152" t="s">
        <v>640</v>
      </c>
      <c r="L148" s="737" t="s">
        <v>2312</v>
      </c>
      <c r="M148" s="1199"/>
      <c r="N148" s="699"/>
      <c r="O148" s="699"/>
      <c r="P148" s="936"/>
      <c r="Q148" s="5583"/>
      <c r="R148" s="379" t="s">
        <v>680</v>
      </c>
      <c r="S148" s="227" t="s">
        <v>2313</v>
      </c>
      <c r="T148" s="7145"/>
      <c r="U148" s="7146"/>
      <c r="V148" s="394"/>
      <c r="W148" s="260"/>
      <c r="X148" s="3899"/>
    </row>
    <row r="149" spans="1:24" ht="14.25" customHeight="1">
      <c r="A149" s="394"/>
      <c r="B149" s="168">
        <v>11</v>
      </c>
      <c r="C149" s="699" t="s">
        <v>2314</v>
      </c>
      <c r="D149" s="699"/>
      <c r="E149" s="5366"/>
      <c r="F149" s="5366"/>
      <c r="G149" s="379" t="s">
        <v>2315</v>
      </c>
      <c r="H149" s="228">
        <f>B149</f>
        <v>11</v>
      </c>
      <c r="I149" s="2316"/>
      <c r="J149" s="124"/>
      <c r="K149" s="152" t="s">
        <v>644</v>
      </c>
      <c r="L149" s="267" t="s">
        <v>2316</v>
      </c>
      <c r="M149" s="936"/>
      <c r="N149" s="699"/>
      <c r="O149" s="699"/>
      <c r="P149" s="936"/>
      <c r="Q149" s="5583"/>
      <c r="R149" s="379" t="s">
        <v>2317</v>
      </c>
      <c r="S149" s="227" t="s">
        <v>2318</v>
      </c>
      <c r="T149" s="7143"/>
      <c r="U149" s="7144"/>
      <c r="V149" s="394"/>
      <c r="W149" s="260"/>
      <c r="X149" s="3899"/>
    </row>
    <row r="150" spans="1:24" ht="14.25" customHeight="1">
      <c r="A150" s="394"/>
      <c r="B150" s="168">
        <v>12</v>
      </c>
      <c r="C150" s="699" t="s">
        <v>2319</v>
      </c>
      <c r="D150" s="699"/>
      <c r="E150" s="5366"/>
      <c r="F150" s="5366"/>
      <c r="G150" s="3662"/>
      <c r="H150" s="228">
        <f>B150</f>
        <v>12</v>
      </c>
      <c r="I150" s="2315"/>
      <c r="J150" s="124">
        <v>21</v>
      </c>
      <c r="K150" s="152"/>
      <c r="L150" s="267" t="s">
        <v>2320</v>
      </c>
      <c r="M150" s="267"/>
      <c r="N150" s="267"/>
      <c r="O150" s="267"/>
      <c r="P150" s="267"/>
      <c r="Q150" s="267"/>
      <c r="R150" s="379" t="s">
        <v>2321</v>
      </c>
      <c r="S150" s="227">
        <f>J150</f>
        <v>21</v>
      </c>
      <c r="T150" s="7143"/>
      <c r="U150" s="7144"/>
      <c r="V150" s="394"/>
      <c r="W150" s="260"/>
      <c r="X150" s="3899"/>
    </row>
    <row r="151" spans="1:24" ht="14.25" customHeight="1">
      <c r="A151" s="394"/>
      <c r="B151" s="168">
        <v>13</v>
      </c>
      <c r="C151" s="699" t="s">
        <v>2322</v>
      </c>
      <c r="D151" s="699"/>
      <c r="E151" s="5366"/>
      <c r="F151" s="5366"/>
      <c r="G151" s="3662"/>
      <c r="H151" s="231"/>
      <c r="I151" s="772"/>
      <c r="J151" s="124">
        <v>22</v>
      </c>
      <c r="K151" s="152"/>
      <c r="L151" s="267" t="s">
        <v>2323</v>
      </c>
      <c r="M151" s="267"/>
      <c r="N151" s="267"/>
      <c r="O151" s="267"/>
      <c r="P151" s="267"/>
      <c r="Q151" s="267"/>
      <c r="R151" s="379" t="s">
        <v>801</v>
      </c>
      <c r="S151" s="227">
        <v>22</v>
      </c>
      <c r="T151" s="7143"/>
      <c r="U151" s="7144"/>
      <c r="V151" s="394"/>
      <c r="W151" s="260"/>
      <c r="X151" s="3899"/>
    </row>
    <row r="152" spans="1:24" ht="14.25" customHeight="1">
      <c r="A152" s="394"/>
      <c r="B152" s="168"/>
      <c r="C152" s="699" t="s">
        <v>2324</v>
      </c>
      <c r="D152" s="699"/>
      <c r="E152" s="5366"/>
      <c r="F152" s="5366"/>
      <c r="G152" s="3662"/>
      <c r="H152" s="231"/>
      <c r="I152" s="773"/>
      <c r="J152" s="124">
        <v>23</v>
      </c>
      <c r="K152" s="152"/>
      <c r="L152" s="267" t="s">
        <v>2325</v>
      </c>
      <c r="M152" s="267"/>
      <c r="N152" s="267"/>
      <c r="O152" s="267"/>
      <c r="P152" s="267"/>
      <c r="Q152" s="267"/>
      <c r="R152" s="379" t="s">
        <v>746</v>
      </c>
      <c r="S152" s="227">
        <v>23</v>
      </c>
      <c r="T152" s="7143"/>
      <c r="U152" s="7144"/>
      <c r="V152" s="394"/>
      <c r="W152" s="260"/>
      <c r="X152" s="3899"/>
    </row>
    <row r="153" spans="1:24" ht="14.25" customHeight="1">
      <c r="A153" s="394"/>
      <c r="B153" s="168"/>
      <c r="C153" s="699" t="s">
        <v>2326</v>
      </c>
      <c r="D153" s="699"/>
      <c r="E153" s="5366"/>
      <c r="F153" s="5366"/>
      <c r="G153" s="379" t="s">
        <v>2435</v>
      </c>
      <c r="H153" s="228">
        <f>B151</f>
        <v>13</v>
      </c>
      <c r="I153" s="2316"/>
      <c r="J153" s="124">
        <v>24</v>
      </c>
      <c r="K153" s="152"/>
      <c r="L153" s="267" t="s">
        <v>2327</v>
      </c>
      <c r="M153" s="267"/>
      <c r="N153" s="267"/>
      <c r="O153" s="267"/>
      <c r="P153" s="267"/>
      <c r="Q153" s="267"/>
      <c r="R153" s="267"/>
      <c r="S153" s="3745"/>
      <c r="T153" s="767"/>
      <c r="U153" s="774"/>
      <c r="V153" s="394"/>
      <c r="W153" s="260"/>
      <c r="X153" s="3899"/>
    </row>
    <row r="154" spans="1:24" ht="14.25" customHeight="1">
      <c r="A154" s="394"/>
      <c r="B154" s="168">
        <v>14</v>
      </c>
      <c r="C154" s="699" t="s">
        <v>2328</v>
      </c>
      <c r="D154" s="699"/>
      <c r="E154" s="5366"/>
      <c r="F154" s="5366"/>
      <c r="G154" s="3662"/>
      <c r="H154" s="231"/>
      <c r="I154" s="772"/>
      <c r="J154" s="124"/>
      <c r="K154" s="152" t="s">
        <v>640</v>
      </c>
      <c r="L154" s="267" t="s">
        <v>2329</v>
      </c>
      <c r="M154" s="267"/>
      <c r="N154" s="267"/>
      <c r="O154" s="267"/>
      <c r="P154" s="267"/>
      <c r="Q154" s="267"/>
      <c r="R154" s="379" t="s">
        <v>650</v>
      </c>
      <c r="S154" s="227" t="s">
        <v>1013</v>
      </c>
      <c r="T154" s="7145"/>
      <c r="U154" s="7146"/>
      <c r="V154" s="394"/>
      <c r="W154" s="260"/>
      <c r="X154" s="3899"/>
    </row>
    <row r="155" spans="1:24" ht="14.25" customHeight="1">
      <c r="A155" s="394"/>
      <c r="B155" s="168"/>
      <c r="C155" s="699" t="s">
        <v>2436</v>
      </c>
      <c r="D155" s="699"/>
      <c r="E155" s="5366"/>
      <c r="F155" s="5366"/>
      <c r="G155" s="3662"/>
      <c r="H155" s="228">
        <f>B154</f>
        <v>14</v>
      </c>
      <c r="I155" s="2316"/>
      <c r="J155" s="124"/>
      <c r="K155" s="152" t="s">
        <v>644</v>
      </c>
      <c r="L155" s="267" t="s">
        <v>5520</v>
      </c>
      <c r="M155" s="780"/>
      <c r="N155" s="780"/>
      <c r="O155" s="780"/>
      <c r="P155" s="780"/>
      <c r="Q155" s="780"/>
      <c r="R155" s="379"/>
      <c r="S155" s="227" t="s">
        <v>1017</v>
      </c>
      <c r="T155" s="7145"/>
      <c r="U155" s="7146"/>
      <c r="V155" s="394"/>
      <c r="W155" s="260"/>
      <c r="X155" s="3899"/>
    </row>
    <row r="156" spans="1:24" ht="14.25" customHeight="1">
      <c r="A156" s="394"/>
      <c r="B156" s="168">
        <v>15</v>
      </c>
      <c r="C156" s="699" t="s">
        <v>2437</v>
      </c>
      <c r="D156" s="699"/>
      <c r="E156" s="5366"/>
      <c r="F156" s="5366"/>
      <c r="G156" s="3662"/>
      <c r="H156" s="228">
        <f>B156</f>
        <v>15</v>
      </c>
      <c r="I156" s="2315"/>
      <c r="J156" s="124">
        <v>25</v>
      </c>
      <c r="K156" s="152"/>
      <c r="L156" s="267" t="s">
        <v>2333</v>
      </c>
      <c r="M156" s="267"/>
      <c r="N156" s="267"/>
      <c r="O156" s="267"/>
      <c r="P156" s="267"/>
      <c r="Q156" s="267"/>
      <c r="R156" s="379" t="s">
        <v>650</v>
      </c>
      <c r="S156" s="227">
        <v>25</v>
      </c>
      <c r="T156" s="7143"/>
      <c r="U156" s="7144"/>
      <c r="V156" s="394"/>
      <c r="W156" s="260"/>
      <c r="X156" s="3899"/>
    </row>
    <row r="157" spans="1:24" ht="14.25" customHeight="1">
      <c r="A157" s="394"/>
      <c r="B157" s="168">
        <v>16</v>
      </c>
      <c r="C157" s="699" t="s">
        <v>2332</v>
      </c>
      <c r="D157" s="699"/>
      <c r="E157" s="5366"/>
      <c r="F157" s="5366"/>
      <c r="G157" s="3662"/>
      <c r="H157" s="3745"/>
      <c r="I157" s="772"/>
      <c r="J157" s="124">
        <v>26</v>
      </c>
      <c r="K157" s="152"/>
      <c r="L157" s="267" t="s">
        <v>2336</v>
      </c>
      <c r="M157" s="267"/>
      <c r="N157" s="267"/>
      <c r="O157" s="267"/>
      <c r="P157" s="267"/>
      <c r="Q157" s="267"/>
      <c r="R157" s="379" t="s">
        <v>801</v>
      </c>
      <c r="S157" s="227">
        <v>26</v>
      </c>
      <c r="T157" s="7143"/>
      <c r="U157" s="7144"/>
      <c r="V157" s="394"/>
      <c r="W157" s="260"/>
      <c r="X157" s="3899"/>
    </row>
    <row r="158" spans="1:24" ht="14.25" customHeight="1">
      <c r="A158" s="394"/>
      <c r="B158" s="2829" t="s">
        <v>640</v>
      </c>
      <c r="C158" s="699" t="s">
        <v>2334</v>
      </c>
      <c r="D158" s="699"/>
      <c r="E158" s="5366"/>
      <c r="F158" s="5366"/>
      <c r="G158" s="3662"/>
      <c r="H158" s="228" t="s">
        <v>2335</v>
      </c>
      <c r="I158" s="2316"/>
      <c r="J158" s="3748">
        <v>27</v>
      </c>
      <c r="K158" s="152" t="s">
        <v>640</v>
      </c>
      <c r="L158" s="267" t="s">
        <v>2339</v>
      </c>
      <c r="M158" s="267"/>
      <c r="N158" s="267"/>
      <c r="O158" s="267"/>
      <c r="P158" s="267"/>
      <c r="Q158" s="267"/>
      <c r="R158" s="5585"/>
      <c r="S158" s="227" t="s">
        <v>2340</v>
      </c>
      <c r="T158" s="7195">
        <f>IF(W158&lt;&gt;"",W158,T228)</f>
        <v>0</v>
      </c>
      <c r="U158" s="7196"/>
      <c r="V158" s="394"/>
      <c r="W158" s="2933"/>
      <c r="X158" s="3899"/>
    </row>
    <row r="159" spans="1:24" ht="14.25" customHeight="1">
      <c r="A159" s="394"/>
      <c r="B159" s="2829" t="s">
        <v>644</v>
      </c>
      <c r="C159" s="699" t="s">
        <v>2337</v>
      </c>
      <c r="D159" s="699"/>
      <c r="E159" s="5366"/>
      <c r="F159" s="5366"/>
      <c r="G159" s="3662"/>
      <c r="H159" s="228" t="s">
        <v>2338</v>
      </c>
      <c r="I159" s="2317"/>
      <c r="J159" s="124"/>
      <c r="K159" s="152" t="s">
        <v>644</v>
      </c>
      <c r="L159" s="267" t="s">
        <v>5517</v>
      </c>
      <c r="M159" s="267"/>
      <c r="N159" s="267"/>
      <c r="O159" s="267"/>
      <c r="P159" s="267"/>
      <c r="Q159" s="267"/>
      <c r="R159" s="5585"/>
      <c r="S159" s="5659"/>
      <c r="T159" s="5896"/>
      <c r="U159" s="5897"/>
      <c r="V159" s="394"/>
      <c r="W159" s="260"/>
      <c r="X159" s="3899"/>
    </row>
    <row r="160" spans="1:24" ht="14.25" customHeight="1" thickBot="1">
      <c r="A160" s="394"/>
      <c r="B160" s="3028">
        <v>17</v>
      </c>
      <c r="C160" s="739" t="s">
        <v>2341</v>
      </c>
      <c r="D160" s="739"/>
      <c r="E160" s="5586"/>
      <c r="F160" s="5586"/>
      <c r="G160" s="5587"/>
      <c r="H160" s="3746">
        <v>17</v>
      </c>
      <c r="I160" s="2318"/>
      <c r="J160" s="3749"/>
      <c r="K160" s="3750"/>
      <c r="L160" s="739" t="s">
        <v>5518</v>
      </c>
      <c r="M160" s="739"/>
      <c r="N160" s="739"/>
      <c r="O160" s="739"/>
      <c r="P160" s="739"/>
      <c r="Q160" s="739"/>
      <c r="R160" s="826" t="s">
        <v>2321</v>
      </c>
      <c r="S160" s="5588" t="s">
        <v>2342</v>
      </c>
      <c r="T160" s="7181"/>
      <c r="U160" s="7182"/>
      <c r="V160" s="394"/>
      <c r="W160" s="260"/>
      <c r="X160" s="3899"/>
    </row>
    <row r="161" spans="1:39" ht="14.25" customHeight="1">
      <c r="A161" s="394"/>
      <c r="B161" s="168">
        <v>28</v>
      </c>
      <c r="C161" s="3744" t="s">
        <v>5522</v>
      </c>
      <c r="D161" s="735"/>
      <c r="E161" s="680"/>
      <c r="F161" s="5363"/>
      <c r="G161" s="5363"/>
      <c r="H161" s="5363"/>
      <c r="I161" s="680"/>
      <c r="J161" s="680"/>
      <c r="K161" s="680"/>
      <c r="L161" s="680"/>
      <c r="M161" s="680"/>
      <c r="N161" s="5363"/>
      <c r="O161" s="5363"/>
      <c r="P161" s="680"/>
      <c r="Q161" s="5363"/>
      <c r="R161" s="400" t="s">
        <v>2438</v>
      </c>
      <c r="S161" s="227">
        <v>28</v>
      </c>
      <c r="T161" s="7149">
        <f>IF(W161&lt;&gt;"",W161,ROUND(SUM(I145:I160,T145:T160),0))</f>
        <v>0</v>
      </c>
      <c r="U161" s="7150"/>
      <c r="V161" s="394"/>
      <c r="W161" s="2933"/>
      <c r="X161" s="3899"/>
    </row>
    <row r="162" spans="1:39" ht="15" customHeight="1">
      <c r="A162" s="394"/>
      <c r="B162" s="168">
        <v>29</v>
      </c>
      <c r="C162" s="936" t="s">
        <v>2344</v>
      </c>
      <c r="D162" s="680"/>
      <c r="E162" s="680"/>
      <c r="F162" s="5363"/>
      <c r="G162" s="5363"/>
      <c r="H162" s="5363"/>
      <c r="I162" s="680"/>
      <c r="J162" s="680"/>
      <c r="K162" s="680"/>
      <c r="L162" s="680"/>
      <c r="M162" s="680"/>
      <c r="N162" s="5363"/>
      <c r="O162" s="5363"/>
      <c r="P162" s="680"/>
      <c r="Q162" s="5363"/>
      <c r="R162" s="400" t="s">
        <v>1009</v>
      </c>
      <c r="S162" s="227">
        <v>29</v>
      </c>
      <c r="T162" s="7149">
        <f>SUM(T143,-T161)</f>
        <v>0</v>
      </c>
      <c r="U162" s="7150"/>
      <c r="V162" s="394"/>
      <c r="W162" s="260"/>
      <c r="X162" s="3899"/>
    </row>
    <row r="163" spans="1:39" ht="12.75" customHeight="1">
      <c r="A163" s="394"/>
      <c r="B163" s="168">
        <v>30</v>
      </c>
      <c r="C163" s="936" t="s">
        <v>2345</v>
      </c>
      <c r="D163" s="680"/>
      <c r="E163" s="680"/>
      <c r="F163" s="5363"/>
      <c r="G163" s="5363"/>
      <c r="H163" s="5363"/>
      <c r="I163" s="680"/>
      <c r="J163" s="680"/>
      <c r="K163" s="680"/>
      <c r="L163" s="680"/>
      <c r="M163" s="680"/>
      <c r="N163" s="5363"/>
      <c r="O163" s="5363"/>
      <c r="P163" s="680"/>
      <c r="Q163" s="5363"/>
      <c r="R163" s="5363"/>
      <c r="S163" s="5589"/>
      <c r="T163" s="7186" t="str">
        <f>IF(AND(V163="",O166),"The number in",IF(AND(V163="",Q166),"The area you use",""))</f>
        <v/>
      </c>
      <c r="U163" s="7187"/>
      <c r="V163" s="2605"/>
      <c r="W163" s="260" t="str">
        <f>IF(Y164,"Hide note.","")</f>
        <v/>
      </c>
      <c r="X163" s="3899"/>
    </row>
    <row r="164" spans="1:39" ht="14.25" customHeight="1">
      <c r="A164" s="394"/>
      <c r="B164" s="131"/>
      <c r="C164" s="936" t="s">
        <v>2346</v>
      </c>
      <c r="D164" s="680"/>
      <c r="E164" s="680"/>
      <c r="F164" s="5363"/>
      <c r="G164" s="5363"/>
      <c r="H164" s="5363"/>
      <c r="I164" s="680"/>
      <c r="J164" s="680"/>
      <c r="K164" s="680"/>
      <c r="L164" s="680"/>
      <c r="M164" s="680"/>
      <c r="N164" s="5363"/>
      <c r="O164" s="5363"/>
      <c r="P164" s="680"/>
      <c r="Q164" s="7190">
        <v>300</v>
      </c>
      <c r="R164" s="7191"/>
      <c r="S164" s="5590"/>
      <c r="T164" s="7188" t="str">
        <f>IF(AND(V163="",O166),"line 30a must be",IF(AND(V163="",Q166),"to figure your",""))</f>
        <v/>
      </c>
      <c r="U164" s="7189"/>
      <c r="V164" s="394"/>
      <c r="W164" s="260"/>
      <c r="X164" s="3899"/>
      <c r="Y164" s="887" t="b">
        <f>OR(O166,Q166)</f>
        <v>0</v>
      </c>
      <c r="Z164" s="887"/>
      <c r="AA164" s="887"/>
      <c r="AB164" s="887"/>
    </row>
    <row r="165" spans="1:39" ht="14.25" customHeight="1">
      <c r="A165" s="394"/>
      <c r="B165" s="131"/>
      <c r="C165" s="936" t="s">
        <v>2348</v>
      </c>
      <c r="D165" s="680"/>
      <c r="E165" s="680"/>
      <c r="F165" s="5363"/>
      <c r="G165" s="5363"/>
      <c r="H165" s="5363"/>
      <c r="I165" s="680"/>
      <c r="J165" s="680"/>
      <c r="K165" s="680"/>
      <c r="L165" s="680"/>
      <c r="M165" s="7204"/>
      <c r="N165" s="7205"/>
      <c r="O165" s="7205"/>
      <c r="P165" s="7205"/>
      <c r="Q165" s="7205"/>
      <c r="R165" s="5363"/>
      <c r="S165" s="5590"/>
      <c r="T165" s="7188" t="str">
        <f>IF(AND(V163="",O166),"larger than the",IF(AND(V163="",Q166),"deduction, cannot",""))</f>
        <v/>
      </c>
      <c r="U165" s="7189"/>
      <c r="V165" s="394"/>
      <c r="W165" s="260"/>
      <c r="X165" s="3899"/>
      <c r="Y165" s="4836" t="s">
        <v>2347</v>
      </c>
      <c r="Z165" s="1240"/>
      <c r="AA165" s="1240"/>
      <c r="AB165" s="1241"/>
    </row>
    <row r="166" spans="1:39" ht="14.25" customHeight="1">
      <c r="A166" s="394"/>
      <c r="B166" s="131"/>
      <c r="C166" s="936" t="s">
        <v>2350</v>
      </c>
      <c r="D166" s="680"/>
      <c r="E166" s="680"/>
      <c r="F166" s="5363"/>
      <c r="G166" s="5363"/>
      <c r="H166" s="5363"/>
      <c r="I166" s="5363"/>
      <c r="J166" s="7205"/>
      <c r="K166" s="7205"/>
      <c r="L166" s="7205"/>
      <c r="M166" s="7205"/>
      <c r="N166" s="680"/>
      <c r="O166" s="7190" t="b">
        <f>J166&gt;M165</f>
        <v>0</v>
      </c>
      <c r="P166" s="7190"/>
      <c r="Q166" s="7190" t="b">
        <f>J166&gt;Q164</f>
        <v>0</v>
      </c>
      <c r="R166" s="7191"/>
      <c r="S166" s="5590"/>
      <c r="T166" s="7188" t="str">
        <f>IF(AND(V163="",O166),"one in line 30b.",IF(AND(V163="",Q166),"exceed "&amp;TEXT(Q164,"0")&amp;" sq. ft.",""))</f>
        <v/>
      </c>
      <c r="U166" s="7189"/>
      <c r="V166" s="394"/>
      <c r="W166" s="260"/>
      <c r="X166" s="3899"/>
      <c r="Y166" s="4837" t="s">
        <v>167</v>
      </c>
      <c r="Z166" s="4838" t="s">
        <v>2349</v>
      </c>
      <c r="AA166" s="780"/>
      <c r="AB166" s="1243"/>
    </row>
    <row r="167" spans="1:39" ht="14.25" customHeight="1">
      <c r="A167" s="394"/>
      <c r="B167" s="131"/>
      <c r="C167" s="936" t="s">
        <v>2353</v>
      </c>
      <c r="D167" s="680"/>
      <c r="E167" s="680"/>
      <c r="F167" s="5363"/>
      <c r="G167" s="5363"/>
      <c r="H167" s="5363"/>
      <c r="I167" s="680"/>
      <c r="J167" s="680"/>
      <c r="K167" s="680"/>
      <c r="L167" s="680"/>
      <c r="M167" s="680"/>
      <c r="N167" s="5363"/>
      <c r="O167" s="5363"/>
      <c r="P167" s="680"/>
      <c r="Q167" s="5363"/>
      <c r="R167" s="1073" t="s">
        <v>699</v>
      </c>
      <c r="S167" s="227">
        <v>30</v>
      </c>
      <c r="T167" s="7193" t="str">
        <f>IF(W167&lt;&gt;"",ROUND(W167,0),IF(F8829_SchC_2,F8829_Deduction,IF(OR(AND(M165="",J166=""),Y164),"",AA179)))</f>
        <v/>
      </c>
      <c r="U167" s="7194"/>
      <c r="V167" s="394"/>
      <c r="W167" s="2933"/>
      <c r="X167" s="3899"/>
      <c r="Y167" s="3417" t="s">
        <v>2351</v>
      </c>
      <c r="Z167" s="3417" t="s">
        <v>2352</v>
      </c>
      <c r="AA167" s="1568">
        <f>SchC_TentativeProfit2</f>
        <v>0</v>
      </c>
      <c r="AB167" s="1243"/>
    </row>
    <row r="168" spans="1:39" ht="14.25" customHeight="1">
      <c r="A168" s="394"/>
      <c r="B168" s="168">
        <v>31</v>
      </c>
      <c r="C168" s="21" t="s">
        <v>2356</v>
      </c>
      <c r="D168" s="130"/>
      <c r="E168" s="133"/>
      <c r="F168" s="5366"/>
      <c r="G168" s="5366"/>
      <c r="H168" s="3662"/>
      <c r="I168" s="116"/>
      <c r="J168" s="116"/>
      <c r="K168" s="116"/>
      <c r="L168" s="116"/>
      <c r="M168" s="116"/>
      <c r="N168" s="3662"/>
      <c r="O168" s="3662"/>
      <c r="P168" s="680"/>
      <c r="Q168" s="5366"/>
      <c r="R168" s="5366"/>
      <c r="S168" s="3752"/>
      <c r="T168" s="768"/>
      <c r="U168" s="769"/>
      <c r="V168" s="394"/>
      <c r="W168" s="260"/>
      <c r="X168" s="3899"/>
      <c r="Y168" s="3417" t="s">
        <v>2354</v>
      </c>
      <c r="Z168" s="3417" t="s">
        <v>2355</v>
      </c>
      <c r="AA168" s="4839"/>
      <c r="AB168" s="1243"/>
    </row>
    <row r="169" spans="1:39" ht="12.75" customHeight="1">
      <c r="A169" s="394"/>
      <c r="B169" s="131"/>
      <c r="C169" s="222" t="s">
        <v>2359</v>
      </c>
      <c r="D169" s="143"/>
      <c r="E169" s="133"/>
      <c r="F169" s="5366"/>
      <c r="G169" s="5366"/>
      <c r="H169" s="3662"/>
      <c r="I169" s="680"/>
      <c r="J169" s="680"/>
      <c r="K169" s="680"/>
      <c r="L169" s="116"/>
      <c r="M169" s="680"/>
      <c r="N169" s="3662"/>
      <c r="O169" s="3662"/>
      <c r="P169" s="680"/>
      <c r="Q169" s="5366"/>
      <c r="R169" s="5366"/>
      <c r="S169" s="396"/>
      <c r="T169" s="770"/>
      <c r="U169" s="771"/>
      <c r="V169" s="394"/>
      <c r="W169" s="260"/>
      <c r="X169" s="3899"/>
      <c r="Y169" s="3417" t="s">
        <v>2357</v>
      </c>
      <c r="Z169" s="3417" t="s">
        <v>2358</v>
      </c>
      <c r="AA169" s="4834">
        <f>SUM(AA167,AA168)</f>
        <v>0</v>
      </c>
      <c r="AB169" s="1243"/>
    </row>
    <row r="170" spans="1:39" ht="12.75" customHeight="1">
      <c r="A170" s="394"/>
      <c r="B170" s="379"/>
      <c r="C170" s="222" t="s">
        <v>2362</v>
      </c>
      <c r="D170" s="133"/>
      <c r="E170" s="133"/>
      <c r="F170" s="5366"/>
      <c r="G170" s="5366"/>
      <c r="H170" s="5366"/>
      <c r="I170" s="133"/>
      <c r="J170" s="133"/>
      <c r="K170" s="133"/>
      <c r="L170" s="116"/>
      <c r="M170" s="133"/>
      <c r="N170" s="5366"/>
      <c r="O170" s="5366"/>
      <c r="P170" s="680"/>
      <c r="Q170" s="5366"/>
      <c r="R170" s="5366"/>
      <c r="S170" s="227">
        <v>31</v>
      </c>
      <c r="T170" s="7149">
        <f>IF(W170&lt;&gt;"",ROUND(W170,0),IF(AND(Y164,V163&lt;&gt;"",W167=""),SchC_TentativeProfit2,IF(T167="",T162,ROUND(SUM(T162,-T167),0))))</f>
        <v>0</v>
      </c>
      <c r="U170" s="7150"/>
      <c r="V170" s="394"/>
      <c r="W170" s="2933"/>
      <c r="X170" s="3899"/>
      <c r="Y170" s="3417" t="s">
        <v>2360</v>
      </c>
      <c r="Z170" s="3417" t="s">
        <v>5603</v>
      </c>
      <c r="AB170" s="1243"/>
    </row>
    <row r="171" spans="1:39" ht="12.75" customHeight="1">
      <c r="A171" s="394"/>
      <c r="B171" s="379"/>
      <c r="C171" s="222" t="s">
        <v>2365</v>
      </c>
      <c r="D171" s="143"/>
      <c r="E171" s="133"/>
      <c r="F171" s="5366"/>
      <c r="G171" s="5366"/>
      <c r="H171" s="5366"/>
      <c r="I171" s="133"/>
      <c r="J171" s="133"/>
      <c r="K171" s="133"/>
      <c r="L171" s="116"/>
      <c r="M171" s="133"/>
      <c r="N171" s="5366"/>
      <c r="O171" s="5366"/>
      <c r="P171" s="680"/>
      <c r="Q171" s="5366"/>
      <c r="R171" s="937"/>
      <c r="S171" s="131"/>
      <c r="T171" s="18"/>
      <c r="U171" s="18"/>
      <c r="V171" s="394"/>
      <c r="W171" s="260"/>
      <c r="X171" s="3899"/>
      <c r="Y171" s="3417"/>
      <c r="Z171" s="3417" t="s">
        <v>5604</v>
      </c>
      <c r="AA171" s="4840"/>
      <c r="AB171" s="1844" t="s">
        <v>2361</v>
      </c>
    </row>
    <row r="172" spans="1:39" ht="12.75" customHeight="1" thickBot="1">
      <c r="A172" s="394"/>
      <c r="B172" s="168">
        <v>32</v>
      </c>
      <c r="C172" s="699" t="s">
        <v>2439</v>
      </c>
      <c r="D172" s="699"/>
      <c r="E172" s="699"/>
      <c r="F172" s="5583"/>
      <c r="G172" s="5583"/>
      <c r="H172" s="5583"/>
      <c r="I172" s="699"/>
      <c r="J172" s="699"/>
      <c r="K172" s="699"/>
      <c r="L172" s="1199"/>
      <c r="M172" s="699"/>
      <c r="N172" s="5583"/>
      <c r="O172" s="5583"/>
      <c r="P172" s="680"/>
      <c r="Q172" s="5366"/>
      <c r="R172" s="937"/>
      <c r="S172" s="131"/>
      <c r="T172" s="18"/>
      <c r="U172" s="18"/>
      <c r="V172" s="394"/>
      <c r="W172" s="1986" t="str">
        <f>IF(Y181,"Check only",IF(Y183,"Check ONLY",""))</f>
        <v/>
      </c>
      <c r="X172" s="3899"/>
      <c r="Y172" s="3417" t="s">
        <v>2363</v>
      </c>
      <c r="Z172" s="3417" t="s">
        <v>2364</v>
      </c>
      <c r="AA172" s="4834">
        <f>IF(AA171="",AA169,SUM(AA169,-AA171))</f>
        <v>0</v>
      </c>
      <c r="AB172" s="1243"/>
    </row>
    <row r="173" spans="1:39" ht="12.75" customHeight="1" thickBot="1">
      <c r="A173" s="394"/>
      <c r="B173" s="379"/>
      <c r="C173" s="699" t="s">
        <v>2440</v>
      </c>
      <c r="D173" s="143"/>
      <c r="E173" s="133"/>
      <c r="F173" s="5366"/>
      <c r="G173" s="5366"/>
      <c r="H173" s="5366"/>
      <c r="I173" s="133"/>
      <c r="J173" s="133"/>
      <c r="K173" s="133"/>
      <c r="L173" s="116"/>
      <c r="M173" s="133"/>
      <c r="N173" s="5366"/>
      <c r="O173" s="5366"/>
      <c r="P173" s="680"/>
      <c r="Q173" s="131" t="s">
        <v>2441</v>
      </c>
      <c r="R173" s="820"/>
      <c r="S173" s="160" t="s">
        <v>2371</v>
      </c>
      <c r="T173" s="250"/>
      <c r="U173" s="250"/>
      <c r="V173" s="394"/>
      <c r="W173" s="1986" t="str">
        <f>IF(Y181,"if Line 31",IF(Y183,"one.",""))</f>
        <v/>
      </c>
      <c r="X173" s="3899"/>
      <c r="Y173" s="4837" t="s">
        <v>171</v>
      </c>
      <c r="Z173" s="4838" t="s">
        <v>2366</v>
      </c>
      <c r="AA173" s="4841">
        <f>IF(J166="",0,MIN(Q164,J166))</f>
        <v>0</v>
      </c>
      <c r="AB173" s="1844" t="str">
        <f>"(&lt;= "&amp;Q164&amp;" sq. ft.)"</f>
        <v>(&lt;= 300 sq. ft.)</v>
      </c>
    </row>
    <row r="174" spans="1:39" ht="12.75" customHeight="1" thickBot="1">
      <c r="A174" s="424"/>
      <c r="B174" s="5580"/>
      <c r="C174" s="1444" t="s">
        <v>2373</v>
      </c>
      <c r="D174" s="253"/>
      <c r="E174" s="253"/>
      <c r="F174" s="5369"/>
      <c r="G174" s="5369"/>
      <c r="H174" s="5369"/>
      <c r="I174" s="253"/>
      <c r="J174" s="253"/>
      <c r="K174" s="253"/>
      <c r="L174" s="254"/>
      <c r="M174" s="253"/>
      <c r="N174" s="5369"/>
      <c r="O174" s="5369"/>
      <c r="P174" s="5002"/>
      <c r="Q174" s="3729" t="s">
        <v>2442</v>
      </c>
      <c r="R174" s="820"/>
      <c r="S174" s="5901" t="s">
        <v>2375</v>
      </c>
      <c r="T174" s="5596"/>
      <c r="U174" s="5596"/>
      <c r="V174" s="424"/>
      <c r="W174" s="1987" t="str">
        <f>IF(Y181,"is a loss.","")</f>
        <v/>
      </c>
      <c r="X174" s="3899"/>
      <c r="Y174" s="4837" t="s">
        <v>177</v>
      </c>
      <c r="Z174" s="4838" t="s">
        <v>2368</v>
      </c>
      <c r="AB174" s="1243"/>
    </row>
    <row r="175" spans="1:39" s="407" customFormat="1" ht="12.75" customHeight="1">
      <c r="A175" s="394"/>
      <c r="B175" s="379"/>
      <c r="C175" s="21" t="s">
        <v>2443</v>
      </c>
      <c r="D175" s="133"/>
      <c r="E175" s="133"/>
      <c r="F175" s="5366"/>
      <c r="G175" s="5366"/>
      <c r="H175" s="5366"/>
      <c r="I175" s="133"/>
      <c r="J175" s="133"/>
      <c r="K175" s="133"/>
      <c r="L175" s="116"/>
      <c r="M175" s="133"/>
      <c r="N175" s="5366"/>
      <c r="O175" s="5366"/>
      <c r="P175" s="680"/>
      <c r="Q175" s="18"/>
      <c r="R175" s="18"/>
      <c r="S175" s="5900" t="s">
        <v>2379</v>
      </c>
      <c r="T175" s="18"/>
      <c r="U175" s="18"/>
      <c r="V175" s="394"/>
      <c r="W175" s="260"/>
      <c r="X175" s="3899"/>
      <c r="Y175" s="3417" t="s">
        <v>1404</v>
      </c>
      <c r="Z175" s="3417" t="s">
        <v>2372</v>
      </c>
      <c r="AA175" s="4842">
        <v>5</v>
      </c>
      <c r="AB175" s="1243"/>
      <c r="AC175" s="2045"/>
      <c r="AD175" s="2045"/>
      <c r="AE175" s="2045"/>
      <c r="AF175" s="2045"/>
      <c r="AG175" s="2045"/>
      <c r="AH175" s="2045"/>
      <c r="AI175" s="2045"/>
      <c r="AJ175" s="2045"/>
      <c r="AK175" s="2045"/>
      <c r="AL175" s="2045"/>
      <c r="AM175" s="2045"/>
    </row>
    <row r="176" spans="1:39" ht="12.75" customHeight="1" thickBot="1">
      <c r="A176" s="394"/>
      <c r="B176" s="5597"/>
      <c r="C176" s="739" t="s">
        <v>2381</v>
      </c>
      <c r="D176" s="144"/>
      <c r="E176" s="1074"/>
      <c r="F176" s="5586"/>
      <c r="G176" s="5586"/>
      <c r="H176" s="5586"/>
      <c r="I176" s="1074"/>
      <c r="J176" s="1074"/>
      <c r="K176" s="1074"/>
      <c r="L176" s="5591"/>
      <c r="M176" s="1074"/>
      <c r="N176" s="5586"/>
      <c r="O176" s="5586"/>
      <c r="P176" s="2866"/>
      <c r="Q176" s="5586"/>
      <c r="R176" s="5586"/>
      <c r="S176" s="145"/>
      <c r="T176" s="339"/>
      <c r="U176" s="339"/>
      <c r="V176" s="394"/>
      <c r="W176" s="260"/>
      <c r="X176" s="3899"/>
      <c r="Y176" s="3417" t="s">
        <v>1363</v>
      </c>
      <c r="Z176" s="3417" t="s">
        <v>2376</v>
      </c>
      <c r="AA176" s="4843">
        <v>1</v>
      </c>
      <c r="AB176" s="1844" t="s">
        <v>2377</v>
      </c>
    </row>
    <row r="177" spans="1:28" ht="12.75" customHeight="1">
      <c r="A177" s="394"/>
      <c r="B177" s="1445" t="s">
        <v>2383</v>
      </c>
      <c r="C177" s="5073"/>
      <c r="D177" s="5073"/>
      <c r="E177" s="5073"/>
      <c r="F177" s="5592"/>
      <c r="G177" s="5592"/>
      <c r="H177" s="5592"/>
      <c r="I177" s="5073"/>
      <c r="J177" s="5073"/>
      <c r="K177" s="5073"/>
      <c r="L177" s="741"/>
      <c r="M177" s="741" t="s">
        <v>2384</v>
      </c>
      <c r="N177" s="741"/>
      <c r="O177" s="5592"/>
      <c r="P177" s="5593"/>
      <c r="Q177" s="5592"/>
      <c r="R177" s="5592"/>
      <c r="S177" s="5594"/>
      <c r="T177" s="338"/>
      <c r="U177" s="338" t="str">
        <f>"Schedule C (Form 1040)  "&amp;TaxYear</f>
        <v>Schedule C (Form 1040)  2023</v>
      </c>
      <c r="V177" s="394"/>
      <c r="W177" s="260"/>
      <c r="X177" s="3899"/>
      <c r="Y177" s="3417" t="s">
        <v>1381</v>
      </c>
      <c r="Z177" s="3417" t="s">
        <v>2380</v>
      </c>
      <c r="AA177" s="4844">
        <f>ROUND(AA175*AA176,2)</f>
        <v>5</v>
      </c>
      <c r="AB177" s="1243"/>
    </row>
    <row r="178" spans="1:28" ht="22.5" customHeight="1" thickBot="1">
      <c r="A178" s="394"/>
      <c r="B178" s="680" t="str">
        <f>"Schedule C (Form 1040) "&amp;TaxYear</f>
        <v>Schedule C (Form 1040) 2023</v>
      </c>
      <c r="C178" s="680"/>
      <c r="D178" s="680"/>
      <c r="E178" s="680"/>
      <c r="F178" s="680"/>
      <c r="G178" s="680"/>
      <c r="H178" s="680"/>
      <c r="I178" s="680"/>
      <c r="J178" s="680"/>
      <c r="K178" s="680"/>
      <c r="L178" s="680"/>
      <c r="M178" s="680"/>
      <c r="N178" s="680"/>
      <c r="O178" s="680"/>
      <c r="P178" s="680"/>
      <c r="Q178" s="680"/>
      <c r="R178" s="146"/>
      <c r="S178" s="146"/>
      <c r="T178" s="146" t="s">
        <v>2387</v>
      </c>
      <c r="U178" s="147" t="str">
        <f>"2"</f>
        <v>2</v>
      </c>
      <c r="V178" s="394"/>
      <c r="W178" s="260"/>
      <c r="X178" s="3899"/>
      <c r="Y178" s="4837" t="s">
        <v>182</v>
      </c>
      <c r="Z178" s="4838" t="s">
        <v>2382</v>
      </c>
      <c r="AA178" s="4844">
        <f>ROUND(AA173*AA177,2)</f>
        <v>0</v>
      </c>
      <c r="AB178" s="1243"/>
    </row>
    <row r="179" spans="1:28" ht="19.5" customHeight="1">
      <c r="A179" s="394"/>
      <c r="B179" s="3292" t="s">
        <v>2243</v>
      </c>
      <c r="C179" s="5902" t="s">
        <v>5523</v>
      </c>
      <c r="D179" s="148"/>
      <c r="E179" s="148"/>
      <c r="F179" s="148"/>
      <c r="G179" s="148"/>
      <c r="H179" s="148"/>
      <c r="I179" s="148"/>
      <c r="J179" s="148"/>
      <c r="K179" s="148"/>
      <c r="L179" s="148"/>
      <c r="M179" s="148"/>
      <c r="N179" s="148"/>
      <c r="O179" s="148"/>
      <c r="P179" s="148"/>
      <c r="Q179" s="148"/>
      <c r="R179" s="148"/>
      <c r="S179" s="148"/>
      <c r="T179" s="148"/>
      <c r="U179" s="148"/>
      <c r="V179" s="394"/>
      <c r="W179" s="260"/>
      <c r="X179" s="3899"/>
      <c r="Y179" s="4837" t="s">
        <v>198</v>
      </c>
      <c r="Z179" s="3417" t="s">
        <v>2385</v>
      </c>
      <c r="AA179" s="4844">
        <f>MAX(0,MIN(AA172,AA178))</f>
        <v>0</v>
      </c>
      <c r="AB179" s="1844" t="s">
        <v>2386</v>
      </c>
    </row>
    <row r="180" spans="1:28" ht="6" customHeight="1">
      <c r="A180" s="394"/>
      <c r="B180" s="222"/>
      <c r="C180" s="222"/>
      <c r="D180" s="222"/>
      <c r="E180" s="222"/>
      <c r="F180" s="222"/>
      <c r="G180" s="222"/>
      <c r="H180" s="222"/>
      <c r="I180" s="222"/>
      <c r="J180" s="222"/>
      <c r="K180" s="222"/>
      <c r="L180" s="222"/>
      <c r="M180" s="222"/>
      <c r="N180" s="222"/>
      <c r="O180" s="222"/>
      <c r="P180" s="222"/>
      <c r="Q180" s="222"/>
      <c r="R180" s="222"/>
      <c r="S180" s="222"/>
      <c r="T180" s="222"/>
      <c r="U180" s="222"/>
      <c r="V180" s="394"/>
      <c r="W180" s="260"/>
      <c r="X180" s="3899"/>
      <c r="Y180" s="1247"/>
      <c r="Z180" s="1247"/>
      <c r="AA180" s="1247"/>
      <c r="AB180" s="1248"/>
    </row>
    <row r="181" spans="1:28" ht="13.5" customHeight="1" thickBot="1">
      <c r="A181" s="394"/>
      <c r="B181" s="168">
        <v>33</v>
      </c>
      <c r="C181" s="699" t="s">
        <v>2389</v>
      </c>
      <c r="D181" s="133"/>
      <c r="E181" s="133"/>
      <c r="F181" s="133"/>
      <c r="G181" s="133"/>
      <c r="H181" s="133"/>
      <c r="I181" s="133"/>
      <c r="J181" s="133"/>
      <c r="K181" s="133"/>
      <c r="L181" s="133"/>
      <c r="M181" s="133"/>
      <c r="N181" s="133"/>
      <c r="O181" s="133"/>
      <c r="P181" s="133"/>
      <c r="Q181" s="133"/>
      <c r="R181" s="133"/>
      <c r="S181" s="133"/>
      <c r="T181" s="133"/>
      <c r="U181" s="133"/>
      <c r="V181" s="394"/>
      <c r="W181" s="260"/>
      <c r="X181" s="3899"/>
      <c r="Y181" s="887" t="b">
        <f>IF(AND(R173&lt;&gt;"",R174&lt;&gt;""),FALSE,IF(AND(T170&gt;=0,OR(R173&lt;&gt;"",R174&lt;&gt;"")),TRUE,FALSE))</f>
        <v>0</v>
      </c>
      <c r="Z181" s="887"/>
      <c r="AA181" s="887"/>
      <c r="AB181" s="887"/>
    </row>
    <row r="182" spans="1:28" ht="14.25" customHeight="1" thickBot="1">
      <c r="A182" s="394"/>
      <c r="B182" s="168"/>
      <c r="C182" s="699" t="s">
        <v>2444</v>
      </c>
      <c r="D182" s="133"/>
      <c r="E182" s="820"/>
      <c r="F182" s="699" t="s">
        <v>2445</v>
      </c>
      <c r="G182" s="124" t="s">
        <v>644</v>
      </c>
      <c r="H182" s="820"/>
      <c r="I182" s="699" t="s">
        <v>2446</v>
      </c>
      <c r="J182" s="379"/>
      <c r="K182" s="133"/>
      <c r="L182" s="379" t="s">
        <v>648</v>
      </c>
      <c r="M182" s="820"/>
      <c r="N182" s="699" t="s">
        <v>2447</v>
      </c>
      <c r="O182" s="133"/>
      <c r="P182" s="133"/>
      <c r="Q182" s="133"/>
      <c r="R182" s="133"/>
      <c r="S182" s="133"/>
      <c r="T182" s="133"/>
      <c r="U182" s="133"/>
      <c r="V182" s="394"/>
      <c r="W182" s="260"/>
      <c r="X182" s="3899"/>
      <c r="Y182" s="887" t="b">
        <f>OR(Y181,Y183)</f>
        <v>0</v>
      </c>
      <c r="Z182" s="887"/>
      <c r="AA182" s="887"/>
      <c r="AB182" s="887"/>
    </row>
    <row r="183" spans="1:28" ht="18" customHeight="1" thickBot="1">
      <c r="A183" s="394"/>
      <c r="B183" s="168">
        <v>34</v>
      </c>
      <c r="C183" s="936" t="s">
        <v>2396</v>
      </c>
      <c r="D183" s="680"/>
      <c r="E183" s="680"/>
      <c r="F183" s="680"/>
      <c r="G183" s="680"/>
      <c r="H183" s="680"/>
      <c r="I183" s="680"/>
      <c r="J183" s="680"/>
      <c r="K183" s="133"/>
      <c r="L183" s="133"/>
      <c r="M183" s="133"/>
      <c r="N183" s="133"/>
      <c r="O183" s="133"/>
      <c r="P183" s="133"/>
      <c r="Q183" s="680"/>
      <c r="R183" s="680"/>
      <c r="S183" s="680"/>
      <c r="T183" s="680"/>
      <c r="U183" s="680"/>
      <c r="V183" s="394"/>
      <c r="W183" s="260"/>
      <c r="X183" s="3899"/>
      <c r="Y183" s="887" t="b">
        <f>IF(AND(R173&lt;&gt;"",R174&lt;&gt;""),TRUE,FALSE)</f>
        <v>0</v>
      </c>
      <c r="Z183" s="887"/>
      <c r="AA183" s="887"/>
      <c r="AB183" s="887"/>
    </row>
    <row r="184" spans="1:28" ht="15" customHeight="1" thickBot="1">
      <c r="A184" s="394"/>
      <c r="B184" s="168"/>
      <c r="C184" s="936" t="s">
        <v>2397</v>
      </c>
      <c r="D184" s="680"/>
      <c r="E184" s="680"/>
      <c r="F184" s="680"/>
      <c r="G184" s="680"/>
      <c r="H184" s="680"/>
      <c r="I184" s="680"/>
      <c r="J184" s="680"/>
      <c r="K184" s="680"/>
      <c r="L184" s="680"/>
      <c r="M184" s="680"/>
      <c r="N184" s="680"/>
      <c r="O184" s="680"/>
      <c r="P184" s="400" t="s">
        <v>2398</v>
      </c>
      <c r="Q184" s="820"/>
      <c r="R184" s="735" t="s">
        <v>608</v>
      </c>
      <c r="S184" s="1985"/>
      <c r="T184" s="820"/>
      <c r="U184" s="735" t="s">
        <v>609</v>
      </c>
      <c r="V184" s="394"/>
      <c r="W184" s="260"/>
      <c r="X184" s="3899"/>
    </row>
    <row r="185" spans="1:28" ht="5.25" customHeight="1">
      <c r="A185" s="394"/>
      <c r="B185" s="168"/>
      <c r="C185" s="936"/>
      <c r="D185" s="680"/>
      <c r="E185" s="680"/>
      <c r="F185" s="680"/>
      <c r="G185" s="680"/>
      <c r="H185" s="680"/>
      <c r="I185" s="680"/>
      <c r="J185" s="680"/>
      <c r="K185" s="680"/>
      <c r="L185" s="680"/>
      <c r="M185" s="680"/>
      <c r="N185" s="680"/>
      <c r="O185" s="680"/>
      <c r="P185" s="680"/>
      <c r="Q185" s="680"/>
      <c r="R185" s="680"/>
      <c r="S185" s="680"/>
      <c r="T185" s="680"/>
      <c r="U185" s="680"/>
      <c r="V185" s="394"/>
      <c r="W185" s="260"/>
      <c r="X185" s="3899"/>
    </row>
    <row r="186" spans="1:28" ht="15.75" customHeight="1">
      <c r="A186" s="394"/>
      <c r="B186" s="168">
        <v>35</v>
      </c>
      <c r="C186" s="936" t="s">
        <v>2399</v>
      </c>
      <c r="D186" s="680"/>
      <c r="E186" s="680"/>
      <c r="F186" s="680"/>
      <c r="G186" s="680"/>
      <c r="H186" s="680"/>
      <c r="I186" s="680"/>
      <c r="J186" s="680"/>
      <c r="K186" s="680"/>
      <c r="L186" s="680"/>
      <c r="M186" s="680"/>
      <c r="N186" s="680"/>
      <c r="O186" s="680"/>
      <c r="P186" s="680"/>
      <c r="Q186" s="680"/>
      <c r="R186" s="400" t="s">
        <v>677</v>
      </c>
      <c r="S186" s="227">
        <v>35</v>
      </c>
      <c r="T186" s="7179"/>
      <c r="U186" s="7180"/>
      <c r="V186" s="394"/>
      <c r="W186" s="260"/>
      <c r="X186" s="3899"/>
    </row>
    <row r="187" spans="1:28" ht="12.75" customHeight="1">
      <c r="A187" s="394"/>
      <c r="B187" s="168"/>
      <c r="C187" s="936"/>
      <c r="D187" s="680"/>
      <c r="E187" s="680"/>
      <c r="F187" s="680"/>
      <c r="G187" s="680"/>
      <c r="H187" s="680"/>
      <c r="I187" s="680"/>
      <c r="J187" s="680"/>
      <c r="K187" s="680"/>
      <c r="L187" s="680"/>
      <c r="M187" s="680"/>
      <c r="N187" s="680"/>
      <c r="O187" s="680"/>
      <c r="P187" s="680"/>
      <c r="Q187" s="680"/>
      <c r="R187" s="680"/>
      <c r="S187" s="3752"/>
      <c r="T187" s="5903"/>
      <c r="U187" s="5904"/>
      <c r="V187" s="394"/>
      <c r="W187" s="260"/>
      <c r="X187" s="3899"/>
    </row>
    <row r="188" spans="1:28" ht="12" customHeight="1">
      <c r="A188" s="394"/>
      <c r="B188" s="168">
        <v>36</v>
      </c>
      <c r="C188" s="936" t="s">
        <v>2400</v>
      </c>
      <c r="D188" s="680"/>
      <c r="E188" s="680"/>
      <c r="F188" s="680"/>
      <c r="G188" s="680"/>
      <c r="H188" s="680"/>
      <c r="I188" s="680"/>
      <c r="J188" s="680"/>
      <c r="K188" s="680"/>
      <c r="L188" s="680"/>
      <c r="M188" s="680"/>
      <c r="N188" s="680"/>
      <c r="O188" s="680"/>
      <c r="P188" s="680"/>
      <c r="Q188" s="680"/>
      <c r="R188" s="400" t="s">
        <v>754</v>
      </c>
      <c r="S188" s="227">
        <v>36</v>
      </c>
      <c r="T188" s="7179"/>
      <c r="U188" s="7180"/>
      <c r="V188" s="394"/>
      <c r="W188" s="260"/>
      <c r="X188" s="3899"/>
    </row>
    <row r="189" spans="1:28">
      <c r="A189" s="394"/>
      <c r="B189" s="168"/>
      <c r="C189" s="936"/>
      <c r="D189" s="680"/>
      <c r="E189" s="680"/>
      <c r="F189" s="680"/>
      <c r="G189" s="680"/>
      <c r="H189" s="680"/>
      <c r="I189" s="680"/>
      <c r="J189" s="680"/>
      <c r="K189" s="680"/>
      <c r="L189" s="680"/>
      <c r="M189" s="680"/>
      <c r="N189" s="680"/>
      <c r="O189" s="680"/>
      <c r="P189" s="680"/>
      <c r="Q189" s="680"/>
      <c r="R189" s="680"/>
      <c r="S189" s="3752"/>
      <c r="T189" s="5903"/>
      <c r="U189" s="5904"/>
      <c r="V189" s="394"/>
      <c r="W189" s="260"/>
      <c r="X189" s="3899"/>
    </row>
    <row r="190" spans="1:28" ht="12" customHeight="1">
      <c r="A190" s="394"/>
      <c r="B190" s="168">
        <v>37</v>
      </c>
      <c r="C190" s="936" t="s">
        <v>2401</v>
      </c>
      <c r="D190" s="680"/>
      <c r="E190" s="680"/>
      <c r="F190" s="680"/>
      <c r="G190" s="680"/>
      <c r="H190" s="680"/>
      <c r="I190" s="680"/>
      <c r="J190" s="680"/>
      <c r="K190" s="680"/>
      <c r="L190" s="680"/>
      <c r="M190" s="680"/>
      <c r="N190" s="680"/>
      <c r="O190" s="680"/>
      <c r="P190" s="680"/>
      <c r="Q190" s="680"/>
      <c r="R190" s="400" t="s">
        <v>665</v>
      </c>
      <c r="S190" s="227">
        <v>37</v>
      </c>
      <c r="T190" s="7179"/>
      <c r="U190" s="7180"/>
      <c r="V190" s="394"/>
      <c r="W190" s="260"/>
      <c r="X190" s="3899"/>
    </row>
    <row r="191" spans="1:28">
      <c r="A191" s="394"/>
      <c r="B191" s="168"/>
      <c r="C191" s="936"/>
      <c r="D191" s="680"/>
      <c r="E191" s="680"/>
      <c r="F191" s="680"/>
      <c r="G191" s="680"/>
      <c r="H191" s="680"/>
      <c r="I191" s="680"/>
      <c r="J191" s="680"/>
      <c r="K191" s="680"/>
      <c r="L191" s="680"/>
      <c r="M191" s="680"/>
      <c r="N191" s="680"/>
      <c r="O191" s="680"/>
      <c r="P191" s="680"/>
      <c r="Q191" s="680"/>
      <c r="R191" s="680"/>
      <c r="S191" s="3752"/>
      <c r="T191" s="5903"/>
      <c r="U191" s="5904"/>
      <c r="V191" s="394"/>
      <c r="W191" s="260"/>
      <c r="X191" s="3899"/>
    </row>
    <row r="192" spans="1:28" ht="14.25" customHeight="1">
      <c r="A192" s="394"/>
      <c r="B192" s="168">
        <v>38</v>
      </c>
      <c r="C192" s="936" t="s">
        <v>2402</v>
      </c>
      <c r="D192" s="680"/>
      <c r="E192" s="680"/>
      <c r="F192" s="680"/>
      <c r="G192" s="680"/>
      <c r="H192" s="680"/>
      <c r="I192" s="680"/>
      <c r="J192" s="680"/>
      <c r="K192" s="680"/>
      <c r="L192" s="680"/>
      <c r="M192" s="680"/>
      <c r="N192" s="680"/>
      <c r="O192" s="680"/>
      <c r="P192" s="680"/>
      <c r="Q192" s="680"/>
      <c r="R192" s="400" t="s">
        <v>2403</v>
      </c>
      <c r="S192" s="227">
        <v>38</v>
      </c>
      <c r="T192" s="7179"/>
      <c r="U192" s="7180"/>
      <c r="V192" s="394"/>
      <c r="W192" s="260"/>
      <c r="X192" s="3899"/>
    </row>
    <row r="193" spans="1:24">
      <c r="A193" s="394"/>
      <c r="B193" s="168"/>
      <c r="C193" s="936"/>
      <c r="D193" s="680"/>
      <c r="E193" s="680"/>
      <c r="F193" s="680"/>
      <c r="G193" s="680"/>
      <c r="H193" s="680"/>
      <c r="I193" s="680"/>
      <c r="J193" s="680"/>
      <c r="K193" s="680"/>
      <c r="L193" s="680"/>
      <c r="M193" s="680"/>
      <c r="N193" s="680"/>
      <c r="O193" s="680"/>
      <c r="P193" s="680"/>
      <c r="Q193" s="680"/>
      <c r="R193" s="680"/>
      <c r="S193" s="3752"/>
      <c r="T193" s="5903"/>
      <c r="U193" s="5904"/>
      <c r="V193" s="394"/>
      <c r="W193" s="260"/>
      <c r="X193" s="3899"/>
    </row>
    <row r="194" spans="1:24" ht="14.25" customHeight="1" thickBot="1">
      <c r="A194" s="394"/>
      <c r="B194" s="168">
        <v>39</v>
      </c>
      <c r="C194" s="936" t="s">
        <v>2404</v>
      </c>
      <c r="D194" s="680"/>
      <c r="E194" s="680"/>
      <c r="F194" s="680"/>
      <c r="G194" s="680"/>
      <c r="H194" s="680"/>
      <c r="I194" s="680"/>
      <c r="J194" s="680"/>
      <c r="K194" s="680"/>
      <c r="L194" s="680"/>
      <c r="M194" s="680"/>
      <c r="N194" s="680"/>
      <c r="O194" s="680"/>
      <c r="P194" s="680"/>
      <c r="Q194" s="680"/>
      <c r="R194" s="400" t="s">
        <v>2405</v>
      </c>
      <c r="S194" s="5907">
        <v>39</v>
      </c>
      <c r="T194" s="7197"/>
      <c r="U194" s="7198"/>
      <c r="V194" s="394"/>
      <c r="W194" s="260"/>
      <c r="X194" s="3899"/>
    </row>
    <row r="195" spans="1:24">
      <c r="A195" s="394"/>
      <c r="B195" s="168"/>
      <c r="C195" s="936"/>
      <c r="D195" s="680"/>
      <c r="E195" s="680"/>
      <c r="F195" s="680"/>
      <c r="G195" s="680"/>
      <c r="H195" s="680"/>
      <c r="I195" s="680"/>
      <c r="J195" s="680"/>
      <c r="K195" s="680"/>
      <c r="L195" s="680"/>
      <c r="M195" s="680"/>
      <c r="N195" s="680"/>
      <c r="O195" s="680"/>
      <c r="P195" s="680"/>
      <c r="Q195" s="680"/>
      <c r="R195" s="680"/>
      <c r="S195" s="3752"/>
      <c r="T195" s="5905"/>
      <c r="U195" s="5906"/>
      <c r="V195" s="394"/>
      <c r="W195" s="260"/>
      <c r="X195" s="3899"/>
    </row>
    <row r="196" spans="1:24" ht="13.5" customHeight="1">
      <c r="A196" s="394"/>
      <c r="B196" s="168">
        <v>40</v>
      </c>
      <c r="C196" s="936" t="s">
        <v>2406</v>
      </c>
      <c r="D196" s="680"/>
      <c r="E196" s="680"/>
      <c r="F196" s="680"/>
      <c r="G196" s="680"/>
      <c r="H196" s="680"/>
      <c r="I196" s="680"/>
      <c r="J196" s="680"/>
      <c r="K196" s="680"/>
      <c r="L196" s="680"/>
      <c r="M196" s="680"/>
      <c r="N196" s="680"/>
      <c r="O196" s="680"/>
      <c r="P196" s="680"/>
      <c r="Q196" s="680"/>
      <c r="R196" s="400" t="s">
        <v>2407</v>
      </c>
      <c r="S196" s="227">
        <v>40</v>
      </c>
      <c r="T196" s="7055">
        <f>ROUND(SUM(T186:U194),0)</f>
        <v>0</v>
      </c>
      <c r="U196" s="7199"/>
      <c r="V196" s="394"/>
      <c r="W196" s="260"/>
      <c r="X196" s="3899"/>
    </row>
    <row r="197" spans="1:24">
      <c r="A197" s="394"/>
      <c r="B197" s="168"/>
      <c r="C197" s="936"/>
      <c r="D197" s="680"/>
      <c r="E197" s="680"/>
      <c r="F197" s="680"/>
      <c r="G197" s="680"/>
      <c r="H197" s="680"/>
      <c r="I197" s="680"/>
      <c r="J197" s="680"/>
      <c r="K197" s="680"/>
      <c r="L197" s="680"/>
      <c r="M197" s="680"/>
      <c r="N197" s="680"/>
      <c r="O197" s="680"/>
      <c r="P197" s="680"/>
      <c r="Q197" s="680"/>
      <c r="R197" s="680"/>
      <c r="S197" s="3752"/>
      <c r="T197" s="5903"/>
      <c r="U197" s="5904"/>
      <c r="V197" s="394"/>
      <c r="W197" s="260"/>
      <c r="X197" s="3899"/>
    </row>
    <row r="198" spans="1:24" ht="13.5" customHeight="1" thickBot="1">
      <c r="A198" s="394"/>
      <c r="B198" s="168">
        <v>41</v>
      </c>
      <c r="C198" s="936" t="s">
        <v>2408</v>
      </c>
      <c r="D198" s="680"/>
      <c r="E198" s="680"/>
      <c r="F198" s="680"/>
      <c r="G198" s="680"/>
      <c r="H198" s="680"/>
      <c r="I198" s="680"/>
      <c r="J198" s="680"/>
      <c r="K198" s="680"/>
      <c r="L198" s="680"/>
      <c r="M198" s="680"/>
      <c r="N198" s="680"/>
      <c r="O198" s="680"/>
      <c r="P198" s="680"/>
      <c r="Q198" s="680"/>
      <c r="R198" s="400" t="s">
        <v>2407</v>
      </c>
      <c r="S198" s="5907">
        <v>41</v>
      </c>
      <c r="T198" s="7197"/>
      <c r="U198" s="7198"/>
      <c r="V198" s="394"/>
      <c r="W198" s="260"/>
      <c r="X198" s="3899"/>
    </row>
    <row r="199" spans="1:24">
      <c r="A199" s="394"/>
      <c r="B199" s="168"/>
      <c r="C199" s="936"/>
      <c r="D199" s="680"/>
      <c r="E199" s="680"/>
      <c r="F199" s="680"/>
      <c r="G199" s="680"/>
      <c r="H199" s="680"/>
      <c r="I199" s="680"/>
      <c r="J199" s="680"/>
      <c r="K199" s="680"/>
      <c r="L199" s="680"/>
      <c r="M199" s="680"/>
      <c r="N199" s="680"/>
      <c r="O199" s="680"/>
      <c r="P199" s="680"/>
      <c r="Q199" s="680"/>
      <c r="R199" s="680"/>
      <c r="S199" s="3752"/>
      <c r="T199" s="5905"/>
      <c r="U199" s="5906"/>
      <c r="V199" s="394"/>
      <c r="W199" s="260"/>
      <c r="X199" s="3899"/>
    </row>
    <row r="200" spans="1:24" ht="13.5" customHeight="1" thickBot="1">
      <c r="A200" s="394"/>
      <c r="B200" s="168">
        <v>42</v>
      </c>
      <c r="C200" s="3744" t="s">
        <v>2409</v>
      </c>
      <c r="D200" s="735"/>
      <c r="E200" s="680"/>
      <c r="F200" s="680"/>
      <c r="G200" s="680"/>
      <c r="H200" s="680"/>
      <c r="I200" s="680"/>
      <c r="J200" s="680"/>
      <c r="K200" s="680"/>
      <c r="L200" s="680"/>
      <c r="M200" s="680"/>
      <c r="N200" s="680"/>
      <c r="O200" s="680"/>
      <c r="P200" s="680"/>
      <c r="Q200" s="680"/>
      <c r="R200" s="400" t="s">
        <v>746</v>
      </c>
      <c r="S200" s="227">
        <v>42</v>
      </c>
      <c r="T200" s="7175">
        <f>ROUND(SUM(T196,-T198),0)</f>
        <v>0</v>
      </c>
      <c r="U200" s="7176"/>
      <c r="V200" s="394"/>
      <c r="W200" s="260"/>
      <c r="X200" s="3899"/>
    </row>
    <row r="201" spans="1:24" ht="15">
      <c r="A201" s="394"/>
      <c r="B201" s="3292" t="s">
        <v>2410</v>
      </c>
      <c r="C201" s="150" t="s">
        <v>2411</v>
      </c>
      <c r="D201" s="150"/>
      <c r="E201" s="150"/>
      <c r="F201" s="150"/>
      <c r="G201" s="150" t="s">
        <v>2412</v>
      </c>
      <c r="H201" s="150"/>
      <c r="I201" s="150"/>
      <c r="J201" s="150"/>
      <c r="K201" s="150"/>
      <c r="L201" s="150"/>
      <c r="M201" s="150"/>
      <c r="N201" s="150"/>
      <c r="O201" s="150"/>
      <c r="P201" s="150"/>
      <c r="Q201" s="150"/>
      <c r="R201" s="150"/>
      <c r="S201" s="150"/>
      <c r="T201" s="150"/>
      <c r="U201" s="150"/>
      <c r="V201" s="394"/>
      <c r="W201" s="260"/>
      <c r="X201" s="3899"/>
    </row>
    <row r="202" spans="1:24" ht="13.5" customHeight="1">
      <c r="A202" s="394"/>
      <c r="B202" s="131"/>
      <c r="C202" s="151" t="s">
        <v>2413</v>
      </c>
      <c r="D202" s="936"/>
      <c r="E202" s="151"/>
      <c r="F202" s="151"/>
      <c r="G202" s="151"/>
      <c r="H202" s="151"/>
      <c r="I202" s="151"/>
      <c r="J202" s="151"/>
      <c r="K202" s="151"/>
      <c r="L202" s="151"/>
      <c r="M202" s="151"/>
      <c r="N202" s="151"/>
      <c r="O202" s="151"/>
      <c r="P202" s="151"/>
      <c r="Q202" s="151"/>
      <c r="R202" s="151"/>
      <c r="S202" s="151"/>
      <c r="T202" s="151"/>
      <c r="U202" s="151"/>
      <c r="V202" s="394"/>
      <c r="W202" s="260"/>
      <c r="X202" s="3899"/>
    </row>
    <row r="203" spans="1:24" ht="12.75" customHeight="1">
      <c r="A203" s="394"/>
      <c r="B203" s="1062"/>
      <c r="C203" s="3928" t="s">
        <v>2414</v>
      </c>
      <c r="D203" s="1453"/>
      <c r="E203" s="5595"/>
      <c r="F203" s="5595"/>
      <c r="G203" s="5595"/>
      <c r="H203" s="5595"/>
      <c r="I203" s="5595"/>
      <c r="J203" s="5595"/>
      <c r="K203" s="5595"/>
      <c r="L203" s="5595"/>
      <c r="M203" s="5595"/>
      <c r="N203" s="5595"/>
      <c r="O203" s="5595"/>
      <c r="P203" s="5595"/>
      <c r="Q203" s="5595"/>
      <c r="R203" s="5595"/>
      <c r="S203" s="5595"/>
      <c r="T203" s="5595"/>
      <c r="U203" s="5595"/>
      <c r="V203" s="394"/>
      <c r="W203" s="260"/>
      <c r="X203" s="3899"/>
    </row>
    <row r="204" spans="1:24" ht="12.75" customHeight="1">
      <c r="A204" s="394"/>
      <c r="B204" s="131"/>
      <c r="C204" s="680"/>
      <c r="D204" s="680"/>
      <c r="E204" s="680"/>
      <c r="F204" s="680"/>
      <c r="G204" s="680"/>
      <c r="H204" s="680"/>
      <c r="I204" s="680"/>
      <c r="J204" s="680"/>
      <c r="K204" s="680"/>
      <c r="L204" s="680"/>
      <c r="M204" s="680"/>
      <c r="N204" s="680"/>
      <c r="O204" s="680"/>
      <c r="P204" s="680"/>
      <c r="Q204" s="680"/>
      <c r="R204" s="680"/>
      <c r="S204" s="680"/>
      <c r="T204" s="680"/>
      <c r="U204" s="680"/>
      <c r="V204" s="394"/>
      <c r="W204" s="260"/>
      <c r="X204" s="3899"/>
    </row>
    <row r="205" spans="1:24" ht="12.75" customHeight="1">
      <c r="A205" s="394"/>
      <c r="B205" s="168">
        <v>43</v>
      </c>
      <c r="C205" s="903" t="s">
        <v>2415</v>
      </c>
      <c r="D205" s="903"/>
      <c r="E205" s="680"/>
      <c r="F205" s="680"/>
      <c r="G205" s="680"/>
      <c r="H205" s="680"/>
      <c r="I205" s="680"/>
      <c r="J205" s="680"/>
      <c r="K205" s="680"/>
      <c r="L205" s="680"/>
      <c r="M205" s="7171"/>
      <c r="N205" s="7171"/>
      <c r="O205" s="2850" t="s">
        <v>2416</v>
      </c>
      <c r="P205" s="7171"/>
      <c r="Q205" s="7171"/>
      <c r="R205" s="2850" t="s">
        <v>2416</v>
      </c>
      <c r="S205" s="7171"/>
      <c r="T205" s="7171"/>
      <c r="U205" s="735"/>
      <c r="V205" s="394"/>
      <c r="W205" s="260"/>
      <c r="X205" s="3899"/>
    </row>
    <row r="206" spans="1:24" ht="9" customHeight="1">
      <c r="A206" s="394"/>
      <c r="B206" s="168"/>
      <c r="C206" s="936"/>
      <c r="D206" s="680"/>
      <c r="E206" s="680"/>
      <c r="F206" s="680"/>
      <c r="G206" s="680"/>
      <c r="H206" s="680"/>
      <c r="I206" s="680"/>
      <c r="J206" s="680"/>
      <c r="K206" s="680"/>
      <c r="L206" s="680"/>
      <c r="M206" s="680"/>
      <c r="N206" s="680"/>
      <c r="O206" s="680"/>
      <c r="P206" s="680"/>
      <c r="Q206" s="680"/>
      <c r="R206" s="680"/>
      <c r="S206" s="680"/>
      <c r="T206" s="680"/>
      <c r="U206" s="680"/>
      <c r="V206" s="394"/>
      <c r="W206" s="260"/>
      <c r="X206" s="3899"/>
    </row>
    <row r="207" spans="1:24" ht="13.5" customHeight="1">
      <c r="A207" s="394"/>
      <c r="B207" s="168">
        <v>44</v>
      </c>
      <c r="C207" s="936" t="str">
        <f>"Of the total number of miles you drove your vehicle during "&amp;TaxYear&amp;", enter the number of miles you used your vehicle for:"</f>
        <v>Of the total number of miles you drove your vehicle during 2023, enter the number of miles you used your vehicle for:</v>
      </c>
      <c r="D207" s="680"/>
      <c r="E207" s="680"/>
      <c r="F207" s="680"/>
      <c r="G207" s="680"/>
      <c r="H207" s="680"/>
      <c r="I207" s="680"/>
      <c r="J207" s="680"/>
      <c r="K207" s="680"/>
      <c r="L207" s="680"/>
      <c r="M207" s="680"/>
      <c r="N207" s="680"/>
      <c r="O207" s="680"/>
      <c r="P207" s="680"/>
      <c r="Q207" s="680"/>
      <c r="R207" s="680"/>
      <c r="S207" s="680"/>
      <c r="T207" s="680"/>
      <c r="U207" s="680"/>
      <c r="V207" s="394"/>
      <c r="W207" s="260"/>
      <c r="X207" s="3899"/>
    </row>
    <row r="208" spans="1:24">
      <c r="A208" s="394"/>
      <c r="B208" s="124"/>
      <c r="C208" s="3756" t="s">
        <v>2448</v>
      </c>
      <c r="D208" s="7201"/>
      <c r="E208" s="7201"/>
      <c r="F208" s="571"/>
      <c r="G208" s="146"/>
      <c r="H208" s="146"/>
      <c r="I208" s="400" t="s">
        <v>2449</v>
      </c>
      <c r="J208" s="7183"/>
      <c r="K208" s="7184"/>
      <c r="L208" s="7184"/>
      <c r="M208" s="400"/>
      <c r="N208" s="400" t="s">
        <v>648</v>
      </c>
      <c r="O208" s="7200" t="s">
        <v>283</v>
      </c>
      <c r="P208" s="6984"/>
      <c r="Q208" s="7202"/>
      <c r="R208" s="7202"/>
      <c r="S208" s="7202"/>
      <c r="T208" s="7202"/>
      <c r="U208" s="548"/>
      <c r="V208" s="394"/>
      <c r="W208" s="1987" t="str">
        <f>IF(Y211,"Check","")</f>
        <v/>
      </c>
      <c r="X208" s="3899"/>
    </row>
    <row r="209" spans="1:28" ht="15" customHeight="1" thickBot="1">
      <c r="A209" s="394"/>
      <c r="B209" s="168"/>
      <c r="C209" s="936"/>
      <c r="D209" s="680"/>
      <c r="E209" s="680"/>
      <c r="F209" s="680"/>
      <c r="G209" s="680"/>
      <c r="H209" s="680"/>
      <c r="I209" s="680"/>
      <c r="J209" s="680"/>
      <c r="K209" s="680"/>
      <c r="L209" s="680"/>
      <c r="M209" s="680"/>
      <c r="N209" s="680"/>
      <c r="O209" s="680"/>
      <c r="P209" s="680"/>
      <c r="Q209" s="680"/>
      <c r="R209" s="401"/>
      <c r="S209" s="680"/>
      <c r="T209" s="680"/>
      <c r="U209" s="680"/>
      <c r="V209" s="394"/>
      <c r="W209" s="1987"/>
      <c r="X209" s="3899"/>
    </row>
    <row r="210" spans="1:28" ht="13.5" customHeight="1" thickBot="1">
      <c r="A210" s="394"/>
      <c r="B210" s="168">
        <v>45</v>
      </c>
      <c r="C210" s="936" t="s">
        <v>2419</v>
      </c>
      <c r="D210" s="680"/>
      <c r="E210" s="680"/>
      <c r="F210" s="680"/>
      <c r="G210" s="680"/>
      <c r="H210" s="680"/>
      <c r="I210" s="680"/>
      <c r="J210" s="680"/>
      <c r="K210" s="402"/>
      <c r="L210" s="680"/>
      <c r="M210" s="152"/>
      <c r="N210" s="152"/>
      <c r="O210" s="680"/>
      <c r="P210" s="400" t="s">
        <v>1691</v>
      </c>
      <c r="Q210" s="820"/>
      <c r="R210" s="152" t="s">
        <v>608</v>
      </c>
      <c r="S210" s="680"/>
      <c r="T210" s="820"/>
      <c r="U210" s="3744" t="s">
        <v>609</v>
      </c>
      <c r="V210" s="394"/>
      <c r="W210" s="1987" t="str">
        <f>IF(Y213,"ONLY one.","")</f>
        <v/>
      </c>
      <c r="X210" s="3899"/>
    </row>
    <row r="211" spans="1:28" ht="12.75" customHeight="1" thickBot="1">
      <c r="A211" s="394"/>
      <c r="B211" s="124"/>
      <c r="C211" s="3756"/>
      <c r="D211" s="146"/>
      <c r="E211" s="146"/>
      <c r="F211" s="146"/>
      <c r="G211" s="146"/>
      <c r="H211" s="146"/>
      <c r="I211" s="146"/>
      <c r="J211" s="146"/>
      <c r="K211" s="146"/>
      <c r="L211" s="146"/>
      <c r="M211" s="680"/>
      <c r="N211" s="680"/>
      <c r="O211" s="146"/>
      <c r="P211" s="146"/>
      <c r="Q211" s="146"/>
      <c r="R211" s="146"/>
      <c r="S211" s="680"/>
      <c r="T211" s="146"/>
      <c r="U211" s="146"/>
      <c r="V211" s="394"/>
      <c r="W211" s="260"/>
      <c r="X211" s="3899"/>
      <c r="Y211" s="887" t="b">
        <f>OR(Y213,Y215,Y217,Y219)</f>
        <v>0</v>
      </c>
      <c r="Z211" s="887"/>
      <c r="AA211" s="887"/>
      <c r="AB211" s="887"/>
    </row>
    <row r="212" spans="1:28" ht="13.5" customHeight="1" thickBot="1">
      <c r="A212" s="394"/>
      <c r="B212" s="168">
        <v>46</v>
      </c>
      <c r="C212" s="936" t="s">
        <v>2420</v>
      </c>
      <c r="D212" s="680"/>
      <c r="E212" s="680"/>
      <c r="F212" s="680"/>
      <c r="G212" s="680"/>
      <c r="H212" s="680"/>
      <c r="I212" s="680"/>
      <c r="J212" s="680"/>
      <c r="K212" s="402"/>
      <c r="L212" s="680"/>
      <c r="M212" s="152"/>
      <c r="N212" s="152"/>
      <c r="O212" s="680"/>
      <c r="P212" s="400" t="s">
        <v>1648</v>
      </c>
      <c r="Q212" s="820"/>
      <c r="R212" s="152" t="s">
        <v>608</v>
      </c>
      <c r="S212" s="680"/>
      <c r="T212" s="820"/>
      <c r="U212" s="3744" t="s">
        <v>609</v>
      </c>
      <c r="V212" s="394"/>
      <c r="W212" s="1987" t="str">
        <f>IF(Y215,"ONLY one.","")</f>
        <v/>
      </c>
      <c r="X212" s="3899"/>
      <c r="Y212" s="887"/>
      <c r="Z212" s="887"/>
      <c r="AA212" s="887"/>
      <c r="AB212" s="887"/>
    </row>
    <row r="213" spans="1:28" ht="13.5" thickBot="1">
      <c r="A213" s="394"/>
      <c r="B213" s="168"/>
      <c r="C213" s="936"/>
      <c r="D213" s="680"/>
      <c r="E213" s="680"/>
      <c r="F213" s="680"/>
      <c r="G213" s="680"/>
      <c r="H213" s="680"/>
      <c r="I213" s="680"/>
      <c r="J213" s="680"/>
      <c r="K213" s="401"/>
      <c r="L213" s="680"/>
      <c r="M213" s="680"/>
      <c r="N213" s="680"/>
      <c r="O213" s="680"/>
      <c r="P213" s="680"/>
      <c r="Q213" s="680"/>
      <c r="R213" s="680"/>
      <c r="S213" s="680"/>
      <c r="T213" s="680"/>
      <c r="U213" s="680"/>
      <c r="V213" s="394"/>
      <c r="W213" s="260"/>
      <c r="X213" s="3899"/>
      <c r="Y213" s="887" t="b">
        <f>IF(AND(Q210&lt;&gt;"",T210&lt;&gt;""),TRUE,FALSE)</f>
        <v>0</v>
      </c>
      <c r="Z213" s="887"/>
      <c r="AA213" s="887"/>
      <c r="AB213" s="887"/>
    </row>
    <row r="214" spans="1:28" ht="13.5" customHeight="1" thickBot="1">
      <c r="A214" s="394"/>
      <c r="B214" s="152" t="s">
        <v>2450</v>
      </c>
      <c r="C214" s="936" t="s">
        <v>2422</v>
      </c>
      <c r="D214" s="680"/>
      <c r="E214" s="680"/>
      <c r="F214" s="680"/>
      <c r="G214" s="680"/>
      <c r="H214" s="680"/>
      <c r="I214" s="680"/>
      <c r="J214" s="680"/>
      <c r="K214" s="402"/>
      <c r="L214" s="680"/>
      <c r="M214" s="680"/>
      <c r="N214" s="680"/>
      <c r="O214" s="680"/>
      <c r="P214" s="400" t="s">
        <v>1669</v>
      </c>
      <c r="Q214" s="820"/>
      <c r="R214" s="152" t="s">
        <v>608</v>
      </c>
      <c r="S214" s="680"/>
      <c r="T214" s="820"/>
      <c r="U214" s="3744" t="s">
        <v>609</v>
      </c>
      <c r="V214" s="394"/>
      <c r="W214" s="1987" t="str">
        <f>IF(Y217,"ONLY one.","")</f>
        <v/>
      </c>
      <c r="X214" s="3899"/>
      <c r="Y214" s="887"/>
      <c r="Z214" s="887"/>
      <c r="AA214" s="887"/>
      <c r="AB214" s="887"/>
    </row>
    <row r="215" spans="1:28" ht="13.5" thickBot="1">
      <c r="A215" s="394"/>
      <c r="B215" s="168"/>
      <c r="C215" s="936"/>
      <c r="D215" s="680"/>
      <c r="E215" s="680"/>
      <c r="F215" s="680"/>
      <c r="G215" s="680"/>
      <c r="H215" s="680"/>
      <c r="I215" s="680"/>
      <c r="J215" s="680"/>
      <c r="K215" s="401"/>
      <c r="L215" s="680"/>
      <c r="M215" s="680"/>
      <c r="N215" s="680"/>
      <c r="O215" s="680"/>
      <c r="P215" s="680"/>
      <c r="Q215" s="680"/>
      <c r="R215" s="680"/>
      <c r="S215" s="680"/>
      <c r="T215" s="680"/>
      <c r="U215" s="680"/>
      <c r="V215" s="394"/>
      <c r="W215" s="260"/>
      <c r="X215" s="3899"/>
      <c r="Y215" s="887" t="b">
        <f>IF(AND(Q212&lt;&gt;"",T212&lt;&gt;""),TRUE,FALSE)</f>
        <v>0</v>
      </c>
      <c r="Z215" s="887"/>
      <c r="AA215" s="887"/>
      <c r="AB215" s="887"/>
    </row>
    <row r="216" spans="1:28" ht="13.5" customHeight="1" thickBot="1">
      <c r="A216" s="394"/>
      <c r="B216" s="124" t="s">
        <v>644</v>
      </c>
      <c r="C216" s="936" t="s">
        <v>2423</v>
      </c>
      <c r="D216" s="680"/>
      <c r="E216" s="680"/>
      <c r="F216" s="680"/>
      <c r="G216" s="680"/>
      <c r="H216" s="680"/>
      <c r="I216" s="680"/>
      <c r="J216" s="680"/>
      <c r="K216" s="402"/>
      <c r="L216" s="680"/>
      <c r="M216" s="680"/>
      <c r="N216" s="680"/>
      <c r="O216" s="680"/>
      <c r="P216" s="400" t="s">
        <v>2424</v>
      </c>
      <c r="Q216" s="820"/>
      <c r="R216" s="152" t="s">
        <v>608</v>
      </c>
      <c r="S216" s="680"/>
      <c r="T216" s="820"/>
      <c r="U216" s="3744" t="s">
        <v>609</v>
      </c>
      <c r="V216" s="394"/>
      <c r="W216" s="1987" t="str">
        <f>IF(Y219,"ONLY one.","")</f>
        <v/>
      </c>
      <c r="X216" s="3899"/>
      <c r="Y216" s="887"/>
      <c r="Z216" s="887"/>
      <c r="AA216" s="887"/>
      <c r="AB216" s="887"/>
    </row>
    <row r="217" spans="1:28" ht="13.5" thickBot="1">
      <c r="A217" s="394"/>
      <c r="B217" s="131"/>
      <c r="C217" s="680"/>
      <c r="D217" s="680"/>
      <c r="E217" s="680"/>
      <c r="F217" s="680"/>
      <c r="G217" s="680"/>
      <c r="H217" s="680"/>
      <c r="I217" s="680"/>
      <c r="J217" s="680"/>
      <c r="K217" s="680"/>
      <c r="L217" s="680"/>
      <c r="M217" s="680"/>
      <c r="N217" s="680"/>
      <c r="O217" s="680"/>
      <c r="P217" s="680"/>
      <c r="Q217" s="680"/>
      <c r="R217" s="680"/>
      <c r="S217" s="680"/>
      <c r="T217" s="680"/>
      <c r="U217" s="680"/>
      <c r="V217" s="394"/>
      <c r="W217" s="260"/>
      <c r="X217" s="3899"/>
      <c r="Y217" s="887" t="b">
        <f>IF(AND(Q214&lt;&gt;"",T214&lt;&gt;""),TRUE,FALSE)</f>
        <v>0</v>
      </c>
      <c r="Z217" s="887"/>
      <c r="AA217" s="887"/>
      <c r="AB217" s="887"/>
    </row>
    <row r="218" spans="1:28" ht="18" customHeight="1">
      <c r="A218" s="394"/>
      <c r="B218" s="1848" t="s">
        <v>2425</v>
      </c>
      <c r="C218" s="148" t="s">
        <v>5602</v>
      </c>
      <c r="D218" s="148"/>
      <c r="E218" s="148"/>
      <c r="F218" s="148"/>
      <c r="G218" s="148"/>
      <c r="H218" s="148"/>
      <c r="I218" s="148"/>
      <c r="J218" s="148"/>
      <c r="K218" s="148"/>
      <c r="L218" s="148"/>
      <c r="M218" s="148"/>
      <c r="N218" s="148"/>
      <c r="O218" s="148"/>
      <c r="P218" s="148"/>
      <c r="Q218" s="148"/>
      <c r="R218" s="148"/>
      <c r="S218" s="148"/>
      <c r="T218" s="148"/>
      <c r="U218" s="148"/>
      <c r="V218" s="394"/>
      <c r="W218" s="260"/>
      <c r="X218" s="3899"/>
      <c r="Y218" s="887"/>
      <c r="Z218" s="887"/>
      <c r="AA218" s="887"/>
      <c r="AB218" s="887"/>
    </row>
    <row r="219" spans="1:28" ht="27.75" customHeight="1">
      <c r="A219" s="394"/>
      <c r="B219" s="7120"/>
      <c r="C219" s="7120"/>
      <c r="D219" s="7120"/>
      <c r="E219" s="7120"/>
      <c r="F219" s="7120"/>
      <c r="G219" s="7120"/>
      <c r="H219" s="7120"/>
      <c r="I219" s="7120"/>
      <c r="J219" s="7120"/>
      <c r="K219" s="7120"/>
      <c r="L219" s="7120"/>
      <c r="M219" s="7120"/>
      <c r="N219" s="7120"/>
      <c r="O219" s="7120"/>
      <c r="P219" s="7120"/>
      <c r="Q219" s="7120"/>
      <c r="R219" s="7120"/>
      <c r="S219" s="7121"/>
      <c r="T219" s="7141"/>
      <c r="U219" s="7142"/>
      <c r="V219" s="394"/>
      <c r="W219" s="260"/>
      <c r="X219" s="3899"/>
      <c r="Y219" s="887" t="b">
        <f>IF(AND(Q216&lt;&gt;"",T216&lt;&gt;""),TRUE,FALSE)</f>
        <v>0</v>
      </c>
      <c r="Z219" s="887"/>
      <c r="AA219" s="887"/>
      <c r="AB219" s="887"/>
    </row>
    <row r="220" spans="1:28" ht="27.75" customHeight="1">
      <c r="A220" s="394"/>
      <c r="B220" s="7122"/>
      <c r="C220" s="7122"/>
      <c r="D220" s="7122"/>
      <c r="E220" s="7122"/>
      <c r="F220" s="7122"/>
      <c r="G220" s="7122"/>
      <c r="H220" s="7122"/>
      <c r="I220" s="7122"/>
      <c r="J220" s="7122"/>
      <c r="K220" s="7122"/>
      <c r="L220" s="7122"/>
      <c r="M220" s="7122"/>
      <c r="N220" s="7122"/>
      <c r="O220" s="7122"/>
      <c r="P220" s="7122"/>
      <c r="Q220" s="7122"/>
      <c r="R220" s="7122"/>
      <c r="S220" s="7123"/>
      <c r="T220" s="7141"/>
      <c r="U220" s="7142"/>
      <c r="V220" s="394"/>
      <c r="W220" s="260"/>
      <c r="X220" s="3899"/>
    </row>
    <row r="221" spans="1:28" ht="27.75" customHeight="1">
      <c r="A221" s="394"/>
      <c r="B221" s="7122"/>
      <c r="C221" s="7122"/>
      <c r="D221" s="7122"/>
      <c r="E221" s="7122"/>
      <c r="F221" s="7122"/>
      <c r="G221" s="7122"/>
      <c r="H221" s="7122"/>
      <c r="I221" s="7122"/>
      <c r="J221" s="7122"/>
      <c r="K221" s="7122"/>
      <c r="L221" s="7122"/>
      <c r="M221" s="7122"/>
      <c r="N221" s="7122"/>
      <c r="O221" s="7122"/>
      <c r="P221" s="7122"/>
      <c r="Q221" s="7122"/>
      <c r="R221" s="7122"/>
      <c r="S221" s="7123"/>
      <c r="T221" s="7141"/>
      <c r="U221" s="7142"/>
      <c r="V221" s="394"/>
      <c r="W221" s="260"/>
      <c r="X221" s="3899"/>
    </row>
    <row r="222" spans="1:28" ht="27.75" customHeight="1">
      <c r="A222" s="394"/>
      <c r="B222" s="7122"/>
      <c r="C222" s="7122"/>
      <c r="D222" s="7122"/>
      <c r="E222" s="7122"/>
      <c r="F222" s="7122"/>
      <c r="G222" s="7122"/>
      <c r="H222" s="7122"/>
      <c r="I222" s="7122"/>
      <c r="J222" s="7122"/>
      <c r="K222" s="7122"/>
      <c r="L222" s="7122"/>
      <c r="M222" s="7122"/>
      <c r="N222" s="7122"/>
      <c r="O222" s="7122"/>
      <c r="P222" s="7122"/>
      <c r="Q222" s="7122"/>
      <c r="R222" s="7122"/>
      <c r="S222" s="7123"/>
      <c r="T222" s="7141"/>
      <c r="U222" s="7142"/>
      <c r="V222" s="394"/>
      <c r="W222" s="260"/>
      <c r="X222" s="3899"/>
    </row>
    <row r="223" spans="1:28" ht="27.75" customHeight="1">
      <c r="A223" s="394"/>
      <c r="B223" s="7122"/>
      <c r="C223" s="7122"/>
      <c r="D223" s="7122"/>
      <c r="E223" s="7122"/>
      <c r="F223" s="7122"/>
      <c r="G223" s="7122"/>
      <c r="H223" s="7122"/>
      <c r="I223" s="7122"/>
      <c r="J223" s="7122"/>
      <c r="K223" s="7122"/>
      <c r="L223" s="7122"/>
      <c r="M223" s="7122"/>
      <c r="N223" s="7122"/>
      <c r="O223" s="7122"/>
      <c r="P223" s="7122"/>
      <c r="Q223" s="7122"/>
      <c r="R223" s="7122"/>
      <c r="S223" s="7123"/>
      <c r="T223" s="7141"/>
      <c r="U223" s="7142"/>
      <c r="V223" s="394"/>
      <c r="W223" s="260"/>
      <c r="X223" s="3899"/>
    </row>
    <row r="224" spans="1:28" ht="27.75" customHeight="1">
      <c r="A224" s="394"/>
      <c r="B224" s="7122"/>
      <c r="C224" s="7122"/>
      <c r="D224" s="7122"/>
      <c r="E224" s="7122"/>
      <c r="F224" s="7122"/>
      <c r="G224" s="7122"/>
      <c r="H224" s="7122"/>
      <c r="I224" s="7122"/>
      <c r="J224" s="7122"/>
      <c r="K224" s="7122"/>
      <c r="L224" s="7122"/>
      <c r="M224" s="7122"/>
      <c r="N224" s="7122"/>
      <c r="O224" s="7122"/>
      <c r="P224" s="7122"/>
      <c r="Q224" s="7122"/>
      <c r="R224" s="7122"/>
      <c r="S224" s="7123"/>
      <c r="T224" s="7141"/>
      <c r="U224" s="7142"/>
      <c r="V224" s="394"/>
      <c r="W224" s="260"/>
      <c r="X224" s="3899"/>
    </row>
    <row r="225" spans="1:24" ht="27.75" customHeight="1">
      <c r="A225" s="394"/>
      <c r="B225" s="7122"/>
      <c r="C225" s="7122"/>
      <c r="D225" s="7122"/>
      <c r="E225" s="7122"/>
      <c r="F225" s="7122"/>
      <c r="G225" s="7122"/>
      <c r="H225" s="7122"/>
      <c r="I225" s="7122"/>
      <c r="J225" s="7122"/>
      <c r="K225" s="7122"/>
      <c r="L225" s="7122"/>
      <c r="M225" s="7122"/>
      <c r="N225" s="7122"/>
      <c r="O225" s="7122"/>
      <c r="P225" s="7122"/>
      <c r="Q225" s="7122"/>
      <c r="R225" s="7122"/>
      <c r="S225" s="7123"/>
      <c r="T225" s="7141"/>
      <c r="U225" s="7142"/>
      <c r="V225" s="394"/>
      <c r="W225" s="260"/>
      <c r="X225" s="3899"/>
    </row>
    <row r="226" spans="1:24" ht="27.75" customHeight="1">
      <c r="A226" s="394"/>
      <c r="B226" s="7122"/>
      <c r="C226" s="7122"/>
      <c r="D226" s="7122"/>
      <c r="E226" s="7122"/>
      <c r="F226" s="7122"/>
      <c r="G226" s="7122"/>
      <c r="H226" s="7122"/>
      <c r="I226" s="7122"/>
      <c r="J226" s="7122"/>
      <c r="K226" s="7122"/>
      <c r="L226" s="7122"/>
      <c r="M226" s="7122"/>
      <c r="N226" s="7122"/>
      <c r="O226" s="7122"/>
      <c r="P226" s="7122"/>
      <c r="Q226" s="7122"/>
      <c r="R226" s="7122"/>
      <c r="S226" s="7123"/>
      <c r="T226" s="7141"/>
      <c r="U226" s="7142"/>
      <c r="V226" s="394"/>
      <c r="W226" s="260"/>
      <c r="X226" s="3899"/>
    </row>
    <row r="227" spans="1:24" ht="27.75" customHeight="1">
      <c r="A227" s="394"/>
      <c r="B227" s="7172"/>
      <c r="C227" s="7172"/>
      <c r="D227" s="7172"/>
      <c r="E227" s="7172"/>
      <c r="F227" s="7172"/>
      <c r="G227" s="7172"/>
      <c r="H227" s="7172"/>
      <c r="I227" s="7172"/>
      <c r="J227" s="7172"/>
      <c r="K227" s="7172"/>
      <c r="L227" s="7172"/>
      <c r="M227" s="7172"/>
      <c r="N227" s="7172"/>
      <c r="O227" s="7172"/>
      <c r="P227" s="7172"/>
      <c r="Q227" s="7172"/>
      <c r="R227" s="7172"/>
      <c r="S227" s="7173"/>
      <c r="T227" s="7141"/>
      <c r="U227" s="7142"/>
      <c r="V227" s="394"/>
      <c r="W227" s="260"/>
      <c r="X227" s="3899"/>
    </row>
    <row r="228" spans="1:24" ht="27.75" customHeight="1" thickBot="1">
      <c r="A228" s="394"/>
      <c r="B228" s="3028">
        <v>48</v>
      </c>
      <c r="C228" s="3751" t="s">
        <v>2426</v>
      </c>
      <c r="D228" s="740"/>
      <c r="E228" s="2866"/>
      <c r="F228" s="2866"/>
      <c r="G228" s="2866"/>
      <c r="H228" s="2866"/>
      <c r="I228" s="2866"/>
      <c r="J228" s="2866"/>
      <c r="K228" s="2866"/>
      <c r="L228" s="2866"/>
      <c r="M228" s="2866"/>
      <c r="N228" s="2866"/>
      <c r="O228" s="2866"/>
      <c r="P228" s="2866"/>
      <c r="Q228" s="3751"/>
      <c r="R228" s="1905" t="s">
        <v>2427</v>
      </c>
      <c r="S228" s="5588">
        <v>48</v>
      </c>
      <c r="T228" s="7147">
        <f>ROUND(SUM(T219,T220,T221,T222,T223,T224,T225,T226,T227),0)</f>
        <v>0</v>
      </c>
      <c r="U228" s="7148"/>
      <c r="V228" s="394"/>
      <c r="W228" s="260"/>
      <c r="X228" s="3899"/>
    </row>
    <row r="229" spans="1:24" ht="16.5" customHeight="1">
      <c r="A229" s="394"/>
      <c r="B229" s="252"/>
      <c r="C229" s="252"/>
      <c r="D229" s="252"/>
      <c r="E229" s="252"/>
      <c r="F229" s="253"/>
      <c r="G229" s="253"/>
      <c r="H229" s="253"/>
      <c r="I229" s="254"/>
      <c r="J229" s="254"/>
      <c r="K229" s="254"/>
      <c r="L229" s="255"/>
      <c r="M229" s="254"/>
      <c r="N229" s="253"/>
      <c r="O229" s="253"/>
      <c r="P229" s="256"/>
      <c r="Q229" s="253"/>
      <c r="R229" s="253"/>
      <c r="S229" s="255"/>
      <c r="T229" s="257"/>
      <c r="U229" s="257" t="str">
        <f>"Schedule C   (Form 1040)  "&amp;TaxYear</f>
        <v>Schedule C   (Form 1040)  2023</v>
      </c>
      <c r="V229" s="394"/>
      <c r="W229" s="260"/>
      <c r="X229" s="3899"/>
    </row>
    <row r="230" spans="1:24" ht="20.25" customHeight="1">
      <c r="A230" s="394"/>
      <c r="B230" s="425"/>
      <c r="C230" s="425"/>
      <c r="D230" s="425"/>
      <c r="E230" s="425"/>
      <c r="F230" s="378"/>
      <c r="G230" s="378"/>
      <c r="H230" s="378"/>
      <c r="I230" s="426"/>
      <c r="J230" s="426"/>
      <c r="K230" s="426"/>
      <c r="L230" s="426"/>
      <c r="M230" s="426"/>
      <c r="N230" s="378"/>
      <c r="O230" s="378"/>
      <c r="P230" s="427"/>
      <c r="Q230" s="378"/>
      <c r="R230" s="378"/>
      <c r="S230" s="378"/>
      <c r="T230" s="378"/>
      <c r="U230" s="378"/>
      <c r="V230" s="394"/>
      <c r="W230" s="260"/>
      <c r="X230" s="3899"/>
    </row>
    <row r="231" spans="1:24" ht="8.25" customHeight="1">
      <c r="B231" s="8"/>
      <c r="C231" s="9"/>
      <c r="D231" s="9"/>
      <c r="E231" s="9"/>
      <c r="F231" s="9"/>
      <c r="G231" s="9"/>
      <c r="H231" s="9"/>
      <c r="I231" s="10"/>
      <c r="J231" s="10"/>
      <c r="K231" s="10"/>
      <c r="L231" s="10"/>
      <c r="M231" s="11"/>
      <c r="N231" s="9"/>
      <c r="O231" s="9"/>
      <c r="P231" s="7"/>
      <c r="Q231" s="9"/>
      <c r="R231" s="9"/>
      <c r="S231" s="9"/>
      <c r="T231" s="9"/>
      <c r="U231" s="9"/>
    </row>
    <row r="232" spans="1:24" ht="13.5" thickBot="1">
      <c r="B232" s="8"/>
      <c r="C232" s="9"/>
      <c r="D232" s="9"/>
      <c r="E232" s="9"/>
      <c r="F232" s="9"/>
      <c r="G232" s="9"/>
      <c r="H232" s="9"/>
      <c r="I232" s="10"/>
      <c r="J232" s="10"/>
      <c r="K232" s="10"/>
      <c r="L232" s="8"/>
      <c r="M232" s="12"/>
      <c r="N232" s="9"/>
      <c r="O232" s="9"/>
      <c r="P232" s="7"/>
      <c r="Q232" s="9"/>
      <c r="R232" s="9"/>
      <c r="S232" s="9"/>
      <c r="T232" s="9"/>
      <c r="U232" s="9"/>
    </row>
    <row r="233" spans="1:24" ht="14.25" thickTop="1" thickBot="1">
      <c r="B233" s="364"/>
      <c r="C233" s="7127" t="s">
        <v>2451</v>
      </c>
      <c r="D233" s="7128"/>
      <c r="E233" s="7128"/>
      <c r="F233" s="7128"/>
      <c r="G233" s="7129"/>
      <c r="H233" s="365"/>
      <c r="I233" s="366"/>
      <c r="J233" s="366"/>
      <c r="K233" s="366"/>
      <c r="L233" s="364"/>
      <c r="M233" s="367"/>
      <c r="N233" s="365"/>
      <c r="O233" s="365"/>
      <c r="P233" s="368"/>
      <c r="Q233" s="365"/>
      <c r="R233" s="365"/>
      <c r="S233" s="365"/>
      <c r="T233" s="365"/>
      <c r="U233" s="365"/>
    </row>
    <row r="234" spans="1:24" ht="20.25" customHeight="1" thickTop="1" thickBot="1">
      <c r="B234" s="364"/>
      <c r="C234" s="365"/>
      <c r="D234" s="365"/>
      <c r="E234" s="365"/>
      <c r="F234" s="365"/>
      <c r="G234" s="365"/>
      <c r="H234" s="365"/>
      <c r="I234" s="366"/>
      <c r="J234" s="366"/>
      <c r="K234" s="366"/>
      <c r="L234" s="364"/>
      <c r="M234" s="369"/>
      <c r="N234" s="365"/>
      <c r="O234" s="365"/>
      <c r="P234" s="368"/>
      <c r="Q234" s="365"/>
      <c r="R234" s="365"/>
      <c r="S234" s="365"/>
      <c r="T234" s="365"/>
      <c r="U234" s="365"/>
    </row>
    <row r="235" spans="1:24" ht="27.75" customHeight="1" thickTop="1" thickBot="1">
      <c r="B235" s="364"/>
      <c r="C235" s="7124" t="s">
        <v>2452</v>
      </c>
      <c r="D235" s="7125"/>
      <c r="E235" s="7125"/>
      <c r="F235" s="7125"/>
      <c r="G235" s="7126"/>
      <c r="H235" s="365"/>
      <c r="I235" s="366"/>
      <c r="J235" s="366"/>
      <c r="K235" s="366"/>
      <c r="L235" s="364"/>
      <c r="M235" s="369"/>
      <c r="N235" s="365"/>
      <c r="O235" s="365"/>
      <c r="P235" s="368"/>
      <c r="Q235" s="365"/>
      <c r="R235" s="365"/>
      <c r="S235" s="365"/>
      <c r="T235" s="365"/>
      <c r="U235" s="365"/>
    </row>
    <row r="236" spans="1:24" ht="27.75" customHeight="1" thickTop="1" thickBot="1"/>
    <row r="237" spans="1:24">
      <c r="C237" s="7015" t="s">
        <v>46</v>
      </c>
      <c r="D237" s="7016"/>
    </row>
    <row r="238" spans="1:24">
      <c r="C238" s="7017"/>
      <c r="D238" s="7018"/>
    </row>
    <row r="239" spans="1:24" ht="13.5" thickBot="1">
      <c r="C239" s="7019"/>
      <c r="D239" s="7020"/>
    </row>
  </sheetData>
  <sheetProtection algorithmName="SHA-512" hashValue="tq57R9NFFz4g0mB+UA46N4VIqYNl19U3q6ZUUtY1boRxz9xHeviYlpqD+tr5FeoAIn6hvwg8HLS7x3NMAk0Jww==" saltValue="SYf9/ZfGmIRy9NtMyezU/Q==" spinCount="100000" sheet="1" objects="1" scenarios="1"/>
  <mergeCells count="167">
    <mergeCell ref="B221:S221"/>
    <mergeCell ref="T220:U220"/>
    <mergeCell ref="M165:Q165"/>
    <mergeCell ref="J166:M166"/>
    <mergeCell ref="T145:U145"/>
    <mergeCell ref="T146:U146"/>
    <mergeCell ref="T148:U148"/>
    <mergeCell ref="T149:U149"/>
    <mergeCell ref="T150:U150"/>
    <mergeCell ref="T163:U163"/>
    <mergeCell ref="T164:U164"/>
    <mergeCell ref="T155:U155"/>
    <mergeCell ref="T156:U156"/>
    <mergeCell ref="T166:U166"/>
    <mergeCell ref="M205:N205"/>
    <mergeCell ref="P205:Q205"/>
    <mergeCell ref="S205:T205"/>
    <mergeCell ref="O166:P166"/>
    <mergeCell ref="Q166:R166"/>
    <mergeCell ref="Q164:R164"/>
    <mergeCell ref="T165:U165"/>
    <mergeCell ref="T190:U190"/>
    <mergeCell ref="T192:U192"/>
    <mergeCell ref="T194:U194"/>
    <mergeCell ref="T142:U142"/>
    <mergeCell ref="T143:U143"/>
    <mergeCell ref="I127:U127"/>
    <mergeCell ref="M121:U121"/>
    <mergeCell ref="D208:E208"/>
    <mergeCell ref="Q208:T208"/>
    <mergeCell ref="D118:Q118"/>
    <mergeCell ref="I126:U126"/>
    <mergeCell ref="B125:L125"/>
    <mergeCell ref="B123:L123"/>
    <mergeCell ref="B121:L121"/>
    <mergeCell ref="T188:U188"/>
    <mergeCell ref="T196:U196"/>
    <mergeCell ref="T198:U198"/>
    <mergeCell ref="O52:P52"/>
    <mergeCell ref="T225:U225"/>
    <mergeCell ref="B227:S227"/>
    <mergeCell ref="T226:U226"/>
    <mergeCell ref="T227:U227"/>
    <mergeCell ref="B223:S223"/>
    <mergeCell ref="T222:U222"/>
    <mergeCell ref="B224:S224"/>
    <mergeCell ref="T223:U223"/>
    <mergeCell ref="B225:S225"/>
    <mergeCell ref="T224:U224"/>
    <mergeCell ref="B226:S226"/>
    <mergeCell ref="B222:S222"/>
    <mergeCell ref="T221:U221"/>
    <mergeCell ref="J208:L208"/>
    <mergeCell ref="O208:P208"/>
    <mergeCell ref="B220:S220"/>
    <mergeCell ref="T200:U200"/>
    <mergeCell ref="D94:E94"/>
    <mergeCell ref="Q94:T94"/>
    <mergeCell ref="T170:U170"/>
    <mergeCell ref="T186:U186"/>
    <mergeCell ref="T219:U219"/>
    <mergeCell ref="T141:U141"/>
    <mergeCell ref="T74:U74"/>
    <mergeCell ref="T76:U76"/>
    <mergeCell ref="T78:U78"/>
    <mergeCell ref="T80:U80"/>
    <mergeCell ref="T82:U82"/>
    <mergeCell ref="T52:U52"/>
    <mergeCell ref="T84:U84"/>
    <mergeCell ref="Q50:R50"/>
    <mergeCell ref="T51:U51"/>
    <mergeCell ref="W5:W9"/>
    <mergeCell ref="W119:W123"/>
    <mergeCell ref="T167:U167"/>
    <mergeCell ref="T157:U157"/>
    <mergeCell ref="T158:U158"/>
    <mergeCell ref="T160:U160"/>
    <mergeCell ref="T161:U161"/>
    <mergeCell ref="T162:U162"/>
    <mergeCell ref="T44:U44"/>
    <mergeCell ref="T42:U42"/>
    <mergeCell ref="T38:U38"/>
    <mergeCell ref="S91:T91"/>
    <mergeCell ref="N129:U129"/>
    <mergeCell ref="T137:U137"/>
    <mergeCell ref="T138:U138"/>
    <mergeCell ref="R118:T119"/>
    <mergeCell ref="U118:U119"/>
    <mergeCell ref="T34:U34"/>
    <mergeCell ref="T53:U53"/>
    <mergeCell ref="T40:U40"/>
    <mergeCell ref="T41:U41"/>
    <mergeCell ref="T139:U139"/>
    <mergeCell ref="T140:U140"/>
    <mergeCell ref="T56:U56"/>
    <mergeCell ref="R2:U2"/>
    <mergeCell ref="R3:U3"/>
    <mergeCell ref="T26:U26"/>
    <mergeCell ref="T106:U106"/>
    <mergeCell ref="T107:U107"/>
    <mergeCell ref="I13:U13"/>
    <mergeCell ref="T86:U86"/>
    <mergeCell ref="O94:P94"/>
    <mergeCell ref="T43:U43"/>
    <mergeCell ref="T24:U24"/>
    <mergeCell ref="T25:U25"/>
    <mergeCell ref="T48:U48"/>
    <mergeCell ref="T46:U46"/>
    <mergeCell ref="J94:L94"/>
    <mergeCell ref="B106:S106"/>
    <mergeCell ref="J52:M52"/>
    <mergeCell ref="T49:U49"/>
    <mergeCell ref="T50:U50"/>
    <mergeCell ref="M51:Q51"/>
    <mergeCell ref="T32:U32"/>
    <mergeCell ref="T72:U72"/>
    <mergeCell ref="T37:U37"/>
    <mergeCell ref="T105:U105"/>
    <mergeCell ref="Q52:R52"/>
    <mergeCell ref="T31:U31"/>
    <mergeCell ref="T114:U11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 ref="B112:S112"/>
    <mergeCell ref="B113:S113"/>
    <mergeCell ref="B105:S105"/>
    <mergeCell ref="B107:S107"/>
    <mergeCell ref="B108:S108"/>
    <mergeCell ref="B109:S109"/>
    <mergeCell ref="B219:S219"/>
    <mergeCell ref="C237:D239"/>
    <mergeCell ref="C235:G235"/>
    <mergeCell ref="C233:G233"/>
    <mergeCell ref="B110:S110"/>
    <mergeCell ref="B111:S111"/>
    <mergeCell ref="R116:U116"/>
    <mergeCell ref="R117:U117"/>
    <mergeCell ref="B118:C119"/>
    <mergeCell ref="D119:Q119"/>
    <mergeCell ref="T110:U110"/>
    <mergeCell ref="T151:U151"/>
    <mergeCell ref="T152:U152"/>
    <mergeCell ref="T154:U154"/>
    <mergeCell ref="T228:U228"/>
    <mergeCell ref="T112:U112"/>
    <mergeCell ref="T108:U108"/>
    <mergeCell ref="T113:U113"/>
    <mergeCell ref="T109:U109"/>
    <mergeCell ref="T111:U111"/>
  </mergeCells>
  <phoneticPr fontId="12" type="noConversion"/>
  <conditionalFormatting sqref="B7 M7 AA53:AA55 AA57:AA59 AA167:AA169 AA171:AA173">
    <cfRule type="expression" dxfId="2398" priority="202">
      <formula>NoColor</formula>
    </cfRule>
  </conditionalFormatting>
  <conditionalFormatting sqref="B9 I31:I46 T31:U52 B105:B113 B121 B123 B125 M125:U125 I126:I127 T145:U166 B219:B227">
    <cfRule type="expression" dxfId="2397" priority="201">
      <formula>IF(NoColor,1,0)</formula>
    </cfRule>
  </conditionalFormatting>
  <conditionalFormatting sqref="B11 M11:U11">
    <cfRule type="expression" dxfId="2396" priority="198">
      <formula>IF(NoColor,1,0)</formula>
    </cfRule>
  </conditionalFormatting>
  <conditionalFormatting sqref="C57">
    <cfRule type="expression" dxfId="2395" priority="54">
      <formula>AND(T56&lt;0,R59="",R60="")</formula>
    </cfRule>
  </conditionalFormatting>
  <conditionalFormatting sqref="C171">
    <cfRule type="expression" dxfId="2394" priority="55">
      <formula>AND(T170&lt;0,R173="",R174="")</formula>
    </cfRule>
  </conditionalFormatting>
  <conditionalFormatting sqref="D2:D3">
    <cfRule type="expression" dxfId="2393" priority="136">
      <formula>NOT(Draft)</formula>
    </cfRule>
  </conditionalFormatting>
  <conditionalFormatting sqref="D94">
    <cfRule type="expression" dxfId="2392" priority="168">
      <formula>IF(NoColor,1,0)</formula>
    </cfRule>
  </conditionalFormatting>
  <conditionalFormatting sqref="D116:D117">
    <cfRule type="expression" dxfId="2391" priority="77">
      <formula>NOT(Draft)</formula>
    </cfRule>
  </conditionalFormatting>
  <conditionalFormatting sqref="D208">
    <cfRule type="expression" dxfId="2390" priority="100">
      <formula>IF(NoColor,1,0)</formula>
    </cfRule>
  </conditionalFormatting>
  <conditionalFormatting sqref="E15">
    <cfRule type="expression" dxfId="2389" priority="196">
      <formula>IF(NoColor,1,0)</formula>
    </cfRule>
  </conditionalFormatting>
  <conditionalFormatting sqref="E68">
    <cfRule type="expression" dxfId="2388" priority="183">
      <formula>IF(NoColor,1,0)</formula>
    </cfRule>
  </conditionalFormatting>
  <conditionalFormatting sqref="E129">
    <cfRule type="expression" dxfId="2387" priority="74">
      <formula>IF(NoColor,1,0)</formula>
    </cfRule>
  </conditionalFormatting>
  <conditionalFormatting sqref="E182">
    <cfRule type="expression" dxfId="2386" priority="115">
      <formula>IF(NoColor,1,0)</formula>
    </cfRule>
  </conditionalFormatting>
  <conditionalFormatting sqref="H15">
    <cfRule type="expression" dxfId="2385" priority="195">
      <formula>IF(NoColor,1,0)</formula>
    </cfRule>
  </conditionalFormatting>
  <conditionalFormatting sqref="H68">
    <cfRule type="expression" dxfId="2384" priority="182">
      <formula>IF(NoColor,1,0)</formula>
    </cfRule>
  </conditionalFormatting>
  <conditionalFormatting sqref="H129">
    <cfRule type="expression" dxfId="2383" priority="73">
      <formula>IF(NoColor,1,0)</formula>
    </cfRule>
  </conditionalFormatting>
  <conditionalFormatting sqref="H182">
    <cfRule type="expression" dxfId="2382" priority="114">
      <formula>IF(NoColor,1,0)</formula>
    </cfRule>
  </conditionalFormatting>
  <conditionalFormatting sqref="I12:I13">
    <cfRule type="expression" dxfId="2381" priority="197">
      <formula>IF(NoColor,1,0)</formula>
    </cfRule>
  </conditionalFormatting>
  <conditionalFormatting sqref="I145:I160">
    <cfRule type="expression" dxfId="2380" priority="119">
      <formula>IF(NoColor,1,0)</formula>
    </cfRule>
  </conditionalFormatting>
  <conditionalFormatting sqref="J52">
    <cfRule type="expression" dxfId="2379" priority="155">
      <formula>IF(NoColor,1,0)</formula>
    </cfRule>
  </conditionalFormatting>
  <conditionalFormatting sqref="J166">
    <cfRule type="expression" dxfId="2378" priority="89">
      <formula>IF(NoColor,1,0)</formula>
    </cfRule>
  </conditionalFormatting>
  <conditionalFormatting sqref="J94:L94">
    <cfRule type="expression" dxfId="2377" priority="166">
      <formula>IF(NoColor,1,0)</formula>
    </cfRule>
  </conditionalFormatting>
  <conditionalFormatting sqref="J208:L208">
    <cfRule type="expression" dxfId="2376" priority="98">
      <formula>IF(NoColor,1,0)</formula>
    </cfRule>
  </conditionalFormatting>
  <conditionalFormatting sqref="K15">
    <cfRule type="expression" dxfId="2375" priority="194">
      <formula>IF(NoColor,1,0)</formula>
    </cfRule>
  </conditionalFormatting>
  <conditionalFormatting sqref="K129">
    <cfRule type="expression" dxfId="2374" priority="72">
      <formula>IF(NoColor,1,0)</formula>
    </cfRule>
  </conditionalFormatting>
  <conditionalFormatting sqref="M7">
    <cfRule type="expression" dxfId="2373" priority="67">
      <formula>AND(NoSSN,NoColor)</formula>
    </cfRule>
    <cfRule type="expression" dxfId="2372" priority="68">
      <formula>NoSSN</formula>
    </cfRule>
  </conditionalFormatting>
  <conditionalFormatting sqref="M68">
    <cfRule type="expression" dxfId="2371" priority="181">
      <formula>IF(NoColor,1,0)</formula>
    </cfRule>
  </conditionalFormatting>
  <conditionalFormatting sqref="M91">
    <cfRule type="expression" dxfId="2370" priority="43">
      <formula>IF(NoColor,1,0)</formula>
    </cfRule>
  </conditionalFormatting>
  <conditionalFormatting sqref="M121">
    <cfRule type="expression" dxfId="2369" priority="46">
      <formula>AND(NoSSN,NoColor)</formula>
    </cfRule>
    <cfRule type="expression" dxfId="2368" priority="47">
      <formula>NoSSN</formula>
    </cfRule>
    <cfRule type="expression" dxfId="2367" priority="48">
      <formula>NoColor</formula>
    </cfRule>
  </conditionalFormatting>
  <conditionalFormatting sqref="M182">
    <cfRule type="expression" dxfId="2366" priority="113">
      <formula>IF(NoColor,1,0)</formula>
    </cfRule>
  </conditionalFormatting>
  <conditionalFormatting sqref="M205">
    <cfRule type="expression" dxfId="2365" priority="39">
      <formula>IF(NoColor,1,0)</formula>
    </cfRule>
  </conditionalFormatting>
  <conditionalFormatting sqref="M51:Q51">
    <cfRule type="expression" dxfId="2364" priority="156">
      <formula>IF(NoColor,1,0)</formula>
    </cfRule>
  </conditionalFormatting>
  <conditionalFormatting sqref="M165:Q165">
    <cfRule type="expression" dxfId="2363" priority="90">
      <formula>IF(NoColor,1,0)</formula>
    </cfRule>
  </conditionalFormatting>
  <conditionalFormatting sqref="N9:U9">
    <cfRule type="expression" dxfId="2362" priority="199">
      <formula>IF(NoColor,1,0)</formula>
    </cfRule>
  </conditionalFormatting>
  <conditionalFormatting sqref="N15:U15">
    <cfRule type="expression" dxfId="2361" priority="190">
      <formula>IF(NoColor,1,0)</formula>
    </cfRule>
  </conditionalFormatting>
  <conditionalFormatting sqref="N123:U123">
    <cfRule type="expression" dxfId="2360" priority="1">
      <formula>IF(NoColor,1,0)</formula>
    </cfRule>
  </conditionalFormatting>
  <conditionalFormatting sqref="N129:U129">
    <cfRule type="expression" dxfId="2359" priority="122">
      <formula>IF(NoColor,1,0)</formula>
    </cfRule>
  </conditionalFormatting>
  <conditionalFormatting sqref="P91">
    <cfRule type="expression" dxfId="2358" priority="41">
      <formula>IF(NoColor,1,0)</formula>
    </cfRule>
  </conditionalFormatting>
  <conditionalFormatting sqref="P205">
    <cfRule type="expression" dxfId="2357" priority="38">
      <formula>IF(NoColor,1,0)</formula>
    </cfRule>
  </conditionalFormatting>
  <conditionalFormatting sqref="Q2">
    <cfRule type="expression" dxfId="2356" priority="135">
      <formula>NOT(Draft)</formula>
    </cfRule>
  </conditionalFormatting>
  <conditionalFormatting sqref="Q23">
    <cfRule type="expression" dxfId="2355" priority="189">
      <formula>IF(NoColor,1,0)</formula>
    </cfRule>
  </conditionalFormatting>
  <conditionalFormatting sqref="Q70">
    <cfRule type="expression" dxfId="2354" priority="179">
      <formula>IF(NoColor,1,0)</formula>
    </cfRule>
  </conditionalFormatting>
  <conditionalFormatting sqref="Q94">
    <cfRule type="expression" dxfId="2353" priority="165">
      <formula>IF(NoColor,1,0)</formula>
    </cfRule>
  </conditionalFormatting>
  <conditionalFormatting sqref="Q96">
    <cfRule type="expression" dxfId="2352" priority="176">
      <formula>IF(NoColor,1,0)</formula>
    </cfRule>
  </conditionalFormatting>
  <conditionalFormatting sqref="Q98">
    <cfRule type="expression" dxfId="2351" priority="177">
      <formula>IF(NoColor,1,0)</formula>
    </cfRule>
  </conditionalFormatting>
  <conditionalFormatting sqref="Q100">
    <cfRule type="expression" dxfId="2350" priority="175">
      <formula>IF(NoColor,1,0)</formula>
    </cfRule>
  </conditionalFormatting>
  <conditionalFormatting sqref="Q102">
    <cfRule type="expression" dxfId="2349" priority="174">
      <formula>IF(NoColor,1,0)</formula>
    </cfRule>
  </conditionalFormatting>
  <conditionalFormatting sqref="Q116">
    <cfRule type="expression" dxfId="2348" priority="76">
      <formula>NOT(Draft)</formula>
    </cfRule>
  </conditionalFormatting>
  <conditionalFormatting sqref="Q137">
    <cfRule type="expression" dxfId="2347" priority="121">
      <formula>IF(NoColor,1,0)</formula>
    </cfRule>
  </conditionalFormatting>
  <conditionalFormatting sqref="Q184">
    <cfRule type="expression" dxfId="2346" priority="69">
      <formula>IF(NoColor,1,0)</formula>
    </cfRule>
  </conditionalFormatting>
  <conditionalFormatting sqref="Q208">
    <cfRule type="expression" dxfId="2345" priority="97">
      <formula>IF(NoColor,1,0)</formula>
    </cfRule>
  </conditionalFormatting>
  <conditionalFormatting sqref="Q210">
    <cfRule type="expression" dxfId="2344" priority="108">
      <formula>IF(NoColor,1,0)</formula>
    </cfRule>
  </conditionalFormatting>
  <conditionalFormatting sqref="Q212">
    <cfRule type="expression" dxfId="2343" priority="109">
      <formula>IF(NoColor,1,0)</formula>
    </cfRule>
  </conditionalFormatting>
  <conditionalFormatting sqref="Q214">
    <cfRule type="expression" dxfId="2342" priority="107">
      <formula>IF(NoColor,1,0)</formula>
    </cfRule>
  </conditionalFormatting>
  <conditionalFormatting sqref="Q216">
    <cfRule type="expression" dxfId="2341" priority="106">
      <formula>IF(NoColor,1,0)</formula>
    </cfRule>
  </conditionalFormatting>
  <conditionalFormatting sqref="R17:R20">
    <cfRule type="expression" dxfId="2340" priority="193">
      <formula>IF(NoColor,1,0)</formula>
    </cfRule>
  </conditionalFormatting>
  <conditionalFormatting sqref="R59:R60">
    <cfRule type="expression" dxfId="2339" priority="184">
      <formula>IF(NoColor,1,0)</formula>
    </cfRule>
  </conditionalFormatting>
  <conditionalFormatting sqref="R131:R134">
    <cfRule type="expression" dxfId="2338" priority="125">
      <formula>IF(NoColor,1,0)</formula>
    </cfRule>
  </conditionalFormatting>
  <conditionalFormatting sqref="R173:R174">
    <cfRule type="expression" dxfId="2337" priority="116">
      <formula>IF(NoColor,1,0)</formula>
    </cfRule>
  </conditionalFormatting>
  <conditionalFormatting sqref="S91">
    <cfRule type="expression" dxfId="2336" priority="40">
      <formula>IF(NoColor,1,0)</formula>
    </cfRule>
  </conditionalFormatting>
  <conditionalFormatting sqref="S205">
    <cfRule type="expression" dxfId="2335" priority="37">
      <formula>IF(NoColor,1,0)</formula>
    </cfRule>
  </conditionalFormatting>
  <conditionalFormatting sqref="T17">
    <cfRule type="expression" dxfId="2334" priority="191">
      <formula>IF(NoColor,1,0)</formula>
    </cfRule>
  </conditionalFormatting>
  <conditionalFormatting sqref="T19:T20">
    <cfRule type="expression" dxfId="2333" priority="192">
      <formula>IF(NoColor,1,0)</formula>
    </cfRule>
  </conditionalFormatting>
  <conditionalFormatting sqref="T70">
    <cfRule type="expression" dxfId="2332" priority="75">
      <formula>IF(NoColor,1,0)</formula>
    </cfRule>
  </conditionalFormatting>
  <conditionalFormatting sqref="T96">
    <cfRule type="expression" dxfId="2331" priority="172">
      <formula>IF(NoColor,1,0)</formula>
    </cfRule>
  </conditionalFormatting>
  <conditionalFormatting sqref="T98">
    <cfRule type="expression" dxfId="2330" priority="173">
      <formula>IF(NoColor,1,0)</formula>
    </cfRule>
  </conditionalFormatting>
  <conditionalFormatting sqref="T100">
    <cfRule type="expression" dxfId="2329" priority="171">
      <formula>IF(NoColor,1,0)</formula>
    </cfRule>
  </conditionalFormatting>
  <conditionalFormatting sqref="T102">
    <cfRule type="expression" dxfId="2328" priority="170">
      <formula>IF(NoColor,1,0)</formula>
    </cfRule>
  </conditionalFormatting>
  <conditionalFormatting sqref="T131">
    <cfRule type="expression" dxfId="2327" priority="123">
      <formula>IF(NoColor,1,0)</formula>
    </cfRule>
  </conditionalFormatting>
  <conditionalFormatting sqref="T133:T134">
    <cfRule type="expression" dxfId="2326" priority="124">
      <formula>IF(NoColor,1,0)</formula>
    </cfRule>
  </conditionalFormatting>
  <conditionalFormatting sqref="T184">
    <cfRule type="expression" dxfId="2325" priority="70">
      <formula>IF(NoColor,1,0)</formula>
    </cfRule>
  </conditionalFormatting>
  <conditionalFormatting sqref="T210">
    <cfRule type="expression" dxfId="2324" priority="104">
      <formula>IF(NoColor,1,0)</formula>
    </cfRule>
  </conditionalFormatting>
  <conditionalFormatting sqref="T212">
    <cfRule type="expression" dxfId="2323" priority="105">
      <formula>IF(NoColor,1,0)</formula>
    </cfRule>
  </conditionalFormatting>
  <conditionalFormatting sqref="T214">
    <cfRule type="expression" dxfId="2322" priority="103">
      <formula>IF(NoColor,1,0)</formula>
    </cfRule>
  </conditionalFormatting>
  <conditionalFormatting sqref="T216">
    <cfRule type="expression" dxfId="2321" priority="102">
      <formula>IF(NoColor,1,0)</formula>
    </cfRule>
  </conditionalFormatting>
  <conditionalFormatting sqref="T23:U29">
    <cfRule type="expression" dxfId="2320" priority="157">
      <formula>IF(NoColor,1,0)</formula>
    </cfRule>
  </conditionalFormatting>
  <conditionalFormatting sqref="T53:U55">
    <cfRule type="expression" dxfId="2319" priority="6">
      <formula>NoColor</formula>
    </cfRule>
  </conditionalFormatting>
  <conditionalFormatting sqref="T56:U56">
    <cfRule type="expression" dxfId="2318" priority="35">
      <formula>IF(NoColor,1,0)</formula>
    </cfRule>
  </conditionalFormatting>
  <conditionalFormatting sqref="T72:U73 T74 T75:U75 T76 T77:U77 T78 T79:U79 T80 T81:U81 T82 T83:U83 T84 T85:U86">
    <cfRule type="expression" dxfId="2317" priority="178">
      <formula>IF(NoColor,1,0)</formula>
    </cfRule>
  </conditionalFormatting>
  <conditionalFormatting sqref="T105:U114">
    <cfRule type="expression" dxfId="2316" priority="163">
      <formula>IF(NoColor,1,0)</formula>
    </cfRule>
  </conditionalFormatting>
  <conditionalFormatting sqref="T137:U143">
    <cfRule type="expression" dxfId="2315" priority="91">
      <formula>IF(NoColor,1,0)</formula>
    </cfRule>
  </conditionalFormatting>
  <conditionalFormatting sqref="T167:U167">
    <cfRule type="expression" dxfId="2314" priority="4">
      <formula>NoColor</formula>
    </cfRule>
  </conditionalFormatting>
  <conditionalFormatting sqref="T168:U170">
    <cfRule type="expression" dxfId="2313" priority="15">
      <formula>IF(NoColor,1,0)</formula>
    </cfRule>
  </conditionalFormatting>
  <conditionalFormatting sqref="T186:U187 T188 T189:U189 T190 T191:U191 T192 T193:U193 T194">
    <cfRule type="expression" dxfId="2312" priority="3">
      <formula>IF(NoColor,1,0)</formula>
    </cfRule>
  </conditionalFormatting>
  <conditionalFormatting sqref="T195:U195 T196 T197:U197 T198 T199:U200">
    <cfRule type="expression" dxfId="2311" priority="2">
      <formula>IF(NoColor,1,0)</formula>
    </cfRule>
  </conditionalFormatting>
  <conditionalFormatting sqref="T219:U228">
    <cfRule type="expression" dxfId="2310" priority="95">
      <formula>IF(NoColor,1,0)</formula>
    </cfRule>
  </conditionalFormatting>
  <conditionalFormatting sqref="V49">
    <cfRule type="expression" dxfId="2309" priority="26">
      <formula>$Y$50</formula>
    </cfRule>
  </conditionalFormatting>
  <conditionalFormatting sqref="V163">
    <cfRule type="expression" dxfId="2308" priority="24">
      <formula>$Y$164</formula>
    </cfRule>
  </conditionalFormatting>
  <conditionalFormatting sqref="W49">
    <cfRule type="expression" dxfId="2307" priority="25">
      <formula>$Y$50</formula>
    </cfRule>
  </conditionalFormatting>
  <conditionalFormatting sqref="W58">
    <cfRule type="expression" dxfId="2306" priority="153">
      <formula>(Y69)</formula>
    </cfRule>
  </conditionalFormatting>
  <conditionalFormatting sqref="W59">
    <cfRule type="expression" dxfId="2305" priority="148">
      <formula>IF($Y$69,1,0)</formula>
    </cfRule>
  </conditionalFormatting>
  <conditionalFormatting sqref="W60:W61">
    <cfRule type="expression" dxfId="2304" priority="147">
      <formula>IF($Y$68,1,0)</formula>
    </cfRule>
  </conditionalFormatting>
  <conditionalFormatting sqref="W94:W95">
    <cfRule type="expression" dxfId="2303" priority="138">
      <formula>IF($Y$96,1,0)</formula>
    </cfRule>
  </conditionalFormatting>
  <conditionalFormatting sqref="W96">
    <cfRule type="expression" dxfId="2302" priority="146">
      <formula>IF(Y98,1,0)</formula>
    </cfRule>
  </conditionalFormatting>
  <conditionalFormatting sqref="W98">
    <cfRule type="expression" dxfId="2301" priority="142">
      <formula>IF(Y100,1,0)</formula>
    </cfRule>
  </conditionalFormatting>
  <conditionalFormatting sqref="W100">
    <cfRule type="expression" dxfId="2300" priority="141">
      <formula>IF(Y102,1,0)</formula>
    </cfRule>
  </conditionalFormatting>
  <conditionalFormatting sqref="W102">
    <cfRule type="expression" dxfId="2299" priority="140">
      <formula>IF(Y104,1,0)</formula>
    </cfRule>
  </conditionalFormatting>
  <conditionalFormatting sqref="W163">
    <cfRule type="expression" dxfId="2298" priority="23">
      <formula>$Y$164</formula>
    </cfRule>
  </conditionalFormatting>
  <conditionalFormatting sqref="W172">
    <cfRule type="expression" dxfId="2297" priority="53">
      <formula>(Y182)</formula>
    </cfRule>
  </conditionalFormatting>
  <conditionalFormatting sqref="W173">
    <cfRule type="expression" dxfId="2296" priority="86">
      <formula>(Y182)</formula>
    </cfRule>
  </conditionalFormatting>
  <conditionalFormatting sqref="W174">
    <cfRule type="expression" dxfId="2295" priority="85">
      <formula>(Y181)</formula>
    </cfRule>
  </conditionalFormatting>
  <conditionalFormatting sqref="W208:W209">
    <cfRule type="expression" dxfId="2294" priority="79">
      <formula>IF($Y$96,1,0)</formula>
    </cfRule>
  </conditionalFormatting>
  <conditionalFormatting sqref="W210">
    <cfRule type="expression" dxfId="2293" priority="84">
      <formula>IF(Y213,1,0)</formula>
    </cfRule>
  </conditionalFormatting>
  <conditionalFormatting sqref="W212">
    <cfRule type="expression" dxfId="2292" priority="83">
      <formula>IF(Y215,1,0)</formula>
    </cfRule>
  </conditionalFormatting>
  <conditionalFormatting sqref="W214">
    <cfRule type="expression" dxfId="2291" priority="82">
      <formula>IF(Y217,1,0)</formula>
    </cfRule>
  </conditionalFormatting>
  <conditionalFormatting sqref="W216">
    <cfRule type="expression" dxfId="2290" priority="81">
      <formula>IF(Y219,1,0)</formula>
    </cfRule>
  </conditionalFormatting>
  <conditionalFormatting sqref="X49">
    <cfRule type="expression" priority="27">
      <formula>$Y$49</formula>
    </cfRule>
  </conditionalFormatting>
  <conditionalFormatting sqref="AA61:AA65">
    <cfRule type="expression" dxfId="2289" priority="13">
      <formula>NoColor</formula>
    </cfRule>
  </conditionalFormatting>
  <conditionalFormatting sqref="AA175:AA179">
    <cfRule type="expression" dxfId="2288" priority="9">
      <formula>NoColor</formula>
    </cfRule>
  </conditionalFormatting>
  <conditionalFormatting sqref="AB59">
    <cfRule type="expression" dxfId="2287" priority="12">
      <formula>J52&gt;Q50</formula>
    </cfRule>
  </conditionalFormatting>
  <conditionalFormatting sqref="AB173">
    <cfRule type="expression" dxfId="2286" priority="8">
      <formula>J166&gt;Q164</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 ref="C237:D239" location="'Table of Contents'!A1" display="Table of Contents" xr:uid="{00000000-0004-0000-1B00-000002000000}"/>
  </hyperlinks>
  <pageMargins left="0.75" right="0.25" top="0.36" bottom="0.28999999999999998" header="0.36" footer="0.21"/>
  <pageSetup scale="77" fitToHeight="0" orientation="portrait" r:id="rId3"/>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3"/>
  <sheetViews>
    <sheetView zoomScaleNormal="100" zoomScaleSheetLayoutView="100" workbookViewId="0"/>
  </sheetViews>
  <sheetFormatPr defaultRowHeight="12.75"/>
  <cols>
    <col min="1" max="1" width="8" style="1887" customWidth="1"/>
    <col min="2" max="2" width="3.5703125" customWidth="1"/>
    <col min="3" max="3" width="2.5703125" customWidth="1"/>
    <col min="4" max="4" width="3" customWidth="1"/>
    <col min="5" max="5" width="13.42578125" customWidth="1"/>
    <col min="6" max="6" width="10.42578125" customWidth="1"/>
    <col min="7" max="7" width="15.5703125" customWidth="1"/>
    <col min="8" max="8" width="10" customWidth="1"/>
    <col min="9" max="9" width="5.140625" customWidth="1"/>
    <col min="10" max="10" width="16" customWidth="1"/>
    <col min="11" max="11" width="2.42578125" customWidth="1"/>
    <col min="12" max="12" width="10.5703125" customWidth="1"/>
    <col min="13" max="13" width="4.140625" customWidth="1"/>
    <col min="14" max="14" width="3" customWidth="1"/>
    <col min="15" max="15" width="13.28515625" customWidth="1"/>
    <col min="16" max="16" width="4" customWidth="1"/>
    <col min="17" max="17" width="1.42578125" customWidth="1"/>
    <col min="18" max="18" width="3.140625" customWidth="1"/>
    <col min="19" max="19" width="13.28515625" customWidth="1"/>
    <col min="20" max="20" width="1.5703125" customWidth="1"/>
    <col min="21" max="23" width="15.140625" customWidth="1"/>
    <col min="24" max="25" width="4.28515625" customWidth="1"/>
    <col min="26" max="30" width="7.7109375" style="3" hidden="1" customWidth="1"/>
    <col min="31" max="31" width="4.28515625" hidden="1" customWidth="1"/>
    <col min="32" max="35" width="7.7109375" style="3" hidden="1" customWidth="1"/>
    <col min="36" max="36" width="4.28515625" hidden="1" customWidth="1"/>
    <col min="37" max="40" width="7.7109375" style="3" hidden="1" customWidth="1"/>
    <col min="41" max="41" width="4.28515625" hidden="1" customWidth="1"/>
    <col min="42" max="45" width="7.7109375" style="3" hidden="1" customWidth="1"/>
    <col min="46" max="46" width="4.28515625" hidden="1" customWidth="1"/>
    <col min="47" max="50" width="7.7109375" style="3" hidden="1" customWidth="1"/>
    <col min="51" max="51" width="4.28515625" customWidth="1"/>
    <col min="52" max="61" width="10.7109375" style="2038" customWidth="1"/>
  </cols>
  <sheetData>
    <row r="1" spans="1:61" ht="16.5" customHeight="1">
      <c r="A1" s="2912"/>
      <c r="B1" s="66"/>
      <c r="C1" s="66"/>
      <c r="D1" s="66"/>
      <c r="E1" s="66"/>
      <c r="F1" s="66"/>
      <c r="G1" s="66"/>
      <c r="H1" s="66"/>
      <c r="I1" s="66"/>
      <c r="J1" s="66"/>
      <c r="K1" s="66"/>
      <c r="L1" s="66"/>
      <c r="M1" s="66"/>
      <c r="N1" s="66"/>
      <c r="O1" s="66"/>
      <c r="P1" s="66"/>
      <c r="Q1" s="66"/>
      <c r="R1" s="832"/>
      <c r="S1" s="66"/>
      <c r="T1" s="66"/>
      <c r="AZ1" s="2037" t="s">
        <v>241</v>
      </c>
    </row>
    <row r="2" spans="1:61" s="407" customFormat="1" ht="12.75" customHeight="1">
      <c r="A2" s="4870"/>
      <c r="B2" s="397" t="s">
        <v>2453</v>
      </c>
      <c r="C2" s="4953"/>
      <c r="D2" s="2812"/>
      <c r="E2" s="252"/>
      <c r="F2" s="2596"/>
      <c r="G2" s="7231" t="s">
        <v>2454</v>
      </c>
      <c r="H2" s="7231"/>
      <c r="I2" s="7231"/>
      <c r="J2" s="7231"/>
      <c r="K2" s="7231"/>
      <c r="L2" s="2639"/>
      <c r="M2" s="7207" t="s">
        <v>2455</v>
      </c>
      <c r="N2" s="7208"/>
      <c r="O2" s="7208"/>
      <c r="P2" s="7208"/>
      <c r="Q2" s="2813"/>
      <c r="R2" s="2814"/>
      <c r="S2" s="5598" t="s">
        <v>1113</v>
      </c>
      <c r="T2" s="441"/>
      <c r="U2" s="5599"/>
      <c r="V2" s="5599"/>
      <c r="W2" s="5599"/>
      <c r="X2" s="2815"/>
      <c r="Z2" s="876"/>
      <c r="AA2" s="875"/>
      <c r="AB2" s="875"/>
      <c r="AC2" s="875"/>
      <c r="AD2" s="880"/>
      <c r="AF2" s="876"/>
      <c r="AG2" s="875"/>
      <c r="AH2" s="875"/>
      <c r="AI2" s="875"/>
      <c r="AK2" s="876"/>
      <c r="AL2" s="875"/>
      <c r="AM2" s="875"/>
      <c r="AN2" s="875"/>
      <c r="AP2" s="876"/>
      <c r="AQ2" s="875"/>
      <c r="AR2" s="875"/>
      <c r="AS2" s="875"/>
      <c r="AU2" s="876"/>
      <c r="AV2" s="875"/>
      <c r="AW2" s="875"/>
      <c r="AX2" s="875"/>
      <c r="AZ2" s="2045"/>
      <c r="BA2" s="2045"/>
      <c r="BB2" s="2045"/>
      <c r="BC2" s="2045"/>
      <c r="BD2" s="2045"/>
      <c r="BE2" s="2045"/>
      <c r="BF2" s="2045"/>
      <c r="BG2" s="2045"/>
      <c r="BH2" s="2045"/>
      <c r="BI2" s="2045"/>
    </row>
    <row r="3" spans="1:61" ht="14.25" customHeight="1">
      <c r="A3" s="2912"/>
      <c r="B3" s="3353" t="s">
        <v>2088</v>
      </c>
      <c r="C3" s="1176"/>
      <c r="D3" s="136"/>
      <c r="E3" s="130"/>
      <c r="F3" s="2593"/>
      <c r="G3" s="7231"/>
      <c r="H3" s="7231"/>
      <c r="I3" s="7231"/>
      <c r="J3" s="7231"/>
      <c r="K3" s="7231"/>
      <c r="L3" s="2592"/>
      <c r="M3" s="7298">
        <f>TaxYear</f>
        <v>2023</v>
      </c>
      <c r="N3" s="7299"/>
      <c r="O3" s="7299"/>
      <c r="P3" s="7299"/>
      <c r="Q3" s="51"/>
      <c r="R3" s="833"/>
      <c r="S3" s="457" t="s">
        <v>1062</v>
      </c>
      <c r="T3" s="66"/>
      <c r="U3" s="162"/>
      <c r="V3" s="181"/>
      <c r="W3" s="181"/>
      <c r="X3" s="180"/>
      <c r="Z3" s="345"/>
      <c r="AA3" s="162"/>
      <c r="AB3" s="162"/>
      <c r="AC3" s="162"/>
      <c r="AF3" s="345"/>
      <c r="AG3" s="162"/>
      <c r="AH3" s="162"/>
      <c r="AI3" s="162"/>
      <c r="AK3" s="345"/>
      <c r="AL3" s="162"/>
      <c r="AM3" s="162"/>
      <c r="AN3" s="162"/>
      <c r="AP3" s="345"/>
      <c r="AQ3" s="162"/>
      <c r="AR3" s="162"/>
      <c r="AS3" s="162"/>
      <c r="AU3" s="345"/>
      <c r="AV3" s="162"/>
      <c r="AW3" s="162"/>
      <c r="AX3" s="162"/>
    </row>
    <row r="4" spans="1:61" ht="14.25" customHeight="1">
      <c r="A4" s="2912"/>
      <c r="B4" s="2638"/>
      <c r="C4" s="1176"/>
      <c r="D4" s="130"/>
      <c r="E4" s="136"/>
      <c r="F4" s="7110" t="s">
        <v>2456</v>
      </c>
      <c r="G4" s="6984"/>
      <c r="H4" s="6984"/>
      <c r="I4" s="6984"/>
      <c r="J4" s="6984"/>
      <c r="K4" s="6984"/>
      <c r="L4" s="7289"/>
      <c r="M4" s="7298"/>
      <c r="N4" s="7299"/>
      <c r="O4" s="7299"/>
      <c r="P4" s="7299"/>
      <c r="Q4" s="51"/>
      <c r="R4" s="833"/>
      <c r="S4" s="66"/>
      <c r="T4" s="66"/>
      <c r="U4" s="181"/>
      <c r="V4" s="181"/>
      <c r="W4" s="181"/>
      <c r="X4" s="180"/>
      <c r="Z4" s="345"/>
      <c r="AA4" s="162"/>
      <c r="AB4" s="162"/>
      <c r="AC4" s="162"/>
      <c r="AF4" s="345"/>
      <c r="AG4" s="162"/>
      <c r="AH4" s="162"/>
      <c r="AI4" s="162"/>
      <c r="AK4" s="345"/>
      <c r="AL4" s="162"/>
      <c r="AM4" s="162"/>
      <c r="AN4" s="162"/>
      <c r="AP4" s="345"/>
      <c r="AQ4" s="162"/>
      <c r="AR4" s="162"/>
      <c r="AS4" s="162"/>
      <c r="AU4" s="345"/>
      <c r="AV4" s="162"/>
      <c r="AW4" s="162"/>
      <c r="AX4" s="162"/>
    </row>
    <row r="5" spans="1:61" ht="12.75" customHeight="1">
      <c r="A5" s="2912"/>
      <c r="B5" s="20" t="s">
        <v>535</v>
      </c>
      <c r="C5" s="20"/>
      <c r="D5" s="136"/>
      <c r="E5" s="130"/>
      <c r="F5" s="7061" t="s">
        <v>2459</v>
      </c>
      <c r="G5" s="7232"/>
      <c r="H5" s="7232"/>
      <c r="I5" s="7232"/>
      <c r="J5" s="7232"/>
      <c r="K5" s="7232"/>
      <c r="L5" s="7233"/>
      <c r="M5" s="3356"/>
      <c r="N5" s="2844" t="s">
        <v>2458</v>
      </c>
      <c r="O5" s="2844"/>
      <c r="P5" s="7309">
        <v>12</v>
      </c>
      <c r="Q5" s="814"/>
      <c r="R5" s="834"/>
      <c r="S5" s="66"/>
      <c r="T5" s="66"/>
      <c r="U5" s="181"/>
      <c r="V5" s="181"/>
      <c r="W5" s="181"/>
      <c r="X5" s="180"/>
      <c r="Z5" s="345"/>
      <c r="AA5" s="162"/>
      <c r="AB5" s="162"/>
      <c r="AC5" s="162"/>
      <c r="AF5" s="345"/>
      <c r="AG5" s="162"/>
      <c r="AH5" s="162"/>
      <c r="AI5" s="162"/>
      <c r="AK5" s="345"/>
      <c r="AL5" s="162"/>
      <c r="AM5" s="162"/>
      <c r="AN5" s="162"/>
      <c r="AP5" s="345"/>
      <c r="AQ5" s="162"/>
      <c r="AR5" s="162"/>
      <c r="AS5" s="162"/>
      <c r="AU5" s="345"/>
      <c r="AV5" s="162"/>
      <c r="AW5" s="162"/>
      <c r="AX5" s="162"/>
    </row>
    <row r="6" spans="1:61" ht="13.5" customHeight="1" thickBot="1">
      <c r="A6" s="2912"/>
      <c r="B6" s="723" t="s">
        <v>2206</v>
      </c>
      <c r="C6" s="20"/>
      <c r="D6" s="136"/>
      <c r="E6" s="130"/>
      <c r="F6" s="7061" t="s">
        <v>2457</v>
      </c>
      <c r="G6" s="7232"/>
      <c r="H6" s="7232"/>
      <c r="I6" s="7232"/>
      <c r="J6" s="7232"/>
      <c r="K6" s="7232"/>
      <c r="L6" s="7233"/>
      <c r="M6" s="3363"/>
      <c r="N6" s="5939" t="s">
        <v>2460</v>
      </c>
      <c r="O6" s="4533"/>
      <c r="P6" s="7309"/>
      <c r="Q6" s="3357"/>
      <c r="R6" s="835"/>
      <c r="S6" s="66"/>
      <c r="T6" s="66"/>
      <c r="U6" s="676"/>
      <c r="V6" s="676"/>
      <c r="W6" s="676"/>
      <c r="X6" s="180"/>
      <c r="Z6" s="345"/>
      <c r="AA6" s="162"/>
      <c r="AB6" s="162"/>
      <c r="AC6" s="162"/>
      <c r="AF6" s="345"/>
      <c r="AG6" s="162"/>
      <c r="AH6" s="162"/>
      <c r="AI6" s="162"/>
      <c r="AK6" s="345"/>
      <c r="AL6" s="162"/>
      <c r="AM6" s="162"/>
      <c r="AN6" s="162"/>
      <c r="AP6" s="345"/>
      <c r="AQ6" s="162"/>
      <c r="AR6" s="162"/>
      <c r="AS6" s="162"/>
      <c r="AU6" s="345"/>
      <c r="AV6" s="162"/>
      <c r="AW6" s="162"/>
      <c r="AX6" s="162"/>
    </row>
    <row r="7" spans="1:61" ht="11.25" customHeight="1" thickTop="1">
      <c r="A7" s="2912"/>
      <c r="B7" s="3002" t="s">
        <v>2208</v>
      </c>
      <c r="C7" s="3002"/>
      <c r="D7" s="3003"/>
      <c r="E7" s="3003"/>
      <c r="F7" s="3003"/>
      <c r="G7" s="53"/>
      <c r="H7" s="52"/>
      <c r="I7" s="52"/>
      <c r="J7" s="3002"/>
      <c r="K7" s="52"/>
      <c r="L7" s="7295" t="s">
        <v>586</v>
      </c>
      <c r="M7" s="7296"/>
      <c r="N7" s="7296"/>
      <c r="O7" s="7296"/>
      <c r="P7" s="7296"/>
      <c r="Q7" s="29"/>
      <c r="R7" s="834"/>
      <c r="S7" s="66"/>
      <c r="T7" s="66"/>
      <c r="U7" s="676"/>
      <c r="V7" s="676"/>
      <c r="W7" s="118"/>
      <c r="X7" s="118"/>
      <c r="Z7" s="162"/>
      <c r="AA7" s="162"/>
      <c r="AB7" s="162"/>
      <c r="AC7" s="162"/>
      <c r="AF7" s="162"/>
      <c r="AG7" s="162"/>
      <c r="AH7" s="162"/>
      <c r="AI7" s="162"/>
      <c r="AK7" s="162"/>
      <c r="AL7" s="162"/>
      <c r="AM7" s="162"/>
      <c r="AN7" s="162"/>
      <c r="AP7" s="162"/>
      <c r="AQ7" s="162"/>
      <c r="AR7" s="162"/>
      <c r="AS7" s="162"/>
      <c r="AU7" s="162"/>
      <c r="AV7" s="162"/>
      <c r="AW7" s="162"/>
      <c r="AX7" s="162"/>
    </row>
    <row r="8" spans="1:61" ht="14.25" customHeight="1" thickBot="1">
      <c r="A8" s="2912"/>
      <c r="B8" s="931" t="str">
        <f>Names</f>
        <v/>
      </c>
      <c r="C8" s="5600"/>
      <c r="D8" s="932"/>
      <c r="E8" s="932"/>
      <c r="F8" s="932"/>
      <c r="G8" s="933"/>
      <c r="H8" s="934"/>
      <c r="I8" s="934"/>
      <c r="J8" s="935"/>
      <c r="K8" s="934"/>
      <c r="L8" s="7043">
        <f>IF(NoSSN,"",SS_Yours)</f>
        <v>1010001</v>
      </c>
      <c r="M8" s="7297"/>
      <c r="N8" s="7297"/>
      <c r="O8" s="7297"/>
      <c r="P8" s="7297"/>
      <c r="Q8" s="198"/>
      <c r="R8" s="836"/>
      <c r="S8" s="66"/>
      <c r="T8" s="66"/>
      <c r="U8" s="676"/>
      <c r="V8" s="676"/>
      <c r="W8" s="118"/>
      <c r="X8" s="118"/>
      <c r="Z8" s="7206" t="s">
        <v>2461</v>
      </c>
      <c r="AA8" s="7206"/>
      <c r="AB8" s="7206"/>
      <c r="AC8" s="7206"/>
      <c r="AD8" s="6339"/>
      <c r="AF8" s="7206" t="s">
        <v>2462</v>
      </c>
      <c r="AG8" s="7206"/>
      <c r="AH8" s="7206"/>
      <c r="AI8" s="7206"/>
      <c r="AK8" s="7206" t="s">
        <v>2463</v>
      </c>
      <c r="AL8" s="7206"/>
      <c r="AM8" s="7206"/>
      <c r="AN8" s="7206"/>
      <c r="AP8" s="7206" t="s">
        <v>2464</v>
      </c>
      <c r="AQ8" s="7206"/>
      <c r="AR8" s="7206"/>
      <c r="AS8" s="7206"/>
      <c r="AU8" s="7206" t="s">
        <v>2465</v>
      </c>
      <c r="AV8" s="7206"/>
      <c r="AW8" s="7206"/>
      <c r="AX8" s="7206"/>
    </row>
    <row r="9" spans="1:61" ht="4.5" customHeight="1" thickBot="1">
      <c r="A9" s="2912"/>
      <c r="B9" s="3364"/>
      <c r="C9" s="221"/>
      <c r="D9" s="128"/>
      <c r="E9" s="128"/>
      <c r="F9" s="3365"/>
      <c r="G9" s="3365"/>
      <c r="H9" s="3366"/>
      <c r="I9" s="3366"/>
      <c r="J9" s="3367"/>
      <c r="K9" s="3368"/>
      <c r="L9" s="3368"/>
      <c r="M9" s="3369"/>
      <c r="N9" s="3369"/>
      <c r="O9" s="3370"/>
      <c r="P9" s="3371"/>
      <c r="Q9" s="3357"/>
      <c r="R9" s="835"/>
      <c r="S9" s="66"/>
      <c r="T9" s="66"/>
      <c r="U9" s="676"/>
      <c r="V9" s="676"/>
      <c r="W9" s="676"/>
      <c r="X9" s="180"/>
      <c r="Z9" s="345"/>
      <c r="AA9" s="162"/>
      <c r="AB9" s="162"/>
      <c r="AC9" s="162"/>
      <c r="AF9" s="345"/>
      <c r="AG9" s="162"/>
      <c r="AH9" s="162"/>
      <c r="AI9" s="162"/>
      <c r="AK9" s="345"/>
      <c r="AL9" s="162"/>
      <c r="AM9" s="162"/>
      <c r="AN9" s="162"/>
      <c r="AP9" s="345"/>
      <c r="AQ9" s="162"/>
      <c r="AR9" s="162"/>
      <c r="AS9" s="162"/>
      <c r="AU9" s="345"/>
      <c r="AV9" s="162"/>
      <c r="AW9" s="162"/>
      <c r="AX9" s="162"/>
    </row>
    <row r="10" spans="1:61" ht="13.5" customHeight="1" thickBot="1">
      <c r="A10" s="2912"/>
      <c r="B10" s="2949" t="s">
        <v>2466</v>
      </c>
      <c r="C10" s="20"/>
      <c r="D10" s="130"/>
      <c r="E10" s="130"/>
      <c r="F10" s="3358"/>
      <c r="G10" s="3358"/>
      <c r="H10" s="3359"/>
      <c r="I10" s="3359"/>
      <c r="J10" s="3360"/>
      <c r="K10" s="3380"/>
      <c r="L10" s="3379" t="s">
        <v>608</v>
      </c>
      <c r="M10" s="3361"/>
      <c r="N10" s="3380"/>
      <c r="O10" s="3379" t="s">
        <v>609</v>
      </c>
      <c r="P10" s="3362"/>
      <c r="Q10" s="3357"/>
      <c r="R10" s="835"/>
      <c r="S10" s="66"/>
      <c r="T10" s="66"/>
      <c r="U10" s="676"/>
      <c r="V10" s="676"/>
      <c r="W10" s="676"/>
      <c r="X10" s="180"/>
      <c r="Z10" s="345"/>
      <c r="AA10" s="162"/>
      <c r="AB10" s="162"/>
      <c r="AC10" s="162"/>
      <c r="AF10" s="345"/>
      <c r="AG10" s="162"/>
      <c r="AH10" s="162"/>
      <c r="AI10" s="162"/>
      <c r="AK10" s="345"/>
      <c r="AL10" s="162"/>
      <c r="AM10" s="162"/>
      <c r="AN10" s="162"/>
      <c r="AP10" s="345"/>
      <c r="AQ10" s="162"/>
      <c r="AR10" s="162"/>
      <c r="AS10" s="162"/>
      <c r="AU10" s="345"/>
      <c r="AV10" s="162"/>
      <c r="AW10" s="162"/>
      <c r="AX10" s="162"/>
    </row>
    <row r="11" spans="1:61" ht="13.5" customHeight="1">
      <c r="A11" s="2912"/>
      <c r="B11" s="3382" t="s">
        <v>2467</v>
      </c>
      <c r="C11" s="115"/>
      <c r="D11" s="119"/>
      <c r="E11" s="119"/>
      <c r="F11" s="3372"/>
      <c r="G11" s="3372"/>
      <c r="H11" s="3373"/>
      <c r="I11" s="3373"/>
      <c r="J11" s="3374"/>
      <c r="K11" s="3375"/>
      <c r="L11" s="3375"/>
      <c r="M11" s="3376"/>
      <c r="N11" s="3376"/>
      <c r="O11" s="3377"/>
      <c r="P11" s="3378"/>
      <c r="Q11" s="3357"/>
      <c r="R11" s="835"/>
      <c r="S11" s="66"/>
      <c r="T11" s="66"/>
      <c r="U11" s="676"/>
      <c r="V11" s="676"/>
      <c r="W11" s="676"/>
      <c r="X11" s="180"/>
      <c r="Z11" s="345"/>
      <c r="AA11" s="162"/>
      <c r="AB11" s="162"/>
      <c r="AC11" s="162"/>
      <c r="AF11" s="345"/>
      <c r="AG11" s="162"/>
      <c r="AH11" s="162"/>
      <c r="AI11" s="162"/>
      <c r="AK11" s="345"/>
      <c r="AL11" s="162"/>
      <c r="AM11" s="162"/>
      <c r="AN11" s="162"/>
      <c r="AP11" s="345"/>
      <c r="AQ11" s="162"/>
      <c r="AR11" s="162"/>
      <c r="AS11" s="162"/>
      <c r="AU11" s="345"/>
      <c r="AV11" s="162"/>
      <c r="AW11" s="162"/>
      <c r="AX11" s="162"/>
    </row>
    <row r="12" spans="1:61" ht="19.5" customHeight="1">
      <c r="A12" s="2912"/>
      <c r="B12" s="7257" t="s">
        <v>2468</v>
      </c>
      <c r="C12" s="7257"/>
      <c r="D12" s="153"/>
      <c r="E12" s="3381" t="s">
        <v>2469</v>
      </c>
      <c r="F12" s="153"/>
      <c r="G12" s="140"/>
      <c r="H12" s="3381" t="s">
        <v>2470</v>
      </c>
      <c r="I12" s="348"/>
      <c r="J12" s="153"/>
      <c r="K12" s="141"/>
      <c r="L12" s="468"/>
      <c r="M12" s="2797"/>
      <c r="N12" s="465"/>
      <c r="O12" s="3930" t="s">
        <v>2326</v>
      </c>
      <c r="P12" s="3930"/>
      <c r="Q12" s="752"/>
      <c r="R12" s="837"/>
      <c r="S12" s="66"/>
      <c r="T12" s="66"/>
      <c r="U12" s="66"/>
      <c r="V12" s="66"/>
      <c r="W12" s="66"/>
      <c r="X12" s="457"/>
      <c r="Z12" s="162"/>
      <c r="AA12" s="162"/>
      <c r="AB12" s="162"/>
      <c r="AC12" s="162"/>
      <c r="AF12" s="162"/>
      <c r="AG12" s="162"/>
      <c r="AH12" s="162"/>
      <c r="AI12" s="162"/>
      <c r="AK12" s="162"/>
      <c r="AL12" s="162"/>
      <c r="AM12" s="162"/>
      <c r="AN12" s="162"/>
      <c r="AP12" s="162"/>
      <c r="AQ12" s="162"/>
      <c r="AR12" s="162"/>
      <c r="AS12" s="162"/>
      <c r="AU12" s="162"/>
      <c r="AV12" s="162"/>
      <c r="AW12" s="162"/>
      <c r="AX12" s="162"/>
    </row>
    <row r="13" spans="1:61" ht="16.5" customHeight="1">
      <c r="A13" s="2912"/>
      <c r="B13" s="7269" t="s">
        <v>2471</v>
      </c>
      <c r="C13" s="7270"/>
      <c r="D13" s="7270"/>
      <c r="E13" s="7270"/>
      <c r="F13" s="7270"/>
      <c r="G13" s="7271"/>
      <c r="H13" s="7225" t="s">
        <v>2472</v>
      </c>
      <c r="I13" s="7226"/>
      <c r="J13" s="7219" t="s">
        <v>2473</v>
      </c>
      <c r="K13" s="7259" t="s">
        <v>2474</v>
      </c>
      <c r="L13" s="7260"/>
      <c r="M13" s="7302"/>
      <c r="N13" s="7259" t="s">
        <v>2475</v>
      </c>
      <c r="O13" s="7260"/>
      <c r="P13" s="7260"/>
      <c r="Q13" s="753"/>
      <c r="R13" s="838"/>
      <c r="S13" s="66"/>
      <c r="T13" s="66"/>
      <c r="U13" s="7216" t="s">
        <v>2476</v>
      </c>
      <c r="V13" s="7213" t="s">
        <v>2473</v>
      </c>
      <c r="W13" s="7219" t="s">
        <v>2477</v>
      </c>
      <c r="X13" s="457"/>
      <c r="Z13" s="162"/>
      <c r="AA13" s="162"/>
      <c r="AB13" s="162"/>
      <c r="AC13" s="162"/>
      <c r="AF13" s="162"/>
      <c r="AG13" s="162"/>
      <c r="AH13" s="162"/>
      <c r="AI13" s="162"/>
      <c r="AK13" s="162"/>
      <c r="AL13" s="162"/>
      <c r="AM13" s="162"/>
      <c r="AN13" s="162"/>
      <c r="AP13" s="162"/>
      <c r="AQ13" s="162"/>
      <c r="AR13" s="162"/>
      <c r="AS13" s="162"/>
      <c r="AU13" s="162"/>
      <c r="AV13" s="162"/>
      <c r="AW13" s="162"/>
      <c r="AX13" s="162"/>
    </row>
    <row r="14" spans="1:61" ht="16.5" customHeight="1">
      <c r="A14" s="2912"/>
      <c r="B14" s="7272"/>
      <c r="C14" s="7152"/>
      <c r="D14" s="7152"/>
      <c r="E14" s="7152"/>
      <c r="F14" s="7152"/>
      <c r="G14" s="7273"/>
      <c r="H14" s="7227"/>
      <c r="I14" s="7228"/>
      <c r="J14" s="7300"/>
      <c r="K14" s="7303"/>
      <c r="L14" s="7304"/>
      <c r="M14" s="7305"/>
      <c r="N14" s="7261"/>
      <c r="O14" s="7262"/>
      <c r="P14" s="7262"/>
      <c r="Q14" s="5601"/>
      <c r="R14" s="5602"/>
      <c r="S14" s="457" t="s">
        <v>2478</v>
      </c>
      <c r="T14" s="66"/>
      <c r="U14" s="7217"/>
      <c r="V14" s="7214"/>
      <c r="W14" s="7220"/>
      <c r="X14" s="457"/>
      <c r="Z14" s="162"/>
      <c r="AA14" s="162"/>
      <c r="AB14" s="162"/>
      <c r="AC14" s="162"/>
      <c r="AF14" s="162"/>
      <c r="AG14" s="162"/>
      <c r="AH14" s="162"/>
      <c r="AI14" s="162"/>
      <c r="AK14" s="162"/>
      <c r="AL14" s="162"/>
      <c r="AM14" s="162"/>
      <c r="AN14" s="162"/>
      <c r="AP14" s="162"/>
      <c r="AQ14" s="162"/>
      <c r="AR14" s="162"/>
      <c r="AS14" s="162"/>
      <c r="AU14" s="162"/>
      <c r="AV14" s="162"/>
      <c r="AW14" s="162"/>
      <c r="AX14" s="162"/>
    </row>
    <row r="15" spans="1:61" ht="16.5" customHeight="1">
      <c r="A15" s="2912"/>
      <c r="B15" s="7274"/>
      <c r="C15" s="7275"/>
      <c r="D15" s="7275"/>
      <c r="E15" s="7275"/>
      <c r="F15" s="7275"/>
      <c r="G15" s="7276"/>
      <c r="H15" s="7229"/>
      <c r="I15" s="7230"/>
      <c r="J15" s="7301"/>
      <c r="K15" s="7306"/>
      <c r="L15" s="7307"/>
      <c r="M15" s="7308"/>
      <c r="N15" s="7263"/>
      <c r="O15" s="7264"/>
      <c r="P15" s="7264"/>
      <c r="Q15" s="754"/>
      <c r="R15" s="839"/>
      <c r="S15" s="66"/>
      <c r="T15" s="66"/>
      <c r="U15" s="7218"/>
      <c r="V15" s="7215"/>
      <c r="W15" s="7221"/>
      <c r="X15" s="457"/>
      <c r="Z15" s="183" t="s">
        <v>2479</v>
      </c>
      <c r="AA15" s="183" t="s">
        <v>2480</v>
      </c>
      <c r="AB15" s="183" t="s">
        <v>2481</v>
      </c>
      <c r="AC15" s="183" t="s">
        <v>2482</v>
      </c>
      <c r="AF15" s="183" t="s">
        <v>2479</v>
      </c>
      <c r="AG15" s="183" t="s">
        <v>2480</v>
      </c>
      <c r="AH15" s="183" t="s">
        <v>2481</v>
      </c>
      <c r="AI15" s="183" t="s">
        <v>2482</v>
      </c>
      <c r="AK15" s="183" t="s">
        <v>2479</v>
      </c>
      <c r="AL15" s="183" t="s">
        <v>2480</v>
      </c>
      <c r="AM15" s="183" t="s">
        <v>2481</v>
      </c>
      <c r="AN15" s="183" t="s">
        <v>2482</v>
      </c>
      <c r="AP15" s="183" t="s">
        <v>2479</v>
      </c>
      <c r="AQ15" s="183" t="s">
        <v>2480</v>
      </c>
      <c r="AR15" s="183" t="s">
        <v>2481</v>
      </c>
      <c r="AS15" s="183" t="s">
        <v>2482</v>
      </c>
      <c r="AU15" s="183" t="s">
        <v>2479</v>
      </c>
      <c r="AV15" s="183" t="s">
        <v>2480</v>
      </c>
      <c r="AW15" s="183" t="s">
        <v>2481</v>
      </c>
      <c r="AX15" s="183" t="s">
        <v>2482</v>
      </c>
    </row>
    <row r="16" spans="1:61" ht="46.5" customHeight="1">
      <c r="A16" s="2912"/>
      <c r="B16" s="827" t="s">
        <v>363</v>
      </c>
      <c r="C16" s="7290" t="s">
        <v>2483</v>
      </c>
      <c r="D16" s="7291"/>
      <c r="E16" s="7291"/>
      <c r="F16" s="7291"/>
      <c r="G16" s="7292"/>
      <c r="H16" s="920"/>
      <c r="I16" s="921"/>
      <c r="J16" s="922"/>
      <c r="K16" s="927"/>
      <c r="L16" s="928"/>
      <c r="M16" s="929"/>
      <c r="N16" s="923"/>
      <c r="O16" s="924"/>
      <c r="P16" s="924"/>
      <c r="Q16" s="754"/>
      <c r="R16" s="839"/>
      <c r="S16" s="66"/>
      <c r="T16" s="66"/>
      <c r="U16" s="915"/>
      <c r="V16" s="914"/>
      <c r="W16" s="925"/>
      <c r="X16" s="457"/>
      <c r="Z16" s="183"/>
      <c r="AA16" s="183"/>
      <c r="AB16" s="183"/>
      <c r="AC16" s="183"/>
      <c r="AF16" s="183"/>
      <c r="AG16" s="183"/>
      <c r="AH16" s="183"/>
      <c r="AI16" s="183"/>
      <c r="AK16" s="183"/>
      <c r="AL16" s="183"/>
      <c r="AM16" s="183"/>
      <c r="AN16" s="183"/>
      <c r="AP16" s="183"/>
      <c r="AQ16" s="183"/>
      <c r="AR16" s="183"/>
      <c r="AS16" s="183"/>
      <c r="AU16" s="183"/>
      <c r="AV16" s="183"/>
      <c r="AW16" s="183"/>
      <c r="AX16" s="183"/>
    </row>
    <row r="17" spans="1:50" ht="15.75" customHeight="1">
      <c r="A17" s="2912"/>
      <c r="B17" s="919"/>
      <c r="C17" s="7293"/>
      <c r="D17" s="7293"/>
      <c r="E17" s="7293"/>
      <c r="F17" s="7293"/>
      <c r="G17" s="7294"/>
      <c r="H17" s="7154"/>
      <c r="I17" s="7265"/>
      <c r="J17" s="830"/>
      <c r="K17" s="7266"/>
      <c r="L17" s="7267"/>
      <c r="M17" s="7268"/>
      <c r="N17" s="7149" t="str">
        <f>IF(OR(H17&lt;&gt;"",J17&lt;&gt;""),ROUND(SUM(H17,-J17),0),"")</f>
        <v/>
      </c>
      <c r="O17" s="7150"/>
      <c r="P17" s="7243"/>
      <c r="Q17" s="754"/>
      <c r="R17" s="839"/>
      <c r="S17" s="66"/>
      <c r="T17" s="66"/>
      <c r="U17" s="915" t="str">
        <f>"---"</f>
        <v>---</v>
      </c>
      <c r="V17" s="915" t="str">
        <f>"---"</f>
        <v>---</v>
      </c>
      <c r="W17" s="926"/>
      <c r="X17" s="457"/>
      <c r="Z17" s="183"/>
      <c r="AA17" s="183"/>
      <c r="AB17" s="183"/>
      <c r="AC17" s="183"/>
      <c r="AF17" s="183"/>
      <c r="AG17" s="183"/>
      <c r="AH17" s="183"/>
      <c r="AI17" s="183"/>
      <c r="AK17" s="183"/>
      <c r="AL17" s="183"/>
      <c r="AM17" s="183"/>
      <c r="AN17" s="183"/>
      <c r="AP17" s="183"/>
      <c r="AQ17" s="183"/>
      <c r="AR17" s="183"/>
      <c r="AS17" s="183"/>
      <c r="AU17" s="183"/>
      <c r="AV17" s="183"/>
      <c r="AW17" s="183"/>
      <c r="AX17" s="183"/>
    </row>
    <row r="18" spans="1:50" ht="12.75" customHeight="1">
      <c r="A18" s="2912"/>
      <c r="B18" s="827" t="s">
        <v>365</v>
      </c>
      <c r="C18" s="7247" t="s">
        <v>2484</v>
      </c>
      <c r="D18" s="7248"/>
      <c r="E18" s="7248"/>
      <c r="F18" s="7248"/>
      <c r="G18" s="7249"/>
      <c r="H18" s="7209">
        <f>SUM(AF19:AI19)</f>
        <v>0</v>
      </c>
      <c r="I18" s="7210"/>
      <c r="J18" s="877">
        <f>SUM(AK19:AN19)</f>
        <v>0</v>
      </c>
      <c r="K18" s="7209">
        <f>SUM(AP19:AS19)</f>
        <v>0</v>
      </c>
      <c r="L18" s="7211"/>
      <c r="M18" s="7212"/>
      <c r="N18" s="7223">
        <f>SUM(AU19:AX19)</f>
        <v>0</v>
      </c>
      <c r="O18" s="7224"/>
      <c r="P18" s="2795"/>
      <c r="Q18" s="755"/>
      <c r="R18" s="840"/>
      <c r="S18" s="66"/>
      <c r="T18" s="66"/>
      <c r="U18" s="882"/>
      <c r="V18" s="883"/>
      <c r="W18" s="884"/>
      <c r="X18" s="457"/>
      <c r="Z18" s="162"/>
      <c r="AA18" s="162"/>
      <c r="AB18" s="162"/>
      <c r="AC18" s="162"/>
      <c r="AF18" s="162"/>
      <c r="AG18" s="162"/>
      <c r="AH18" s="162"/>
      <c r="AI18" s="162"/>
      <c r="AK18" s="162"/>
      <c r="AL18" s="162"/>
      <c r="AM18" s="162"/>
      <c r="AN18" s="162"/>
      <c r="AP18" s="162"/>
      <c r="AQ18" s="162"/>
      <c r="AR18" s="162"/>
      <c r="AS18" s="162"/>
      <c r="AU18" s="162"/>
      <c r="AV18" s="162"/>
      <c r="AW18" s="162"/>
      <c r="AX18" s="162"/>
    </row>
    <row r="19" spans="1:50" ht="13.5" customHeight="1">
      <c r="A19" s="2912"/>
      <c r="B19" s="828"/>
      <c r="C19" s="7250"/>
      <c r="D19" s="7250"/>
      <c r="E19" s="7250"/>
      <c r="F19" s="7250"/>
      <c r="G19" s="7251"/>
      <c r="H19" s="7149" t="str">
        <f>IF(U19&lt;&gt;"",ROUND(U19,0),IF($AD19,ROUND(H18,0),""))</f>
        <v/>
      </c>
      <c r="I19" s="7222"/>
      <c r="J19" s="930" t="str">
        <f>IF(V19&lt;&gt;"",ROUND(V19,0),IF($AD19,ROUND(J18,0),""))</f>
        <v/>
      </c>
      <c r="K19" s="7149" t="str">
        <f>IF(W19&lt;&gt;"",ROUND(W19,0),IF($AD19,ROUND(K18,0),""))</f>
        <v/>
      </c>
      <c r="L19" s="7150"/>
      <c r="M19" s="7222"/>
      <c r="N19" s="7149" t="str">
        <f>IF(AND(H19="",J19="",K19=""),"",IF(AND(V19="",OR(U19&lt;&gt;"",W19&lt;&gt;"")),SUM(H19,K19),IF(OR(U19&lt;&gt;"",V19&lt;&gt;"",W19&lt;&gt;""),SUM(H19,-J19,K19),N18)))</f>
        <v/>
      </c>
      <c r="O19" s="7150"/>
      <c r="P19" s="7243"/>
      <c r="Q19" s="755"/>
      <c r="R19" s="840"/>
      <c r="S19" s="66"/>
      <c r="T19" s="66"/>
      <c r="U19" s="829"/>
      <c r="V19" s="830"/>
      <c r="W19" s="831"/>
      <c r="X19" s="457"/>
      <c r="Z19" s="162">
        <f>IF(F8949ASBOXA&lt;&gt;"",F8949AST,0)</f>
        <v>0</v>
      </c>
      <c r="AA19" s="162">
        <f>IF(F8949BSBOXA&lt;&gt;"",F8949BST,0)</f>
        <v>0</v>
      </c>
      <c r="AB19" s="162">
        <f>IF(F8949CSBOXA&lt;&gt;"",F8949CST,0)</f>
        <v>0</v>
      </c>
      <c r="AC19" s="162">
        <f>IF(F8949DSBOXA&lt;&gt;"",F8949DST,0)</f>
        <v>0</v>
      </c>
      <c r="AD19" s="3" t="b">
        <f>IF(SUM(Z19:AC19)&gt;0,TRUE,FALSE)</f>
        <v>0</v>
      </c>
      <c r="AF19" s="162">
        <f>IF(F8949ASBOXA&lt;&gt;"",F8949ASTD,0)</f>
        <v>0</v>
      </c>
      <c r="AG19" s="162">
        <f>IF(F8949BSBOXA&lt;&gt;"",F8949BSTD,0)</f>
        <v>0</v>
      </c>
      <c r="AH19" s="162">
        <f>IF(F8949CSBOXA&lt;&gt;"",F8949CSTD,0)</f>
        <v>0</v>
      </c>
      <c r="AI19" s="162">
        <f>IF(F8949DSBOXA&lt;&gt;"",F8949DSTD,0)</f>
        <v>0</v>
      </c>
      <c r="AK19" s="162">
        <f>IF(F8949ASBOXA&lt;&gt;"",F8949ASTE,0)</f>
        <v>0</v>
      </c>
      <c r="AL19" s="162">
        <f>IF(F8949BSBOXA&lt;&gt;"",F8949BSTE,0)</f>
        <v>0</v>
      </c>
      <c r="AM19" s="162">
        <f>IF(F8949CSBOXA&lt;&gt;"",F8949CSTE,0)</f>
        <v>0</v>
      </c>
      <c r="AN19" s="162">
        <f>IF(F8949DSBOXA&lt;&gt;"",F8949DSTE,0)</f>
        <v>0</v>
      </c>
      <c r="AP19" s="162">
        <f>IF(F8949ASBOXA&lt;&gt;"",F8949ASTG,0)</f>
        <v>0</v>
      </c>
      <c r="AQ19" s="162">
        <f>IF(F8949BSBOXA&lt;&gt;"",F8949BSTG,0)</f>
        <v>0</v>
      </c>
      <c r="AR19" s="162">
        <f>IF(F8949CSBOXA&lt;&gt;"",F8949CSTG,0)</f>
        <v>0</v>
      </c>
      <c r="AS19" s="162">
        <f>IF(F8949DSBOXA&lt;&gt;"",F8949DSTG,0)</f>
        <v>0</v>
      </c>
      <c r="AU19" s="162">
        <f>IF(F8949ASBOXA&lt;&gt;"",F8949ASTH,0)</f>
        <v>0</v>
      </c>
      <c r="AV19" s="162">
        <f>IF(F8949BSBOXA&lt;&gt;"",F8949BSTH,0)</f>
        <v>0</v>
      </c>
      <c r="AW19" s="162">
        <f>IF(F8949CSBOXA&lt;&gt;"",F8949CSTH,0)</f>
        <v>0</v>
      </c>
      <c r="AX19" s="162">
        <f>IF(F8949DSBOXA&lt;&gt;"",F8949DSTH,0)</f>
        <v>0</v>
      </c>
    </row>
    <row r="20" spans="1:50" ht="15.75" customHeight="1">
      <c r="A20" s="2912"/>
      <c r="B20" s="827">
        <v>2</v>
      </c>
      <c r="C20" s="7247" t="s">
        <v>2485</v>
      </c>
      <c r="D20" s="7248"/>
      <c r="E20" s="7248"/>
      <c r="F20" s="7248"/>
      <c r="G20" s="7249"/>
      <c r="H20" s="7209">
        <f>SUM(AF21:AI21)</f>
        <v>0</v>
      </c>
      <c r="I20" s="7210"/>
      <c r="J20" s="877">
        <f>SUM(AK21:AN21)</f>
        <v>0</v>
      </c>
      <c r="K20" s="7209">
        <f>SUM(AP21:AS21)</f>
        <v>0</v>
      </c>
      <c r="L20" s="7211"/>
      <c r="M20" s="7212"/>
      <c r="N20" s="7209">
        <f>SUM(AU21:AX21)</f>
        <v>0</v>
      </c>
      <c r="O20" s="7211"/>
      <c r="P20" s="2795"/>
      <c r="Q20" s="755"/>
      <c r="R20" s="840"/>
      <c r="S20" s="66"/>
      <c r="T20" s="66"/>
      <c r="U20" s="882"/>
      <c r="V20" s="883"/>
      <c r="W20" s="884"/>
      <c r="X20" s="457"/>
      <c r="Z20" s="162"/>
      <c r="AA20" s="162"/>
      <c r="AB20" s="162"/>
      <c r="AC20" s="162"/>
      <c r="AF20" s="162"/>
      <c r="AG20" s="162"/>
      <c r="AH20" s="162"/>
      <c r="AI20" s="162"/>
      <c r="AK20" s="162"/>
      <c r="AL20" s="162"/>
      <c r="AM20" s="162"/>
      <c r="AN20" s="162"/>
      <c r="AP20" s="162"/>
      <c r="AQ20" s="162"/>
      <c r="AR20" s="162"/>
      <c r="AS20" s="162"/>
      <c r="AU20" s="162"/>
      <c r="AV20" s="162"/>
      <c r="AW20" s="162"/>
      <c r="AX20" s="162"/>
    </row>
    <row r="21" spans="1:50" ht="13.5" customHeight="1">
      <c r="A21" s="2912"/>
      <c r="B21" s="828"/>
      <c r="C21" s="7250"/>
      <c r="D21" s="7250"/>
      <c r="E21" s="7250"/>
      <c r="F21" s="7250"/>
      <c r="G21" s="7251"/>
      <c r="H21" s="7149" t="str">
        <f>IF(U21&lt;&gt;"",ROUND(U21,0),IF($AD21,ROUND(H20,0),""))</f>
        <v/>
      </c>
      <c r="I21" s="7222"/>
      <c r="J21" s="930" t="str">
        <f>IF(V21&lt;&gt;"",ROUND(V21,0),IF($AD21,ROUND(J20,0),""))</f>
        <v/>
      </c>
      <c r="K21" s="7149" t="str">
        <f>IF(W21&lt;&gt;"",ROUND(W21,0),IF($AD21,ROUND(K20,0),""))</f>
        <v/>
      </c>
      <c r="L21" s="7150"/>
      <c r="M21" s="7222"/>
      <c r="N21" s="7149" t="str">
        <f>IF(AND(H21="",J21="",K21=""),"",IF(AND(V21="",OR(U21&lt;&gt;"",W21&lt;&gt;"")),SUM(H21,K21),IF(OR(U21&lt;&gt;"",V21&lt;&gt;"",W21&lt;&gt;""),SUM(H21,-J21,K21),N20)))</f>
        <v/>
      </c>
      <c r="O21" s="7150"/>
      <c r="P21" s="7243"/>
      <c r="Q21" s="755"/>
      <c r="R21" s="840"/>
      <c r="S21" s="66"/>
      <c r="T21" s="66"/>
      <c r="U21" s="829"/>
      <c r="V21" s="830"/>
      <c r="W21" s="831"/>
      <c r="X21" s="457"/>
      <c r="Z21" s="162">
        <f>IF(F8949ASBOXB&lt;&gt;"",F8949AST,0)</f>
        <v>0</v>
      </c>
      <c r="AA21" s="162">
        <f>IF(F8949BSBOXB&lt;&gt;"",F8949BST,0)</f>
        <v>0</v>
      </c>
      <c r="AB21" s="162">
        <f>IF(F8949CSBOXB&lt;&gt;"",F8949CST,0)</f>
        <v>0</v>
      </c>
      <c r="AC21" s="162">
        <f>IF(F8949DSBOXB&lt;&gt;"",F8949DST,0)</f>
        <v>0</v>
      </c>
      <c r="AD21" s="3" t="b">
        <f>IF(SUM(Z21:AC21)&gt;0,TRUE,FALSE)</f>
        <v>0</v>
      </c>
      <c r="AF21" s="162">
        <f>IF(F8949ASBOXB&lt;&gt;"",F8949ASTD,0)</f>
        <v>0</v>
      </c>
      <c r="AG21" s="162">
        <f>IF(F8949BSBOXB&lt;&gt;"",F8949BSTD,0)</f>
        <v>0</v>
      </c>
      <c r="AH21" s="162">
        <f>IF(F8949CSBOXB&lt;&gt;"",F8949CSTD,0)</f>
        <v>0</v>
      </c>
      <c r="AI21" s="162">
        <f>IF(F8949DSBOXB&lt;&gt;"",F8949DSTD,0)</f>
        <v>0</v>
      </c>
      <c r="AK21" s="162">
        <f>IF(F8949ASBOXB&lt;&gt;"",F8949ASTE,0)</f>
        <v>0</v>
      </c>
      <c r="AL21" s="162">
        <f>IF(F8949BSBOXB&lt;&gt;"",F8949BSTE,0)</f>
        <v>0</v>
      </c>
      <c r="AM21" s="162">
        <f>IF(F8949CSBOXB&lt;&gt;"",F8949CSTE,0)</f>
        <v>0</v>
      </c>
      <c r="AN21" s="162">
        <f>IF(F8949DSBOXB&lt;&gt;"",F8949DSTE,0)</f>
        <v>0</v>
      </c>
      <c r="AP21" s="162">
        <f>IF(F8949ASBOXB&lt;&gt;"",F8949ASTG,0)</f>
        <v>0</v>
      </c>
      <c r="AQ21" s="162">
        <f>IF(F8949BSBOXB&lt;&gt;"",F8949BSTG,0)</f>
        <v>0</v>
      </c>
      <c r="AR21" s="162">
        <f>IF(F8949CSBOXB&lt;&gt;"",F8949CSTG,0)</f>
        <v>0</v>
      </c>
      <c r="AS21" s="162">
        <f>IF(F8949DSBOXB&lt;&gt;"",F8949DSTG,0)</f>
        <v>0</v>
      </c>
      <c r="AU21" s="162">
        <f>IF(F8949ASBOXB&lt;&gt;"",F8949ASTH,0)</f>
        <v>0</v>
      </c>
      <c r="AV21" s="162">
        <f>IF(F8949BSBOXB&lt;&gt;"",F8949BSTH,0)</f>
        <v>0</v>
      </c>
      <c r="AW21" s="162">
        <f>IF(F8949CSBOXB&lt;&gt;"",F8949CSTH,0)</f>
        <v>0</v>
      </c>
      <c r="AX21" s="162">
        <f>IF(F8949DSBOXB&lt;&gt;"",F8949DSTH,0)</f>
        <v>0</v>
      </c>
    </row>
    <row r="22" spans="1:50" ht="13.5" customHeight="1">
      <c r="A22" s="2912"/>
      <c r="B22" s="827">
        <v>3</v>
      </c>
      <c r="C22" s="7247" t="s">
        <v>2486</v>
      </c>
      <c r="D22" s="7248"/>
      <c r="E22" s="7248"/>
      <c r="F22" s="7248"/>
      <c r="G22" s="7249"/>
      <c r="H22" s="7209">
        <f>SUM(AF23:AI23)</f>
        <v>0</v>
      </c>
      <c r="I22" s="7210"/>
      <c r="J22" s="877">
        <f>SUM(AK23:AN23)</f>
        <v>0</v>
      </c>
      <c r="K22" s="7209">
        <f>SUM(AP23:AS23)</f>
        <v>0</v>
      </c>
      <c r="L22" s="7211"/>
      <c r="M22" s="7212"/>
      <c r="N22" s="7209">
        <f>SUM(AU23:AX23)</f>
        <v>0</v>
      </c>
      <c r="O22" s="7211"/>
      <c r="P22" s="2795"/>
      <c r="Q22" s="755"/>
      <c r="R22" s="840"/>
      <c r="S22" s="66"/>
      <c r="T22" s="66"/>
      <c r="U22" s="882"/>
      <c r="V22" s="883"/>
      <c r="W22" s="884"/>
      <c r="X22" s="457"/>
      <c r="Z22" s="162"/>
      <c r="AA22" s="162"/>
      <c r="AB22" s="162"/>
      <c r="AC22" s="162"/>
      <c r="AF22" s="162"/>
      <c r="AG22" s="162"/>
      <c r="AH22" s="162"/>
      <c r="AI22" s="162"/>
      <c r="AK22" s="162"/>
      <c r="AL22" s="162"/>
      <c r="AM22" s="162"/>
      <c r="AN22" s="162"/>
      <c r="AP22" s="162"/>
      <c r="AQ22" s="162"/>
      <c r="AR22" s="162"/>
      <c r="AS22" s="162"/>
      <c r="AU22" s="162"/>
      <c r="AV22" s="162"/>
      <c r="AW22" s="162"/>
      <c r="AX22" s="162"/>
    </row>
    <row r="23" spans="1:50" ht="12.75" customHeight="1">
      <c r="A23" s="2912"/>
      <c r="B23" s="828"/>
      <c r="C23" s="7250"/>
      <c r="D23" s="7250"/>
      <c r="E23" s="7250"/>
      <c r="F23" s="7250"/>
      <c r="G23" s="7251"/>
      <c r="H23" s="7149" t="str">
        <f>IF(U23&lt;&gt;"",ROUND(U23,0),IF($AD23,ROUND(H22,0),""))</f>
        <v/>
      </c>
      <c r="I23" s="7222"/>
      <c r="J23" s="930" t="str">
        <f>IF(V23&lt;&gt;"",ROUND(V23,0),IF($AD23,ROUND(J22,0),""))</f>
        <v/>
      </c>
      <c r="K23" s="7149" t="str">
        <f>IF(W23&lt;&gt;"",ROUND(W23,0),IF($AD23,ROUND(K22,0),""))</f>
        <v/>
      </c>
      <c r="L23" s="7150"/>
      <c r="M23" s="7222"/>
      <c r="N23" s="7149" t="str">
        <f>IF(AND(H23="",J23="",K23=""),"",IF(AND(V23="",OR(U23&lt;&gt;"",W23&lt;&gt;"")),SUM(H23,K23),IF(OR(U23&lt;&gt;"",V23&lt;&gt;"",W23&lt;&gt;""),SUM(H23,-J23,K23),N22)))</f>
        <v/>
      </c>
      <c r="O23" s="7150"/>
      <c r="P23" s="7243"/>
      <c r="Q23" s="755"/>
      <c r="R23" s="840"/>
      <c r="S23" s="66"/>
      <c r="T23" s="66"/>
      <c r="U23" s="829"/>
      <c r="V23" s="830"/>
      <c r="W23" s="831"/>
      <c r="X23" s="457"/>
      <c r="Z23" s="162">
        <f>IF(F8949ASBOXC&lt;&gt;"",F8949AST,0)</f>
        <v>0</v>
      </c>
      <c r="AA23" s="162">
        <f>IF(F8949BSBOXC&lt;&gt;"",F8949BST,0)</f>
        <v>0</v>
      </c>
      <c r="AB23" s="162">
        <f>IF(F8949CSBOXC&lt;&gt;"",F8949CST,0)</f>
        <v>0</v>
      </c>
      <c r="AC23" s="162">
        <f>IF(F8949DSBOXC&lt;&gt;"",F8949DST,0)</f>
        <v>0</v>
      </c>
      <c r="AD23" s="3" t="b">
        <f>IF(SUM(Z23:AC23)&gt;0,TRUE,FALSE)</f>
        <v>0</v>
      </c>
      <c r="AF23" s="162">
        <f>IF(F8949ASBOXC&lt;&gt;"",F8949ASTD,0)</f>
        <v>0</v>
      </c>
      <c r="AG23" s="162">
        <f>IF(F8949BSBOXC&lt;&gt;"",F8949BSTD,0)</f>
        <v>0</v>
      </c>
      <c r="AH23" s="162">
        <f>IF(F8949CSBOXC&lt;&gt;"",F8949CSTD,0)</f>
        <v>0</v>
      </c>
      <c r="AI23" s="162">
        <f>IF(F8949DSBOXC&lt;&gt;"",F8949DSTD,0)</f>
        <v>0</v>
      </c>
      <c r="AK23" s="162">
        <f>IF(F8949ASBOXC&lt;&gt;"",F8949ASTE,0)</f>
        <v>0</v>
      </c>
      <c r="AL23" s="162">
        <f>IF(F8949BSBOXC&lt;&gt;"",F8949BSTE,0)</f>
        <v>0</v>
      </c>
      <c r="AM23" s="162">
        <f>IF(F8949CSBOXC&lt;&gt;"",F8949CSTE,0)</f>
        <v>0</v>
      </c>
      <c r="AN23" s="162">
        <f>IF(F8949DSBOXC&lt;&gt;"",F8949DSTE,0)</f>
        <v>0</v>
      </c>
      <c r="AP23" s="162">
        <f>IF(F8949ASBOXC&lt;&gt;"",F8949ASTG,0)</f>
        <v>0</v>
      </c>
      <c r="AQ23" s="162">
        <f>IF(F8949BSBOXC&lt;&gt;"",F8949BSTG,0)</f>
        <v>0</v>
      </c>
      <c r="AR23" s="162">
        <f>IF(F8949CSBOXC&lt;&gt;"",F8949CSTG,0)</f>
        <v>0</v>
      </c>
      <c r="AS23" s="162">
        <f>IF(F8949DSBOXC&lt;&gt;"",F8949DSTG,0)</f>
        <v>0</v>
      </c>
      <c r="AU23" s="162">
        <f>IF(F8949ASBOXC&lt;&gt;"",F8949ASTH,0)</f>
        <v>0</v>
      </c>
      <c r="AV23" s="162">
        <f>IF(F8949BSBOXC&lt;&gt;"",F8949BSTH,0)</f>
        <v>0</v>
      </c>
      <c r="AW23" s="162">
        <f>IF(F8949CSBOXC&lt;&gt;"",F8949CSTH,0)</f>
        <v>0</v>
      </c>
      <c r="AX23" s="162">
        <f>IF(F8949DSBOXC&lt;&gt;"",F8949DSTH,0)</f>
        <v>0</v>
      </c>
    </row>
    <row r="24" spans="1:50" ht="15.75" customHeight="1">
      <c r="A24" s="2912"/>
      <c r="B24" s="2681" t="str">
        <f>"4"</f>
        <v>4</v>
      </c>
      <c r="C24" s="1444" t="s">
        <v>2487</v>
      </c>
      <c r="D24" s="133"/>
      <c r="E24" s="133"/>
      <c r="F24" s="133"/>
      <c r="G24" s="154"/>
      <c r="H24" s="111"/>
      <c r="I24" s="111"/>
      <c r="J24" s="111"/>
      <c r="K24" s="124"/>
      <c r="L24" s="124"/>
      <c r="M24" s="228" t="str">
        <f>B24</f>
        <v>4</v>
      </c>
      <c r="N24" s="7154"/>
      <c r="O24" s="7004"/>
      <c r="P24" s="7254"/>
      <c r="Q24" s="755"/>
      <c r="R24" s="840"/>
      <c r="S24" s="66"/>
      <c r="T24" s="66"/>
      <c r="U24" s="66"/>
      <c r="V24" s="66"/>
      <c r="W24" s="66"/>
      <c r="X24" s="457"/>
      <c r="Z24" s="162"/>
      <c r="AA24" s="162"/>
      <c r="AB24" s="162"/>
      <c r="AC24" s="162"/>
      <c r="AF24" s="162"/>
      <c r="AG24" s="162"/>
      <c r="AH24" s="162"/>
      <c r="AI24" s="162"/>
      <c r="AK24" s="162"/>
      <c r="AL24" s="162"/>
      <c r="AM24" s="162"/>
      <c r="AN24" s="162"/>
      <c r="AP24" s="162"/>
      <c r="AQ24" s="162"/>
      <c r="AR24" s="162"/>
      <c r="AS24" s="162"/>
      <c r="AU24" s="162"/>
      <c r="AV24" s="162"/>
      <c r="AW24" s="162"/>
      <c r="AX24" s="162"/>
    </row>
    <row r="25" spans="1:50" ht="14.25">
      <c r="A25" s="2912"/>
      <c r="B25" s="124" t="str">
        <f>"5"</f>
        <v>5</v>
      </c>
      <c r="C25" s="222" t="s">
        <v>2488</v>
      </c>
      <c r="D25" s="133"/>
      <c r="E25" s="133"/>
      <c r="F25" s="133"/>
      <c r="G25" s="154"/>
      <c r="H25" s="111"/>
      <c r="I25" s="111"/>
      <c r="J25" s="111"/>
      <c r="K25" s="124"/>
      <c r="L25" s="124"/>
      <c r="M25" s="230"/>
      <c r="N25" s="7255"/>
      <c r="O25" s="7256"/>
      <c r="P25" s="1282"/>
      <c r="Q25" s="755"/>
      <c r="R25" s="840"/>
      <c r="S25" s="908"/>
      <c r="T25" s="66"/>
      <c r="U25" s="7239" t="str">
        <f>IF(AND(S28&lt;&gt;"",S28&gt;0),"This positive amount is being used as a negative amount.","")</f>
        <v/>
      </c>
      <c r="V25" s="676"/>
      <c r="W25" s="676"/>
      <c r="X25" s="676"/>
      <c r="Z25" s="162"/>
      <c r="AA25" s="162"/>
      <c r="AB25" s="162"/>
      <c r="AC25" s="162"/>
      <c r="AF25" s="162"/>
      <c r="AG25" s="162"/>
      <c r="AH25" s="162"/>
      <c r="AI25" s="162"/>
      <c r="AK25" s="162"/>
      <c r="AL25" s="162"/>
      <c r="AM25" s="162"/>
      <c r="AN25" s="162"/>
      <c r="AP25" s="162"/>
      <c r="AQ25" s="162"/>
      <c r="AR25" s="162"/>
      <c r="AS25" s="162"/>
      <c r="AU25" s="162"/>
      <c r="AV25" s="162"/>
      <c r="AW25" s="162"/>
      <c r="AX25" s="162"/>
    </row>
    <row r="26" spans="1:50" ht="12.75" customHeight="1">
      <c r="A26" s="2912"/>
      <c r="B26" s="21"/>
      <c r="C26" s="222" t="s">
        <v>2489</v>
      </c>
      <c r="D26" s="133"/>
      <c r="E26" s="133"/>
      <c r="F26" s="133"/>
      <c r="G26" s="154"/>
      <c r="H26" s="111"/>
      <c r="I26" s="111"/>
      <c r="J26" s="111"/>
      <c r="K26" s="124"/>
      <c r="L26" s="124" t="s">
        <v>2490</v>
      </c>
      <c r="M26" s="228" t="str">
        <f>B25</f>
        <v>5</v>
      </c>
      <c r="N26" s="7154"/>
      <c r="O26" s="7004"/>
      <c r="P26" s="7254"/>
      <c r="Q26" s="756"/>
      <c r="R26" s="841"/>
      <c r="S26" s="908"/>
      <c r="T26" s="66"/>
      <c r="U26" s="7239"/>
      <c r="V26" s="676"/>
      <c r="W26" s="676"/>
      <c r="X26" s="676"/>
      <c r="Z26" s="162"/>
      <c r="AA26" s="162"/>
      <c r="AB26" s="162"/>
      <c r="AC26" s="162"/>
      <c r="AF26" s="162"/>
      <c r="AG26" s="162"/>
      <c r="AH26" s="162"/>
      <c r="AI26" s="162"/>
      <c r="AK26" s="162"/>
      <c r="AL26" s="162"/>
      <c r="AM26" s="162"/>
      <c r="AN26" s="162"/>
      <c r="AP26" s="162"/>
      <c r="AQ26" s="162"/>
      <c r="AR26" s="162"/>
      <c r="AS26" s="162"/>
      <c r="AU26" s="162"/>
      <c r="AV26" s="162"/>
      <c r="AW26" s="162"/>
      <c r="AX26" s="162"/>
    </row>
    <row r="27" spans="1:50">
      <c r="A27" s="2912"/>
      <c r="B27" s="124" t="str">
        <f>"6"</f>
        <v>6</v>
      </c>
      <c r="C27" s="699" t="s">
        <v>2491</v>
      </c>
      <c r="D27" s="133"/>
      <c r="E27" s="133"/>
      <c r="F27" s="133"/>
      <c r="G27" s="154"/>
      <c r="H27" s="154"/>
      <c r="I27" s="154"/>
      <c r="J27" s="111"/>
      <c r="K27" s="112"/>
      <c r="L27" s="112"/>
      <c r="M27" s="5940"/>
      <c r="N27" s="2799"/>
      <c r="O27" s="3119">
        <f>IF(O28="",0,-O28)</f>
        <v>0</v>
      </c>
      <c r="P27" s="1962"/>
      <c r="Q27" s="757"/>
      <c r="R27" s="842"/>
      <c r="S27" s="908"/>
      <c r="T27" s="66"/>
      <c r="U27" s="7239"/>
      <c r="V27" s="676"/>
      <c r="W27" s="676"/>
      <c r="X27" s="676"/>
      <c r="Z27" s="162"/>
      <c r="AA27" s="162"/>
      <c r="AB27" s="162"/>
      <c r="AC27" s="162"/>
      <c r="AF27" s="162"/>
      <c r="AG27" s="162"/>
      <c r="AH27" s="162"/>
      <c r="AI27" s="162"/>
      <c r="AK27" s="162"/>
      <c r="AL27" s="162"/>
      <c r="AM27" s="162"/>
      <c r="AN27" s="162"/>
      <c r="AP27" s="162"/>
      <c r="AQ27" s="162"/>
      <c r="AR27" s="162"/>
      <c r="AS27" s="162"/>
      <c r="AU27" s="162"/>
      <c r="AV27" s="162"/>
      <c r="AW27" s="162"/>
      <c r="AX27" s="162"/>
    </row>
    <row r="28" spans="1:50" ht="13.5" customHeight="1">
      <c r="A28" s="2912"/>
      <c r="B28" s="21"/>
      <c r="C28" s="21" t="s">
        <v>2492</v>
      </c>
      <c r="D28" s="21"/>
      <c r="E28" s="21"/>
      <c r="F28" s="699"/>
      <c r="G28" s="154"/>
      <c r="H28" s="154"/>
      <c r="I28" s="154"/>
      <c r="J28" s="111"/>
      <c r="K28" s="124"/>
      <c r="L28" s="124" t="s">
        <v>769</v>
      </c>
      <c r="M28" s="228" t="str">
        <f>B27</f>
        <v>6</v>
      </c>
      <c r="N28" s="4531" t="s">
        <v>905</v>
      </c>
      <c r="O28" s="1076" t="str">
        <f>IF(AND(S28&lt;&gt;"",S28&gt;=0),ROUND(S28,0),IF(S28&lt;&gt;"",-ROUND(S28,0),IF('Sch. D WS'!P26="","",'Sch. D WS'!P26)))</f>
        <v/>
      </c>
      <c r="P28" s="4532" t="s">
        <v>906</v>
      </c>
      <c r="Q28" s="757"/>
      <c r="R28" s="842"/>
      <c r="S28" s="2594"/>
      <c r="T28" s="66"/>
      <c r="U28" s="7239"/>
      <c r="V28" s="676"/>
      <c r="W28" s="676"/>
      <c r="X28" s="676"/>
      <c r="Z28" s="162"/>
      <c r="AA28" s="162"/>
      <c r="AB28" s="162"/>
      <c r="AC28" s="162"/>
      <c r="AF28" s="162"/>
      <c r="AG28" s="162"/>
      <c r="AH28" s="162"/>
      <c r="AI28" s="162"/>
      <c r="AK28" s="162"/>
      <c r="AL28" s="162"/>
      <c r="AM28" s="162"/>
      <c r="AN28" s="162"/>
      <c r="AP28" s="162"/>
      <c r="AQ28" s="162"/>
      <c r="AR28" s="162"/>
      <c r="AS28" s="162"/>
      <c r="AU28" s="162"/>
      <c r="AV28" s="162"/>
      <c r="AW28" s="162"/>
      <c r="AX28" s="162"/>
    </row>
    <row r="29" spans="1:50" ht="13.5" customHeight="1">
      <c r="A29" s="2912"/>
      <c r="B29" s="5941">
        <v>7</v>
      </c>
      <c r="C29" s="5946" t="s">
        <v>5583</v>
      </c>
      <c r="D29" s="1460"/>
      <c r="E29" s="1460"/>
      <c r="F29" s="1460"/>
      <c r="G29" s="1460"/>
      <c r="H29" s="1460"/>
      <c r="I29" s="1460"/>
      <c r="J29" s="1460"/>
      <c r="K29" s="1460"/>
      <c r="L29" s="1844"/>
      <c r="M29" s="230"/>
      <c r="N29" s="7252"/>
      <c r="O29" s="7253"/>
      <c r="P29" s="595"/>
      <c r="Q29" s="758"/>
      <c r="R29" s="843"/>
      <c r="S29" s="849"/>
      <c r="T29" s="66"/>
      <c r="U29" s="676"/>
      <c r="V29" s="676"/>
      <c r="W29" s="676"/>
      <c r="X29" s="676"/>
      <c r="Z29" s="162"/>
      <c r="AA29" s="162"/>
      <c r="AB29" s="162"/>
      <c r="AC29" s="162"/>
      <c r="AF29" s="162"/>
      <c r="AG29" s="162"/>
      <c r="AH29" s="162"/>
      <c r="AI29" s="162"/>
      <c r="AK29" s="162"/>
      <c r="AL29" s="162"/>
      <c r="AM29" s="162"/>
      <c r="AN29" s="162"/>
      <c r="AP29" s="162"/>
      <c r="AQ29" s="162"/>
      <c r="AR29" s="162"/>
      <c r="AS29" s="162"/>
      <c r="AU29" s="162"/>
      <c r="AV29" s="162"/>
      <c r="AW29" s="162"/>
      <c r="AX29" s="162"/>
    </row>
    <row r="30" spans="1:50" ht="13.5" customHeight="1" thickBot="1">
      <c r="A30" s="2912"/>
      <c r="B30" s="5947"/>
      <c r="C30" s="1448" t="s">
        <v>5584</v>
      </c>
      <c r="D30" s="1448"/>
      <c r="E30" s="1448"/>
      <c r="F30" s="1448"/>
      <c r="G30" s="1448"/>
      <c r="H30" s="1448"/>
      <c r="I30" s="1448"/>
      <c r="J30" s="1448"/>
      <c r="K30" s="1448"/>
      <c r="L30" s="5948" t="s">
        <v>684</v>
      </c>
      <c r="M30" s="3746">
        <f>B29</f>
        <v>7</v>
      </c>
      <c r="N30" s="7175" t="str">
        <f>IF(S30&lt;&gt;"",S30,IF(AND(N17="",N19="",N21="",N23="",N24="",N26="",OR(O27=0,O27="")),"",SUM(N17,N19,N21,N23,N24,N26,O27)))</f>
        <v/>
      </c>
      <c r="O30" s="7244"/>
      <c r="P30" s="7245"/>
      <c r="Q30" s="758"/>
      <c r="R30" s="843"/>
      <c r="S30" s="2594"/>
      <c r="T30" s="66"/>
      <c r="U30" s="676"/>
      <c r="V30" s="676"/>
      <c r="W30" s="676"/>
      <c r="X30" s="676"/>
      <c r="Z30" s="162"/>
      <c r="AA30" s="162"/>
      <c r="AB30" s="162"/>
      <c r="AC30" s="162"/>
      <c r="AF30" s="162"/>
      <c r="AG30" s="162"/>
      <c r="AH30" s="162"/>
      <c r="AI30" s="162"/>
      <c r="AK30" s="162"/>
      <c r="AL30" s="162"/>
      <c r="AM30" s="162"/>
      <c r="AN30" s="162"/>
      <c r="AP30" s="162"/>
      <c r="AQ30" s="162"/>
      <c r="AR30" s="162"/>
      <c r="AS30" s="162"/>
      <c r="AU30" s="162"/>
      <c r="AV30" s="162"/>
      <c r="AW30" s="162"/>
      <c r="AX30" s="162"/>
    </row>
    <row r="31" spans="1:50" ht="19.5" customHeight="1">
      <c r="A31" s="2912"/>
      <c r="B31" s="7258" t="s">
        <v>982</v>
      </c>
      <c r="C31" s="7258"/>
      <c r="D31" s="153"/>
      <c r="E31" s="3381" t="s">
        <v>2493</v>
      </c>
      <c r="F31" s="153"/>
      <c r="G31" s="16"/>
      <c r="H31" s="3381" t="s">
        <v>2494</v>
      </c>
      <c r="I31" s="348"/>
      <c r="J31" s="153"/>
      <c r="K31" s="17"/>
      <c r="L31" s="17"/>
      <c r="M31" s="17"/>
      <c r="N31" s="2797"/>
      <c r="O31" s="3930" t="s">
        <v>2326</v>
      </c>
      <c r="P31" s="3930"/>
      <c r="Q31" s="107"/>
      <c r="R31" s="844"/>
      <c r="S31" s="66"/>
      <c r="T31" s="66"/>
      <c r="U31" s="66"/>
      <c r="V31" s="66"/>
      <c r="W31" s="66"/>
      <c r="X31" s="66"/>
      <c r="Z31" s="162"/>
      <c r="AA31" s="162"/>
      <c r="AB31" s="162"/>
      <c r="AC31" s="162"/>
      <c r="AF31" s="162"/>
      <c r="AG31" s="162"/>
      <c r="AH31" s="162"/>
      <c r="AI31" s="162"/>
      <c r="AK31" s="162"/>
      <c r="AL31" s="162"/>
      <c r="AM31" s="162"/>
      <c r="AN31" s="162"/>
      <c r="AP31" s="162"/>
      <c r="AQ31" s="162"/>
      <c r="AR31" s="162"/>
      <c r="AS31" s="162"/>
      <c r="AU31" s="162"/>
      <c r="AV31" s="162"/>
      <c r="AW31" s="162"/>
      <c r="AX31" s="162"/>
    </row>
    <row r="32" spans="1:50" ht="16.5" customHeight="1">
      <c r="A32" s="2912"/>
      <c r="B32" s="7269" t="s">
        <v>2495</v>
      </c>
      <c r="C32" s="7270"/>
      <c r="D32" s="7270"/>
      <c r="E32" s="7270"/>
      <c r="F32" s="7270"/>
      <c r="G32" s="7271"/>
      <c r="H32" s="7277" t="s">
        <v>2496</v>
      </c>
      <c r="I32" s="7278"/>
      <c r="J32" s="7283" t="s">
        <v>2497</v>
      </c>
      <c r="K32" s="7259" t="s">
        <v>2498</v>
      </c>
      <c r="L32" s="7260"/>
      <c r="M32" s="7286"/>
      <c r="N32" s="7259" t="s">
        <v>2475</v>
      </c>
      <c r="O32" s="7260"/>
      <c r="P32" s="7260"/>
      <c r="Q32" s="753"/>
      <c r="R32" s="838"/>
      <c r="S32" s="66"/>
      <c r="T32" s="66"/>
      <c r="U32" s="7216" t="s">
        <v>2476</v>
      </c>
      <c r="V32" s="7213" t="s">
        <v>2473</v>
      </c>
      <c r="W32" s="7219" t="s">
        <v>2499</v>
      </c>
      <c r="X32" s="457"/>
      <c r="Z32" s="162"/>
      <c r="AA32" s="162"/>
      <c r="AB32" s="162"/>
      <c r="AC32" s="162"/>
      <c r="AF32" s="162"/>
      <c r="AG32" s="162"/>
      <c r="AH32" s="162"/>
      <c r="AI32" s="162"/>
      <c r="AK32" s="162"/>
      <c r="AL32" s="162"/>
      <c r="AM32" s="162"/>
      <c r="AN32" s="162"/>
      <c r="AP32" s="162"/>
      <c r="AQ32" s="162"/>
      <c r="AR32" s="162"/>
      <c r="AS32" s="162"/>
      <c r="AU32" s="162"/>
      <c r="AV32" s="162"/>
      <c r="AW32" s="162"/>
      <c r="AX32" s="162"/>
    </row>
    <row r="33" spans="1:50" ht="16.5" customHeight="1">
      <c r="A33" s="2912"/>
      <c r="B33" s="7272"/>
      <c r="C33" s="7152"/>
      <c r="D33" s="7152"/>
      <c r="E33" s="7152"/>
      <c r="F33" s="7152"/>
      <c r="G33" s="7273"/>
      <c r="H33" s="7279"/>
      <c r="I33" s="7280"/>
      <c r="J33" s="7284"/>
      <c r="K33" s="7261"/>
      <c r="L33" s="7262"/>
      <c r="M33" s="7287"/>
      <c r="N33" s="7261"/>
      <c r="O33" s="7262"/>
      <c r="P33" s="7262"/>
      <c r="Q33" s="5601"/>
      <c r="R33" s="5602"/>
      <c r="S33" s="457" t="s">
        <v>2478</v>
      </c>
      <c r="T33" s="66"/>
      <c r="U33" s="7217"/>
      <c r="V33" s="7214"/>
      <c r="W33" s="7220"/>
      <c r="X33" s="457"/>
      <c r="Z33" s="162"/>
      <c r="AA33" s="162"/>
      <c r="AB33" s="162"/>
      <c r="AC33" s="162"/>
      <c r="AF33" s="162"/>
      <c r="AG33" s="162"/>
      <c r="AH33" s="162"/>
      <c r="AI33" s="162"/>
      <c r="AK33" s="162"/>
      <c r="AL33" s="162"/>
      <c r="AM33" s="162"/>
      <c r="AN33" s="162"/>
      <c r="AP33" s="162"/>
      <c r="AQ33" s="162"/>
      <c r="AR33" s="162"/>
      <c r="AS33" s="162"/>
      <c r="AU33" s="162"/>
      <c r="AV33" s="162"/>
      <c r="AW33" s="162"/>
      <c r="AX33" s="162"/>
    </row>
    <row r="34" spans="1:50" ht="16.5" customHeight="1">
      <c r="A34" s="2912"/>
      <c r="B34" s="7274"/>
      <c r="C34" s="7275"/>
      <c r="D34" s="7275"/>
      <c r="E34" s="7275"/>
      <c r="F34" s="7275"/>
      <c r="G34" s="7276"/>
      <c r="H34" s="7281"/>
      <c r="I34" s="7282"/>
      <c r="J34" s="7285"/>
      <c r="K34" s="7263"/>
      <c r="L34" s="7264"/>
      <c r="M34" s="7288"/>
      <c r="N34" s="7263"/>
      <c r="O34" s="7264"/>
      <c r="P34" s="7264"/>
      <c r="Q34" s="754"/>
      <c r="R34" s="839"/>
      <c r="S34" s="66"/>
      <c r="T34" s="66"/>
      <c r="U34" s="7218"/>
      <c r="V34" s="7215"/>
      <c r="W34" s="7221"/>
      <c r="X34" s="457"/>
      <c r="Z34" s="183" t="s">
        <v>2479</v>
      </c>
      <c r="AA34" s="183" t="s">
        <v>2480</v>
      </c>
      <c r="AB34" s="183" t="s">
        <v>2481</v>
      </c>
      <c r="AC34" s="183" t="s">
        <v>2482</v>
      </c>
      <c r="AF34" s="183" t="s">
        <v>2479</v>
      </c>
      <c r="AG34" s="183" t="s">
        <v>2480</v>
      </c>
      <c r="AH34" s="183" t="s">
        <v>2481</v>
      </c>
      <c r="AI34" s="183" t="s">
        <v>2482</v>
      </c>
      <c r="AK34" s="183" t="s">
        <v>2479</v>
      </c>
      <c r="AL34" s="183" t="s">
        <v>2480</v>
      </c>
      <c r="AM34" s="183" t="s">
        <v>2481</v>
      </c>
      <c r="AN34" s="183" t="s">
        <v>2482</v>
      </c>
      <c r="AP34" s="183" t="s">
        <v>2479</v>
      </c>
      <c r="AQ34" s="183" t="s">
        <v>2480</v>
      </c>
      <c r="AR34" s="183" t="s">
        <v>2481</v>
      </c>
      <c r="AS34" s="183" t="s">
        <v>2482</v>
      </c>
      <c r="AU34" s="183" t="s">
        <v>2479</v>
      </c>
      <c r="AV34" s="183" t="s">
        <v>2480</v>
      </c>
      <c r="AW34" s="183" t="s">
        <v>2481</v>
      </c>
      <c r="AX34" s="183" t="s">
        <v>2482</v>
      </c>
    </row>
    <row r="35" spans="1:50" ht="46.5" customHeight="1">
      <c r="A35" s="2912"/>
      <c r="B35" s="827" t="s">
        <v>904</v>
      </c>
      <c r="C35" s="7290" t="s">
        <v>2500</v>
      </c>
      <c r="D35" s="7291"/>
      <c r="E35" s="7291"/>
      <c r="F35" s="7291"/>
      <c r="G35" s="7292"/>
      <c r="H35" s="920"/>
      <c r="I35" s="921"/>
      <c r="J35" s="922"/>
      <c r="K35" s="927"/>
      <c r="L35" s="928"/>
      <c r="M35" s="929"/>
      <c r="N35" s="923"/>
      <c r="O35" s="924"/>
      <c r="P35" s="924"/>
      <c r="Q35" s="754"/>
      <c r="R35" s="839"/>
      <c r="S35" s="66"/>
      <c r="T35" s="66"/>
      <c r="U35" s="915"/>
      <c r="V35" s="914"/>
      <c r="W35" s="925"/>
      <c r="X35" s="457"/>
      <c r="Z35" s="183"/>
      <c r="AA35" s="183"/>
      <c r="AB35" s="183"/>
      <c r="AC35" s="183"/>
      <c r="AF35" s="183"/>
      <c r="AG35" s="183"/>
      <c r="AH35" s="183"/>
      <c r="AI35" s="183"/>
      <c r="AK35" s="183"/>
      <c r="AL35" s="183"/>
      <c r="AM35" s="183"/>
      <c r="AN35" s="183"/>
      <c r="AP35" s="183"/>
      <c r="AQ35" s="183"/>
      <c r="AR35" s="183"/>
      <c r="AS35" s="183"/>
      <c r="AU35" s="183"/>
      <c r="AV35" s="183"/>
      <c r="AW35" s="183"/>
      <c r="AX35" s="183"/>
    </row>
    <row r="36" spans="1:50" ht="15.75" customHeight="1">
      <c r="A36" s="2912"/>
      <c r="B36" s="919"/>
      <c r="C36" s="7293"/>
      <c r="D36" s="7293"/>
      <c r="E36" s="7293"/>
      <c r="F36" s="7293"/>
      <c r="G36" s="7294"/>
      <c r="H36" s="7154"/>
      <c r="I36" s="7265"/>
      <c r="J36" s="831"/>
      <c r="K36" s="7266"/>
      <c r="L36" s="7267"/>
      <c r="M36" s="7268"/>
      <c r="N36" s="7149" t="str">
        <f>IF(OR(H36&lt;&gt;"",J36&lt;&gt;""),ROUND(SUM(H36,-J36),0),"")</f>
        <v/>
      </c>
      <c r="O36" s="7150"/>
      <c r="P36" s="7243"/>
      <c r="Q36" s="754"/>
      <c r="R36" s="839"/>
      <c r="S36" s="66"/>
      <c r="T36" s="66"/>
      <c r="U36" s="915" t="str">
        <f>"---"</f>
        <v>---</v>
      </c>
      <c r="V36" s="915" t="str">
        <f>"---"</f>
        <v>---</v>
      </c>
      <c r="W36" s="926"/>
      <c r="X36" s="457"/>
      <c r="Z36" s="183"/>
      <c r="AA36" s="183"/>
      <c r="AB36" s="183"/>
      <c r="AC36" s="183"/>
      <c r="AF36" s="183"/>
      <c r="AG36" s="183"/>
      <c r="AH36" s="183"/>
      <c r="AI36" s="183"/>
      <c r="AK36" s="183"/>
      <c r="AL36" s="183"/>
      <c r="AM36" s="183"/>
      <c r="AN36" s="183"/>
      <c r="AP36" s="183"/>
      <c r="AQ36" s="183"/>
      <c r="AR36" s="183"/>
      <c r="AS36" s="183"/>
      <c r="AU36" s="183"/>
      <c r="AV36" s="183"/>
      <c r="AW36" s="183"/>
      <c r="AX36" s="183"/>
    </row>
    <row r="37" spans="1:50" ht="13.5" customHeight="1">
      <c r="A37" s="2912"/>
      <c r="B37" s="827" t="s">
        <v>909</v>
      </c>
      <c r="C37" s="7234" t="s">
        <v>2501</v>
      </c>
      <c r="D37" s="7235"/>
      <c r="E37" s="7235"/>
      <c r="F37" s="7235"/>
      <c r="G37" s="7236"/>
      <c r="H37" s="7209">
        <f>SUM(AF38:AI38)</f>
        <v>0</v>
      </c>
      <c r="I37" s="7210"/>
      <c r="J37" s="877">
        <f>SUM(AK38:AN38)</f>
        <v>0</v>
      </c>
      <c r="K37" s="7209">
        <f>SUM(AP38:AS38)</f>
        <v>0</v>
      </c>
      <c r="L37" s="7211"/>
      <c r="M37" s="7212"/>
      <c r="N37" s="7223">
        <f>SUM(AU38:AX38)</f>
        <v>0</v>
      </c>
      <c r="O37" s="7224"/>
      <c r="P37" s="2795"/>
      <c r="Q37" s="755"/>
      <c r="R37" s="840"/>
      <c r="S37" s="66"/>
      <c r="T37" s="66"/>
      <c r="U37" s="882"/>
      <c r="V37" s="885"/>
      <c r="W37" s="884"/>
      <c r="X37" s="457"/>
      <c r="Z37" s="162"/>
      <c r="AA37" s="162"/>
      <c r="AB37" s="162"/>
      <c r="AC37" s="162"/>
      <c r="AF37" s="162"/>
      <c r="AG37" s="162"/>
      <c r="AH37" s="162"/>
      <c r="AI37" s="162"/>
      <c r="AK37" s="162"/>
      <c r="AL37" s="162"/>
      <c r="AM37" s="162"/>
      <c r="AN37" s="162"/>
      <c r="AP37" s="162"/>
      <c r="AQ37" s="162"/>
      <c r="AR37" s="162"/>
      <c r="AS37" s="162"/>
      <c r="AU37" s="162"/>
      <c r="AV37" s="162"/>
      <c r="AW37" s="162"/>
      <c r="AX37" s="162"/>
    </row>
    <row r="38" spans="1:50" ht="13.5" customHeight="1">
      <c r="A38" s="2912"/>
      <c r="B38" s="828"/>
      <c r="C38" s="7237"/>
      <c r="D38" s="7237"/>
      <c r="E38" s="7237"/>
      <c r="F38" s="7237"/>
      <c r="G38" s="7238"/>
      <c r="H38" s="7149" t="str">
        <f>IF(U38&lt;&gt;"",ROUND(U38,0),IF($AD38,ROUND(H37,0),""))</f>
        <v/>
      </c>
      <c r="I38" s="7222"/>
      <c r="J38" s="930" t="str">
        <f>IF(V38&lt;&gt;"",ROUND(V38,0),IF($AD38,ROUND(J37,0),""))</f>
        <v/>
      </c>
      <c r="K38" s="7149" t="str">
        <f>IF(W38&lt;&gt;"",ROUND(W38,0),IF($AD38,ROUND(K37,0),""))</f>
        <v/>
      </c>
      <c r="L38" s="7150"/>
      <c r="M38" s="7222"/>
      <c r="N38" s="7149" t="str">
        <f>IF(AND(H38="",J38="",K38=""),"",IF(AND(V38="",OR(U38&lt;&gt;"",W38&lt;&gt;"")),SUM(H38,K38),IF(OR(U38&lt;&gt;"",V38&lt;&gt;"",W38&lt;&gt;""),SUM(H38,-J38,K38),N37)))</f>
        <v/>
      </c>
      <c r="O38" s="7150"/>
      <c r="P38" s="7243"/>
      <c r="Q38" s="755"/>
      <c r="R38" s="840"/>
      <c r="S38" s="66"/>
      <c r="T38" s="66"/>
      <c r="U38" s="829"/>
      <c r="V38" s="830"/>
      <c r="W38" s="831"/>
      <c r="X38" s="457"/>
      <c r="Z38" s="162">
        <f>IF(F8949ALBOXA&lt;&gt;"",F8949ALT,0)</f>
        <v>0</v>
      </c>
      <c r="AA38" s="162">
        <f>IF(F8949BLBOXA&lt;&gt;"",F8949BLT,0)</f>
        <v>0</v>
      </c>
      <c r="AB38" s="162">
        <f>IF(F8949CLBOXA&lt;&gt;"",F8949CLT,0)</f>
        <v>0</v>
      </c>
      <c r="AC38" s="162">
        <f>IF(F8949DLBOXA&lt;&gt;"",F8949DLT,0)</f>
        <v>0</v>
      </c>
      <c r="AD38" s="3" t="b">
        <f>IF(SUM(Z38:AC38)&gt;0,TRUE,FALSE)</f>
        <v>0</v>
      </c>
      <c r="AF38" s="162">
        <f>IF(F8949ALBOXA&lt;&gt;"",F8949ALTD,0)</f>
        <v>0</v>
      </c>
      <c r="AG38" s="162">
        <f>IF(F8949BLBOXA&lt;&gt;"",F8949BLTD,0)</f>
        <v>0</v>
      </c>
      <c r="AH38" s="162">
        <f>IF(F8949CLBOXA&lt;&gt;"",F8949CLTD,0)</f>
        <v>0</v>
      </c>
      <c r="AI38" s="162">
        <f>IF(F8949DLBOXA&lt;&gt;"",F8949DLTD,0)</f>
        <v>0</v>
      </c>
      <c r="AK38" s="162">
        <f>IF(F8949ALBOXA&lt;&gt;"",F8949ALTE,0)</f>
        <v>0</v>
      </c>
      <c r="AL38" s="162">
        <f>IF(F8949BLBOXA&lt;&gt;"",F8949BLTE,0)</f>
        <v>0</v>
      </c>
      <c r="AM38" s="162">
        <f>IF(F8949CLBOXA&lt;&gt;"",F8949CLTE,0)</f>
        <v>0</v>
      </c>
      <c r="AN38" s="162">
        <f>IF(F8949DLBOXA&lt;&gt;"",F8949DLTE,0)</f>
        <v>0</v>
      </c>
      <c r="AP38" s="162">
        <f>IF(F8949ALBOXA&lt;&gt;"",F8949ALTG,0)</f>
        <v>0</v>
      </c>
      <c r="AQ38" s="162">
        <f>IF(F8949BLBOXA&lt;&gt;"",F8949BLTG,0)</f>
        <v>0</v>
      </c>
      <c r="AR38" s="162">
        <f>IF(F8949CLBOXA&lt;&gt;"",F8949CLTG,0)</f>
        <v>0</v>
      </c>
      <c r="AS38" s="162">
        <f>IF(F8949DLBOXA&lt;&gt;"",F8949DLTG,0)</f>
        <v>0</v>
      </c>
      <c r="AU38" s="162">
        <f>IF(F8949ALBOXA&lt;&gt;"",F8949ALTH,0)</f>
        <v>0</v>
      </c>
      <c r="AV38" s="162">
        <f>IF(F8949BLBOXA&lt;&gt;"",F8949BLTH,0)</f>
        <v>0</v>
      </c>
      <c r="AW38" s="162">
        <f>IF(F8949CLBOXA&lt;&gt;"",F8949CLTH,0)</f>
        <v>0</v>
      </c>
      <c r="AX38" s="162">
        <f>IF(F8949DLBOXA&lt;&gt;"",F8949DLTH,0)</f>
        <v>0</v>
      </c>
    </row>
    <row r="39" spans="1:50" ht="13.5" customHeight="1">
      <c r="A39" s="2912"/>
      <c r="B39" s="827">
        <v>9</v>
      </c>
      <c r="C39" s="7234" t="s">
        <v>2502</v>
      </c>
      <c r="D39" s="7235"/>
      <c r="E39" s="7235"/>
      <c r="F39" s="7235"/>
      <c r="G39" s="7236"/>
      <c r="H39" s="7209">
        <f>SUM(AF40:AI40)</f>
        <v>0</v>
      </c>
      <c r="I39" s="7210"/>
      <c r="J39" s="877">
        <f>SUM(AK40:AN40)</f>
        <v>0</v>
      </c>
      <c r="K39" s="7209">
        <f>SUM(AP40:AS40)</f>
        <v>0</v>
      </c>
      <c r="L39" s="7211"/>
      <c r="M39" s="7212"/>
      <c r="N39" s="7209">
        <f>SUM(AU40:AX40)</f>
        <v>0</v>
      </c>
      <c r="O39" s="7211"/>
      <c r="P39" s="2795"/>
      <c r="Q39" s="755"/>
      <c r="R39" s="840"/>
      <c r="S39" s="66"/>
      <c r="T39" s="66"/>
      <c r="U39" s="882"/>
      <c r="V39" s="885"/>
      <c r="W39" s="884"/>
      <c r="X39" s="457"/>
      <c r="Z39" s="162"/>
      <c r="AA39" s="162"/>
      <c r="AB39" s="162"/>
      <c r="AC39" s="162"/>
      <c r="AF39" s="162"/>
      <c r="AG39" s="162"/>
      <c r="AH39" s="162"/>
      <c r="AI39" s="162"/>
      <c r="AK39" s="162"/>
      <c r="AL39" s="162"/>
      <c r="AM39" s="162"/>
      <c r="AN39" s="162"/>
      <c r="AP39" s="162"/>
      <c r="AQ39" s="162"/>
      <c r="AR39" s="162"/>
      <c r="AS39" s="162"/>
      <c r="AU39" s="162"/>
      <c r="AV39" s="162"/>
      <c r="AW39" s="162"/>
      <c r="AX39" s="162"/>
    </row>
    <row r="40" spans="1:50" ht="12.75" customHeight="1">
      <c r="A40" s="2912"/>
      <c r="B40" s="828"/>
      <c r="C40" s="7237"/>
      <c r="D40" s="7237"/>
      <c r="E40" s="7237"/>
      <c r="F40" s="7237"/>
      <c r="G40" s="7238"/>
      <c r="H40" s="7149" t="str">
        <f>IF(U40&lt;&gt;"",ROUND(U40,0),IF($AD40,ROUND(H39,0),""))</f>
        <v/>
      </c>
      <c r="I40" s="7222"/>
      <c r="J40" s="930" t="str">
        <f>IF(V40&lt;&gt;"",ROUND(V40,0),IF($AD40,ROUND(J39,0),""))</f>
        <v/>
      </c>
      <c r="K40" s="7149" t="str">
        <f>IF(W40&lt;&gt;"",ROUND(W40,0),IF($AD40,ROUND(K39,0),""))</f>
        <v/>
      </c>
      <c r="L40" s="7150"/>
      <c r="M40" s="7222"/>
      <c r="N40" s="7149" t="str">
        <f>IF(AND(H40="",J40="",K40=""),"",IF(AND(V40="",OR(U40&lt;&gt;"",W40&lt;&gt;"")),SUM(H40,K40),IF(OR(U40&lt;&gt;"",V40&lt;&gt;"",W40&lt;&gt;""),SUM(H40,-J40,K40),N39)))</f>
        <v/>
      </c>
      <c r="O40" s="7150"/>
      <c r="P40" s="7243"/>
      <c r="Q40" s="755"/>
      <c r="R40" s="840"/>
      <c r="S40" s="66"/>
      <c r="T40" s="66"/>
      <c r="U40" s="829"/>
      <c r="V40" s="830"/>
      <c r="W40" s="831"/>
      <c r="X40" s="457"/>
      <c r="Z40" s="162">
        <f>IF(F8949ALBOXB&lt;&gt;"",F8949ALT,0)</f>
        <v>0</v>
      </c>
      <c r="AA40" s="162">
        <f>IF(F8949BLBOXB&lt;&gt;"",F8949BLT,0)</f>
        <v>0</v>
      </c>
      <c r="AB40" s="162">
        <f>IF(F8949CLBOXB&lt;&gt;"",F8949CLT,0)</f>
        <v>0</v>
      </c>
      <c r="AC40" s="162">
        <f>IF(F8949DLBOXB&lt;&gt;"",F8949DLT,0)</f>
        <v>0</v>
      </c>
      <c r="AD40" s="3" t="b">
        <f>IF(SUM(Z40:AC40)&gt;0,TRUE,FALSE)</f>
        <v>0</v>
      </c>
      <c r="AF40" s="162">
        <f>IF(F8949ALBOXB&lt;&gt;"",F8949ALTD,0)</f>
        <v>0</v>
      </c>
      <c r="AG40" s="162">
        <f>IF(F8949BLBOXB&lt;&gt;"",F8949BLTD,0)</f>
        <v>0</v>
      </c>
      <c r="AH40" s="162">
        <f>IF(F8949CLBOXB&lt;&gt;"",F8949CLTD,0)</f>
        <v>0</v>
      </c>
      <c r="AI40" s="162">
        <f>IF(F8949DLBOXB&lt;&gt;"",F8949DLTD,0)</f>
        <v>0</v>
      </c>
      <c r="AK40" s="162">
        <f>IF(F8949ALBOXB&lt;&gt;"",F8949ALTE,0)</f>
        <v>0</v>
      </c>
      <c r="AL40" s="162">
        <f>IF(F8949BLBOXB&lt;&gt;"",F8949BLTE,0)</f>
        <v>0</v>
      </c>
      <c r="AM40" s="162">
        <f>IF(F8949CLBOXB&lt;&gt;"",F8949CLTE,0)</f>
        <v>0</v>
      </c>
      <c r="AN40" s="162">
        <f>IF(F8949DLBOXB&lt;&gt;"",F8949DLTE,0)</f>
        <v>0</v>
      </c>
      <c r="AP40" s="162">
        <f>IF(F8949ALBOXB&lt;&gt;"",F8949ALTG,0)</f>
        <v>0</v>
      </c>
      <c r="AQ40" s="162">
        <f>IF(F8949BLBOXB&lt;&gt;"",F8949BLTG,0)</f>
        <v>0</v>
      </c>
      <c r="AR40" s="162">
        <f>IF(F8949CLBOXB&lt;&gt;"",F8949CLTG,0)</f>
        <v>0</v>
      </c>
      <c r="AS40" s="162">
        <f>IF(F8949DLBOXB&lt;&gt;"",F8949DLTG,0)</f>
        <v>0</v>
      </c>
      <c r="AU40" s="162">
        <f>IF(F8949ALBOXB&lt;&gt;"",F8949ALTH,0)</f>
        <v>0</v>
      </c>
      <c r="AV40" s="162">
        <f>IF(F8949BLBOXB&lt;&gt;"",F8949BLTH,0)</f>
        <v>0</v>
      </c>
      <c r="AW40" s="162">
        <f>IF(F8949CLBOXB&lt;&gt;"",F8949CLTH,0)</f>
        <v>0</v>
      </c>
      <c r="AX40" s="162">
        <f>IF(F8949DLBOXB&lt;&gt;"",F8949DLTH,0)</f>
        <v>0</v>
      </c>
    </row>
    <row r="41" spans="1:50" ht="12.75" customHeight="1">
      <c r="A41" s="2912"/>
      <c r="B41" s="827">
        <v>10</v>
      </c>
      <c r="C41" s="7234" t="s">
        <v>2503</v>
      </c>
      <c r="D41" s="7235"/>
      <c r="E41" s="7235"/>
      <c r="F41" s="7235"/>
      <c r="G41" s="7236"/>
      <c r="H41" s="7209">
        <f>SUM(AF42:AI42)</f>
        <v>0</v>
      </c>
      <c r="I41" s="7210"/>
      <c r="J41" s="877">
        <f>SUM(AK42:AN42)</f>
        <v>0</v>
      </c>
      <c r="K41" s="7209">
        <f>SUM(AP42:AS42)</f>
        <v>0</v>
      </c>
      <c r="L41" s="7211"/>
      <c r="M41" s="7212"/>
      <c r="N41" s="7209">
        <f>SUM(AU42:AX42)</f>
        <v>0</v>
      </c>
      <c r="O41" s="7211"/>
      <c r="P41" s="2795"/>
      <c r="Q41" s="755"/>
      <c r="R41" s="840"/>
      <c r="S41" s="66"/>
      <c r="T41" s="66"/>
      <c r="U41" s="882"/>
      <c r="V41" s="885"/>
      <c r="W41" s="884"/>
      <c r="X41" s="457"/>
      <c r="Z41" s="162"/>
      <c r="AA41" s="162"/>
      <c r="AB41" s="162"/>
      <c r="AC41" s="162"/>
      <c r="AF41" s="162"/>
      <c r="AG41" s="162"/>
      <c r="AH41" s="162"/>
      <c r="AI41" s="162"/>
      <c r="AK41" s="162"/>
      <c r="AL41" s="162"/>
      <c r="AM41" s="162"/>
      <c r="AN41" s="162"/>
      <c r="AP41" s="162"/>
      <c r="AQ41" s="162"/>
      <c r="AR41" s="162"/>
      <c r="AS41" s="162"/>
      <c r="AU41" s="162"/>
      <c r="AV41" s="162"/>
      <c r="AW41" s="162"/>
      <c r="AX41" s="162"/>
    </row>
    <row r="42" spans="1:50" ht="12.75" customHeight="1">
      <c r="A42" s="2912"/>
      <c r="B42" s="828"/>
      <c r="C42" s="7237"/>
      <c r="D42" s="7237"/>
      <c r="E42" s="7237"/>
      <c r="F42" s="7237"/>
      <c r="G42" s="7238"/>
      <c r="H42" s="7149" t="str">
        <f>IF(U42&lt;&gt;"",ROUND(U42,0),IF($AD42,ROUND(H41,0),""))</f>
        <v/>
      </c>
      <c r="I42" s="7222"/>
      <c r="J42" s="930" t="str">
        <f>IF(V42&lt;&gt;"",ROUND(V42,0),IF($AD42,ROUND(J41,0),""))</f>
        <v/>
      </c>
      <c r="K42" s="7149" t="str">
        <f>IF(W42&lt;&gt;"",ROUND(W42,0),IF($AD42,ROUND(K41,0),""))</f>
        <v/>
      </c>
      <c r="L42" s="7150"/>
      <c r="M42" s="7222"/>
      <c r="N42" s="7149" t="str">
        <f>IF(AND(H42="",J42="",K42=""),"",IF(AND(V42="",OR(U42&lt;&gt;"",W42&lt;&gt;"")),SUM(H42,K42),IF(OR(U42&lt;&gt;"",V42&lt;&gt;"",W42&lt;&gt;""),SUM(H42,-J42,K42),N41)))</f>
        <v/>
      </c>
      <c r="O42" s="7150"/>
      <c r="P42" s="7243"/>
      <c r="Q42" s="755"/>
      <c r="R42" s="840"/>
      <c r="S42" s="66"/>
      <c r="T42" s="66"/>
      <c r="U42" s="829"/>
      <c r="V42" s="830"/>
      <c r="W42" s="831"/>
      <c r="X42" s="457"/>
      <c r="Z42" s="162">
        <f>IF(F8949ALBOXC&lt;&gt;"",F8949ALT,0)</f>
        <v>0</v>
      </c>
      <c r="AA42" s="162">
        <f>IF(F8949BLBOXC&lt;&gt;"",F8949BLT,0)</f>
        <v>0</v>
      </c>
      <c r="AB42" s="162">
        <f>IF(F8949CLBOXC&lt;&gt;"",F8949CLT,0)</f>
        <v>0</v>
      </c>
      <c r="AC42" s="162">
        <f>IF(F8949DLBOXC&lt;&gt;"",F8949DLT,0)</f>
        <v>0</v>
      </c>
      <c r="AD42" s="3" t="b">
        <f>IF(SUM(Z42:AC42)&gt;0,TRUE,FALSE)</f>
        <v>0</v>
      </c>
      <c r="AF42" s="162">
        <f>IF(F8949ALBOXC&lt;&gt;"",F8949ALTD,0)</f>
        <v>0</v>
      </c>
      <c r="AG42" s="162">
        <f>IF(F8949BLBOXC&lt;&gt;"",F8949BLTD,0)</f>
        <v>0</v>
      </c>
      <c r="AH42" s="162">
        <f>IF(F8949CLBOXC&lt;&gt;"",F8949CLTD,0)</f>
        <v>0</v>
      </c>
      <c r="AI42" s="162">
        <f>IF(F8949DLBOXC&lt;&gt;"",F8949DLTD,0)</f>
        <v>0</v>
      </c>
      <c r="AK42" s="162">
        <f>IF(F8949ALBOXC&lt;&gt;"",F8949ALTE,0)</f>
        <v>0</v>
      </c>
      <c r="AL42" s="162">
        <f>IF(F8949BLBOXC&lt;&gt;"",F8949BLTE,0)</f>
        <v>0</v>
      </c>
      <c r="AM42" s="162">
        <f>IF(F8949CLBOXC&lt;&gt;"",F8949CLTE,0)</f>
        <v>0</v>
      </c>
      <c r="AN42" s="162">
        <f>IF(F8949DLBOXC&lt;&gt;"",F8949DLTE,0)</f>
        <v>0</v>
      </c>
      <c r="AP42" s="162">
        <f>IF(F8949ALBOXC&lt;&gt;"",F8949ALTG,0)</f>
        <v>0</v>
      </c>
      <c r="AQ42" s="162">
        <f>IF(F8949BLBOXC&lt;&gt;"",F8949BLTG,0)</f>
        <v>0</v>
      </c>
      <c r="AR42" s="162">
        <f>IF(F8949CLBOXC&lt;&gt;"",F8949CLTG,0)</f>
        <v>0</v>
      </c>
      <c r="AS42" s="162">
        <f>IF(F8949DLBOXC&lt;&gt;"",F8949DLTG,0)</f>
        <v>0</v>
      </c>
      <c r="AU42" s="162">
        <f>IF(F8949ALBOXC&lt;&gt;"",F8949ALTH,0)</f>
        <v>0</v>
      </c>
      <c r="AV42" s="162">
        <f>IF(F8949BLBOXC&lt;&gt;"",F8949BLTH,0)</f>
        <v>0</v>
      </c>
      <c r="AW42" s="162">
        <f>IF(F8949CLBOXC&lt;&gt;"",F8949CLTH,0)</f>
        <v>0</v>
      </c>
      <c r="AX42" s="162">
        <f>IF(F8949DLBOXC&lt;&gt;"",F8949DLTH,0)</f>
        <v>0</v>
      </c>
    </row>
    <row r="43" spans="1:50" ht="12.75" customHeight="1">
      <c r="A43" s="2912"/>
      <c r="B43" s="5941">
        <v>11</v>
      </c>
      <c r="C43" s="5942" t="s">
        <v>5578</v>
      </c>
      <c r="D43" s="5943"/>
      <c r="E43" s="5943"/>
      <c r="F43" s="5943"/>
      <c r="G43" s="5943"/>
      <c r="H43" s="5943"/>
      <c r="I43" s="5943"/>
      <c r="J43" s="5943"/>
      <c r="K43" s="5943"/>
      <c r="L43" s="5944"/>
      <c r="M43" s="472"/>
      <c r="N43" s="7241"/>
      <c r="O43" s="7242"/>
      <c r="P43" s="2796"/>
      <c r="Q43" s="755"/>
      <c r="R43" s="840"/>
      <c r="S43" s="66"/>
      <c r="T43" s="66"/>
      <c r="U43" s="66"/>
      <c r="V43" s="66"/>
      <c r="W43" s="66"/>
      <c r="X43" s="66"/>
      <c r="Z43" s="162"/>
      <c r="AA43" s="162"/>
      <c r="AB43" s="162"/>
      <c r="AC43" s="162"/>
      <c r="AF43" s="162"/>
      <c r="AG43" s="162"/>
      <c r="AH43" s="162"/>
      <c r="AI43" s="162"/>
      <c r="AK43" s="162"/>
      <c r="AL43" s="162"/>
      <c r="AM43" s="162"/>
      <c r="AN43" s="162"/>
      <c r="AP43" s="162"/>
      <c r="AQ43" s="162"/>
      <c r="AR43" s="162"/>
      <c r="AS43" s="162"/>
      <c r="AU43" s="162"/>
      <c r="AV43" s="162"/>
      <c r="AW43" s="162"/>
      <c r="AX43" s="162"/>
    </row>
    <row r="44" spans="1:50" ht="13.5" customHeight="1">
      <c r="A44" s="2912"/>
      <c r="B44" s="5941"/>
      <c r="C44" s="2361" t="s">
        <v>5579</v>
      </c>
      <c r="D44" s="3203"/>
      <c r="E44" s="3203"/>
      <c r="F44" s="3203"/>
      <c r="G44" s="3203"/>
      <c r="H44" s="3203"/>
      <c r="I44" s="3203"/>
      <c r="J44" s="3203"/>
      <c r="K44" s="3203"/>
      <c r="L44" s="5945" t="s">
        <v>5580</v>
      </c>
      <c r="M44" s="171">
        <f>B43</f>
        <v>11</v>
      </c>
      <c r="N44" s="7154"/>
      <c r="O44" s="7006"/>
      <c r="P44" s="7246"/>
      <c r="Q44" s="755"/>
      <c r="R44" s="840"/>
      <c r="S44" s="66"/>
      <c r="T44" s="66"/>
      <c r="U44" s="66"/>
      <c r="V44" s="66"/>
      <c r="W44" s="66"/>
      <c r="X44" s="66"/>
      <c r="Z44" s="162"/>
      <c r="AA44" s="162"/>
      <c r="AB44" s="162"/>
      <c r="AC44" s="162"/>
      <c r="AF44" s="162"/>
      <c r="AG44" s="162"/>
      <c r="AH44" s="162"/>
      <c r="AI44" s="162"/>
      <c r="AK44" s="162"/>
      <c r="AL44" s="162"/>
      <c r="AM44" s="162"/>
      <c r="AN44" s="162"/>
      <c r="AP44" s="162"/>
      <c r="AQ44" s="162"/>
      <c r="AR44" s="162"/>
      <c r="AS44" s="162"/>
      <c r="AU44" s="162"/>
      <c r="AV44" s="162"/>
      <c r="AW44" s="162"/>
      <c r="AX44" s="162"/>
    </row>
    <row r="45" spans="1:50" ht="12.75" customHeight="1">
      <c r="A45" s="2912"/>
      <c r="B45" s="124">
        <v>12</v>
      </c>
      <c r="C45" s="699" t="s">
        <v>2504</v>
      </c>
      <c r="D45" s="133"/>
      <c r="E45" s="133"/>
      <c r="F45" s="133"/>
      <c r="G45" s="154"/>
      <c r="H45" s="111"/>
      <c r="I45" s="111"/>
      <c r="J45" s="111"/>
      <c r="K45" s="124"/>
      <c r="L45" s="124"/>
      <c r="M45" s="171">
        <f>B45</f>
        <v>12</v>
      </c>
      <c r="N45" s="7154"/>
      <c r="O45" s="7006"/>
      <c r="P45" s="7246"/>
      <c r="Q45" s="756"/>
      <c r="R45" s="841"/>
      <c r="S45" s="66"/>
      <c r="T45" s="66"/>
      <c r="U45" s="7239" t="str">
        <f>IF(AND(S48&lt;&gt;"",S48&gt;0),"This positive amount is being used as a negative amount.","")</f>
        <v/>
      </c>
      <c r="V45" s="676"/>
      <c r="W45" s="676"/>
      <c r="X45" s="676"/>
      <c r="Z45" s="162"/>
      <c r="AA45" s="162"/>
      <c r="AB45" s="162"/>
      <c r="AC45" s="162"/>
      <c r="AF45" s="162"/>
      <c r="AG45" s="162"/>
      <c r="AH45" s="162"/>
      <c r="AI45" s="162"/>
      <c r="AK45" s="162"/>
      <c r="AL45" s="162"/>
      <c r="AM45" s="162"/>
      <c r="AN45" s="162"/>
      <c r="AP45" s="162"/>
      <c r="AQ45" s="162"/>
      <c r="AR45" s="162"/>
      <c r="AS45" s="162"/>
      <c r="AU45" s="162"/>
      <c r="AV45" s="162"/>
      <c r="AW45" s="162"/>
      <c r="AX45" s="162"/>
    </row>
    <row r="46" spans="1:50" ht="13.5" customHeight="1">
      <c r="A46" s="2912"/>
      <c r="B46" s="21">
        <v>13</v>
      </c>
      <c r="C46" s="699" t="s">
        <v>2505</v>
      </c>
      <c r="D46" s="21"/>
      <c r="E46" s="21"/>
      <c r="F46" s="699"/>
      <c r="G46" s="154"/>
      <c r="H46" s="154"/>
      <c r="I46" s="154"/>
      <c r="J46" s="111"/>
      <c r="K46" s="124"/>
      <c r="L46" s="124" t="s">
        <v>1005</v>
      </c>
      <c r="M46" s="171">
        <f>B46</f>
        <v>13</v>
      </c>
      <c r="N46" s="7149" t="str">
        <f>IF(S46&lt;&gt;"",ROUND(S46,0),IF('1099-DIV'!H95=0,"",'1099-DIV'!H95))</f>
        <v/>
      </c>
      <c r="O46" s="7150"/>
      <c r="P46" s="7243"/>
      <c r="Q46" s="757"/>
      <c r="R46" s="842"/>
      <c r="S46" s="2594"/>
      <c r="T46" s="66"/>
      <c r="U46" s="7239"/>
      <c r="V46" s="676"/>
      <c r="W46" s="676"/>
      <c r="X46" s="676"/>
      <c r="Z46" s="162"/>
      <c r="AA46" s="162"/>
      <c r="AB46" s="162"/>
      <c r="AC46" s="162"/>
      <c r="AF46" s="162"/>
      <c r="AG46" s="162"/>
      <c r="AH46" s="162"/>
      <c r="AI46" s="162"/>
      <c r="AK46" s="162"/>
      <c r="AL46" s="162"/>
      <c r="AM46" s="162"/>
      <c r="AN46" s="162"/>
      <c r="AP46" s="162"/>
      <c r="AQ46" s="162"/>
      <c r="AR46" s="162"/>
      <c r="AS46" s="162"/>
      <c r="AU46" s="162"/>
      <c r="AV46" s="162"/>
      <c r="AW46" s="162"/>
      <c r="AX46" s="162"/>
    </row>
    <row r="47" spans="1:50">
      <c r="A47" s="2912"/>
      <c r="B47" s="124">
        <v>14</v>
      </c>
      <c r="C47" s="699" t="s">
        <v>2506</v>
      </c>
      <c r="D47" s="133"/>
      <c r="E47" s="133"/>
      <c r="F47" s="133"/>
      <c r="G47" s="154"/>
      <c r="H47" s="154"/>
      <c r="I47" s="154"/>
      <c r="J47" s="111"/>
      <c r="K47" s="112"/>
      <c r="L47" s="112"/>
      <c r="M47" s="749"/>
      <c r="N47" s="2793"/>
      <c r="O47" s="2800">
        <f>IF(O48="",0,-O48)</f>
        <v>0</v>
      </c>
      <c r="P47" s="1282"/>
      <c r="Q47" s="757"/>
      <c r="R47" s="842"/>
      <c r="S47" s="849"/>
      <c r="T47" s="66"/>
      <c r="U47" s="7239"/>
      <c r="V47" s="676"/>
      <c r="W47" s="676"/>
      <c r="X47" s="676"/>
      <c r="Z47" s="162"/>
      <c r="AA47" s="162"/>
      <c r="AB47" s="162"/>
      <c r="AC47" s="162"/>
      <c r="AF47" s="162"/>
      <c r="AG47" s="162"/>
      <c r="AH47" s="162"/>
      <c r="AI47" s="162"/>
      <c r="AK47" s="162"/>
      <c r="AL47" s="162"/>
      <c r="AM47" s="162"/>
      <c r="AN47" s="162"/>
      <c r="AP47" s="162"/>
      <c r="AQ47" s="162"/>
      <c r="AR47" s="162"/>
      <c r="AS47" s="162"/>
      <c r="AU47" s="162"/>
      <c r="AV47" s="162"/>
      <c r="AW47" s="162"/>
      <c r="AX47" s="162"/>
    </row>
    <row r="48" spans="1:50" ht="13.5" customHeight="1">
      <c r="A48" s="2912"/>
      <c r="B48" s="21"/>
      <c r="C48" s="21" t="s">
        <v>2492</v>
      </c>
      <c r="D48" s="21"/>
      <c r="E48" s="21"/>
      <c r="F48" s="699"/>
      <c r="G48" s="154"/>
      <c r="H48" s="154"/>
      <c r="I48" s="154"/>
      <c r="J48" s="111"/>
      <c r="K48" s="124"/>
      <c r="L48" s="124" t="s">
        <v>2143</v>
      </c>
      <c r="M48" s="171">
        <f>B47</f>
        <v>14</v>
      </c>
      <c r="N48" s="4531" t="s">
        <v>905</v>
      </c>
      <c r="O48" s="1076" t="str">
        <f>IF(AND(S48&lt;&gt;"",S48&gt;=0),ROUND(S48,0),IF(S48&lt;&gt;0,-ROUND(S48,0),IF('Sch. D WS'!P33="","",'Sch. D WS'!P33)))</f>
        <v/>
      </c>
      <c r="P48" s="4532" t="s">
        <v>906</v>
      </c>
      <c r="Q48" s="757"/>
      <c r="R48" s="842"/>
      <c r="S48" s="2594"/>
      <c r="T48" s="66"/>
      <c r="U48" s="7239"/>
      <c r="V48" s="676"/>
      <c r="W48" s="676"/>
      <c r="X48" s="676"/>
      <c r="Z48" s="162"/>
      <c r="AA48" s="162"/>
      <c r="AB48" s="162"/>
      <c r="AC48" s="162"/>
      <c r="AF48" s="162"/>
      <c r="AG48" s="162"/>
      <c r="AH48" s="162"/>
      <c r="AI48" s="162"/>
      <c r="AK48" s="162"/>
      <c r="AL48" s="162"/>
      <c r="AM48" s="162"/>
      <c r="AN48" s="162"/>
      <c r="AP48" s="162"/>
      <c r="AQ48" s="162"/>
      <c r="AR48" s="162"/>
      <c r="AS48" s="162"/>
      <c r="AU48" s="162"/>
      <c r="AV48" s="162"/>
      <c r="AW48" s="162"/>
      <c r="AX48" s="162"/>
    </row>
    <row r="49" spans="1:61" ht="12.75" customHeight="1">
      <c r="A49" s="2912"/>
      <c r="B49" s="5941">
        <v>15</v>
      </c>
      <c r="C49" s="5946" t="s">
        <v>5581</v>
      </c>
      <c r="D49" s="3095"/>
      <c r="E49" s="3095"/>
      <c r="F49" s="3095"/>
      <c r="G49" s="3095"/>
      <c r="H49" s="3095"/>
      <c r="I49" s="3095"/>
      <c r="J49" s="3095"/>
      <c r="K49" s="3095"/>
      <c r="L49" s="1844"/>
      <c r="M49" s="472"/>
      <c r="N49" s="7252"/>
      <c r="O49" s="7314"/>
      <c r="P49" s="1282"/>
      <c r="Q49" s="758"/>
      <c r="R49" s="843"/>
      <c r="S49" s="849"/>
      <c r="T49" s="66"/>
      <c r="U49" s="676"/>
      <c r="V49" s="676"/>
      <c r="W49" s="676"/>
      <c r="X49" s="676"/>
      <c r="Z49" s="162"/>
      <c r="AA49" s="162"/>
      <c r="AB49" s="162"/>
      <c r="AC49" s="162"/>
      <c r="AF49" s="162"/>
      <c r="AG49" s="162"/>
      <c r="AH49" s="162"/>
      <c r="AI49" s="162"/>
      <c r="AK49" s="162"/>
      <c r="AL49" s="162"/>
      <c r="AM49" s="162"/>
      <c r="AN49" s="162"/>
      <c r="AP49" s="162"/>
      <c r="AQ49" s="162"/>
      <c r="AR49" s="162"/>
      <c r="AS49" s="162"/>
      <c r="AU49" s="162"/>
      <c r="AV49" s="162"/>
      <c r="AW49" s="162"/>
      <c r="AX49" s="162"/>
    </row>
    <row r="50" spans="1:61" ht="12.75" customHeight="1" thickBot="1">
      <c r="A50" s="2912"/>
      <c r="B50" s="5947"/>
      <c r="C50" s="3098" t="s">
        <v>5582</v>
      </c>
      <c r="D50" s="3098"/>
      <c r="E50" s="3098"/>
      <c r="F50" s="3098"/>
      <c r="G50" s="3098"/>
      <c r="H50" s="3098"/>
      <c r="I50" s="3098"/>
      <c r="J50" s="3098"/>
      <c r="K50" s="3098"/>
      <c r="L50" s="5948" t="s">
        <v>2296</v>
      </c>
      <c r="M50" s="848">
        <f>B49</f>
        <v>15</v>
      </c>
      <c r="N50" s="7175" t="str">
        <f>IF(S50&lt;&gt;"",ROUND(S50,0),IF(AND(N36="",N38="",N40="",N42="",N44="",N45="",N46="",OR(O47=0,O47="")),"",SUM(N36,N38,N40,N42,N44,N45,N46,O47)))</f>
        <v/>
      </c>
      <c r="O50" s="7244"/>
      <c r="P50" s="7245"/>
      <c r="Q50" s="758"/>
      <c r="R50" s="843"/>
      <c r="S50" s="2594"/>
      <c r="T50" s="66"/>
      <c r="U50" s="676"/>
      <c r="V50" s="676"/>
      <c r="W50" s="676"/>
      <c r="X50" s="676"/>
      <c r="Z50" s="162"/>
      <c r="AA50" s="162"/>
      <c r="AB50" s="162"/>
      <c r="AC50" s="162"/>
      <c r="AF50" s="162"/>
      <c r="AG50" s="162"/>
      <c r="AH50" s="162"/>
      <c r="AI50" s="162"/>
      <c r="AK50" s="162"/>
      <c r="AL50" s="162"/>
      <c r="AM50" s="162"/>
      <c r="AN50" s="162"/>
      <c r="AP50" s="162"/>
      <c r="AQ50" s="162"/>
      <c r="AR50" s="162"/>
      <c r="AS50" s="162"/>
      <c r="AU50" s="162"/>
      <c r="AV50" s="162"/>
      <c r="AW50" s="162"/>
      <c r="AX50" s="162"/>
    </row>
    <row r="51" spans="1:61" ht="12" customHeight="1">
      <c r="A51" s="2912"/>
      <c r="B51" s="114" t="s">
        <v>979</v>
      </c>
      <c r="C51" s="130"/>
      <c r="D51" s="114"/>
      <c r="E51" s="114"/>
      <c r="F51" s="114"/>
      <c r="G51" s="114"/>
      <c r="H51" s="114"/>
      <c r="I51" s="114"/>
      <c r="J51" s="297" t="s">
        <v>2507</v>
      </c>
      <c r="K51" s="297"/>
      <c r="L51" s="157"/>
      <c r="M51" s="157"/>
      <c r="N51" s="157"/>
      <c r="O51" s="176"/>
      <c r="P51" s="176" t="str">
        <f>"Schedule D (Form 1040)   "&amp;TaxYear</f>
        <v>Schedule D (Form 1040)   2023</v>
      </c>
      <c r="Q51" s="759"/>
      <c r="R51" s="845"/>
      <c r="S51" s="66"/>
      <c r="T51" s="66"/>
      <c r="U51" s="345"/>
      <c r="V51" s="345"/>
      <c r="W51" s="345"/>
      <c r="X51" s="345"/>
      <c r="Z51" s="345"/>
      <c r="AA51" s="345"/>
      <c r="AB51" s="345"/>
      <c r="AC51" s="345"/>
      <c r="AF51" s="345"/>
      <c r="AG51" s="345"/>
      <c r="AH51" s="345"/>
      <c r="AI51" s="345"/>
      <c r="AK51" s="345"/>
      <c r="AL51" s="345"/>
      <c r="AM51" s="345"/>
      <c r="AN51" s="345"/>
      <c r="AP51" s="345"/>
      <c r="AQ51" s="345"/>
      <c r="AR51" s="345"/>
      <c r="AS51" s="345"/>
      <c r="AU51" s="345"/>
      <c r="AV51" s="345"/>
      <c r="AW51" s="345"/>
      <c r="AX51" s="345"/>
    </row>
    <row r="52" spans="1:61" ht="7.5" customHeight="1">
      <c r="A52" s="2912"/>
      <c r="B52" s="130"/>
      <c r="C52" s="130"/>
      <c r="D52" s="114"/>
      <c r="E52" s="114"/>
      <c r="F52" s="114"/>
      <c r="G52" s="114"/>
      <c r="H52" s="114"/>
      <c r="I52" s="114"/>
      <c r="J52" s="156"/>
      <c r="K52" s="156"/>
      <c r="L52" s="157"/>
      <c r="M52" s="157"/>
      <c r="N52" s="157"/>
      <c r="O52" s="954"/>
      <c r="P52" s="954"/>
      <c r="Q52" s="760"/>
      <c r="R52" s="846"/>
      <c r="S52" s="66"/>
      <c r="T52" s="66"/>
      <c r="U52" s="345"/>
      <c r="V52" s="345"/>
      <c r="W52" s="345"/>
      <c r="X52" s="345"/>
      <c r="Z52" s="345"/>
      <c r="AA52" s="345"/>
      <c r="AB52" s="345"/>
      <c r="AC52" s="345"/>
      <c r="AF52" s="345"/>
      <c r="AG52" s="345"/>
      <c r="AH52" s="345"/>
      <c r="AI52" s="345"/>
      <c r="AK52" s="345"/>
      <c r="AL52" s="345"/>
      <c r="AM52" s="345"/>
      <c r="AN52" s="345"/>
      <c r="AP52" s="345"/>
      <c r="AQ52" s="345"/>
      <c r="AR52" s="345"/>
      <c r="AS52" s="345"/>
      <c r="AU52" s="345"/>
      <c r="AV52" s="345"/>
      <c r="AW52" s="345"/>
      <c r="AX52" s="345"/>
    </row>
    <row r="53" spans="1:61" ht="18" customHeight="1" thickBot="1">
      <c r="A53" s="2912"/>
      <c r="B53" s="20" t="str">
        <f>"Schedule D ( Form 1040)  "&amp;TaxYear</f>
        <v>Schedule D ( Form 1040)  2023</v>
      </c>
      <c r="C53" s="20"/>
      <c r="D53" s="114"/>
      <c r="E53" s="114"/>
      <c r="F53" s="114"/>
      <c r="G53" s="114"/>
      <c r="H53" s="114"/>
      <c r="I53" s="114"/>
      <c r="J53" s="157"/>
      <c r="K53" s="157"/>
      <c r="L53" s="157"/>
      <c r="M53" s="157"/>
      <c r="N53" s="157"/>
      <c r="O53" s="173"/>
      <c r="P53" s="467" t="s">
        <v>2508</v>
      </c>
      <c r="Q53" s="759"/>
      <c r="R53" s="845"/>
      <c r="S53" s="66"/>
      <c r="T53" s="66"/>
      <c r="U53" s="345"/>
      <c r="V53" s="345"/>
      <c r="W53" s="345"/>
      <c r="X53" s="345"/>
      <c r="Z53" s="345"/>
      <c r="AA53" s="345"/>
      <c r="AB53" s="345"/>
      <c r="AC53" s="345"/>
      <c r="AF53" s="345"/>
      <c r="AG53" s="345"/>
      <c r="AH53" s="345"/>
      <c r="AI53" s="345"/>
      <c r="AK53" s="345"/>
      <c r="AL53" s="345"/>
      <c r="AM53" s="345"/>
      <c r="AN53" s="345"/>
      <c r="AP53" s="345"/>
      <c r="AQ53" s="345"/>
      <c r="AR53" s="345"/>
      <c r="AS53" s="345"/>
      <c r="AU53" s="345"/>
      <c r="AV53" s="345"/>
      <c r="AW53" s="345"/>
      <c r="AX53" s="345"/>
    </row>
    <row r="54" spans="1:61" ht="3" customHeight="1">
      <c r="A54" s="2912"/>
      <c r="B54" s="221"/>
      <c r="C54" s="221"/>
      <c r="D54" s="184"/>
      <c r="E54" s="184"/>
      <c r="F54" s="184"/>
      <c r="G54" s="184"/>
      <c r="H54" s="184"/>
      <c r="I54" s="184"/>
      <c r="J54" s="373"/>
      <c r="K54" s="373"/>
      <c r="L54" s="373"/>
      <c r="M54" s="373"/>
      <c r="N54" s="373"/>
      <c r="O54" s="374"/>
      <c r="P54" s="374"/>
      <c r="Q54" s="760"/>
      <c r="R54" s="846"/>
      <c r="S54" s="66"/>
      <c r="T54" s="66"/>
      <c r="U54" s="345"/>
      <c r="V54" s="345"/>
      <c r="W54" s="345"/>
      <c r="X54" s="345"/>
      <c r="Z54" s="345"/>
      <c r="AA54" s="345"/>
      <c r="AB54" s="345"/>
      <c r="AC54" s="345"/>
      <c r="AF54" s="345"/>
      <c r="AG54" s="345"/>
      <c r="AH54" s="345"/>
      <c r="AI54" s="345"/>
      <c r="AK54" s="345"/>
      <c r="AL54" s="345"/>
      <c r="AM54" s="345"/>
      <c r="AN54" s="345"/>
      <c r="AP54" s="345"/>
      <c r="AQ54" s="345"/>
      <c r="AR54" s="345"/>
      <c r="AS54" s="345"/>
      <c r="AU54" s="345"/>
      <c r="AV54" s="345"/>
      <c r="AW54" s="345"/>
      <c r="AX54" s="345"/>
    </row>
    <row r="55" spans="1:61" s="407" customFormat="1" ht="20.25" customHeight="1">
      <c r="A55" s="2912"/>
      <c r="B55" s="7310" t="s">
        <v>2509</v>
      </c>
      <c r="C55" s="7310"/>
      <c r="D55" s="7311"/>
      <c r="E55" s="397" t="s">
        <v>2510</v>
      </c>
      <c r="F55" s="2595"/>
      <c r="G55" s="404"/>
      <c r="H55" s="404"/>
      <c r="I55" s="404"/>
      <c r="J55" s="405"/>
      <c r="K55" s="405"/>
      <c r="L55" s="2595"/>
      <c r="M55" s="405"/>
      <c r="N55" s="405"/>
      <c r="O55" s="405"/>
      <c r="P55" s="405"/>
      <c r="Q55" s="759"/>
      <c r="R55" s="845"/>
      <c r="S55" s="66"/>
      <c r="T55" s="66"/>
      <c r="U55" s="406"/>
      <c r="V55" s="406"/>
      <c r="W55" s="406"/>
      <c r="X55" s="406"/>
      <c r="Z55" s="875"/>
      <c r="AA55" s="875"/>
      <c r="AB55" s="875"/>
      <c r="AC55" s="875"/>
      <c r="AD55" s="880"/>
      <c r="AF55" s="875"/>
      <c r="AG55" s="875"/>
      <c r="AH55" s="875"/>
      <c r="AI55" s="875"/>
      <c r="AK55" s="875"/>
      <c r="AL55" s="875"/>
      <c r="AM55" s="875"/>
      <c r="AN55" s="875"/>
      <c r="AP55" s="875"/>
      <c r="AQ55" s="875"/>
      <c r="AR55" s="875"/>
      <c r="AS55" s="875"/>
      <c r="AU55" s="875"/>
      <c r="AV55" s="875"/>
      <c r="AW55" s="875"/>
      <c r="AX55" s="875"/>
      <c r="AZ55" s="2045"/>
      <c r="BA55" s="2045"/>
      <c r="BB55" s="2045"/>
      <c r="BC55" s="2045"/>
      <c r="BD55" s="2045"/>
      <c r="BE55" s="2045"/>
      <c r="BF55" s="2045"/>
      <c r="BG55" s="2045"/>
      <c r="BH55" s="2045"/>
      <c r="BI55" s="2045"/>
    </row>
    <row r="56" spans="1:61" ht="3.75" customHeight="1">
      <c r="A56" s="2912"/>
      <c r="B56" s="119"/>
      <c r="C56" s="119"/>
      <c r="D56" s="117"/>
      <c r="E56" s="117"/>
      <c r="F56" s="117"/>
      <c r="G56" s="117"/>
      <c r="H56" s="117"/>
      <c r="I56" s="117"/>
      <c r="J56" s="5603"/>
      <c r="K56" s="5603"/>
      <c r="L56" s="158"/>
      <c r="M56" s="158"/>
      <c r="N56" s="158"/>
      <c r="O56" s="5604"/>
      <c r="P56" s="5604"/>
      <c r="Q56" s="760"/>
      <c r="R56" s="846"/>
      <c r="S56" s="66"/>
      <c r="T56" s="66"/>
      <c r="U56" s="345"/>
      <c r="V56" s="345"/>
      <c r="W56" s="345"/>
      <c r="X56" s="345"/>
      <c r="Z56" s="345"/>
      <c r="AA56" s="345"/>
      <c r="AB56" s="345"/>
      <c r="AC56" s="345"/>
      <c r="AF56" s="345"/>
      <c r="AG56" s="345"/>
      <c r="AH56" s="345"/>
      <c r="AI56" s="345"/>
      <c r="AK56" s="345"/>
      <c r="AL56" s="345"/>
      <c r="AM56" s="345"/>
      <c r="AN56" s="345"/>
      <c r="AP56" s="345"/>
      <c r="AQ56" s="345"/>
      <c r="AR56" s="345"/>
      <c r="AS56" s="345"/>
      <c r="AU56" s="345"/>
      <c r="AV56" s="345"/>
      <c r="AW56" s="345"/>
      <c r="AX56" s="345"/>
    </row>
    <row r="57" spans="1:61" ht="12.75" customHeight="1">
      <c r="A57" s="2912"/>
      <c r="B57" s="168"/>
      <c r="C57" s="699"/>
      <c r="D57" s="1444"/>
      <c r="E57" s="1444"/>
      <c r="F57" s="699"/>
      <c r="G57" s="154"/>
      <c r="H57" s="111"/>
      <c r="I57" s="111"/>
      <c r="J57" s="111"/>
      <c r="K57" s="124"/>
      <c r="L57" s="124"/>
      <c r="M57" s="472"/>
      <c r="N57" s="7312" t="b">
        <f>SchDLine16&lt;&gt;""</f>
        <v>0</v>
      </c>
      <c r="O57" s="7313"/>
      <c r="P57" s="5605"/>
      <c r="Q57" s="760"/>
      <c r="R57" s="846"/>
      <c r="S57" s="66"/>
      <c r="T57" s="66"/>
      <c r="U57" s="676"/>
      <c r="V57" s="676"/>
      <c r="W57" s="676"/>
      <c r="X57" s="676"/>
      <c r="Z57" s="162"/>
      <c r="AA57" s="162"/>
      <c r="AB57" s="162"/>
      <c r="AC57" s="162"/>
      <c r="AF57" s="162"/>
      <c r="AG57" s="162"/>
      <c r="AH57" s="162"/>
      <c r="AI57" s="162"/>
      <c r="AK57" s="162"/>
      <c r="AL57" s="162"/>
      <c r="AM57" s="162"/>
      <c r="AN57" s="162"/>
      <c r="AP57" s="162"/>
      <c r="AQ57" s="162"/>
      <c r="AR57" s="162"/>
      <c r="AS57" s="162"/>
      <c r="AU57" s="162"/>
      <c r="AV57" s="162"/>
      <c r="AW57" s="162"/>
      <c r="AX57" s="162"/>
    </row>
    <row r="58" spans="1:61" ht="12.75" customHeight="1">
      <c r="A58" s="2912"/>
      <c r="B58" s="168">
        <v>16</v>
      </c>
      <c r="C58" s="222" t="s">
        <v>2511</v>
      </c>
      <c r="D58" s="1444"/>
      <c r="E58" s="1444"/>
      <c r="F58" s="699"/>
      <c r="G58" s="154"/>
      <c r="H58" s="111"/>
      <c r="I58" s="111"/>
      <c r="J58" s="111"/>
      <c r="K58" s="124"/>
      <c r="L58" s="124" t="s">
        <v>2512</v>
      </c>
      <c r="M58" s="171">
        <f>B58</f>
        <v>16</v>
      </c>
      <c r="N58" s="7149" t="str">
        <f>IF(S58&lt;&gt;"",ROUND(S58,0),IF(AND(N30="",N50=""),"",SUM(N30,N50)))</f>
        <v/>
      </c>
      <c r="O58" s="7315"/>
      <c r="P58" s="7316"/>
      <c r="Q58" s="760"/>
      <c r="R58" s="846"/>
      <c r="S58" s="2594"/>
      <c r="T58" s="66"/>
      <c r="U58" s="676"/>
      <c r="V58" s="676"/>
      <c r="W58" s="676"/>
      <c r="X58" s="676"/>
      <c r="Z58" s="162"/>
      <c r="AA58" s="162"/>
      <c r="AB58" s="162"/>
      <c r="AC58" s="162"/>
      <c r="AF58" s="162"/>
      <c r="AG58" s="162"/>
      <c r="AH58" s="162"/>
      <c r="AI58" s="162"/>
      <c r="AK58" s="162"/>
      <c r="AL58" s="162"/>
      <c r="AM58" s="162"/>
      <c r="AN58" s="162"/>
      <c r="AP58" s="162"/>
      <c r="AQ58" s="162"/>
      <c r="AR58" s="162"/>
      <c r="AS58" s="162"/>
      <c r="AU58" s="162"/>
      <c r="AV58" s="162"/>
      <c r="AW58" s="162"/>
      <c r="AX58" s="162"/>
    </row>
    <row r="59" spans="1:61" ht="9" customHeight="1">
      <c r="A59" s="2912"/>
      <c r="B59" s="168"/>
      <c r="C59" s="699"/>
      <c r="D59" s="1444"/>
      <c r="E59" s="1444"/>
      <c r="F59" s="699"/>
      <c r="G59" s="154"/>
      <c r="H59" s="111"/>
      <c r="I59" s="111"/>
      <c r="J59" s="111"/>
      <c r="K59" s="124"/>
      <c r="L59" s="124"/>
      <c r="M59" s="850"/>
      <c r="N59" s="408"/>
      <c r="O59" s="750"/>
      <c r="P59" s="750"/>
      <c r="Q59" s="760"/>
      <c r="R59" s="846"/>
      <c r="S59" s="66"/>
      <c r="T59" s="66"/>
      <c r="U59" s="676"/>
      <c r="V59" s="676"/>
      <c r="W59" s="676"/>
      <c r="X59" s="676"/>
      <c r="Z59" s="162"/>
      <c r="AA59" s="162"/>
      <c r="AB59" s="162"/>
      <c r="AC59" s="162"/>
      <c r="AF59" s="162"/>
      <c r="AG59" s="162"/>
      <c r="AH59" s="162"/>
      <c r="AI59" s="162"/>
      <c r="AK59" s="162"/>
      <c r="AL59" s="162"/>
      <c r="AM59" s="162"/>
      <c r="AN59" s="162"/>
      <c r="AP59" s="162"/>
      <c r="AQ59" s="162"/>
      <c r="AR59" s="162"/>
      <c r="AS59" s="162"/>
      <c r="AU59" s="162"/>
      <c r="AV59" s="162"/>
      <c r="AW59" s="162"/>
      <c r="AX59" s="162"/>
    </row>
    <row r="60" spans="1:61" s="163" customFormat="1" ht="13.5" customHeight="1">
      <c r="A60" s="2582" t="b">
        <f>AND(SchDLine16&lt;&gt;"",SchDLine16&gt;0)</f>
        <v>0</v>
      </c>
      <c r="B60" s="684" t="s">
        <v>668</v>
      </c>
      <c r="C60" s="3007" t="s">
        <v>5585</v>
      </c>
      <c r="D60" s="190"/>
      <c r="E60" s="21"/>
      <c r="F60" s="21"/>
      <c r="G60" s="21"/>
      <c r="H60" s="21"/>
      <c r="I60" s="21"/>
      <c r="J60" s="1199"/>
      <c r="K60" s="1199"/>
      <c r="L60" s="5606"/>
      <c r="M60" s="850"/>
      <c r="N60" s="408"/>
      <c r="O60" s="750"/>
      <c r="P60" s="750"/>
      <c r="Q60" s="759"/>
      <c r="R60" s="845"/>
      <c r="S60" s="66"/>
      <c r="T60" s="66"/>
      <c r="U60" s="118"/>
      <c r="V60" s="118"/>
      <c r="W60" s="118"/>
      <c r="X60" s="118"/>
      <c r="Y60" s="962"/>
      <c r="Z60" s="345"/>
      <c r="AA60" s="345"/>
      <c r="AB60" s="345"/>
      <c r="AC60" s="345"/>
      <c r="AD60" s="3"/>
      <c r="AE60" s="962"/>
      <c r="AF60" s="345"/>
      <c r="AG60" s="345"/>
      <c r="AH60" s="345"/>
      <c r="AI60" s="345"/>
      <c r="AJ60" s="962"/>
      <c r="AK60" s="345"/>
      <c r="AL60" s="345"/>
      <c r="AM60" s="345"/>
      <c r="AN60" s="345"/>
      <c r="AO60" s="962"/>
      <c r="AP60" s="345"/>
      <c r="AQ60" s="345"/>
      <c r="AR60" s="345"/>
      <c r="AS60" s="345"/>
      <c r="AT60" s="962"/>
      <c r="AU60" s="345"/>
      <c r="AV60" s="345"/>
      <c r="AW60" s="345"/>
      <c r="AX60" s="345"/>
      <c r="AY60" s="962"/>
      <c r="AZ60" s="2044"/>
      <c r="BA60" s="2044"/>
      <c r="BB60" s="2044"/>
      <c r="BC60" s="2044"/>
      <c r="BD60" s="2044"/>
      <c r="BE60" s="2044"/>
      <c r="BF60" s="2044"/>
      <c r="BG60" s="2044"/>
      <c r="BH60" s="2044"/>
      <c r="BI60" s="2044"/>
    </row>
    <row r="61" spans="1:61" s="163" customFormat="1" ht="11.25" customHeight="1">
      <c r="A61" s="910"/>
      <c r="B61" s="5607"/>
      <c r="C61" s="3007" t="s">
        <v>2513</v>
      </c>
      <c r="D61" s="190"/>
      <c r="E61" s="21"/>
      <c r="F61" s="21"/>
      <c r="G61" s="21"/>
      <c r="H61" s="21"/>
      <c r="I61" s="21"/>
      <c r="J61" s="1199"/>
      <c r="K61" s="1199"/>
      <c r="L61" s="5606"/>
      <c r="M61" s="850"/>
      <c r="N61" s="408"/>
      <c r="O61" s="750"/>
      <c r="P61" s="750"/>
      <c r="Q61" s="759"/>
      <c r="R61" s="845"/>
      <c r="S61" s="66"/>
      <c r="T61" s="66"/>
      <c r="U61" s="118"/>
      <c r="V61" s="118"/>
      <c r="W61" s="118"/>
      <c r="X61" s="118"/>
      <c r="Y61" s="962"/>
      <c r="Z61" s="345"/>
      <c r="AA61" s="345"/>
      <c r="AB61" s="345"/>
      <c r="AC61" s="345"/>
      <c r="AD61" s="3"/>
      <c r="AE61" s="962"/>
      <c r="AF61" s="345"/>
      <c r="AG61" s="345"/>
      <c r="AH61" s="345"/>
      <c r="AI61" s="345"/>
      <c r="AJ61" s="962"/>
      <c r="AK61" s="345"/>
      <c r="AL61" s="345"/>
      <c r="AM61" s="345"/>
      <c r="AN61" s="345"/>
      <c r="AO61" s="962"/>
      <c r="AP61" s="345"/>
      <c r="AQ61" s="345"/>
      <c r="AR61" s="345"/>
      <c r="AS61" s="345"/>
      <c r="AT61" s="962"/>
      <c r="AU61" s="345"/>
      <c r="AV61" s="345"/>
      <c r="AW61" s="345"/>
      <c r="AX61" s="345"/>
      <c r="AY61" s="962"/>
      <c r="AZ61" s="2044"/>
      <c r="BA61" s="2044"/>
      <c r="BB61" s="2044"/>
      <c r="BC61" s="2044"/>
      <c r="BD61" s="2044"/>
      <c r="BE61" s="2044"/>
      <c r="BF61" s="2044"/>
      <c r="BG61" s="2044"/>
      <c r="BH61" s="2044"/>
      <c r="BI61" s="2044"/>
    </row>
    <row r="62" spans="1:61" s="163" customFormat="1" ht="15" customHeight="1">
      <c r="A62" s="2582" t="b">
        <f>AND(SchDLine16&lt;&gt;"",SchDLine16&lt;0)</f>
        <v>0</v>
      </c>
      <c r="B62" s="684" t="s">
        <v>668</v>
      </c>
      <c r="C62" s="3007" t="s">
        <v>5586</v>
      </c>
      <c r="D62" s="190"/>
      <c r="E62" s="21"/>
      <c r="F62" s="21"/>
      <c r="G62" s="21"/>
      <c r="H62" s="21"/>
      <c r="I62" s="21"/>
      <c r="J62" s="1199"/>
      <c r="K62" s="1199"/>
      <c r="L62" s="5606"/>
      <c r="M62" s="850"/>
      <c r="N62" s="408"/>
      <c r="O62" s="750"/>
      <c r="P62" s="750"/>
      <c r="Q62" s="759"/>
      <c r="R62" s="845"/>
      <c r="S62" s="66"/>
      <c r="T62" s="66"/>
      <c r="U62" s="118"/>
      <c r="V62" s="118"/>
      <c r="W62" s="118"/>
      <c r="X62" s="118"/>
      <c r="Y62" s="962"/>
      <c r="Z62" s="345"/>
      <c r="AA62" s="345"/>
      <c r="AB62" s="345"/>
      <c r="AC62" s="345"/>
      <c r="AD62" s="3"/>
      <c r="AE62" s="962"/>
      <c r="AF62" s="345"/>
      <c r="AG62" s="345"/>
      <c r="AH62" s="345"/>
      <c r="AI62" s="345"/>
      <c r="AJ62" s="962"/>
      <c r="AK62" s="345"/>
      <c r="AL62" s="345"/>
      <c r="AM62" s="345"/>
      <c r="AN62" s="345"/>
      <c r="AO62" s="962"/>
      <c r="AP62" s="345"/>
      <c r="AQ62" s="345"/>
      <c r="AR62" s="345"/>
      <c r="AS62" s="345"/>
      <c r="AT62" s="962"/>
      <c r="AU62" s="345"/>
      <c r="AV62" s="345"/>
      <c r="AW62" s="345"/>
      <c r="AX62" s="345"/>
      <c r="AY62" s="962"/>
      <c r="AZ62" s="2044"/>
      <c r="BA62" s="2044"/>
      <c r="BB62" s="2044"/>
      <c r="BC62" s="2044"/>
      <c r="BD62" s="2044"/>
      <c r="BE62" s="2044"/>
      <c r="BF62" s="2044"/>
      <c r="BG62" s="2044"/>
      <c r="BH62" s="2044"/>
      <c r="BI62" s="2044"/>
    </row>
    <row r="63" spans="1:61" s="163" customFormat="1" ht="13.5" customHeight="1">
      <c r="A63" s="910"/>
      <c r="B63" s="5607"/>
      <c r="C63" s="3007" t="s">
        <v>2514</v>
      </c>
      <c r="D63" s="190"/>
      <c r="E63" s="21"/>
      <c r="F63" s="21"/>
      <c r="G63" s="21"/>
      <c r="H63" s="21"/>
      <c r="I63" s="21"/>
      <c r="J63" s="1199"/>
      <c r="K63" s="1199"/>
      <c r="L63" s="5606"/>
      <c r="M63" s="850"/>
      <c r="N63" s="408"/>
      <c r="O63" s="750"/>
      <c r="P63" s="750"/>
      <c r="Q63" s="759"/>
      <c r="R63" s="845"/>
      <c r="S63" s="66"/>
      <c r="T63" s="66"/>
      <c r="U63" s="118"/>
      <c r="V63" s="118"/>
      <c r="W63" s="118"/>
      <c r="X63" s="118"/>
      <c r="Y63" s="962"/>
      <c r="Z63" s="345"/>
      <c r="AA63" s="345"/>
      <c r="AB63" s="345"/>
      <c r="AC63" s="345"/>
      <c r="AD63" s="3"/>
      <c r="AE63" s="962"/>
      <c r="AF63" s="345"/>
      <c r="AG63" s="345"/>
      <c r="AH63" s="345"/>
      <c r="AI63" s="345"/>
      <c r="AJ63" s="962"/>
      <c r="AK63" s="345"/>
      <c r="AL63" s="345"/>
      <c r="AM63" s="345"/>
      <c r="AN63" s="345"/>
      <c r="AO63" s="962"/>
      <c r="AP63" s="345"/>
      <c r="AQ63" s="345"/>
      <c r="AR63" s="345"/>
      <c r="AS63" s="345"/>
      <c r="AT63" s="962"/>
      <c r="AU63" s="345"/>
      <c r="AV63" s="345"/>
      <c r="AW63" s="345"/>
      <c r="AX63" s="345"/>
      <c r="AY63" s="962"/>
      <c r="AZ63" s="2044"/>
      <c r="BA63" s="2044"/>
      <c r="BB63" s="2044"/>
      <c r="BC63" s="2044"/>
      <c r="BD63" s="2044"/>
      <c r="BE63" s="2044"/>
      <c r="BF63" s="2044"/>
      <c r="BG63" s="2044"/>
      <c r="BH63" s="2044"/>
      <c r="BI63" s="2044"/>
    </row>
    <row r="64" spans="1:61" s="163" customFormat="1" ht="15" customHeight="1">
      <c r="A64" s="2582" t="b">
        <f>AND(SchDLine16&lt;&gt;"",SchDLine16=0)</f>
        <v>0</v>
      </c>
      <c r="B64" s="684" t="s">
        <v>668</v>
      </c>
      <c r="C64" s="3007" t="s">
        <v>5587</v>
      </c>
      <c r="D64" s="190"/>
      <c r="E64" s="21"/>
      <c r="F64" s="21"/>
      <c r="G64" s="21"/>
      <c r="H64" s="21"/>
      <c r="I64" s="21"/>
      <c r="J64" s="1199"/>
      <c r="K64" s="1199"/>
      <c r="L64" s="5606"/>
      <c r="M64" s="850"/>
      <c r="N64" s="408"/>
      <c r="O64" s="750"/>
      <c r="P64" s="750"/>
      <c r="Q64" s="759"/>
      <c r="R64" s="845"/>
      <c r="S64" s="66"/>
      <c r="T64" s="66"/>
      <c r="U64" s="118"/>
      <c r="V64" s="118"/>
      <c r="W64" s="118"/>
      <c r="X64" s="118"/>
      <c r="Y64" s="962"/>
      <c r="Z64" s="345"/>
      <c r="AA64" s="345"/>
      <c r="AB64" s="345"/>
      <c r="AC64" s="345"/>
      <c r="AD64" s="3"/>
      <c r="AE64" s="962"/>
      <c r="AF64" s="345"/>
      <c r="AG64" s="345"/>
      <c r="AH64" s="345"/>
      <c r="AI64" s="345"/>
      <c r="AJ64" s="962"/>
      <c r="AK64" s="345"/>
      <c r="AL64" s="345"/>
      <c r="AM64" s="345"/>
      <c r="AN64" s="345"/>
      <c r="AO64" s="962"/>
      <c r="AP64" s="345"/>
      <c r="AQ64" s="345"/>
      <c r="AR64" s="345"/>
      <c r="AS64" s="345"/>
      <c r="AT64" s="962"/>
      <c r="AU64" s="345"/>
      <c r="AV64" s="345"/>
      <c r="AW64" s="345"/>
      <c r="AX64" s="345"/>
      <c r="AY64" s="962"/>
      <c r="AZ64" s="2044"/>
      <c r="BA64" s="2044"/>
      <c r="BB64" s="2044"/>
      <c r="BC64" s="2044"/>
      <c r="BD64" s="2044"/>
      <c r="BE64" s="2044"/>
      <c r="BF64" s="2044"/>
      <c r="BG64" s="2044"/>
      <c r="BH64" s="2044"/>
      <c r="BI64" s="2044"/>
    </row>
    <row r="65" spans="1:61" s="163" customFormat="1" ht="11.25" customHeight="1">
      <c r="A65" s="910"/>
      <c r="B65" s="5607"/>
      <c r="C65" s="3007" t="s">
        <v>2515</v>
      </c>
      <c r="D65" s="190"/>
      <c r="E65" s="21"/>
      <c r="F65" s="21"/>
      <c r="G65" s="21"/>
      <c r="H65" s="21"/>
      <c r="I65" s="21"/>
      <c r="J65" s="1199"/>
      <c r="K65" s="1199"/>
      <c r="L65" s="5606"/>
      <c r="M65" s="850"/>
      <c r="N65" s="408"/>
      <c r="O65" s="750"/>
      <c r="P65" s="750"/>
      <c r="Q65" s="759"/>
      <c r="R65" s="845"/>
      <c r="S65" s="66"/>
      <c r="T65" s="66"/>
      <c r="U65" s="118"/>
      <c r="V65" s="118"/>
      <c r="W65" s="118"/>
      <c r="X65" s="118"/>
      <c r="Y65" s="962"/>
      <c r="Z65" s="345"/>
      <c r="AA65" s="345"/>
      <c r="AB65" s="345"/>
      <c r="AC65" s="345"/>
      <c r="AD65" s="3"/>
      <c r="AE65" s="962"/>
      <c r="AF65" s="345"/>
      <c r="AG65" s="345"/>
      <c r="AH65" s="345"/>
      <c r="AI65" s="345"/>
      <c r="AJ65" s="962"/>
      <c r="AK65" s="345"/>
      <c r="AL65" s="345"/>
      <c r="AM65" s="345"/>
      <c r="AN65" s="345"/>
      <c r="AO65" s="962"/>
      <c r="AP65" s="345"/>
      <c r="AQ65" s="345"/>
      <c r="AR65" s="345"/>
      <c r="AS65" s="345"/>
      <c r="AT65" s="962"/>
      <c r="AU65" s="345"/>
      <c r="AV65" s="345"/>
      <c r="AW65" s="345"/>
      <c r="AX65" s="345"/>
      <c r="AY65" s="962"/>
      <c r="AZ65" s="2044"/>
      <c r="BA65" s="2044"/>
      <c r="BB65" s="2044"/>
      <c r="BC65" s="2044"/>
      <c r="BD65" s="2044"/>
      <c r="BE65" s="2044"/>
      <c r="BF65" s="2044"/>
      <c r="BG65" s="2044"/>
      <c r="BH65" s="2044"/>
      <c r="BI65" s="2044"/>
    </row>
    <row r="66" spans="1:61" s="163" customFormat="1" ht="8.25" customHeight="1">
      <c r="A66" s="910"/>
      <c r="B66" s="168"/>
      <c r="C66" s="21"/>
      <c r="D66" s="21"/>
      <c r="E66" s="21"/>
      <c r="F66" s="21"/>
      <c r="G66" s="21"/>
      <c r="H66" s="21"/>
      <c r="I66" s="21"/>
      <c r="J66" s="1199"/>
      <c r="K66" s="1199"/>
      <c r="L66" s="5606"/>
      <c r="M66" s="850"/>
      <c r="N66" s="408"/>
      <c r="O66" s="750"/>
      <c r="P66" s="750"/>
      <c r="Q66" s="759"/>
      <c r="R66" s="845"/>
      <c r="S66" s="66"/>
      <c r="T66" s="66"/>
      <c r="U66" s="118"/>
      <c r="V66" s="118"/>
      <c r="W66" s="118"/>
      <c r="X66" s="118"/>
      <c r="Y66" s="962"/>
      <c r="Z66" s="345"/>
      <c r="AA66" s="345"/>
      <c r="AB66" s="345"/>
      <c r="AC66" s="345"/>
      <c r="AD66" s="3"/>
      <c r="AE66" s="962"/>
      <c r="AF66" s="345"/>
      <c r="AG66" s="345"/>
      <c r="AH66" s="345"/>
      <c r="AI66" s="345"/>
      <c r="AJ66" s="962"/>
      <c r="AK66" s="345"/>
      <c r="AL66" s="345"/>
      <c r="AM66" s="345"/>
      <c r="AN66" s="345"/>
      <c r="AO66" s="962"/>
      <c r="AP66" s="345"/>
      <c r="AQ66" s="345"/>
      <c r="AR66" s="345"/>
      <c r="AS66" s="345"/>
      <c r="AT66" s="962"/>
      <c r="AU66" s="345"/>
      <c r="AV66" s="345"/>
      <c r="AW66" s="345"/>
      <c r="AX66" s="345"/>
      <c r="AY66" s="962"/>
      <c r="AZ66" s="2044"/>
      <c r="BA66" s="2044"/>
      <c r="BB66" s="2044"/>
      <c r="BC66" s="2044"/>
      <c r="BD66" s="2044"/>
      <c r="BE66" s="2044"/>
      <c r="BF66" s="2044"/>
      <c r="BG66" s="2044"/>
      <c r="BH66" s="2044"/>
      <c r="BI66" s="2044"/>
    </row>
    <row r="67" spans="1:61" s="403" customFormat="1" ht="13.5" customHeight="1">
      <c r="A67" s="910"/>
      <c r="B67" s="3742">
        <v>17</v>
      </c>
      <c r="C67" s="222" t="s">
        <v>2516</v>
      </c>
      <c r="D67" s="1444"/>
      <c r="E67" s="1444"/>
      <c r="F67" s="2527"/>
      <c r="G67" s="2527"/>
      <c r="H67" s="2527"/>
      <c r="I67" s="2527"/>
      <c r="J67" s="4510"/>
      <c r="K67" s="4510"/>
      <c r="L67" s="5608"/>
      <c r="M67" s="850"/>
      <c r="N67" s="408"/>
      <c r="O67" s="750"/>
      <c r="P67" s="750"/>
      <c r="Q67" s="760"/>
      <c r="R67" s="846"/>
      <c r="S67" s="66"/>
      <c r="T67" s="66"/>
      <c r="U67" s="5358"/>
      <c r="V67" s="5358"/>
      <c r="W67" s="5358"/>
      <c r="X67" s="5358"/>
      <c r="Y67" s="3022"/>
      <c r="Z67" s="876"/>
      <c r="AA67" s="876"/>
      <c r="AB67" s="876"/>
      <c r="AC67" s="876"/>
      <c r="AD67" s="880"/>
      <c r="AE67" s="3022"/>
      <c r="AF67" s="876"/>
      <c r="AG67" s="876"/>
      <c r="AH67" s="876"/>
      <c r="AI67" s="876"/>
      <c r="AJ67" s="3022"/>
      <c r="AK67" s="876"/>
      <c r="AL67" s="876"/>
      <c r="AM67" s="876"/>
      <c r="AN67" s="876"/>
      <c r="AO67" s="3022"/>
      <c r="AP67" s="876"/>
      <c r="AQ67" s="876"/>
      <c r="AR67" s="876"/>
      <c r="AS67" s="876"/>
      <c r="AT67" s="3022"/>
      <c r="AU67" s="876"/>
      <c r="AV67" s="876"/>
      <c r="AW67" s="876"/>
      <c r="AX67" s="876"/>
      <c r="AY67" s="3022"/>
      <c r="AZ67" s="5609"/>
      <c r="BA67" s="5609"/>
      <c r="BB67" s="5609"/>
      <c r="BC67" s="5609"/>
      <c r="BD67" s="5609"/>
      <c r="BE67" s="5609"/>
      <c r="BF67" s="5609"/>
      <c r="BG67" s="5609"/>
      <c r="BH67" s="5609"/>
      <c r="BI67" s="5609"/>
    </row>
    <row r="68" spans="1:61" s="163" customFormat="1" ht="11.25" customHeight="1">
      <c r="A68" s="2582" t="b">
        <f>AND(A60,SchDLine15&lt;&gt;"",SchDLine15&gt;0,SchDLine16&lt;&gt;"",SchDLine16&gt;0)</f>
        <v>0</v>
      </c>
      <c r="B68" s="168"/>
      <c r="C68" s="5610" t="str">
        <f>IF(A68,"X","")</f>
        <v/>
      </c>
      <c r="D68" s="5611"/>
      <c r="E68" s="21" t="s">
        <v>2517</v>
      </c>
      <c r="F68" s="21"/>
      <c r="G68" s="21"/>
      <c r="H68" s="21"/>
      <c r="I68" s="21"/>
      <c r="J68" s="1199"/>
      <c r="K68" s="1199"/>
      <c r="L68" s="5606"/>
      <c r="M68" s="850"/>
      <c r="N68" s="408"/>
      <c r="O68" s="750"/>
      <c r="P68" s="750"/>
      <c r="Q68" s="3914"/>
      <c r="R68" s="5612"/>
      <c r="S68" s="66"/>
      <c r="T68" s="66"/>
      <c r="U68" s="118"/>
      <c r="V68" s="118"/>
      <c r="W68" s="118"/>
      <c r="X68" s="118"/>
      <c r="Y68" s="962"/>
      <c r="Z68" s="345"/>
      <c r="AA68" s="345"/>
      <c r="AB68" s="345"/>
      <c r="AC68" s="345"/>
      <c r="AD68" s="3"/>
      <c r="AE68" s="962"/>
      <c r="AF68" s="345"/>
      <c r="AG68" s="345"/>
      <c r="AH68" s="345"/>
      <c r="AI68" s="345"/>
      <c r="AJ68" s="962"/>
      <c r="AK68" s="345"/>
      <c r="AL68" s="345"/>
      <c r="AM68" s="345"/>
      <c r="AN68" s="345"/>
      <c r="AO68" s="962"/>
      <c r="AP68" s="345"/>
      <c r="AQ68" s="345"/>
      <c r="AR68" s="345"/>
      <c r="AS68" s="345"/>
      <c r="AT68" s="962"/>
      <c r="AU68" s="345"/>
      <c r="AV68" s="345"/>
      <c r="AW68" s="345"/>
      <c r="AX68" s="345"/>
      <c r="AY68" s="962"/>
      <c r="AZ68" s="2044"/>
      <c r="BA68" s="2044"/>
      <c r="BB68" s="2044"/>
      <c r="BC68" s="2044"/>
      <c r="BD68" s="2044"/>
      <c r="BE68" s="2044"/>
      <c r="BF68" s="2044"/>
      <c r="BG68" s="2044"/>
      <c r="BH68" s="2044"/>
      <c r="BI68" s="2044"/>
    </row>
    <row r="69" spans="1:61" s="163" customFormat="1" ht="3" customHeight="1">
      <c r="A69" s="910"/>
      <c r="B69" s="168"/>
      <c r="C69" s="21"/>
      <c r="D69" s="21"/>
      <c r="E69" s="21"/>
      <c r="F69" s="21"/>
      <c r="G69" s="21"/>
      <c r="H69" s="21"/>
      <c r="I69" s="21"/>
      <c r="J69" s="1199"/>
      <c r="K69" s="1199"/>
      <c r="L69" s="5606"/>
      <c r="M69" s="850"/>
      <c r="N69" s="408"/>
      <c r="O69" s="750"/>
      <c r="P69" s="750"/>
      <c r="Q69" s="3914"/>
      <c r="R69" s="5612"/>
      <c r="S69" s="66"/>
      <c r="T69" s="66"/>
      <c r="U69" s="118"/>
      <c r="V69" s="118"/>
      <c r="W69" s="118"/>
      <c r="X69" s="118"/>
      <c r="Y69" s="962"/>
      <c r="Z69" s="345"/>
      <c r="AA69" s="345"/>
      <c r="AB69" s="345"/>
      <c r="AC69" s="345"/>
      <c r="AD69" s="3"/>
      <c r="AE69" s="962"/>
      <c r="AF69" s="345"/>
      <c r="AG69" s="345"/>
      <c r="AH69" s="345"/>
      <c r="AI69" s="345"/>
      <c r="AJ69" s="962"/>
      <c r="AK69" s="345"/>
      <c r="AL69" s="345"/>
      <c r="AM69" s="345"/>
      <c r="AN69" s="345"/>
      <c r="AO69" s="962"/>
      <c r="AP69" s="345"/>
      <c r="AQ69" s="345"/>
      <c r="AR69" s="345"/>
      <c r="AS69" s="345"/>
      <c r="AT69" s="962"/>
      <c r="AU69" s="345"/>
      <c r="AV69" s="345"/>
      <c r="AW69" s="345"/>
      <c r="AX69" s="345"/>
      <c r="AY69" s="962"/>
      <c r="AZ69" s="2044"/>
      <c r="BA69" s="2044"/>
      <c r="BB69" s="2044"/>
      <c r="BC69" s="2044"/>
      <c r="BD69" s="2044"/>
      <c r="BE69" s="2044"/>
      <c r="BF69" s="2044"/>
      <c r="BG69" s="2044"/>
      <c r="BH69" s="2044"/>
      <c r="BI69" s="2044"/>
    </row>
    <row r="70" spans="1:61" s="163" customFormat="1" ht="11.25" customHeight="1">
      <c r="A70" s="2582" t="b">
        <f>AND(A60,NOT(A68))</f>
        <v>0</v>
      </c>
      <c r="B70" s="168"/>
      <c r="C70" s="5610" t="str">
        <f>IF(A70,"X","")</f>
        <v/>
      </c>
      <c r="D70" s="5611"/>
      <c r="E70" s="21" t="s">
        <v>2518</v>
      </c>
      <c r="F70" s="21"/>
      <c r="G70" s="21"/>
      <c r="H70" s="21"/>
      <c r="I70" s="21"/>
      <c r="J70" s="1199"/>
      <c r="K70" s="1199"/>
      <c r="L70" s="5606"/>
      <c r="M70" s="850"/>
      <c r="N70" s="408"/>
      <c r="O70" s="750"/>
      <c r="P70" s="750"/>
      <c r="Q70" s="3914"/>
      <c r="R70" s="5612"/>
      <c r="S70" s="457"/>
      <c r="T70" s="66"/>
      <c r="U70" s="118"/>
      <c r="V70" s="118"/>
      <c r="W70" s="118"/>
      <c r="X70" s="118"/>
      <c r="Y70" s="962"/>
      <c r="Z70" s="345"/>
      <c r="AA70" s="345"/>
      <c r="AB70" s="345"/>
      <c r="AC70" s="345"/>
      <c r="AD70" s="3"/>
      <c r="AE70" s="962"/>
      <c r="AF70" s="345"/>
      <c r="AG70" s="345"/>
      <c r="AH70" s="345"/>
      <c r="AI70" s="345"/>
      <c r="AJ70" s="962"/>
      <c r="AK70" s="345"/>
      <c r="AL70" s="345"/>
      <c r="AM70" s="345"/>
      <c r="AN70" s="345"/>
      <c r="AO70" s="962"/>
      <c r="AP70" s="345"/>
      <c r="AQ70" s="345"/>
      <c r="AR70" s="345"/>
      <c r="AS70" s="345"/>
      <c r="AT70" s="962"/>
      <c r="AU70" s="345"/>
      <c r="AV70" s="345"/>
      <c r="AW70" s="345"/>
      <c r="AX70" s="345"/>
      <c r="AY70" s="962"/>
      <c r="AZ70" s="2044"/>
      <c r="BA70" s="2044"/>
      <c r="BB70" s="2044"/>
      <c r="BC70" s="2044"/>
      <c r="BD70" s="2044"/>
      <c r="BE70" s="2044"/>
      <c r="BF70" s="2044"/>
      <c r="BG70" s="2044"/>
      <c r="BH70" s="2044"/>
      <c r="BI70" s="2044"/>
    </row>
    <row r="71" spans="1:61" s="163" customFormat="1" ht="15" customHeight="1">
      <c r="A71" s="910"/>
      <c r="B71" s="168"/>
      <c r="C71" s="21"/>
      <c r="D71" s="21"/>
      <c r="E71" s="21"/>
      <c r="F71" s="21"/>
      <c r="G71" s="21"/>
      <c r="H71" s="21"/>
      <c r="I71" s="21"/>
      <c r="J71" s="1199"/>
      <c r="K71" s="1199"/>
      <c r="L71" s="5606"/>
      <c r="M71" s="850"/>
      <c r="N71" s="408"/>
      <c r="O71" s="750"/>
      <c r="P71" s="750"/>
      <c r="Q71" s="3914"/>
      <c r="R71" s="5612"/>
      <c r="S71" s="457" t="s">
        <v>1113</v>
      </c>
      <c r="T71" s="66"/>
      <c r="U71" s="118"/>
      <c r="V71" s="118"/>
      <c r="W71" s="118"/>
      <c r="X71" s="118"/>
      <c r="Y71" s="962"/>
      <c r="Z71" s="345"/>
      <c r="AA71" s="345"/>
      <c r="AB71" s="345"/>
      <c r="AC71" s="345"/>
      <c r="AD71" s="3"/>
      <c r="AE71" s="962"/>
      <c r="AF71" s="345"/>
      <c r="AG71" s="345"/>
      <c r="AH71" s="345"/>
      <c r="AI71" s="345"/>
      <c r="AJ71" s="962"/>
      <c r="AK71" s="345"/>
      <c r="AL71" s="345"/>
      <c r="AM71" s="345"/>
      <c r="AN71" s="345"/>
      <c r="AO71" s="962"/>
      <c r="AP71" s="345"/>
      <c r="AQ71" s="345"/>
      <c r="AR71" s="345"/>
      <c r="AS71" s="345"/>
      <c r="AT71" s="962"/>
      <c r="AU71" s="345"/>
      <c r="AV71" s="345"/>
      <c r="AW71" s="345"/>
      <c r="AX71" s="345"/>
      <c r="AY71" s="962"/>
      <c r="AZ71" s="2044"/>
      <c r="BA71" s="2044"/>
      <c r="BB71" s="2044"/>
      <c r="BC71" s="2044"/>
      <c r="BD71" s="2044"/>
      <c r="BE71" s="2044"/>
      <c r="BF71" s="2044"/>
      <c r="BG71" s="2044"/>
      <c r="BH71" s="2044"/>
      <c r="BI71" s="2044"/>
    </row>
    <row r="72" spans="1:61" s="163" customFormat="1" ht="15" customHeight="1">
      <c r="A72" s="910"/>
      <c r="B72" s="168">
        <v>18</v>
      </c>
      <c r="C72" s="222" t="s">
        <v>2519</v>
      </c>
      <c r="D72" s="21"/>
      <c r="E72" s="21"/>
      <c r="F72" s="21"/>
      <c r="G72" s="21"/>
      <c r="H72" s="21"/>
      <c r="I72" s="21"/>
      <c r="J72" s="1199"/>
      <c r="K72" s="1199"/>
      <c r="L72" s="5606"/>
      <c r="M72" s="850"/>
      <c r="N72" s="408"/>
      <c r="O72" s="750"/>
      <c r="P72" s="750"/>
      <c r="Q72" s="3914"/>
      <c r="R72" s="5612"/>
      <c r="S72" s="457" t="s">
        <v>1062</v>
      </c>
      <c r="T72" s="66"/>
      <c r="U72" s="118"/>
      <c r="V72" s="118"/>
      <c r="W72" s="118"/>
      <c r="X72" s="118"/>
      <c r="Y72" s="962"/>
      <c r="Z72" s="345"/>
      <c r="AA72" s="345"/>
      <c r="AB72" s="345"/>
      <c r="AC72" s="345"/>
      <c r="AD72" s="3"/>
      <c r="AE72" s="962"/>
      <c r="AF72" s="345"/>
      <c r="AG72" s="345"/>
      <c r="AH72" s="345"/>
      <c r="AI72" s="345"/>
      <c r="AJ72" s="962"/>
      <c r="AK72" s="345"/>
      <c r="AL72" s="345"/>
      <c r="AM72" s="345"/>
      <c r="AN72" s="345"/>
      <c r="AO72" s="962"/>
      <c r="AP72" s="345"/>
      <c r="AQ72" s="345"/>
      <c r="AR72" s="345"/>
      <c r="AS72" s="345"/>
      <c r="AT72" s="962"/>
      <c r="AU72" s="345"/>
      <c r="AV72" s="345"/>
      <c r="AW72" s="345"/>
      <c r="AX72" s="345"/>
      <c r="AY72" s="962"/>
      <c r="AZ72" s="2044"/>
      <c r="BA72" s="2044"/>
      <c r="BB72" s="2044"/>
      <c r="BC72" s="2044"/>
      <c r="BD72" s="2044"/>
      <c r="BE72" s="2044"/>
      <c r="BF72" s="2044"/>
      <c r="BG72" s="2044"/>
      <c r="BH72" s="2044"/>
      <c r="BI72" s="2044"/>
    </row>
    <row r="73" spans="1:61" s="163" customFormat="1" ht="12.75" customHeight="1">
      <c r="A73" s="910"/>
      <c r="B73" s="168"/>
      <c r="C73" s="222" t="s">
        <v>2520</v>
      </c>
      <c r="D73" s="699"/>
      <c r="E73" s="21"/>
      <c r="F73" s="21"/>
      <c r="G73" s="21"/>
      <c r="H73" s="21"/>
      <c r="I73" s="21"/>
      <c r="J73" s="1199"/>
      <c r="K73" s="1199"/>
      <c r="L73" s="124" t="s">
        <v>2521</v>
      </c>
      <c r="M73" s="171">
        <f>B72</f>
        <v>18</v>
      </c>
      <c r="N73" s="7149" t="str">
        <f>IF(S73&lt;&gt;"",S73,IF(AND(A60,C68="X"),'Sch. D WS'!N56,""))</f>
        <v/>
      </c>
      <c r="O73" s="7150"/>
      <c r="P73" s="7150"/>
      <c r="Q73" s="3914"/>
      <c r="R73" s="5612"/>
      <c r="S73" s="5613"/>
      <c r="T73" s="66"/>
      <c r="U73" s="118"/>
      <c r="V73" s="118"/>
      <c r="W73" s="118"/>
      <c r="X73" s="118"/>
      <c r="Y73" s="962"/>
      <c r="Z73" s="345"/>
      <c r="AA73" s="345"/>
      <c r="AB73" s="345"/>
      <c r="AC73" s="345"/>
      <c r="AD73" s="3"/>
      <c r="AE73" s="962"/>
      <c r="AF73" s="345"/>
      <c r="AG73" s="345"/>
      <c r="AH73" s="345"/>
      <c r="AI73" s="345"/>
      <c r="AJ73" s="962"/>
      <c r="AK73" s="345"/>
      <c r="AL73" s="345"/>
      <c r="AM73" s="345"/>
      <c r="AN73" s="345"/>
      <c r="AO73" s="962"/>
      <c r="AP73" s="345"/>
      <c r="AQ73" s="345"/>
      <c r="AR73" s="345"/>
      <c r="AS73" s="345"/>
      <c r="AT73" s="962"/>
      <c r="AU73" s="345"/>
      <c r="AV73" s="345"/>
      <c r="AW73" s="345"/>
      <c r="AX73" s="345"/>
      <c r="AY73" s="962"/>
      <c r="AZ73" s="2044"/>
      <c r="BA73" s="2044"/>
      <c r="BB73" s="2044"/>
      <c r="BC73" s="2044"/>
      <c r="BD73" s="2044"/>
      <c r="BE73" s="2044"/>
      <c r="BF73" s="2044"/>
      <c r="BG73" s="2044"/>
      <c r="BH73" s="2044"/>
      <c r="BI73" s="2044"/>
    </row>
    <row r="74" spans="1:61" s="163" customFormat="1" ht="9" customHeight="1">
      <c r="A74" s="910"/>
      <c r="B74" s="5583"/>
      <c r="C74" s="699"/>
      <c r="D74" s="699"/>
      <c r="E74" s="699"/>
      <c r="F74" s="699"/>
      <c r="G74" s="699"/>
      <c r="H74" s="699"/>
      <c r="I74" s="699"/>
      <c r="J74" s="1199"/>
      <c r="K74" s="1199"/>
      <c r="L74" s="1199"/>
      <c r="M74" s="850"/>
      <c r="N74" s="408"/>
      <c r="O74" s="750"/>
      <c r="P74" s="750"/>
      <c r="Q74" s="3039"/>
      <c r="R74" s="5614"/>
      <c r="S74" s="66"/>
      <c r="T74" s="66"/>
      <c r="U74" s="676"/>
      <c r="V74" s="676"/>
      <c r="W74" s="676"/>
      <c r="X74" s="676"/>
      <c r="Y74" s="962"/>
      <c r="Z74" s="162"/>
      <c r="AA74" s="162"/>
      <c r="AB74" s="162"/>
      <c r="AC74" s="162"/>
      <c r="AD74" s="3"/>
      <c r="AE74" s="962"/>
      <c r="AF74" s="162"/>
      <c r="AG74" s="162"/>
      <c r="AH74" s="162"/>
      <c r="AI74" s="162"/>
      <c r="AJ74" s="962"/>
      <c r="AK74" s="162"/>
      <c r="AL74" s="162"/>
      <c r="AM74" s="162"/>
      <c r="AN74" s="162"/>
      <c r="AO74" s="962"/>
      <c r="AP74" s="162"/>
      <c r="AQ74" s="162"/>
      <c r="AR74" s="162"/>
      <c r="AS74" s="162"/>
      <c r="AT74" s="962"/>
      <c r="AU74" s="162"/>
      <c r="AV74" s="162"/>
      <c r="AW74" s="162"/>
      <c r="AX74" s="162"/>
      <c r="AY74" s="962"/>
      <c r="AZ74" s="2044"/>
      <c r="BA74" s="2044"/>
      <c r="BB74" s="2044"/>
      <c r="BC74" s="2044"/>
      <c r="BD74" s="2044"/>
      <c r="BE74" s="2044"/>
      <c r="BF74" s="2044"/>
      <c r="BG74" s="2044"/>
      <c r="BH74" s="2044"/>
      <c r="BI74" s="2044"/>
    </row>
    <row r="75" spans="1:61" s="163" customFormat="1" ht="15">
      <c r="A75" s="910"/>
      <c r="B75" s="168">
        <v>19</v>
      </c>
      <c r="C75" s="222" t="s">
        <v>2522</v>
      </c>
      <c r="D75" s="699"/>
      <c r="E75" s="21"/>
      <c r="F75" s="21"/>
      <c r="G75" s="21"/>
      <c r="H75" s="21"/>
      <c r="I75" s="21"/>
      <c r="J75" s="1199"/>
      <c r="K75" s="1199"/>
      <c r="L75" s="5606"/>
      <c r="M75" s="850"/>
      <c r="N75" s="408"/>
      <c r="O75" s="750"/>
      <c r="P75" s="750"/>
      <c r="Q75" s="3914"/>
      <c r="R75" s="5612"/>
      <c r="S75" s="66"/>
      <c r="T75" s="66"/>
      <c r="U75" s="118"/>
      <c r="V75" s="118"/>
      <c r="W75" s="118"/>
      <c r="X75" s="118"/>
      <c r="Y75" s="962"/>
      <c r="Z75" s="345"/>
      <c r="AA75" s="345"/>
      <c r="AB75" s="345"/>
      <c r="AC75" s="345"/>
      <c r="AD75" s="3"/>
      <c r="AE75" s="962"/>
      <c r="AF75" s="345"/>
      <c r="AG75" s="345"/>
      <c r="AH75" s="345"/>
      <c r="AI75" s="345"/>
      <c r="AJ75" s="962"/>
      <c r="AK75" s="345"/>
      <c r="AL75" s="345"/>
      <c r="AM75" s="345"/>
      <c r="AN75" s="345"/>
      <c r="AO75" s="962"/>
      <c r="AP75" s="345"/>
      <c r="AQ75" s="345"/>
      <c r="AR75" s="345"/>
      <c r="AS75" s="345"/>
      <c r="AT75" s="962"/>
      <c r="AU75" s="345"/>
      <c r="AV75" s="345"/>
      <c r="AW75" s="345"/>
      <c r="AX75" s="345"/>
      <c r="AY75" s="962"/>
      <c r="AZ75" s="2044"/>
      <c r="BA75" s="2044"/>
      <c r="BB75" s="2044"/>
      <c r="BC75" s="2044"/>
      <c r="BD75" s="2044"/>
      <c r="BE75" s="2044"/>
      <c r="BF75" s="2044"/>
      <c r="BG75" s="2044"/>
      <c r="BH75" s="2044"/>
      <c r="BI75" s="2044"/>
    </row>
    <row r="76" spans="1:61" s="163" customFormat="1" ht="13.5" customHeight="1">
      <c r="A76" s="910"/>
      <c r="B76" s="168"/>
      <c r="C76" s="222" t="s">
        <v>2523</v>
      </c>
      <c r="D76" s="699"/>
      <c r="E76" s="21"/>
      <c r="F76" s="21"/>
      <c r="G76" s="21"/>
      <c r="H76" s="21"/>
      <c r="I76" s="21"/>
      <c r="J76" s="1199"/>
      <c r="K76" s="1199"/>
      <c r="L76" s="124" t="s">
        <v>654</v>
      </c>
      <c r="M76" s="171">
        <f>B75</f>
        <v>19</v>
      </c>
      <c r="N76" s="7154"/>
      <c r="O76" s="7240"/>
      <c r="P76" s="7240"/>
      <c r="Q76" s="3914"/>
      <c r="R76" s="5612"/>
      <c r="S76" s="66"/>
      <c r="T76" s="66"/>
      <c r="U76" s="118"/>
      <c r="V76" s="118"/>
      <c r="W76" s="118"/>
      <c r="X76" s="118"/>
      <c r="Y76" s="962"/>
      <c r="Z76" s="345"/>
      <c r="AA76" s="345"/>
      <c r="AB76" s="345"/>
      <c r="AC76" s="345"/>
      <c r="AD76" s="3"/>
      <c r="AE76" s="962"/>
      <c r="AF76" s="345"/>
      <c r="AG76" s="345"/>
      <c r="AH76" s="345"/>
      <c r="AI76" s="345"/>
      <c r="AJ76" s="962"/>
      <c r="AK76" s="345"/>
      <c r="AL76" s="345"/>
      <c r="AM76" s="345"/>
      <c r="AN76" s="345"/>
      <c r="AO76" s="962"/>
      <c r="AP76" s="345"/>
      <c r="AQ76" s="345"/>
      <c r="AR76" s="345"/>
      <c r="AS76" s="345"/>
      <c r="AT76" s="962"/>
      <c r="AU76" s="345"/>
      <c r="AV76" s="345"/>
      <c r="AW76" s="345"/>
      <c r="AX76" s="345"/>
      <c r="AY76" s="962"/>
      <c r="AZ76" s="2044"/>
      <c r="BA76" s="2044"/>
      <c r="BB76" s="2044"/>
      <c r="BC76" s="2044"/>
      <c r="BD76" s="2044"/>
      <c r="BE76" s="2044"/>
      <c r="BF76" s="2044"/>
      <c r="BG76" s="2044"/>
      <c r="BH76" s="2044"/>
      <c r="BI76" s="2044"/>
    </row>
    <row r="77" spans="1:61" s="163" customFormat="1" ht="11.25" customHeight="1">
      <c r="A77" s="910"/>
      <c r="B77" s="5583"/>
      <c r="C77" s="699"/>
      <c r="D77" s="699"/>
      <c r="E77" s="699"/>
      <c r="F77" s="699"/>
      <c r="G77" s="699"/>
      <c r="H77" s="699"/>
      <c r="I77" s="699"/>
      <c r="J77" s="1199"/>
      <c r="K77" s="1199"/>
      <c r="L77" s="1199"/>
      <c r="M77" s="850"/>
      <c r="N77" s="3754"/>
      <c r="O77" s="3755"/>
      <c r="P77" s="2794"/>
      <c r="Q77" s="3039"/>
      <c r="R77" s="5614"/>
      <c r="S77" s="66"/>
      <c r="T77" s="66"/>
      <c r="U77" s="676"/>
      <c r="V77" s="676"/>
      <c r="W77" s="676"/>
      <c r="X77" s="676"/>
      <c r="Y77" s="962"/>
      <c r="Z77" s="162"/>
      <c r="AA77" s="162"/>
      <c r="AB77" s="162"/>
      <c r="AC77" s="162"/>
      <c r="AD77" s="3"/>
      <c r="AE77" s="962"/>
      <c r="AF77" s="162"/>
      <c r="AG77" s="162"/>
      <c r="AH77" s="162"/>
      <c r="AI77" s="162"/>
      <c r="AJ77" s="962"/>
      <c r="AK77" s="162"/>
      <c r="AL77" s="162"/>
      <c r="AM77" s="162"/>
      <c r="AN77" s="162"/>
      <c r="AO77" s="962"/>
      <c r="AP77" s="162"/>
      <c r="AQ77" s="162"/>
      <c r="AR77" s="162"/>
      <c r="AS77" s="162"/>
      <c r="AT77" s="962"/>
      <c r="AU77" s="162"/>
      <c r="AV77" s="162"/>
      <c r="AW77" s="162"/>
      <c r="AX77" s="162"/>
      <c r="AY77" s="962"/>
      <c r="AZ77" s="2044"/>
      <c r="BA77" s="2044"/>
      <c r="BB77" s="2044"/>
      <c r="BC77" s="2044"/>
      <c r="BD77" s="2044"/>
      <c r="BE77" s="2044"/>
      <c r="BF77" s="2044"/>
      <c r="BG77" s="2044"/>
      <c r="BH77" s="2044"/>
      <c r="BI77" s="2044"/>
    </row>
    <row r="78" spans="1:61" s="403" customFormat="1" ht="21" customHeight="1" thickBot="1">
      <c r="A78" s="910"/>
      <c r="B78" s="5360">
        <v>20</v>
      </c>
      <c r="C78" s="404" t="s">
        <v>2524</v>
      </c>
      <c r="D78" s="1444"/>
      <c r="E78" s="1444"/>
      <c r="F78" s="1444"/>
      <c r="G78" s="1444"/>
      <c r="H78" s="1444"/>
      <c r="I78" s="1444"/>
      <c r="J78" s="4510"/>
      <c r="K78" s="4510"/>
      <c r="L78" s="4510"/>
      <c r="M78" s="850"/>
      <c r="N78" s="3730"/>
      <c r="O78" s="4117"/>
      <c r="P78" s="2794"/>
      <c r="Q78" s="5615"/>
      <c r="R78" s="5616"/>
      <c r="S78" s="66"/>
      <c r="T78" s="66"/>
      <c r="U78" s="5599"/>
      <c r="V78" s="5599"/>
      <c r="W78" s="5599"/>
      <c r="X78" s="5599"/>
      <c r="Y78" s="3022"/>
      <c r="Z78" s="875"/>
      <c r="AA78" s="875"/>
      <c r="AB78" s="875"/>
      <c r="AC78" s="875"/>
      <c r="AD78" s="880"/>
      <c r="AE78" s="3022"/>
      <c r="AF78" s="875"/>
      <c r="AG78" s="875"/>
      <c r="AH78" s="875"/>
      <c r="AI78" s="875"/>
      <c r="AJ78" s="3022"/>
      <c r="AK78" s="875"/>
      <c r="AL78" s="875"/>
      <c r="AM78" s="875"/>
      <c r="AN78" s="875"/>
      <c r="AO78" s="3022"/>
      <c r="AP78" s="875"/>
      <c r="AQ78" s="875"/>
      <c r="AR78" s="875"/>
      <c r="AS78" s="875"/>
      <c r="AT78" s="3022"/>
      <c r="AU78" s="875"/>
      <c r="AV78" s="875"/>
      <c r="AW78" s="875"/>
      <c r="AX78" s="875"/>
      <c r="AY78" s="3022"/>
      <c r="AZ78" s="5609"/>
      <c r="BA78" s="5609"/>
      <c r="BB78" s="5609"/>
      <c r="BC78" s="5609"/>
      <c r="BD78" s="5609"/>
      <c r="BE78" s="5609"/>
      <c r="BF78" s="5609"/>
      <c r="BG78" s="5609"/>
      <c r="BH78" s="5609"/>
      <c r="BI78" s="5609"/>
    </row>
    <row r="79" spans="1:61" s="163" customFormat="1" ht="12" customHeight="1" thickBot="1">
      <c r="A79" s="2582" t="b">
        <f>AND(SchDLine16&lt;&gt;"",A68,OR(SchDLine18="",SchDLine18=0),OR(SchDLine19="",SchDLine19=0),NOT(Form4952_Filed))</f>
        <v>0</v>
      </c>
      <c r="B79" s="168"/>
      <c r="C79" s="5610" t="str">
        <f>IF(A79,"X","")</f>
        <v/>
      </c>
      <c r="D79" s="5611"/>
      <c r="E79" s="397" t="s">
        <v>5595</v>
      </c>
      <c r="F79" s="21"/>
      <c r="G79" s="21"/>
      <c r="H79" s="21"/>
      <c r="I79" s="21"/>
      <c r="J79" s="1199"/>
      <c r="K79" s="1199"/>
      <c r="L79" s="5606"/>
      <c r="M79" s="850"/>
      <c r="N79" s="3730"/>
      <c r="O79" s="4117" t="b">
        <f>OR(R79&lt;&gt;"",F4952_Line_4g,AND(Form4952_Line4e&lt;&gt;"",Form4952_Line4e&gt;0))</f>
        <v>0</v>
      </c>
      <c r="P79" s="2794"/>
      <c r="Q79" s="3914"/>
      <c r="R79" s="3941"/>
      <c r="S79" s="4106" t="s">
        <v>2525</v>
      </c>
      <c r="T79" s="66"/>
      <c r="U79" s="118"/>
      <c r="V79" s="118"/>
      <c r="W79" s="118"/>
      <c r="X79" s="118"/>
      <c r="Y79" s="962"/>
      <c r="Z79" s="345"/>
      <c r="AA79" s="345"/>
      <c r="AB79" s="345"/>
      <c r="AC79" s="345"/>
      <c r="AD79" s="3"/>
      <c r="AE79" s="962"/>
      <c r="AF79" s="345"/>
      <c r="AG79" s="345"/>
      <c r="AH79" s="345"/>
      <c r="AI79" s="345"/>
      <c r="AJ79" s="962"/>
      <c r="AK79" s="345"/>
      <c r="AL79" s="345"/>
      <c r="AM79" s="345"/>
      <c r="AN79" s="345"/>
      <c r="AO79" s="962"/>
      <c r="AP79" s="345"/>
      <c r="AQ79" s="345"/>
      <c r="AR79" s="345"/>
      <c r="AS79" s="345"/>
      <c r="AT79" s="962"/>
      <c r="AU79" s="345"/>
      <c r="AV79" s="345"/>
      <c r="AW79" s="345"/>
      <c r="AX79" s="345"/>
      <c r="AY79" s="962"/>
      <c r="AZ79" s="2044"/>
      <c r="BA79" s="2044"/>
      <c r="BB79" s="2044"/>
      <c r="BC79" s="2044"/>
      <c r="BD79" s="2044"/>
      <c r="BE79" s="2044"/>
      <c r="BF79" s="2044"/>
      <c r="BG79" s="2044"/>
      <c r="BH79" s="2044"/>
      <c r="BI79" s="2044"/>
    </row>
    <row r="80" spans="1:61" s="163" customFormat="1" ht="15" customHeight="1">
      <c r="A80" s="910"/>
      <c r="B80" s="5583"/>
      <c r="C80" s="699"/>
      <c r="D80" s="699"/>
      <c r="E80" s="404" t="s">
        <v>5594</v>
      </c>
      <c r="F80" s="699"/>
      <c r="G80" s="699"/>
      <c r="H80" s="699"/>
      <c r="I80" s="699"/>
      <c r="J80" s="1199"/>
      <c r="K80" s="1199"/>
      <c r="L80" s="1199"/>
      <c r="M80" s="850"/>
      <c r="N80" s="3730"/>
      <c r="O80" s="2794"/>
      <c r="P80" s="2794"/>
      <c r="Q80" s="3039"/>
      <c r="R80" s="5614"/>
      <c r="S80" s="4107" t="s">
        <v>2526</v>
      </c>
      <c r="T80" s="66"/>
      <c r="U80" s="676"/>
      <c r="V80" s="676"/>
      <c r="W80" s="676"/>
      <c r="X80" s="676"/>
      <c r="Y80" s="962"/>
      <c r="Z80" s="162"/>
      <c r="AA80" s="162"/>
      <c r="AB80" s="162"/>
      <c r="AC80" s="162"/>
      <c r="AD80" s="3"/>
      <c r="AE80" s="962"/>
      <c r="AF80" s="162"/>
      <c r="AG80" s="162"/>
      <c r="AH80" s="162"/>
      <c r="AI80" s="162"/>
      <c r="AJ80" s="962"/>
      <c r="AK80" s="162"/>
      <c r="AL80" s="162"/>
      <c r="AM80" s="162"/>
      <c r="AN80" s="162"/>
      <c r="AO80" s="962"/>
      <c r="AP80" s="162"/>
      <c r="AQ80" s="162"/>
      <c r="AR80" s="162"/>
      <c r="AS80" s="162"/>
      <c r="AT80" s="962"/>
      <c r="AU80" s="162"/>
      <c r="AV80" s="162"/>
      <c r="AW80" s="162"/>
      <c r="AX80" s="162"/>
      <c r="AY80" s="962"/>
      <c r="AZ80" s="2044"/>
      <c r="BA80" s="2044"/>
      <c r="BB80" s="2044"/>
      <c r="BC80" s="2044"/>
      <c r="BD80" s="2044"/>
      <c r="BE80" s="2044"/>
      <c r="BF80" s="2044"/>
      <c r="BG80" s="2044"/>
      <c r="BH80" s="2044"/>
      <c r="BI80" s="2044"/>
    </row>
    <row r="81" spans="1:61" s="163" customFormat="1" ht="8.25" customHeight="1">
      <c r="A81" s="910"/>
      <c r="B81" s="5583"/>
      <c r="C81" s="699"/>
      <c r="D81" s="699"/>
      <c r="E81" s="222"/>
      <c r="F81" s="699"/>
      <c r="G81" s="699"/>
      <c r="H81" s="699"/>
      <c r="I81" s="699"/>
      <c r="J81" s="1199"/>
      <c r="K81" s="1199"/>
      <c r="L81" s="1199"/>
      <c r="M81" s="850"/>
      <c r="N81" s="3730"/>
      <c r="O81" s="2794"/>
      <c r="P81" s="2794"/>
      <c r="Q81" s="3039"/>
      <c r="R81" s="5614"/>
      <c r="S81" s="66"/>
      <c r="T81" s="66"/>
      <c r="U81" s="676"/>
      <c r="V81" s="676"/>
      <c r="W81" s="676"/>
      <c r="X81" s="676"/>
      <c r="Y81" s="962"/>
      <c r="Z81" s="162"/>
      <c r="AA81" s="162"/>
      <c r="AB81" s="162"/>
      <c r="AC81" s="162"/>
      <c r="AD81" s="3"/>
      <c r="AE81" s="962"/>
      <c r="AF81" s="162"/>
      <c r="AG81" s="162"/>
      <c r="AH81" s="162"/>
      <c r="AI81" s="162"/>
      <c r="AJ81" s="962"/>
      <c r="AK81" s="162"/>
      <c r="AL81" s="162"/>
      <c r="AM81" s="162"/>
      <c r="AN81" s="162"/>
      <c r="AO81" s="962"/>
      <c r="AP81" s="162"/>
      <c r="AQ81" s="162"/>
      <c r="AR81" s="162"/>
      <c r="AS81" s="162"/>
      <c r="AT81" s="962"/>
      <c r="AU81" s="162"/>
      <c r="AV81" s="162"/>
      <c r="AW81" s="162"/>
      <c r="AX81" s="162"/>
      <c r="AY81" s="962"/>
      <c r="AZ81" s="2044"/>
      <c r="BA81" s="2044"/>
      <c r="BB81" s="2044"/>
      <c r="BC81" s="2044"/>
      <c r="BD81" s="2044"/>
      <c r="BE81" s="2044"/>
      <c r="BF81" s="2044"/>
      <c r="BG81" s="2044"/>
      <c r="BH81" s="2044"/>
      <c r="BI81" s="2044"/>
    </row>
    <row r="82" spans="1:61" s="163" customFormat="1" ht="15">
      <c r="A82" s="2582" t="b">
        <f>AND(SchDLine16&lt;&gt;"",A68,NOT(A79))</f>
        <v>0</v>
      </c>
      <c r="B82" s="168"/>
      <c r="C82" s="5610" t="str">
        <f>IF(A82,"X","")</f>
        <v/>
      </c>
      <c r="D82" s="5611"/>
      <c r="E82" s="229" t="s">
        <v>5588</v>
      </c>
      <c r="F82" s="21"/>
      <c r="G82" s="21"/>
      <c r="H82" s="21"/>
      <c r="I82" s="21"/>
      <c r="J82" s="1199"/>
      <c r="K82" s="1199"/>
      <c r="L82" s="5606"/>
      <c r="M82" s="850"/>
      <c r="N82" s="3730"/>
      <c r="O82" s="2794"/>
      <c r="P82" s="2794"/>
      <c r="Q82" s="3914"/>
      <c r="R82" s="5612"/>
      <c r="S82" s="66"/>
      <c r="T82" s="66"/>
      <c r="U82" s="118"/>
      <c r="V82" s="118"/>
      <c r="W82" s="118"/>
      <c r="X82" s="118"/>
      <c r="Y82" s="962"/>
      <c r="Z82" s="345"/>
      <c r="AA82" s="345"/>
      <c r="AB82" s="345"/>
      <c r="AC82" s="345"/>
      <c r="AD82" s="3"/>
      <c r="AE82" s="962"/>
      <c r="AF82" s="345"/>
      <c r="AG82" s="345"/>
      <c r="AH82" s="345"/>
      <c r="AI82" s="345"/>
      <c r="AJ82" s="962"/>
      <c r="AK82" s="345"/>
      <c r="AL82" s="345"/>
      <c r="AM82" s="345"/>
      <c r="AN82" s="345"/>
      <c r="AO82" s="962"/>
      <c r="AP82" s="345"/>
      <c r="AQ82" s="345"/>
      <c r="AR82" s="345"/>
      <c r="AS82" s="345"/>
      <c r="AT82" s="962"/>
      <c r="AU82" s="345"/>
      <c r="AV82" s="345"/>
      <c r="AW82" s="345"/>
      <c r="AX82" s="345"/>
      <c r="AY82" s="962"/>
      <c r="AZ82" s="2044"/>
      <c r="BA82" s="2044"/>
      <c r="BB82" s="2044"/>
      <c r="BC82" s="2044"/>
      <c r="BD82" s="2044"/>
      <c r="BE82" s="2044"/>
      <c r="BF82" s="2044"/>
      <c r="BG82" s="2044"/>
      <c r="BH82" s="2044"/>
      <c r="BI82" s="2044"/>
    </row>
    <row r="83" spans="1:61" s="163" customFormat="1" ht="15" customHeight="1">
      <c r="A83" s="910"/>
      <c r="B83" s="5583"/>
      <c r="C83" s="699"/>
      <c r="D83" s="699"/>
      <c r="E83" s="222" t="s">
        <v>2527</v>
      </c>
      <c r="F83" s="699"/>
      <c r="G83" s="699"/>
      <c r="H83" s="699"/>
      <c r="I83" s="699"/>
      <c r="J83" s="1199"/>
      <c r="K83" s="1199"/>
      <c r="L83" s="1199"/>
      <c r="M83" s="850"/>
      <c r="N83" s="3730"/>
      <c r="O83" s="2794"/>
      <c r="P83" s="2794"/>
      <c r="Q83" s="3039"/>
      <c r="R83" s="5614"/>
      <c r="S83" s="66"/>
      <c r="T83" s="66"/>
      <c r="U83" s="676"/>
      <c r="V83" s="676"/>
      <c r="W83" s="676"/>
      <c r="X83" s="676"/>
      <c r="Y83" s="962"/>
      <c r="Z83" s="162"/>
      <c r="AA83" s="162"/>
      <c r="AB83" s="162"/>
      <c r="AC83" s="162"/>
      <c r="AD83" s="3"/>
      <c r="AE83" s="962"/>
      <c r="AF83" s="162"/>
      <c r="AG83" s="162"/>
      <c r="AH83" s="162"/>
      <c r="AI83" s="162"/>
      <c r="AJ83" s="962"/>
      <c r="AK83" s="162"/>
      <c r="AL83" s="162"/>
      <c r="AM83" s="162"/>
      <c r="AN83" s="162"/>
      <c r="AO83" s="962"/>
      <c r="AP83" s="162"/>
      <c r="AQ83" s="162"/>
      <c r="AR83" s="162"/>
      <c r="AS83" s="162"/>
      <c r="AT83" s="962"/>
      <c r="AU83" s="162"/>
      <c r="AV83" s="162"/>
      <c r="AW83" s="162"/>
      <c r="AX83" s="162"/>
      <c r="AY83" s="962"/>
      <c r="AZ83" s="2044"/>
      <c r="BA83" s="2044"/>
      <c r="BB83" s="2044"/>
      <c r="BC83" s="2044"/>
      <c r="BD83" s="2044"/>
      <c r="BE83" s="2044"/>
      <c r="BF83" s="2044"/>
      <c r="BG83" s="2044"/>
      <c r="BH83" s="2044"/>
      <c r="BI83" s="2044"/>
    </row>
    <row r="84" spans="1:61" s="163" customFormat="1" ht="15.75" customHeight="1">
      <c r="A84" s="910"/>
      <c r="B84" s="5583"/>
      <c r="C84" s="699"/>
      <c r="D84" s="699"/>
      <c r="E84" s="699"/>
      <c r="F84" s="699"/>
      <c r="G84" s="699"/>
      <c r="H84" s="699"/>
      <c r="I84" s="699"/>
      <c r="J84" s="1199"/>
      <c r="K84" s="1199"/>
      <c r="L84" s="1199"/>
      <c r="M84" s="850"/>
      <c r="N84" s="3730"/>
      <c r="O84" s="2794"/>
      <c r="P84" s="2794"/>
      <c r="Q84" s="3039"/>
      <c r="R84" s="5614"/>
      <c r="S84" s="457"/>
      <c r="T84" s="66"/>
      <c r="U84" s="7239" t="str">
        <f>IF(AND(S87&lt;&gt;"",S87&gt;0),"This positive amount is being used as a negative amount.","")</f>
        <v/>
      </c>
      <c r="V84" s="676"/>
      <c r="W84" s="676"/>
      <c r="X84" s="676"/>
      <c r="Y84" s="962"/>
      <c r="Z84" s="162"/>
      <c r="AA84" s="162"/>
      <c r="AB84" s="162"/>
      <c r="AC84" s="162"/>
      <c r="AD84" s="3"/>
      <c r="AE84" s="962"/>
      <c r="AF84" s="162"/>
      <c r="AG84" s="162"/>
      <c r="AH84" s="162"/>
      <c r="AI84" s="162"/>
      <c r="AJ84" s="962"/>
      <c r="AK84" s="162"/>
      <c r="AL84" s="162"/>
      <c r="AM84" s="162"/>
      <c r="AN84" s="162"/>
      <c r="AO84" s="962"/>
      <c r="AP84" s="162"/>
      <c r="AQ84" s="162"/>
      <c r="AR84" s="162"/>
      <c r="AS84" s="162"/>
      <c r="AT84" s="962"/>
      <c r="AU84" s="162"/>
      <c r="AV84" s="162"/>
      <c r="AW84" s="162"/>
      <c r="AX84" s="162"/>
      <c r="AY84" s="962"/>
      <c r="AZ84" s="2044"/>
      <c r="BA84" s="2044"/>
      <c r="BB84" s="2044"/>
      <c r="BC84" s="2044"/>
      <c r="BD84" s="2044"/>
      <c r="BE84" s="2044"/>
      <c r="BF84" s="2044"/>
      <c r="BG84" s="2044"/>
      <c r="BH84" s="2044"/>
      <c r="BI84" s="2044"/>
    </row>
    <row r="85" spans="1:61" s="163" customFormat="1" ht="14.25" customHeight="1">
      <c r="A85" s="910"/>
      <c r="B85" s="5360">
        <v>21</v>
      </c>
      <c r="C85" s="222" t="s">
        <v>5589</v>
      </c>
      <c r="D85" s="699"/>
      <c r="E85" s="699"/>
      <c r="F85" s="699"/>
      <c r="G85" s="699"/>
      <c r="H85" s="699"/>
      <c r="I85" s="699"/>
      <c r="J85" s="1199"/>
      <c r="K85" s="1199"/>
      <c r="L85" s="1199"/>
      <c r="M85" s="850"/>
      <c r="N85" s="3730"/>
      <c r="O85" s="2794"/>
      <c r="P85" s="2794"/>
      <c r="Q85" s="3039"/>
      <c r="R85" s="5614"/>
      <c r="S85" s="457" t="s">
        <v>1113</v>
      </c>
      <c r="T85" s="66"/>
      <c r="U85" s="7239"/>
      <c r="V85" s="676"/>
      <c r="W85" s="676"/>
      <c r="X85" s="676"/>
      <c r="Y85" s="962"/>
      <c r="Z85" s="162"/>
      <c r="AA85" s="162"/>
      <c r="AB85" s="162"/>
      <c r="AC85" s="162"/>
      <c r="AD85" s="3"/>
      <c r="AE85" s="962"/>
      <c r="AF85" s="162"/>
      <c r="AG85" s="162"/>
      <c r="AH85" s="162"/>
      <c r="AI85" s="162"/>
      <c r="AJ85" s="962"/>
      <c r="AK85" s="162"/>
      <c r="AL85" s="162"/>
      <c r="AM85" s="162"/>
      <c r="AN85" s="162"/>
      <c r="AO85" s="962"/>
      <c r="AP85" s="162"/>
      <c r="AQ85" s="162"/>
      <c r="AR85" s="162"/>
      <c r="AS85" s="162"/>
      <c r="AT85" s="962"/>
      <c r="AU85" s="162"/>
      <c r="AV85" s="162"/>
      <c r="AW85" s="162"/>
      <c r="AX85" s="162"/>
      <c r="AY85" s="962"/>
      <c r="AZ85" s="2044"/>
      <c r="BA85" s="2044"/>
      <c r="BB85" s="2044"/>
      <c r="BC85" s="2044"/>
      <c r="BD85" s="2044"/>
      <c r="BE85" s="2044"/>
      <c r="BF85" s="2044"/>
      <c r="BG85" s="2044"/>
      <c r="BH85" s="2044"/>
      <c r="BI85" s="2044"/>
    </row>
    <row r="86" spans="1:61" s="163" customFormat="1" ht="12.75" customHeight="1">
      <c r="A86" s="910"/>
      <c r="B86" s="5583"/>
      <c r="C86" s="266"/>
      <c r="D86" s="267"/>
      <c r="E86" s="699"/>
      <c r="F86" s="699"/>
      <c r="G86" s="699"/>
      <c r="H86" s="699"/>
      <c r="I86" s="699"/>
      <c r="J86" s="1199"/>
      <c r="K86" s="1199"/>
      <c r="L86" s="124"/>
      <c r="M86" s="850"/>
      <c r="N86" s="3730"/>
      <c r="O86" s="2794"/>
      <c r="P86" s="2794"/>
      <c r="Q86" s="3039"/>
      <c r="R86" s="5614"/>
      <c r="S86" s="457" t="s">
        <v>1062</v>
      </c>
      <c r="T86" s="66"/>
      <c r="U86" s="7239"/>
      <c r="V86" s="676"/>
      <c r="W86" s="676"/>
      <c r="X86" s="676"/>
      <c r="Y86" s="962"/>
      <c r="Z86" s="162"/>
      <c r="AA86" s="162"/>
      <c r="AB86" s="162"/>
      <c r="AC86" s="162"/>
      <c r="AD86" s="3"/>
      <c r="AE86" s="962"/>
      <c r="AF86" s="162"/>
      <c r="AG86" s="162"/>
      <c r="AH86" s="162"/>
      <c r="AI86" s="162"/>
      <c r="AJ86" s="962"/>
      <c r="AK86" s="162"/>
      <c r="AL86" s="162"/>
      <c r="AM86" s="162"/>
      <c r="AN86" s="162"/>
      <c r="AO86" s="962"/>
      <c r="AP86" s="162"/>
      <c r="AQ86" s="162"/>
      <c r="AR86" s="162"/>
      <c r="AS86" s="162"/>
      <c r="AT86" s="962"/>
      <c r="AU86" s="162"/>
      <c r="AV86" s="162"/>
      <c r="AW86" s="162"/>
      <c r="AX86" s="162"/>
      <c r="AY86" s="962"/>
      <c r="AZ86" s="2044"/>
      <c r="BA86" s="2044"/>
      <c r="BB86" s="2044"/>
      <c r="BC86" s="2044"/>
      <c r="BD86" s="2044"/>
      <c r="BE86" s="2044"/>
      <c r="BF86" s="2044"/>
      <c r="BG86" s="2044"/>
      <c r="BH86" s="2044"/>
      <c r="BI86" s="2044"/>
    </row>
    <row r="87" spans="1:61" s="163" customFormat="1" ht="12.75" customHeight="1">
      <c r="A87" s="910"/>
      <c r="B87" s="5583"/>
      <c r="C87" s="266" t="s">
        <v>2528</v>
      </c>
      <c r="D87" s="3007" t="s">
        <v>2529</v>
      </c>
      <c r="E87" s="699"/>
      <c r="F87" s="699"/>
      <c r="G87" s="699"/>
      <c r="H87" s="699"/>
      <c r="I87" s="699"/>
      <c r="J87" s="1199"/>
      <c r="K87" s="1199"/>
      <c r="L87" s="124" t="s">
        <v>650</v>
      </c>
      <c r="M87" s="171">
        <f>B85</f>
        <v>21</v>
      </c>
      <c r="N87" s="2798" t="s">
        <v>905</v>
      </c>
      <c r="O87" s="3122" t="str">
        <f>IF(AND(S87&lt;&gt;"",S87&gt;=0),ROUND(S87,0),IF(A64,"",IF(S87&lt;&gt;"",-ROUND(S87,0),IF(O88="","",-O88))))</f>
        <v/>
      </c>
      <c r="P87" s="3937" t="s">
        <v>906</v>
      </c>
      <c r="Q87" s="3039"/>
      <c r="R87" s="5614"/>
      <c r="S87" s="5617"/>
      <c r="T87" s="66"/>
      <c r="U87" s="7239"/>
      <c r="V87" s="676"/>
      <c r="W87" s="676"/>
      <c r="X87" s="676"/>
      <c r="Y87" s="962"/>
      <c r="Z87" s="162"/>
      <c r="AA87" s="162"/>
      <c r="AB87" s="162"/>
      <c r="AC87" s="162"/>
      <c r="AD87" s="3"/>
      <c r="AE87" s="962"/>
      <c r="AF87" s="162"/>
      <c r="AG87" s="162"/>
      <c r="AH87" s="162"/>
      <c r="AI87" s="162"/>
      <c r="AJ87" s="962"/>
      <c r="AK87" s="162"/>
      <c r="AL87" s="162"/>
      <c r="AM87" s="162"/>
      <c r="AN87" s="162"/>
      <c r="AO87" s="962"/>
      <c r="AP87" s="162"/>
      <c r="AQ87" s="162"/>
      <c r="AR87" s="162"/>
      <c r="AS87" s="162"/>
      <c r="AT87" s="962"/>
      <c r="AU87" s="162"/>
      <c r="AV87" s="162"/>
      <c r="AW87" s="162"/>
      <c r="AX87" s="162"/>
      <c r="AY87" s="962"/>
      <c r="AZ87" s="2044"/>
      <c r="BA87" s="2044"/>
      <c r="BB87" s="2044"/>
      <c r="BC87" s="2044"/>
      <c r="BD87" s="2044"/>
      <c r="BE87" s="2044"/>
      <c r="BF87" s="2044"/>
      <c r="BG87" s="2044"/>
      <c r="BH87" s="2044"/>
      <c r="BI87" s="2044"/>
    </row>
    <row r="88" spans="1:61" s="163" customFormat="1" ht="12.75" customHeight="1">
      <c r="A88" s="910"/>
      <c r="B88" s="5583"/>
      <c r="C88" s="266" t="s">
        <v>2530</v>
      </c>
      <c r="D88" s="5949" t="str">
        <f>TEXT(S89,"($0,000)")&amp;", or if married filing separately, "&amp;TEXT(S90,"($0,000)")</f>
        <v>($3,000), or if married filing separately, ($1,500)</v>
      </c>
      <c r="E88" s="699"/>
      <c r="F88" s="699"/>
      <c r="G88" s="699"/>
      <c r="H88" s="699"/>
      <c r="I88" s="699"/>
      <c r="J88" s="2683"/>
      <c r="K88" s="1199"/>
      <c r="L88" s="1199"/>
      <c r="M88" s="5618"/>
      <c r="N88" s="1199"/>
      <c r="O88" s="2801" t="str">
        <f>IF(N58&lt;0,-MIN(-N58,-S91),"")</f>
        <v/>
      </c>
      <c r="P88" s="1199"/>
      <c r="Q88" s="3039"/>
      <c r="R88" s="5614"/>
      <c r="S88" s="66"/>
      <c r="T88" s="66"/>
      <c r="U88" s="676"/>
      <c r="V88" s="676"/>
      <c r="W88" s="676"/>
      <c r="X88" s="676"/>
      <c r="Y88" s="962"/>
      <c r="Z88" s="162"/>
      <c r="AA88" s="162"/>
      <c r="AB88" s="162"/>
      <c r="AC88" s="162"/>
      <c r="AD88" s="3"/>
      <c r="AE88" s="962"/>
      <c r="AF88" s="162"/>
      <c r="AG88" s="162"/>
      <c r="AH88" s="162"/>
      <c r="AI88" s="162"/>
      <c r="AJ88" s="962"/>
      <c r="AK88" s="162"/>
      <c r="AL88" s="162"/>
      <c r="AM88" s="162"/>
      <c r="AN88" s="162"/>
      <c r="AO88" s="962"/>
      <c r="AP88" s="162"/>
      <c r="AQ88" s="162"/>
      <c r="AR88" s="162"/>
      <c r="AS88" s="162"/>
      <c r="AT88" s="962"/>
      <c r="AU88" s="162"/>
      <c r="AV88" s="162"/>
      <c r="AW88" s="162"/>
      <c r="AX88" s="162"/>
      <c r="AY88" s="962"/>
      <c r="AZ88" s="2044"/>
      <c r="BA88" s="2044"/>
      <c r="BB88" s="2044"/>
      <c r="BC88" s="2044"/>
      <c r="BD88" s="2044"/>
      <c r="BE88" s="2044"/>
      <c r="BF88" s="2044"/>
      <c r="BG88" s="2044"/>
      <c r="BH88" s="2044"/>
      <c r="BI88" s="2044"/>
    </row>
    <row r="89" spans="1:61" s="163" customFormat="1" ht="6.75" customHeight="1">
      <c r="A89" s="910"/>
      <c r="B89" s="5583"/>
      <c r="C89" s="266"/>
      <c r="D89" s="266"/>
      <c r="E89" s="699"/>
      <c r="F89" s="699"/>
      <c r="G89" s="699"/>
      <c r="H89" s="699"/>
      <c r="I89" s="699"/>
      <c r="J89" s="1199"/>
      <c r="K89" s="1199"/>
      <c r="L89" s="1199"/>
      <c r="M89" s="5619"/>
      <c r="N89" s="4510"/>
      <c r="O89" s="5620"/>
      <c r="P89" s="5620"/>
      <c r="Q89" s="3039"/>
      <c r="R89" s="5614"/>
      <c r="S89" s="447">
        <v>3000</v>
      </c>
      <c r="T89" s="66"/>
      <c r="U89" s="676"/>
      <c r="V89" s="676"/>
      <c r="W89" s="676"/>
      <c r="X89" s="676"/>
      <c r="Y89" s="962"/>
      <c r="Z89" s="162"/>
      <c r="AA89" s="162"/>
      <c r="AB89" s="162"/>
      <c r="AC89" s="162"/>
      <c r="AD89" s="3"/>
      <c r="AE89" s="962"/>
      <c r="AF89" s="162"/>
      <c r="AG89" s="162"/>
      <c r="AH89" s="162"/>
      <c r="AI89" s="162"/>
      <c r="AJ89" s="962"/>
      <c r="AK89" s="162"/>
      <c r="AL89" s="162"/>
      <c r="AM89" s="162"/>
      <c r="AN89" s="162"/>
      <c r="AO89" s="962"/>
      <c r="AP89" s="162"/>
      <c r="AQ89" s="162"/>
      <c r="AR89" s="162"/>
      <c r="AS89" s="162"/>
      <c r="AT89" s="962"/>
      <c r="AU89" s="162"/>
      <c r="AV89" s="162"/>
      <c r="AW89" s="162"/>
      <c r="AX89" s="162"/>
      <c r="AY89" s="962"/>
      <c r="AZ89" s="2044"/>
      <c r="BA89" s="2044"/>
      <c r="BB89" s="2044"/>
      <c r="BC89" s="2044"/>
      <c r="BD89" s="2044"/>
      <c r="BE89" s="2044"/>
      <c r="BF89" s="2044"/>
      <c r="BG89" s="2044"/>
      <c r="BH89" s="2044"/>
      <c r="BI89" s="2044"/>
    </row>
    <row r="90" spans="1:61" s="163" customFormat="1" ht="12.75" customHeight="1">
      <c r="A90" s="910"/>
      <c r="B90" s="5583"/>
      <c r="C90" s="3753" t="s">
        <v>5590</v>
      </c>
      <c r="D90" s="152"/>
      <c r="E90" s="699"/>
      <c r="F90" s="699"/>
      <c r="G90" s="699"/>
      <c r="H90" s="699"/>
      <c r="I90" s="699"/>
      <c r="J90" s="1199"/>
      <c r="K90" s="1199"/>
      <c r="L90" s="1199"/>
      <c r="M90" s="5621"/>
      <c r="N90" s="5606"/>
      <c r="O90" s="954"/>
      <c r="P90" s="954"/>
      <c r="Q90" s="3039"/>
      <c r="R90" s="5614"/>
      <c r="S90" s="447">
        <v>1500</v>
      </c>
      <c r="T90" s="66"/>
      <c r="U90" s="676"/>
      <c r="V90" s="676"/>
      <c r="W90" s="676"/>
      <c r="X90" s="676"/>
      <c r="Y90" s="962"/>
      <c r="Z90" s="162"/>
      <c r="AA90" s="162"/>
      <c r="AB90" s="162"/>
      <c r="AC90" s="162"/>
      <c r="AD90" s="3"/>
      <c r="AE90" s="962"/>
      <c r="AF90" s="162"/>
      <c r="AG90" s="162"/>
      <c r="AH90" s="162"/>
      <c r="AI90" s="162"/>
      <c r="AJ90" s="962"/>
      <c r="AK90" s="162"/>
      <c r="AL90" s="162"/>
      <c r="AM90" s="162"/>
      <c r="AN90" s="162"/>
      <c r="AO90" s="962"/>
      <c r="AP90" s="162"/>
      <c r="AQ90" s="162"/>
      <c r="AR90" s="162"/>
      <c r="AS90" s="162"/>
      <c r="AT90" s="962"/>
      <c r="AU90" s="162"/>
      <c r="AV90" s="162"/>
      <c r="AW90" s="162"/>
      <c r="AX90" s="162"/>
      <c r="AY90" s="962"/>
      <c r="AZ90" s="2044"/>
      <c r="BA90" s="2044"/>
      <c r="BB90" s="2044"/>
      <c r="BC90" s="2044"/>
      <c r="BD90" s="2044"/>
      <c r="BE90" s="2044"/>
      <c r="BF90" s="2044"/>
      <c r="BG90" s="2044"/>
      <c r="BH90" s="2044"/>
      <c r="BI90" s="2044"/>
    </row>
    <row r="91" spans="1:61" s="163" customFormat="1" ht="12.75" customHeight="1">
      <c r="A91" s="910"/>
      <c r="B91" s="5583"/>
      <c r="C91" s="266"/>
      <c r="D91" s="266"/>
      <c r="E91" s="699"/>
      <c r="F91" s="699"/>
      <c r="G91" s="699"/>
      <c r="H91" s="699"/>
      <c r="I91" s="699"/>
      <c r="J91" s="1199"/>
      <c r="K91" s="1199"/>
      <c r="L91" s="1199"/>
      <c r="M91" s="5621"/>
      <c r="N91" s="5606"/>
      <c r="O91" s="954"/>
      <c r="P91" s="954"/>
      <c r="Q91" s="3039"/>
      <c r="R91" s="5614"/>
      <c r="S91" s="910">
        <f>IF(File_Marr_Sep="",-S89,-S90)</f>
        <v>-3000</v>
      </c>
      <c r="T91" s="66"/>
      <c r="U91" s="676"/>
      <c r="V91" s="676"/>
      <c r="W91" s="676"/>
      <c r="X91" s="676"/>
      <c r="Y91" s="962"/>
      <c r="Z91" s="162"/>
      <c r="AA91" s="162"/>
      <c r="AB91" s="162"/>
      <c r="AC91" s="162"/>
      <c r="AD91" s="3"/>
      <c r="AE91" s="962"/>
      <c r="AF91" s="162"/>
      <c r="AG91" s="162"/>
      <c r="AH91" s="162"/>
      <c r="AI91" s="162"/>
      <c r="AJ91" s="962"/>
      <c r="AK91" s="162"/>
      <c r="AL91" s="162"/>
      <c r="AM91" s="162"/>
      <c r="AN91" s="162"/>
      <c r="AO91" s="962"/>
      <c r="AP91" s="162"/>
      <c r="AQ91" s="162"/>
      <c r="AR91" s="162"/>
      <c r="AS91" s="162"/>
      <c r="AT91" s="962"/>
      <c r="AU91" s="162"/>
      <c r="AV91" s="162"/>
      <c r="AW91" s="162"/>
      <c r="AX91" s="162"/>
      <c r="AY91" s="962"/>
      <c r="AZ91" s="2044"/>
      <c r="BA91" s="2044"/>
      <c r="BB91" s="2044"/>
      <c r="BC91" s="2044"/>
      <c r="BD91" s="2044"/>
      <c r="BE91" s="2044"/>
      <c r="BF91" s="2044"/>
      <c r="BG91" s="2044"/>
      <c r="BH91" s="2044"/>
      <c r="BI91" s="2044"/>
    </row>
    <row r="92" spans="1:61" s="403" customFormat="1" ht="19.5" customHeight="1">
      <c r="A92" s="910"/>
      <c r="B92" s="5360">
        <v>22</v>
      </c>
      <c r="C92" s="404" t="s">
        <v>2531</v>
      </c>
      <c r="D92" s="1444"/>
      <c r="E92" s="1444"/>
      <c r="F92" s="1444"/>
      <c r="G92" s="1444"/>
      <c r="H92" s="1444"/>
      <c r="I92" s="1444"/>
      <c r="J92" s="4510"/>
      <c r="K92" s="4510"/>
      <c r="L92" s="4510"/>
      <c r="M92" s="1192"/>
      <c r="N92" s="1199"/>
      <c r="O92" s="3410"/>
      <c r="P92" s="3410"/>
      <c r="Q92" s="5615"/>
      <c r="R92" s="5616"/>
      <c r="S92" s="447" t="str">
        <f>IF(N58&gt;=0,N58,O88)</f>
        <v/>
      </c>
      <c r="T92" s="66"/>
      <c r="U92" s="5599"/>
      <c r="V92" s="5599"/>
      <c r="W92" s="5599"/>
      <c r="X92" s="5599"/>
      <c r="Y92" s="3022"/>
      <c r="Z92" s="875"/>
      <c r="AA92" s="875"/>
      <c r="AB92" s="875"/>
      <c r="AC92" s="875"/>
      <c r="AD92" s="880"/>
      <c r="AE92" s="3022"/>
      <c r="AF92" s="875"/>
      <c r="AG92" s="875"/>
      <c r="AH92" s="875"/>
      <c r="AI92" s="875"/>
      <c r="AJ92" s="3022"/>
      <c r="AK92" s="875"/>
      <c r="AL92" s="875"/>
      <c r="AM92" s="875"/>
      <c r="AN92" s="875"/>
      <c r="AO92" s="3022"/>
      <c r="AP92" s="875"/>
      <c r="AQ92" s="875"/>
      <c r="AR92" s="875"/>
      <c r="AS92" s="875"/>
      <c r="AT92" s="3022"/>
      <c r="AU92" s="875"/>
      <c r="AV92" s="875"/>
      <c r="AW92" s="875"/>
      <c r="AX92" s="875"/>
      <c r="AY92" s="3022"/>
      <c r="AZ92" s="5609"/>
      <c r="BA92" s="5609"/>
      <c r="BB92" s="5609"/>
      <c r="BC92" s="5609"/>
      <c r="BD92" s="5609"/>
      <c r="BE92" s="5609"/>
      <c r="BF92" s="5609"/>
      <c r="BG92" s="5609"/>
      <c r="BH92" s="5609"/>
      <c r="BI92" s="5609"/>
    </row>
    <row r="93" spans="1:61" s="403" customFormat="1" ht="11.25" customHeight="1">
      <c r="A93" s="910"/>
      <c r="B93" s="5360"/>
      <c r="C93" s="1444"/>
      <c r="D93" s="1444"/>
      <c r="E93" s="1444"/>
      <c r="F93" s="1444"/>
      <c r="G93" s="1444"/>
      <c r="H93" s="1444"/>
      <c r="I93" s="1444"/>
      <c r="J93" s="4510"/>
      <c r="K93" s="4510"/>
      <c r="L93" s="4510"/>
      <c r="M93" s="1192"/>
      <c r="N93" s="1199"/>
      <c r="O93" s="3410"/>
      <c r="P93" s="3410"/>
      <c r="Q93" s="5615"/>
      <c r="R93" s="5616"/>
      <c r="S93" s="447"/>
      <c r="T93" s="66"/>
      <c r="U93" s="5599"/>
      <c r="V93" s="5599"/>
      <c r="W93" s="5599"/>
      <c r="X93" s="5599"/>
      <c r="Y93" s="3022"/>
      <c r="Z93" s="875"/>
      <c r="AA93" s="875"/>
      <c r="AB93" s="875"/>
      <c r="AC93" s="875"/>
      <c r="AD93" s="880"/>
      <c r="AE93" s="3022"/>
      <c r="AF93" s="875"/>
      <c r="AG93" s="875"/>
      <c r="AH93" s="875"/>
      <c r="AI93" s="875"/>
      <c r="AJ93" s="3022"/>
      <c r="AK93" s="875"/>
      <c r="AL93" s="875"/>
      <c r="AM93" s="875"/>
      <c r="AN93" s="875"/>
      <c r="AO93" s="3022"/>
      <c r="AP93" s="875"/>
      <c r="AQ93" s="875"/>
      <c r="AR93" s="875"/>
      <c r="AS93" s="875"/>
      <c r="AT93" s="3022"/>
      <c r="AU93" s="875"/>
      <c r="AV93" s="875"/>
      <c r="AW93" s="875"/>
      <c r="AX93" s="875"/>
      <c r="AY93" s="3022"/>
      <c r="AZ93" s="5609"/>
      <c r="BA93" s="5609"/>
      <c r="BB93" s="5609"/>
      <c r="BC93" s="5609"/>
      <c r="BD93" s="5609"/>
      <c r="BE93" s="5609"/>
      <c r="BF93" s="5609"/>
      <c r="BG93" s="5609"/>
      <c r="BH93" s="5609"/>
      <c r="BI93" s="5609"/>
    </row>
    <row r="94" spans="1:61" s="163" customFormat="1" ht="12" customHeight="1">
      <c r="A94" s="2582" t="b">
        <f>AND(SchDLine16&lt;&gt;"",OR(A62,A64,A70),AND(Qualified_Dividends&gt;0,Qualified_Dividends&lt;&gt;""))</f>
        <v>0</v>
      </c>
      <c r="B94" s="168"/>
      <c r="C94" s="5610" t="str">
        <f>IF(A94,"X","")</f>
        <v/>
      </c>
      <c r="D94" s="5611"/>
      <c r="E94" s="229" t="s">
        <v>5593</v>
      </c>
      <c r="F94" s="21"/>
      <c r="G94" s="21"/>
      <c r="H94" s="21"/>
      <c r="I94" s="21"/>
      <c r="J94" s="1199"/>
      <c r="K94" s="1199"/>
      <c r="L94" s="5606"/>
      <c r="M94" s="1192"/>
      <c r="N94" s="1199"/>
      <c r="O94" s="3410"/>
      <c r="P94" s="3410"/>
      <c r="Q94" s="3914"/>
      <c r="R94" s="5612"/>
      <c r="S94" s="66"/>
      <c r="T94" s="66"/>
      <c r="U94" s="118"/>
      <c r="V94" s="118"/>
      <c r="W94" s="118"/>
      <c r="X94" s="118"/>
      <c r="Y94" s="962"/>
      <c r="Z94" s="345"/>
      <c r="AA94" s="345"/>
      <c r="AB94" s="345"/>
      <c r="AC94" s="345"/>
      <c r="AD94" s="3"/>
      <c r="AE94" s="962"/>
      <c r="AF94" s="345"/>
      <c r="AG94" s="345"/>
      <c r="AH94" s="345"/>
      <c r="AI94" s="345"/>
      <c r="AJ94" s="962"/>
      <c r="AK94" s="345"/>
      <c r="AL94" s="345"/>
      <c r="AM94" s="345"/>
      <c r="AN94" s="345"/>
      <c r="AO94" s="962"/>
      <c r="AP94" s="345"/>
      <c r="AQ94" s="345"/>
      <c r="AR94" s="345"/>
      <c r="AS94" s="345"/>
      <c r="AT94" s="962"/>
      <c r="AU94" s="345"/>
      <c r="AV94" s="345"/>
      <c r="AW94" s="345"/>
      <c r="AX94" s="345"/>
      <c r="AY94" s="962"/>
      <c r="AZ94" s="2044"/>
      <c r="BA94" s="2044"/>
      <c r="BB94" s="2044"/>
      <c r="BC94" s="2044"/>
      <c r="BD94" s="2044"/>
      <c r="BE94" s="2044"/>
      <c r="BF94" s="2044"/>
      <c r="BG94" s="2044"/>
      <c r="BH94" s="2044"/>
      <c r="BI94" s="2044"/>
    </row>
    <row r="95" spans="1:61" s="163" customFormat="1" ht="15" customHeight="1">
      <c r="A95" s="910"/>
      <c r="B95" s="5583"/>
      <c r="C95" s="699"/>
      <c r="D95" s="699"/>
      <c r="E95" s="222" t="s">
        <v>5592</v>
      </c>
      <c r="F95" s="699"/>
      <c r="G95" s="699"/>
      <c r="H95" s="699"/>
      <c r="I95" s="699"/>
      <c r="J95" s="1199"/>
      <c r="K95" s="1199"/>
      <c r="L95" s="1199"/>
      <c r="M95" s="1192"/>
      <c r="N95" s="1199"/>
      <c r="O95" s="3410"/>
      <c r="P95" s="3410"/>
      <c r="Q95" s="3039"/>
      <c r="R95" s="5614"/>
      <c r="S95" s="66"/>
      <c r="T95" s="66"/>
      <c r="U95" s="676"/>
      <c r="V95" s="676"/>
      <c r="W95" s="676"/>
      <c r="X95" s="676"/>
      <c r="Y95" s="962"/>
      <c r="Z95" s="162"/>
      <c r="AA95" s="162"/>
      <c r="AB95" s="162"/>
      <c r="AC95" s="162"/>
      <c r="AD95" s="3"/>
      <c r="AE95" s="962"/>
      <c r="AF95" s="162"/>
      <c r="AG95" s="162"/>
      <c r="AH95" s="162"/>
      <c r="AI95" s="162"/>
      <c r="AJ95" s="962"/>
      <c r="AK95" s="162"/>
      <c r="AL95" s="162"/>
      <c r="AM95" s="162"/>
      <c r="AN95" s="162"/>
      <c r="AO95" s="962"/>
      <c r="AP95" s="162"/>
      <c r="AQ95" s="162"/>
      <c r="AR95" s="162"/>
      <c r="AS95" s="162"/>
      <c r="AT95" s="962"/>
      <c r="AU95" s="162"/>
      <c r="AV95" s="162"/>
      <c r="AW95" s="162"/>
      <c r="AX95" s="162"/>
      <c r="AY95" s="962"/>
      <c r="AZ95" s="2044"/>
      <c r="BA95" s="2044"/>
      <c r="BB95" s="2044"/>
      <c r="BC95" s="2044"/>
      <c r="BD95" s="2044"/>
      <c r="BE95" s="2044"/>
      <c r="BF95" s="2044"/>
      <c r="BG95" s="2044"/>
      <c r="BH95" s="2044"/>
      <c r="BI95" s="2044"/>
    </row>
    <row r="96" spans="1:61" s="163" customFormat="1" ht="19.5" customHeight="1">
      <c r="A96" s="910"/>
      <c r="B96" s="5583"/>
      <c r="C96" s="699"/>
      <c r="D96" s="699"/>
      <c r="E96" s="3008"/>
      <c r="F96" s="699"/>
      <c r="G96" s="699"/>
      <c r="H96" s="699"/>
      <c r="I96" s="699"/>
      <c r="J96" s="1199"/>
      <c r="K96" s="1199"/>
      <c r="L96" s="1199"/>
      <c r="M96" s="1192"/>
      <c r="N96" s="1199"/>
      <c r="O96" s="3410"/>
      <c r="P96" s="3410"/>
      <c r="Q96" s="3039"/>
      <c r="R96" s="5614"/>
      <c r="S96" s="66"/>
      <c r="T96" s="66"/>
      <c r="U96" s="676"/>
      <c r="V96" s="676"/>
      <c r="W96" s="676"/>
      <c r="X96" s="676"/>
      <c r="Y96" s="962"/>
      <c r="Z96" s="162"/>
      <c r="AA96" s="162"/>
      <c r="AB96" s="162"/>
      <c r="AC96" s="162"/>
      <c r="AD96" s="3"/>
      <c r="AE96" s="962"/>
      <c r="AF96" s="162"/>
      <c r="AG96" s="162"/>
      <c r="AH96" s="162"/>
      <c r="AI96" s="162"/>
      <c r="AJ96" s="962"/>
      <c r="AK96" s="162"/>
      <c r="AL96" s="162"/>
      <c r="AM96" s="162"/>
      <c r="AN96" s="162"/>
      <c r="AO96" s="962"/>
      <c r="AP96" s="162"/>
      <c r="AQ96" s="162"/>
      <c r="AR96" s="162"/>
      <c r="AS96" s="162"/>
      <c r="AT96" s="962"/>
      <c r="AU96" s="162"/>
      <c r="AV96" s="162"/>
      <c r="AW96" s="162"/>
      <c r="AX96" s="162"/>
      <c r="AY96" s="962"/>
      <c r="AZ96" s="2044"/>
      <c r="BA96" s="2044"/>
      <c r="BB96" s="2044"/>
      <c r="BC96" s="2044"/>
      <c r="BD96" s="2044"/>
      <c r="BE96" s="2044"/>
      <c r="BF96" s="2044"/>
      <c r="BG96" s="2044"/>
      <c r="BH96" s="2044"/>
      <c r="BI96" s="2044"/>
    </row>
    <row r="97" spans="1:61" s="163" customFormat="1" ht="12.75" customHeight="1">
      <c r="A97" s="2582" t="b">
        <f>AND(SchDLine16&lt;&gt;"",OR(A62,A64,A70),NOT(A94))</f>
        <v>0</v>
      </c>
      <c r="B97" s="5583"/>
      <c r="C97" s="5610" t="str">
        <f>IF(A97,"X","")</f>
        <v/>
      </c>
      <c r="D97" s="5611"/>
      <c r="E97" s="229" t="s">
        <v>5591</v>
      </c>
      <c r="F97" s="699"/>
      <c r="G97" s="699"/>
      <c r="H97" s="699"/>
      <c r="I97" s="699"/>
      <c r="J97" s="1199"/>
      <c r="K97" s="1199"/>
      <c r="L97" s="1199"/>
      <c r="M97" s="1192"/>
      <c r="N97" s="1199"/>
      <c r="O97" s="3410"/>
      <c r="P97" s="3410"/>
      <c r="Q97" s="3039"/>
      <c r="R97" s="5614"/>
      <c r="S97" s="66"/>
      <c r="T97" s="66"/>
      <c r="U97" s="676"/>
      <c r="V97" s="676"/>
      <c r="W97" s="676"/>
      <c r="X97" s="676"/>
      <c r="Y97" s="962"/>
      <c r="Z97" s="162"/>
      <c r="AA97" s="162"/>
      <c r="AB97" s="162"/>
      <c r="AC97" s="162"/>
      <c r="AD97" s="3"/>
      <c r="AE97" s="962"/>
      <c r="AF97" s="162"/>
      <c r="AG97" s="162"/>
      <c r="AH97" s="162"/>
      <c r="AI97" s="162"/>
      <c r="AJ97" s="962"/>
      <c r="AK97" s="162"/>
      <c r="AL97" s="162"/>
      <c r="AM97" s="162"/>
      <c r="AN97" s="162"/>
      <c r="AO97" s="962"/>
      <c r="AP97" s="162"/>
      <c r="AQ97" s="162"/>
      <c r="AR97" s="162"/>
      <c r="AS97" s="162"/>
      <c r="AT97" s="962"/>
      <c r="AU97" s="162"/>
      <c r="AV97" s="162"/>
      <c r="AW97" s="162"/>
      <c r="AX97" s="162"/>
      <c r="AY97" s="962"/>
      <c r="AZ97" s="2044"/>
      <c r="BA97" s="2044"/>
      <c r="BB97" s="2044"/>
      <c r="BC97" s="2044"/>
      <c r="BD97" s="2044"/>
      <c r="BE97" s="2044"/>
      <c r="BF97" s="2044"/>
      <c r="BG97" s="2044"/>
      <c r="BH97" s="2044"/>
      <c r="BI97" s="2044"/>
    </row>
    <row r="98" spans="1:61" s="163" customFormat="1" ht="15" customHeight="1" thickBot="1">
      <c r="A98" s="2912"/>
      <c r="B98" s="5622"/>
      <c r="C98" s="739"/>
      <c r="D98" s="739"/>
      <c r="E98" s="125"/>
      <c r="F98" s="739"/>
      <c r="G98" s="739"/>
      <c r="H98" s="739"/>
      <c r="I98" s="739"/>
      <c r="J98" s="5623"/>
      <c r="K98" s="5623"/>
      <c r="L98" s="5623"/>
      <c r="M98" s="5624"/>
      <c r="N98" s="5623"/>
      <c r="O98" s="5625"/>
      <c r="P98" s="5625"/>
      <c r="Q98" s="3039"/>
      <c r="R98" s="5614"/>
      <c r="S98" s="66"/>
      <c r="T98" s="66"/>
      <c r="U98" s="676"/>
      <c r="V98" s="676"/>
      <c r="W98" s="676"/>
      <c r="X98" s="676"/>
      <c r="Y98" s="962"/>
      <c r="Z98" s="162"/>
      <c r="AA98" s="162"/>
      <c r="AB98" s="162"/>
      <c r="AC98" s="162"/>
      <c r="AD98" s="3"/>
      <c r="AE98" s="962"/>
      <c r="AF98" s="162"/>
      <c r="AG98" s="162"/>
      <c r="AH98" s="162"/>
      <c r="AI98" s="162"/>
      <c r="AJ98" s="962"/>
      <c r="AK98" s="162"/>
      <c r="AL98" s="162"/>
      <c r="AM98" s="162"/>
      <c r="AN98" s="162"/>
      <c r="AO98" s="962"/>
      <c r="AP98" s="162"/>
      <c r="AQ98" s="162"/>
      <c r="AR98" s="162"/>
      <c r="AS98" s="162"/>
      <c r="AT98" s="962"/>
      <c r="AU98" s="162"/>
      <c r="AV98" s="162"/>
      <c r="AW98" s="162"/>
      <c r="AX98" s="162"/>
      <c r="AY98" s="962"/>
      <c r="AZ98" s="2044"/>
      <c r="BA98" s="2044"/>
      <c r="BB98" s="2044"/>
      <c r="BC98" s="2044"/>
      <c r="BD98" s="2044"/>
      <c r="BE98" s="2044"/>
      <c r="BF98" s="2044"/>
      <c r="BG98" s="2044"/>
      <c r="BH98" s="2044"/>
      <c r="BI98" s="2044"/>
    </row>
    <row r="99" spans="1:61" s="163" customFormat="1" ht="15" customHeight="1">
      <c r="A99" s="2912"/>
      <c r="B99" s="699"/>
      <c r="C99" s="699"/>
      <c r="D99" s="699"/>
      <c r="E99" s="21"/>
      <c r="F99" s="699"/>
      <c r="G99" s="699"/>
      <c r="H99" s="699"/>
      <c r="I99" s="699"/>
      <c r="J99" s="1199"/>
      <c r="K99" s="1199"/>
      <c r="L99" s="1199"/>
      <c r="M99" s="1199"/>
      <c r="N99" s="1199"/>
      <c r="O99" s="2811"/>
      <c r="P99" s="2811" t="str">
        <f>"Schedule D (Form 1040)   "&amp;TaxYear</f>
        <v>Schedule D (Form 1040)   2023</v>
      </c>
      <c r="Q99" s="3039"/>
      <c r="R99" s="5614"/>
      <c r="S99" s="66"/>
      <c r="T99" s="66"/>
      <c r="U99" s="676"/>
      <c r="V99" s="676"/>
      <c r="W99" s="676"/>
      <c r="X99" s="676"/>
      <c r="Y99" s="962"/>
      <c r="Z99" s="162"/>
      <c r="AA99" s="162"/>
      <c r="AB99" s="162"/>
      <c r="AC99" s="162"/>
      <c r="AD99" s="3"/>
      <c r="AE99" s="962"/>
      <c r="AF99" s="162"/>
      <c r="AG99" s="162"/>
      <c r="AH99" s="162"/>
      <c r="AI99" s="162"/>
      <c r="AJ99" s="962"/>
      <c r="AK99" s="162"/>
      <c r="AL99" s="162"/>
      <c r="AM99" s="162"/>
      <c r="AN99" s="162"/>
      <c r="AO99" s="962"/>
      <c r="AP99" s="162"/>
      <c r="AQ99" s="162"/>
      <c r="AR99" s="162"/>
      <c r="AS99" s="162"/>
      <c r="AT99" s="962"/>
      <c r="AU99" s="162"/>
      <c r="AV99" s="162"/>
      <c r="AW99" s="162"/>
      <c r="AX99" s="162"/>
      <c r="AY99" s="962"/>
      <c r="AZ99" s="2044"/>
      <c r="BA99" s="2044"/>
      <c r="BB99" s="2044"/>
      <c r="BC99" s="2044"/>
      <c r="BD99" s="2044"/>
      <c r="BE99" s="2044"/>
      <c r="BF99" s="2044"/>
      <c r="BG99" s="2044"/>
      <c r="BH99" s="2044"/>
      <c r="BI99" s="2044"/>
    </row>
    <row r="100" spans="1:61" s="163" customFormat="1" ht="9" customHeight="1">
      <c r="A100" s="2912"/>
      <c r="B100" s="66"/>
      <c r="C100" s="66"/>
      <c r="D100" s="66"/>
      <c r="E100" s="66"/>
      <c r="F100" s="66"/>
      <c r="G100" s="66"/>
      <c r="H100" s="66"/>
      <c r="I100" s="66"/>
      <c r="J100" s="66"/>
      <c r="K100" s="66"/>
      <c r="L100" s="66"/>
      <c r="M100" s="66"/>
      <c r="N100" s="66"/>
      <c r="O100" s="66"/>
      <c r="P100" s="66"/>
      <c r="Q100" s="66"/>
      <c r="R100" s="832"/>
      <c r="S100" s="66"/>
      <c r="T100" s="66"/>
      <c r="U100" s="676"/>
      <c r="V100" s="676"/>
      <c r="W100" s="676"/>
      <c r="X100" s="676"/>
      <c r="Y100" s="962"/>
      <c r="Z100" s="162"/>
      <c r="AA100" s="162"/>
      <c r="AB100" s="162"/>
      <c r="AC100" s="162"/>
      <c r="AD100" s="3"/>
      <c r="AE100" s="962"/>
      <c r="AF100" s="162"/>
      <c r="AG100" s="162"/>
      <c r="AH100" s="162"/>
      <c r="AI100" s="162"/>
      <c r="AJ100" s="962"/>
      <c r="AK100" s="162"/>
      <c r="AL100" s="162"/>
      <c r="AM100" s="162"/>
      <c r="AN100" s="162"/>
      <c r="AO100" s="962"/>
      <c r="AP100" s="162"/>
      <c r="AQ100" s="162"/>
      <c r="AR100" s="162"/>
      <c r="AS100" s="162"/>
      <c r="AT100" s="962"/>
      <c r="AU100" s="162"/>
      <c r="AV100" s="162"/>
      <c r="AW100" s="162"/>
      <c r="AX100" s="162"/>
      <c r="AY100" s="962"/>
      <c r="AZ100" s="2044"/>
      <c r="BA100" s="2044"/>
      <c r="BB100" s="2044"/>
      <c r="BC100" s="2044"/>
      <c r="BD100" s="2044"/>
      <c r="BE100" s="2044"/>
      <c r="BF100" s="2044"/>
      <c r="BG100" s="2044"/>
      <c r="BH100" s="2044"/>
      <c r="BI100" s="2044"/>
    </row>
    <row r="101" spans="1:61" s="163" customFormat="1" ht="12.75" customHeight="1">
      <c r="A101" s="2912"/>
      <c r="B101" s="66"/>
      <c r="C101" s="66"/>
      <c r="D101" s="66"/>
      <c r="E101" s="66"/>
      <c r="F101" s="66"/>
      <c r="G101" s="66"/>
      <c r="H101" s="66"/>
      <c r="I101" s="66"/>
      <c r="J101" s="66"/>
      <c r="K101" s="66"/>
      <c r="L101" s="66"/>
      <c r="M101" s="66"/>
      <c r="N101" s="66"/>
      <c r="O101" s="66"/>
      <c r="P101" s="66"/>
      <c r="Q101" s="66"/>
      <c r="R101" s="832"/>
      <c r="S101" s="66"/>
      <c r="T101" s="66"/>
      <c r="U101" s="676"/>
      <c r="V101" s="676"/>
      <c r="W101" s="676"/>
      <c r="X101" s="676"/>
      <c r="Y101" s="962"/>
      <c r="Z101" s="162"/>
      <c r="AA101" s="162"/>
      <c r="AB101" s="162"/>
      <c r="AC101" s="162"/>
      <c r="AD101" s="3"/>
      <c r="AE101" s="962"/>
      <c r="AF101" s="162"/>
      <c r="AG101" s="162"/>
      <c r="AH101" s="162"/>
      <c r="AI101" s="162"/>
      <c r="AJ101" s="962"/>
      <c r="AK101" s="162"/>
      <c r="AL101" s="162"/>
      <c r="AM101" s="162"/>
      <c r="AN101" s="162"/>
      <c r="AO101" s="962"/>
      <c r="AP101" s="162"/>
      <c r="AQ101" s="162"/>
      <c r="AR101" s="162"/>
      <c r="AS101" s="162"/>
      <c r="AT101" s="962"/>
      <c r="AU101" s="162"/>
      <c r="AV101" s="162"/>
      <c r="AW101" s="162"/>
      <c r="AX101" s="162"/>
      <c r="AY101" s="962"/>
      <c r="AZ101" s="2044"/>
      <c r="BA101" s="2044"/>
      <c r="BB101" s="2044"/>
      <c r="BC101" s="2044"/>
      <c r="BD101" s="2044"/>
      <c r="BE101" s="2044"/>
      <c r="BF101" s="2044"/>
      <c r="BG101" s="2044"/>
      <c r="BH101" s="2044"/>
      <c r="BI101" s="2044"/>
    </row>
    <row r="102" spans="1:61" ht="13.5" customHeight="1">
      <c r="A102" s="2912"/>
      <c r="B102" s="66"/>
      <c r="C102" s="66"/>
      <c r="D102" s="66"/>
      <c r="E102" s="66"/>
      <c r="F102" s="66"/>
      <c r="G102" s="66"/>
      <c r="H102" s="66"/>
      <c r="I102" s="66"/>
      <c r="J102" s="66"/>
      <c r="K102" s="66"/>
      <c r="L102" s="66"/>
      <c r="M102" s="66"/>
      <c r="N102" s="66"/>
      <c r="O102" s="66"/>
      <c r="P102" s="66"/>
      <c r="Q102" s="66"/>
      <c r="R102" s="832"/>
      <c r="S102" s="66"/>
      <c r="T102" s="66"/>
      <c r="U102" s="676"/>
      <c r="V102" s="676"/>
      <c r="W102" s="676"/>
      <c r="X102" s="676"/>
      <c r="Z102" s="162"/>
      <c r="AA102" s="162"/>
      <c r="AB102" s="162"/>
      <c r="AC102" s="162"/>
      <c r="AF102" s="162"/>
      <c r="AG102" s="162"/>
      <c r="AH102" s="162"/>
      <c r="AI102" s="162"/>
      <c r="AK102" s="162"/>
      <c r="AL102" s="162"/>
      <c r="AM102" s="162"/>
      <c r="AN102" s="162"/>
      <c r="AP102" s="162"/>
      <c r="AQ102" s="162"/>
      <c r="AR102" s="162"/>
      <c r="AS102" s="162"/>
      <c r="AU102" s="162"/>
      <c r="AV102" s="162"/>
      <c r="AW102" s="162"/>
      <c r="AX102" s="162"/>
    </row>
    <row r="103" spans="1:61" ht="13.5" customHeight="1">
      <c r="A103" s="2912"/>
      <c r="B103" s="66"/>
      <c r="C103" s="66"/>
      <c r="D103" s="66"/>
      <c r="E103" s="66"/>
      <c r="F103" s="66"/>
      <c r="G103" s="66"/>
      <c r="H103" s="66"/>
      <c r="I103" s="66"/>
      <c r="J103" s="66"/>
      <c r="K103" s="66"/>
      <c r="L103" s="66"/>
      <c r="M103" s="66"/>
      <c r="N103" s="66"/>
      <c r="O103" s="66"/>
      <c r="P103" s="66"/>
      <c r="Q103" s="66"/>
      <c r="R103" s="832"/>
      <c r="S103" s="66"/>
      <c r="T103" s="66"/>
      <c r="U103" s="676"/>
      <c r="V103" s="676"/>
      <c r="W103" s="676"/>
      <c r="X103" s="676"/>
      <c r="Z103" s="162"/>
      <c r="AA103" s="162"/>
      <c r="AB103" s="162"/>
      <c r="AC103" s="162"/>
      <c r="AF103" s="162"/>
      <c r="AG103" s="162"/>
      <c r="AH103" s="162"/>
      <c r="AI103" s="162"/>
      <c r="AK103" s="162"/>
      <c r="AL103" s="162"/>
      <c r="AM103" s="162"/>
      <c r="AN103" s="162"/>
      <c r="AP103" s="162"/>
      <c r="AQ103" s="162"/>
      <c r="AR103" s="162"/>
      <c r="AS103" s="162"/>
      <c r="AU103" s="162"/>
      <c r="AV103" s="162"/>
      <c r="AW103" s="162"/>
      <c r="AX103" s="162"/>
    </row>
    <row r="104" spans="1:61">
      <c r="B104" s="962"/>
      <c r="C104" s="962"/>
      <c r="D104" s="962"/>
      <c r="E104" s="962"/>
      <c r="F104" s="962"/>
      <c r="G104" s="962"/>
      <c r="H104" s="962"/>
      <c r="I104" s="962"/>
      <c r="J104" s="962"/>
      <c r="K104" s="962"/>
      <c r="L104" s="962"/>
      <c r="M104" s="962"/>
      <c r="N104" s="962"/>
      <c r="O104" s="962"/>
      <c r="P104" s="962"/>
      <c r="Q104" s="962"/>
      <c r="R104" s="962"/>
      <c r="S104" s="962"/>
      <c r="T104" s="962"/>
      <c r="U104" s="676"/>
      <c r="V104" s="676"/>
      <c r="W104" s="676"/>
      <c r="X104" s="676"/>
      <c r="Z104" s="162"/>
      <c r="AA104" s="162"/>
      <c r="AB104" s="162"/>
      <c r="AC104" s="162"/>
      <c r="AF104" s="162"/>
      <c r="AG104" s="162"/>
      <c r="AH104" s="162"/>
      <c r="AI104" s="162"/>
      <c r="AK104" s="162"/>
      <c r="AL104" s="162"/>
      <c r="AM104" s="162"/>
      <c r="AN104" s="162"/>
      <c r="AP104" s="162"/>
      <c r="AQ104" s="162"/>
      <c r="AR104" s="162"/>
      <c r="AS104" s="162"/>
      <c r="AU104" s="162"/>
      <c r="AV104" s="162"/>
      <c r="AW104" s="162"/>
      <c r="AX104" s="162"/>
    </row>
    <row r="105" spans="1:61" s="39" customFormat="1" ht="13.5" thickBot="1">
      <c r="A105" s="1268"/>
      <c r="B105" s="118"/>
      <c r="C105" s="118"/>
      <c r="D105" s="181"/>
      <c r="E105" s="181"/>
      <c r="F105" s="181"/>
      <c r="J105" s="185"/>
      <c r="K105" s="185"/>
      <c r="L105" s="185"/>
      <c r="M105" s="185"/>
      <c r="N105" s="185"/>
      <c r="O105" s="185"/>
      <c r="P105" s="185"/>
      <c r="Q105" s="185"/>
      <c r="R105" s="185"/>
      <c r="S105" s="185"/>
      <c r="T105" s="185"/>
      <c r="U105" s="676"/>
      <c r="V105" s="676"/>
      <c r="W105" s="676"/>
      <c r="X105" s="676"/>
      <c r="Z105" s="162"/>
      <c r="AA105" s="162"/>
      <c r="AB105" s="162"/>
      <c r="AC105" s="162"/>
      <c r="AD105" s="162"/>
      <c r="AF105" s="162"/>
      <c r="AG105" s="162"/>
      <c r="AH105" s="162"/>
      <c r="AI105" s="162"/>
      <c r="AK105" s="162"/>
      <c r="AL105" s="162"/>
      <c r="AM105" s="162"/>
      <c r="AN105" s="162"/>
      <c r="AP105" s="162"/>
      <c r="AQ105" s="162"/>
      <c r="AR105" s="162"/>
      <c r="AS105" s="162"/>
      <c r="AU105" s="162"/>
      <c r="AV105" s="162"/>
      <c r="AW105" s="162"/>
      <c r="AX105" s="162"/>
      <c r="AZ105" s="2038"/>
      <c r="BA105" s="2038"/>
      <c r="BB105" s="2038"/>
      <c r="BC105" s="2038"/>
      <c r="BD105" s="2038"/>
      <c r="BE105" s="2038"/>
      <c r="BF105" s="2038"/>
      <c r="BG105" s="2038"/>
      <c r="BH105" s="2038"/>
      <c r="BI105" s="2038"/>
    </row>
    <row r="106" spans="1:61" s="39" customFormat="1" ht="14.25" thickTop="1" thickBot="1">
      <c r="A106" s="1268"/>
      <c r="D106" s="6558" t="s">
        <v>2532</v>
      </c>
      <c r="E106" s="7098"/>
      <c r="F106" s="7098"/>
      <c r="G106" s="7098"/>
      <c r="H106" s="7099"/>
      <c r="I106" s="423"/>
      <c r="J106" s="185"/>
      <c r="K106" s="185"/>
      <c r="L106" s="185"/>
      <c r="M106" s="185"/>
      <c r="N106" s="185"/>
      <c r="O106" s="185"/>
      <c r="P106" s="185"/>
      <c r="Q106" s="185"/>
      <c r="R106" s="185"/>
      <c r="S106" s="185"/>
      <c r="T106" s="185"/>
      <c r="U106" s="676"/>
      <c r="V106" s="676"/>
      <c r="W106" s="676"/>
      <c r="X106" s="676"/>
      <c r="Z106" s="162"/>
      <c r="AA106" s="162"/>
      <c r="AB106" s="162"/>
      <c r="AC106" s="162"/>
      <c r="AD106" s="162"/>
      <c r="AF106" s="162"/>
      <c r="AG106" s="162"/>
      <c r="AH106" s="162"/>
      <c r="AI106" s="162"/>
      <c r="AK106" s="162"/>
      <c r="AL106" s="162"/>
      <c r="AM106" s="162"/>
      <c r="AN106" s="162"/>
      <c r="AP106" s="162"/>
      <c r="AQ106" s="162"/>
      <c r="AR106" s="162"/>
      <c r="AS106" s="162"/>
      <c r="AU106" s="162"/>
      <c r="AV106" s="162"/>
      <c r="AW106" s="162"/>
      <c r="AX106" s="162"/>
      <c r="AZ106" s="2038"/>
      <c r="BA106" s="2038"/>
      <c r="BB106" s="2038"/>
      <c r="BC106" s="2038"/>
      <c r="BD106" s="2038"/>
      <c r="BE106" s="2038"/>
      <c r="BF106" s="2038"/>
      <c r="BG106" s="2038"/>
      <c r="BH106" s="2038"/>
      <c r="BI106" s="2038"/>
    </row>
    <row r="107" spans="1:61" s="39" customFormat="1" ht="14.25" thickTop="1" thickBot="1">
      <c r="A107" s="1268"/>
      <c r="D107" s="181"/>
      <c r="E107" s="181"/>
      <c r="H107" s="185"/>
      <c r="I107" s="185"/>
      <c r="J107" s="185"/>
      <c r="K107" s="185"/>
      <c r="L107" s="185"/>
      <c r="M107" s="185"/>
      <c r="N107" s="185"/>
      <c r="O107" s="185"/>
      <c r="P107" s="185"/>
      <c r="Q107" s="185"/>
      <c r="R107" s="185"/>
      <c r="T107" s="185"/>
      <c r="U107" s="676"/>
      <c r="V107" s="676"/>
      <c r="W107" s="676"/>
      <c r="X107" s="676"/>
      <c r="Z107" s="162"/>
      <c r="AA107" s="162"/>
      <c r="AB107" s="162"/>
      <c r="AC107" s="162"/>
      <c r="AD107" s="162"/>
      <c r="AF107" s="162"/>
      <c r="AG107" s="162"/>
      <c r="AH107" s="162"/>
      <c r="AI107" s="162"/>
      <c r="AK107" s="162"/>
      <c r="AL107" s="162"/>
      <c r="AM107" s="162"/>
      <c r="AN107" s="162"/>
      <c r="AP107" s="162"/>
      <c r="AQ107" s="162"/>
      <c r="AR107" s="162"/>
      <c r="AS107" s="162"/>
      <c r="AU107" s="162"/>
      <c r="AV107" s="162"/>
      <c r="AW107" s="162"/>
      <c r="AX107" s="162"/>
      <c r="AZ107" s="2038"/>
      <c r="BA107" s="2038"/>
      <c r="BB107" s="2038"/>
      <c r="BC107" s="2038"/>
      <c r="BD107" s="2038"/>
      <c r="BE107" s="2038"/>
      <c r="BF107" s="2038"/>
      <c r="BG107" s="2038"/>
      <c r="BH107" s="2038"/>
      <c r="BI107" s="2038"/>
    </row>
    <row r="108" spans="1:61" s="39" customFormat="1" ht="14.25" thickTop="1" thickBot="1">
      <c r="A108" s="1268"/>
      <c r="D108" s="6558" t="s">
        <v>2533</v>
      </c>
      <c r="E108" s="7098"/>
      <c r="F108" s="7098"/>
      <c r="G108" s="7098"/>
      <c r="H108" s="7099"/>
      <c r="I108" s="423"/>
      <c r="J108" s="185"/>
      <c r="K108" s="185"/>
      <c r="L108" s="185"/>
      <c r="M108" s="185"/>
      <c r="N108" s="185"/>
      <c r="O108" s="185"/>
      <c r="P108" s="185"/>
      <c r="Q108" s="185"/>
      <c r="R108" s="185"/>
      <c r="T108" s="185"/>
      <c r="U108" s="676"/>
      <c r="V108" s="676"/>
      <c r="W108" s="676"/>
      <c r="X108" s="676"/>
      <c r="Z108" s="162"/>
      <c r="AA108" s="162"/>
      <c r="AB108" s="162"/>
      <c r="AC108" s="162"/>
      <c r="AD108" s="162"/>
      <c r="AF108" s="162"/>
      <c r="AG108" s="162"/>
      <c r="AH108" s="162"/>
      <c r="AI108" s="162"/>
      <c r="AK108" s="162"/>
      <c r="AL108" s="162"/>
      <c r="AM108" s="162"/>
      <c r="AN108" s="162"/>
      <c r="AP108" s="162"/>
      <c r="AQ108" s="162"/>
      <c r="AR108" s="162"/>
      <c r="AS108" s="162"/>
      <c r="AU108" s="162"/>
      <c r="AV108" s="162"/>
      <c r="AW108" s="162"/>
      <c r="AX108" s="162"/>
      <c r="AZ108" s="2038"/>
      <c r="BA108" s="2038"/>
      <c r="BB108" s="2038"/>
      <c r="BC108" s="2038"/>
      <c r="BD108" s="2038"/>
      <c r="BE108" s="2038"/>
      <c r="BF108" s="2038"/>
      <c r="BG108" s="2038"/>
      <c r="BH108" s="2038"/>
      <c r="BI108" s="2038"/>
    </row>
    <row r="109" spans="1:61" s="39" customFormat="1" ht="13.5" thickTop="1">
      <c r="A109" s="1268"/>
      <c r="Q109" s="185"/>
      <c r="R109" s="185"/>
      <c r="S109"/>
      <c r="T109" s="185"/>
      <c r="Z109" s="162"/>
      <c r="AA109" s="162"/>
      <c r="AB109" s="162"/>
      <c r="AC109" s="162"/>
      <c r="AD109" s="162"/>
      <c r="AF109" s="162"/>
      <c r="AG109" s="162"/>
      <c r="AH109" s="162"/>
      <c r="AI109" s="162"/>
      <c r="AK109" s="162"/>
      <c r="AL109" s="162"/>
      <c r="AM109" s="162"/>
      <c r="AN109" s="162"/>
      <c r="AP109" s="162"/>
      <c r="AQ109" s="162"/>
      <c r="AR109" s="162"/>
      <c r="AS109" s="162"/>
      <c r="AU109" s="162"/>
      <c r="AV109" s="162"/>
      <c r="AW109" s="162"/>
      <c r="AX109" s="162"/>
      <c r="AZ109" s="2038"/>
      <c r="BA109" s="2038"/>
      <c r="BB109" s="2038"/>
      <c r="BC109" s="2038"/>
      <c r="BD109" s="2038"/>
      <c r="BE109" s="2038"/>
      <c r="BF109" s="2038"/>
      <c r="BG109" s="2038"/>
      <c r="BH109" s="2038"/>
      <c r="BI109" s="2038"/>
    </row>
    <row r="110" spans="1:61" s="39" customFormat="1">
      <c r="A110" s="1268"/>
      <c r="Q110" s="185"/>
      <c r="R110" s="185"/>
      <c r="S110"/>
      <c r="Z110" s="162"/>
      <c r="AA110" s="162"/>
      <c r="AB110" s="162"/>
      <c r="AC110" s="162"/>
      <c r="AD110" s="162"/>
      <c r="AF110" s="162"/>
      <c r="AG110" s="162"/>
      <c r="AH110" s="162"/>
      <c r="AI110" s="162"/>
      <c r="AK110" s="162"/>
      <c r="AL110" s="162"/>
      <c r="AM110" s="162"/>
      <c r="AN110" s="162"/>
      <c r="AP110" s="162"/>
      <c r="AQ110" s="162"/>
      <c r="AR110" s="162"/>
      <c r="AS110" s="162"/>
      <c r="AU110" s="162"/>
      <c r="AV110" s="162"/>
      <c r="AW110" s="162"/>
      <c r="AX110" s="162"/>
      <c r="AZ110" s="2038"/>
      <c r="BA110" s="2038"/>
      <c r="BB110" s="2038"/>
      <c r="BC110" s="2038"/>
      <c r="BD110" s="2038"/>
      <c r="BE110" s="2038"/>
      <c r="BF110" s="2038"/>
      <c r="BG110" s="2038"/>
      <c r="BH110" s="2038"/>
      <c r="BI110" s="2038"/>
    </row>
    <row r="111" spans="1:61" s="39" customFormat="1">
      <c r="A111" s="1268"/>
      <c r="S111"/>
      <c r="Z111" s="162"/>
      <c r="AA111" s="162"/>
      <c r="AB111" s="162"/>
      <c r="AC111" s="162"/>
      <c r="AD111" s="162"/>
      <c r="AF111" s="162"/>
      <c r="AG111" s="162"/>
      <c r="AH111" s="162"/>
      <c r="AI111" s="162"/>
      <c r="AK111" s="162"/>
      <c r="AL111" s="162"/>
      <c r="AM111" s="162"/>
      <c r="AN111" s="162"/>
      <c r="AP111" s="162"/>
      <c r="AQ111" s="162"/>
      <c r="AR111" s="162"/>
      <c r="AS111" s="162"/>
      <c r="AU111" s="162"/>
      <c r="AV111" s="162"/>
      <c r="AW111" s="162"/>
      <c r="AX111" s="162"/>
      <c r="AZ111" s="2038"/>
      <c r="BA111" s="2038"/>
      <c r="BB111" s="2038"/>
      <c r="BC111" s="2038"/>
      <c r="BD111" s="2038"/>
      <c r="BE111" s="2038"/>
      <c r="BF111" s="2038"/>
      <c r="BG111" s="2038"/>
      <c r="BH111" s="2038"/>
      <c r="BI111" s="2038"/>
    </row>
    <row r="112" spans="1:61">
      <c r="Q112" s="39"/>
      <c r="R112" s="39"/>
      <c r="T112" s="39"/>
    </row>
    <row r="113" spans="17:18">
      <c r="Q113" s="39"/>
      <c r="R113" s="39"/>
    </row>
  </sheetData>
  <sheetProtection algorithmName="SHA-512" hashValue="qBdfkz3kEc+JB0dYoNm+0ETMGObouOpuEOpQGsgJL1yYg/odw+GUxqcTOf4XVOmfV0RTOTBuwiKaW0Txh781zw==" saltValue="CrXCdAiSDULnl34ZPhhmtQ==" spinCount="100000" sheet="1" objects="1" scenarios="1"/>
  <mergeCells count="103">
    <mergeCell ref="D108:H108"/>
    <mergeCell ref="U32:U34"/>
    <mergeCell ref="D106:H106"/>
    <mergeCell ref="B55:D55"/>
    <mergeCell ref="K38:M38"/>
    <mergeCell ref="K42:M42"/>
    <mergeCell ref="H42:I42"/>
    <mergeCell ref="H40:I40"/>
    <mergeCell ref="K40:M40"/>
    <mergeCell ref="N37:O37"/>
    <mergeCell ref="N57:O57"/>
    <mergeCell ref="N49:O49"/>
    <mergeCell ref="N39:O39"/>
    <mergeCell ref="C39:G40"/>
    <mergeCell ref="H37:I37"/>
    <mergeCell ref="K37:M37"/>
    <mergeCell ref="H39:I39"/>
    <mergeCell ref="K36:M36"/>
    <mergeCell ref="C35:G36"/>
    <mergeCell ref="K39:M39"/>
    <mergeCell ref="N58:P58"/>
    <mergeCell ref="N73:P73"/>
    <mergeCell ref="C37:G38"/>
    <mergeCell ref="H36:I36"/>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F6:L6"/>
    <mergeCell ref="C22:G23"/>
    <mergeCell ref="AF8:AI8"/>
    <mergeCell ref="V32:V34"/>
    <mergeCell ref="W32:W34"/>
    <mergeCell ref="N29:O29"/>
    <mergeCell ref="N23:P23"/>
    <mergeCell ref="N24:P24"/>
    <mergeCell ref="N25:O25"/>
    <mergeCell ref="N22:O22"/>
    <mergeCell ref="B12:C12"/>
    <mergeCell ref="B31:C31"/>
    <mergeCell ref="U25:U28"/>
    <mergeCell ref="N26:P26"/>
    <mergeCell ref="N30:P30"/>
    <mergeCell ref="N32:P34"/>
    <mergeCell ref="N17:P17"/>
    <mergeCell ref="N19:P19"/>
    <mergeCell ref="N21:P21"/>
    <mergeCell ref="H17:I17"/>
    <mergeCell ref="K17:M17"/>
    <mergeCell ref="B32:G34"/>
    <mergeCell ref="H32:I34"/>
    <mergeCell ref="J32:J34"/>
    <mergeCell ref="K32:M34"/>
    <mergeCell ref="C41:G42"/>
    <mergeCell ref="U84:U87"/>
    <mergeCell ref="U45:U48"/>
    <mergeCell ref="N76:P76"/>
    <mergeCell ref="N43:O43"/>
    <mergeCell ref="N46:P46"/>
    <mergeCell ref="N50:P50"/>
    <mergeCell ref="N36:P36"/>
    <mergeCell ref="N38:P38"/>
    <mergeCell ref="N40:P40"/>
    <mergeCell ref="N42:P42"/>
    <mergeCell ref="N44:P44"/>
    <mergeCell ref="N45:P45"/>
    <mergeCell ref="N41:O41"/>
    <mergeCell ref="AK8:AN8"/>
    <mergeCell ref="AP8:AS8"/>
    <mergeCell ref="AU8:AX8"/>
    <mergeCell ref="M2:P2"/>
    <mergeCell ref="Z8:AD8"/>
    <mergeCell ref="H41:I41"/>
    <mergeCell ref="K41:M41"/>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8:I38"/>
    <mergeCell ref="G2:K3"/>
    <mergeCell ref="F5:L5"/>
  </mergeCells>
  <phoneticPr fontId="12" type="noConversion"/>
  <conditionalFormatting sqref="B8:L8">
    <cfRule type="expression" dxfId="2285" priority="130">
      <formula>IF(NoColor,1,0)</formula>
    </cfRule>
  </conditionalFormatting>
  <conditionalFormatting sqref="H12 J12">
    <cfRule type="expression" dxfId="2284" priority="552" stopIfTrue="1">
      <formula>IF(SUM(#REF!)&gt;0,1,0)</formula>
    </cfRule>
  </conditionalFormatting>
  <conditionalFormatting sqref="H31">
    <cfRule type="expression" dxfId="2283" priority="36" stopIfTrue="1">
      <formula>IF(SUM(#REF!)&gt;0,1,0)</formula>
    </cfRule>
  </conditionalFormatting>
  <conditionalFormatting sqref="H17:O17">
    <cfRule type="expression" dxfId="2282" priority="60">
      <formula>IF(NoColor,1,0)</formula>
    </cfRule>
  </conditionalFormatting>
  <conditionalFormatting sqref="H19:O19">
    <cfRule type="expression" dxfId="2281" priority="23">
      <formula>IF(NoColor,1,0)</formula>
    </cfRule>
  </conditionalFormatting>
  <conditionalFormatting sqref="H21:O21">
    <cfRule type="expression" dxfId="2280" priority="22">
      <formula>IF(NoColor,1,0)</formula>
    </cfRule>
  </conditionalFormatting>
  <conditionalFormatting sqref="H23:O23">
    <cfRule type="expression" dxfId="2279" priority="21">
      <formula>IF(NoColor,1,0)</formula>
    </cfRule>
  </conditionalFormatting>
  <conditionalFormatting sqref="H36:O36">
    <cfRule type="expression" dxfId="2278" priority="82">
      <formula>IF(NoColor,1,0)</formula>
    </cfRule>
  </conditionalFormatting>
  <conditionalFormatting sqref="H38:O38">
    <cfRule type="expression" dxfId="2277" priority="17">
      <formula>IF(NoColor,1,0)</formula>
    </cfRule>
  </conditionalFormatting>
  <conditionalFormatting sqref="H40:O40">
    <cfRule type="expression" dxfId="2276" priority="16">
      <formula>IF(NoColor,1,0)</formula>
    </cfRule>
  </conditionalFormatting>
  <conditionalFormatting sqref="H42:O42">
    <cfRule type="expression" dxfId="2275" priority="15">
      <formula>IF(NoColor,1,0)</formula>
    </cfRule>
  </conditionalFormatting>
  <conditionalFormatting sqref="J31">
    <cfRule type="expression" dxfId="2274" priority="205" stopIfTrue="1">
      <formula>IF(SUM(#REF!)&gt;0,1,0)</formula>
    </cfRule>
  </conditionalFormatting>
  <conditionalFormatting sqref="K10">
    <cfRule type="expression" dxfId="2273" priority="4">
      <formula>NoColor</formula>
    </cfRule>
  </conditionalFormatting>
  <conditionalFormatting sqref="N10">
    <cfRule type="expression" dxfId="2272" priority="3">
      <formula>NoColor</formula>
    </cfRule>
  </conditionalFormatting>
  <conditionalFormatting sqref="N73">
    <cfRule type="expression" dxfId="2271" priority="112">
      <formula>IF(NoColor,1,0)</formula>
    </cfRule>
  </conditionalFormatting>
  <conditionalFormatting sqref="N76">
    <cfRule type="expression" dxfId="2270" priority="111">
      <formula>IF(NoColor,1,0)</formula>
    </cfRule>
  </conditionalFormatting>
  <conditionalFormatting sqref="N24:O24">
    <cfRule type="expression" dxfId="2269" priority="126">
      <formula>IF(NoColor,1,0)</formula>
    </cfRule>
  </conditionalFormatting>
  <conditionalFormatting sqref="N26:O26">
    <cfRule type="expression" dxfId="2268" priority="20">
      <formula>IF(NoColor,1,0)</formula>
    </cfRule>
  </conditionalFormatting>
  <conditionalFormatting sqref="N30:O30">
    <cfRule type="expression" dxfId="2267" priority="18">
      <formula>IF(NoColor,1,0)</formula>
    </cfRule>
  </conditionalFormatting>
  <conditionalFormatting sqref="N44:O46">
    <cfRule type="expression" dxfId="2266" priority="13">
      <formula>IF(NoColor,1,0)</formula>
    </cfRule>
  </conditionalFormatting>
  <conditionalFormatting sqref="N50:O50">
    <cfRule type="expression" dxfId="2265" priority="11">
      <formula>IF(NoColor,1,0)</formula>
    </cfRule>
  </conditionalFormatting>
  <conditionalFormatting sqref="N58:O58">
    <cfRule type="expression" dxfId="2264" priority="113">
      <formula>IF(NoColor,1,0)</formula>
    </cfRule>
  </conditionalFormatting>
  <conditionalFormatting sqref="N28:P28">
    <cfRule type="expression" dxfId="2263" priority="10">
      <formula>IF(NoColor,1,0)</formula>
    </cfRule>
  </conditionalFormatting>
  <conditionalFormatting sqref="N48:P48">
    <cfRule type="expression" dxfId="2262" priority="1">
      <formula>IF(NoColor,1,0)</formula>
    </cfRule>
  </conditionalFormatting>
  <conditionalFormatting sqref="N87:P87">
    <cfRule type="expression" dxfId="2261" priority="5">
      <formula>IF(NoColor,1,0)</formula>
    </cfRule>
  </conditionalFormatting>
  <conditionalFormatting sqref="U19:W19">
    <cfRule type="expression" dxfId="2260" priority="79">
      <formula>IF(NoColor,1,0)</formula>
    </cfRule>
  </conditionalFormatting>
  <conditionalFormatting sqref="U21:W21">
    <cfRule type="expression" dxfId="2259" priority="53">
      <formula>IF(NoColor,1,0)</formula>
    </cfRule>
  </conditionalFormatting>
  <conditionalFormatting sqref="U23:W23">
    <cfRule type="expression" dxfId="2258" priority="77">
      <formula>IF(NoColor,1,0)</formula>
    </cfRule>
  </conditionalFormatting>
  <conditionalFormatting sqref="U38:W38">
    <cfRule type="expression" dxfId="2257" priority="67">
      <formula>IF(NoColor,1,0)</formula>
    </cfRule>
  </conditionalFormatting>
  <conditionalFormatting sqref="U40:W40">
    <cfRule type="expression" dxfId="2256" priority="63">
      <formula>IF(NoColor,1,0)</formula>
    </cfRule>
  </conditionalFormatting>
  <conditionalFormatting sqref="U42:W42">
    <cfRule type="expression" dxfId="2255" priority="62">
      <formula>IF(NoColor,1,0)</formula>
    </cfRule>
  </conditionalFormatting>
  <hyperlinks>
    <hyperlink ref="D106:H106" r:id="rId1" display="Download Form 1040 Schedule D" xr:uid="{00000000-0004-0000-1C00-000000000000}"/>
    <hyperlink ref="D108:H108" r:id="rId2" display="Download Form 1040 Schedule D Instructions" xr:uid="{00000000-0004-0000-1C00-000001000000}"/>
  </hyperlinks>
  <pageMargins left="0.75" right="0.25" top="0.36" bottom="0.28999999999999998" header="0.36" footer="0.21"/>
  <pageSetup scale="83" fitToHeight="0" orientation="portrait" r:id="rId3"/>
  <rowBreaks count="2" manualBreakCount="2">
    <brk id="51" min="1" max="15" man="1"/>
    <brk id="101"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S153"/>
  <sheetViews>
    <sheetView topLeftCell="A33" zoomScaleNormal="100" zoomScaleSheetLayoutView="100" workbookViewId="0">
      <selection activeCell="P63" sqref="P63"/>
    </sheetView>
  </sheetViews>
  <sheetFormatPr defaultRowHeight="12.75"/>
  <cols>
    <col min="1" max="1" width="4" customWidth="1"/>
    <col min="2" max="2" width="4.5703125" customWidth="1"/>
    <col min="3" max="3" width="1.5703125" customWidth="1"/>
    <col min="4" max="4" width="3" customWidth="1"/>
    <col min="5" max="5" width="16.42578125" customWidth="1"/>
    <col min="6" max="6" width="11.42578125" customWidth="1"/>
    <col min="7" max="7" width="12.7109375" customWidth="1"/>
    <col min="8" max="8" width="6.85546875" customWidth="1"/>
    <col min="9" max="9" width="3.85546875" customWidth="1"/>
    <col min="10" max="10" width="14.42578125" customWidth="1"/>
    <col min="11" max="11" width="5" customWidth="1"/>
    <col min="12" max="12" width="16.85546875" customWidth="1"/>
    <col min="13" max="13" width="3.5703125" customWidth="1"/>
    <col min="14" max="14" width="13.140625" customWidth="1"/>
    <col min="15" max="15" width="3.7109375" customWidth="1"/>
    <col min="16" max="16" width="11.7109375" customWidth="1"/>
    <col min="17" max="17" width="1.5703125" style="39" customWidth="1"/>
    <col min="18" max="18" width="7.28515625" style="39" customWidth="1"/>
    <col min="19" max="19" width="23.85546875" style="39" customWidth="1"/>
    <col min="20" max="20" width="6.7109375" style="39" customWidth="1"/>
    <col min="21" max="21" width="3.28515625" style="39" customWidth="1"/>
    <col min="22" max="22" width="10.140625" style="39" customWidth="1"/>
    <col min="23" max="23" width="12.28515625" style="39" hidden="1" customWidth="1"/>
    <col min="24" max="31" width="12.28515625" hidden="1" customWidth="1"/>
    <col min="32" max="34" width="9.140625" customWidth="1"/>
    <col min="35" max="35" width="9.85546875" customWidth="1"/>
    <col min="36" max="37" width="9.140625" customWidth="1"/>
    <col min="38" max="38" width="3.28515625" customWidth="1"/>
    <col min="39" max="45" width="10.7109375" style="2690" customWidth="1"/>
  </cols>
  <sheetData>
    <row r="1" spans="1:45" ht="18.75" customHeight="1">
      <c r="A1" s="198"/>
      <c r="B1" s="124"/>
      <c r="C1" s="124"/>
      <c r="D1" s="267"/>
      <c r="E1" s="267"/>
      <c r="F1" s="267"/>
      <c r="G1" s="159"/>
      <c r="H1" s="124"/>
      <c r="I1" s="124"/>
      <c r="J1" s="159"/>
      <c r="K1" s="159"/>
      <c r="L1" s="159"/>
      <c r="M1" s="159"/>
      <c r="N1" s="159"/>
      <c r="O1" s="940"/>
      <c r="P1" s="317"/>
      <c r="Q1" s="178"/>
      <c r="R1" s="590"/>
      <c r="S1" s="178"/>
      <c r="T1" s="178"/>
      <c r="U1" s="808"/>
      <c r="V1" s="808"/>
      <c r="W1" s="808"/>
      <c r="X1" s="780"/>
      <c r="Y1" s="780"/>
      <c r="Z1" s="780"/>
      <c r="AA1" s="780"/>
      <c r="AB1" s="780"/>
      <c r="AC1" s="780"/>
      <c r="AD1" s="780"/>
      <c r="AE1" s="780"/>
      <c r="AF1" s="780"/>
      <c r="AG1" s="780"/>
      <c r="AH1" s="780"/>
      <c r="AI1" s="780"/>
      <c r="AJ1" s="780"/>
      <c r="AK1" s="780"/>
      <c r="AL1" s="780"/>
      <c r="AM1" s="2723" t="s">
        <v>241</v>
      </c>
      <c r="AN1" s="2038"/>
      <c r="AO1" s="2038"/>
      <c r="AP1" s="2038"/>
      <c r="AQ1" s="2038"/>
      <c r="AR1" s="2038"/>
      <c r="AS1" s="2038"/>
    </row>
    <row r="2" spans="1:45" ht="18" customHeight="1" thickBot="1">
      <c r="A2" s="198"/>
      <c r="B2" s="1469"/>
      <c r="C2" s="1469"/>
      <c r="D2" s="1469" t="s">
        <v>2534</v>
      </c>
      <c r="E2" s="1469"/>
      <c r="F2" s="1469"/>
      <c r="G2" s="159"/>
      <c r="H2" s="124"/>
      <c r="I2" s="124"/>
      <c r="J2" s="159"/>
      <c r="K2" s="159"/>
      <c r="L2" s="159"/>
      <c r="M2" s="5626" t="s">
        <v>1057</v>
      </c>
      <c r="N2" s="5626"/>
      <c r="O2" s="178"/>
      <c r="P2" s="178"/>
      <c r="Q2" s="178"/>
      <c r="R2" s="591" t="b">
        <f>(R3&lt;&gt;"")</f>
        <v>0</v>
      </c>
      <c r="S2" s="178"/>
      <c r="T2" s="178"/>
      <c r="U2" s="808"/>
      <c r="V2" s="808"/>
      <c r="W2" s="808"/>
      <c r="X2" s="780"/>
      <c r="Y2" s="780"/>
      <c r="Z2" s="780"/>
      <c r="AA2" s="780"/>
      <c r="AB2" s="780"/>
      <c r="AC2" s="780"/>
      <c r="AD2" s="780"/>
      <c r="AE2" s="780"/>
      <c r="AF2" s="780"/>
      <c r="AG2" s="780"/>
      <c r="AH2" s="780"/>
      <c r="AI2" s="780"/>
      <c r="AJ2" s="780"/>
      <c r="AK2" s="780"/>
      <c r="AL2" s="780"/>
      <c r="AM2" s="2724" t="s">
        <v>251</v>
      </c>
      <c r="AN2" s="2038"/>
      <c r="AO2" s="2038"/>
      <c r="AP2" s="2038"/>
      <c r="AQ2" s="2038"/>
      <c r="AR2" s="2038"/>
      <c r="AS2" s="2038"/>
    </row>
    <row r="3" spans="1:45" ht="17.25" customHeight="1" thickBot="1">
      <c r="A3" s="198"/>
      <c r="B3" s="5627"/>
      <c r="C3" s="5628"/>
      <c r="D3" s="5629"/>
      <c r="E3" s="5629"/>
      <c r="F3" s="5629"/>
      <c r="G3" s="1470"/>
      <c r="H3" s="5628"/>
      <c r="I3" s="5628"/>
      <c r="J3" s="1470"/>
      <c r="K3" s="1470"/>
      <c r="L3" s="1470"/>
      <c r="M3" s="1470"/>
      <c r="N3" s="1498"/>
      <c r="O3" s="1470"/>
      <c r="P3" s="1500"/>
      <c r="Q3" s="1484"/>
      <c r="R3" s="5295"/>
      <c r="S3" s="32" t="str">
        <f>"&lt;&lt; Check here if "&amp;TaxYear-1&amp;" filing status was MFS."</f>
        <v>&lt;&lt; Check here if 2022 filing status was MFS.</v>
      </c>
      <c r="T3" s="29"/>
      <c r="U3" s="808"/>
      <c r="V3" s="1754" t="b">
        <f>IF(SUM(U4:U8)&gt;0,TRUE,FALSE)</f>
        <v>0</v>
      </c>
      <c r="W3" s="900"/>
      <c r="X3" s="1745"/>
      <c r="Y3" s="1745"/>
      <c r="Z3" s="1745"/>
      <c r="AA3" s="1745"/>
      <c r="AB3" s="1745"/>
      <c r="AC3" s="1745"/>
      <c r="AD3" s="1745"/>
      <c r="AE3" s="1745"/>
      <c r="AF3" s="2309" t="s">
        <v>2535</v>
      </c>
      <c r="AG3" s="780"/>
      <c r="AH3" s="780"/>
      <c r="AI3" s="780"/>
      <c r="AJ3" s="780"/>
      <c r="AK3" s="780"/>
      <c r="AL3" s="780"/>
      <c r="AM3" s="2725"/>
      <c r="AN3" s="2038"/>
      <c r="AO3" s="2038"/>
      <c r="AP3" s="2038"/>
      <c r="AQ3" s="2038"/>
      <c r="AR3" s="2038"/>
      <c r="AS3" s="2038"/>
    </row>
    <row r="4" spans="1:45" ht="17.25" customHeight="1">
      <c r="A4" s="198"/>
      <c r="B4" s="5630"/>
      <c r="C4" s="1471" t="str">
        <f>"Use this worksheet to figure your capital loss carryovers from "&amp;TaxYear-1&amp;" to "&amp;TaxYear&amp;" if your "&amp;TaxYear-1&amp;" Schedule D, line 21, is a loss and"</f>
        <v>Use this worksheet to figure your capital loss carryovers from 2022 to 2023 if your 2022 Schedule D, line 21, is a loss and</v>
      </c>
      <c r="D4" s="1471"/>
      <c r="E4" s="1471"/>
      <c r="F4" s="1471"/>
      <c r="G4" s="1472"/>
      <c r="H4" s="3032"/>
      <c r="I4" s="3032"/>
      <c r="J4" s="1472"/>
      <c r="K4" s="1472"/>
      <c r="L4" s="1472"/>
      <c r="M4" s="1472"/>
      <c r="N4" s="1472"/>
      <c r="O4" s="1472"/>
      <c r="P4" s="1019"/>
      <c r="Q4" s="1490"/>
      <c r="R4" s="590"/>
      <c r="S4" s="32" t="str">
        <f>TaxYear-1&amp;" Sch. D, Line 7, (S.T. capital gains)"</f>
        <v>2022 Sch. D, Line 7, (S.T. capital gains)</v>
      </c>
      <c r="T4" s="29"/>
      <c r="U4" s="1994">
        <f>IF(P4="",0,1)</f>
        <v>0</v>
      </c>
      <c r="V4" s="2299" t="b">
        <f>IF(P7&lt;0,TRUE,FALSE)</f>
        <v>0</v>
      </c>
      <c r="W4" s="2300"/>
      <c r="X4" s="2301"/>
      <c r="Y4" s="2301"/>
      <c r="Z4" s="2301"/>
      <c r="AA4" s="2301"/>
      <c r="AB4" s="2301"/>
      <c r="AC4" s="2301"/>
      <c r="AD4" s="2301"/>
      <c r="AE4" s="2301"/>
      <c r="AF4" s="2302" t="str">
        <f>"&lt;---  "&amp;TaxYear-1&amp;" Sch. D, line 21 is a loss,     AND"</f>
        <v>&lt;---  2022 Sch. D, line 21 is a loss,     AND</v>
      </c>
      <c r="AG4" s="2301"/>
      <c r="AH4" s="2301"/>
      <c r="AI4" s="2303"/>
      <c r="AJ4" s="780"/>
      <c r="AK4" s="780"/>
      <c r="AL4" s="780"/>
      <c r="AM4" s="2725"/>
      <c r="AN4" s="2038"/>
      <c r="AO4" s="2038"/>
      <c r="AP4" s="2038"/>
      <c r="AQ4" s="2038"/>
      <c r="AR4" s="2038"/>
      <c r="AS4" s="2038"/>
    </row>
    <row r="5" spans="1:45" ht="13.5" customHeight="1">
      <c r="A5" s="198"/>
      <c r="B5" s="5630"/>
      <c r="C5" s="1471"/>
      <c r="D5" s="1471"/>
      <c r="E5" s="1471"/>
      <c r="F5" s="1471"/>
      <c r="G5" s="1472"/>
      <c r="H5" s="3032"/>
      <c r="I5" s="3032"/>
      <c r="J5" s="1472"/>
      <c r="K5" s="1472"/>
      <c r="L5" s="1472"/>
      <c r="M5" s="1472"/>
      <c r="N5" s="1472"/>
      <c r="O5" s="1472"/>
      <c r="P5" s="1019"/>
      <c r="Q5" s="1490"/>
      <c r="R5" s="590"/>
      <c r="S5" s="32" t="str">
        <f>TaxYear-1&amp;" Sch. D, Line 15 (L.T. capital gains)"</f>
        <v>2022 Sch. D, Line 15 (L.T. capital gains)</v>
      </c>
      <c r="T5" s="29"/>
      <c r="U5" s="1994">
        <f>IF(P5="",0,1)</f>
        <v>0</v>
      </c>
      <c r="V5" s="916"/>
      <c r="W5" s="808"/>
      <c r="X5" s="780"/>
      <c r="Y5" s="780"/>
      <c r="Z5" s="780"/>
      <c r="AA5" s="780"/>
      <c r="AB5" s="780"/>
      <c r="AC5" s="780"/>
      <c r="AD5" s="780"/>
      <c r="AE5" s="780"/>
      <c r="AF5" s="1501"/>
      <c r="AG5" s="780"/>
      <c r="AH5" s="780"/>
      <c r="AI5" s="1243"/>
      <c r="AJ5" s="780"/>
      <c r="AK5" s="780"/>
      <c r="AL5" s="780"/>
      <c r="AM5" s="2725"/>
      <c r="AN5" s="2038"/>
      <c r="AO5" s="2038"/>
      <c r="AP5" s="2038"/>
      <c r="AQ5" s="2038"/>
      <c r="AR5" s="2038"/>
      <c r="AS5" s="2038"/>
    </row>
    <row r="6" spans="1:45" ht="13.5" customHeight="1">
      <c r="A6" s="198"/>
      <c r="B6" s="5630"/>
      <c r="C6" s="1471"/>
      <c r="D6" s="1471"/>
      <c r="E6" s="1471"/>
      <c r="F6" s="1471"/>
      <c r="G6" s="1472"/>
      <c r="H6" s="3032"/>
      <c r="I6" s="3032"/>
      <c r="J6" s="1472"/>
      <c r="K6" s="1472"/>
      <c r="L6" s="1472"/>
      <c r="M6" s="1472"/>
      <c r="N6" s="1472"/>
      <c r="O6" s="1472"/>
      <c r="P6" s="938" t="str">
        <f>IF(AND(P4="",P5=""),"",ROUND(SUM(P4,P5),0))</f>
        <v/>
      </c>
      <c r="Q6" s="1490"/>
      <c r="R6" s="590"/>
      <c r="S6" s="32" t="str">
        <f>TaxYear-1&amp;" Sch. D, Line 16 (Combine lines 7 &amp;15)"</f>
        <v>2022 Sch. D, Line 16 (Combine lines 7 &amp;15)</v>
      </c>
      <c r="T6" s="29"/>
      <c r="U6" s="1994"/>
      <c r="V6" s="916"/>
      <c r="W6" s="808"/>
      <c r="X6" s="780"/>
      <c r="Y6" s="780"/>
      <c r="Z6" s="780"/>
      <c r="AA6" s="780"/>
      <c r="AB6" s="780"/>
      <c r="AC6" s="780"/>
      <c r="AD6" s="780"/>
      <c r="AE6" s="780"/>
      <c r="AF6" s="1501"/>
      <c r="AG6" s="780"/>
      <c r="AH6" s="780"/>
      <c r="AI6" s="1243"/>
      <c r="AJ6" s="780"/>
      <c r="AK6" s="780"/>
      <c r="AL6" s="780"/>
      <c r="AM6" s="2725"/>
      <c r="AN6" s="2038"/>
      <c r="AO6" s="2038"/>
      <c r="AP6" s="2038"/>
      <c r="AQ6" s="2038"/>
      <c r="AR6" s="2038"/>
      <c r="AS6" s="2038"/>
    </row>
    <row r="7" spans="1:45" ht="13.5" customHeight="1">
      <c r="A7" s="198"/>
      <c r="B7" s="5630"/>
      <c r="C7" s="1471"/>
      <c r="D7" s="3032" t="s">
        <v>2536</v>
      </c>
      <c r="E7" s="1471" t="str">
        <f>" that loss is a smaller loss than the loss on your "&amp;TaxYear-1&amp;" Schedule D, line 16,"</f>
        <v xml:space="preserve"> that loss is a smaller loss than the loss on your 2022 Schedule D, line 16,</v>
      </c>
      <c r="F7" s="1471"/>
      <c r="G7" s="1472"/>
      <c r="H7" s="3032"/>
      <c r="I7" s="3032"/>
      <c r="J7" s="1472"/>
      <c r="K7" s="1491" t="s">
        <v>1445</v>
      </c>
      <c r="L7" s="1472"/>
      <c r="M7" s="1472"/>
      <c r="N7" s="1497"/>
      <c r="O7" s="1472"/>
      <c r="P7" s="1019"/>
      <c r="Q7" s="1490"/>
      <c r="R7" s="590"/>
      <c r="S7" s="967" t="str">
        <f>TaxYear-1&amp;" Sch. D, Line 21"</f>
        <v>2022 Sch. D, Line 21</v>
      </c>
      <c r="T7" s="29"/>
      <c r="U7" s="1994">
        <f>IF(P7="",0,1)</f>
        <v>0</v>
      </c>
      <c r="V7" s="916" t="b">
        <f>IF(P6="",FALSE,IF(AND(V4,P6&lt;0,ABS(P7)&lt;ABS(P6)),TRUE,FALSE))</f>
        <v>0</v>
      </c>
      <c r="W7" s="808"/>
      <c r="X7" s="780"/>
      <c r="Y7" s="780"/>
      <c r="Z7" s="780"/>
      <c r="AA7" s="780"/>
      <c r="AB7" s="780"/>
      <c r="AC7" s="780"/>
      <c r="AD7" s="780"/>
      <c r="AE7" s="780"/>
      <c r="AF7" s="1501" t="str">
        <f>"&lt;---  "&amp;TaxYear-1&amp;" Sch. D, line 21, loss is &lt; line 16 loss,  OR"</f>
        <v>&lt;---  2022 Sch. D, line 21, loss is &lt; line 16 loss,  OR</v>
      </c>
      <c r="AG7" s="780"/>
      <c r="AH7" s="780"/>
      <c r="AI7" s="1243"/>
      <c r="AJ7" s="780"/>
      <c r="AK7" s="780"/>
      <c r="AL7" s="780"/>
      <c r="AM7" s="2725"/>
      <c r="AN7" s="2038"/>
      <c r="AO7" s="2038"/>
      <c r="AP7" s="2038"/>
      <c r="AQ7" s="2038"/>
      <c r="AR7" s="2038"/>
      <c r="AS7" s="2038"/>
    </row>
    <row r="8" spans="1:45" ht="13.5" customHeight="1">
      <c r="A8" s="198"/>
      <c r="B8" s="5630"/>
      <c r="C8" s="1471"/>
      <c r="D8" s="1491" t="s">
        <v>2537</v>
      </c>
      <c r="E8" s="1471" t="str">
        <f>" if the amount on your "&amp;TaxYear-1&amp;" Form 1040 or 1040-SR, line 15 (or your "&amp;TaxYear-1&amp;" Form 1040-NR, line 15, if applicable) would be"</f>
        <v xml:space="preserve"> if the amount on your 2022 Form 1040 or 1040-SR, line 15 (or your 2022 Form 1040-NR, line 15, if applicable) would be</v>
      </c>
      <c r="F8" s="1471"/>
      <c r="G8" s="1472"/>
      <c r="H8" s="1471"/>
      <c r="I8" s="3032"/>
      <c r="J8" s="1472"/>
      <c r="K8" s="1472"/>
      <c r="L8" s="1472"/>
      <c r="M8" s="1472"/>
      <c r="N8" s="1472"/>
      <c r="O8" s="1472"/>
      <c r="P8" s="1019"/>
      <c r="Q8" s="1490"/>
      <c r="R8" s="590"/>
      <c r="S8" s="32" t="str">
        <f>TaxYear-1&amp;" Form 1040, Line 15 (Taxable Income)"</f>
        <v>2022 Form 1040, Line 15 (Taxable Income)</v>
      </c>
      <c r="T8" s="29"/>
      <c r="U8" s="1994">
        <f>IF(P8="",0,1)</f>
        <v>0</v>
      </c>
      <c r="V8" s="2304" t="b">
        <f>AND(P8&lt;&gt;"",P8&lt;&gt;0)</f>
        <v>0</v>
      </c>
      <c r="W8" s="2305"/>
      <c r="X8" s="2306"/>
      <c r="Y8" s="2306"/>
      <c r="Z8" s="2306"/>
      <c r="AA8" s="2306"/>
      <c r="AB8" s="2306"/>
      <c r="AC8" s="2306"/>
      <c r="AD8" s="2306"/>
      <c r="AE8" s="2306"/>
      <c r="AF8" s="3757" t="str">
        <f>"&lt;---  "&amp;TaxYear-1&amp;" Form 1040, line 15, would have been &lt; $0."</f>
        <v>&lt;---  2022 Form 1040, line 15, would have been &lt; $0.</v>
      </c>
      <c r="AG8" s="2306"/>
      <c r="AH8" s="2306"/>
      <c r="AI8" s="2307"/>
      <c r="AJ8" s="780"/>
      <c r="AK8" s="780"/>
      <c r="AL8" s="780"/>
      <c r="AM8" s="2725"/>
      <c r="AN8" s="2038"/>
      <c r="AO8" s="2038"/>
      <c r="AP8" s="2038"/>
      <c r="AQ8" s="2038"/>
      <c r="AR8" s="2038"/>
      <c r="AS8" s="2038"/>
    </row>
    <row r="9" spans="1:45" ht="13.5" customHeight="1">
      <c r="A9" s="198"/>
      <c r="B9" s="5630"/>
      <c r="C9" s="1492"/>
      <c r="D9" s="1492"/>
      <c r="E9" s="1471" t="s">
        <v>2538</v>
      </c>
      <c r="F9" s="1471"/>
      <c r="G9" s="1471"/>
      <c r="H9" s="1496"/>
      <c r="I9" s="1471"/>
      <c r="J9" s="1472"/>
      <c r="K9" s="1472"/>
      <c r="L9" s="1472"/>
      <c r="M9" s="1472"/>
      <c r="N9" s="1497"/>
      <c r="O9" s="1472"/>
      <c r="P9" s="7317"/>
      <c r="Q9" s="1490"/>
      <c r="R9" s="590"/>
      <c r="S9" s="4648" t="str">
        <f>IF(S12,"The amount of loss on Sch. D, Line 21,","")</f>
        <v/>
      </c>
      <c r="T9" s="29"/>
      <c r="U9" s="2175"/>
      <c r="V9" s="2308" t="b">
        <f>OR(U9&lt;&gt;"",AND(V3,V4,OR(V7,V8)))</f>
        <v>0</v>
      </c>
      <c r="W9" s="1121"/>
      <c r="X9" s="1247"/>
      <c r="Y9" s="1247"/>
      <c r="Z9" s="1247"/>
      <c r="AA9" s="1247"/>
      <c r="AB9" s="1247"/>
      <c r="AC9" s="1247"/>
      <c r="AD9" s="1247"/>
      <c r="AE9" s="1247"/>
      <c r="AF9" s="1502" t="str">
        <f>IF(V9,"&lt;---  If true, then this WS is applicable.","&lt;---  If false, you don't have any carryovers.")</f>
        <v>&lt;---  If false, you don't have any carryovers.</v>
      </c>
      <c r="AG9" s="1247"/>
      <c r="AH9" s="1247"/>
      <c r="AI9" s="1248"/>
      <c r="AJ9" s="780"/>
      <c r="AK9" s="780"/>
      <c r="AL9" s="780"/>
      <c r="AM9" s="2725"/>
      <c r="AN9" s="2038"/>
      <c r="AO9" s="2038"/>
      <c r="AP9" s="2038"/>
      <c r="AQ9" s="2038"/>
      <c r="AR9" s="2038"/>
      <c r="AS9" s="2038"/>
    </row>
    <row r="10" spans="1:45" ht="13.5" customHeight="1">
      <c r="A10" s="198"/>
      <c r="B10" s="5630"/>
      <c r="C10" s="1471"/>
      <c r="D10" s="1471"/>
      <c r="E10" s="1471"/>
      <c r="F10" s="1471"/>
      <c r="G10" s="1472"/>
      <c r="H10" s="3032"/>
      <c r="I10" s="3032"/>
      <c r="J10" s="1472"/>
      <c r="K10" s="1472"/>
      <c r="L10" s="1472"/>
      <c r="M10" s="1472"/>
      <c r="N10" s="1472"/>
      <c r="O10" s="1472"/>
      <c r="P10" s="7318"/>
      <c r="Q10" s="1490"/>
      <c r="R10" s="2326" t="b">
        <f>AND(P4="",P5="",P7="",P8="")</f>
        <v>1</v>
      </c>
      <c r="S10" s="4648" t="str">
        <f>IF(S12,"should not have been more than "&amp;TEXT(-R12,"$0,000")&amp;".","")</f>
        <v/>
      </c>
      <c r="T10" s="29"/>
      <c r="U10" s="2310" t="str">
        <f>IF(OR(U9&lt;&gt;"",AND(V3,NOT(V9))),"Check box if you wish to use the worksheet anyway.","")</f>
        <v/>
      </c>
      <c r="V10" s="814"/>
      <c r="W10" s="808"/>
      <c r="X10" s="808"/>
      <c r="Y10" s="808"/>
      <c r="Z10" s="808"/>
      <c r="AA10" s="808"/>
      <c r="AB10" s="808"/>
      <c r="AC10" s="808"/>
      <c r="AD10" s="808"/>
      <c r="AE10" s="808"/>
      <c r="AF10" s="808"/>
      <c r="AG10" s="808"/>
      <c r="AH10" s="808"/>
      <c r="AI10" s="808"/>
      <c r="AJ10" s="780"/>
      <c r="AK10" s="780"/>
      <c r="AL10" s="780"/>
      <c r="AM10" s="2725"/>
      <c r="AN10" s="2038"/>
      <c r="AO10" s="2038"/>
      <c r="AP10" s="2038"/>
      <c r="AQ10" s="2038"/>
      <c r="AR10" s="2038"/>
      <c r="AS10" s="2038"/>
    </row>
    <row r="11" spans="1:45" ht="13.5" customHeight="1">
      <c r="A11" s="198"/>
      <c r="B11" s="5630"/>
      <c r="C11" s="1471" t="str">
        <f>"If you and your spouse once filed a joint return and are filing separate returns for "&amp;TaxYear&amp;","</f>
        <v>If you and your spouse once filed a joint return and are filing separate returns for 2023,</v>
      </c>
      <c r="D11" s="1471"/>
      <c r="E11" s="1471"/>
      <c r="F11" s="1471"/>
      <c r="G11" s="1472"/>
      <c r="H11" s="3032"/>
      <c r="I11" s="3032"/>
      <c r="J11" s="1472"/>
      <c r="K11" s="1472"/>
      <c r="L11" s="1472"/>
      <c r="M11" s="1472"/>
      <c r="N11" s="1472"/>
      <c r="O11" s="1472"/>
      <c r="P11" s="7318"/>
      <c r="Q11" s="1490"/>
      <c r="R11" s="590"/>
      <c r="S11" s="5298"/>
      <c r="T11" s="29"/>
      <c r="U11" s="808"/>
      <c r="V11" s="814"/>
      <c r="W11" s="808"/>
      <c r="X11" s="808"/>
      <c r="Y11" s="808"/>
      <c r="Z11" s="808"/>
      <c r="AA11" s="808"/>
      <c r="AB11" s="808"/>
      <c r="AC11" s="808"/>
      <c r="AD11" s="808"/>
      <c r="AE11" s="808"/>
      <c r="AF11" s="808"/>
      <c r="AG11" s="808"/>
      <c r="AH11" s="808"/>
      <c r="AI11" s="808"/>
      <c r="AJ11" s="780"/>
      <c r="AK11" s="780"/>
      <c r="AL11" s="780"/>
      <c r="AM11" s="2725"/>
      <c r="AN11" s="2038"/>
      <c r="AO11" s="2038"/>
      <c r="AP11" s="2038"/>
      <c r="AQ11" s="2038"/>
      <c r="AR11" s="2038"/>
      <c r="AS11" s="2038"/>
    </row>
    <row r="12" spans="1:45" ht="13.5" customHeight="1">
      <c r="A12" s="198"/>
      <c r="B12" s="5630"/>
      <c r="C12" s="1471" t="s">
        <v>2539</v>
      </c>
      <c r="D12" s="1471"/>
      <c r="E12" s="1471"/>
      <c r="F12" s="1471"/>
      <c r="G12" s="1472"/>
      <c r="H12" s="3032"/>
      <c r="I12" s="3032"/>
      <c r="J12" s="1472"/>
      <c r="K12" s="1472"/>
      <c r="L12" s="1472"/>
      <c r="M12" s="1472"/>
      <c r="N12" s="1472"/>
      <c r="O12" s="1472"/>
      <c r="P12" s="7318"/>
      <c r="Q12" s="1490"/>
      <c r="R12" s="5296">
        <f>IF(R2,-1500,-3000)</f>
        <v>-3000</v>
      </c>
      <c r="S12" s="5297" t="b">
        <f>P7&lt;R12</f>
        <v>0</v>
      </c>
      <c r="T12" s="29"/>
      <c r="U12" s="808"/>
      <c r="V12" s="814"/>
      <c r="W12" s="808"/>
      <c r="X12" s="780"/>
      <c r="Y12" s="780"/>
      <c r="Z12" s="780"/>
      <c r="AA12" s="780"/>
      <c r="AB12" s="780"/>
      <c r="AC12" s="780"/>
      <c r="AD12" s="780"/>
      <c r="AE12" s="780"/>
      <c r="AF12" s="780"/>
      <c r="AG12" s="780"/>
      <c r="AH12" s="780"/>
      <c r="AI12" s="780"/>
      <c r="AJ12" s="780"/>
      <c r="AK12" s="780"/>
      <c r="AL12" s="780"/>
      <c r="AM12" s="2725"/>
      <c r="AN12" s="2038"/>
      <c r="AO12" s="2038"/>
      <c r="AP12" s="2038"/>
      <c r="AQ12" s="2038"/>
      <c r="AR12" s="2038"/>
      <c r="AS12" s="2038"/>
    </row>
    <row r="13" spans="1:45" ht="9" customHeight="1">
      <c r="A13" s="198"/>
      <c r="B13" s="5630"/>
      <c r="C13" s="1471"/>
      <c r="D13" s="1471"/>
      <c r="E13" s="1471"/>
      <c r="F13" s="1471"/>
      <c r="G13" s="1472"/>
      <c r="H13" s="3032"/>
      <c r="I13" s="3032"/>
      <c r="J13" s="1472"/>
      <c r="K13" s="1472"/>
      <c r="L13" s="1472"/>
      <c r="M13" s="1472"/>
      <c r="N13" s="1472"/>
      <c r="O13" s="1472"/>
      <c r="P13" s="3758"/>
      <c r="Q13" s="1490"/>
      <c r="R13" s="590"/>
      <c r="S13" s="294"/>
      <c r="T13" s="37"/>
      <c r="U13" s="808"/>
      <c r="V13" s="814"/>
      <c r="W13" s="808"/>
      <c r="X13" s="780"/>
      <c r="Y13" s="780"/>
      <c r="Z13" s="780"/>
      <c r="AA13" s="780"/>
      <c r="AB13" s="780"/>
      <c r="AC13" s="780"/>
      <c r="AD13" s="780"/>
      <c r="AE13" s="780"/>
      <c r="AF13" s="780"/>
      <c r="AG13" s="780"/>
      <c r="AH13" s="780"/>
      <c r="AI13" s="780"/>
      <c r="AJ13" s="780"/>
      <c r="AK13" s="780"/>
      <c r="AL13" s="780"/>
      <c r="AM13" s="2725"/>
      <c r="AN13" s="2038"/>
      <c r="AO13" s="2038"/>
      <c r="AP13" s="2038"/>
      <c r="AQ13" s="2038"/>
      <c r="AR13" s="2038"/>
      <c r="AS13" s="2038"/>
    </row>
    <row r="14" spans="1:45" s="407" customFormat="1" ht="21" customHeight="1">
      <c r="A14" s="521"/>
      <c r="B14" s="5631"/>
      <c r="C14" s="1493" t="str">
        <f>"If you excluded canceled debt from income in "&amp;TaxYear&amp;", see Pub. 4681."</f>
        <v>If you excluded canceled debt from income in 2023, see Pub. 4681.</v>
      </c>
      <c r="D14" s="1493"/>
      <c r="E14" s="1493"/>
      <c r="F14" s="1493"/>
      <c r="G14" s="4534"/>
      <c r="H14" s="5632"/>
      <c r="I14" s="5632"/>
      <c r="J14" s="4534"/>
      <c r="K14" s="4534"/>
      <c r="L14" s="4534"/>
      <c r="M14" s="4534"/>
      <c r="N14" s="4534"/>
      <c r="O14" s="4534"/>
      <c r="P14" s="4534"/>
      <c r="Q14" s="4535"/>
      <c r="R14" s="4536"/>
      <c r="S14" s="1653"/>
      <c r="T14" s="4537"/>
      <c r="U14" s="1998"/>
      <c r="V14" s="875"/>
      <c r="W14" s="1998"/>
      <c r="AM14" s="4538"/>
      <c r="AN14" s="2045"/>
      <c r="AO14" s="2045"/>
      <c r="AP14" s="2045"/>
      <c r="AQ14" s="2045"/>
      <c r="AR14" s="2045"/>
      <c r="AS14" s="2045"/>
    </row>
    <row r="15" spans="1:45">
      <c r="A15" s="198"/>
      <c r="B15" s="1474"/>
      <c r="C15" s="1483"/>
      <c r="D15" s="1473"/>
      <c r="E15" s="1473"/>
      <c r="F15" s="1471"/>
      <c r="G15" s="1472"/>
      <c r="H15" s="3032"/>
      <c r="I15" s="3032"/>
      <c r="J15" s="1472"/>
      <c r="K15" s="1472"/>
      <c r="L15" s="1472"/>
      <c r="M15" s="5633"/>
      <c r="N15" s="1487"/>
      <c r="O15" s="1488"/>
      <c r="P15" s="1472"/>
      <c r="Q15" s="1485"/>
      <c r="R15" s="590"/>
      <c r="S15" s="29"/>
      <c r="T15" s="29"/>
      <c r="V15" s="162"/>
      <c r="AM15" s="2725"/>
      <c r="AN15" s="2038"/>
      <c r="AO15" s="2038"/>
      <c r="AP15" s="2038"/>
      <c r="AQ15" s="2038"/>
      <c r="AR15" s="2038"/>
      <c r="AS15" s="2038"/>
    </row>
    <row r="16" spans="1:45" ht="14.25" customHeight="1">
      <c r="A16" s="198"/>
      <c r="B16" s="1474" t="s">
        <v>167</v>
      </c>
      <c r="C16" s="3032"/>
      <c r="D16" s="1471" t="str">
        <f>"Enter the amount from your "&amp;TaxYear-1&amp;" Form 1040, line 15 (Taxable Income), or your "&amp;TaxYear-1&amp;" Form 1040NR, line 15."</f>
        <v>Enter the amount from your 2022 Form 1040, line 15 (Taxable Income), or your 2022 Form 1040NR, line 15.</v>
      </c>
      <c r="E16" s="1471"/>
      <c r="F16" s="1471"/>
      <c r="G16" s="1472"/>
      <c r="H16" s="3032"/>
      <c r="I16" s="3032"/>
      <c r="J16" s="1472"/>
      <c r="K16" s="1472"/>
      <c r="L16" s="1472"/>
      <c r="M16" s="1472"/>
      <c r="N16" s="1472"/>
      <c r="O16" s="1472"/>
      <c r="P16" s="1472"/>
      <c r="Q16" s="1485"/>
      <c r="R16" s="590"/>
      <c r="S16" s="409"/>
      <c r="T16" s="4788"/>
      <c r="V16" s="162"/>
      <c r="AM16" s="2725"/>
      <c r="AN16" s="2038"/>
      <c r="AO16" s="2038"/>
      <c r="AP16" s="2038"/>
      <c r="AQ16" s="2038"/>
      <c r="AR16" s="2038"/>
      <c r="AS16" s="2038"/>
    </row>
    <row r="17" spans="1:45" ht="13.5" customHeight="1">
      <c r="A17" s="198"/>
      <c r="B17" s="5630"/>
      <c r="C17" s="3032"/>
      <c r="D17" s="1471" t="s">
        <v>2540</v>
      </c>
      <c r="E17" s="1471"/>
      <c r="F17" s="1471"/>
      <c r="G17" s="1472"/>
      <c r="H17" s="3032"/>
      <c r="I17" s="3032"/>
      <c r="J17" s="1472"/>
      <c r="K17" s="1472"/>
      <c r="L17" s="1472"/>
      <c r="M17" s="1472"/>
      <c r="N17" s="1482"/>
      <c r="O17" s="1483" t="s">
        <v>167</v>
      </c>
      <c r="P17" s="938" t="str">
        <f>IF(NOT($V$9),"",ROUND(P8,0))</f>
        <v/>
      </c>
      <c r="Q17" s="1485"/>
      <c r="R17" s="590"/>
      <c r="S17" s="5953" t="str">
        <f>IF(R10,"Enter amounts above.",IF(NOT(V9),"You don't have any carryovers.",""))</f>
        <v>Enter amounts above.</v>
      </c>
      <c r="T17" s="4788"/>
      <c r="V17" s="162"/>
      <c r="AM17" s="2725"/>
      <c r="AN17" s="2038"/>
      <c r="AO17" s="2038"/>
      <c r="AP17" s="2038"/>
      <c r="AQ17" s="2038"/>
      <c r="AR17" s="2038"/>
      <c r="AS17" s="2038"/>
    </row>
    <row r="18" spans="1:45">
      <c r="A18" s="198"/>
      <c r="B18" s="1474" t="s">
        <v>171</v>
      </c>
      <c r="C18" s="1483"/>
      <c r="D18" s="1471" t="str">
        <f>"Enter the loss from your "&amp;TaxYear-1&amp;" Schedule D, line 21, as a positive amount"</f>
        <v>Enter the loss from your 2022 Schedule D, line 21, as a positive amount</v>
      </c>
      <c r="E18" s="1471"/>
      <c r="F18" s="1471"/>
      <c r="G18" s="1472"/>
      <c r="H18" s="3032"/>
      <c r="I18" s="3032"/>
      <c r="J18" s="1472"/>
      <c r="K18" s="1472"/>
      <c r="L18" s="1472"/>
      <c r="M18" s="1472"/>
      <c r="N18" s="1482" t="str">
        <f>IF(P18&lt;0,"Enter as a positive amount."," .   .   .   .   .   .   .   .   .   .   .   .   .   .   .   .   .   .   .   .   .   .   .   .   .   .   ")</f>
        <v xml:space="preserve"> .   .   .   .   .   .   .   .   .   .   .   .   .   .   .   .   .   .   .   .   .   .   .   .   .   .   </v>
      </c>
      <c r="O18" s="1483" t="s">
        <v>171</v>
      </c>
      <c r="P18" s="938" t="str">
        <f>IF(NOT($V$9),"",IF(ROUND(P7,0)&gt;0,0,-ROUND(P7,0)))</f>
        <v/>
      </c>
      <c r="Q18" s="1485"/>
      <c r="R18" s="590"/>
      <c r="S18" s="409"/>
      <c r="T18" s="4788"/>
      <c r="V18" s="162"/>
      <c r="AM18" s="2725"/>
      <c r="AN18" s="2038"/>
      <c r="AO18" s="2038"/>
      <c r="AP18" s="2038"/>
      <c r="AQ18" s="2038"/>
      <c r="AR18" s="2038"/>
      <c r="AS18" s="2038"/>
    </row>
    <row r="19" spans="1:45">
      <c r="A19" s="198"/>
      <c r="B19" s="1474" t="s">
        <v>177</v>
      </c>
      <c r="C19" s="1483"/>
      <c r="D19" s="1471" t="s">
        <v>2541</v>
      </c>
      <c r="E19" s="1471"/>
      <c r="F19" s="1471"/>
      <c r="G19" s="1472"/>
      <c r="H19" s="3032"/>
      <c r="I19" s="3032"/>
      <c r="J19" s="1472"/>
      <c r="K19" s="1472"/>
      <c r="L19" s="1472"/>
      <c r="M19" s="1472"/>
      <c r="N19" s="1482" t="s">
        <v>2542</v>
      </c>
      <c r="O19" s="1483" t="s">
        <v>177</v>
      </c>
      <c r="P19" s="938" t="str">
        <f>IF(NOT($V$9),"",IF(ROUND(SUM(P17,P18),0)&lt;0,0,ROUND(SUM(P17,P18),0)))</f>
        <v/>
      </c>
      <c r="Q19" s="1485"/>
      <c r="R19" s="590"/>
      <c r="S19" s="409"/>
      <c r="T19" s="37"/>
      <c r="AM19" s="2725"/>
      <c r="AN19" s="2038"/>
      <c r="AO19" s="2038"/>
      <c r="AP19" s="2038"/>
      <c r="AQ19" s="2038"/>
      <c r="AR19" s="2038"/>
      <c r="AS19" s="2038"/>
    </row>
    <row r="20" spans="1:45">
      <c r="A20" s="198"/>
      <c r="B20" s="1474" t="s">
        <v>182</v>
      </c>
      <c r="C20" s="1483"/>
      <c r="D20" s="1471" t="s">
        <v>2543</v>
      </c>
      <c r="E20" s="1471"/>
      <c r="F20" s="1471"/>
      <c r="G20" s="1472"/>
      <c r="H20" s="3032"/>
      <c r="I20" s="3032"/>
      <c r="J20" s="1472"/>
      <c r="K20" s="1472"/>
      <c r="L20" s="1482" t="s">
        <v>2490</v>
      </c>
      <c r="M20" s="1475" t="s">
        <v>182</v>
      </c>
      <c r="N20" s="938" t="str">
        <f>IF(NOT($V$9),"",MIN(P18,P19))</f>
        <v/>
      </c>
      <c r="O20" s="1488"/>
      <c r="P20" s="1488"/>
      <c r="Q20" s="1485"/>
      <c r="R20" s="590"/>
      <c r="S20" s="409"/>
      <c r="T20" s="4788"/>
      <c r="AM20" s="2725"/>
      <c r="AN20" s="2038"/>
      <c r="AO20" s="2038"/>
      <c r="AP20" s="2038"/>
      <c r="AQ20" s="2038"/>
      <c r="AR20" s="2038"/>
      <c r="AS20" s="2038"/>
    </row>
    <row r="21" spans="1:45">
      <c r="A21" s="198"/>
      <c r="B21" s="1474"/>
      <c r="C21" s="1483"/>
      <c r="D21" s="1491" t="str">
        <f>"If line 7 of your "&amp;TaxYear-1&amp;" Schedule D is a loss, go to line 5; otherwise, enter -0- on line 5 and go to line 9."</f>
        <v>If line 7 of your 2022 Schedule D is a loss, go to line 5; otherwise, enter -0- on line 5 and go to line 9.</v>
      </c>
      <c r="E21" s="1473"/>
      <c r="F21" s="1471"/>
      <c r="G21" s="1472"/>
      <c r="H21" s="3032"/>
      <c r="I21" s="3032"/>
      <c r="J21" s="1472"/>
      <c r="K21" s="1472"/>
      <c r="L21" s="1472"/>
      <c r="M21" s="5633"/>
      <c r="N21" s="1494" t="str">
        <f>IF(OR(NOT($V$9),P21),"","Go to Line 9.")</f>
        <v/>
      </c>
      <c r="O21" s="1488"/>
      <c r="P21" s="1495" t="b">
        <f>IF(P4&lt;0,TRUE,FALSE)</f>
        <v>0</v>
      </c>
      <c r="Q21" s="1485"/>
      <c r="R21" s="590"/>
      <c r="S21" s="294"/>
      <c r="T21" s="29"/>
      <c r="AM21" s="2725"/>
      <c r="AN21" s="2038"/>
      <c r="AO21" s="2038"/>
      <c r="AP21" s="2038"/>
      <c r="AQ21" s="2038"/>
      <c r="AR21" s="2038"/>
      <c r="AS21" s="2038"/>
    </row>
    <row r="22" spans="1:45">
      <c r="A22" s="198"/>
      <c r="B22" s="1474" t="s">
        <v>198</v>
      </c>
      <c r="C22" s="1483"/>
      <c r="D22" s="1471" t="str">
        <f>"Enter the loss from your "&amp;TaxYear-1&amp;" Schedule D, line 7, as a positive amount"</f>
        <v>Enter the loss from your 2022 Schedule D, line 7, as a positive amount</v>
      </c>
      <c r="E22" s="1471"/>
      <c r="F22" s="1471"/>
      <c r="G22" s="1472"/>
      <c r="H22" s="3032"/>
      <c r="I22" s="3032"/>
      <c r="J22" s="1472"/>
      <c r="K22" s="1472"/>
      <c r="L22" s="1472"/>
      <c r="M22" s="1472"/>
      <c r="N22" s="1482" t="s">
        <v>1337</v>
      </c>
      <c r="O22" s="1483" t="s">
        <v>198</v>
      </c>
      <c r="P22" s="938" t="str">
        <f>IF(NOT(V9),"",IF(NOT(P21),0,IF(ROUND(P4,0)&lt;0,-ROUND(P4,0),0)))</f>
        <v/>
      </c>
      <c r="Q22" s="1485"/>
      <c r="R22" s="590"/>
      <c r="S22" s="409"/>
      <c r="T22" s="4788"/>
      <c r="AM22" s="2725"/>
      <c r="AN22" s="2038"/>
      <c r="AO22" s="2038"/>
      <c r="AP22" s="2038"/>
      <c r="AQ22" s="2038"/>
      <c r="AR22" s="2038"/>
      <c r="AS22" s="2038"/>
    </row>
    <row r="23" spans="1:45" ht="13.5" customHeight="1">
      <c r="A23" s="198"/>
      <c r="B23" s="1474" t="s">
        <v>202</v>
      </c>
      <c r="C23" s="3032"/>
      <c r="D23" s="1471" t="str">
        <f>"Enter any gain from your "&amp;TaxYear-1&amp;" Schedule D, line 15. If a loss, enter -0-"</f>
        <v>Enter any gain from your 2022 Schedule D, line 15. If a loss, enter -0-</v>
      </c>
      <c r="E23" s="1471"/>
      <c r="F23" s="1471"/>
      <c r="G23" s="1472"/>
      <c r="H23" s="3032"/>
      <c r="I23" s="3032"/>
      <c r="J23" s="1472"/>
      <c r="K23" s="1472"/>
      <c r="L23" s="1482" t="s">
        <v>2544</v>
      </c>
      <c r="M23" s="1475" t="s">
        <v>202</v>
      </c>
      <c r="N23" s="938" t="str">
        <f>IF(OR(NOT(V9),NOT(P21)),"",MAX(0,ROUND(P5,0),0))</f>
        <v/>
      </c>
      <c r="O23" s="1488"/>
      <c r="P23" s="1472"/>
      <c r="Q23" s="1485"/>
      <c r="R23" s="590"/>
      <c r="S23" s="29"/>
      <c r="T23" s="29"/>
      <c r="AM23" s="2725"/>
      <c r="AN23" s="2038"/>
      <c r="AO23" s="2038"/>
      <c r="AP23" s="2038"/>
      <c r="AQ23" s="2038"/>
      <c r="AR23" s="2038"/>
      <c r="AS23" s="2038"/>
    </row>
    <row r="24" spans="1:45">
      <c r="A24" s="198"/>
      <c r="B24" s="1474" t="s">
        <v>215</v>
      </c>
      <c r="C24" s="1483"/>
      <c r="D24" s="1471" t="s">
        <v>2545</v>
      </c>
      <c r="E24" s="1471"/>
      <c r="F24" s="1471"/>
      <c r="G24" s="1472"/>
      <c r="H24" s="3032"/>
      <c r="I24" s="3032"/>
      <c r="J24" s="1472"/>
      <c r="K24" s="1472"/>
      <c r="L24" s="1472"/>
      <c r="M24" s="1472"/>
      <c r="N24" s="1482" t="s">
        <v>2546</v>
      </c>
      <c r="O24" s="1483" t="s">
        <v>215</v>
      </c>
      <c r="P24" s="938" t="str">
        <f>IF(OR(NOT(V9),NOT(P21)),"",SUM(N20,N23))</f>
        <v/>
      </c>
      <c r="Q24" s="1485"/>
      <c r="R24" s="590"/>
      <c r="S24" s="409"/>
      <c r="T24" s="29"/>
      <c r="AM24" s="2725"/>
      <c r="AN24" s="2038"/>
      <c r="AO24" s="2038"/>
      <c r="AP24" s="2038"/>
      <c r="AQ24" s="2038"/>
      <c r="AR24" s="2038"/>
      <c r="AS24" s="2038"/>
    </row>
    <row r="25" spans="1:45" ht="14.25" customHeight="1">
      <c r="A25" s="198"/>
      <c r="B25" s="1474" t="s">
        <v>217</v>
      </c>
      <c r="C25" s="3032"/>
      <c r="D25" s="1491" t="str">
        <f>"Short-term capital loss carryover for "&amp;TaxYear&amp;". "</f>
        <v xml:space="preserve">Short-term capital loss carryover for 2023. </v>
      </c>
      <c r="E25" s="1471"/>
      <c r="F25" s="1471"/>
      <c r="G25" s="1472"/>
      <c r="H25" s="1471" t="s">
        <v>2547</v>
      </c>
      <c r="I25" s="3032"/>
      <c r="J25" s="1472"/>
      <c r="K25" s="1472"/>
      <c r="L25" s="1472"/>
      <c r="M25" s="1472"/>
      <c r="N25" s="1472"/>
      <c r="O25" s="1472"/>
      <c r="P25" s="1472"/>
      <c r="Q25" s="1485"/>
      <c r="R25" s="590"/>
      <c r="S25" s="294"/>
      <c r="T25" s="37"/>
      <c r="AM25" s="2725"/>
      <c r="AN25" s="2038"/>
      <c r="AO25" s="2038"/>
      <c r="AP25" s="2038"/>
      <c r="AQ25" s="2038"/>
      <c r="AR25" s="2038"/>
      <c r="AS25" s="2038"/>
    </row>
    <row r="26" spans="1:45" ht="13.5" customHeight="1">
      <c r="A26" s="198"/>
      <c r="B26" s="5630"/>
      <c r="C26" s="3032"/>
      <c r="D26" s="1471" t="s">
        <v>2548</v>
      </c>
      <c r="E26" s="1471"/>
      <c r="F26" s="1471"/>
      <c r="G26" s="1472"/>
      <c r="H26" s="3032"/>
      <c r="I26" s="3032"/>
      <c r="J26" s="1472"/>
      <c r="K26" s="1472"/>
      <c r="L26" s="1472"/>
      <c r="M26" s="1472"/>
      <c r="N26" s="1482" t="s">
        <v>1344</v>
      </c>
      <c r="O26" s="1483" t="s">
        <v>217</v>
      </c>
      <c r="P26" s="938" t="str">
        <f>IF(OR(NOT(V9),NOT(P21)),"",MAX(0,SUM(P22,-P24)))</f>
        <v/>
      </c>
      <c r="Q26" s="1485"/>
      <c r="R26" s="590"/>
      <c r="S26" s="29"/>
      <c r="T26" s="4788"/>
      <c r="AM26" s="2725"/>
      <c r="AN26" s="2038"/>
      <c r="AO26" s="2038"/>
      <c r="AP26" s="2038"/>
      <c r="AQ26" s="2038"/>
      <c r="AR26" s="2038"/>
      <c r="AS26" s="2038"/>
    </row>
    <row r="27" spans="1:45">
      <c r="A27" s="198"/>
      <c r="B27" s="1474"/>
      <c r="C27" s="1483"/>
      <c r="D27" s="1491" t="str">
        <f>"If line 15 of your "&amp;TaxYear-1&amp;" Schedule D is a loss, go to line 9; otherwise, skip lines 9 through 13."</f>
        <v>If line 15 of your 2022 Schedule D is a loss, go to line 9; otherwise, skip lines 9 through 13.</v>
      </c>
      <c r="E27" s="1473"/>
      <c r="F27" s="1471"/>
      <c r="G27" s="1472"/>
      <c r="H27" s="3032"/>
      <c r="I27" s="3032"/>
      <c r="J27" s="1472"/>
      <c r="K27" s="1472"/>
      <c r="L27" s="1472"/>
      <c r="M27" s="5633"/>
      <c r="N27" s="1494" t="str">
        <f>IF(OR(NOT($V$9),P27),"","Skip lines 9 thru 13.")</f>
        <v/>
      </c>
      <c r="O27" s="1488"/>
      <c r="P27" s="1495" t="b">
        <f>IF(P5&lt;0,TRUE,FALSE)</f>
        <v>0</v>
      </c>
      <c r="Q27" s="1485"/>
      <c r="R27" s="590"/>
      <c r="S27" s="294"/>
      <c r="T27" s="29"/>
      <c r="AM27" s="2725"/>
      <c r="AN27" s="2038"/>
      <c r="AO27" s="2038"/>
      <c r="AP27" s="2038"/>
      <c r="AQ27" s="2038"/>
      <c r="AR27" s="2038"/>
      <c r="AS27" s="2038"/>
    </row>
    <row r="28" spans="1:45">
      <c r="A28" s="198"/>
      <c r="B28" s="1474" t="s">
        <v>222</v>
      </c>
      <c r="C28" s="1483"/>
      <c r="D28" s="1471" t="str">
        <f>"Enter the loss from your "&amp;TaxYear-1&amp;" Schedule D, line 15, as a positive amount"</f>
        <v>Enter the loss from your 2022 Schedule D, line 15, as a positive amount</v>
      </c>
      <c r="E28" s="1471"/>
      <c r="F28" s="1471"/>
      <c r="G28" s="1472"/>
      <c r="H28" s="3032"/>
      <c r="I28" s="3032"/>
      <c r="J28" s="1472"/>
      <c r="K28" s="1472"/>
      <c r="L28" s="1472"/>
      <c r="M28" s="1472"/>
      <c r="N28" s="1482" t="s">
        <v>1337</v>
      </c>
      <c r="O28" s="1483" t="s">
        <v>222</v>
      </c>
      <c r="P28" s="938" t="str">
        <f>IF(OR(NOT(V9),NOT(P27)),"",IF(ROUND(P5,0)&lt;0,-ROUND(P5,0),0))</f>
        <v/>
      </c>
      <c r="Q28" s="1485"/>
      <c r="R28" s="590"/>
      <c r="S28" s="409"/>
      <c r="T28" s="29"/>
      <c r="AM28" s="2725"/>
      <c r="AN28" s="2038"/>
      <c r="AO28" s="2038"/>
      <c r="AP28" s="2038"/>
      <c r="AQ28" s="2038"/>
      <c r="AR28" s="2038"/>
      <c r="AS28" s="2038"/>
    </row>
    <row r="29" spans="1:45" ht="13.5" customHeight="1">
      <c r="A29" s="198"/>
      <c r="B29" s="1474" t="s">
        <v>227</v>
      </c>
      <c r="C29" s="3032"/>
      <c r="D29" s="1471" t="str">
        <f>"Enter any gain from your "&amp;TaxYear-1&amp;" Schedule D, line 7. If a loss, enter -0-"</f>
        <v>Enter any gain from your 2022 Schedule D, line 7. If a loss, enter -0-</v>
      </c>
      <c r="E29" s="1471"/>
      <c r="F29" s="1471"/>
      <c r="G29" s="1472"/>
      <c r="H29" s="3032"/>
      <c r="I29" s="3032"/>
      <c r="J29" s="1472"/>
      <c r="K29" s="1472"/>
      <c r="L29" s="1482" t="s">
        <v>2544</v>
      </c>
      <c r="M29" s="1475" t="s">
        <v>227</v>
      </c>
      <c r="N29" s="938" t="str">
        <f>IF(OR(NOT(V9),NOT(P27)),"",MAX(0,ROUND(P4,0)))</f>
        <v/>
      </c>
      <c r="O29" s="1488"/>
      <c r="P29" s="1472"/>
      <c r="Q29" s="1485"/>
      <c r="R29" s="590"/>
      <c r="S29" s="29"/>
      <c r="T29" s="4788"/>
      <c r="AM29" s="2725"/>
      <c r="AN29" s="2038"/>
      <c r="AO29" s="2038"/>
      <c r="AP29" s="2038"/>
      <c r="AQ29" s="2038"/>
      <c r="AR29" s="2038"/>
      <c r="AS29" s="2038"/>
    </row>
    <row r="30" spans="1:45" ht="13.5" customHeight="1">
      <c r="A30" s="198"/>
      <c r="B30" s="1474" t="s">
        <v>229</v>
      </c>
      <c r="C30" s="3032"/>
      <c r="D30" s="1471" t="s">
        <v>2549</v>
      </c>
      <c r="E30" s="1471"/>
      <c r="F30" s="1471"/>
      <c r="G30" s="1472"/>
      <c r="H30" s="3032"/>
      <c r="I30" s="3032"/>
      <c r="J30" s="1472"/>
      <c r="K30" s="1472"/>
      <c r="L30" s="1482" t="s">
        <v>754</v>
      </c>
      <c r="M30" s="1475" t="s">
        <v>229</v>
      </c>
      <c r="N30" s="938" t="str">
        <f>IF(OR(NOT(V9),NOT(P27)),"",MAX(0,SUM(N20,-P22)))</f>
        <v/>
      </c>
      <c r="O30" s="1488"/>
      <c r="P30" s="1472"/>
      <c r="Q30" s="1485"/>
      <c r="R30" s="590"/>
      <c r="S30" s="29"/>
      <c r="T30" s="29"/>
      <c r="AM30" s="2725"/>
      <c r="AN30" s="2038"/>
      <c r="AO30" s="2038"/>
      <c r="AP30" s="2038"/>
      <c r="AQ30" s="2038"/>
      <c r="AR30" s="2038"/>
      <c r="AS30" s="2038"/>
    </row>
    <row r="31" spans="1:45">
      <c r="A31" s="198"/>
      <c r="B31" s="1474" t="s">
        <v>1605</v>
      </c>
      <c r="C31" s="1483"/>
      <c r="D31" s="1471" t="s">
        <v>2550</v>
      </c>
      <c r="E31" s="1471"/>
      <c r="F31" s="1471"/>
      <c r="G31" s="1472"/>
      <c r="H31" s="3032"/>
      <c r="I31" s="3032"/>
      <c r="J31" s="1472"/>
      <c r="K31" s="1472"/>
      <c r="L31" s="1472"/>
      <c r="M31" s="1472"/>
      <c r="N31" s="1482" t="s">
        <v>2551</v>
      </c>
      <c r="O31" s="1483" t="s">
        <v>1605</v>
      </c>
      <c r="P31" s="938" t="str">
        <f>IF(OR(NOT(V9),NOT(P27)),"",SUM(N29,N30))</f>
        <v/>
      </c>
      <c r="Q31" s="1485"/>
      <c r="R31" s="590"/>
      <c r="S31" s="409"/>
      <c r="T31" s="29"/>
      <c r="AM31" s="2725"/>
      <c r="AN31" s="2038"/>
      <c r="AO31" s="2038"/>
      <c r="AP31" s="2038"/>
      <c r="AQ31" s="2038"/>
      <c r="AR31" s="2038"/>
      <c r="AS31" s="2038"/>
    </row>
    <row r="32" spans="1:45" ht="14.25" customHeight="1">
      <c r="A32" s="198"/>
      <c r="B32" s="1474" t="s">
        <v>1607</v>
      </c>
      <c r="C32" s="3032"/>
      <c r="D32" s="1491" t="str">
        <f>"Long-term capital loss carryover for "&amp;TaxYear&amp;". "</f>
        <v xml:space="preserve">Long-term capital loss carryover for 2023. </v>
      </c>
      <c r="E32" s="1471"/>
      <c r="F32" s="1471"/>
      <c r="G32" s="1472"/>
      <c r="H32" s="1471" t="s">
        <v>2552</v>
      </c>
      <c r="I32" s="3032"/>
      <c r="J32" s="1472"/>
      <c r="K32" s="1472"/>
      <c r="L32" s="1472"/>
      <c r="M32" s="1472"/>
      <c r="N32" s="1472"/>
      <c r="O32" s="1472"/>
      <c r="P32" s="1472"/>
      <c r="Q32" s="1485"/>
      <c r="R32" s="590"/>
      <c r="S32" s="294"/>
      <c r="T32" s="37"/>
      <c r="AM32" s="2725"/>
      <c r="AN32" s="2038"/>
      <c r="AO32" s="2038"/>
      <c r="AP32" s="2038"/>
      <c r="AQ32" s="2038"/>
      <c r="AR32" s="2038"/>
      <c r="AS32" s="2038"/>
    </row>
    <row r="33" spans="1:45" ht="13.5" customHeight="1">
      <c r="A33" s="198"/>
      <c r="B33" s="5630"/>
      <c r="C33" s="3032"/>
      <c r="D33" s="1471" t="s">
        <v>2553</v>
      </c>
      <c r="E33" s="1471"/>
      <c r="F33" s="1471"/>
      <c r="G33" s="1472"/>
      <c r="H33" s="3032"/>
      <c r="I33" s="3032"/>
      <c r="J33" s="1472"/>
      <c r="K33" s="1472"/>
      <c r="L33" s="1472"/>
      <c r="M33" s="1472"/>
      <c r="N33" s="1482" t="s">
        <v>2554</v>
      </c>
      <c r="O33" s="1483" t="s">
        <v>1607</v>
      </c>
      <c r="P33" s="938" t="str">
        <f>IF(OR(NOT(V9),NOT(P27)),"",MAX(0,SUM(P28,-P31)))</f>
        <v/>
      </c>
      <c r="Q33" s="1485"/>
      <c r="R33" s="590"/>
      <c r="S33" s="29"/>
      <c r="T33" s="4788"/>
      <c r="AM33" s="2725"/>
      <c r="AN33" s="2038"/>
      <c r="AO33" s="2038"/>
      <c r="AP33" s="2038"/>
      <c r="AQ33" s="2038"/>
      <c r="AR33" s="2038"/>
      <c r="AS33" s="2038"/>
    </row>
    <row r="34" spans="1:45">
      <c r="A34" s="198"/>
      <c r="B34" s="3035"/>
      <c r="C34" s="3036"/>
      <c r="D34" s="3036"/>
      <c r="E34" s="3036"/>
      <c r="F34" s="3036"/>
      <c r="G34" s="3036"/>
      <c r="H34" s="3036"/>
      <c r="I34" s="3036"/>
      <c r="J34" s="3036"/>
      <c r="K34" s="3036"/>
      <c r="L34" s="3036"/>
      <c r="M34" s="3036"/>
      <c r="N34" s="3036"/>
      <c r="O34" s="3036"/>
      <c r="P34" s="3036"/>
      <c r="Q34" s="3037"/>
      <c r="R34" s="590"/>
      <c r="S34" s="29"/>
      <c r="T34" s="29"/>
      <c r="AM34" s="2725"/>
      <c r="AN34" s="2038"/>
      <c r="AO34" s="2038"/>
      <c r="AP34" s="2038"/>
      <c r="AQ34" s="2038"/>
      <c r="AR34" s="2038"/>
      <c r="AS34" s="2038"/>
    </row>
    <row r="35" spans="1:45" ht="50.25" customHeight="1">
      <c r="A35" s="198"/>
      <c r="B35" s="5634"/>
      <c r="C35" s="5634"/>
      <c r="D35" s="5634" t="s">
        <v>2555</v>
      </c>
      <c r="E35" s="5634"/>
      <c r="F35" s="5634"/>
      <c r="G35" s="226"/>
      <c r="H35" s="1063"/>
      <c r="I35" s="1063"/>
      <c r="J35" s="226"/>
      <c r="K35" s="226"/>
      <c r="L35" s="226"/>
      <c r="M35" s="5635"/>
      <c r="N35" s="5635"/>
      <c r="O35" s="3034"/>
      <c r="P35" s="347" t="s">
        <v>2556</v>
      </c>
      <c r="Q35" s="3034"/>
      <c r="R35" s="591"/>
      <c r="S35" s="178"/>
      <c r="T35" s="29"/>
      <c r="AM35" s="2725"/>
      <c r="AN35" s="2038"/>
      <c r="AO35" s="2038"/>
      <c r="AP35" s="2038"/>
      <c r="AQ35" s="2038"/>
      <c r="AR35" s="2038"/>
      <c r="AS35" s="2038"/>
    </row>
    <row r="36" spans="1:45" ht="13.5" customHeight="1">
      <c r="A36" s="198"/>
      <c r="B36" s="5630"/>
      <c r="C36" s="3032"/>
      <c r="D36" s="1471"/>
      <c r="E36" s="1471"/>
      <c r="F36" s="1471"/>
      <c r="G36" s="1472"/>
      <c r="H36" s="3032"/>
      <c r="I36" s="3032"/>
      <c r="J36" s="1472"/>
      <c r="K36" s="1472"/>
      <c r="L36" s="1472"/>
      <c r="M36" s="1472"/>
      <c r="N36" s="1472"/>
      <c r="O36" s="1472"/>
      <c r="P36" s="1472"/>
      <c r="Q36" s="1490"/>
      <c r="R36" s="590"/>
      <c r="S36" s="29"/>
      <c r="T36" s="37"/>
      <c r="AM36" s="2725"/>
      <c r="AN36" s="2038"/>
      <c r="AO36" s="2038"/>
      <c r="AP36" s="2038"/>
      <c r="AQ36" s="2038"/>
      <c r="AR36" s="2038"/>
      <c r="AS36" s="2038"/>
    </row>
    <row r="37" spans="1:45" ht="14.25" customHeight="1">
      <c r="A37" s="198"/>
      <c r="B37" s="1474" t="s">
        <v>167</v>
      </c>
      <c r="C37" s="3032"/>
      <c r="D37" s="1471" t="s">
        <v>2557</v>
      </c>
      <c r="E37" s="1471"/>
      <c r="F37" s="1471"/>
      <c r="G37" s="1472"/>
      <c r="H37" s="3032"/>
      <c r="I37" s="3032"/>
      <c r="J37" s="1472"/>
      <c r="K37" s="1472"/>
      <c r="L37" s="1472"/>
      <c r="M37" s="1483" t="s">
        <v>167</v>
      </c>
      <c r="N37" s="1019"/>
      <c r="O37" s="1488"/>
      <c r="P37" s="1472"/>
      <c r="Q37" s="1485"/>
      <c r="R37" s="590"/>
      <c r="S37" s="294"/>
      <c r="T37" s="37"/>
      <c r="AM37" s="2725"/>
      <c r="AN37" s="2038"/>
      <c r="AO37" s="2038"/>
      <c r="AP37" s="2038"/>
      <c r="AQ37" s="2038"/>
      <c r="AR37" s="2038"/>
      <c r="AS37" s="2038"/>
    </row>
    <row r="38" spans="1:45">
      <c r="A38" s="198"/>
      <c r="B38" s="1474" t="s">
        <v>171</v>
      </c>
      <c r="C38" s="1483"/>
      <c r="D38" s="1471" t="s">
        <v>2558</v>
      </c>
      <c r="E38" s="1471"/>
      <c r="F38" s="1471"/>
      <c r="G38" s="1472"/>
      <c r="H38" s="3032"/>
      <c r="I38" s="3032"/>
      <c r="J38" s="1472"/>
      <c r="K38" s="1472"/>
      <c r="L38" s="1472"/>
      <c r="M38" s="5633"/>
      <c r="N38" s="1487"/>
      <c r="O38" s="1488"/>
      <c r="P38" s="1472"/>
      <c r="Q38" s="1485"/>
      <c r="R38" s="590"/>
      <c r="S38" s="294"/>
      <c r="T38" s="37"/>
      <c r="AM38" s="2725"/>
      <c r="AN38" s="2038"/>
      <c r="AO38" s="2038"/>
      <c r="AP38" s="2038"/>
      <c r="AQ38" s="2038"/>
      <c r="AR38" s="2038"/>
      <c r="AS38" s="2038"/>
    </row>
    <row r="39" spans="1:45">
      <c r="A39" s="198"/>
      <c r="B39" s="1474"/>
      <c r="C39" s="1483"/>
      <c r="D39" s="1476" t="s">
        <v>2559</v>
      </c>
      <c r="E39" s="1471" t="s">
        <v>2560</v>
      </c>
      <c r="F39" s="1471"/>
      <c r="G39" s="1472"/>
      <c r="H39" s="3032"/>
      <c r="I39" s="3032"/>
      <c r="J39" s="1472"/>
      <c r="K39" s="1472"/>
      <c r="L39" s="1472"/>
      <c r="M39" s="5633"/>
      <c r="N39" s="1487"/>
      <c r="O39" s="1488"/>
      <c r="P39" s="1472"/>
      <c r="Q39" s="1485"/>
      <c r="R39" s="590"/>
      <c r="S39" s="294"/>
      <c r="T39" s="37"/>
      <c r="AM39" s="2725"/>
      <c r="AN39" s="2038"/>
      <c r="AO39" s="2038"/>
      <c r="AP39" s="2038"/>
      <c r="AQ39" s="2038"/>
      <c r="AR39" s="2038"/>
      <c r="AS39" s="2038"/>
    </row>
    <row r="40" spans="1:45">
      <c r="A40" s="198"/>
      <c r="B40" s="1474"/>
      <c r="C40" s="1483"/>
      <c r="D40" s="1473"/>
      <c r="E40" s="1471" t="s">
        <v>5597</v>
      </c>
      <c r="F40" s="1471"/>
      <c r="G40" s="1472"/>
      <c r="H40" s="3032"/>
      <c r="I40" s="3032"/>
      <c r="J40" s="1472"/>
      <c r="K40" s="1472"/>
      <c r="L40" s="1472"/>
      <c r="M40" s="5633"/>
      <c r="N40" s="1487"/>
      <c r="O40" s="1488"/>
      <c r="P40" s="1472"/>
      <c r="Q40" s="1485"/>
      <c r="R40" s="590"/>
      <c r="S40" s="294"/>
      <c r="T40" s="37"/>
      <c r="AM40" s="2725"/>
      <c r="AN40" s="2038"/>
      <c r="AO40" s="2038"/>
      <c r="AP40" s="2038"/>
      <c r="AQ40" s="2038"/>
      <c r="AR40" s="2038"/>
      <c r="AS40" s="2038"/>
    </row>
    <row r="41" spans="1:45">
      <c r="A41" s="198"/>
      <c r="B41" s="1474"/>
      <c r="C41" s="1483"/>
      <c r="D41" s="1476" t="s">
        <v>2559</v>
      </c>
      <c r="E41" s="1471" t="s">
        <v>2561</v>
      </c>
      <c r="F41" s="1471"/>
      <c r="G41" s="1472"/>
      <c r="H41" s="3032"/>
      <c r="I41" s="3032"/>
      <c r="J41" s="1472"/>
      <c r="K41" s="1472"/>
      <c r="L41" s="1477" t="s">
        <v>1171</v>
      </c>
      <c r="M41" s="5633" t="str">
        <f>B38</f>
        <v>2.</v>
      </c>
      <c r="N41" s="1019"/>
      <c r="O41" s="1488"/>
      <c r="P41" s="1472"/>
      <c r="Q41" s="1485"/>
      <c r="R41" s="590"/>
      <c r="S41" s="294"/>
      <c r="T41" s="37"/>
      <c r="AM41" s="2725"/>
      <c r="AN41" s="2038"/>
      <c r="AO41" s="2038"/>
      <c r="AP41" s="2038"/>
      <c r="AQ41" s="2038"/>
      <c r="AR41" s="2038"/>
      <c r="AS41" s="2038"/>
    </row>
    <row r="42" spans="1:45">
      <c r="A42" s="198"/>
      <c r="B42" s="1474"/>
      <c r="C42" s="1483"/>
      <c r="D42" s="1473"/>
      <c r="E42" s="1471" t="s">
        <v>5598</v>
      </c>
      <c r="F42" s="1471"/>
      <c r="G42" s="1472"/>
      <c r="H42" s="3032"/>
      <c r="I42" s="3032"/>
      <c r="J42" s="1472"/>
      <c r="K42" s="1472"/>
      <c r="L42" s="1472"/>
      <c r="M42" s="5633"/>
      <c r="N42" s="1487"/>
      <c r="O42" s="1488"/>
      <c r="P42" s="1472"/>
      <c r="Q42" s="1485"/>
      <c r="R42" s="590"/>
      <c r="S42" s="294"/>
      <c r="T42" s="37"/>
      <c r="AM42" s="2725"/>
      <c r="AN42" s="2038"/>
      <c r="AO42" s="2038"/>
      <c r="AP42" s="2038"/>
      <c r="AQ42" s="2038"/>
      <c r="AR42" s="2038"/>
      <c r="AS42" s="2038"/>
    </row>
    <row r="43" spans="1:45">
      <c r="A43" s="198"/>
      <c r="B43" s="1474"/>
      <c r="C43" s="1483"/>
      <c r="D43" s="1476" t="s">
        <v>2559</v>
      </c>
      <c r="E43" s="1471" t="s">
        <v>2562</v>
      </c>
      <c r="F43" s="1471"/>
      <c r="G43" s="1472"/>
      <c r="H43" s="3032"/>
      <c r="I43" s="3032"/>
      <c r="J43" s="1472"/>
      <c r="K43" s="1472"/>
      <c r="L43" s="1472"/>
      <c r="M43" s="5633"/>
      <c r="N43" s="1487"/>
      <c r="O43" s="1488"/>
      <c r="P43" s="1472"/>
      <c r="Q43" s="1485"/>
      <c r="R43" s="590"/>
      <c r="S43" s="409"/>
      <c r="T43" s="37"/>
      <c r="AM43" s="2725"/>
      <c r="AN43" s="2038"/>
      <c r="AO43" s="2038"/>
      <c r="AP43" s="2038"/>
      <c r="AQ43" s="2038"/>
      <c r="AR43" s="2038"/>
      <c r="AS43" s="2038"/>
    </row>
    <row r="44" spans="1:45">
      <c r="A44" s="198"/>
      <c r="B44" s="5630"/>
      <c r="C44" s="3032"/>
      <c r="D44" s="3032"/>
      <c r="E44" s="1471" t="s">
        <v>5599</v>
      </c>
      <c r="F44" s="1471"/>
      <c r="G44" s="1472"/>
      <c r="H44" s="3032"/>
      <c r="I44" s="3032"/>
      <c r="J44" s="1472"/>
      <c r="K44" s="1472"/>
      <c r="L44" s="1472"/>
      <c r="M44" s="5633"/>
      <c r="N44" s="1489"/>
      <c r="O44" s="1488"/>
      <c r="P44" s="1472"/>
      <c r="Q44" s="1485"/>
      <c r="R44" s="590"/>
      <c r="S44" s="409"/>
      <c r="T44" s="3908"/>
      <c r="AM44" s="2725"/>
      <c r="AN44" s="2038"/>
      <c r="AO44" s="2038"/>
      <c r="AP44" s="2038"/>
      <c r="AQ44" s="2038"/>
      <c r="AR44" s="2038"/>
      <c r="AS44" s="2038"/>
    </row>
    <row r="45" spans="1:45">
      <c r="A45" s="198"/>
      <c r="B45" s="5630"/>
      <c r="C45" s="3032"/>
      <c r="D45" s="3032"/>
      <c r="E45" s="1471" t="s">
        <v>2563</v>
      </c>
      <c r="F45" s="1471"/>
      <c r="G45" s="1472"/>
      <c r="H45" s="3032"/>
      <c r="I45" s="3032"/>
      <c r="J45" s="1472"/>
      <c r="K45" s="1472"/>
      <c r="L45" s="1472"/>
      <c r="M45" s="5633"/>
      <c r="N45" s="1489"/>
      <c r="O45" s="1488"/>
      <c r="P45" s="1472"/>
      <c r="Q45" s="1485"/>
      <c r="R45" s="590"/>
      <c r="S45" s="409"/>
      <c r="T45" s="29"/>
      <c r="AM45" s="2725"/>
      <c r="AN45" s="2038"/>
      <c r="AO45" s="2038"/>
      <c r="AP45" s="2038"/>
      <c r="AQ45" s="2038"/>
      <c r="AR45" s="2038"/>
      <c r="AS45" s="2038"/>
    </row>
    <row r="46" spans="1:45">
      <c r="A46" s="198"/>
      <c r="B46" s="1474" t="s">
        <v>177</v>
      </c>
      <c r="C46" s="1483"/>
      <c r="D46" s="1471" t="s">
        <v>5601</v>
      </c>
      <c r="E46" s="1471"/>
      <c r="F46" s="1471"/>
      <c r="G46" s="1472"/>
      <c r="H46" s="3032"/>
      <c r="I46" s="3032"/>
      <c r="J46" s="1472"/>
      <c r="K46" s="1472"/>
      <c r="L46" s="1472"/>
      <c r="M46" s="5633"/>
      <c r="N46" s="1487"/>
      <c r="O46" s="1488"/>
      <c r="P46" s="1019">
        <f>'1099-DIV'!H98</f>
        <v>0</v>
      </c>
      <c r="Q46" s="1485"/>
      <c r="R46" s="590"/>
      <c r="S46" s="32" t="str">
        <f>E49</f>
        <v>Form 1099-DIV, box 2d;</v>
      </c>
      <c r="T46" s="29"/>
      <c r="AM46" s="2725"/>
      <c r="AN46" s="2038"/>
      <c r="AO46" s="2038"/>
      <c r="AP46" s="2038"/>
      <c r="AQ46" s="2038"/>
      <c r="AR46" s="2038"/>
      <c r="AS46" s="2038"/>
    </row>
    <row r="47" spans="1:45" ht="13.5" customHeight="1">
      <c r="A47" s="198"/>
      <c r="B47" s="5630"/>
      <c r="C47" s="3032"/>
      <c r="D47" s="1471" t="s">
        <v>5600</v>
      </c>
      <c r="E47" s="1471"/>
      <c r="F47" s="1471"/>
      <c r="G47" s="1472"/>
      <c r="H47" s="3032"/>
      <c r="I47" s="3032"/>
      <c r="J47" s="1472"/>
      <c r="K47" s="1472"/>
      <c r="L47" s="1472"/>
      <c r="M47" s="5633" t="str">
        <f>B46</f>
        <v>3.</v>
      </c>
      <c r="N47" s="1019"/>
      <c r="O47" s="1488"/>
      <c r="P47" s="1488"/>
      <c r="Q47" s="1485"/>
      <c r="R47" s="590"/>
      <c r="S47" s="29"/>
      <c r="T47" s="29"/>
      <c r="AM47" s="2725"/>
      <c r="AN47" s="2038"/>
      <c r="AO47" s="2038"/>
      <c r="AP47" s="2038"/>
      <c r="AQ47" s="2038"/>
      <c r="AR47" s="2038"/>
      <c r="AS47" s="2038"/>
    </row>
    <row r="48" spans="1:45">
      <c r="A48" s="198"/>
      <c r="B48" s="1474" t="s">
        <v>182</v>
      </c>
      <c r="C48" s="1483"/>
      <c r="D48" s="1471" t="s">
        <v>2564</v>
      </c>
      <c r="E48" s="1471"/>
      <c r="F48" s="1471"/>
      <c r="G48" s="1472"/>
      <c r="H48" s="3032"/>
      <c r="I48" s="3032"/>
      <c r="J48" s="1472"/>
      <c r="K48" s="1472"/>
      <c r="L48" s="1472"/>
      <c r="M48" s="5633"/>
      <c r="N48" s="1487"/>
      <c r="O48" s="1488"/>
      <c r="P48" s="1019"/>
      <c r="Q48" s="1485"/>
      <c r="R48" s="590"/>
      <c r="S48" s="294" t="str">
        <f>E50</f>
        <v>Form 2439, box 1d; and</v>
      </c>
      <c r="T48" s="29"/>
      <c r="AM48" s="2725"/>
      <c r="AN48" s="2038"/>
      <c r="AO48" s="2038"/>
      <c r="AP48" s="2038"/>
      <c r="AQ48" s="2038"/>
      <c r="AR48" s="2038"/>
      <c r="AS48" s="2038"/>
    </row>
    <row r="49" spans="1:45" ht="13.5" customHeight="1">
      <c r="A49" s="198"/>
      <c r="B49" s="1478"/>
      <c r="C49" s="1479"/>
      <c r="D49" s="1476" t="s">
        <v>2559</v>
      </c>
      <c r="E49" s="1471" t="s">
        <v>2565</v>
      </c>
      <c r="F49" s="1476"/>
      <c r="G49" s="1471"/>
      <c r="H49" s="3032"/>
      <c r="I49" s="3032"/>
      <c r="J49" s="1472"/>
      <c r="K49" s="1472"/>
      <c r="L49" s="1472"/>
      <c r="M49" s="5633"/>
      <c r="N49" s="1487"/>
      <c r="O49" s="1488"/>
      <c r="P49" s="1488"/>
      <c r="Q49" s="1485"/>
      <c r="R49" s="590"/>
      <c r="S49" s="409"/>
      <c r="T49" s="29"/>
      <c r="Z49" s="906"/>
      <c r="AC49" s="906" t="s">
        <v>5868</v>
      </c>
      <c r="AD49" s="906"/>
      <c r="AM49" s="2038"/>
      <c r="AN49" s="2038"/>
      <c r="AO49" s="2038"/>
      <c r="AP49" s="2038"/>
      <c r="AQ49" s="2038"/>
      <c r="AR49" s="2038"/>
      <c r="AS49" s="2038"/>
    </row>
    <row r="50" spans="1:45" ht="13.5" customHeight="1">
      <c r="A50" s="198"/>
      <c r="B50" s="1478"/>
      <c r="C50" s="1479"/>
      <c r="D50" s="1476" t="s">
        <v>2559</v>
      </c>
      <c r="E50" s="1471" t="s">
        <v>2566</v>
      </c>
      <c r="F50" s="1476"/>
      <c r="G50" s="1471"/>
      <c r="H50" s="3032"/>
      <c r="I50" s="3032"/>
      <c r="J50" s="1472"/>
      <c r="K50" s="1472"/>
      <c r="L50" s="1477" t="s">
        <v>2182</v>
      </c>
      <c r="M50" s="5633" t="str">
        <f>B48</f>
        <v>4.</v>
      </c>
      <c r="N50" s="938">
        <f>SUM(P46,P48,P51)</f>
        <v>0</v>
      </c>
      <c r="O50" s="1488"/>
      <c r="P50" s="1488"/>
      <c r="Q50" s="1485"/>
      <c r="R50" s="590"/>
      <c r="S50" s="32" t="str">
        <f>LEFT(E51,19)</f>
        <v>Schedule K-1 from a</v>
      </c>
      <c r="T50" s="29"/>
      <c r="W50" s="904" t="s">
        <v>2576</v>
      </c>
      <c r="X50" s="904" t="s">
        <v>2576</v>
      </c>
      <c r="Y50" s="906" t="s">
        <v>5873</v>
      </c>
      <c r="Z50" s="906" t="s">
        <v>2578</v>
      </c>
      <c r="AA50" s="906" t="s">
        <v>2576</v>
      </c>
      <c r="AB50" s="906" t="s">
        <v>2576</v>
      </c>
      <c r="AC50" s="906" t="s">
        <v>2578</v>
      </c>
      <c r="AE50" s="39"/>
      <c r="AM50" s="2038"/>
      <c r="AN50" s="2038"/>
      <c r="AO50" s="2038"/>
      <c r="AP50" s="2038"/>
      <c r="AQ50" s="2038"/>
      <c r="AR50" s="2038"/>
      <c r="AS50" s="2038"/>
    </row>
    <row r="51" spans="1:45" ht="13.5" customHeight="1">
      <c r="A51" s="198"/>
      <c r="B51" s="1478"/>
      <c r="C51" s="1479"/>
      <c r="D51" s="1476" t="s">
        <v>2559</v>
      </c>
      <c r="E51" s="1471" t="s">
        <v>2567</v>
      </c>
      <c r="F51" s="1476"/>
      <c r="G51" s="1471"/>
      <c r="H51" s="3032"/>
      <c r="I51" s="3032"/>
      <c r="J51" s="1472"/>
      <c r="K51" s="1472"/>
      <c r="L51" s="1472"/>
      <c r="M51" s="5633"/>
      <c r="N51" s="1487"/>
      <c r="O51" s="1488"/>
      <c r="P51" s="1019"/>
      <c r="Q51" s="1485"/>
      <c r="R51" s="590"/>
      <c r="S51" s="32" t="str">
        <f>MID(E51,21,27)</f>
        <v>partnership, S corporation,</v>
      </c>
      <c r="T51" s="4788"/>
      <c r="W51" s="905" t="s">
        <v>2581</v>
      </c>
      <c r="X51" s="905" t="s">
        <v>2582</v>
      </c>
      <c r="Y51" s="907" t="s">
        <v>5874</v>
      </c>
      <c r="Z51" s="907" t="s">
        <v>2583</v>
      </c>
      <c r="AA51" s="907" t="s">
        <v>5884</v>
      </c>
      <c r="AB51" s="907" t="s">
        <v>5885</v>
      </c>
      <c r="AC51" s="907" t="s">
        <v>2584</v>
      </c>
      <c r="AE51" s="39"/>
      <c r="AM51" s="2038"/>
      <c r="AN51" s="2038"/>
      <c r="AO51" s="2038"/>
      <c r="AP51" s="2038"/>
      <c r="AQ51" s="2038"/>
      <c r="AR51" s="2038"/>
      <c r="AS51" s="2038"/>
    </row>
    <row r="52" spans="1:45" ht="13.5" customHeight="1">
      <c r="A52" s="198"/>
      <c r="B52" s="1474" t="s">
        <v>198</v>
      </c>
      <c r="C52" s="1483"/>
      <c r="D52" s="1471" t="s">
        <v>2568</v>
      </c>
      <c r="E52" s="1471"/>
      <c r="F52" s="1471"/>
      <c r="G52" s="1472"/>
      <c r="H52" s="3032"/>
      <c r="I52" s="3032"/>
      <c r="J52" s="1472"/>
      <c r="K52" s="1472"/>
      <c r="L52" s="1472"/>
      <c r="M52" s="5633"/>
      <c r="N52" s="1487"/>
      <c r="O52" s="1488"/>
      <c r="P52" s="1488"/>
      <c r="Q52" s="1485"/>
      <c r="R52" s="590"/>
      <c r="S52" s="32" t="str">
        <f>RIGHT(E51,16)</f>
        <v>state, or trust.</v>
      </c>
      <c r="T52" s="4788"/>
      <c r="W52" s="39" t="b">
        <f>AND(SchDLine18&lt;&gt;"",SchDLine18&gt;0)</f>
        <v>0</v>
      </c>
      <c r="X52" s="39" t="b">
        <f>AND(SchDLine19&lt;&gt;"",SchDLine19&gt;0)</f>
        <v>0</v>
      </c>
      <c r="Y52" t="b">
        <f>F4952_Line_4g</f>
        <v>0</v>
      </c>
      <c r="Z52" t="b">
        <f>OR(Qualified_Dividends="",Qualified_Dividends=0)</f>
        <v>1</v>
      </c>
      <c r="AA52" t="b">
        <f>AND(SchDLine15&lt;&gt;"",SchDLine15&gt;0)</f>
        <v>0</v>
      </c>
      <c r="AB52" t="b">
        <f>AND(SchDLine16&lt;&gt;"",SchDLine16&gt;0)</f>
        <v>0</v>
      </c>
      <c r="AC52" t="b">
        <f>Taxable_Inc=0</f>
        <v>1</v>
      </c>
      <c r="AE52" s="39"/>
      <c r="AM52" s="2038"/>
      <c r="AN52" s="2038"/>
      <c r="AO52" s="2038"/>
      <c r="AP52" s="2038"/>
      <c r="AQ52" s="2038"/>
      <c r="AR52" s="2038"/>
      <c r="AS52" s="2038"/>
    </row>
    <row r="53" spans="1:45" ht="12.75" customHeight="1">
      <c r="A53" s="198"/>
      <c r="B53" s="5630"/>
      <c r="C53" s="3032"/>
      <c r="D53" s="1471" t="s">
        <v>2569</v>
      </c>
      <c r="E53" s="1471"/>
      <c r="F53" s="1471"/>
      <c r="G53" s="1472"/>
      <c r="H53" s="3032"/>
      <c r="I53" s="3032"/>
      <c r="J53" s="1472"/>
      <c r="K53" s="1472"/>
      <c r="L53" s="1482" t="s">
        <v>2570</v>
      </c>
      <c r="M53" s="5633" t="str">
        <f>B52</f>
        <v>5.</v>
      </c>
      <c r="N53" s="938">
        <f>SUM('Sch. D'!N48,P53)</f>
        <v>0</v>
      </c>
      <c r="O53" s="1488"/>
      <c r="P53" s="1019"/>
      <c r="Q53" s="1485"/>
      <c r="R53" s="590"/>
      <c r="S53" s="294" t="s">
        <v>2571</v>
      </c>
      <c r="T53" s="4788"/>
      <c r="AM53" s="2725"/>
      <c r="AN53" s="2038"/>
      <c r="AO53" s="2038"/>
      <c r="AP53" s="2038"/>
      <c r="AQ53" s="2038"/>
      <c r="AR53" s="2038"/>
      <c r="AS53" s="2038"/>
    </row>
    <row r="54" spans="1:45">
      <c r="A54" s="198"/>
      <c r="B54" s="1474" t="s">
        <v>202</v>
      </c>
      <c r="C54" s="1483"/>
      <c r="D54" s="1471" t="s">
        <v>2572</v>
      </c>
      <c r="E54" s="1471"/>
      <c r="F54" s="1471"/>
      <c r="G54" s="1472"/>
      <c r="H54" s="3032"/>
      <c r="I54" s="3032"/>
      <c r="J54" s="1472"/>
      <c r="K54" s="1472"/>
      <c r="L54" s="1477" t="s">
        <v>558</v>
      </c>
      <c r="M54" s="5633" t="str">
        <f>B54</f>
        <v>6.</v>
      </c>
      <c r="N54" s="938">
        <f>IF('Sch. D'!N30&lt;0,'Sch. D'!N30,0)</f>
        <v>0</v>
      </c>
      <c r="O54" s="1488"/>
      <c r="P54" s="1488"/>
      <c r="Q54" s="1485"/>
      <c r="R54" s="590"/>
      <c r="S54" s="409"/>
      <c r="T54" s="4788"/>
      <c r="W54" s="39" t="b">
        <f>OR(W52,X52)</f>
        <v>0</v>
      </c>
      <c r="X54" s="676" t="s">
        <v>5871</v>
      </c>
      <c r="AM54" s="2725"/>
      <c r="AN54" s="2038"/>
      <c r="AO54" s="2038"/>
      <c r="AP54" s="2038"/>
      <c r="AQ54" s="2038"/>
      <c r="AR54" s="2038"/>
      <c r="AS54" s="2038"/>
    </row>
    <row r="55" spans="1:45">
      <c r="A55" s="198"/>
      <c r="B55" s="1474" t="s">
        <v>215</v>
      </c>
      <c r="C55" s="1483"/>
      <c r="D55" s="1471" t="s">
        <v>2573</v>
      </c>
      <c r="E55" s="1471"/>
      <c r="F55" s="1471"/>
      <c r="G55" s="1472"/>
      <c r="H55" s="3032"/>
      <c r="I55" s="3032"/>
      <c r="J55" s="1472"/>
      <c r="K55" s="1472"/>
      <c r="L55" s="1472"/>
      <c r="M55" s="5633"/>
      <c r="N55" s="1487"/>
      <c r="O55" s="1488"/>
      <c r="P55" s="1488"/>
      <c r="Q55" s="1485"/>
      <c r="R55" s="590"/>
      <c r="S55" s="29"/>
      <c r="T55" s="4788"/>
      <c r="W55" s="676" t="b">
        <f>AND(AA52,AB52)</f>
        <v>0</v>
      </c>
      <c r="X55" s="676" t="s">
        <v>5872</v>
      </c>
      <c r="AM55" s="2725"/>
      <c r="AN55" s="2038"/>
      <c r="AO55" s="2038"/>
      <c r="AP55" s="2038"/>
      <c r="AQ55" s="2038"/>
      <c r="AR55" s="2038"/>
      <c r="AS55" s="2038"/>
    </row>
    <row r="56" spans="1:45">
      <c r="A56" s="198"/>
      <c r="B56" s="5630"/>
      <c r="C56" s="3032"/>
      <c r="D56" s="1471" t="s">
        <v>2574</v>
      </c>
      <c r="E56" s="1471"/>
      <c r="F56" s="1471"/>
      <c r="G56" s="1472"/>
      <c r="H56" s="3032"/>
      <c r="I56" s="3032"/>
      <c r="J56" s="1472"/>
      <c r="K56" s="1472"/>
      <c r="L56" s="1482" t="s">
        <v>2575</v>
      </c>
      <c r="M56" s="5633" t="str">
        <f>B55</f>
        <v>7.</v>
      </c>
      <c r="N56" s="938">
        <f>IF(SUM(N37:N54)&lt;=0,0,SUM(N37:N54))</f>
        <v>0</v>
      </c>
      <c r="O56" s="1488"/>
      <c r="P56" s="1488"/>
      <c r="Q56" s="1485"/>
      <c r="R56" s="590"/>
      <c r="S56" s="29"/>
      <c r="T56" s="4788"/>
      <c r="W56" s="39" t="b">
        <f>Y52</f>
        <v>0</v>
      </c>
      <c r="X56" s="676" t="s">
        <v>5877</v>
      </c>
      <c r="AM56" s="2725"/>
      <c r="AN56" s="2038"/>
      <c r="AO56" s="2038"/>
      <c r="AP56" s="2038"/>
      <c r="AQ56" s="2038"/>
      <c r="AR56" s="2038"/>
      <c r="AS56" s="2038"/>
    </row>
    <row r="57" spans="1:45" ht="13.5" thickBot="1">
      <c r="A57" s="198"/>
      <c r="B57" s="1480"/>
      <c r="C57" s="1481"/>
      <c r="D57" s="1481"/>
      <c r="E57" s="1481"/>
      <c r="F57" s="1481"/>
      <c r="G57" s="1481"/>
      <c r="H57" s="1481"/>
      <c r="I57" s="1481"/>
      <c r="J57" s="1481"/>
      <c r="K57" s="1481"/>
      <c r="L57" s="1481"/>
      <c r="M57" s="1481"/>
      <c r="N57" s="1481"/>
      <c r="O57" s="1481"/>
      <c r="P57" s="1481"/>
      <c r="Q57" s="1486"/>
      <c r="R57" s="590"/>
      <c r="S57" s="29"/>
      <c r="T57" s="4788"/>
      <c r="W57" s="2722" t="b">
        <f>OR(AND(W54,W55),W56)</f>
        <v>0</v>
      </c>
      <c r="X57" s="962" t="s">
        <v>5881</v>
      </c>
      <c r="AM57" s="2725"/>
      <c r="AN57" s="2038"/>
      <c r="AO57" s="2038"/>
      <c r="AP57" s="2038"/>
      <c r="AQ57" s="2038"/>
      <c r="AR57" s="2038"/>
      <c r="AS57" s="2038"/>
    </row>
    <row r="58" spans="1:45">
      <c r="A58" s="198"/>
      <c r="B58" s="51"/>
      <c r="C58" s="51"/>
      <c r="D58" s="51"/>
      <c r="E58" s="51"/>
      <c r="F58" s="51"/>
      <c r="G58" s="22"/>
      <c r="H58" s="22"/>
      <c r="I58" s="22"/>
      <c r="J58" s="107"/>
      <c r="K58" s="107"/>
      <c r="L58" s="107"/>
      <c r="M58" s="107"/>
      <c r="N58" s="107"/>
      <c r="O58" s="107"/>
      <c r="P58" s="107"/>
      <c r="Q58" s="107"/>
      <c r="R58" s="592"/>
      <c r="S58" s="176"/>
      <c r="T58" s="29"/>
      <c r="AM58" s="2725"/>
      <c r="AN58" s="2038"/>
      <c r="AO58" s="2038"/>
      <c r="AP58" s="2038"/>
      <c r="AQ58" s="2038"/>
      <c r="AR58" s="2038"/>
      <c r="AS58" s="2038"/>
    </row>
    <row r="59" spans="1:45" ht="18.75" customHeight="1">
      <c r="A59" s="198"/>
      <c r="B59" s="5634" t="s">
        <v>1729</v>
      </c>
      <c r="C59" s="5634"/>
      <c r="D59" s="5365"/>
      <c r="E59" s="5365"/>
      <c r="F59" s="5365"/>
      <c r="G59" s="226"/>
      <c r="H59" s="226"/>
      <c r="I59" s="226"/>
      <c r="J59" s="226"/>
      <c r="K59" s="226"/>
      <c r="L59" s="226"/>
      <c r="M59" s="226"/>
      <c r="N59" s="226"/>
      <c r="O59" s="226"/>
      <c r="P59" s="347" t="s">
        <v>2556</v>
      </c>
      <c r="Q59" s="176"/>
      <c r="R59" s="179"/>
      <c r="S59" s="1238"/>
      <c r="T59" s="29"/>
      <c r="U59" s="902"/>
      <c r="V59"/>
      <c r="W59" s="3033" t="s">
        <v>5882</v>
      </c>
      <c r="X59" s="39"/>
      <c r="AM59" s="2725"/>
      <c r="AN59" s="2038"/>
      <c r="AO59" s="2038"/>
      <c r="AP59" s="2038"/>
      <c r="AQ59" s="2038"/>
      <c r="AR59" s="2038"/>
      <c r="AS59" s="2038"/>
    </row>
    <row r="60" spans="1:45" ht="14.25" customHeight="1">
      <c r="A60" s="198"/>
      <c r="B60" s="909" t="s">
        <v>2579</v>
      </c>
      <c r="C60" s="132" t="s">
        <v>2580</v>
      </c>
      <c r="D60" s="267"/>
      <c r="E60" s="267"/>
      <c r="F60" s="267"/>
      <c r="G60" s="159"/>
      <c r="H60" s="159"/>
      <c r="I60" s="159"/>
      <c r="J60" s="159"/>
      <c r="K60" s="132"/>
      <c r="L60" s="132"/>
      <c r="M60" s="159"/>
      <c r="N60" s="159"/>
      <c r="O60" s="159"/>
      <c r="P60" s="412"/>
      <c r="Q60" s="343"/>
      <c r="R60" s="593"/>
      <c r="S60" s="1238"/>
      <c r="T60" s="29"/>
      <c r="U60" s="902"/>
      <c r="V60"/>
      <c r="W60" s="39" t="b">
        <f>AND(Z52,NOT(AA52))</f>
        <v>1</v>
      </c>
      <c r="X60" s="676" t="s">
        <v>5869</v>
      </c>
      <c r="AM60" s="2725"/>
      <c r="AN60" s="2038"/>
      <c r="AO60" s="2038"/>
      <c r="AP60" s="2038"/>
      <c r="AQ60" s="2038"/>
      <c r="AR60" s="2038"/>
      <c r="AS60" s="2038"/>
    </row>
    <row r="61" spans="1:45" ht="14.25" customHeight="1" thickBot="1">
      <c r="A61" s="198"/>
      <c r="B61" s="3929"/>
      <c r="C61" s="132" t="s">
        <v>5878</v>
      </c>
      <c r="D61" s="267"/>
      <c r="E61" s="267"/>
      <c r="F61" s="267"/>
      <c r="G61" s="159"/>
      <c r="H61" s="159"/>
      <c r="I61" s="159"/>
      <c r="J61" s="159"/>
      <c r="K61" s="132"/>
      <c r="L61" s="132"/>
      <c r="M61" s="159"/>
      <c r="N61" s="159"/>
      <c r="O61" s="159"/>
      <c r="P61" s="412"/>
      <c r="Q61" s="176"/>
      <c r="R61" s="593"/>
      <c r="S61" s="1238" t="s">
        <v>2585</v>
      </c>
      <c r="T61" s="29"/>
      <c r="U61" s="902"/>
      <c r="V61"/>
      <c r="W61" s="39" t="b">
        <f>AND(Z52,NOT(AB52))</f>
        <v>1</v>
      </c>
      <c r="X61" s="676" t="s">
        <v>5870</v>
      </c>
      <c r="AM61" s="2725"/>
      <c r="AN61" s="2038"/>
      <c r="AO61" s="2038"/>
      <c r="AP61" s="2038"/>
      <c r="AQ61" s="2038"/>
      <c r="AR61" s="2038"/>
      <c r="AS61" s="2038"/>
    </row>
    <row r="62" spans="1:45" ht="15" customHeight="1" thickBot="1">
      <c r="A62" s="198"/>
      <c r="B62" s="5636"/>
      <c r="C62" s="3383" t="s">
        <v>2586</v>
      </c>
      <c r="D62" s="267"/>
      <c r="E62" s="267"/>
      <c r="F62" s="267"/>
      <c r="G62" s="159"/>
      <c r="H62" s="159"/>
      <c r="I62" s="159"/>
      <c r="J62" s="159"/>
      <c r="K62" s="159"/>
      <c r="L62" s="159"/>
      <c r="M62" s="159"/>
      <c r="N62" s="159"/>
      <c r="O62" s="159"/>
      <c r="P62" s="412"/>
      <c r="Q62" s="176"/>
      <c r="R62" s="794"/>
      <c r="S62" s="567" t="str">
        <f>IF(W72,"Yes",IF(W64,"Yes","No"))</f>
        <v>No</v>
      </c>
      <c r="T62" s="29"/>
      <c r="U62" s="902"/>
      <c r="V62"/>
      <c r="W62" s="2722" t="b">
        <f>OR(W60,W61,AC52 )</f>
        <v>1</v>
      </c>
      <c r="X62" s="676" t="s">
        <v>5876</v>
      </c>
      <c r="AM62" s="2725"/>
      <c r="AN62" s="2038"/>
      <c r="AO62" s="2038"/>
      <c r="AP62" s="2038"/>
      <c r="AQ62" s="2038"/>
      <c r="AR62" s="2038"/>
      <c r="AS62" s="2038"/>
    </row>
    <row r="63" spans="1:45" ht="13.5" thickBot="1">
      <c r="A63" s="198"/>
      <c r="B63" s="5636"/>
      <c r="C63" s="3384" t="s">
        <v>2587</v>
      </c>
      <c r="D63" s="267"/>
      <c r="E63" s="267"/>
      <c r="F63" s="267"/>
      <c r="G63" s="159"/>
      <c r="H63" s="159"/>
      <c r="I63" s="159"/>
      <c r="J63" s="159"/>
      <c r="K63" s="159"/>
      <c r="L63" s="159"/>
      <c r="M63" s="159"/>
      <c r="N63" s="379" t="s">
        <v>1736</v>
      </c>
      <c r="O63" s="6229" t="s">
        <v>5875</v>
      </c>
      <c r="P63" s="1019"/>
      <c r="Q63" s="176"/>
      <c r="R63" s="794"/>
      <c r="S63" s="7319" t="str">
        <f>IF(W72,"Override used.",IF(Y52,"Form 4952 is used",IF(SchD_Line1819_GT_0,"","Neither Sch. D, Line 18"&amp;CHAR(10)&amp;"nor Line 19 are &gt;0")))</f>
        <v>Neither Sch. D, Line 18
nor Line 19 are &gt;0</v>
      </c>
      <c r="T63" s="29"/>
      <c r="U63" s="902"/>
      <c r="V63"/>
      <c r="AM63" s="2725"/>
      <c r="AN63" s="2038"/>
      <c r="AO63" s="2038"/>
      <c r="AP63" s="2038"/>
      <c r="AQ63" s="2038"/>
      <c r="AR63" s="2038"/>
      <c r="AS63" s="2038"/>
    </row>
    <row r="64" spans="1:45" ht="12.75" customHeight="1" thickBot="1">
      <c r="A64" s="198"/>
      <c r="B64" s="5636"/>
      <c r="C64" s="3384" t="s">
        <v>2588</v>
      </c>
      <c r="D64" s="267"/>
      <c r="E64" s="267"/>
      <c r="F64" s="267"/>
      <c r="G64" s="159"/>
      <c r="H64" s="159"/>
      <c r="I64" s="159"/>
      <c r="J64" s="159"/>
      <c r="K64" s="159"/>
      <c r="L64" s="159"/>
      <c r="M64" s="159"/>
      <c r="N64" s="159"/>
      <c r="O64" s="159"/>
      <c r="P64" s="412"/>
      <c r="Q64" s="176"/>
      <c r="R64" s="794"/>
      <c r="S64" s="7320"/>
      <c r="T64" s="29"/>
      <c r="U64" s="902"/>
      <c r="V64"/>
      <c r="W64" s="6226" t="b">
        <f xml:space="preserve"> OR(W72,AND(NOT(Exception_QDCG_TW_SchD_TW),W57))</f>
        <v>0</v>
      </c>
      <c r="X64" s="676" t="s">
        <v>5880</v>
      </c>
      <c r="AM64" s="2725"/>
      <c r="AN64" s="2038"/>
      <c r="AO64" s="2038"/>
      <c r="AP64" s="2038"/>
      <c r="AQ64" s="2038"/>
      <c r="AR64" s="2038"/>
      <c r="AS64" s="2038"/>
    </row>
    <row r="65" spans="1:45">
      <c r="A65" s="198"/>
      <c r="B65" s="5636"/>
      <c r="C65" s="132" t="s">
        <v>2589</v>
      </c>
      <c r="D65" s="267"/>
      <c r="E65" s="267"/>
      <c r="F65" s="267"/>
      <c r="G65" s="159"/>
      <c r="H65" s="132"/>
      <c r="I65" s="159"/>
      <c r="J65" s="159"/>
      <c r="K65" s="159"/>
      <c r="L65" s="159"/>
      <c r="M65" s="159"/>
      <c r="N65" s="159"/>
      <c r="O65" s="159"/>
      <c r="P65" s="412"/>
      <c r="Q65" s="176"/>
      <c r="R65" s="795"/>
      <c r="S65" s="7319" t="str">
        <f>IF(AND(SchDTW_Used,NOT(W72),W57,SchD_Line1819_GT_0,SchD_Line1516_GT_0,NOT(W56)),"Sch. D Line 18 or 19 &gt;0  "&amp;CHAR(10)&amp;"AND",IF(AND(NOT(W56),NOT(SchD_Line1516_GT_0)),"Sch. D, Lines 15 and 16 are not both gains.",""))</f>
        <v>Sch. D, Lines 15 and 16 are not both gains.</v>
      </c>
      <c r="T65" s="29"/>
      <c r="U65" s="902"/>
      <c r="V65"/>
      <c r="X65" s="676"/>
      <c r="AM65" s="2725"/>
      <c r="AN65" s="2038"/>
      <c r="AO65" s="2038"/>
      <c r="AP65" s="2038"/>
      <c r="AQ65" s="2038"/>
      <c r="AR65" s="2038"/>
      <c r="AS65" s="2038"/>
    </row>
    <row r="66" spans="1:45" ht="12" customHeight="1">
      <c r="A66" s="198"/>
      <c r="B66" s="7321" t="s">
        <v>2579</v>
      </c>
      <c r="C66" s="7322"/>
      <c r="D66" s="266" t="s">
        <v>936</v>
      </c>
      <c r="E66" s="190" t="s">
        <v>2590</v>
      </c>
      <c r="F66" s="267"/>
      <c r="G66" s="159"/>
      <c r="H66" s="132"/>
      <c r="I66" s="190"/>
      <c r="J66" s="159"/>
      <c r="K66" s="159"/>
      <c r="L66" s="159"/>
      <c r="M66" s="159"/>
      <c r="N66" s="568"/>
      <c r="O66" s="569"/>
      <c r="P66" s="568"/>
      <c r="Q66" s="176"/>
      <c r="R66" s="794"/>
      <c r="S66" s="7319"/>
      <c r="T66" s="29"/>
      <c r="V66"/>
      <c r="AM66" s="2725"/>
      <c r="AN66" s="2038"/>
      <c r="AO66" s="2038"/>
      <c r="AP66" s="2038"/>
      <c r="AQ66" s="2038"/>
      <c r="AR66" s="2038"/>
      <c r="AS66" s="2038"/>
    </row>
    <row r="67" spans="1:45" ht="12" customHeight="1">
      <c r="A67" s="198"/>
      <c r="B67" s="599"/>
      <c r="C67" s="5637" t="s">
        <v>1445</v>
      </c>
      <c r="D67" s="266"/>
      <c r="E67" s="190"/>
      <c r="F67" s="267"/>
      <c r="G67" s="159"/>
      <c r="H67" s="132"/>
      <c r="I67" s="190"/>
      <c r="J67" s="159"/>
      <c r="K67" s="159"/>
      <c r="L67" s="159"/>
      <c r="M67" s="159"/>
      <c r="N67" s="568"/>
      <c r="O67" s="569"/>
      <c r="P67" s="568"/>
      <c r="Q67" s="176"/>
      <c r="R67" s="796"/>
      <c r="S67" s="4869" t="str">
        <f>IF(W56,"",IF(W67,"Sch D Line 15 &amp; 16 &gt; 0",IF(W60,"Line 15 is &lt;= 0 &amp; no Qual Divds","")))</f>
        <v>Line 15 is &lt;= 0 &amp; no Qual Divds</v>
      </c>
      <c r="T67" s="29"/>
      <c r="V67"/>
      <c r="W67" s="39" t="b">
        <f>AND(NOT(W72),SchDTW_Used,NOT(Exception_QDCG_TW_SchD_TW),SchD_Line1819_GT_0,SchD_Line1516_GT_0,AA52)</f>
        <v>0</v>
      </c>
      <c r="AM67" s="2725"/>
      <c r="AN67" s="2038"/>
      <c r="AO67" s="2038"/>
      <c r="AP67" s="2038"/>
      <c r="AQ67" s="2038"/>
      <c r="AR67" s="2038"/>
      <c r="AS67" s="2038"/>
    </row>
    <row r="68" spans="1:45" ht="12" customHeight="1">
      <c r="A68" s="198"/>
      <c r="B68" s="7321" t="s">
        <v>2579</v>
      </c>
      <c r="C68" s="7322"/>
      <c r="D68" s="266" t="s">
        <v>936</v>
      </c>
      <c r="E68" s="190" t="s">
        <v>2591</v>
      </c>
      <c r="F68" s="267"/>
      <c r="G68" s="159"/>
      <c r="H68" s="159"/>
      <c r="I68" s="159"/>
      <c r="J68" s="159"/>
      <c r="K68" s="159"/>
      <c r="L68" s="159"/>
      <c r="M68" s="159"/>
      <c r="N68" s="568"/>
      <c r="O68" s="569"/>
      <c r="P68" s="412"/>
      <c r="Q68" s="176"/>
      <c r="R68" s="796"/>
      <c r="S68" s="4869" t="str">
        <f>IF(W61,"Line 16 is &lt;= 0 &amp; no Qual Divds","")</f>
        <v>Line 16 is &lt;= 0 &amp; no Qual Divds</v>
      </c>
      <c r="T68" s="29"/>
      <c r="V68"/>
      <c r="AM68" s="2725"/>
      <c r="AN68" s="2038"/>
      <c r="AO68" s="2038"/>
      <c r="AP68" s="2038"/>
      <c r="AQ68" s="2038"/>
      <c r="AR68" s="2038"/>
      <c r="AS68" s="2038"/>
    </row>
    <row r="69" spans="1:45" ht="12" customHeight="1">
      <c r="A69" s="198"/>
      <c r="B69" s="414"/>
      <c r="C69" s="190" t="s">
        <v>2592</v>
      </c>
      <c r="D69" s="190"/>
      <c r="E69" s="190"/>
      <c r="F69" s="190"/>
      <c r="G69" s="190"/>
      <c r="H69" s="190"/>
      <c r="I69" s="190"/>
      <c r="J69" s="190"/>
      <c r="K69" s="190"/>
      <c r="L69" s="190"/>
      <c r="M69" s="190"/>
      <c r="N69" s="568"/>
      <c r="O69" s="190"/>
      <c r="P69" s="413"/>
      <c r="Q69" s="18"/>
      <c r="R69" s="593"/>
      <c r="S69" s="7325" t="str">
        <f>IF(AC52,"Form 1040, Line 10 is &lt;= 0","")</f>
        <v>Form 1040, Line 10 is &lt;= 0</v>
      </c>
      <c r="T69" s="29"/>
      <c r="V69"/>
      <c r="AM69" s="2725"/>
      <c r="AN69" s="2038"/>
      <c r="AO69" s="2038"/>
      <c r="AP69" s="2038"/>
      <c r="AQ69" s="2038"/>
      <c r="AR69" s="2038"/>
      <c r="AS69" s="2038"/>
    </row>
    <row r="70" spans="1:45" ht="7.5" customHeight="1" thickBot="1">
      <c r="A70" s="198"/>
      <c r="B70" s="415"/>
      <c r="C70" s="416"/>
      <c r="D70" s="416"/>
      <c r="E70" s="416"/>
      <c r="F70" s="416"/>
      <c r="G70" s="416"/>
      <c r="H70" s="416"/>
      <c r="I70" s="416"/>
      <c r="J70" s="416"/>
      <c r="K70" s="416"/>
      <c r="L70" s="416"/>
      <c r="M70" s="416"/>
      <c r="N70" s="416"/>
      <c r="O70" s="416"/>
      <c r="P70" s="417"/>
      <c r="Q70" s="418"/>
      <c r="R70" s="593"/>
      <c r="S70" s="7325"/>
      <c r="T70" s="29"/>
      <c r="AM70" s="2725"/>
      <c r="AN70" s="2038"/>
      <c r="AO70" s="2038"/>
      <c r="AP70" s="2038"/>
      <c r="AQ70" s="2038"/>
      <c r="AR70" s="2038"/>
      <c r="AS70" s="2038"/>
    </row>
    <row r="71" spans="1:45" ht="14.25" customHeight="1" thickBot="1">
      <c r="A71" s="198"/>
      <c r="B71" s="414"/>
      <c r="C71" s="190"/>
      <c r="D71" s="190"/>
      <c r="E71" s="190"/>
      <c r="F71" s="190"/>
      <c r="G71" s="190"/>
      <c r="H71" s="190"/>
      <c r="I71" s="190"/>
      <c r="J71" s="190"/>
      <c r="K71" s="190"/>
      <c r="L71" s="190"/>
      <c r="M71" s="190"/>
      <c r="N71" s="190"/>
      <c r="O71" s="190"/>
      <c r="P71" s="419"/>
      <c r="Q71" s="18"/>
      <c r="R71" s="593"/>
      <c r="S71" s="5638"/>
      <c r="T71" s="29"/>
      <c r="X71" s="2732" t="s">
        <v>1729</v>
      </c>
      <c r="Y71" s="2733"/>
      <c r="Z71" s="2733"/>
      <c r="AA71" s="2733" t="b">
        <f>SchDTW_Used</f>
        <v>0</v>
      </c>
      <c r="AB71" s="2749" t="s">
        <v>1730</v>
      </c>
      <c r="AM71" s="2725"/>
      <c r="AN71" s="2038"/>
      <c r="AO71" s="2038"/>
      <c r="AP71" s="2038"/>
      <c r="AQ71" s="2038"/>
      <c r="AR71" s="2038"/>
      <c r="AS71" s="2038"/>
    </row>
    <row r="72" spans="1:45" ht="12" customHeight="1" thickBot="1">
      <c r="A72" s="198"/>
      <c r="B72" s="5639">
        <v>1</v>
      </c>
      <c r="C72" s="190"/>
      <c r="D72" s="267" t="s">
        <v>2593</v>
      </c>
      <c r="E72" s="190"/>
      <c r="F72" s="190"/>
      <c r="G72" s="190"/>
      <c r="H72" s="190"/>
      <c r="I72" s="190"/>
      <c r="J72" s="190"/>
      <c r="K72" s="190"/>
      <c r="L72" s="190"/>
      <c r="M72" s="190"/>
      <c r="N72" s="190"/>
      <c r="O72" s="190"/>
      <c r="P72" s="413"/>
      <c r="Q72" s="18"/>
      <c r="R72" s="593"/>
      <c r="S72" s="457" t="s">
        <v>1113</v>
      </c>
      <c r="T72" s="29"/>
      <c r="U72" s="6230"/>
      <c r="V72" s="162" t="s">
        <v>2594</v>
      </c>
      <c r="W72" s="2722" t="b">
        <f>U72&lt;&gt;""</f>
        <v>0</v>
      </c>
      <c r="X72" s="6227" t="s">
        <v>167</v>
      </c>
      <c r="Y72" s="962" t="s">
        <v>2595</v>
      </c>
      <c r="AA72" s="938">
        <v>0</v>
      </c>
      <c r="AB72" s="2735"/>
      <c r="AM72" s="2725"/>
      <c r="AN72" s="2038"/>
      <c r="AO72" s="2038"/>
      <c r="AP72" s="2038"/>
      <c r="AQ72" s="2038"/>
      <c r="AR72" s="2038"/>
      <c r="AS72" s="2038"/>
    </row>
    <row r="73" spans="1:45" ht="12.75" customHeight="1">
      <c r="A73" s="198"/>
      <c r="B73" s="414"/>
      <c r="C73" s="190"/>
      <c r="D73" s="3414" t="s">
        <v>2596</v>
      </c>
      <c r="E73" s="190"/>
      <c r="F73" s="190"/>
      <c r="G73" s="190"/>
      <c r="H73" s="190"/>
      <c r="I73" s="190"/>
      <c r="J73" s="190"/>
      <c r="K73" s="190"/>
      <c r="L73" s="190"/>
      <c r="M73" s="190"/>
      <c r="N73" s="190"/>
      <c r="O73" s="190"/>
      <c r="P73" s="413"/>
      <c r="Q73" s="18"/>
      <c r="R73" s="593"/>
      <c r="S73" s="457" t="s">
        <v>1062</v>
      </c>
      <c r="T73" s="29"/>
      <c r="V73" s="162" t="s">
        <v>2597</v>
      </c>
      <c r="X73" s="2736" t="s">
        <v>171</v>
      </c>
      <c r="Y73" s="962" t="s">
        <v>1734</v>
      </c>
      <c r="AA73" s="938">
        <f>Qualified_Dividends</f>
        <v>0</v>
      </c>
      <c r="AB73" s="2735"/>
      <c r="AM73" s="2725"/>
      <c r="AN73" s="2038"/>
      <c r="AO73" s="2038"/>
      <c r="AP73" s="2038"/>
      <c r="AQ73" s="2038"/>
      <c r="AR73" s="2038"/>
      <c r="AS73" s="2038"/>
    </row>
    <row r="74" spans="1:45" ht="12.75" customHeight="1">
      <c r="A74" s="198"/>
      <c r="B74" s="414"/>
      <c r="C74" s="124"/>
      <c r="D74" s="267" t="s">
        <v>2598</v>
      </c>
      <c r="E74" s="267"/>
      <c r="F74" s="267"/>
      <c r="G74" s="159"/>
      <c r="H74" s="159"/>
      <c r="I74" s="159"/>
      <c r="J74" s="160"/>
      <c r="K74" s="160"/>
      <c r="L74" s="160"/>
      <c r="M74" s="160"/>
      <c r="N74" s="176" t="s">
        <v>646</v>
      </c>
      <c r="O74" s="5640">
        <f>B72</f>
        <v>1</v>
      </c>
      <c r="P74" s="938" t="str">
        <f>IF(S74&lt;&gt;"",ROUND(S74,0),IF(NOT(SchDTW_Used),"",IF(Form2555_Used,[0]!FEI_TW_Line3,IF(Taxable_Inc&lt;&gt;"",Taxable_Inc,0))))</f>
        <v/>
      </c>
      <c r="Q74" s="178"/>
      <c r="R74" s="411"/>
      <c r="S74" s="939"/>
      <c r="T74" s="29"/>
      <c r="V74" s="162" t="s">
        <v>2599</v>
      </c>
      <c r="X74" s="2737" t="s">
        <v>177</v>
      </c>
      <c r="Y74" s="962" t="s">
        <v>1736</v>
      </c>
      <c r="AA74" s="938">
        <f>Form4952_Line4g</f>
        <v>0</v>
      </c>
      <c r="AB74" s="2735"/>
      <c r="AM74" s="2725"/>
      <c r="AN74" s="2038"/>
      <c r="AO74" s="2038"/>
      <c r="AP74" s="2038"/>
      <c r="AQ74" s="2038"/>
      <c r="AR74" s="2038"/>
      <c r="AS74" s="2038"/>
    </row>
    <row r="75" spans="1:45" ht="12.75" customHeight="1">
      <c r="A75" s="198"/>
      <c r="B75" s="5639">
        <v>2</v>
      </c>
      <c r="C75" s="124"/>
      <c r="D75" s="267" t="s">
        <v>2600</v>
      </c>
      <c r="E75" s="267"/>
      <c r="F75" s="267"/>
      <c r="G75" s="159"/>
      <c r="H75" s="159"/>
      <c r="I75" s="159"/>
      <c r="J75" s="160"/>
      <c r="K75" s="160"/>
      <c r="L75" s="160"/>
      <c r="M75" s="160"/>
      <c r="N75" s="176"/>
      <c r="O75" s="176"/>
      <c r="P75" s="3756"/>
      <c r="Q75" s="178"/>
      <c r="R75" s="411"/>
      <c r="S75" s="43"/>
      <c r="T75" s="29"/>
      <c r="X75" s="2737" t="s">
        <v>182</v>
      </c>
      <c r="Y75" s="962" t="s">
        <v>1738</v>
      </c>
      <c r="AA75" s="938">
        <f>Form4952_Line4e</f>
        <v>0</v>
      </c>
      <c r="AB75" s="2735"/>
      <c r="AM75" s="2725"/>
      <c r="AN75" s="2038"/>
      <c r="AO75" s="2038"/>
      <c r="AP75" s="2038"/>
      <c r="AQ75" s="2038"/>
      <c r="AR75" s="2038"/>
      <c r="AS75" s="2038"/>
    </row>
    <row r="76" spans="1:45" ht="13.5" customHeight="1">
      <c r="A76" s="198"/>
      <c r="B76" s="5639"/>
      <c r="C76" s="124"/>
      <c r="D76" s="2810" t="s">
        <v>2601</v>
      </c>
      <c r="E76" s="267"/>
      <c r="F76" s="267"/>
      <c r="G76" s="159"/>
      <c r="H76" s="159"/>
      <c r="I76" s="159"/>
      <c r="J76" s="176" t="s">
        <v>740</v>
      </c>
      <c r="K76" s="5640">
        <f>B75</f>
        <v>2</v>
      </c>
      <c r="L76" s="938" t="str">
        <f>IF(S76&lt;&gt;"",S76,IF(NOT(SchDTW_Used),"",Qualified_Dividends))</f>
        <v/>
      </c>
      <c r="M76" s="302"/>
      <c r="N76" s="302"/>
      <c r="O76" s="156"/>
      <c r="P76" s="3756"/>
      <c r="Q76" s="3756"/>
      <c r="R76" s="594"/>
      <c r="S76" s="939"/>
      <c r="T76" s="29"/>
      <c r="V76" s="676"/>
      <c r="X76" s="2736" t="s">
        <v>198</v>
      </c>
      <c r="Y76" s="962" t="s">
        <v>1739</v>
      </c>
      <c r="AA76" s="938">
        <f>MAX(0,SUM(AA74-AA75))</f>
        <v>0</v>
      </c>
      <c r="AB76" s="2735"/>
      <c r="AM76" s="2725"/>
      <c r="AN76" s="2038"/>
      <c r="AO76" s="2038"/>
      <c r="AP76" s="2038"/>
      <c r="AQ76" s="2038"/>
      <c r="AR76" s="2038"/>
      <c r="AS76" s="2038"/>
    </row>
    <row r="77" spans="1:45" ht="12.75" customHeight="1">
      <c r="A77" s="198"/>
      <c r="B77" s="5641" t="s">
        <v>177</v>
      </c>
      <c r="C77" s="124"/>
      <c r="D77" s="7323" t="s">
        <v>2602</v>
      </c>
      <c r="E77" s="7324"/>
      <c r="F77" s="7324"/>
      <c r="G77" s="6970"/>
      <c r="H77" s="6970"/>
      <c r="I77" s="379"/>
      <c r="J77" s="159"/>
      <c r="K77" s="159"/>
      <c r="L77" s="159"/>
      <c r="M77" s="124"/>
      <c r="N77" s="302"/>
      <c r="O77" s="156"/>
      <c r="P77" s="3756"/>
      <c r="Q77" s="3756"/>
      <c r="R77" s="594"/>
      <c r="S77" s="43"/>
      <c r="T77" s="29"/>
      <c r="X77" s="2738" t="s">
        <v>202</v>
      </c>
      <c r="Y77" s="962" t="s">
        <v>1740</v>
      </c>
      <c r="AA77" s="938">
        <f>MAX(0,SUM(AA73,-AA76))</f>
        <v>0</v>
      </c>
      <c r="AB77" s="2735"/>
      <c r="AM77" s="2725"/>
      <c r="AN77" s="2038"/>
      <c r="AO77" s="2038"/>
      <c r="AP77" s="2038"/>
      <c r="AQ77" s="2038"/>
      <c r="AR77" s="2038"/>
      <c r="AS77" s="2038"/>
    </row>
    <row r="78" spans="1:45" ht="14.25" customHeight="1">
      <c r="A78" s="198"/>
      <c r="B78" s="5641"/>
      <c r="C78" s="124"/>
      <c r="D78" s="7323" t="s">
        <v>2603</v>
      </c>
      <c r="E78" s="7324"/>
      <c r="F78" s="7324"/>
      <c r="G78" s="6970"/>
      <c r="H78" s="6970"/>
      <c r="I78" s="2726" t="str">
        <f>B77</f>
        <v>3.</v>
      </c>
      <c r="J78" s="938">
        <f>ROUND(P63,0)</f>
        <v>0</v>
      </c>
      <c r="K78" s="159" t="s">
        <v>5879</v>
      </c>
      <c r="L78" s="159"/>
      <c r="M78" s="124"/>
      <c r="N78" s="302"/>
      <c r="O78" s="156"/>
      <c r="P78" s="3756"/>
      <c r="Q78" s="3756"/>
      <c r="R78" s="594"/>
      <c r="S78" s="43"/>
      <c r="T78" s="29"/>
      <c r="X78" s="2736" t="s">
        <v>215</v>
      </c>
      <c r="Y78" s="962" t="s">
        <v>1741</v>
      </c>
      <c r="AA78" s="938">
        <f>MIN(SchDLine15,SchDLine16)</f>
        <v>0</v>
      </c>
      <c r="AB78" s="2735"/>
      <c r="AM78" s="2725"/>
      <c r="AN78" s="2038"/>
      <c r="AO78" s="2038"/>
      <c r="AP78" s="2038"/>
      <c r="AQ78" s="2038"/>
      <c r="AR78" s="2038"/>
      <c r="AS78" s="2038"/>
    </row>
    <row r="79" spans="1:45" ht="13.5" customHeight="1">
      <c r="A79" s="198"/>
      <c r="B79" s="3385" t="s">
        <v>182</v>
      </c>
      <c r="C79" s="124"/>
      <c r="D79" s="267" t="s">
        <v>2604</v>
      </c>
      <c r="E79" s="267"/>
      <c r="F79" s="267"/>
      <c r="G79" s="159"/>
      <c r="H79" s="159"/>
      <c r="I79" s="379" t="str">
        <f>B79</f>
        <v>4.</v>
      </c>
      <c r="J79" s="1019"/>
      <c r="K79" s="124"/>
      <c r="L79" s="124"/>
      <c r="M79" s="124"/>
      <c r="N79" s="302"/>
      <c r="O79" s="156"/>
      <c r="P79" s="2256" t="b">
        <f>AND(Form4952_Line4g&lt;&gt;"",Form4952_Line4g&gt;0)</f>
        <v>0</v>
      </c>
      <c r="Q79" s="3756"/>
      <c r="R79" s="594"/>
      <c r="S79" s="43"/>
      <c r="T79" s="29"/>
      <c r="X79" s="2736" t="s">
        <v>217</v>
      </c>
      <c r="Y79" s="962" t="s">
        <v>1742</v>
      </c>
      <c r="AA79" s="938">
        <f>MIN(AA74,AA75)</f>
        <v>0</v>
      </c>
      <c r="AB79" s="2735"/>
      <c r="AM79" s="2725"/>
      <c r="AN79" s="2038"/>
      <c r="AO79" s="2038"/>
      <c r="AP79" s="2038"/>
      <c r="AQ79" s="2038"/>
      <c r="AR79" s="2038"/>
      <c r="AS79" s="2038"/>
    </row>
    <row r="80" spans="1:45" ht="14.25" customHeight="1">
      <c r="A80" s="198"/>
      <c r="B80" s="3385" t="s">
        <v>198</v>
      </c>
      <c r="C80" s="124"/>
      <c r="D80" s="267" t="s">
        <v>2605</v>
      </c>
      <c r="E80" s="267"/>
      <c r="F80" s="267"/>
      <c r="G80" s="159"/>
      <c r="H80" s="159"/>
      <c r="I80" s="159"/>
      <c r="J80" s="954" t="s">
        <v>2182</v>
      </c>
      <c r="K80" s="124" t="str">
        <f>B80</f>
        <v>5.</v>
      </c>
      <c r="L80" s="938" t="str">
        <f>IF(NOT(SchDTW_Used),"",MAX(0,J78-J79))</f>
        <v/>
      </c>
      <c r="M80" s="302"/>
      <c r="N80" s="302"/>
      <c r="O80" s="156"/>
      <c r="P80" s="3756"/>
      <c r="Q80" s="3756"/>
      <c r="R80" s="594"/>
      <c r="S80" s="43"/>
      <c r="T80" s="29"/>
      <c r="X80" s="2738" t="s">
        <v>222</v>
      </c>
      <c r="Y80" s="962" t="s">
        <v>1743</v>
      </c>
      <c r="AA80" s="938">
        <f>MAX(0,SUM(AA78,-AA79))</f>
        <v>0</v>
      </c>
      <c r="AB80" s="2735"/>
      <c r="AM80" s="2725"/>
      <c r="AN80" s="2038"/>
      <c r="AO80" s="2038"/>
      <c r="AP80" s="2038"/>
      <c r="AQ80" s="2038"/>
      <c r="AR80" s="2038"/>
      <c r="AS80" s="2038"/>
    </row>
    <row r="81" spans="1:45">
      <c r="A81" s="198"/>
      <c r="B81" s="3385" t="s">
        <v>202</v>
      </c>
      <c r="C81" s="124"/>
      <c r="D81" s="267" t="s">
        <v>2606</v>
      </c>
      <c r="E81" s="267"/>
      <c r="F81" s="267"/>
      <c r="G81" s="159"/>
      <c r="H81" s="159"/>
      <c r="I81" s="159"/>
      <c r="J81" s="160"/>
      <c r="K81" s="124"/>
      <c r="L81" s="940" t="s">
        <v>2607</v>
      </c>
      <c r="M81" s="124" t="str">
        <f>B81</f>
        <v>6.</v>
      </c>
      <c r="N81" s="938" t="str">
        <f>IF(NOT(SchDTW_Used),"",MAX(0,L76-L80))</f>
        <v/>
      </c>
      <c r="O81" s="156"/>
      <c r="P81" s="3756"/>
      <c r="Q81" s="3756"/>
      <c r="R81" s="594"/>
      <c r="S81" s="43"/>
      <c r="T81" s="29"/>
      <c r="X81" s="2736" t="s">
        <v>227</v>
      </c>
      <c r="Y81" s="962" t="s">
        <v>1744</v>
      </c>
      <c r="AA81" s="938">
        <f>SUM(AA77,AA80)</f>
        <v>0</v>
      </c>
      <c r="AB81" s="2735"/>
      <c r="AM81" s="2725"/>
      <c r="AN81" s="2038"/>
      <c r="AO81" s="2038"/>
      <c r="AP81" s="2038"/>
      <c r="AQ81" s="2038"/>
      <c r="AR81" s="2038"/>
      <c r="AS81" s="2038"/>
    </row>
    <row r="82" spans="1:45">
      <c r="A82" s="198"/>
      <c r="B82" s="3385" t="s">
        <v>215</v>
      </c>
      <c r="C82" s="124"/>
      <c r="D82" s="267" t="s">
        <v>2608</v>
      </c>
      <c r="E82" s="267"/>
      <c r="F82" s="267"/>
      <c r="G82" s="159"/>
      <c r="H82" s="159"/>
      <c r="I82" s="159"/>
      <c r="J82" s="954" t="s">
        <v>2182</v>
      </c>
      <c r="K82" s="124" t="str">
        <f>B82</f>
        <v>7.</v>
      </c>
      <c r="L82" s="938" t="str">
        <f>IF(NOT(SchDTW_Used),"",MIN(SchDLine15,SchDLine16))</f>
        <v/>
      </c>
      <c r="M82" s="302"/>
      <c r="N82" s="298"/>
      <c r="O82" s="156"/>
      <c r="P82" s="3756"/>
      <c r="Q82" s="3756"/>
      <c r="R82" s="594"/>
      <c r="S82" s="43"/>
      <c r="T82" s="29"/>
      <c r="V82" s="677"/>
      <c r="X82" s="2738" t="s">
        <v>229</v>
      </c>
      <c r="Y82" s="962" t="s">
        <v>1745</v>
      </c>
      <c r="AA82" s="938">
        <f>SUM(SchDLine18,SchDLine19)</f>
        <v>0</v>
      </c>
      <c r="AB82" s="2735"/>
      <c r="AM82" s="2725"/>
      <c r="AN82" s="2038"/>
      <c r="AO82" s="2038"/>
      <c r="AP82" s="2038"/>
      <c r="AQ82" s="2038"/>
      <c r="AR82" s="2038"/>
      <c r="AS82" s="2038"/>
    </row>
    <row r="83" spans="1:45">
      <c r="A83" s="198"/>
      <c r="B83" s="3385" t="s">
        <v>217</v>
      </c>
      <c r="C83" s="124"/>
      <c r="D83" s="267" t="s">
        <v>2609</v>
      </c>
      <c r="E83" s="267"/>
      <c r="F83" s="267"/>
      <c r="G83" s="159"/>
      <c r="H83" s="159"/>
      <c r="I83" s="159"/>
      <c r="J83" s="954" t="s">
        <v>1561</v>
      </c>
      <c r="K83" s="124" t="str">
        <f>B83</f>
        <v>8.</v>
      </c>
      <c r="L83" s="938" t="str">
        <f>IF(NOT(SchDTW_Used),"",MIN(J78,J79))</f>
        <v/>
      </c>
      <c r="M83" s="302"/>
      <c r="N83" s="268"/>
      <c r="O83" s="156"/>
      <c r="P83" s="3756"/>
      <c r="Q83" s="3756"/>
      <c r="R83" s="594"/>
      <c r="S83" s="43"/>
      <c r="T83" s="29"/>
      <c r="X83" s="2736" t="s">
        <v>1605</v>
      </c>
      <c r="Y83" s="962" t="s">
        <v>1746</v>
      </c>
      <c r="AA83" s="938">
        <f>MIN(AA80,AA82)</f>
        <v>0</v>
      </c>
      <c r="AB83" s="2735"/>
      <c r="AM83" s="2725"/>
      <c r="AN83" s="2038"/>
      <c r="AO83" s="2038"/>
      <c r="AP83" s="2038"/>
      <c r="AQ83" s="2038"/>
      <c r="AR83" s="2038"/>
      <c r="AS83" s="2038"/>
    </row>
    <row r="84" spans="1:45">
      <c r="A84" s="198"/>
      <c r="B84" s="3385" t="s">
        <v>222</v>
      </c>
      <c r="C84" s="124"/>
      <c r="D84" s="267" t="s">
        <v>2610</v>
      </c>
      <c r="E84" s="267"/>
      <c r="F84" s="267"/>
      <c r="G84" s="159"/>
      <c r="H84" s="159"/>
      <c r="I84" s="159"/>
      <c r="J84" s="160"/>
      <c r="K84" s="124"/>
      <c r="L84" s="940" t="s">
        <v>2607</v>
      </c>
      <c r="M84" s="124" t="str">
        <f>B84</f>
        <v>9.</v>
      </c>
      <c r="N84" s="938" t="str">
        <f>IF(NOT(SchDTW_Used),"",MAX(0,L82-L83))</f>
        <v/>
      </c>
      <c r="O84" s="156"/>
      <c r="P84" s="3756"/>
      <c r="Q84" s="3756"/>
      <c r="R84" s="594"/>
      <c r="S84" s="457" t="s">
        <v>1113</v>
      </c>
      <c r="T84" s="29"/>
      <c r="X84" s="2734" t="s">
        <v>1607</v>
      </c>
      <c r="Y84" s="962" t="s">
        <v>1747</v>
      </c>
      <c r="AA84" s="938">
        <f>SUM(AA81,-AA83)</f>
        <v>0</v>
      </c>
      <c r="AB84" s="2735"/>
      <c r="AM84" s="2725"/>
      <c r="AN84" s="2038"/>
      <c r="AO84" s="2038"/>
      <c r="AP84" s="2038"/>
      <c r="AQ84" s="2038"/>
      <c r="AR84" s="2038"/>
      <c r="AS84" s="2038"/>
    </row>
    <row r="85" spans="1:45" ht="13.5" customHeight="1">
      <c r="A85" s="198"/>
      <c r="B85" s="3385" t="s">
        <v>227</v>
      </c>
      <c r="C85" s="124"/>
      <c r="D85" s="267" t="s">
        <v>1744</v>
      </c>
      <c r="E85" s="267"/>
      <c r="F85" s="267"/>
      <c r="G85" s="159"/>
      <c r="H85" s="159"/>
      <c r="I85" s="159"/>
      <c r="J85" s="954" t="s">
        <v>1495</v>
      </c>
      <c r="K85" s="124" t="str">
        <f>B85</f>
        <v>10.</v>
      </c>
      <c r="L85" s="938" t="str">
        <f>IF(NOT(SchDTW_Used),"",N81+N84)</f>
        <v/>
      </c>
      <c r="M85" s="3756"/>
      <c r="N85" s="5642"/>
      <c r="O85" s="3756"/>
      <c r="P85" s="3756"/>
      <c r="Q85" s="3756"/>
      <c r="R85" s="594"/>
      <c r="S85" s="457" t="s">
        <v>1062</v>
      </c>
      <c r="T85" s="29"/>
      <c r="V85" s="676"/>
      <c r="X85" s="2734" t="s">
        <v>1608</v>
      </c>
      <c r="Y85" s="962" t="s">
        <v>1748</v>
      </c>
      <c r="AA85" s="938">
        <f>MAX(0,SUM(AA72,-AA84))</f>
        <v>0</v>
      </c>
      <c r="AB85" s="2735"/>
      <c r="AM85" s="2725"/>
      <c r="AN85" s="2038"/>
      <c r="AO85" s="2038"/>
      <c r="AP85" s="2038"/>
      <c r="AQ85" s="2038"/>
      <c r="AR85" s="2038"/>
      <c r="AS85" s="2038"/>
    </row>
    <row r="86" spans="1:45">
      <c r="A86" s="198"/>
      <c r="B86" s="3385" t="s">
        <v>229</v>
      </c>
      <c r="C86" s="124"/>
      <c r="D86" s="267" t="s">
        <v>2611</v>
      </c>
      <c r="E86" s="267"/>
      <c r="F86" s="267"/>
      <c r="G86" s="159"/>
      <c r="H86" s="159"/>
      <c r="I86" s="159"/>
      <c r="J86" s="160"/>
      <c r="K86" s="160"/>
      <c r="L86" s="940" t="s">
        <v>1093</v>
      </c>
      <c r="M86" s="124" t="str">
        <f>B86</f>
        <v>11.</v>
      </c>
      <c r="N86" s="938" t="str">
        <f>IF(S86&lt;&gt;"",S86,IF(NOT(SchDTW_Used),"",SUM('Sch. D'!N73,'Sch. D'!N76)))</f>
        <v/>
      </c>
      <c r="O86" s="156"/>
      <c r="P86" s="3756"/>
      <c r="Q86" s="3756"/>
      <c r="R86" s="594"/>
      <c r="S86" s="939"/>
      <c r="T86" s="29"/>
      <c r="X86" s="2736" t="s">
        <v>1610</v>
      </c>
      <c r="Y86" s="962" t="s">
        <v>1749</v>
      </c>
      <c r="AA86" s="938" t="str">
        <f>SchDTW_Line15</f>
        <v>Filing status?</v>
      </c>
      <c r="AB86" s="2735"/>
      <c r="AM86" s="2725"/>
      <c r="AN86" s="2038"/>
      <c r="AO86" s="2038"/>
      <c r="AP86" s="2038"/>
      <c r="AQ86" s="2038"/>
      <c r="AR86" s="2038"/>
      <c r="AS86" s="2038"/>
    </row>
    <row r="87" spans="1:45">
      <c r="A87" s="198"/>
      <c r="B87" s="3385" t="s">
        <v>1605</v>
      </c>
      <c r="C87" s="124"/>
      <c r="D87" s="267" t="s">
        <v>2612</v>
      </c>
      <c r="E87" s="267"/>
      <c r="F87" s="267"/>
      <c r="G87" s="159"/>
      <c r="H87" s="159"/>
      <c r="I87" s="159"/>
      <c r="J87" s="160"/>
      <c r="K87" s="124" t="str">
        <f>B87</f>
        <v>12.</v>
      </c>
      <c r="L87" s="938" t="str">
        <f>IF(NOT(SchDTW_Used),"",MIN(N84,N86))</f>
        <v/>
      </c>
      <c r="M87" s="124"/>
      <c r="N87" s="297"/>
      <c r="O87" s="156"/>
      <c r="P87" s="3756"/>
      <c r="Q87" s="3756"/>
      <c r="R87" s="594"/>
      <c r="S87" s="43"/>
      <c r="T87" s="29"/>
      <c r="X87" s="2738" t="s">
        <v>1611</v>
      </c>
      <c r="Y87" s="962" t="s">
        <v>1750</v>
      </c>
      <c r="AA87" s="938">
        <f>MIN(AA72,AA86)</f>
        <v>0</v>
      </c>
      <c r="AB87" s="2735"/>
      <c r="AM87" s="2725"/>
      <c r="AN87" s="2038"/>
      <c r="AO87" s="2038"/>
      <c r="AP87" s="2038"/>
      <c r="AQ87" s="2038"/>
      <c r="AR87" s="2038"/>
      <c r="AS87" s="2038"/>
    </row>
    <row r="88" spans="1:45">
      <c r="A88" s="198"/>
      <c r="B88" s="3385" t="s">
        <v>1607</v>
      </c>
      <c r="C88" s="124"/>
      <c r="D88" s="267" t="s">
        <v>2613</v>
      </c>
      <c r="E88" s="190"/>
      <c r="F88" s="190"/>
      <c r="G88" s="159"/>
      <c r="H88" s="159"/>
      <c r="I88" s="159"/>
      <c r="J88" s="160"/>
      <c r="K88" s="124"/>
      <c r="L88" s="124"/>
      <c r="M88" s="124"/>
      <c r="N88" s="940" t="s">
        <v>2614</v>
      </c>
      <c r="O88" s="940" t="str">
        <f>B88</f>
        <v>13.</v>
      </c>
      <c r="P88" s="938" t="str">
        <f>IF(NOT(SchDTW_Used),"",L85-L87)</f>
        <v/>
      </c>
      <c r="Q88" s="3756"/>
      <c r="R88" s="594"/>
      <c r="S88" s="349"/>
      <c r="T88" s="29"/>
      <c r="X88" s="2736" t="s">
        <v>1612</v>
      </c>
      <c r="Y88" s="962" t="s">
        <v>1751</v>
      </c>
      <c r="AA88" s="938">
        <f>MIN(AA85,AA87)</f>
        <v>0</v>
      </c>
      <c r="AB88" s="2735"/>
      <c r="AM88" s="2725"/>
      <c r="AN88" s="2038"/>
      <c r="AO88" s="2038"/>
      <c r="AP88" s="2038"/>
      <c r="AQ88" s="2038"/>
      <c r="AR88" s="2038"/>
      <c r="AS88" s="2038"/>
    </row>
    <row r="89" spans="1:45" ht="12.75" customHeight="1">
      <c r="A89" s="198"/>
      <c r="B89" s="3385" t="s">
        <v>1608</v>
      </c>
      <c r="C89" s="124"/>
      <c r="D89" s="267" t="s">
        <v>2615</v>
      </c>
      <c r="E89" s="190"/>
      <c r="F89" s="190"/>
      <c r="G89" s="159"/>
      <c r="H89" s="159"/>
      <c r="I89" s="159"/>
      <c r="J89" s="160"/>
      <c r="K89" s="124"/>
      <c r="L89" s="124"/>
      <c r="M89" s="124"/>
      <c r="N89" s="940" t="s">
        <v>1537</v>
      </c>
      <c r="O89" s="940" t="str">
        <f>B89</f>
        <v>14.</v>
      </c>
      <c r="P89" s="938" t="str">
        <f>IF(S89&lt;&gt;"",ROUND(S89,0),IF(NOT(SchDTW_Used),"",IF(SchDTW_Line1-P88&lt;0,0,SchDTW_Line1-P88)))</f>
        <v/>
      </c>
      <c r="Q89" s="3756"/>
      <c r="R89" s="594"/>
      <c r="S89" s="939"/>
      <c r="T89" s="29"/>
      <c r="X89" s="2736" t="s">
        <v>1613</v>
      </c>
      <c r="Y89" s="962" t="s">
        <v>1752</v>
      </c>
      <c r="AA89" s="938">
        <f>MAX(0,SUM(AA72,-AA81))</f>
        <v>0</v>
      </c>
      <c r="AB89" s="2735"/>
      <c r="AM89" s="2725"/>
      <c r="AN89" s="2038"/>
      <c r="AO89" s="2038"/>
      <c r="AP89" s="2038"/>
      <c r="AQ89" s="2038"/>
      <c r="AR89" s="2038"/>
      <c r="AS89" s="2038"/>
    </row>
    <row r="90" spans="1:45" ht="14.25" customHeight="1">
      <c r="A90" s="198"/>
      <c r="B90" s="3385" t="s">
        <v>1610</v>
      </c>
      <c r="C90" s="124"/>
      <c r="D90" s="267" t="s">
        <v>2616</v>
      </c>
      <c r="E90" s="267"/>
      <c r="F90" s="267"/>
      <c r="G90" s="159"/>
      <c r="H90" s="159"/>
      <c r="I90" s="159"/>
      <c r="J90" s="160"/>
      <c r="K90" s="160"/>
      <c r="L90" s="160"/>
      <c r="M90" s="160"/>
      <c r="N90" s="297"/>
      <c r="O90" s="297"/>
      <c r="P90" s="297"/>
      <c r="Q90" s="179"/>
      <c r="R90" s="411"/>
      <c r="S90" s="371"/>
      <c r="T90" s="29"/>
      <c r="X90" s="2738" t="s">
        <v>1616</v>
      </c>
      <c r="Y90" s="962" t="s">
        <v>1753</v>
      </c>
      <c r="AA90" s="938">
        <f>IF(AA72="",0,MIN(AA72,SchDTW_Line19))</f>
        <v>0</v>
      </c>
      <c r="AB90" s="2735"/>
      <c r="AM90" s="2725"/>
      <c r="AN90" s="2038"/>
      <c r="AO90" s="2038"/>
      <c r="AP90" s="2038"/>
      <c r="AQ90" s="2038"/>
      <c r="AR90" s="2038"/>
      <c r="AS90" s="2038"/>
    </row>
    <row r="91" spans="1:45">
      <c r="A91" s="198"/>
      <c r="B91" s="952" t="b">
        <f>IF(OR(File_Single&lt;&gt;"",File_Marr_Sep&lt;&gt;""),TRUE,FALSE)</f>
        <v>0</v>
      </c>
      <c r="C91" s="124"/>
      <c r="D91" s="266" t="s">
        <v>936</v>
      </c>
      <c r="E91" s="267" t="str">
        <f>TEXT(N91,"$0,000")&amp;" if single or married filing separately;"</f>
        <v>$44,625 if single or married filing separately;</v>
      </c>
      <c r="F91" s="266"/>
      <c r="G91" s="159"/>
      <c r="H91" s="159"/>
      <c r="I91" s="159"/>
      <c r="J91" s="160"/>
      <c r="K91" s="160"/>
      <c r="L91" s="421" t="str">
        <f>IF(OR(File_Single&lt;&gt;"",File_Marr_Sep&lt;&gt;""),N91,IF(OR(File_Marr_Joint&lt;&gt;"",File_Qual_Widow&lt;&gt;""),N92,IF(File_Head&lt;&gt;"",N93,"Filing status?")))</f>
        <v>Filing status?</v>
      </c>
      <c r="M91" s="301"/>
      <c r="N91" s="421">
        <v>44625</v>
      </c>
      <c r="O91" s="297"/>
      <c r="P91" s="297"/>
      <c r="Q91" s="179"/>
      <c r="R91" s="411"/>
      <c r="S91" s="43"/>
      <c r="T91" s="29"/>
      <c r="X91" s="2738" t="s">
        <v>1620</v>
      </c>
      <c r="Y91" s="962" t="s">
        <v>1754</v>
      </c>
      <c r="AA91" s="938">
        <f>MIN(AA85,AA90)</f>
        <v>0</v>
      </c>
      <c r="AB91" s="2735"/>
      <c r="AM91" s="2725"/>
      <c r="AN91" s="2038"/>
      <c r="AO91" s="2038"/>
      <c r="AP91" s="2038"/>
      <c r="AQ91" s="2038"/>
      <c r="AR91" s="2038"/>
      <c r="AS91" s="2038"/>
    </row>
    <row r="92" spans="1:45" ht="13.5" customHeight="1">
      <c r="A92" s="198"/>
      <c r="B92" s="952" t="b">
        <f>IF(OR(File_Marr_Joint&lt;&gt;"",File_Qual_Widow&lt;&gt;""),TRUE,FALSE)</f>
        <v>0</v>
      </c>
      <c r="C92" s="124"/>
      <c r="D92" s="266" t="s">
        <v>936</v>
      </c>
      <c r="E92" s="267" t="str">
        <f>TEXT(N92,"$0,000")&amp;" if married filing jointly or qualifying widow(er); or"</f>
        <v>$89,250 if married filing jointly or qualifying widow(er); or</v>
      </c>
      <c r="F92" s="266"/>
      <c r="G92" s="159"/>
      <c r="H92" s="159"/>
      <c r="I92" s="159"/>
      <c r="J92" s="176" t="s">
        <v>2617</v>
      </c>
      <c r="K92" s="5640" t="str">
        <f>B90</f>
        <v>15.</v>
      </c>
      <c r="L92" s="938" t="str">
        <f>IF(NOT(SchDTW_Used),"",L91)</f>
        <v/>
      </c>
      <c r="M92" s="302"/>
      <c r="N92" s="421">
        <v>89250</v>
      </c>
      <c r="O92" s="297"/>
      <c r="P92" s="297"/>
      <c r="Q92" s="179"/>
      <c r="R92" s="411"/>
      <c r="S92" s="349"/>
      <c r="T92" s="29"/>
      <c r="X92" s="2736" t="s">
        <v>1622</v>
      </c>
      <c r="Y92" s="962" t="s">
        <v>1755</v>
      </c>
      <c r="AA92" s="938">
        <f>MAX(AA89,AA91)</f>
        <v>0</v>
      </c>
      <c r="AB92" s="2735"/>
      <c r="AM92" s="2725"/>
      <c r="AN92" s="2038"/>
      <c r="AO92" s="2038"/>
      <c r="AP92" s="2038"/>
      <c r="AQ92" s="2038"/>
      <c r="AR92" s="2038"/>
      <c r="AS92" s="2038"/>
    </row>
    <row r="93" spans="1:45" ht="13.5" customHeight="1">
      <c r="A93" s="198"/>
      <c r="B93" s="952" t="b">
        <f>IF(File_Head&lt;&gt;"",TRUE,FALSE)</f>
        <v>0</v>
      </c>
      <c r="C93" s="124"/>
      <c r="D93" s="266" t="s">
        <v>936</v>
      </c>
      <c r="E93" s="267" t="str">
        <f>TEXT(N93,"$0,000")&amp;" if head of household."</f>
        <v>$59,750 if head of household.</v>
      </c>
      <c r="F93" s="266"/>
      <c r="G93" s="159"/>
      <c r="H93" s="159"/>
      <c r="I93" s="159"/>
      <c r="J93" s="160"/>
      <c r="K93" s="160"/>
      <c r="L93" s="160"/>
      <c r="M93" s="160"/>
      <c r="N93" s="421">
        <v>59750</v>
      </c>
      <c r="O93" s="297"/>
      <c r="P93" s="297"/>
      <c r="Q93" s="179"/>
      <c r="R93" s="411"/>
      <c r="S93" s="349"/>
      <c r="T93" s="29"/>
      <c r="X93" s="2738">
        <v>22</v>
      </c>
      <c r="Y93" s="962" t="s">
        <v>1756</v>
      </c>
      <c r="AA93" s="938">
        <f>SUM(AA87,-AA88)</f>
        <v>0</v>
      </c>
      <c r="AB93" s="2735"/>
      <c r="AM93" s="2725"/>
      <c r="AN93" s="2038"/>
      <c r="AO93" s="2038"/>
      <c r="AP93" s="2038"/>
      <c r="AQ93" s="2038"/>
      <c r="AR93" s="2038"/>
      <c r="AS93" s="2038"/>
    </row>
    <row r="94" spans="1:45" ht="12.75" customHeight="1">
      <c r="A94" s="198"/>
      <c r="B94" s="552" t="s">
        <v>1611</v>
      </c>
      <c r="C94" s="124"/>
      <c r="D94" s="267" t="s">
        <v>2618</v>
      </c>
      <c r="E94" s="267"/>
      <c r="F94" s="267"/>
      <c r="G94" s="159"/>
      <c r="H94" s="159"/>
      <c r="I94" s="159"/>
      <c r="J94" s="160"/>
      <c r="K94" s="160"/>
      <c r="L94" s="940" t="s">
        <v>1093</v>
      </c>
      <c r="M94" s="124" t="str">
        <f>B94</f>
        <v>16.</v>
      </c>
      <c r="N94" s="938" t="str">
        <f>IF(NOT(SchDTW_Used),"",MIN(SchDTW_Line1,L92))</f>
        <v/>
      </c>
      <c r="O94" s="940"/>
      <c r="P94" s="297"/>
      <c r="Q94" s="3756"/>
      <c r="R94" s="594"/>
      <c r="S94" s="43"/>
      <c r="T94" s="29"/>
      <c r="X94" s="2736" t="s">
        <v>1627</v>
      </c>
      <c r="Y94" s="962" t="s">
        <v>1757</v>
      </c>
      <c r="AA94" s="938" t="str">
        <f>IF(AB94,"",MIN(AA72,AA84))</f>
        <v/>
      </c>
      <c r="AB94" s="3764" t="b">
        <f>IF(AA72="",AA87=0,AA72=AA87)</f>
        <v>1</v>
      </c>
      <c r="AM94" s="2725"/>
      <c r="AN94" s="2038"/>
      <c r="AO94" s="2038"/>
      <c r="AP94" s="2038"/>
      <c r="AQ94" s="2038"/>
      <c r="AR94" s="2038"/>
      <c r="AS94" s="2038"/>
    </row>
    <row r="95" spans="1:45" ht="12.75" customHeight="1">
      <c r="A95" s="198"/>
      <c r="B95" s="552" t="s">
        <v>1612</v>
      </c>
      <c r="C95" s="124"/>
      <c r="D95" s="267" t="s">
        <v>2619</v>
      </c>
      <c r="E95" s="267"/>
      <c r="F95" s="267"/>
      <c r="G95" s="159"/>
      <c r="H95" s="159"/>
      <c r="I95" s="159"/>
      <c r="J95" s="940" t="s">
        <v>661</v>
      </c>
      <c r="K95" s="124" t="str">
        <f>B95</f>
        <v>17.</v>
      </c>
      <c r="L95" s="938" t="str">
        <f>IF(NOT(SchDTW_Used),"",MIN(P89,N94))</f>
        <v/>
      </c>
      <c r="M95" s="302"/>
      <c r="N95" s="420"/>
      <c r="O95" s="297"/>
      <c r="P95" s="297"/>
      <c r="Q95" s="178"/>
      <c r="R95" s="411"/>
      <c r="S95" s="349"/>
      <c r="T95" s="29"/>
      <c r="X95" s="2736" t="s">
        <v>1629</v>
      </c>
      <c r="Y95" s="962" t="s">
        <v>1758</v>
      </c>
      <c r="AA95" s="938" t="str">
        <f>IF(AB94,"",IF(AA93="",0,AA93))</f>
        <v/>
      </c>
      <c r="AB95" s="2735"/>
      <c r="AM95" s="2725"/>
      <c r="AN95" s="2038"/>
      <c r="AO95" s="2038"/>
      <c r="AP95" s="2038"/>
      <c r="AQ95" s="2038"/>
      <c r="AR95" s="2038"/>
      <c r="AS95" s="2038"/>
    </row>
    <row r="96" spans="1:45" ht="12.75" customHeight="1">
      <c r="A96" s="198"/>
      <c r="B96" s="552" t="s">
        <v>1613</v>
      </c>
      <c r="C96" s="124"/>
      <c r="D96" s="267" t="s">
        <v>2620</v>
      </c>
      <c r="E96" s="267"/>
      <c r="F96" s="267"/>
      <c r="G96" s="159"/>
      <c r="H96" s="159"/>
      <c r="I96" s="159"/>
      <c r="J96" s="940" t="s">
        <v>654</v>
      </c>
      <c r="K96" s="124" t="str">
        <f>B96</f>
        <v>18.</v>
      </c>
      <c r="L96" s="938" t="str">
        <f>IF(NOT(SchDTW_Used),"",MAX(0,SUM(SchDTW_Line1,-L85)))</f>
        <v/>
      </c>
      <c r="M96" s="302"/>
      <c r="N96" s="297"/>
      <c r="O96" s="297"/>
      <c r="P96" s="297"/>
      <c r="Q96" s="3756"/>
      <c r="R96" s="594"/>
      <c r="S96" s="349"/>
      <c r="T96" s="29"/>
      <c r="X96" s="2736" t="s">
        <v>1632</v>
      </c>
      <c r="Y96" s="962" t="s">
        <v>1759</v>
      </c>
      <c r="AA96" s="938" t="str">
        <f>IF(AB94,"",MAX(0,SUM(AA94,-AA95)))</f>
        <v/>
      </c>
      <c r="AB96" s="2735"/>
      <c r="AM96" s="2725"/>
      <c r="AN96" s="2038"/>
      <c r="AO96" s="2038"/>
      <c r="AP96" s="2038"/>
      <c r="AQ96" s="2038"/>
      <c r="AR96" s="2038"/>
      <c r="AS96" s="2038"/>
    </row>
    <row r="97" spans="1:45" ht="14.25" customHeight="1">
      <c r="A97" s="198"/>
      <c r="B97" s="3385" t="s">
        <v>1616</v>
      </c>
      <c r="C97" s="124"/>
      <c r="D97" s="267" t="s">
        <v>2621</v>
      </c>
      <c r="E97" s="267"/>
      <c r="F97" s="267"/>
      <c r="G97" s="159"/>
      <c r="H97" s="159"/>
      <c r="I97" s="159"/>
      <c r="J97" s="160"/>
      <c r="K97" s="160"/>
      <c r="L97" s="160"/>
      <c r="M97" s="160"/>
      <c r="N97" s="297"/>
      <c r="O97" s="297"/>
      <c r="P97" s="297"/>
      <c r="Q97" s="179"/>
      <c r="R97" s="411"/>
      <c r="S97" s="43"/>
      <c r="T97" s="29"/>
      <c r="X97" s="2738">
        <v>26</v>
      </c>
      <c r="Y97" s="962" t="s">
        <v>1760</v>
      </c>
      <c r="AA97" s="938" t="str">
        <f>IF(AB94,"",SchDTW_Line26)</f>
        <v/>
      </c>
      <c r="AB97" s="2735"/>
      <c r="AM97" s="2725"/>
      <c r="AN97" s="2038"/>
      <c r="AO97" s="2038"/>
      <c r="AP97" s="2038"/>
      <c r="AQ97" s="2038"/>
      <c r="AR97" s="2038"/>
      <c r="AS97" s="2038"/>
    </row>
    <row r="98" spans="1:45">
      <c r="A98" s="198"/>
      <c r="B98" s="952" t="b">
        <f>IF(OR(File_Single&lt;&gt;"",File_Marr_Sep&lt;&gt;""),TRUE,FALSE)</f>
        <v>0</v>
      </c>
      <c r="C98" s="124"/>
      <c r="D98" s="266" t="s">
        <v>936</v>
      </c>
      <c r="E98" s="267" t="str">
        <f>TEXT(N98,"$0,000")&amp;" if single or married filing separately;"</f>
        <v>$182,100 if single or married filing separately;</v>
      </c>
      <c r="F98" s="266"/>
      <c r="G98" s="159"/>
      <c r="H98" s="159"/>
      <c r="I98" s="159"/>
      <c r="J98" s="160"/>
      <c r="K98" s="160"/>
      <c r="L98" s="421" t="str">
        <f>IF(OR(File_Single&lt;&gt;"",File_Marr_Sep&lt;&gt;""),N98,IF(OR(File_Marr_Joint&lt;&gt;"",File_Qual_Widow&lt;&gt;""),N99,IF(File_Head&lt;&gt;"",N100,"Filing status?")))</f>
        <v>Filing status?</v>
      </c>
      <c r="M98" s="301"/>
      <c r="N98" s="421">
        <f>BOTT_A5</f>
        <v>182100</v>
      </c>
      <c r="O98" s="297"/>
      <c r="P98" s="297"/>
      <c r="Q98" s="179"/>
      <c r="R98" s="411"/>
      <c r="S98" s="371"/>
      <c r="T98" s="29"/>
      <c r="X98" s="2738" t="s">
        <v>1761</v>
      </c>
      <c r="Y98" s="962" t="s">
        <v>1762</v>
      </c>
      <c r="AA98" s="938" t="str">
        <f>IF(AB94,"",IF(AA72="",MIN(0,AA97),MIN(AA72,AA97)))</f>
        <v/>
      </c>
      <c r="AB98" s="2735"/>
      <c r="AM98" s="2725"/>
      <c r="AN98" s="2038"/>
      <c r="AO98" s="2038"/>
      <c r="AP98" s="2038"/>
      <c r="AQ98" s="2038"/>
      <c r="AR98" s="2038"/>
      <c r="AS98" s="2038"/>
    </row>
    <row r="99" spans="1:45" ht="13.5" customHeight="1">
      <c r="A99" s="198"/>
      <c r="B99" s="952" t="b">
        <f>IF(OR(File_Marr_Joint&lt;&gt;"",File_Qual_Widow&lt;&gt;""),TRUE,FALSE)</f>
        <v>0</v>
      </c>
      <c r="C99" s="124"/>
      <c r="D99" s="266" t="s">
        <v>936</v>
      </c>
      <c r="E99" s="267" t="str">
        <f>TEXT(N99,"$0,000")&amp;" if married filing jointly or qualifying widow(er); or"</f>
        <v>$364,200 if married filing jointly or qualifying widow(er); or</v>
      </c>
      <c r="F99" s="266"/>
      <c r="G99" s="159"/>
      <c r="H99" s="159"/>
      <c r="I99" s="159"/>
      <c r="J99" s="176" t="s">
        <v>2617</v>
      </c>
      <c r="K99" s="5640" t="str">
        <f>B97</f>
        <v>19.</v>
      </c>
      <c r="L99" s="938" t="str">
        <f>IF(NOT(SchDTW_Used),"",MIN(SchDTW_Line1,L98))</f>
        <v/>
      </c>
      <c r="M99" s="302"/>
      <c r="N99" s="421">
        <f>BOTT_B5</f>
        <v>364200</v>
      </c>
      <c r="O99" s="297"/>
      <c r="P99" s="297"/>
      <c r="Q99" s="179"/>
      <c r="R99" s="411"/>
      <c r="S99" s="43"/>
      <c r="T99" s="29"/>
      <c r="X99" s="2738" t="s">
        <v>1763</v>
      </c>
      <c r="Y99" s="962" t="s">
        <v>1764</v>
      </c>
      <c r="AA99" s="938" t="str">
        <f>IF(AB94,"",SUM(AA92,AA93))</f>
        <v/>
      </c>
      <c r="AB99" s="2735"/>
      <c r="AM99" s="2725"/>
      <c r="AN99" s="2038"/>
      <c r="AO99" s="2038"/>
      <c r="AP99" s="2038"/>
      <c r="AQ99" s="2038"/>
      <c r="AR99" s="2038"/>
      <c r="AS99" s="2038"/>
    </row>
    <row r="100" spans="1:45" ht="13.5" customHeight="1">
      <c r="A100" s="198"/>
      <c r="B100" s="952" t="b">
        <f>IF(File_Head&lt;&gt;"",TRUE,FALSE)</f>
        <v>0</v>
      </c>
      <c r="C100" s="124"/>
      <c r="D100" s="266" t="s">
        <v>936</v>
      </c>
      <c r="E100" s="267" t="str">
        <f>TEXT(N100,"$0,000")&amp;" if head of household."</f>
        <v>$182,100 if head of household.</v>
      </c>
      <c r="F100" s="266"/>
      <c r="G100" s="159"/>
      <c r="H100" s="159"/>
      <c r="I100" s="159"/>
      <c r="J100" s="160"/>
      <c r="K100" s="160"/>
      <c r="L100" s="160"/>
      <c r="M100" s="160"/>
      <c r="N100" s="421">
        <f>BOTT_D5</f>
        <v>182100</v>
      </c>
      <c r="O100" s="297"/>
      <c r="P100" s="297"/>
      <c r="Q100" s="179"/>
      <c r="R100" s="411"/>
      <c r="S100" s="349"/>
      <c r="T100" s="29"/>
      <c r="X100" s="2738" t="s">
        <v>1765</v>
      </c>
      <c r="Y100" s="962" t="s">
        <v>1766</v>
      </c>
      <c r="AA100" s="938" t="str">
        <f>IF(AB94,"",MAX(0,SUM(AA98,-AA99)))</f>
        <v/>
      </c>
      <c r="AB100" s="2735"/>
      <c r="AM100" s="2725"/>
      <c r="AN100" s="2038"/>
      <c r="AO100" s="2038"/>
      <c r="AP100" s="2038"/>
      <c r="AQ100" s="2038"/>
      <c r="AR100" s="2038"/>
      <c r="AS100" s="2038"/>
    </row>
    <row r="101" spans="1:45" ht="12.75" customHeight="1">
      <c r="A101" s="198"/>
      <c r="B101" s="552" t="s">
        <v>1620</v>
      </c>
      <c r="C101" s="124"/>
      <c r="D101" s="267" t="s">
        <v>2622</v>
      </c>
      <c r="E101" s="267"/>
      <c r="F101" s="267"/>
      <c r="G101" s="159"/>
      <c r="H101" s="159"/>
      <c r="I101" s="159"/>
      <c r="J101" s="940" t="s">
        <v>646</v>
      </c>
      <c r="K101" s="124" t="str">
        <f>B101</f>
        <v>20.</v>
      </c>
      <c r="L101" s="938" t="str">
        <f>IF(NOT(SchDTW_Used),"",MIN(P89,L99))</f>
        <v/>
      </c>
      <c r="M101" s="124"/>
      <c r="N101" s="297"/>
      <c r="O101" s="940"/>
      <c r="P101" s="297"/>
      <c r="Q101" s="3756"/>
      <c r="R101" s="594"/>
      <c r="S101" s="43"/>
      <c r="T101" s="29"/>
      <c r="U101" s="676"/>
      <c r="X101" s="3763" t="s">
        <v>1767</v>
      </c>
      <c r="Y101" s="962" t="s">
        <v>1768</v>
      </c>
      <c r="AA101" s="938" t="str">
        <f>IF(AB94,"",MIN(AA94,AA100))</f>
        <v/>
      </c>
      <c r="AB101" s="2735"/>
      <c r="AM101" s="2725"/>
      <c r="AN101" s="2038"/>
      <c r="AO101" s="2038"/>
      <c r="AP101" s="2038"/>
      <c r="AQ101" s="2038"/>
      <c r="AR101" s="2038"/>
      <c r="AS101" s="2038"/>
    </row>
    <row r="102" spans="1:45" ht="12.75" customHeight="1">
      <c r="A102" s="198"/>
      <c r="B102" s="552" t="s">
        <v>1622</v>
      </c>
      <c r="C102" s="124"/>
      <c r="D102" s="267" t="s">
        <v>2623</v>
      </c>
      <c r="E102" s="267"/>
      <c r="F102" s="267"/>
      <c r="G102" s="159"/>
      <c r="H102" s="159"/>
      <c r="I102" s="159"/>
      <c r="J102" s="160"/>
      <c r="K102" s="160"/>
      <c r="L102" s="940" t="s">
        <v>754</v>
      </c>
      <c r="M102" s="124" t="str">
        <f>B102</f>
        <v>21.</v>
      </c>
      <c r="N102" s="938" t="str">
        <f>IF(NOT(SchDTW_Used),"",MAX(L96,L101))</f>
        <v/>
      </c>
      <c r="O102" s="940"/>
      <c r="P102" s="297"/>
      <c r="Q102" s="3756"/>
      <c r="R102" s="594"/>
      <c r="S102" s="43"/>
      <c r="T102" s="29"/>
      <c r="U102" s="676"/>
      <c r="X102" s="2734" t="s">
        <v>1769</v>
      </c>
      <c r="Y102" s="962" t="str">
        <f>"Multiply line 30 by "&amp;TEXT(AB102,"0%")</f>
        <v>Multiply line 30 by 15%</v>
      </c>
      <c r="AA102" s="938" t="str">
        <f>IF(AB94,"",ROUND(AA101*AB102,0))</f>
        <v/>
      </c>
      <c r="AB102" s="2739">
        <f>SchDTW_Line31Rate</f>
        <v>0.15</v>
      </c>
      <c r="AM102" s="2725"/>
      <c r="AN102" s="2038"/>
      <c r="AO102" s="2038"/>
      <c r="AP102" s="2038"/>
      <c r="AQ102" s="2038"/>
      <c r="AR102" s="2038"/>
      <c r="AS102" s="2038"/>
    </row>
    <row r="103" spans="1:45" ht="12.75" customHeight="1">
      <c r="A103" s="198"/>
      <c r="B103" s="552" t="s">
        <v>1624</v>
      </c>
      <c r="C103" s="124"/>
      <c r="D103" s="267" t="s">
        <v>2624</v>
      </c>
      <c r="E103" s="267"/>
      <c r="F103" s="267"/>
      <c r="G103" s="159"/>
      <c r="H103" s="159"/>
      <c r="I103" s="159"/>
      <c r="J103" s="160"/>
      <c r="K103" s="160"/>
      <c r="L103" s="940" t="s">
        <v>650</v>
      </c>
      <c r="M103" s="124" t="str">
        <f>B103</f>
        <v>22.</v>
      </c>
      <c r="N103" s="938" t="str">
        <f>IF(NOT(SchDTW_Used),"",SUM(N94,-L95))</f>
        <v/>
      </c>
      <c r="O103" s="940"/>
      <c r="P103" s="393">
        <f>IF(N103&lt;&gt;"",N103,0)</f>
        <v>0</v>
      </c>
      <c r="Q103" s="178"/>
      <c r="R103" s="411"/>
      <c r="S103" s="43"/>
      <c r="T103" s="29"/>
      <c r="X103" s="2736" t="s">
        <v>1770</v>
      </c>
      <c r="Y103" s="962" t="s">
        <v>1771</v>
      </c>
      <c r="AA103" s="938" t="str">
        <f>IF(AB94,"",SUM(AA95,AA101))</f>
        <v/>
      </c>
      <c r="AB103" s="3764" t="b">
        <f>IF(AA72="",AA103=0,AA72=AA103)</f>
        <v>0</v>
      </c>
      <c r="AM103" s="2725"/>
      <c r="AN103" s="2038"/>
      <c r="AO103" s="2038"/>
      <c r="AP103" s="2038"/>
      <c r="AQ103" s="2038"/>
      <c r="AR103" s="2038"/>
      <c r="AS103" s="2038"/>
    </row>
    <row r="104" spans="1:45" s="636" customFormat="1" ht="12.75" customHeight="1">
      <c r="A104" s="198"/>
      <c r="B104" s="155"/>
      <c r="C104" s="124"/>
      <c r="D104" s="152" t="s">
        <v>2625</v>
      </c>
      <c r="E104" s="152"/>
      <c r="F104" s="152"/>
      <c r="G104" s="159"/>
      <c r="H104" s="159"/>
      <c r="I104" s="159"/>
      <c r="J104" s="160"/>
      <c r="K104" s="160"/>
      <c r="L104" s="160"/>
      <c r="M104" s="160"/>
      <c r="N104" s="299"/>
      <c r="O104" s="940"/>
      <c r="P104" s="5643"/>
      <c r="Q104" s="178"/>
      <c r="R104" s="635"/>
      <c r="S104" s="698" t="b">
        <f>(SchDTW_Line1=N94)</f>
        <v>1</v>
      </c>
      <c r="T104" s="29"/>
      <c r="U104" s="39"/>
      <c r="V104" s="5644"/>
      <c r="W104" s="39"/>
      <c r="X104" s="2738" t="s">
        <v>1772</v>
      </c>
      <c r="Y104" s="962" t="s">
        <v>1773</v>
      </c>
      <c r="Z104"/>
      <c r="AA104" s="938" t="str">
        <f>IF(OR(AB94,AB103),"",SUM(AA94,-AA103))</f>
        <v/>
      </c>
      <c r="AB104" s="3764"/>
      <c r="AC104" s="962"/>
      <c r="AD104" s="962"/>
      <c r="AE104" s="962"/>
      <c r="AF104" s="962"/>
      <c r="AG104" s="962"/>
      <c r="AH104" s="962"/>
      <c r="AI104" s="962"/>
      <c r="AJ104" s="962"/>
      <c r="AK104" s="962"/>
      <c r="AL104" s="962"/>
      <c r="AM104" s="2724"/>
      <c r="AN104" s="2044"/>
      <c r="AO104" s="2044"/>
      <c r="AP104" s="2044"/>
      <c r="AQ104" s="2044"/>
      <c r="AR104" s="2044"/>
      <c r="AS104" s="2044"/>
    </row>
    <row r="105" spans="1:45" ht="12.75" customHeight="1">
      <c r="A105" s="198"/>
      <c r="B105" s="552" t="s">
        <v>1627</v>
      </c>
      <c r="C105" s="124"/>
      <c r="D105" s="267" t="s">
        <v>2626</v>
      </c>
      <c r="E105" s="267"/>
      <c r="F105" s="267"/>
      <c r="G105" s="159"/>
      <c r="H105" s="159"/>
      <c r="I105" s="159"/>
      <c r="J105" s="940" t="s">
        <v>1476</v>
      </c>
      <c r="K105" s="124" t="str">
        <f>B105</f>
        <v>23.</v>
      </c>
      <c r="L105" s="938" t="str">
        <f>IF(NOT(SchDTW_Used),"",IF(Skip2343,"",MIN(SchDTW_Line1,P88)))</f>
        <v/>
      </c>
      <c r="M105" s="302"/>
      <c r="N105" s="420"/>
      <c r="O105" s="297"/>
      <c r="P105" s="297"/>
      <c r="Q105" s="178"/>
      <c r="R105" s="411"/>
      <c r="S105" s="881" t="str">
        <f>IF(NOT(SchDTW_Used),"",IF(Skip2343,"Skip lines 23 through 43.","Go to Line 23."))</f>
        <v/>
      </c>
      <c r="T105" s="29"/>
      <c r="X105" s="2734" t="s">
        <v>1774</v>
      </c>
      <c r="Y105" s="962" t="str">
        <f>"Multiply line 33 by "&amp;TEXT(AB105,"0%")</f>
        <v>Multiply line 33 by 20%</v>
      </c>
      <c r="AA105" s="938" t="str">
        <f>IF(OR(AB94,AB103),"",ROUND(AA104*AB105,0))</f>
        <v/>
      </c>
      <c r="AB105" s="2739">
        <f>SchDTW_Line34Rate</f>
        <v>0.2</v>
      </c>
      <c r="AM105" s="2725"/>
      <c r="AN105" s="2038"/>
      <c r="AO105" s="2038"/>
      <c r="AP105" s="2038"/>
      <c r="AQ105" s="2038"/>
      <c r="AR105" s="2038"/>
      <c r="AS105" s="2038"/>
    </row>
    <row r="106" spans="1:45" ht="12.75" customHeight="1">
      <c r="A106" s="198"/>
      <c r="B106" s="552" t="s">
        <v>1629</v>
      </c>
      <c r="C106" s="124"/>
      <c r="D106" s="267" t="s">
        <v>2627</v>
      </c>
      <c r="E106" s="267"/>
      <c r="F106" s="267"/>
      <c r="G106" s="159"/>
      <c r="H106" s="159"/>
      <c r="I106" s="159"/>
      <c r="J106" s="954" t="s">
        <v>1171</v>
      </c>
      <c r="K106" s="124" t="str">
        <f>B106</f>
        <v>24.</v>
      </c>
      <c r="L106" s="938" t="str">
        <f>IF(NOT(SchDTW_Used),"",IF(Skip2343,"",IF(N103="",0,N103)))</f>
        <v/>
      </c>
      <c r="M106" s="302"/>
      <c r="N106" s="297"/>
      <c r="O106" s="297"/>
      <c r="P106" s="297"/>
      <c r="Q106" s="3756"/>
      <c r="R106" s="594"/>
      <c r="S106" s="43"/>
      <c r="T106" s="29"/>
      <c r="X106" s="2736" t="s">
        <v>1775</v>
      </c>
      <c r="Y106" s="962" t="s">
        <v>1776</v>
      </c>
      <c r="AA106" s="938" t="str">
        <f>IF(OR(AB94,AB103,AB106),"",MIN(AA80,SchDLine19))</f>
        <v/>
      </c>
      <c r="AB106" s="3764" t="b">
        <f>OR(SchDLine19=0,SchDLine19="")</f>
        <v>1</v>
      </c>
      <c r="AM106" s="2725"/>
      <c r="AN106" s="2038"/>
      <c r="AO106" s="2038"/>
      <c r="AP106" s="2038"/>
      <c r="AQ106" s="2038"/>
      <c r="AR106" s="2038"/>
      <c r="AS106" s="2038"/>
    </row>
    <row r="107" spans="1:45" ht="12.75" customHeight="1">
      <c r="A107" s="198"/>
      <c r="B107" s="552" t="s">
        <v>1632</v>
      </c>
      <c r="C107" s="124"/>
      <c r="D107" s="267" t="s">
        <v>2628</v>
      </c>
      <c r="E107" s="267"/>
      <c r="F107" s="267"/>
      <c r="G107" s="159"/>
      <c r="H107" s="159"/>
      <c r="I107" s="159"/>
      <c r="J107" s="160"/>
      <c r="K107" s="160"/>
      <c r="L107" s="940" t="s">
        <v>1489</v>
      </c>
      <c r="M107" s="124" t="str">
        <f>B107</f>
        <v>25.</v>
      </c>
      <c r="N107" s="938" t="str">
        <f>IF(OR(NOT(SchDTW_Used),Skip2343),"",MAX(0,SUM(L105,-L106)))</f>
        <v/>
      </c>
      <c r="O107" s="940"/>
      <c r="P107" s="304"/>
      <c r="Q107" s="3756"/>
      <c r="R107" s="594"/>
      <c r="S107" s="457"/>
      <c r="T107" s="29"/>
      <c r="X107" s="2740" t="s">
        <v>1777</v>
      </c>
      <c r="Y107" s="962" t="s">
        <v>1778</v>
      </c>
      <c r="AA107" s="938" t="str">
        <f>IF(OR(AB94,AB103,AB106),"",SUM(AA81,AA92))</f>
        <v/>
      </c>
      <c r="AB107" s="2735"/>
      <c r="AM107" s="2725"/>
      <c r="AN107" s="2038"/>
      <c r="AO107" s="2038"/>
      <c r="AP107" s="2038"/>
      <c r="AQ107" s="2038"/>
      <c r="AR107" s="2038"/>
      <c r="AS107" s="2038"/>
    </row>
    <row r="108" spans="1:45" ht="14.25" customHeight="1">
      <c r="A108" s="198"/>
      <c r="B108" s="3385">
        <v>26</v>
      </c>
      <c r="C108" s="124"/>
      <c r="D108" s="267" t="s">
        <v>2616</v>
      </c>
      <c r="E108" s="267"/>
      <c r="F108" s="267"/>
      <c r="G108" s="159"/>
      <c r="H108" s="159"/>
      <c r="I108" s="159"/>
      <c r="J108" s="160"/>
      <c r="K108" s="160"/>
      <c r="L108" s="160"/>
      <c r="M108" s="160"/>
      <c r="N108" s="297"/>
      <c r="O108" s="297"/>
      <c r="P108" s="297"/>
      <c r="Q108" s="179"/>
      <c r="R108" s="411"/>
      <c r="S108" s="457"/>
      <c r="T108" s="29"/>
      <c r="X108" s="2740" t="s">
        <v>1779</v>
      </c>
      <c r="Y108" s="962" t="s">
        <v>1780</v>
      </c>
      <c r="AA108" s="938" t="str">
        <f>IF(OR(AB94,AB103,AB106),"",IF(AA72="",0,AA72))</f>
        <v/>
      </c>
      <c r="AB108" s="2735"/>
      <c r="AM108" s="2725"/>
      <c r="AN108" s="2038"/>
      <c r="AO108" s="2038"/>
      <c r="AP108" s="2038"/>
      <c r="AQ108" s="2038"/>
      <c r="AR108" s="2038"/>
      <c r="AS108" s="2038"/>
    </row>
    <row r="109" spans="1:45" ht="14.25" customHeight="1">
      <c r="A109" s="198"/>
      <c r="B109" s="952" t="b">
        <f>IF(File_Single&lt;&gt;"",TRUE,FALSE)</f>
        <v>0</v>
      </c>
      <c r="C109" s="124"/>
      <c r="D109" s="266" t="s">
        <v>936</v>
      </c>
      <c r="E109" s="267" t="str">
        <f>TEXT(N109,"$0,000")&amp;" if single;"</f>
        <v>$492,300 if single;</v>
      </c>
      <c r="F109" s="267"/>
      <c r="G109" s="267"/>
      <c r="H109" s="159"/>
      <c r="I109" s="159"/>
      <c r="J109" s="160"/>
      <c r="K109" s="160"/>
      <c r="L109" s="160"/>
      <c r="M109" s="160"/>
      <c r="N109" s="5053">
        <v>492300</v>
      </c>
      <c r="O109" s="297"/>
      <c r="P109" s="297"/>
      <c r="Q109" s="179"/>
      <c r="R109" s="411"/>
      <c r="S109" s="371"/>
      <c r="T109" s="29"/>
      <c r="X109" s="2736" t="s">
        <v>1781</v>
      </c>
      <c r="Y109" s="962" t="s">
        <v>1782</v>
      </c>
      <c r="AA109" s="938" t="str">
        <f>IF(OR(AB94,AB103,AB106),"",MAX(0,SUM(AA107,-AA108)))</f>
        <v/>
      </c>
      <c r="AB109" s="2735"/>
      <c r="AM109" s="2725"/>
      <c r="AN109" s="2038"/>
      <c r="AO109" s="2038"/>
      <c r="AP109" s="2038"/>
      <c r="AQ109" s="2038"/>
      <c r="AR109" s="2038"/>
      <c r="AS109" s="2038"/>
    </row>
    <row r="110" spans="1:45">
      <c r="A110" s="198"/>
      <c r="B110" s="952" t="b">
        <f>IF(File_Marr_Sep&lt;&gt;"",TRUE,FALSE)</f>
        <v>0</v>
      </c>
      <c r="C110" s="124"/>
      <c r="D110" s="266" t="s">
        <v>936</v>
      </c>
      <c r="E110" s="267" t="str">
        <f>TEXT(N110,"$0,000")&amp;" if married filing separately;"</f>
        <v>$276,900 if married filing separately;</v>
      </c>
      <c r="F110" s="266"/>
      <c r="G110" s="159"/>
      <c r="H110" s="159"/>
      <c r="I110" s="159"/>
      <c r="J110" s="160"/>
      <c r="K110" s="160"/>
      <c r="L110" s="421" t="str">
        <f>IF(File_Single&lt;&gt;"",N109,IF(File_Marr_Sep&lt;&gt;"",N110,IF(OR(File_Marr_Joint&lt;&gt;"",File_Qual_Widow),N111,IF(File_Head&lt;&gt;"",N112,"Filing status?"))))</f>
        <v>Filing status?</v>
      </c>
      <c r="M110" s="301"/>
      <c r="N110" s="5053">
        <v>276900</v>
      </c>
      <c r="O110" s="297"/>
      <c r="P110" s="297"/>
      <c r="Q110" s="179"/>
      <c r="R110" s="411"/>
      <c r="S110" s="43"/>
      <c r="T110" s="29"/>
      <c r="X110" s="2738" t="s">
        <v>1783</v>
      </c>
      <c r="Y110" s="962" t="s">
        <v>1784</v>
      </c>
      <c r="AA110" s="938" t="str">
        <f>IF(OR(AB94,AB103,AB106),"",MAX(0,SUM(AA106,-AA109)))</f>
        <v/>
      </c>
      <c r="AB110" s="2735"/>
      <c r="AM110" s="2725"/>
      <c r="AN110" s="2038"/>
      <c r="AO110" s="2038"/>
      <c r="AP110" s="2038"/>
      <c r="AQ110" s="2038"/>
      <c r="AR110" s="2038"/>
      <c r="AS110" s="2038"/>
    </row>
    <row r="111" spans="1:45" ht="13.5" customHeight="1">
      <c r="A111" s="198"/>
      <c r="B111" s="952" t="b">
        <f>IF(OR(File_Marr_Joint&lt;&gt;"",File_Qual_Widow&lt;&gt;""),TRUE,FALSE)</f>
        <v>0</v>
      </c>
      <c r="C111" s="124"/>
      <c r="D111" s="266" t="s">
        <v>936</v>
      </c>
      <c r="E111" s="267" t="str">
        <f>TEXT(N111,"$0,000")&amp;" if married filing jointly or qualifying widow(er); or"</f>
        <v>$553,850 if married filing jointly or qualifying widow(er); or</v>
      </c>
      <c r="F111" s="266"/>
      <c r="G111" s="159"/>
      <c r="H111" s="159"/>
      <c r="I111" s="159"/>
      <c r="J111" s="176" t="s">
        <v>2617</v>
      </c>
      <c r="K111" s="5640">
        <f>B108</f>
        <v>26</v>
      </c>
      <c r="L111" s="938" t="str">
        <f>IF(OR(NOT(SchDTW_Used),Skip2343),"",L110)</f>
        <v/>
      </c>
      <c r="M111" s="302"/>
      <c r="N111" s="5053">
        <v>553850</v>
      </c>
      <c r="O111" s="297"/>
      <c r="P111" s="297"/>
      <c r="Q111" s="179"/>
      <c r="R111" s="411"/>
      <c r="S111" s="43"/>
      <c r="T111" s="29"/>
      <c r="X111" s="2734" t="s">
        <v>1785</v>
      </c>
      <c r="Y111" s="962" t="str">
        <f>"Multiply line 39 by "&amp;TEXT(AB111,"0%")</f>
        <v>Multiply line 39 by 25%</v>
      </c>
      <c r="AA111" s="938" t="str">
        <f>IF(OR(AB94,AB103,AB106),"",ROUND(AA110*AB111,0))</f>
        <v/>
      </c>
      <c r="AB111" s="2739">
        <f>SchDTW_Line40Rate</f>
        <v>0.25</v>
      </c>
      <c r="AM111" s="2725"/>
      <c r="AN111" s="2038"/>
      <c r="AO111" s="2038"/>
      <c r="AP111" s="2038"/>
      <c r="AQ111" s="2038"/>
      <c r="AR111" s="2038"/>
      <c r="AS111" s="2038"/>
    </row>
    <row r="112" spans="1:45" ht="13.5" customHeight="1">
      <c r="A112" s="198"/>
      <c r="B112" s="952" t="b">
        <f>IF(File_Head&lt;&gt;"",TRUE,FALSE)</f>
        <v>0</v>
      </c>
      <c r="C112" s="124"/>
      <c r="D112" s="266" t="s">
        <v>936</v>
      </c>
      <c r="E112" s="267" t="str">
        <f>TEXT(N112,"$0,000")&amp;" if head of household."</f>
        <v>$523,050 if head of household.</v>
      </c>
      <c r="F112" s="266"/>
      <c r="G112" s="159"/>
      <c r="H112" s="159"/>
      <c r="I112" s="159"/>
      <c r="J112" s="160"/>
      <c r="K112" s="160"/>
      <c r="L112" s="160"/>
      <c r="M112" s="160"/>
      <c r="N112" s="5053">
        <v>523050</v>
      </c>
      <c r="O112" s="297"/>
      <c r="P112" s="297"/>
      <c r="Q112" s="179"/>
      <c r="R112" s="411"/>
      <c r="S112" s="349"/>
      <c r="T112" s="29"/>
      <c r="X112" s="2738" t="s">
        <v>1786</v>
      </c>
      <c r="Y112" s="962" t="s">
        <v>1787</v>
      </c>
      <c r="AA112" s="938" t="str">
        <f>IF(OR(AB94,AB103,AB112),"",SUM(AA92,AA93,AA101,AA104,AA110))</f>
        <v/>
      </c>
      <c r="AB112" s="2735" t="b">
        <f>OR(SchDLine18=0,SchDLine18="")</f>
        <v>1</v>
      </c>
      <c r="AM112" s="2725"/>
      <c r="AN112" s="2038"/>
      <c r="AO112" s="2038"/>
      <c r="AP112" s="2038"/>
      <c r="AQ112" s="2038"/>
      <c r="AR112" s="2038"/>
      <c r="AS112" s="2038"/>
    </row>
    <row r="113" spans="1:45" ht="13.5" customHeight="1">
      <c r="A113" s="198"/>
      <c r="B113" s="3385">
        <v>27</v>
      </c>
      <c r="C113" s="124"/>
      <c r="D113" s="267" t="s">
        <v>2629</v>
      </c>
      <c r="E113" s="267"/>
      <c r="F113" s="266"/>
      <c r="G113" s="159"/>
      <c r="H113" s="159"/>
      <c r="I113" s="159"/>
      <c r="J113" s="160"/>
      <c r="K113" s="5640">
        <f>B113</f>
        <v>27</v>
      </c>
      <c r="L113" s="938" t="str">
        <f>IF(OR(NOT(SchDTW_Used),Skip2343),"",MIN(SchDTW_Line1,L111))</f>
        <v/>
      </c>
      <c r="M113" s="160"/>
      <c r="N113" s="5052"/>
      <c r="O113" s="297"/>
      <c r="P113" s="297"/>
      <c r="Q113" s="179"/>
      <c r="R113" s="411"/>
      <c r="S113" s="43"/>
      <c r="T113" s="29"/>
      <c r="X113" s="2738" t="s">
        <v>1788</v>
      </c>
      <c r="Y113" s="962" t="s">
        <v>1789</v>
      </c>
      <c r="AA113" s="938" t="str">
        <f>IF(OR(AB94,AB103,AB112),"",SUM(AA72,-AA112))</f>
        <v/>
      </c>
      <c r="AB113" s="2735"/>
      <c r="AM113" s="2725"/>
      <c r="AN113" s="2038"/>
      <c r="AO113" s="2038"/>
      <c r="AP113" s="2038"/>
      <c r="AQ113" s="2038"/>
      <c r="AR113" s="2038"/>
      <c r="AS113" s="2038"/>
    </row>
    <row r="114" spans="1:45" ht="13.5" customHeight="1">
      <c r="A114" s="198"/>
      <c r="B114" s="3385">
        <v>28</v>
      </c>
      <c r="C114" s="124"/>
      <c r="D114" s="267" t="s">
        <v>1764</v>
      </c>
      <c r="E114" s="267"/>
      <c r="F114" s="266"/>
      <c r="G114" s="159"/>
      <c r="H114" s="159"/>
      <c r="I114" s="159"/>
      <c r="J114" s="160"/>
      <c r="K114" s="5640">
        <f>B114</f>
        <v>28</v>
      </c>
      <c r="L114" s="938" t="str">
        <f>IF(OR(NOT(SchDTW_Used),Skip2343),"",SUM(SchDTW_Line21,N103))</f>
        <v/>
      </c>
      <c r="M114" s="160"/>
      <c r="N114" s="5052"/>
      <c r="O114" s="297"/>
      <c r="P114" s="297"/>
      <c r="Q114" s="179"/>
      <c r="R114" s="411"/>
      <c r="S114" s="43"/>
      <c r="T114" s="29"/>
      <c r="X114" s="2734" t="s">
        <v>1790</v>
      </c>
      <c r="Y114" s="962" t="str">
        <f>"Multiply line 42 by "&amp;TEXT(AB114,"0%")</f>
        <v>Multiply line 42 by 28%</v>
      </c>
      <c r="AA114" s="938" t="str">
        <f>IF(OR(AB94,AB103,AB112),"",ROUND(AA113*AB114,0))</f>
        <v/>
      </c>
      <c r="AB114" s="2739">
        <f>SchDTW_Line43Rate</f>
        <v>0.28000000000000003</v>
      </c>
      <c r="AM114" s="2725"/>
      <c r="AN114" s="2038"/>
      <c r="AO114" s="2038"/>
      <c r="AP114" s="2038"/>
      <c r="AQ114" s="2038"/>
      <c r="AR114" s="2038"/>
      <c r="AS114" s="2038"/>
    </row>
    <row r="115" spans="1:45" ht="13.5" customHeight="1">
      <c r="A115" s="198"/>
      <c r="B115" s="3385">
        <v>29</v>
      </c>
      <c r="C115" s="124"/>
      <c r="D115" s="267" t="s">
        <v>2630</v>
      </c>
      <c r="E115" s="267"/>
      <c r="F115" s="266"/>
      <c r="G115" s="159"/>
      <c r="H115" s="159"/>
      <c r="I115" s="159"/>
      <c r="J115" s="160"/>
      <c r="K115" s="5640">
        <f>B115</f>
        <v>29</v>
      </c>
      <c r="L115" s="938" t="str">
        <f>IF(OR(NOT(SchDTW_Used),Skip2343),"",MAX(0,SUM(L113,-L114)))</f>
        <v/>
      </c>
      <c r="M115" s="160"/>
      <c r="N115" s="421"/>
      <c r="O115" s="297"/>
      <c r="P115" s="297"/>
      <c r="Q115" s="179"/>
      <c r="R115" s="411"/>
      <c r="S115" s="43"/>
      <c r="T115" s="29"/>
      <c r="X115" s="2734" t="s">
        <v>1791</v>
      </c>
      <c r="Y115" s="962" t="s">
        <v>1792</v>
      </c>
      <c r="AA115" s="938" t="str">
        <f>AB120</f>
        <v>Filing status?</v>
      </c>
      <c r="AB115" s="2735"/>
      <c r="AM115" s="2725"/>
      <c r="AN115" s="2038"/>
      <c r="AO115" s="2038"/>
      <c r="AP115" s="2038"/>
      <c r="AQ115" s="2038"/>
      <c r="AR115" s="2038"/>
      <c r="AS115" s="2038"/>
    </row>
    <row r="116" spans="1:45" ht="13.5" customHeight="1" thickBot="1">
      <c r="A116" s="198"/>
      <c r="B116" s="3385">
        <v>30</v>
      </c>
      <c r="C116" s="124"/>
      <c r="D116" s="267" t="s">
        <v>2631</v>
      </c>
      <c r="E116" s="267"/>
      <c r="F116" s="266"/>
      <c r="G116" s="159"/>
      <c r="H116" s="159"/>
      <c r="I116" s="159"/>
      <c r="J116" s="160"/>
      <c r="K116" s="5640"/>
      <c r="L116" s="940" t="s">
        <v>988</v>
      </c>
      <c r="M116" s="5640">
        <f>B116</f>
        <v>30</v>
      </c>
      <c r="N116" s="938" t="str">
        <f>IF(OR(NOT(SchDTW_Used),Skip2343),"",MIN(N107,L115))</f>
        <v/>
      </c>
      <c r="O116" s="297"/>
      <c r="P116" s="297"/>
      <c r="Q116" s="179"/>
      <c r="R116" s="411"/>
      <c r="S116" s="43"/>
      <c r="T116" s="29"/>
      <c r="X116" s="2741" t="s">
        <v>2632</v>
      </c>
      <c r="Y116" s="187" t="s">
        <v>14</v>
      </c>
      <c r="Z116" s="187" t="s">
        <v>737</v>
      </c>
      <c r="AA116" s="187" t="s">
        <v>22</v>
      </c>
      <c r="AB116" s="2742" t="s">
        <v>25</v>
      </c>
      <c r="AM116" s="2725"/>
      <c r="AN116" s="2038"/>
      <c r="AO116" s="2038"/>
      <c r="AP116" s="2038"/>
      <c r="AQ116" s="2038"/>
      <c r="AR116" s="2038"/>
      <c r="AS116" s="2038"/>
    </row>
    <row r="117" spans="1:45" ht="13.5" customHeight="1" thickTop="1" thickBot="1">
      <c r="A117" s="198"/>
      <c r="B117" s="3385">
        <v>31</v>
      </c>
      <c r="C117" s="124"/>
      <c r="D117" s="267" t="str">
        <f>"Multiply line 30 by "&amp;TEXT(R117,"0%")&amp;" ("&amp;TEXT(R117,"0.00")&amp;")"</f>
        <v>Multiply line 30 by 15% (0.15)</v>
      </c>
      <c r="E117" s="267"/>
      <c r="F117" s="266"/>
      <c r="G117" s="159"/>
      <c r="H117" s="159"/>
      <c r="I117" s="159"/>
      <c r="J117" s="160"/>
      <c r="K117" s="160"/>
      <c r="L117" s="160"/>
      <c r="M117" s="160"/>
      <c r="N117" s="940" t="s">
        <v>2542</v>
      </c>
      <c r="O117" s="5640">
        <f>B117</f>
        <v>31</v>
      </c>
      <c r="P117" s="938" t="str">
        <f>IF(OR(NOT(SchDTW_Used),Skip2343),"",ROUND($N$116*R117,0))</f>
        <v/>
      </c>
      <c r="Q117" s="179"/>
      <c r="R117" s="411">
        <v>0.15</v>
      </c>
      <c r="S117" s="43"/>
      <c r="T117" s="29"/>
      <c r="X117" s="5645">
        <f>AA92</f>
        <v>0</v>
      </c>
      <c r="Y117" s="5174">
        <f>LOOKUP(X117,'Tax Table'!$B$2:$B$2063,'Tax Table'!$D$2:$D$2063)</f>
        <v>0</v>
      </c>
      <c r="Z117" s="5174">
        <f>LOOKUP(X117,'Tax Table'!$B$2:$B$2063,'Tax Table'!$E$2:$E$2063)</f>
        <v>0</v>
      </c>
      <c r="AA117" s="5174">
        <f>LOOKUP(X117,'Tax Table'!$B$2:$B$2063,'Tax Table'!$F$2:$F$2063)</f>
        <v>0</v>
      </c>
      <c r="AB117" s="5646">
        <f>LOOKUP(X117,'Tax Table'!$B$2:$B$2063,'Tax Table'!$G$2:$G$2063)</f>
        <v>0</v>
      </c>
      <c r="AM117" s="2725"/>
      <c r="AN117" s="2038"/>
      <c r="AO117" s="2038"/>
      <c r="AP117" s="2038"/>
      <c r="AQ117" s="2038"/>
      <c r="AR117" s="2038"/>
      <c r="AS117" s="2038"/>
    </row>
    <row r="118" spans="1:45" ht="13.5" customHeight="1" thickBot="1">
      <c r="A118" s="198"/>
      <c r="B118" s="3385">
        <v>32</v>
      </c>
      <c r="C118" s="124"/>
      <c r="D118" s="267" t="s">
        <v>1771</v>
      </c>
      <c r="E118" s="267"/>
      <c r="F118" s="266"/>
      <c r="G118" s="159"/>
      <c r="H118" s="159"/>
      <c r="I118" s="159"/>
      <c r="J118" s="940" t="s">
        <v>670</v>
      </c>
      <c r="K118" s="5640">
        <f>B118</f>
        <v>32</v>
      </c>
      <c r="L118" s="938" t="str">
        <f>IF(OR(NOT(SchDTW_Used),Skip2343),"",SUM(L106,N116))</f>
        <v/>
      </c>
      <c r="M118" s="160"/>
      <c r="N118" s="421"/>
      <c r="O118" s="297"/>
      <c r="P118" s="297"/>
      <c r="Q118" s="179"/>
      <c r="R118" s="411"/>
      <c r="S118" s="43"/>
      <c r="T118" s="29"/>
      <c r="X118" s="2743"/>
      <c r="Y118" s="5177" t="str">
        <f>IF(X117&lt;SectA_a3,"---",IF(X117&lt;=SectA_a4,ROUND((X117*(SectA_b4/100)-SectA_d4),0),IF(X117&lt;=SectA_a5,ROUND((X117*(SectA_b5/100)-SectA_d5),0),IF(X117&lt;=SectA_a6,ROUND((X117*(SectA_b6/100)-SectA_d6),0),ROUND((X117*(SectA_b7/100)-SectA_d7),0)))))</f>
        <v>---</v>
      </c>
      <c r="Z118" s="5177" t="str">
        <f>IF(X117&lt;SectB_a2,"---",IF(X117&lt;=SectB_a3,ROUND((X117*(SectB_b3/100)-SectB_d3),0),IF(X117&lt;=SectB_a4,ROUND((X117*(SectB_b4/100)-SectB_d4),0),IF(X117&lt;=SectB_a5,ROUND((X117*(SectB_b5/100)-SectB_d5),0),IF(X117&lt;=SectB_a6,ROUND((X117*(SectB_b6/100)-SectB_d6),0),ROUND((X117*(SectB_b7/100)-SectB_d7),0))))))</f>
        <v>---</v>
      </c>
      <c r="AA118" s="5177" t="str">
        <f>IF(X117&lt;SectC_a2,"---",IF(X117&lt;=SectC_a3,ROUND((X117*(SectC_b3/100)-SectC_d3),0),IF(X117&lt;=SectC_a4,ROUND((X117*(SectC_b4/100)-SectC_d4),0),IF(X117&lt;=SectC_a5,ROUND((X117*(SectC_b5/100)-SectC_d5),0),ROUND((X117*(SectC_b6/100)-SectC_d6),0)))))</f>
        <v>---</v>
      </c>
      <c r="AB118" s="5647" t="str">
        <f>IF(X117&lt;SectD_a2,"---",IF(X117&lt;=SectD_a3,ROUND((X117*(SectD_b3/100)-SectD_d3),0),IF(X117&lt;=SectD_a4,ROUND((X117*(SectD_b4/100)-SectD_d4),0),IF(X117&lt;=SectD_a5,ROUND((X117*(SectD_b5/100)-SectD_d5),0),IF(X117&lt;=SectD_a6,ROUND((X117*(SectD_b6/100)-SectD_d6),0),ROUND((X117*(SectD_b7/100)-SectD_d7),0))))))</f>
        <v>---</v>
      </c>
      <c r="AM118" s="2725"/>
      <c r="AN118" s="2038"/>
      <c r="AO118" s="2038"/>
      <c r="AP118" s="2038"/>
      <c r="AQ118" s="2038"/>
      <c r="AR118" s="2038"/>
      <c r="AS118" s="2038"/>
    </row>
    <row r="119" spans="1:45" ht="13.5" customHeight="1" thickBot="1">
      <c r="A119" s="198"/>
      <c r="B119" s="155"/>
      <c r="C119" s="124"/>
      <c r="D119" s="152" t="s">
        <v>2633</v>
      </c>
      <c r="E119" s="267"/>
      <c r="F119" s="266"/>
      <c r="G119" s="159"/>
      <c r="H119" s="159"/>
      <c r="I119" s="159"/>
      <c r="J119" s="160"/>
      <c r="K119" s="160"/>
      <c r="L119" s="160"/>
      <c r="M119" s="160"/>
      <c r="N119" s="421"/>
      <c r="O119" s="297"/>
      <c r="P119" s="297"/>
      <c r="Q119" s="179"/>
      <c r="R119" s="411"/>
      <c r="S119" s="698" t="b">
        <f>IF(OR(NOT(SchDTW_Used),Skip2343),FALSE,IF(SchDTW_Line1=L118,TRUE,FALSE))</f>
        <v>0</v>
      </c>
      <c r="T119" s="29"/>
      <c r="X119" s="5648" t="str">
        <f>IF(File_Single&lt;&gt;"",Y117,IF(File_Marr_Joint&lt;&gt;"",Z117,IF(File_Marr_Sep&lt;&gt;"", AA117,IF(File_Head&lt;&gt;"",AB117,IF(File_Qual_Widow&lt;&gt;"",Z117,"Filing status?")))))</f>
        <v>Filing status?</v>
      </c>
      <c r="Y119" s="1585" t="str">
        <f>"&lt;100k"</f>
        <v>&lt;100k</v>
      </c>
      <c r="Z119" s="1585"/>
      <c r="AA119" s="1585"/>
      <c r="AB119" s="5649"/>
      <c r="AM119" s="2725"/>
      <c r="AN119" s="2038"/>
      <c r="AO119" s="2038"/>
      <c r="AP119" s="2038"/>
      <c r="AQ119" s="2038"/>
      <c r="AR119" s="2038"/>
      <c r="AS119" s="2038"/>
    </row>
    <row r="120" spans="1:45" ht="13.5" customHeight="1" thickBot="1">
      <c r="A120" s="198"/>
      <c r="B120" s="3385">
        <v>33</v>
      </c>
      <c r="C120" s="124"/>
      <c r="D120" s="267" t="s">
        <v>2634</v>
      </c>
      <c r="E120" s="267"/>
      <c r="F120" s="266"/>
      <c r="G120" s="159"/>
      <c r="H120" s="159"/>
      <c r="I120" s="159"/>
      <c r="J120" s="160"/>
      <c r="K120" s="160"/>
      <c r="L120" s="940" t="s">
        <v>722</v>
      </c>
      <c r="M120" s="5640">
        <f>B120</f>
        <v>33</v>
      </c>
      <c r="N120" s="938" t="str">
        <f>IF(OR(NOT(SchDTW_Used),Skip2343,Skip3343),"",SUM(L105,-L118))</f>
        <v/>
      </c>
      <c r="O120" s="297"/>
      <c r="P120" s="297"/>
      <c r="Q120" s="179"/>
      <c r="R120" s="411"/>
      <c r="S120" s="881" t="str">
        <f>IF(OR(NOT(SchDTW_Used),Skip2343),"",IF(Skip3343,"Skip lines 33 through 42.","Go to Line 33."))</f>
        <v/>
      </c>
      <c r="T120" s="29"/>
      <c r="X120" s="5650" t="str">
        <f>IF(File_Single&lt;&gt;"",Y118,IF(OR(File_Marr_Joint&lt;&gt;"",File_Qual_Widow&lt;&gt;""),Z118,IF(File_Marr_Sep&lt;&gt;"", AA118,IF(File_Head&lt;&gt;"",AB118,"Filing status?"))))</f>
        <v>Filing status?</v>
      </c>
      <c r="Y120" s="2644" t="str">
        <f>"&gt;=100k"</f>
        <v>&gt;=100k</v>
      </c>
      <c r="Z120" s="2644"/>
      <c r="AA120" s="2644" t="s">
        <v>748</v>
      </c>
      <c r="AB120" s="5651" t="str">
        <f>IF(X117&gt;100000,X120,X119)</f>
        <v>Filing status?</v>
      </c>
      <c r="AM120" s="2725"/>
      <c r="AN120" s="2038"/>
      <c r="AO120" s="2038"/>
      <c r="AP120" s="2038"/>
      <c r="AQ120" s="2038"/>
      <c r="AR120" s="2038"/>
      <c r="AS120" s="2038"/>
    </row>
    <row r="121" spans="1:45" ht="12.75" customHeight="1" thickTop="1">
      <c r="A121" s="198"/>
      <c r="B121" s="552" t="s">
        <v>1774</v>
      </c>
      <c r="C121" s="124"/>
      <c r="D121" s="267" t="str">
        <f>"Multiply line 33 by "&amp;TEXT(R121,"0%")&amp;" ("&amp;TEXT(R121,"0.00")&amp;")"</f>
        <v>Multiply line 33 by 20% (0.20)</v>
      </c>
      <c r="E121" s="267"/>
      <c r="F121" s="267"/>
      <c r="G121" s="159"/>
      <c r="H121" s="159"/>
      <c r="I121" s="159"/>
      <c r="J121" s="160"/>
      <c r="K121" s="124"/>
      <c r="L121" s="124"/>
      <c r="M121" s="124"/>
      <c r="N121" s="940" t="s">
        <v>2542</v>
      </c>
      <c r="O121" s="940" t="str">
        <f>B121</f>
        <v>34.</v>
      </c>
      <c r="P121" s="938" t="str">
        <f>IF(OR(NOT(SchDTW_Used),Skip2343,Skip3343),"",ROUND((N120*R121),0))</f>
        <v/>
      </c>
      <c r="Q121" s="3756"/>
      <c r="R121" s="411">
        <v>0.2</v>
      </c>
      <c r="S121" s="43"/>
      <c r="T121" s="29"/>
      <c r="X121" s="2734" t="s">
        <v>1794</v>
      </c>
      <c r="Y121" s="962" t="s">
        <v>1795</v>
      </c>
      <c r="AA121" s="938">
        <f>SUM(AA102,AA105,AA111,AA114,AA115)</f>
        <v>0</v>
      </c>
      <c r="AB121" s="2735"/>
      <c r="AM121" s="2725"/>
      <c r="AN121" s="2038"/>
      <c r="AO121" s="2038"/>
      <c r="AP121" s="2038"/>
      <c r="AQ121" s="2038"/>
      <c r="AR121" s="2038"/>
      <c r="AS121" s="2038"/>
    </row>
    <row r="122" spans="1:45" ht="12.75" customHeight="1">
      <c r="A122" s="198"/>
      <c r="B122" s="155"/>
      <c r="C122" s="124"/>
      <c r="D122" s="152" t="s">
        <v>2635</v>
      </c>
      <c r="E122" s="152"/>
      <c r="F122" s="152"/>
      <c r="G122" s="159"/>
      <c r="H122" s="159"/>
      <c r="I122" s="159"/>
      <c r="J122" s="160"/>
      <c r="K122" s="160"/>
      <c r="L122" s="160"/>
      <c r="M122" s="160"/>
      <c r="N122" s="299"/>
      <c r="O122" s="940"/>
      <c r="P122" s="303"/>
      <c r="Q122" s="178"/>
      <c r="R122" s="411"/>
      <c r="S122" s="698" t="b">
        <f>OR(SchDLine19=0,SchDLine19="")</f>
        <v>1</v>
      </c>
      <c r="T122" s="29"/>
      <c r="X122" s="2734" t="s">
        <v>1796</v>
      </c>
      <c r="Y122" s="962" t="s">
        <v>1797</v>
      </c>
      <c r="AA122" s="938" t="str">
        <f>AB127</f>
        <v>Filing status?</v>
      </c>
      <c r="AB122" s="2735"/>
      <c r="AM122" s="2725"/>
      <c r="AN122" s="2038"/>
      <c r="AO122" s="2038"/>
      <c r="AP122" s="2038"/>
      <c r="AQ122" s="2038"/>
      <c r="AR122" s="2038"/>
      <c r="AS122" s="2038"/>
    </row>
    <row r="123" spans="1:45" ht="12.75" customHeight="1" thickBot="1">
      <c r="A123" s="198"/>
      <c r="B123" s="552" t="s">
        <v>1775</v>
      </c>
      <c r="C123" s="124"/>
      <c r="D123" s="267" t="s">
        <v>2636</v>
      </c>
      <c r="E123" s="267"/>
      <c r="F123" s="267"/>
      <c r="G123" s="159"/>
      <c r="H123" s="159"/>
      <c r="I123" s="159"/>
      <c r="J123" s="954" t="s">
        <v>684</v>
      </c>
      <c r="K123" s="124" t="str">
        <f>B123</f>
        <v>35.</v>
      </c>
      <c r="L123" s="938" t="str">
        <f>IF(OR(NOT(SchDTW_Used),Skip2343,Skip3343,Skip3540),"",MIN(N84,'Sch. D'!N76))</f>
        <v/>
      </c>
      <c r="M123" s="302"/>
      <c r="N123" s="302"/>
      <c r="O123" s="940"/>
      <c r="P123" s="268"/>
      <c r="Q123" s="178"/>
      <c r="R123" s="411"/>
      <c r="S123" s="349" t="str">
        <f>IF(OR(NOT(SchDTW_Used),Skip2343,Skip3343),"",IF(Skip3540,"Skip lines 33 through 38.","Go to line 33."))</f>
        <v/>
      </c>
      <c r="T123" s="29"/>
      <c r="X123" s="2741" t="s">
        <v>2637</v>
      </c>
      <c r="Y123" s="187" t="s">
        <v>14</v>
      </c>
      <c r="Z123" s="187" t="s">
        <v>737</v>
      </c>
      <c r="AA123" s="187" t="s">
        <v>22</v>
      </c>
      <c r="AB123" s="2742" t="s">
        <v>25</v>
      </c>
      <c r="AM123" s="2725"/>
      <c r="AN123" s="2038"/>
      <c r="AO123" s="2038"/>
      <c r="AP123" s="2038"/>
      <c r="AQ123" s="2038"/>
      <c r="AR123" s="2038"/>
      <c r="AS123" s="2038"/>
    </row>
    <row r="124" spans="1:45" ht="12.75" customHeight="1" thickTop="1" thickBot="1">
      <c r="A124" s="198"/>
      <c r="B124" s="3385">
        <v>36</v>
      </c>
      <c r="C124" s="124"/>
      <c r="D124" s="267" t="s">
        <v>1778</v>
      </c>
      <c r="E124" s="267"/>
      <c r="F124" s="267"/>
      <c r="G124" s="159"/>
      <c r="H124" s="124" t="s">
        <v>782</v>
      </c>
      <c r="I124" s="5652">
        <f>B124</f>
        <v>36</v>
      </c>
      <c r="J124" s="938" t="str">
        <f>IF(OR(NOT(SchDTW_Used),Skip2343,Skip3343,Skip3540),"",SUM(L85,SchDTW_Line21))</f>
        <v/>
      </c>
      <c r="K124" s="124"/>
      <c r="L124" s="299"/>
      <c r="M124" s="299"/>
      <c r="N124" s="299"/>
      <c r="O124" s="940"/>
      <c r="P124" s="268"/>
      <c r="Q124" s="178"/>
      <c r="R124" s="411"/>
      <c r="S124" s="349"/>
      <c r="T124" s="29"/>
      <c r="X124" s="5645">
        <f>AA72</f>
        <v>0</v>
      </c>
      <c r="Y124" s="5174">
        <f>LOOKUP(X124,'Tax Table'!$B$2:$B$2063,'Tax Table'!$D$2:$D$2063)</f>
        <v>0</v>
      </c>
      <c r="Z124" s="5174">
        <f>LOOKUP(X124,'Tax Table'!$B$2:$B$2063,'Tax Table'!$E$2:$E$2063)</f>
        <v>0</v>
      </c>
      <c r="AA124" s="5174">
        <f>LOOKUP(X124,'Tax Table'!$B$2:$B$2063,'Tax Table'!$F$2:$F$2063)</f>
        <v>0</v>
      </c>
      <c r="AB124" s="5646">
        <f>LOOKUP(X124,'Tax Table'!$B$2:$B$2063,'Tax Table'!$G$2:$G$2063)</f>
        <v>0</v>
      </c>
      <c r="AM124" s="2725"/>
      <c r="AN124" s="2038"/>
      <c r="AO124" s="2038"/>
      <c r="AP124" s="2038"/>
      <c r="AQ124" s="2038"/>
      <c r="AR124" s="2038"/>
      <c r="AS124" s="2038"/>
    </row>
    <row r="125" spans="1:45" ht="12.75" customHeight="1" thickBot="1">
      <c r="B125" s="3385">
        <v>37</v>
      </c>
      <c r="C125" s="124"/>
      <c r="D125" s="267" t="s">
        <v>2638</v>
      </c>
      <c r="E125" s="267"/>
      <c r="F125" s="267"/>
      <c r="G125" s="159"/>
      <c r="H125" s="124" t="s">
        <v>2639</v>
      </c>
      <c r="I125" s="5652">
        <f>B125</f>
        <v>37</v>
      </c>
      <c r="J125" s="938" t="str">
        <f>IF(OR(NOT(SchDTW_Used),Skip2343,Skip3343,Skip3540),"",SchDTW_Line1)</f>
        <v/>
      </c>
      <c r="K125" s="124"/>
      <c r="L125" s="299"/>
      <c r="M125" s="299"/>
      <c r="N125" s="299"/>
      <c r="O125" s="940"/>
      <c r="P125" s="268"/>
      <c r="Q125" s="178"/>
      <c r="R125" s="411"/>
      <c r="S125" s="349"/>
      <c r="T125" s="29"/>
      <c r="X125" s="2743"/>
      <c r="Y125" s="5177" t="str">
        <f>IF(X124&lt;SectA_a3,"---",IF(X124&lt;=SectA_a4,ROUND((X124*(SectA_b4/100)-SectA_d4),0),IF(X124&lt;=SectA_a5,ROUND((X124*(SectA_b5/100)-SectA_d5),0),IF(X124&lt;=SectA_a6,ROUND((X124*(SectA_b6/100)-SectA_d6),0),ROUND((X124*(SectA_b7/100)-SectA_d7),0)))))</f>
        <v>---</v>
      </c>
      <c r="Z125" s="5177" t="str">
        <f>IF(X124&lt;SectB_a2,"---",IF(X124&lt;=SectB_a3,ROUND((X124*(SectB_b3/100)-SectB_d3),0),IF(X124&lt;=SectB_a4,ROUND((X124*(SectB_b4/100)-SectB_d4),0),IF(X124&lt;=SectB_a5,ROUND((X124*(SectB_b5/100)-SectB_d5),0),IF(X124&lt;=SectB_a6,ROUND((X124*(SectB_b6/100)-SectB_d6),0),ROUND((X124*(SectB_b7/100)-SectB_d7),0))))))</f>
        <v>---</v>
      </c>
      <c r="AA125" s="5177" t="str">
        <f>IF(X124&lt;SectC_a2,"---",IF(X124&lt;=SectC_a3,ROUND((X124*(SectC_b3/100)-SectC_d3),0),IF(X124&lt;=SectC_a4,ROUND((X124*(SectC_b4/100)-SectC_d4),0),IF(X124&lt;=SectC_a5,ROUND((X124*(SectC_b5/100)-SectC_d5),0),ROUND((X124*(SectC_b6/100)-SectC_d6),0)))))</f>
        <v>---</v>
      </c>
      <c r="AB125" s="5647" t="str">
        <f>IF(X124&lt;SectD_a2,"---",IF(X124&lt;=SectD_a3,ROUND((X124*(SectD_b3/100)-SectD_d3),0),IF(X124&lt;=SectD_a4,ROUND((X124*(SectD_b4/100)-SectD_d4),0),IF(X124&lt;=SectD_a5,ROUND((X124*(SectD_b5/100)-SectD_d5),0),IF(X124&lt;=SectD_a6,ROUND((X124*(SectD_b6/100)-SectD_d6),0),ROUND((X124*(SectD_b7/100)-SectD_d7),0))))))</f>
        <v>---</v>
      </c>
      <c r="AM125" s="2725"/>
      <c r="AN125" s="2038"/>
      <c r="AO125" s="2038"/>
      <c r="AP125" s="2038"/>
      <c r="AQ125" s="2038"/>
      <c r="AR125" s="2038"/>
      <c r="AS125" s="2038"/>
    </row>
    <row r="126" spans="1:45" ht="12.75" customHeight="1" thickBot="1">
      <c r="A126" s="696"/>
      <c r="B126" s="3385">
        <v>38</v>
      </c>
      <c r="C126" s="124"/>
      <c r="D126" s="267" t="s">
        <v>2640</v>
      </c>
      <c r="E126" s="267"/>
      <c r="F126" s="267"/>
      <c r="G126" s="159"/>
      <c r="H126" s="159"/>
      <c r="I126" s="159"/>
      <c r="J126" s="940" t="s">
        <v>2098</v>
      </c>
      <c r="K126" s="5652">
        <f>B126</f>
        <v>38</v>
      </c>
      <c r="L126" s="938" t="str">
        <f>IF(OR(NOT(SchDTW_Used),Skip2343,Skip3343,Skip3540),"",MAX(0,SUM(J124,-J125)))</f>
        <v/>
      </c>
      <c r="M126" s="302"/>
      <c r="N126" s="302"/>
      <c r="O126" s="940"/>
      <c r="P126" s="268"/>
      <c r="Q126" s="178"/>
      <c r="R126" s="411"/>
      <c r="S126" s="349"/>
      <c r="T126" s="29"/>
      <c r="X126" s="5648" t="str">
        <f>IF(File_Single&lt;&gt;"",Y124,IF(File_Marr_Joint&lt;&gt;"",Z124,IF(File_Marr_Sep&lt;&gt;"", AA124,IF(File_Head&lt;&gt;"",AB124,IF(File_Qual_Widow&lt;&gt;"",Z124,"Filing status?")))))</f>
        <v>Filing status?</v>
      </c>
      <c r="Y126" s="1585" t="str">
        <f>"&lt;100k"</f>
        <v>&lt;100k</v>
      </c>
      <c r="Z126" s="1585"/>
      <c r="AA126" s="1585"/>
      <c r="AB126" s="5649"/>
      <c r="AM126" s="2725"/>
      <c r="AN126" s="2038"/>
      <c r="AO126" s="2038"/>
      <c r="AP126" s="2038"/>
      <c r="AQ126" s="2038"/>
      <c r="AR126" s="2038"/>
      <c r="AS126" s="2038"/>
    </row>
    <row r="127" spans="1:45" ht="12.75" customHeight="1" thickBot="1">
      <c r="A127" s="696"/>
      <c r="B127" s="3385">
        <v>39</v>
      </c>
      <c r="C127" s="124"/>
      <c r="D127" s="267" t="s">
        <v>2641</v>
      </c>
      <c r="E127" s="267"/>
      <c r="F127" s="267"/>
      <c r="G127" s="159"/>
      <c r="H127" s="159"/>
      <c r="I127" s="159"/>
      <c r="J127" s="160"/>
      <c r="K127" s="160"/>
      <c r="L127" s="940" t="s">
        <v>2162</v>
      </c>
      <c r="M127" s="5652">
        <f>B127</f>
        <v>39</v>
      </c>
      <c r="N127" s="938" t="str">
        <f>IF(OR(NOT(SchDTW_Used),Skip2343,Skip3343,Skip3540),"",MAX(0,SUM(L123,-L126)))</f>
        <v/>
      </c>
      <c r="O127" s="940"/>
      <c r="P127" s="268"/>
      <c r="Q127" s="178"/>
      <c r="R127" s="411"/>
      <c r="S127" s="349"/>
      <c r="T127" s="29"/>
      <c r="X127" s="5650" t="str">
        <f>IF(File_Single&lt;&gt;"",Y125,IF(OR(File_Marr_Joint&lt;&gt;"",File_Qual_Widow&lt;&gt;""),Z125,IF(File_Marr_Sep&lt;&gt;"", AA125,IF(File_Head&lt;&gt;"",AB125,"Filing status?"))))</f>
        <v>Filing status?</v>
      </c>
      <c r="Y127" s="2644" t="str">
        <f>"&gt;=100k"</f>
        <v>&gt;=100k</v>
      </c>
      <c r="Z127" s="2644"/>
      <c r="AA127" s="2644" t="s">
        <v>748</v>
      </c>
      <c r="AB127" s="5651" t="str">
        <f>IF(X124&gt;100000,X127,X126)</f>
        <v>Filing status?</v>
      </c>
      <c r="AM127" s="2725"/>
      <c r="AN127" s="2038"/>
      <c r="AO127" s="2038"/>
      <c r="AP127" s="2038"/>
      <c r="AQ127" s="2038"/>
      <c r="AR127" s="2038"/>
      <c r="AS127" s="2038"/>
    </row>
    <row r="128" spans="1:45" ht="12.75" customHeight="1" thickTop="1">
      <c r="A128" s="696"/>
      <c r="B128" s="3385">
        <v>40</v>
      </c>
      <c r="C128" s="124"/>
      <c r="D128" s="267" t="str">
        <f>"Multiply line 39 by "&amp;TEXT(R128,"0%")&amp;" ("&amp;TEXT(R128,"0.00")&amp;")"</f>
        <v>Multiply line 39 by 25% (0.25)</v>
      </c>
      <c r="E128" s="267"/>
      <c r="F128" s="267"/>
      <c r="G128" s="159"/>
      <c r="H128" s="159"/>
      <c r="I128" s="159"/>
      <c r="J128" s="160"/>
      <c r="K128" s="160"/>
      <c r="L128" s="160"/>
      <c r="M128" s="160"/>
      <c r="N128" s="940" t="s">
        <v>1293</v>
      </c>
      <c r="O128" s="5652">
        <f>B128</f>
        <v>40</v>
      </c>
      <c r="P128" s="938" t="str">
        <f>IF(OR(NOT(SchDTW_Used),Skip2343,Skip3343,Skip3540),"",ROUND((N127*R128),0))</f>
        <v/>
      </c>
      <c r="Q128" s="178"/>
      <c r="R128" s="411">
        <v>0.25</v>
      </c>
      <c r="S128" s="349"/>
      <c r="T128" s="29"/>
      <c r="X128" s="2744" t="s">
        <v>1799</v>
      </c>
      <c r="Y128" s="2745" t="s">
        <v>1800</v>
      </c>
      <c r="Z128" s="2746"/>
      <c r="AA128" s="2747">
        <f>IF(NOT(AA71),MIN(AA121,AA122))</f>
        <v>0</v>
      </c>
      <c r="AB128" s="2748"/>
      <c r="AM128" s="2725"/>
      <c r="AN128" s="2038"/>
      <c r="AO128" s="2038"/>
      <c r="AP128" s="2038"/>
      <c r="AQ128" s="2038"/>
      <c r="AR128" s="2038"/>
      <c r="AS128" s="2038"/>
    </row>
    <row r="129" spans="1:45" ht="12.75" customHeight="1">
      <c r="A129" s="696"/>
      <c r="B129" s="155"/>
      <c r="C129" s="124"/>
      <c r="D129" s="152" t="s">
        <v>2642</v>
      </c>
      <c r="E129" s="152"/>
      <c r="F129" s="152"/>
      <c r="G129" s="159"/>
      <c r="H129" s="159"/>
      <c r="I129" s="159"/>
      <c r="J129" s="160"/>
      <c r="K129" s="160"/>
      <c r="L129" s="160"/>
      <c r="M129" s="160"/>
      <c r="N129" s="299"/>
      <c r="O129" s="940"/>
      <c r="P129" s="303"/>
      <c r="Q129" s="178"/>
      <c r="R129" s="411"/>
      <c r="S129" s="698" t="b">
        <f>IF(OR(SchDLine18=0,SchDLine18=""),TRUE,FALSE)</f>
        <v>1</v>
      </c>
      <c r="T129" s="29"/>
      <c r="AM129" s="2725"/>
      <c r="AN129" s="2038"/>
      <c r="AO129" s="2038"/>
      <c r="AP129" s="2038"/>
      <c r="AQ129" s="2038"/>
      <c r="AR129" s="2038"/>
      <c r="AS129" s="2038"/>
    </row>
    <row r="130" spans="1:45" ht="12.75" customHeight="1">
      <c r="A130" s="696"/>
      <c r="B130" s="3385">
        <v>41</v>
      </c>
      <c r="C130" s="124"/>
      <c r="D130" s="267" t="s">
        <v>2643</v>
      </c>
      <c r="E130" s="267"/>
      <c r="F130" s="267"/>
      <c r="G130" s="159"/>
      <c r="H130" s="159"/>
      <c r="I130" s="159"/>
      <c r="J130" s="160"/>
      <c r="K130" s="160"/>
      <c r="L130" s="940" t="s">
        <v>769</v>
      </c>
      <c r="M130" s="5652">
        <f>B130</f>
        <v>41</v>
      </c>
      <c r="N130" s="938" t="str">
        <f>IF(OR(NOT(SchDTW_Used),Skip2343,Skip3343,Skip4143),"",SUM(SchDTW_Line21,N103,$N$116,N120,N127))</f>
        <v/>
      </c>
      <c r="O130" s="940"/>
      <c r="P130" s="304"/>
      <c r="Q130" s="178"/>
      <c r="R130" s="411"/>
      <c r="S130" s="349" t="str">
        <f>IF(OR(NOT(SchDTW_Used),Skip2343,Skip3343,Skip3540),"",IF(Skip4143,"Skip lines 39 through 41.","Go to line 39."))</f>
        <v/>
      </c>
      <c r="T130" s="29"/>
      <c r="AM130" s="2725"/>
      <c r="AN130" s="2038"/>
      <c r="AO130" s="2038"/>
      <c r="AP130" s="2038"/>
      <c r="AQ130" s="2038"/>
      <c r="AR130" s="2038"/>
      <c r="AS130" s="2038"/>
    </row>
    <row r="131" spans="1:45" ht="12.75" customHeight="1" thickBot="1">
      <c r="A131" s="696"/>
      <c r="B131" s="3385">
        <v>42</v>
      </c>
      <c r="C131" s="124"/>
      <c r="D131" s="267" t="s">
        <v>2644</v>
      </c>
      <c r="E131" s="267"/>
      <c r="F131" s="267"/>
      <c r="G131" s="159"/>
      <c r="H131" s="159"/>
      <c r="I131" s="159"/>
      <c r="J131" s="160"/>
      <c r="K131" s="160"/>
      <c r="L131" s="940" t="s">
        <v>744</v>
      </c>
      <c r="M131" s="5652">
        <f>B131</f>
        <v>42</v>
      </c>
      <c r="N131" s="938" t="str">
        <f>IF(OR(NOT(SchDTW_Used),Skip2343,Skip3343,Skip4143),"",SUM(SchDTW_Line1,-N130))</f>
        <v/>
      </c>
      <c r="O131" s="940"/>
      <c r="P131" s="346"/>
      <c r="Q131" s="178"/>
      <c r="R131" s="411"/>
      <c r="S131" s="349"/>
      <c r="T131" s="29"/>
      <c r="W131"/>
      <c r="X131" s="183" t="s">
        <v>2645</v>
      </c>
      <c r="Y131" s="187" t="s">
        <v>14</v>
      </c>
      <c r="Z131" s="187" t="s">
        <v>737</v>
      </c>
      <c r="AA131" s="187" t="s">
        <v>22</v>
      </c>
      <c r="AB131" s="187" t="s">
        <v>25</v>
      </c>
      <c r="AM131" s="2725"/>
      <c r="AN131" s="2038"/>
      <c r="AO131" s="2038"/>
      <c r="AP131" s="2038"/>
      <c r="AQ131" s="2038"/>
      <c r="AR131" s="2038"/>
      <c r="AS131" s="2038"/>
    </row>
    <row r="132" spans="1:45" ht="12.75" customHeight="1" thickTop="1" thickBot="1">
      <c r="A132" s="696"/>
      <c r="B132" s="3385">
        <v>43</v>
      </c>
      <c r="C132" s="124"/>
      <c r="D132" s="267" t="str">
        <f>"Multiply line 42 by "&amp;TEXT(R132,"0%")&amp;" ("&amp;TEXT(R132,"0.00")&amp;")"</f>
        <v>Multiply line 42 by 28% (0.28)</v>
      </c>
      <c r="E132" s="267"/>
      <c r="F132" s="267"/>
      <c r="G132" s="159"/>
      <c r="H132" s="159"/>
      <c r="I132" s="159"/>
      <c r="J132" s="160"/>
      <c r="K132" s="160"/>
      <c r="L132" s="160"/>
      <c r="M132" s="160"/>
      <c r="N132" s="940" t="s">
        <v>2170</v>
      </c>
      <c r="O132" s="5652">
        <f>B132</f>
        <v>43</v>
      </c>
      <c r="P132" s="938" t="str">
        <f>IF(OR(NOT(SchDTW_Used),Skip2343,Skip3343,Skip4143),"",ROUND(N131*R132,0))</f>
        <v/>
      </c>
      <c r="Q132" s="178"/>
      <c r="R132" s="411">
        <v>0.28000000000000003</v>
      </c>
      <c r="S132" s="457" t="s">
        <v>1113</v>
      </c>
      <c r="T132" s="29"/>
      <c r="W132"/>
      <c r="X132" s="5173" t="str">
        <f>SchDTW_Line21</f>
        <v/>
      </c>
      <c r="Y132" s="5174" t="e">
        <f>LOOKUP(X132,'Tax Table'!$B$2:$B$2063,'Tax Table'!$D$2:$D$2063)</f>
        <v>#N/A</v>
      </c>
      <c r="Z132" s="5174" t="e">
        <f>LOOKUP(X132,'Tax Table'!$B$2:$B$2063,'Tax Table'!$E$2:$E$2063)</f>
        <v>#N/A</v>
      </c>
      <c r="AA132" s="5174" t="e">
        <f>LOOKUP(X132,'Tax Table'!$B$2:$B$2063,'Tax Table'!$F$2:$F$2063)</f>
        <v>#N/A</v>
      </c>
      <c r="AB132" s="5175" t="e">
        <f>LOOKUP(X132,'Tax Table'!$B$2:$B$2063,'Tax Table'!$G$2:$G$2063)</f>
        <v>#N/A</v>
      </c>
      <c r="AM132" s="2725"/>
      <c r="AN132" s="2038"/>
      <c r="AO132" s="2038"/>
      <c r="AP132" s="2038"/>
      <c r="AQ132" s="2038"/>
      <c r="AR132" s="2038"/>
      <c r="AS132" s="2038"/>
    </row>
    <row r="133" spans="1:45" ht="12.75" customHeight="1" thickBot="1">
      <c r="A133" s="696"/>
      <c r="B133" s="3385">
        <v>44</v>
      </c>
      <c r="C133" s="124"/>
      <c r="D133" s="267" t="s">
        <v>2646</v>
      </c>
      <c r="E133" s="267"/>
      <c r="F133" s="267"/>
      <c r="G133" s="159"/>
      <c r="H133" s="159"/>
      <c r="I133" s="159"/>
      <c r="J133" s="160"/>
      <c r="K133" s="160"/>
      <c r="L133" s="160"/>
      <c r="M133" s="160"/>
      <c r="N133" s="940"/>
      <c r="O133" s="5652"/>
      <c r="P133" s="298"/>
      <c r="Q133" s="178"/>
      <c r="R133" s="411"/>
      <c r="S133" s="457" t="s">
        <v>1062</v>
      </c>
      <c r="T133" s="29"/>
      <c r="W133"/>
      <c r="X133" s="2643"/>
      <c r="Y133" s="5177" t="e">
        <f>IF(X132&lt;SectA_a3,"---",IF(X132&lt;=SectA_a4,ROUND((X132*(SectA_b4/100)-SectA_d4),0),IF(X132&lt;=SectA_a5,ROUND((X132*(SectA_b5/100)-SectA_d5),0),IF(X132&lt;=SectA_a6,ROUND((X132*(SectA_b6/100)-SectA_d6),0),ROUND((X132*(SectA_b7/100)-SectA_d7),0)))))</f>
        <v>#VALUE!</v>
      </c>
      <c r="Z133" s="5177" t="e">
        <f>IF(X132&lt;SectB_a2,"---",IF(X132&lt;=SectB_a3,ROUND((X132*(SectB_b3/100)-SectB_d3),0),IF(X132&lt;=SectB_a4,ROUND((X132*(SectB_b4/100)-SectB_d4),0),IF(X132&lt;=SectB_a5,ROUND((X132*(SectB_b5/100)-SectB_d5),0),IF(X132&lt;=SectB_a6,ROUND((X132*(SectB_b6/100)-SectB_d6),0),ROUND((X132*(SectB_b7/100)-SectB_d7),0))))))</f>
        <v>#VALUE!</v>
      </c>
      <c r="AA133" s="5177" t="e">
        <f>IF(X132&lt;SectC_a2,"---",IF(X132&lt;=SectC_a3,ROUND((X132*(SectC_b3/100)-SectC_d3),0),IF(X132&lt;=SectC_a4,ROUND((X132*(SectC_b4/100)-SectC_d4),0),IF(X132&lt;=SectC_a5,ROUND((X132*(SectC_b5/100)-SectC_d5),0),ROUND((X132*(SectC_b6/100)-SectC_d6),0)))))</f>
        <v>#VALUE!</v>
      </c>
      <c r="AB133" s="5178" t="e">
        <f>IF(X132&lt;SectD_a2,"---",IF(X132&lt;=SectD_a3,ROUND((X132*(SectD_b3/100)-SectD_d3),0),IF(X132&lt;=SectD_a4,ROUND((X132*(SectD_b4/100)-SectD_d4),0),IF(X132&lt;=SectD_a5,ROUND((X132*(SectD_b5/100)-SectD_d5),0),IF(X132&lt;=SectD_a6,ROUND((X132*(SectD_b6/100)-SectD_d6),0),ROUND((X132*(SectD_b7/100)-SectD_d7),0))))))</f>
        <v>#VALUE!</v>
      </c>
      <c r="AM133" s="2725"/>
      <c r="AN133" s="2038"/>
      <c r="AO133" s="2038"/>
      <c r="AP133" s="2038"/>
      <c r="AQ133" s="2038"/>
      <c r="AR133" s="2038"/>
      <c r="AS133" s="2038"/>
    </row>
    <row r="134" spans="1:45" ht="12.75" customHeight="1" thickBot="1">
      <c r="A134" s="696"/>
      <c r="B134" s="3385"/>
      <c r="C134" s="124"/>
      <c r="D134" s="267" t="s">
        <v>2647</v>
      </c>
      <c r="E134" s="267"/>
      <c r="F134" s="267"/>
      <c r="G134" s="159"/>
      <c r="H134" s="159"/>
      <c r="I134" s="159"/>
      <c r="J134" s="160"/>
      <c r="K134" s="160"/>
      <c r="L134" s="124"/>
      <c r="M134" s="124"/>
      <c r="N134" s="940" t="s">
        <v>642</v>
      </c>
      <c r="O134" s="5652">
        <f>B133</f>
        <v>44</v>
      </c>
      <c r="P134" s="938" t="str">
        <f>IF(S134&lt;&gt;"",S134,IF(NOT(SchDTW_Used),"",AB135))</f>
        <v/>
      </c>
      <c r="Q134" s="178"/>
      <c r="R134" s="411"/>
      <c r="S134" s="939"/>
      <c r="T134" s="29"/>
      <c r="W134"/>
      <c r="X134" s="5179" t="str">
        <f>IF(File_Single&lt;&gt;"",Y132,IF(File_Marr_Joint&lt;&gt;"",Z132,IF(File_Marr_Sep&lt;&gt;"", AA132,IF(File_Head&lt;&gt;"",AB132,IF(File_Qual_Widow&lt;&gt;"",Z132,"Filing status?")))))</f>
        <v>Filing status?</v>
      </c>
      <c r="Y134" s="1585" t="str">
        <f>"&lt;100k"</f>
        <v>&lt;100k</v>
      </c>
      <c r="Z134" s="1585"/>
      <c r="AA134" s="1585"/>
      <c r="AB134" s="5180"/>
      <c r="AM134" s="2725"/>
      <c r="AN134" s="2038"/>
      <c r="AO134" s="2038"/>
      <c r="AP134" s="2038"/>
      <c r="AQ134" s="2038"/>
      <c r="AR134" s="2038"/>
      <c r="AS134" s="2038"/>
    </row>
    <row r="135" spans="1:45" ht="12.75" customHeight="1" thickBot="1">
      <c r="A135" s="198"/>
      <c r="B135" s="3385">
        <v>45</v>
      </c>
      <c r="C135" s="124"/>
      <c r="D135" s="267" t="s">
        <v>2648</v>
      </c>
      <c r="E135" s="267"/>
      <c r="F135" s="267"/>
      <c r="G135" s="159"/>
      <c r="H135" s="124"/>
      <c r="I135" s="124"/>
      <c r="J135" s="159"/>
      <c r="K135" s="159"/>
      <c r="L135" s="159"/>
      <c r="M135" s="159"/>
      <c r="N135" s="940" t="s">
        <v>2170</v>
      </c>
      <c r="O135" s="5652">
        <f>B135</f>
        <v>45</v>
      </c>
      <c r="P135" s="938" t="str">
        <f>IF(NOT(SchDTW_Used),"",SUM(P117,P121,P128,P132,P134))</f>
        <v/>
      </c>
      <c r="Q135" s="178"/>
      <c r="R135" s="411"/>
      <c r="S135" s="43"/>
      <c r="T135" s="29"/>
      <c r="W135"/>
      <c r="X135" s="5181" t="str">
        <f>IF(File_Single&lt;&gt;"",Y133,IF(OR(File_Marr_Joint&lt;&gt;"",File_Qual_Widow&lt;&gt;""),Z133,IF(File_Marr_Sep&lt;&gt;"", AA133,IF(File_Head&lt;&gt;"",AB133,"Filing status?"))))</f>
        <v>Filing status?</v>
      </c>
      <c r="Y135" s="2644" t="str">
        <f>"&gt;=100k"</f>
        <v>&gt;=100k</v>
      </c>
      <c r="Z135" s="2644"/>
      <c r="AA135" s="2644" t="s">
        <v>748</v>
      </c>
      <c r="AB135" s="5182" t="str">
        <f>IF(X132&gt;100000,X135,X134)</f>
        <v>Filing status?</v>
      </c>
      <c r="AM135" s="2725"/>
      <c r="AN135" s="2038"/>
      <c r="AO135" s="2038"/>
      <c r="AP135" s="2038"/>
      <c r="AQ135" s="2038"/>
      <c r="AR135" s="2038"/>
      <c r="AS135" s="2038"/>
    </row>
    <row r="136" spans="1:45" ht="12.75" customHeight="1" thickTop="1">
      <c r="A136" s="198"/>
      <c r="B136" s="3385">
        <v>46</v>
      </c>
      <c r="C136" s="124"/>
      <c r="D136" s="267" t="s">
        <v>2649</v>
      </c>
      <c r="E136" s="267"/>
      <c r="F136" s="267"/>
      <c r="G136" s="159"/>
      <c r="H136" s="124"/>
      <c r="I136" s="124"/>
      <c r="J136" s="159"/>
      <c r="K136" s="159"/>
      <c r="L136" s="159"/>
      <c r="M136" s="159"/>
      <c r="N136" s="940"/>
      <c r="O136" s="940"/>
      <c r="P136" s="298"/>
      <c r="Q136" s="178"/>
      <c r="R136" s="411"/>
      <c r="S136" s="43"/>
      <c r="T136" s="29"/>
      <c r="W136"/>
      <c r="X136" s="39"/>
      <c r="AM136" s="2725"/>
      <c r="AN136" s="2038"/>
      <c r="AO136" s="2038"/>
      <c r="AP136" s="2038"/>
      <c r="AQ136" s="2038"/>
      <c r="AR136" s="2038"/>
      <c r="AS136" s="2038"/>
    </row>
    <row r="137" spans="1:45" ht="12.75" customHeight="1">
      <c r="A137" s="696"/>
      <c r="B137" s="3385"/>
      <c r="C137" s="124"/>
      <c r="D137" s="267" t="s">
        <v>2650</v>
      </c>
      <c r="E137" s="267"/>
      <c r="F137" s="267"/>
      <c r="G137" s="159"/>
      <c r="H137" s="159"/>
      <c r="I137" s="159"/>
      <c r="J137" s="160"/>
      <c r="K137" s="160"/>
      <c r="L137" s="124"/>
      <c r="M137" s="124"/>
      <c r="N137" s="940" t="s">
        <v>650</v>
      </c>
      <c r="O137" s="5652">
        <f>B136</f>
        <v>46</v>
      </c>
      <c r="P137" s="938" t="str">
        <f>IF(S137&lt;&gt;"",S137,IF(NOT(SchDTW_Used),"",AB144))</f>
        <v/>
      </c>
      <c r="Q137" s="178"/>
      <c r="R137" s="411"/>
      <c r="S137" s="939"/>
      <c r="T137" s="29"/>
      <c r="W137"/>
      <c r="X137" s="39"/>
      <c r="AM137" s="2725"/>
      <c r="AN137" s="2038"/>
      <c r="AO137" s="2038"/>
      <c r="AP137" s="2038"/>
      <c r="AQ137" s="2038"/>
      <c r="AR137" s="2038"/>
      <c r="AS137" s="2038"/>
    </row>
    <row r="138" spans="1:45" ht="12.75" customHeight="1">
      <c r="A138" s="198"/>
      <c r="B138" s="3385">
        <v>47</v>
      </c>
      <c r="C138" s="124"/>
      <c r="D138" s="152" t="s">
        <v>2651</v>
      </c>
      <c r="E138" s="152"/>
      <c r="F138" s="152"/>
      <c r="G138" s="159"/>
      <c r="H138" s="159"/>
      <c r="I138" s="159"/>
      <c r="J138" s="160"/>
      <c r="K138" s="160"/>
      <c r="L138" s="124"/>
      <c r="M138" s="124"/>
      <c r="N138" s="299"/>
      <c r="O138" s="940"/>
      <c r="P138" s="268"/>
      <c r="Q138" s="178"/>
      <c r="R138" s="411"/>
      <c r="S138" s="43"/>
      <c r="T138" s="29"/>
      <c r="W138"/>
      <c r="X138" s="39"/>
      <c r="AM138" s="2725"/>
      <c r="AN138" s="2038"/>
      <c r="AO138" s="2038"/>
      <c r="AP138" s="2038"/>
      <c r="AQ138" s="2038"/>
      <c r="AR138" s="2038"/>
      <c r="AS138" s="2038"/>
    </row>
    <row r="139" spans="1:45" ht="12.75" customHeight="1">
      <c r="A139" s="198"/>
      <c r="B139" s="552"/>
      <c r="C139" s="124"/>
      <c r="D139" s="267" t="s">
        <v>2652</v>
      </c>
      <c r="E139" s="152"/>
      <c r="F139" s="152"/>
      <c r="G139" s="159"/>
      <c r="H139" s="159"/>
      <c r="I139" s="159"/>
      <c r="J139" s="160"/>
      <c r="K139" s="160"/>
      <c r="L139" s="124"/>
      <c r="M139" s="124"/>
      <c r="N139" s="299"/>
      <c r="O139" s="940"/>
      <c r="P139" s="268"/>
      <c r="Q139" s="178"/>
      <c r="R139" s="411"/>
      <c r="S139" s="43"/>
      <c r="T139" s="29"/>
      <c r="W139"/>
      <c r="X139" s="39"/>
      <c r="AM139" s="2725"/>
      <c r="AN139" s="2038"/>
      <c r="AO139" s="2038"/>
      <c r="AP139" s="2038"/>
      <c r="AQ139" s="2038"/>
      <c r="AR139" s="2038"/>
      <c r="AS139" s="2038"/>
    </row>
    <row r="140" spans="1:45" ht="12.75" customHeight="1" thickBot="1">
      <c r="A140" s="198"/>
      <c r="B140" s="552"/>
      <c r="C140" s="124"/>
      <c r="D140" s="267" t="s">
        <v>2653</v>
      </c>
      <c r="E140" s="152"/>
      <c r="F140" s="152"/>
      <c r="G140" s="159"/>
      <c r="H140" s="159"/>
      <c r="I140" s="159"/>
      <c r="J140" s="160"/>
      <c r="K140" s="160"/>
      <c r="L140" s="124"/>
      <c r="M140" s="124"/>
      <c r="N140" s="299"/>
      <c r="O140" s="940"/>
      <c r="P140" s="268"/>
      <c r="Q140" s="178"/>
      <c r="R140" s="411"/>
      <c r="S140" s="43"/>
      <c r="T140" s="29"/>
      <c r="W140"/>
      <c r="X140" s="183" t="s">
        <v>2654</v>
      </c>
      <c r="Y140" s="187" t="s">
        <v>14</v>
      </c>
      <c r="Z140" s="187" t="s">
        <v>737</v>
      </c>
      <c r="AA140" s="187" t="s">
        <v>22</v>
      </c>
      <c r="AB140" s="187" t="s">
        <v>25</v>
      </c>
      <c r="AM140" s="2725"/>
      <c r="AN140" s="2038"/>
      <c r="AO140" s="2038"/>
      <c r="AP140" s="2038"/>
      <c r="AQ140" s="2038"/>
      <c r="AR140" s="2038"/>
      <c r="AS140" s="2038"/>
    </row>
    <row r="141" spans="1:45" ht="12" customHeight="1" thickTop="1" thickBot="1">
      <c r="A141" s="198"/>
      <c r="B141" s="155"/>
      <c r="C141" s="124"/>
      <c r="D141" s="267" t="s">
        <v>5719</v>
      </c>
      <c r="E141" s="267"/>
      <c r="F141" s="267"/>
      <c r="G141" s="159"/>
      <c r="H141" s="159"/>
      <c r="I141" s="159"/>
      <c r="J141" s="160"/>
      <c r="K141" s="160"/>
      <c r="L141" s="124"/>
      <c r="M141" s="124"/>
      <c r="N141" s="940" t="s">
        <v>5720</v>
      </c>
      <c r="O141" s="5652">
        <f>B138</f>
        <v>47</v>
      </c>
      <c r="P141" s="938" t="str">
        <f>IF(S141&lt;&gt;"",S141,IF(NOT(SchDTW_Used),"",MIN(P135,P137)))</f>
        <v/>
      </c>
      <c r="Q141" s="178"/>
      <c r="R141" s="411"/>
      <c r="S141" s="939"/>
      <c r="T141" s="29"/>
      <c r="W141"/>
      <c r="X141" s="5173" t="str">
        <f>SchDTW_Line1</f>
        <v/>
      </c>
      <c r="Y141" s="5174" t="e">
        <f>LOOKUP(X141,'Tax Table'!$B$2:$B$2063,'Tax Table'!$D$2:$D$2063)</f>
        <v>#N/A</v>
      </c>
      <c r="Z141" s="5174" t="e">
        <f>LOOKUP(X141,'Tax Table'!$B$2:$B$2063,'Tax Table'!$E$2:$E$2063)</f>
        <v>#N/A</v>
      </c>
      <c r="AA141" s="5174" t="e">
        <f>LOOKUP(X141,'Tax Table'!$B$2:$B$2063,'Tax Table'!$F$2:$F$2063)</f>
        <v>#N/A</v>
      </c>
      <c r="AB141" s="5175" t="e">
        <f>LOOKUP(X141,'Tax Table'!$B$2:$B$2063,'Tax Table'!$G$2:$G$2063)</f>
        <v>#N/A</v>
      </c>
      <c r="AM141" s="2725"/>
      <c r="AN141" s="2038"/>
      <c r="AO141" s="2038"/>
      <c r="AP141" s="2038"/>
      <c r="AQ141" s="2038"/>
      <c r="AR141" s="2038"/>
      <c r="AS141" s="2038"/>
    </row>
    <row r="142" spans="1:45" ht="8.25" customHeight="1" thickBot="1">
      <c r="A142" s="198"/>
      <c r="B142" s="155"/>
      <c r="C142" s="124"/>
      <c r="D142" s="1217"/>
      <c r="E142" s="1217"/>
      <c r="F142" s="1217"/>
      <c r="G142" s="226"/>
      <c r="H142" s="226"/>
      <c r="I142" s="226"/>
      <c r="J142" s="3386"/>
      <c r="K142" s="3386"/>
      <c r="L142" s="1063"/>
      <c r="M142" s="1063"/>
      <c r="N142" s="3387"/>
      <c r="O142" s="940"/>
      <c r="P142" s="940"/>
      <c r="Q142" s="178"/>
      <c r="R142" s="411"/>
      <c r="S142" s="43"/>
      <c r="T142" s="29"/>
      <c r="W142"/>
      <c r="X142" s="2643"/>
      <c r="Y142" s="5177" t="e">
        <f>IF(X141&lt;SectA_a3,"---",IF(X141&lt;=SectA_a4,ROUND((X141*(SectA_b4/100)-SectA_d4),0),IF(X141&lt;=SectA_a5,ROUND((X141*(SectA_b5/100)-SectA_d5),0),IF(X141&lt;=SectA_a6,ROUND((X141*(SectA_b6/100)-SectA_d6),0),ROUND((X141*(SectA_b7/100)-SectA_d7),0)))))</f>
        <v>#VALUE!</v>
      </c>
      <c r="Z142" s="5177" t="e">
        <f>IF(X141&lt;SectB_a2,"---",IF(X141&lt;=SectB_a3,ROUND((X141*(SectB_b3/100)-SectB_d3),0),IF(X141&lt;=SectB_a4,ROUND((X141*(SectB_b4/100)-SectB_d4),0),IF(X141&lt;=SectB_a5,ROUND((X141*(SectB_b5/100)-SectB_d5),0),IF(X141&lt;=SectB_a6,ROUND((X141*(SectB_b6/100)-SectB_d6),0),ROUND((X141*(SectB_b7/100)-SectB_d7),0))))))</f>
        <v>#VALUE!</v>
      </c>
      <c r="AA142" s="5177" t="e">
        <f>IF(X141&lt;SectC_a2,"---",IF(X141&lt;=SectC_a3,ROUND((X141*(SectC_b3/100)-SectC_d3),0),IF(X141&lt;=SectC_a4,ROUND((X141*(SectC_b4/100)-SectC_d4),0),IF(X141&lt;=SectC_a5,ROUND((X141*(SectC_b5/100)-SectC_d5),0),ROUND((X141*(SectC_b6/100)-SectC_d6),0)))))</f>
        <v>#VALUE!</v>
      </c>
      <c r="AB142" s="5178" t="e">
        <f>IF(X141&lt;SectD_a2,"---",IF(X141&lt;=SectD_a3,ROUND((X141*(SectD_b3/100)-SectD_d3),0),IF(X141&lt;=SectD_a4,ROUND((X141*(SectD_b4/100)-SectD_d4),0),IF(X141&lt;=SectD_a5,ROUND((X141*(SectD_b5/100)-SectD_d5),0),IF(X141&lt;=SectD_a6,ROUND((X141*(SectD_b6/100)-SectD_d6),0),ROUND((X141*(SectD_b7/100)-SectD_d7),0))))))</f>
        <v>#VALUE!</v>
      </c>
      <c r="AM142" s="2725"/>
      <c r="AN142" s="2038"/>
      <c r="AO142" s="2038"/>
      <c r="AP142" s="2038"/>
      <c r="AQ142" s="2038"/>
      <c r="AR142" s="2038"/>
      <c r="AS142" s="2038"/>
    </row>
    <row r="143" spans="1:45" ht="16.5" thickBot="1">
      <c r="A143" s="198"/>
      <c r="B143" s="155"/>
      <c r="C143" s="124"/>
      <c r="D143" s="267" t="s">
        <v>2655</v>
      </c>
      <c r="E143" s="267"/>
      <c r="F143" s="267"/>
      <c r="G143" s="159"/>
      <c r="H143" s="159"/>
      <c r="I143" s="159"/>
      <c r="J143" s="160"/>
      <c r="K143" s="160"/>
      <c r="L143" s="124"/>
      <c r="M143" s="124"/>
      <c r="N143" s="299"/>
      <c r="O143" s="940"/>
      <c r="P143" s="268"/>
      <c r="Q143" s="178"/>
      <c r="R143" s="411"/>
      <c r="S143" s="43"/>
      <c r="T143" s="29"/>
      <c r="W143"/>
      <c r="X143" s="5179" t="str">
        <f>IF(File_Single&lt;&gt;"",Y141,IF(File_Marr_Joint&lt;&gt;"",Z141,IF(File_Marr_Sep&lt;&gt;"", AA141,IF(File_Head&lt;&gt;"",AB141,IF(File_Qual_Widow&lt;&gt;"",Z141,"Filing status?")))))</f>
        <v>Filing status?</v>
      </c>
      <c r="Y143" s="1585" t="str">
        <f>"&lt;100k"</f>
        <v>&lt;100k</v>
      </c>
      <c r="Z143" s="1585"/>
      <c r="AA143" s="1585"/>
      <c r="AB143" s="5180"/>
      <c r="AM143" s="2725"/>
      <c r="AN143" s="2038"/>
      <c r="AO143" s="2038"/>
      <c r="AP143" s="2038"/>
      <c r="AQ143" s="2038"/>
      <c r="AR143" s="2038"/>
      <c r="AS143" s="2038"/>
    </row>
    <row r="144" spans="1:45" ht="14.25" customHeight="1" thickBot="1">
      <c r="A144" s="198"/>
      <c r="B144" s="155"/>
      <c r="C144" s="124"/>
      <c r="D144" s="267" t="s">
        <v>2656</v>
      </c>
      <c r="E144" s="267"/>
      <c r="F144" s="267"/>
      <c r="G144" s="159"/>
      <c r="H144" s="159"/>
      <c r="I144" s="159"/>
      <c r="J144" s="160"/>
      <c r="K144" s="160"/>
      <c r="L144" s="124"/>
      <c r="M144" s="124"/>
      <c r="N144" s="299"/>
      <c r="O144" s="940"/>
      <c r="P144" s="268"/>
      <c r="Q144" s="178"/>
      <c r="R144" s="411"/>
      <c r="S144" s="43"/>
      <c r="T144" s="61"/>
      <c r="W144"/>
      <c r="X144" s="5181" t="str">
        <f>IF(File_Single&lt;&gt;"",Y142,IF(OR(File_Marr_Joint&lt;&gt;"",File_Qual_Widow&lt;&gt;""),Z142,IF(File_Marr_Sep&lt;&gt;"", AA142,IF(File_Head&lt;&gt;"",AB142,"Filing status?"))))</f>
        <v>Filing status?</v>
      </c>
      <c r="Y144" s="2644" t="str">
        <f>"&gt;=100k"</f>
        <v>&gt;=100k</v>
      </c>
      <c r="Z144" s="2644"/>
      <c r="AA144" s="2644" t="s">
        <v>748</v>
      </c>
      <c r="AB144" s="5182" t="str">
        <f>IF(X141&gt;100000,X144,X143)</f>
        <v>Filing status?</v>
      </c>
      <c r="AM144" s="2725"/>
      <c r="AN144" s="2038"/>
      <c r="AO144" s="2038"/>
      <c r="AP144" s="2038"/>
      <c r="AQ144" s="2038"/>
      <c r="AR144" s="2038"/>
      <c r="AS144" s="2038"/>
    </row>
    <row r="145" spans="1:45" ht="12" customHeight="1" thickTop="1">
      <c r="A145" s="22"/>
      <c r="B145" s="155"/>
      <c r="C145" s="124"/>
      <c r="D145" s="267" t="s">
        <v>2657</v>
      </c>
      <c r="E145" s="267"/>
      <c r="F145" s="267"/>
      <c r="G145" s="159"/>
      <c r="H145" s="159"/>
      <c r="I145" s="159"/>
      <c r="J145" s="160"/>
      <c r="K145" s="160"/>
      <c r="L145" s="124"/>
      <c r="M145" s="124"/>
      <c r="N145" s="299"/>
      <c r="O145" s="940"/>
      <c r="P145" s="268"/>
      <c r="Q145" s="2313"/>
      <c r="R145" s="411"/>
      <c r="S145" s="43"/>
      <c r="T145" s="61"/>
      <c r="AM145" s="2725"/>
      <c r="AN145" s="2038"/>
      <c r="AO145" s="2038"/>
      <c r="AP145" s="2038"/>
      <c r="AQ145" s="2038"/>
      <c r="AR145" s="2038"/>
      <c r="AS145" s="2038"/>
    </row>
    <row r="146" spans="1:45" ht="12" customHeight="1" thickBot="1">
      <c r="A146" s="198"/>
      <c r="B146" s="5653"/>
      <c r="C146" s="5654"/>
      <c r="D146" s="5111"/>
      <c r="E146" s="5111"/>
      <c r="F146" s="5111"/>
      <c r="G146" s="269"/>
      <c r="H146" s="5654"/>
      <c r="I146" s="5654"/>
      <c r="J146" s="269"/>
      <c r="K146" s="269"/>
      <c r="L146" s="269"/>
      <c r="M146" s="269"/>
      <c r="N146" s="269"/>
      <c r="O146" s="269"/>
      <c r="P146" s="269"/>
      <c r="Q146" s="2314"/>
      <c r="R146" s="411"/>
      <c r="S146" s="43"/>
      <c r="T146" s="61"/>
      <c r="AM146" s="2725"/>
      <c r="AN146" s="2038"/>
      <c r="AO146" s="2038"/>
      <c r="AP146" s="2038"/>
      <c r="AQ146" s="2038"/>
      <c r="AR146" s="2038"/>
      <c r="AS146" s="2038"/>
    </row>
    <row r="147" spans="1:45" ht="12" customHeight="1" thickTop="1">
      <c r="B147" s="23"/>
      <c r="C147" s="23"/>
      <c r="D147" s="51"/>
      <c r="E147" s="51"/>
      <c r="F147" s="51"/>
      <c r="G147" s="22"/>
      <c r="H147" s="22"/>
      <c r="I147" s="22"/>
      <c r="J147" s="763"/>
      <c r="K147" s="107"/>
      <c r="L147" s="107"/>
      <c r="M147" s="107"/>
      <c r="N147" s="107"/>
      <c r="O147" s="107"/>
      <c r="P147" s="107"/>
      <c r="Q147" s="107"/>
      <c r="R147" s="6"/>
      <c r="S147" s="61"/>
      <c r="T147" s="676"/>
      <c r="AM147" s="2725"/>
      <c r="AN147" s="2038"/>
      <c r="AO147" s="2038"/>
      <c r="AP147" s="2038"/>
      <c r="AQ147" s="2038"/>
      <c r="AR147" s="2038"/>
      <c r="AS147" s="2038"/>
    </row>
    <row r="148" spans="1:45">
      <c r="B148" s="715"/>
      <c r="C148" s="715"/>
      <c r="D148" s="761"/>
      <c r="E148" s="761"/>
      <c r="F148" s="761"/>
      <c r="G148" s="198"/>
      <c r="H148" s="198"/>
      <c r="I148" s="198"/>
      <c r="J148" s="762"/>
      <c r="K148" s="762"/>
      <c r="L148" s="762"/>
      <c r="M148" s="107"/>
      <c r="N148" s="762"/>
      <c r="O148" s="107"/>
      <c r="P148" s="107"/>
      <c r="Q148" s="107"/>
      <c r="R148" s="107"/>
      <c r="S148" s="61"/>
      <c r="T148" s="676"/>
      <c r="AM148" s="2725"/>
      <c r="AN148" s="2038"/>
      <c r="AO148" s="2038"/>
      <c r="AP148" s="2038"/>
      <c r="AQ148" s="2038"/>
      <c r="AR148" s="2038"/>
      <c r="AS148" s="2038"/>
    </row>
    <row r="149" spans="1:45" ht="13.5" thickBot="1">
      <c r="B149" s="1"/>
      <c r="C149" s="1"/>
      <c r="D149" s="14"/>
      <c r="E149" s="14"/>
      <c r="F149" s="14"/>
      <c r="J149" s="4"/>
      <c r="K149" s="4"/>
      <c r="L149" s="4"/>
      <c r="M149" s="185"/>
      <c r="N149" s="4"/>
      <c r="O149" s="185"/>
      <c r="P149" s="185"/>
      <c r="Q149" s="185"/>
      <c r="R149" s="185"/>
      <c r="S149" s="676"/>
      <c r="T149" s="676"/>
      <c r="AM149" s="2725"/>
      <c r="AN149" s="2038"/>
      <c r="AO149" s="2038"/>
      <c r="AP149" s="2038"/>
      <c r="AQ149" s="2038"/>
      <c r="AR149" s="2038"/>
      <c r="AS149" s="2038"/>
    </row>
    <row r="150" spans="1:45" ht="14.25" thickTop="1" thickBot="1">
      <c r="D150" s="6558" t="s">
        <v>2532</v>
      </c>
      <c r="E150" s="7098"/>
      <c r="F150" s="7098"/>
      <c r="G150" s="7098"/>
      <c r="H150" s="7099"/>
      <c r="I150" s="422"/>
      <c r="J150" s="4"/>
      <c r="K150" s="4"/>
      <c r="L150" s="185"/>
      <c r="M150" s="4"/>
      <c r="N150" s="185"/>
      <c r="O150" s="185"/>
      <c r="P150" s="4"/>
      <c r="Q150" s="185"/>
      <c r="R150" s="676"/>
      <c r="S150" s="676"/>
      <c r="T150" s="676"/>
    </row>
    <row r="151" spans="1:45" ht="14.25" thickTop="1" thickBot="1">
      <c r="D151" s="14"/>
      <c r="E151" s="14"/>
      <c r="H151" s="4"/>
      <c r="I151" s="4"/>
      <c r="J151" s="4"/>
      <c r="K151" s="4"/>
      <c r="L151" s="185"/>
      <c r="M151" s="4"/>
      <c r="N151" s="185"/>
      <c r="O151" s="185"/>
      <c r="P151" s="4"/>
      <c r="Q151" s="185"/>
      <c r="R151" s="676"/>
      <c r="S151" s="676"/>
    </row>
    <row r="152" spans="1:45" ht="14.25" thickTop="1" thickBot="1">
      <c r="D152" s="6558" t="s">
        <v>2533</v>
      </c>
      <c r="E152" s="7098"/>
      <c r="F152" s="7098"/>
      <c r="G152" s="7098"/>
      <c r="H152" s="7099"/>
      <c r="I152" s="422"/>
      <c r="J152" s="4"/>
      <c r="K152" s="4"/>
      <c r="L152" s="185"/>
      <c r="M152" s="4"/>
      <c r="N152" s="185"/>
      <c r="O152" s="185"/>
      <c r="P152" s="4"/>
      <c r="Q152" s="185"/>
      <c r="R152" s="676"/>
    </row>
    <row r="153" spans="1:45" ht="13.5" thickTop="1"/>
  </sheetData>
  <sheetProtection algorithmName="SHA-512" hashValue="nyQHzsqO4UYTMmIZ8aPGafmQS+lOTmpOk0XXxaHCQizlU9zMiKFdEtQ9Oe82U6yiRNjnODxduZAg9DXpuY/Emg==" saltValue="OmRRMQ3TKdR8uAAu2nlZRg==" spinCount="100000" sheet="1" objects="1" scenarios="1"/>
  <mergeCells count="10">
    <mergeCell ref="P9:P12"/>
    <mergeCell ref="S63:S64"/>
    <mergeCell ref="D150:H150"/>
    <mergeCell ref="D152:H152"/>
    <mergeCell ref="B66:C66"/>
    <mergeCell ref="B68:C68"/>
    <mergeCell ref="D78:H78"/>
    <mergeCell ref="D77:H77"/>
    <mergeCell ref="S65:S66"/>
    <mergeCell ref="S69:S70"/>
  </mergeCells>
  <phoneticPr fontId="12" type="noConversion"/>
  <conditionalFormatting sqref="B60:B61">
    <cfRule type="expression" dxfId="2254" priority="5114">
      <formula>NOT(AND($W$54,$W$55))</formula>
    </cfRule>
    <cfRule type="expression" dxfId="2253" priority="5115">
      <formula>AND($W$54,$W$55)</formula>
    </cfRule>
  </conditionalFormatting>
  <conditionalFormatting sqref="B66:C66">
    <cfRule type="expression" dxfId="2252" priority="5107">
      <formula>OR($W$60,$W$61)</formula>
    </cfRule>
  </conditionalFormatting>
  <conditionalFormatting sqref="B68:C68">
    <cfRule type="expression" dxfId="2251" priority="5116">
      <formula>$AC$52</formula>
    </cfRule>
  </conditionalFormatting>
  <conditionalFormatting sqref="B3:M4">
    <cfRule type="expression" dxfId="2250" priority="315">
      <formula>IF(NoColor,1,0)</formula>
    </cfRule>
  </conditionalFormatting>
  <conditionalFormatting sqref="B20:M24">
    <cfRule type="expression" dxfId="2249" priority="217">
      <formula>IF(NoColor,1,0)</formula>
    </cfRule>
  </conditionalFormatting>
  <conditionalFormatting sqref="B27:N31">
    <cfRule type="expression" dxfId="2248" priority="95">
      <formula>IF(NoColor,1,0)</formula>
    </cfRule>
  </conditionalFormatting>
  <conditionalFormatting sqref="B5:O15">
    <cfRule type="expression" dxfId="2247" priority="5">
      <formula>IF(NoColor,1,0)</formula>
    </cfRule>
  </conditionalFormatting>
  <conditionalFormatting sqref="B25:P26">
    <cfRule type="expression" dxfId="2246" priority="96">
      <formula>IF(NoColor,1,0)</formula>
    </cfRule>
  </conditionalFormatting>
  <conditionalFormatting sqref="B32:P33">
    <cfRule type="expression" dxfId="2245" priority="92">
      <formula>IF(NoColor,1,0)</formula>
    </cfRule>
  </conditionalFormatting>
  <conditionalFormatting sqref="B16:Q19">
    <cfRule type="expression" dxfId="2244" priority="20">
      <formula>IF(NoColor,1,0)</formula>
    </cfRule>
  </conditionalFormatting>
  <conditionalFormatting sqref="B36:Q57">
    <cfRule type="expression" dxfId="2243" priority="82">
      <formula>IF(NoColor,1,0)</formula>
    </cfRule>
  </conditionalFormatting>
  <conditionalFormatting sqref="C60:C61">
    <cfRule type="expression" dxfId="2242" priority="388">
      <formula>IF($U61&gt;0,1,0)</formula>
    </cfRule>
  </conditionalFormatting>
  <conditionalFormatting sqref="C65">
    <cfRule type="expression" dxfId="2241" priority="389">
      <formula>IF(OR($U62&gt;0,$U64&gt;0,$U65&gt;0),TRUE,FALSE)</formula>
    </cfRule>
  </conditionalFormatting>
  <conditionalFormatting sqref="D91:D93">
    <cfRule type="expression" dxfId="2240" priority="19">
      <formula>IF(B91,0,1)</formula>
    </cfRule>
  </conditionalFormatting>
  <conditionalFormatting sqref="D98:D100">
    <cfRule type="expression" dxfId="2239" priority="11">
      <formula>IF(B98,0,1)</formula>
    </cfRule>
  </conditionalFormatting>
  <conditionalFormatting sqref="D109:D112">
    <cfRule type="expression" dxfId="2238" priority="322">
      <formula>IF(B109,0,1)</formula>
    </cfRule>
  </conditionalFormatting>
  <conditionalFormatting sqref="D144:D145">
    <cfRule type="expression" dxfId="2237" priority="321">
      <formula>IF(Form2555_Used,1,0)</formula>
    </cfRule>
  </conditionalFormatting>
  <conditionalFormatting sqref="E66">
    <cfRule type="expression" dxfId="2236" priority="387">
      <formula>OR($W$60,$W$61)</formula>
    </cfRule>
  </conditionalFormatting>
  <conditionalFormatting sqref="E68">
    <cfRule type="expression" dxfId="2235" priority="394" stopIfTrue="1">
      <formula>$AC$52</formula>
    </cfRule>
  </conditionalFormatting>
  <conditionalFormatting sqref="J78:J79">
    <cfRule type="expression" dxfId="2234" priority="376">
      <formula>IF(NoColor,1,0)</formula>
    </cfRule>
  </conditionalFormatting>
  <conditionalFormatting sqref="J124:J125">
    <cfRule type="expression" dxfId="2233" priority="343">
      <formula>IF(NoColor,1,0)</formula>
    </cfRule>
  </conditionalFormatting>
  <conditionalFormatting sqref="L76">
    <cfRule type="expression" dxfId="2232" priority="378">
      <formula>IF(NoColor,1,0)</formula>
    </cfRule>
  </conditionalFormatting>
  <conditionalFormatting sqref="L80">
    <cfRule type="expression" dxfId="2231" priority="375">
      <formula>IF(NoColor,1,0)</formula>
    </cfRule>
  </conditionalFormatting>
  <conditionalFormatting sqref="L82:L83">
    <cfRule type="expression" dxfId="2230" priority="372">
      <formula>IF(NoColor,1,0)</formula>
    </cfRule>
  </conditionalFormatting>
  <conditionalFormatting sqref="L85">
    <cfRule type="expression" dxfId="2229" priority="370">
      <formula>IF(NoColor,1,0)</formula>
    </cfRule>
  </conditionalFormatting>
  <conditionalFormatting sqref="L87">
    <cfRule type="expression" dxfId="2228" priority="369">
      <formula>IF(NoColor,1,0)</formula>
    </cfRule>
  </conditionalFormatting>
  <conditionalFormatting sqref="L92">
    <cfRule type="expression" dxfId="2227" priority="365">
      <formula>IF(NoColor,1,0)</formula>
    </cfRule>
  </conditionalFormatting>
  <conditionalFormatting sqref="L95:L96">
    <cfRule type="expression" dxfId="2226" priority="362">
      <formula>IF(NoColor,1,0)</formula>
    </cfRule>
  </conditionalFormatting>
  <conditionalFormatting sqref="L99">
    <cfRule type="expression" dxfId="2225" priority="18">
      <formula>IF(NoColor,1,0)</formula>
    </cfRule>
  </conditionalFormatting>
  <conditionalFormatting sqref="L101">
    <cfRule type="expression" dxfId="2224" priority="8">
      <formula>IF(NoColor,1,0)</formula>
    </cfRule>
  </conditionalFormatting>
  <conditionalFormatting sqref="L105:L106">
    <cfRule type="expression" dxfId="2223" priority="358">
      <formula>IF(NoColor,1,0)</formula>
    </cfRule>
  </conditionalFormatting>
  <conditionalFormatting sqref="L111">
    <cfRule type="expression" dxfId="2222" priority="356">
      <formula>IF(NoColor,1,0)</formula>
    </cfRule>
  </conditionalFormatting>
  <conditionalFormatting sqref="L113:L115">
    <cfRule type="expression" dxfId="2221" priority="353">
      <formula>IF(NoColor,1,0)</formula>
    </cfRule>
  </conditionalFormatting>
  <conditionalFormatting sqref="L118">
    <cfRule type="expression" dxfId="2220" priority="350">
      <formula>IF(NoColor,1,0)</formula>
    </cfRule>
  </conditionalFormatting>
  <conditionalFormatting sqref="L123">
    <cfRule type="expression" dxfId="2219" priority="347">
      <formula>IF(NoColor,1,0)</formula>
    </cfRule>
  </conditionalFormatting>
  <conditionalFormatting sqref="L126">
    <cfRule type="expression" dxfId="2218" priority="342">
      <formula>IF(NoColor,1,0)</formula>
    </cfRule>
  </conditionalFormatting>
  <conditionalFormatting sqref="N18">
    <cfRule type="expression" dxfId="2217" priority="2606">
      <formula>IF(P18&lt;0,1,0)</formula>
    </cfRule>
    <cfRule type="expression" dxfId="2216" priority="2607" stopIfTrue="1">
      <formula>IF(#REF!&lt;&gt;"",1,0)</formula>
    </cfRule>
  </conditionalFormatting>
  <conditionalFormatting sqref="N81">
    <cfRule type="expression" dxfId="2215" priority="374">
      <formula>IF(NoColor,1,0)</formula>
    </cfRule>
  </conditionalFormatting>
  <conditionalFormatting sqref="N84">
    <cfRule type="expression" dxfId="2214" priority="371">
      <formula>IF(NoColor,1,0)</formula>
    </cfRule>
  </conditionalFormatting>
  <conditionalFormatting sqref="N86">
    <cfRule type="expression" dxfId="2213" priority="368">
      <formula>IF(NoColor,1,0)</formula>
    </cfRule>
  </conditionalFormatting>
  <conditionalFormatting sqref="N94">
    <cfRule type="expression" dxfId="2212" priority="364">
      <formula>IF(NoColor,1,0)</formula>
    </cfRule>
  </conditionalFormatting>
  <conditionalFormatting sqref="N102:N103">
    <cfRule type="expression" dxfId="2211" priority="360">
      <formula>IF(NoColor,1,0)</formula>
    </cfRule>
  </conditionalFormatting>
  <conditionalFormatting sqref="N107">
    <cfRule type="expression" dxfId="2210" priority="357">
      <formula>IF(NoColor,1,0)</formula>
    </cfRule>
  </conditionalFormatting>
  <conditionalFormatting sqref="N116">
    <cfRule type="expression" dxfId="2209" priority="352">
      <formula>IF(NoColor,1,0)</formula>
    </cfRule>
  </conditionalFormatting>
  <conditionalFormatting sqref="N120">
    <cfRule type="expression" dxfId="2208" priority="351">
      <formula>IF(NoColor,1,0)</formula>
    </cfRule>
  </conditionalFormatting>
  <conditionalFormatting sqref="N127">
    <cfRule type="expression" dxfId="2207" priority="341">
      <formula>IF(NoColor,1,0)</formula>
    </cfRule>
  </conditionalFormatting>
  <conditionalFormatting sqref="N130:N131">
    <cfRule type="expression" dxfId="2206" priority="338">
      <formula>IF(NoColor,1,0)</formula>
    </cfRule>
  </conditionalFormatting>
  <conditionalFormatting sqref="N4:O4 Q10:Q12 P13:Q15 N20:Q21 O27:Q27 B34:Q34">
    <cfRule type="expression" dxfId="2205" priority="381">
      <formula>IF(NoColor,1,0)</formula>
    </cfRule>
  </conditionalFormatting>
  <conditionalFormatting sqref="N22:P24">
    <cfRule type="expression" dxfId="2204" priority="97">
      <formula>IF(NoColor,1,0)</formula>
    </cfRule>
  </conditionalFormatting>
  <conditionalFormatting sqref="N3:Q3">
    <cfRule type="expression" dxfId="2203" priority="314">
      <formula>IF(NoColor,1,0)</formula>
    </cfRule>
  </conditionalFormatting>
  <conditionalFormatting sqref="O28:P31">
    <cfRule type="expression" dxfId="2202" priority="93">
      <formula>IF(NoColor,1,0)</formula>
    </cfRule>
  </conditionalFormatting>
  <conditionalFormatting sqref="P63">
    <cfRule type="expression" dxfId="2201" priority="4">
      <formula>IF(NoColor,1,0)</formula>
    </cfRule>
  </conditionalFormatting>
  <conditionalFormatting sqref="P74">
    <cfRule type="expression" dxfId="2200" priority="379">
      <formula>IF(NoColor,1,0)</formula>
    </cfRule>
  </conditionalFormatting>
  <conditionalFormatting sqref="P88:P89">
    <cfRule type="expression" dxfId="2199" priority="366">
      <formula>IF(NoColor,1,0)</formula>
    </cfRule>
  </conditionalFormatting>
  <conditionalFormatting sqref="P117">
    <cfRule type="expression" dxfId="2198" priority="349">
      <formula>IF(NoColor,1,0)</formula>
    </cfRule>
  </conditionalFormatting>
  <conditionalFormatting sqref="P121">
    <cfRule type="expression" dxfId="2197" priority="348">
      <formula>IF(NoColor,1,0)</formula>
    </cfRule>
  </conditionalFormatting>
  <conditionalFormatting sqref="P128">
    <cfRule type="expression" dxfId="2196" priority="340">
      <formula>IF(NoColor,1,0)</formula>
    </cfRule>
  </conditionalFormatting>
  <conditionalFormatting sqref="P132">
    <cfRule type="expression" dxfId="2195" priority="337">
      <formula>IF(NoColor,1,0)</formula>
    </cfRule>
  </conditionalFormatting>
  <conditionalFormatting sqref="P134:P135">
    <cfRule type="expression" dxfId="2194" priority="335">
      <formula>IF(NoColor,1,0)</formula>
    </cfRule>
  </conditionalFormatting>
  <conditionalFormatting sqref="P137">
    <cfRule type="expression" dxfId="2193" priority="334">
      <formula>IF(NoColor,1,0)</formula>
    </cfRule>
  </conditionalFormatting>
  <conditionalFormatting sqref="P141">
    <cfRule type="expression" dxfId="2192" priority="333">
      <formula>IF(NoColor,1,0)</formula>
    </cfRule>
  </conditionalFormatting>
  <conditionalFormatting sqref="P4:Q9">
    <cfRule type="expression" dxfId="2191" priority="84">
      <formula>IF(NoColor,1,0)</formula>
    </cfRule>
  </conditionalFormatting>
  <conditionalFormatting sqref="Q22:Q26">
    <cfRule type="expression" dxfId="2190" priority="200">
      <formula>IF(NoColor,1,0)</formula>
    </cfRule>
  </conditionalFormatting>
  <conditionalFormatting sqref="Q28:Q33">
    <cfRule type="expression" dxfId="2189" priority="127">
      <formula>IF(NoColor,1,0)</formula>
    </cfRule>
  </conditionalFormatting>
  <conditionalFormatting sqref="S62">
    <cfRule type="cellIs" dxfId="2188" priority="399" stopIfTrue="1" operator="equal">
      <formula>"Yes"</formula>
    </cfRule>
  </conditionalFormatting>
  <conditionalFormatting sqref="S63:S64">
    <cfRule type="expression" dxfId="2187" priority="3">
      <formula>$W$64</formula>
    </cfRule>
  </conditionalFormatting>
  <conditionalFormatting sqref="S65:S66">
    <cfRule type="expression" dxfId="2186" priority="2">
      <formula>AND(SchDTW_Used,NOT(W72),SchD_Line1819_GT_0)</formula>
    </cfRule>
  </conditionalFormatting>
  <conditionalFormatting sqref="S67">
    <cfRule type="expression" dxfId="2185" priority="1">
      <formula>$W$67</formula>
    </cfRule>
  </conditionalFormatting>
  <conditionalFormatting sqref="U9">
    <cfRule type="expression" dxfId="2184" priority="80">
      <formula>IF(NOT(V3),FALSE,IF(OR(NOT(V4),AND(NOT(V7),NOT(V8))),TRUE,FALSE))</formula>
    </cfRule>
  </conditionalFormatting>
  <conditionalFormatting sqref="AA72:AA115">
    <cfRule type="expression" dxfId="2183" priority="9">
      <formula>IF(NoColor,1,0)</formula>
    </cfRule>
  </conditionalFormatting>
  <conditionalFormatting sqref="AA121:AA122">
    <cfRule type="expression" dxfId="2182" priority="27">
      <formula>IF(NoColor,1,0)</formula>
    </cfRule>
  </conditionalFormatting>
  <conditionalFormatting sqref="AA128">
    <cfRule type="expression" dxfId="2181" priority="26">
      <formula>IF(NoColor,1,0)</formula>
    </cfRule>
  </conditionalFormatting>
  <conditionalFormatting sqref="AF9">
    <cfRule type="expression" dxfId="2180" priority="78">
      <formula>NOT(V9)</formula>
    </cfRule>
    <cfRule type="expression" dxfId="2179" priority="79">
      <formula>V9</formula>
    </cfRule>
  </conditionalFormatting>
  <hyperlinks>
    <hyperlink ref="D150:H150" r:id="rId1" display="Download Form 1040 Schedule D" xr:uid="{00000000-0004-0000-1D00-000000000000}"/>
    <hyperlink ref="D152:H152" r:id="rId2" display="Download Form 1040 Schedule D Instructions" xr:uid="{00000000-0004-0000-1D00-000001000000}"/>
  </hyperlinks>
  <pageMargins left="0.75" right="0.25" top="0.36" bottom="0.28999999999999998" header="0.36" footer="0.21"/>
  <pageSetup scale="74" fitToHeight="0" orientation="portrait" r:id="rId3"/>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66"/>
  <sheetViews>
    <sheetView zoomScaleNormal="100" zoomScaleSheetLayoutView="100" workbookViewId="0"/>
  </sheetViews>
  <sheetFormatPr defaultColWidth="3.42578125" defaultRowHeight="12.75"/>
  <cols>
    <col min="1" max="1" width="3.42578125" style="39"/>
    <col min="2" max="2" width="3.85546875" style="39" customWidth="1"/>
    <col min="3" max="4" width="3.42578125" style="39"/>
    <col min="5" max="5" width="2.5703125" style="39" customWidth="1"/>
    <col min="6" max="6" width="4.28515625" style="39" customWidth="1"/>
    <col min="7" max="7" width="3.42578125" style="39"/>
    <col min="8" max="8" width="3.7109375" style="39" customWidth="1"/>
    <col min="9" max="10" width="2.85546875" style="39" customWidth="1"/>
    <col min="11" max="11" width="3.42578125" style="39"/>
    <col min="12" max="12" width="4" style="39" customWidth="1"/>
    <col min="13" max="14" width="3" style="39" customWidth="1"/>
    <col min="15" max="18" width="2.7109375" style="39" customWidth="1"/>
    <col min="19" max="19" width="4.5703125" style="39" customWidth="1"/>
    <col min="20" max="25" width="3.28515625" style="39" customWidth="1"/>
    <col min="26" max="29" width="2.7109375" style="39" customWidth="1"/>
    <col min="30" max="31" width="3.42578125" style="39"/>
    <col min="32" max="33" width="3.7109375" style="39" customWidth="1"/>
    <col min="34" max="34" width="3.5703125" style="39" customWidth="1"/>
    <col min="35" max="35" width="3.42578125" style="39"/>
    <col min="36" max="36" width="4" style="39" customWidth="1"/>
    <col min="37" max="42" width="3.42578125" style="39"/>
    <col min="43" max="43" width="2.28515625" style="39" customWidth="1"/>
    <col min="44" max="46" width="10.28515625" style="39" customWidth="1"/>
    <col min="47" max="47" width="3.85546875" style="39" customWidth="1"/>
    <col min="48" max="55" width="10.28515625" style="39" hidden="1" customWidth="1"/>
    <col min="56" max="56" width="10.140625" style="39" hidden="1" customWidth="1"/>
    <col min="57" max="57" width="10.28515625" style="39" hidden="1" customWidth="1"/>
    <col min="58" max="58" width="3.42578125" style="39"/>
    <col min="59" max="59" width="10.7109375" style="2691" customWidth="1"/>
    <col min="60" max="69" width="10.7109375" style="2690" customWidth="1"/>
    <col min="70" max="16384" width="3.42578125" style="39"/>
  </cols>
  <sheetData>
    <row r="1" spans="1:69" ht="21.75" customHeight="1">
      <c r="A1" s="2162"/>
      <c r="B1" s="2162"/>
      <c r="C1" s="3075" t="s">
        <v>2658</v>
      </c>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2162"/>
      <c r="AJ1" s="2162"/>
      <c r="AK1" s="2162"/>
      <c r="AL1" s="2162"/>
      <c r="AM1" s="2162"/>
      <c r="AN1" s="2162"/>
      <c r="AO1" s="2162"/>
      <c r="AP1" s="2162"/>
      <c r="BG1" s="2395" t="s">
        <v>241</v>
      </c>
      <c r="BH1" s="2038"/>
      <c r="BI1" s="2038"/>
      <c r="BJ1" s="2038"/>
      <c r="BK1" s="2038"/>
      <c r="BL1" s="2038"/>
      <c r="BM1" s="2038"/>
      <c r="BN1" s="2038"/>
      <c r="BO1" s="2038"/>
      <c r="BP1" s="2038"/>
    </row>
    <row r="2" spans="1:69" ht="18" customHeight="1">
      <c r="A2" s="2162"/>
      <c r="B2" s="6433" t="s">
        <v>2659</v>
      </c>
      <c r="C2" s="7405"/>
      <c r="D2" s="7405"/>
      <c r="E2" s="7405"/>
      <c r="F2" s="7405"/>
      <c r="G2" s="7406"/>
      <c r="H2" s="2432"/>
      <c r="I2" s="808"/>
      <c r="J2" s="808"/>
      <c r="K2" s="808"/>
      <c r="L2" s="808"/>
      <c r="M2" s="2434"/>
      <c r="N2" s="808"/>
      <c r="O2" s="808"/>
      <c r="P2" s="808"/>
      <c r="Q2" s="808"/>
      <c r="R2" s="808"/>
      <c r="S2" s="808"/>
      <c r="T2" s="808"/>
      <c r="U2" s="808"/>
      <c r="V2" s="808"/>
      <c r="W2" s="808"/>
      <c r="X2" s="808"/>
      <c r="Y2" s="808"/>
      <c r="Z2" s="808"/>
      <c r="AA2" s="808"/>
      <c r="AB2" s="808"/>
      <c r="AC2" s="808"/>
      <c r="AD2" s="808"/>
      <c r="AE2" s="808"/>
      <c r="AF2" s="808"/>
      <c r="AG2" s="808"/>
      <c r="AH2" s="808"/>
      <c r="AI2" s="7540" t="s">
        <v>576</v>
      </c>
      <c r="AJ2" s="7541"/>
      <c r="AK2" s="7541"/>
      <c r="AL2" s="7541"/>
      <c r="AM2" s="7541"/>
      <c r="AN2" s="7541"/>
      <c r="AO2" s="7541"/>
      <c r="AP2" s="2162"/>
      <c r="BG2" s="2552" t="s">
        <v>319</v>
      </c>
      <c r="BH2" s="2038"/>
      <c r="BI2" s="2038"/>
      <c r="BJ2" s="2038"/>
      <c r="BK2" s="2038"/>
      <c r="BL2" s="2038"/>
      <c r="BM2" s="2038"/>
      <c r="BN2" s="2038"/>
      <c r="BO2" s="2038"/>
      <c r="BP2" s="2038"/>
    </row>
    <row r="3" spans="1:69" ht="25.5" customHeight="1">
      <c r="A3" s="2162"/>
      <c r="B3" s="7544" t="s">
        <v>2088</v>
      </c>
      <c r="C3" s="7545"/>
      <c r="D3" s="7545"/>
      <c r="E3" s="7545"/>
      <c r="F3" s="7545"/>
      <c r="G3" s="7546"/>
      <c r="H3" s="3931" t="s">
        <v>2660</v>
      </c>
      <c r="I3" s="2470"/>
      <c r="J3" s="2470"/>
      <c r="K3" s="2470"/>
      <c r="L3" s="2470"/>
      <c r="M3" s="2470"/>
      <c r="N3" s="2470"/>
      <c r="O3" s="2470"/>
      <c r="P3" s="2470"/>
      <c r="Q3" s="2470"/>
      <c r="R3" s="2470"/>
      <c r="S3" s="2470"/>
      <c r="T3" s="2470"/>
      <c r="U3" s="2470"/>
      <c r="V3" s="2470"/>
      <c r="W3" s="2470"/>
      <c r="X3" s="2470"/>
      <c r="Y3" s="2470"/>
      <c r="Z3" s="2470"/>
      <c r="AA3" s="2470"/>
      <c r="AB3" s="2470"/>
      <c r="AC3" s="2470"/>
      <c r="AD3" s="2470"/>
      <c r="AE3" s="2470"/>
      <c r="AF3" s="2470"/>
      <c r="AG3" s="2470"/>
      <c r="AH3" s="2471"/>
      <c r="AI3" s="7549">
        <f>TaxYear</f>
        <v>2023</v>
      </c>
      <c r="AJ3" s="7550"/>
      <c r="AK3" s="7550"/>
      <c r="AL3" s="7550"/>
      <c r="AM3" s="7550"/>
      <c r="AN3" s="7550"/>
      <c r="AO3" s="7550"/>
      <c r="AP3" s="2162"/>
      <c r="BG3" s="2396"/>
      <c r="BH3" s="2038"/>
      <c r="BI3" s="2038"/>
      <c r="BJ3" s="2038"/>
      <c r="BK3" s="2038"/>
      <c r="BL3" s="2038"/>
      <c r="BM3" s="2038"/>
      <c r="BN3" s="2038"/>
      <c r="BO3" s="2038"/>
      <c r="BP3" s="2038"/>
    </row>
    <row r="4" spans="1:69">
      <c r="A4" s="2162"/>
      <c r="B4" s="6763" t="s">
        <v>2661</v>
      </c>
      <c r="C4" s="6919"/>
      <c r="D4" s="6919"/>
      <c r="E4" s="6919"/>
      <c r="F4" s="6919"/>
      <c r="G4" s="7542"/>
      <c r="H4" s="2485" t="str">
        <f>"(From rental real estate, royalties, partnerships, S corporations, estates, trusts, REMICs, etc.)"</f>
        <v>(From rental real estate, royalties, partnerships, S corporations, estates, trusts, REMICs, etc.)</v>
      </c>
      <c r="I4" s="1364"/>
      <c r="J4" s="1364"/>
      <c r="K4" s="1364"/>
      <c r="L4" s="1364"/>
      <c r="M4" s="1364"/>
      <c r="N4" s="1364"/>
      <c r="O4" s="1364"/>
      <c r="P4" s="1364"/>
      <c r="Q4" s="1364"/>
      <c r="R4" s="1364"/>
      <c r="S4" s="1364"/>
      <c r="T4" s="2469"/>
      <c r="U4" s="1364"/>
      <c r="V4" s="1364"/>
      <c r="W4" s="1364"/>
      <c r="X4" s="1364"/>
      <c r="Y4" s="1364"/>
      <c r="Z4" s="1364"/>
      <c r="AA4" s="1364"/>
      <c r="AB4" s="1364"/>
      <c r="AC4" s="1364"/>
      <c r="AD4" s="1364"/>
      <c r="AE4" s="1364"/>
      <c r="AF4" s="1364"/>
      <c r="AG4" s="1364"/>
      <c r="AH4" s="1364"/>
      <c r="AI4" s="7551"/>
      <c r="AJ4" s="7552"/>
      <c r="AK4" s="7552"/>
      <c r="AL4" s="7552"/>
      <c r="AM4" s="7552"/>
      <c r="AN4" s="7552"/>
      <c r="AO4" s="7552"/>
      <c r="AP4" s="2162"/>
      <c r="BG4" s="2396"/>
      <c r="BH4" s="2038"/>
      <c r="BI4" s="2038"/>
      <c r="BJ4" s="2038"/>
      <c r="BK4" s="2038"/>
      <c r="BL4" s="2038"/>
      <c r="BM4" s="2038"/>
      <c r="BN4" s="2038"/>
      <c r="BO4" s="2038"/>
      <c r="BP4" s="2038"/>
    </row>
    <row r="5" spans="1:69">
      <c r="A5" s="2162"/>
      <c r="B5" s="6763"/>
      <c r="C5" s="6919"/>
      <c r="D5" s="6919"/>
      <c r="E5" s="6919"/>
      <c r="F5" s="6919"/>
      <c r="G5" s="7542"/>
      <c r="H5" s="894"/>
      <c r="I5" s="808"/>
      <c r="J5" s="808"/>
      <c r="K5" s="808"/>
      <c r="L5" s="808"/>
      <c r="M5" s="808"/>
      <c r="N5" s="808"/>
      <c r="O5" s="808"/>
      <c r="P5" s="808"/>
      <c r="Q5" s="808"/>
      <c r="R5" s="808"/>
      <c r="S5" s="808"/>
      <c r="T5" s="1040" t="s">
        <v>2662</v>
      </c>
      <c r="U5" s="808"/>
      <c r="V5" s="808"/>
      <c r="W5" s="808"/>
      <c r="X5" s="808"/>
      <c r="Y5" s="808"/>
      <c r="Z5" s="808"/>
      <c r="AA5" s="808"/>
      <c r="AB5" s="808"/>
      <c r="AC5" s="808"/>
      <c r="AD5" s="808"/>
      <c r="AE5" s="808"/>
      <c r="AF5" s="808"/>
      <c r="AG5" s="808"/>
      <c r="AH5" s="808"/>
      <c r="AI5" s="2483"/>
      <c r="AJ5" s="7547" t="s">
        <v>2663</v>
      </c>
      <c r="AK5" s="7324"/>
      <c r="AL5" s="7324"/>
      <c r="AM5" s="7324"/>
      <c r="AN5" s="2433"/>
      <c r="AO5" s="2433"/>
      <c r="AP5" s="2162"/>
      <c r="BG5" s="2396"/>
      <c r="BH5" s="2038"/>
      <c r="BI5" s="2038"/>
      <c r="BJ5" s="2038"/>
      <c r="BK5" s="2038"/>
      <c r="BL5" s="2038"/>
      <c r="BM5" s="2038"/>
      <c r="BN5" s="2038"/>
      <c r="BO5" s="2038"/>
      <c r="BP5" s="2038"/>
    </row>
    <row r="6" spans="1:69" ht="15.75" customHeight="1" thickBot="1">
      <c r="A6" s="2162"/>
      <c r="B6" s="6920"/>
      <c r="C6" s="6920"/>
      <c r="D6" s="6920"/>
      <c r="E6" s="6920"/>
      <c r="F6" s="6920"/>
      <c r="G6" s="7543"/>
      <c r="H6" s="2435" t="s">
        <v>2664</v>
      </c>
      <c r="I6" s="2399"/>
      <c r="J6" s="2399"/>
      <c r="K6" s="2399"/>
      <c r="L6" s="2399"/>
      <c r="M6" s="2399"/>
      <c r="N6" s="2399"/>
      <c r="O6" s="2399"/>
      <c r="P6" s="2399"/>
      <c r="Q6" s="2399"/>
      <c r="R6" s="2399"/>
      <c r="S6" s="2399"/>
      <c r="T6" s="2399"/>
      <c r="U6" s="2399"/>
      <c r="V6" s="2399"/>
      <c r="W6" s="2399"/>
      <c r="X6" s="2399"/>
      <c r="Y6" s="2399"/>
      <c r="Z6" s="2399"/>
      <c r="AA6" s="2399"/>
      <c r="AB6" s="2399"/>
      <c r="AC6" s="2399"/>
      <c r="AD6" s="2399"/>
      <c r="AE6" s="2399"/>
      <c r="AF6" s="2399"/>
      <c r="AG6" s="2399"/>
      <c r="AH6" s="2399"/>
      <c r="AI6" s="2484"/>
      <c r="AJ6" s="7548"/>
      <c r="AK6" s="7548"/>
      <c r="AL6" s="7548"/>
      <c r="AM6" s="7548"/>
      <c r="AN6" s="7557">
        <v>13</v>
      </c>
      <c r="AO6" s="7558"/>
      <c r="AP6" s="2162"/>
      <c r="BG6" s="2396"/>
      <c r="BH6" s="2038"/>
      <c r="BI6" s="2038"/>
      <c r="BJ6" s="2038"/>
      <c r="BK6" s="2038"/>
      <c r="BL6" s="2038"/>
      <c r="BM6" s="2038"/>
      <c r="BN6" s="2038"/>
      <c r="BO6" s="2038"/>
      <c r="BP6" s="2038"/>
    </row>
    <row r="7" spans="1:69">
      <c r="A7" s="2162"/>
      <c r="B7" s="892" t="s">
        <v>2208</v>
      </c>
      <c r="C7" s="808"/>
      <c r="D7" s="808"/>
      <c r="E7" s="808"/>
      <c r="F7" s="808"/>
      <c r="G7" s="808"/>
      <c r="H7" s="808"/>
      <c r="I7" s="808"/>
      <c r="J7" s="808"/>
      <c r="K7" s="808"/>
      <c r="L7" s="808"/>
      <c r="M7" s="808"/>
      <c r="N7" s="808"/>
      <c r="O7" s="808"/>
      <c r="P7" s="808"/>
      <c r="Q7" s="808"/>
      <c r="R7" s="808"/>
      <c r="S7" s="808"/>
      <c r="T7" s="808"/>
      <c r="U7" s="808"/>
      <c r="V7" s="808"/>
      <c r="W7" s="808"/>
      <c r="X7" s="808"/>
      <c r="Y7" s="808"/>
      <c r="Z7" s="808"/>
      <c r="AA7" s="808"/>
      <c r="AB7" s="808"/>
      <c r="AC7" s="808"/>
      <c r="AD7" s="808"/>
      <c r="AE7" s="808"/>
      <c r="AF7" s="808"/>
      <c r="AG7" s="7563" t="s">
        <v>586</v>
      </c>
      <c r="AH7" s="7564"/>
      <c r="AI7" s="7564"/>
      <c r="AJ7" s="7564"/>
      <c r="AK7" s="7564"/>
      <c r="AL7" s="7564"/>
      <c r="AM7" s="7564"/>
      <c r="AN7" s="7564"/>
      <c r="AO7" s="7564"/>
      <c r="AP7" s="2162"/>
      <c r="BG7" s="2396"/>
      <c r="BH7" s="2038"/>
      <c r="BI7" s="2038"/>
      <c r="BJ7" s="2038"/>
      <c r="BK7" s="2038"/>
      <c r="BL7" s="2038"/>
      <c r="BM7" s="2038"/>
      <c r="BN7" s="2038"/>
      <c r="BO7" s="2038"/>
      <c r="BP7" s="2038"/>
    </row>
    <row r="8" spans="1:69" ht="9.75" customHeight="1">
      <c r="A8" s="2162"/>
      <c r="B8" s="6750" t="str">
        <f>Names</f>
        <v/>
      </c>
      <c r="C8" s="6751"/>
      <c r="D8" s="6751"/>
      <c r="E8" s="6751"/>
      <c r="F8" s="6751"/>
      <c r="G8" s="6751"/>
      <c r="H8" s="6751"/>
      <c r="I8" s="6751"/>
      <c r="J8" s="6751"/>
      <c r="K8" s="6751"/>
      <c r="L8" s="6751"/>
      <c r="M8" s="6751"/>
      <c r="N8" s="6751"/>
      <c r="O8" s="6751"/>
      <c r="P8" s="6751"/>
      <c r="Q8" s="6751"/>
      <c r="R8" s="6751"/>
      <c r="S8" s="6751"/>
      <c r="T8" s="6751"/>
      <c r="U8" s="6751"/>
      <c r="V8" s="6751"/>
      <c r="W8" s="6751"/>
      <c r="X8" s="6751"/>
      <c r="Y8" s="6751"/>
      <c r="Z8" s="6751"/>
      <c r="AA8" s="6751"/>
      <c r="AB8" s="6751"/>
      <c r="AC8" s="6751"/>
      <c r="AD8" s="6751"/>
      <c r="AE8" s="6751"/>
      <c r="AF8" s="6752"/>
      <c r="AG8" s="7559">
        <f>IF(NoSSN,"",SS_Yours)</f>
        <v>1010001</v>
      </c>
      <c r="AH8" s="7560"/>
      <c r="AI8" s="7560"/>
      <c r="AJ8" s="7560"/>
      <c r="AK8" s="7560"/>
      <c r="AL8" s="7560"/>
      <c r="AM8" s="7560"/>
      <c r="AN8" s="7560"/>
      <c r="AO8" s="7560"/>
      <c r="AP8" s="2162"/>
      <c r="BG8" s="2396"/>
      <c r="BH8" s="2038"/>
      <c r="BI8" s="2038"/>
      <c r="BJ8" s="2038"/>
      <c r="BK8" s="2038"/>
      <c r="BL8" s="2038"/>
      <c r="BM8" s="2038"/>
      <c r="BN8" s="2038"/>
      <c r="BO8" s="2038"/>
      <c r="BP8" s="2038"/>
    </row>
    <row r="9" spans="1:69" ht="9.75" customHeight="1">
      <c r="A9" s="2162"/>
      <c r="B9" s="6339"/>
      <c r="C9" s="6339"/>
      <c r="D9" s="6339"/>
      <c r="E9" s="6339"/>
      <c r="F9" s="6339"/>
      <c r="G9" s="6339"/>
      <c r="H9" s="6339"/>
      <c r="I9" s="6339"/>
      <c r="J9" s="6339"/>
      <c r="K9" s="6339"/>
      <c r="L9" s="6339"/>
      <c r="M9" s="6339"/>
      <c r="N9" s="6339"/>
      <c r="O9" s="6339"/>
      <c r="P9" s="6339"/>
      <c r="Q9" s="6339"/>
      <c r="R9" s="6339"/>
      <c r="S9" s="6339"/>
      <c r="T9" s="6339"/>
      <c r="U9" s="6339"/>
      <c r="V9" s="6339"/>
      <c r="W9" s="6339"/>
      <c r="X9" s="6339"/>
      <c r="Y9" s="6339"/>
      <c r="Z9" s="6339"/>
      <c r="AA9" s="6339"/>
      <c r="AB9" s="6339"/>
      <c r="AC9" s="6339"/>
      <c r="AD9" s="6339"/>
      <c r="AE9" s="6339"/>
      <c r="AF9" s="6753"/>
      <c r="AG9" s="7561"/>
      <c r="AH9" s="7562"/>
      <c r="AI9" s="7562"/>
      <c r="AJ9" s="7562"/>
      <c r="AK9" s="7562"/>
      <c r="AL9" s="7562"/>
      <c r="AM9" s="7562"/>
      <c r="AN9" s="7562"/>
      <c r="AO9" s="7562"/>
      <c r="AP9" s="2162"/>
      <c r="BG9" s="2396"/>
      <c r="BH9" s="2038"/>
      <c r="BI9" s="2038"/>
      <c r="BJ9" s="2038"/>
      <c r="BK9" s="2038"/>
      <c r="BL9" s="2038"/>
      <c r="BM9" s="2038"/>
      <c r="BN9" s="2038"/>
      <c r="BO9" s="2038"/>
      <c r="BP9" s="2038"/>
    </row>
    <row r="10" spans="1:69" s="2114" customFormat="1" ht="17.25" customHeight="1">
      <c r="A10" s="2163"/>
      <c r="B10" s="7384" t="s">
        <v>884</v>
      </c>
      <c r="C10" s="7384"/>
      <c r="D10" s="7385"/>
      <c r="E10" s="997"/>
      <c r="F10" s="4968" t="s">
        <v>2665</v>
      </c>
      <c r="G10" s="997"/>
      <c r="H10" s="997"/>
      <c r="I10" s="997"/>
      <c r="J10" s="997"/>
      <c r="K10" s="997"/>
      <c r="L10" s="997"/>
      <c r="M10" s="997"/>
      <c r="N10" s="997"/>
      <c r="O10" s="997"/>
      <c r="P10" s="997"/>
      <c r="Q10" s="997"/>
      <c r="R10" s="997"/>
      <c r="S10" s="997"/>
      <c r="T10" s="997"/>
      <c r="U10" s="997"/>
      <c r="V10" s="997"/>
      <c r="W10" s="997"/>
      <c r="X10" s="2440"/>
      <c r="Y10" s="997"/>
      <c r="Z10" s="997"/>
      <c r="AA10" s="997"/>
      <c r="AB10" s="997"/>
      <c r="AC10" s="997"/>
      <c r="AD10" s="997"/>
      <c r="AE10" s="997"/>
      <c r="AF10" s="997"/>
      <c r="AG10" s="997"/>
      <c r="AH10" s="997"/>
      <c r="AI10" s="997"/>
      <c r="AJ10" s="997"/>
      <c r="AK10" s="997"/>
      <c r="AL10" s="997"/>
      <c r="AM10" s="997"/>
      <c r="AN10" s="997"/>
      <c r="AO10" s="997"/>
      <c r="AP10" s="2162"/>
      <c r="BG10" s="2396"/>
      <c r="BH10" s="2038"/>
      <c r="BI10" s="2038"/>
      <c r="BJ10" s="2038"/>
      <c r="BK10" s="2038"/>
      <c r="BL10" s="2038"/>
      <c r="BM10" s="2038"/>
      <c r="BN10" s="2038"/>
      <c r="BO10" s="2038"/>
      <c r="BP10" s="2038"/>
      <c r="BQ10" s="2690"/>
    </row>
    <row r="11" spans="1:69" ht="15.75">
      <c r="A11" s="2162"/>
      <c r="B11" s="4966"/>
      <c r="C11" s="4966"/>
      <c r="D11" s="4962"/>
      <c r="E11" s="1329"/>
      <c r="F11" s="2112" t="s">
        <v>2666</v>
      </c>
      <c r="G11" s="1823"/>
      <c r="H11" s="1823"/>
      <c r="I11" s="1823"/>
      <c r="J11" s="1823"/>
      <c r="K11" s="1823"/>
      <c r="L11" s="1823"/>
      <c r="M11" s="1329"/>
      <c r="N11" s="1823"/>
      <c r="O11" s="1823"/>
      <c r="P11" s="1823"/>
      <c r="Q11" s="1823"/>
      <c r="R11" s="1823"/>
      <c r="S11" s="1823"/>
      <c r="T11" s="1823"/>
      <c r="U11" s="1823"/>
      <c r="V11" s="1823"/>
      <c r="W11" s="1823"/>
      <c r="X11" s="1823"/>
      <c r="Y11" s="1823"/>
      <c r="Z11" s="1823"/>
      <c r="AA11" s="1823"/>
      <c r="AB11" s="1823"/>
      <c r="AC11" s="1823"/>
      <c r="AD11" s="1329"/>
      <c r="AE11" s="1823"/>
      <c r="AF11" s="1823"/>
      <c r="AG11" s="1823"/>
      <c r="AH11" s="1823"/>
      <c r="AI11" s="1823"/>
      <c r="AJ11" s="1823"/>
      <c r="AK11" s="1823"/>
      <c r="AL11" s="1823"/>
      <c r="AM11" s="1823"/>
      <c r="AN11" s="1823"/>
      <c r="AO11" s="1823"/>
      <c r="AP11" s="2162"/>
      <c r="BG11" s="2396"/>
      <c r="BH11" s="2038"/>
      <c r="BI11" s="2038"/>
      <c r="BJ11" s="2038"/>
      <c r="BK11" s="2038"/>
      <c r="BL11" s="2038"/>
      <c r="BM11" s="2038"/>
      <c r="BN11" s="2038"/>
      <c r="BO11" s="2038"/>
      <c r="BP11" s="2038"/>
    </row>
    <row r="12" spans="1:69" ht="15.75">
      <c r="A12" s="2162"/>
      <c r="B12" s="2442"/>
      <c r="C12" s="2442"/>
      <c r="D12" s="4967"/>
      <c r="E12" s="1330"/>
      <c r="F12" s="1719" t="s">
        <v>2667</v>
      </c>
      <c r="G12" s="2438"/>
      <c r="H12" s="2438"/>
      <c r="I12" s="2438"/>
      <c r="J12" s="2438"/>
      <c r="K12" s="2438"/>
      <c r="L12" s="2438"/>
      <c r="M12" s="1330"/>
      <c r="N12" s="2438"/>
      <c r="O12" s="2438"/>
      <c r="P12" s="2438"/>
      <c r="Q12" s="2438"/>
      <c r="R12" s="2438"/>
      <c r="S12" s="2438"/>
      <c r="T12" s="2438"/>
      <c r="U12" s="2438"/>
      <c r="V12" s="2438"/>
      <c r="W12" s="2438"/>
      <c r="X12" s="2438"/>
      <c r="Y12" s="2438"/>
      <c r="Z12" s="2438"/>
      <c r="AA12" s="2438"/>
      <c r="AB12" s="2438"/>
      <c r="AC12" s="2438"/>
      <c r="AD12" s="1330"/>
      <c r="AE12" s="2438"/>
      <c r="AF12" s="2438"/>
      <c r="AG12" s="2438"/>
      <c r="AH12" s="2438"/>
      <c r="AI12" s="2438"/>
      <c r="AJ12" s="2438"/>
      <c r="AK12" s="2438"/>
      <c r="AL12" s="2438"/>
      <c r="AM12" s="2438"/>
      <c r="AN12" s="2438"/>
      <c r="AO12" s="2438"/>
      <c r="AP12" s="2162"/>
      <c r="BG12" s="2396"/>
      <c r="BH12" s="2038"/>
      <c r="BI12" s="2038"/>
      <c r="BJ12" s="2038"/>
      <c r="BK12" s="2038"/>
      <c r="BL12" s="2038"/>
      <c r="BM12" s="2038"/>
      <c r="BN12" s="2038"/>
      <c r="BO12" s="2038"/>
      <c r="BP12" s="2038"/>
    </row>
    <row r="13" spans="1:69" ht="15.75">
      <c r="A13" s="2162"/>
      <c r="B13" s="7516" t="s">
        <v>542</v>
      </c>
      <c r="C13" s="7565"/>
      <c r="D13" s="4722" t="str">
        <f>"Did you make any payments in "&amp;TaxYear&amp;" that would require you to file Form(s) 1099?  See instructions."</f>
        <v>Did you make any payments in 2023 that would require you to file Form(s) 1099?  See instructions.</v>
      </c>
      <c r="E13" s="1823"/>
      <c r="F13" s="1823"/>
      <c r="G13" s="1823"/>
      <c r="H13" s="1823"/>
      <c r="I13" s="1823"/>
      <c r="J13" s="1823"/>
      <c r="K13" s="1823"/>
      <c r="L13" s="1823"/>
      <c r="M13" s="1823"/>
      <c r="N13" s="1823"/>
      <c r="O13" s="1823"/>
      <c r="P13" s="1823"/>
      <c r="Q13" s="1823"/>
      <c r="R13" s="1823"/>
      <c r="S13" s="1823"/>
      <c r="T13" s="1823"/>
      <c r="U13" s="1823"/>
      <c r="V13" s="1823"/>
      <c r="W13" s="1823"/>
      <c r="X13" s="1823"/>
      <c r="Y13" s="1823"/>
      <c r="Z13" s="1823"/>
      <c r="AA13" s="1823"/>
      <c r="AB13" s="1823"/>
      <c r="AC13" s="1823"/>
      <c r="AD13" s="1823"/>
      <c r="AE13" s="1823"/>
      <c r="AF13" s="1823"/>
      <c r="AG13" s="1823"/>
      <c r="AH13" s="1823"/>
      <c r="AI13" s="1823"/>
      <c r="AJ13" s="809"/>
      <c r="AK13" s="2185" t="s">
        <v>2668</v>
      </c>
      <c r="AL13" s="1823"/>
      <c r="AM13" s="809"/>
      <c r="AN13" s="2185" t="s">
        <v>2669</v>
      </c>
      <c r="AO13" s="1823"/>
      <c r="AP13" s="2162"/>
      <c r="BG13" s="2396"/>
      <c r="BH13" s="2038"/>
      <c r="BI13" s="2038"/>
      <c r="BJ13" s="2038"/>
      <c r="BK13" s="2038"/>
      <c r="BL13" s="2038"/>
      <c r="BM13" s="2038"/>
      <c r="BN13" s="2038"/>
      <c r="BO13" s="2038"/>
      <c r="BP13" s="2038"/>
    </row>
    <row r="14" spans="1:69" ht="15.75">
      <c r="A14" s="2162"/>
      <c r="B14" s="7553" t="s">
        <v>548</v>
      </c>
      <c r="C14" s="7554"/>
      <c r="D14" s="2202" t="s">
        <v>5605</v>
      </c>
      <c r="E14" s="2438"/>
      <c r="F14" s="2438"/>
      <c r="G14" s="2438"/>
      <c r="H14" s="2438"/>
      <c r="I14" s="2438"/>
      <c r="J14" s="2438"/>
      <c r="K14" s="2438"/>
      <c r="L14" s="2438"/>
      <c r="M14" s="2438"/>
      <c r="N14" s="2438"/>
      <c r="O14" s="2438"/>
      <c r="P14" s="2438"/>
      <c r="Q14" s="2438"/>
      <c r="R14" s="2438"/>
      <c r="S14" s="2438"/>
      <c r="T14" s="2438"/>
      <c r="U14" s="2438"/>
      <c r="V14" s="2438"/>
      <c r="W14" s="2438"/>
      <c r="X14" s="2438"/>
      <c r="Y14" s="2438"/>
      <c r="Z14" s="2438"/>
      <c r="AA14" s="2438"/>
      <c r="AB14" s="2438"/>
      <c r="AC14" s="2438"/>
      <c r="AD14" s="2438"/>
      <c r="AE14" s="2438"/>
      <c r="AF14" s="2438"/>
      <c r="AG14" s="2438"/>
      <c r="AH14" s="2438"/>
      <c r="AI14" s="2438"/>
      <c r="AJ14" s="809"/>
      <c r="AK14" s="1140" t="s">
        <v>2668</v>
      </c>
      <c r="AL14" s="2438"/>
      <c r="AM14" s="809"/>
      <c r="AN14" s="1140" t="s">
        <v>2669</v>
      </c>
      <c r="AO14" s="2438"/>
      <c r="AP14" s="2162"/>
      <c r="BG14" s="2396"/>
      <c r="BH14" s="2038"/>
      <c r="BI14" s="2038"/>
      <c r="BJ14" s="2038"/>
      <c r="BK14" s="2038"/>
      <c r="BL14" s="2038"/>
      <c r="BM14" s="2038"/>
      <c r="BN14" s="2038"/>
      <c r="BO14" s="2038"/>
      <c r="BP14" s="2038"/>
    </row>
    <row r="15" spans="1:69" s="406" customFormat="1" ht="18.75" customHeight="1">
      <c r="A15" s="4969"/>
      <c r="B15" s="7555" t="s">
        <v>363</v>
      </c>
      <c r="C15" s="7556"/>
      <c r="D15" s="4970" t="s">
        <v>2670</v>
      </c>
      <c r="E15" s="4961"/>
      <c r="F15" s="4961"/>
      <c r="G15" s="4961"/>
      <c r="H15" s="4961"/>
      <c r="I15" s="4961"/>
      <c r="J15" s="4961"/>
      <c r="K15" s="4961"/>
      <c r="L15" s="4961"/>
      <c r="M15" s="4961"/>
      <c r="N15" s="4961"/>
      <c r="O15" s="4961"/>
      <c r="P15" s="4961"/>
      <c r="Q15" s="4961"/>
      <c r="R15" s="4961"/>
      <c r="S15" s="4961"/>
      <c r="T15" s="4961"/>
      <c r="U15" s="4961"/>
      <c r="V15" s="4961"/>
      <c r="W15" s="4961"/>
      <c r="X15" s="4961"/>
      <c r="Y15" s="4961"/>
      <c r="Z15" s="4961"/>
      <c r="AA15" s="4961"/>
      <c r="AB15" s="4961"/>
      <c r="AC15" s="4961"/>
      <c r="AD15" s="4961"/>
      <c r="AE15" s="4961"/>
      <c r="AF15" s="4961"/>
      <c r="AG15" s="4961"/>
      <c r="AH15" s="4961"/>
      <c r="AI15" s="4961"/>
      <c r="AJ15" s="4961"/>
      <c r="AK15" s="4961"/>
      <c r="AL15" s="4961"/>
      <c r="AM15" s="4961"/>
      <c r="AN15" s="4961"/>
      <c r="AO15" s="4961"/>
      <c r="AP15" s="4969"/>
      <c r="BG15" s="4971"/>
      <c r="BH15" s="4972"/>
      <c r="BI15" s="4972"/>
      <c r="BJ15" s="4972"/>
      <c r="BK15" s="4972"/>
      <c r="BL15" s="4972"/>
      <c r="BM15" s="4972"/>
      <c r="BN15" s="4972"/>
      <c r="BO15" s="4972"/>
      <c r="BP15" s="4972"/>
      <c r="BQ15" s="4973"/>
    </row>
    <row r="16" spans="1:69" ht="15.75">
      <c r="A16" s="2162"/>
      <c r="B16" s="7515" t="s">
        <v>542</v>
      </c>
      <c r="C16" s="7427"/>
      <c r="D16" s="7518"/>
      <c r="E16" s="7013"/>
      <c r="F16" s="7013"/>
      <c r="G16" s="7013"/>
      <c r="H16" s="7013"/>
      <c r="I16" s="7013"/>
      <c r="J16" s="7013"/>
      <c r="K16" s="7013"/>
      <c r="L16" s="7013"/>
      <c r="M16" s="7013"/>
      <c r="N16" s="7013"/>
      <c r="O16" s="7013"/>
      <c r="P16" s="7013"/>
      <c r="Q16" s="7013"/>
      <c r="R16" s="7013"/>
      <c r="S16" s="7013"/>
      <c r="T16" s="7013"/>
      <c r="U16" s="7013"/>
      <c r="V16" s="7013"/>
      <c r="W16" s="7013"/>
      <c r="X16" s="7013"/>
      <c r="Y16" s="7013"/>
      <c r="Z16" s="7013"/>
      <c r="AA16" s="7013"/>
      <c r="AB16" s="7013"/>
      <c r="AC16" s="7013"/>
      <c r="AD16" s="7013"/>
      <c r="AE16" s="7013"/>
      <c r="AF16" s="7013"/>
      <c r="AG16" s="7013"/>
      <c r="AH16" s="7013"/>
      <c r="AI16" s="7013"/>
      <c r="AJ16" s="7013"/>
      <c r="AK16" s="7013"/>
      <c r="AL16" s="7013"/>
      <c r="AM16" s="7013"/>
      <c r="AN16" s="7013"/>
      <c r="AO16" s="7013"/>
      <c r="AP16" s="2162"/>
      <c r="BG16" s="2396"/>
      <c r="BH16" s="2038"/>
      <c r="BI16" s="2038"/>
      <c r="BJ16" s="2038"/>
      <c r="BK16" s="2038"/>
      <c r="BL16" s="2038"/>
      <c r="BM16" s="2038"/>
      <c r="BN16" s="2038"/>
      <c r="BO16" s="2038"/>
      <c r="BP16" s="2038"/>
    </row>
    <row r="17" spans="1:69" ht="15.75">
      <c r="A17" s="2162"/>
      <c r="B17" s="7515" t="s">
        <v>548</v>
      </c>
      <c r="C17" s="7427"/>
      <c r="D17" s="7518"/>
      <c r="E17" s="7013"/>
      <c r="F17" s="7013"/>
      <c r="G17" s="7013"/>
      <c r="H17" s="7013"/>
      <c r="I17" s="7013"/>
      <c r="J17" s="7013"/>
      <c r="K17" s="7013"/>
      <c r="L17" s="7013"/>
      <c r="M17" s="7013"/>
      <c r="N17" s="7013"/>
      <c r="O17" s="7013"/>
      <c r="P17" s="7013"/>
      <c r="Q17" s="7013"/>
      <c r="R17" s="7013"/>
      <c r="S17" s="7013"/>
      <c r="T17" s="7013"/>
      <c r="U17" s="7013"/>
      <c r="V17" s="7013"/>
      <c r="W17" s="7013"/>
      <c r="X17" s="7013"/>
      <c r="Y17" s="7013"/>
      <c r="Z17" s="7013"/>
      <c r="AA17" s="7013"/>
      <c r="AB17" s="7013"/>
      <c r="AC17" s="7013"/>
      <c r="AD17" s="7013"/>
      <c r="AE17" s="7013"/>
      <c r="AF17" s="7013"/>
      <c r="AG17" s="7013"/>
      <c r="AH17" s="7013"/>
      <c r="AI17" s="7013"/>
      <c r="AJ17" s="7013"/>
      <c r="AK17" s="7013"/>
      <c r="AL17" s="7013"/>
      <c r="AM17" s="7013"/>
      <c r="AN17" s="7013"/>
      <c r="AO17" s="7013"/>
      <c r="AP17" s="2162"/>
      <c r="BG17" s="2396"/>
      <c r="BH17" s="2038"/>
      <c r="BI17" s="2038"/>
      <c r="BJ17" s="2038"/>
      <c r="BK17" s="2038"/>
      <c r="BL17" s="2038"/>
      <c r="BM17" s="2038"/>
      <c r="BN17" s="2038"/>
      <c r="BO17" s="2038"/>
      <c r="BP17" s="2038"/>
    </row>
    <row r="18" spans="1:69" ht="15.75">
      <c r="A18" s="2162"/>
      <c r="B18" s="7515" t="s">
        <v>550</v>
      </c>
      <c r="C18" s="7427"/>
      <c r="D18" s="7518"/>
      <c r="E18" s="7013"/>
      <c r="F18" s="7013"/>
      <c r="G18" s="7013"/>
      <c r="H18" s="7013"/>
      <c r="I18" s="7013"/>
      <c r="J18" s="7013"/>
      <c r="K18" s="7013"/>
      <c r="L18" s="7013"/>
      <c r="M18" s="7013"/>
      <c r="N18" s="7013"/>
      <c r="O18" s="7013"/>
      <c r="P18" s="7013"/>
      <c r="Q18" s="7013"/>
      <c r="R18" s="7013"/>
      <c r="S18" s="7013"/>
      <c r="T18" s="7013"/>
      <c r="U18" s="7013"/>
      <c r="V18" s="7013"/>
      <c r="W18" s="7013"/>
      <c r="X18" s="7013"/>
      <c r="Y18" s="7013"/>
      <c r="Z18" s="7013"/>
      <c r="AA18" s="7013"/>
      <c r="AB18" s="7013"/>
      <c r="AC18" s="7013"/>
      <c r="AD18" s="7013"/>
      <c r="AE18" s="7013"/>
      <c r="AF18" s="7013"/>
      <c r="AG18" s="7013"/>
      <c r="AH18" s="7013"/>
      <c r="AI18" s="7013"/>
      <c r="AJ18" s="7013"/>
      <c r="AK18" s="7013"/>
      <c r="AL18" s="7013"/>
      <c r="AM18" s="7013"/>
      <c r="AN18" s="7013"/>
      <c r="AO18" s="7013"/>
      <c r="AP18" s="2162"/>
      <c r="AX18" s="39">
        <v>1</v>
      </c>
      <c r="AY18" s="39" t="s">
        <v>2671</v>
      </c>
      <c r="BG18" s="2396"/>
      <c r="BH18" s="2038"/>
      <c r="BI18" s="2038"/>
      <c r="BJ18" s="2038"/>
      <c r="BK18" s="2038"/>
      <c r="BL18" s="2038"/>
      <c r="BM18" s="2038"/>
      <c r="BN18" s="2038"/>
      <c r="BO18" s="2038"/>
      <c r="BP18" s="2038"/>
    </row>
    <row r="19" spans="1:69" ht="15.75" customHeight="1">
      <c r="A19" s="2162"/>
      <c r="B19" s="7516" t="s">
        <v>365</v>
      </c>
      <c r="C19" s="7517"/>
      <c r="D19" s="7450" t="s">
        <v>2672</v>
      </c>
      <c r="E19" s="7519"/>
      <c r="F19" s="7519"/>
      <c r="G19" s="7519"/>
      <c r="H19" s="7520"/>
      <c r="I19" s="7497">
        <v>2</v>
      </c>
      <c r="J19" s="7566"/>
      <c r="K19" s="7531" t="s">
        <v>2673</v>
      </c>
      <c r="L19" s="7531"/>
      <c r="M19" s="7531"/>
      <c r="N19" s="7531"/>
      <c r="O19" s="7531"/>
      <c r="P19" s="7531"/>
      <c r="Q19" s="7531"/>
      <c r="R19" s="7531"/>
      <c r="S19" s="7531"/>
      <c r="T19" s="7531"/>
      <c r="U19" s="7531"/>
      <c r="V19" s="7531"/>
      <c r="W19" s="7531"/>
      <c r="X19" s="2436"/>
      <c r="Y19" s="2436"/>
      <c r="Z19" s="2436"/>
      <c r="AA19" s="7523" t="s">
        <v>2674</v>
      </c>
      <c r="AB19" s="7524"/>
      <c r="AC19" s="7524"/>
      <c r="AD19" s="7524"/>
      <c r="AE19" s="7527"/>
      <c r="AF19" s="7523" t="s">
        <v>2675</v>
      </c>
      <c r="AG19" s="7524"/>
      <c r="AH19" s="7524"/>
      <c r="AI19" s="7524"/>
      <c r="AJ19" s="7527"/>
      <c r="AK19" s="7523" t="s">
        <v>2676</v>
      </c>
      <c r="AL19" s="7524"/>
      <c r="AM19" s="7524"/>
      <c r="AN19" s="7524"/>
      <c r="AO19" s="7524"/>
      <c r="AP19" s="2162"/>
      <c r="AX19" s="39">
        <v>2</v>
      </c>
      <c r="AY19" s="39" t="s">
        <v>2677</v>
      </c>
      <c r="BG19" s="2396"/>
      <c r="BH19" s="2038"/>
      <c r="BI19" s="2038"/>
      <c r="BJ19" s="2038"/>
      <c r="BK19" s="2038"/>
      <c r="BL19" s="2038"/>
      <c r="BM19" s="2038"/>
      <c r="BN19" s="2038"/>
      <c r="BO19" s="2038"/>
      <c r="BP19" s="2038"/>
    </row>
    <row r="20" spans="1:69" ht="14.25" customHeight="1">
      <c r="A20" s="2162"/>
      <c r="B20" s="2442"/>
      <c r="C20" s="2442"/>
      <c r="D20" s="7521"/>
      <c r="E20" s="7521"/>
      <c r="F20" s="7521"/>
      <c r="G20" s="7521"/>
      <c r="H20" s="7522"/>
      <c r="I20" s="2437"/>
      <c r="J20" s="1823"/>
      <c r="K20" s="7532"/>
      <c r="L20" s="7532"/>
      <c r="M20" s="7532"/>
      <c r="N20" s="7532"/>
      <c r="O20" s="7532"/>
      <c r="P20" s="7532"/>
      <c r="Q20" s="7532"/>
      <c r="R20" s="7532"/>
      <c r="S20" s="7532"/>
      <c r="T20" s="7532"/>
      <c r="U20" s="7532"/>
      <c r="V20" s="7532"/>
      <c r="W20" s="7532"/>
      <c r="X20" s="1823"/>
      <c r="Y20" s="1823"/>
      <c r="Z20" s="1823"/>
      <c r="AA20" s="7525"/>
      <c r="AB20" s="7526"/>
      <c r="AC20" s="7526"/>
      <c r="AD20" s="7526"/>
      <c r="AE20" s="7528"/>
      <c r="AF20" s="7525"/>
      <c r="AG20" s="7526"/>
      <c r="AH20" s="7526"/>
      <c r="AI20" s="7526"/>
      <c r="AJ20" s="7528"/>
      <c r="AK20" s="7525"/>
      <c r="AL20" s="7526"/>
      <c r="AM20" s="7526"/>
      <c r="AN20" s="7526"/>
      <c r="AO20" s="7526"/>
      <c r="AP20" s="2162"/>
      <c r="AV20" s="2493">
        <f>IF(LeapYear,366,365)</f>
        <v>365</v>
      </c>
      <c r="AW20" s="2494"/>
      <c r="AX20" s="39">
        <v>3</v>
      </c>
      <c r="AY20" s="39" t="s">
        <v>2678</v>
      </c>
      <c r="BE20" s="2243" t="s">
        <v>2679</v>
      </c>
      <c r="BG20" s="2396"/>
      <c r="BH20" s="2038"/>
      <c r="BI20" s="2038"/>
      <c r="BJ20" s="2038"/>
      <c r="BK20" s="2038"/>
      <c r="BL20" s="2038"/>
      <c r="BM20" s="2038"/>
      <c r="BN20" s="2038"/>
      <c r="BO20" s="2038"/>
      <c r="BP20" s="2038"/>
    </row>
    <row r="21" spans="1:69" ht="15.75">
      <c r="A21" s="2162"/>
      <c r="B21" s="7515" t="s">
        <v>542</v>
      </c>
      <c r="C21" s="7427"/>
      <c r="D21" s="7507"/>
      <c r="E21" s="7508"/>
      <c r="F21" s="7508"/>
      <c r="G21" s="7508"/>
      <c r="H21" s="7509"/>
      <c r="I21" s="1150"/>
      <c r="J21" s="808"/>
      <c r="K21" s="7532"/>
      <c r="L21" s="7532"/>
      <c r="M21" s="7532"/>
      <c r="N21" s="7532"/>
      <c r="O21" s="7532"/>
      <c r="P21" s="7532"/>
      <c r="Q21" s="7532"/>
      <c r="R21" s="7532"/>
      <c r="S21" s="7532"/>
      <c r="T21" s="7532"/>
      <c r="U21" s="7532"/>
      <c r="V21" s="7532"/>
      <c r="W21" s="7532"/>
      <c r="X21" s="7510" t="s">
        <v>542</v>
      </c>
      <c r="Y21" s="7511"/>
      <c r="Z21" s="7512"/>
      <c r="AA21" s="6668"/>
      <c r="AB21" s="7394"/>
      <c r="AC21" s="7394"/>
      <c r="AD21" s="7394"/>
      <c r="AE21" s="7395"/>
      <c r="AF21" s="6668"/>
      <c r="AG21" s="7394"/>
      <c r="AH21" s="7394"/>
      <c r="AI21" s="7394"/>
      <c r="AJ21" s="7395"/>
      <c r="AK21" s="2444"/>
      <c r="AL21" s="2445"/>
      <c r="AM21" s="809"/>
      <c r="AN21" s="2445"/>
      <c r="AO21" s="2445"/>
      <c r="AP21" s="2162"/>
      <c r="AR21" s="902" t="b">
        <f>D21=8</f>
        <v>0</v>
      </c>
      <c r="AV21" s="2495" t="b">
        <f>AA21&gt;$AV$20</f>
        <v>0</v>
      </c>
      <c r="AW21" s="2496" t="b">
        <f>AF21&gt;$AV$20</f>
        <v>0</v>
      </c>
      <c r="AX21" s="39">
        <v>4</v>
      </c>
      <c r="AY21" s="39" t="s">
        <v>2680</v>
      </c>
      <c r="BE21" s="2244" t="b">
        <f>IF(AND(D21&lt;&gt;"",OR(D21&lt;1,D21&gt;8,ISERROR(V32))),TRUE,FALSE)</f>
        <v>0</v>
      </c>
      <c r="BG21" s="2396"/>
      <c r="BH21" s="2038"/>
      <c r="BI21" s="2038"/>
      <c r="BJ21" s="2038"/>
      <c r="BK21" s="2038"/>
      <c r="BL21" s="2038"/>
      <c r="BM21" s="2038"/>
      <c r="BN21" s="2038"/>
      <c r="BO21" s="2038"/>
      <c r="BP21" s="2038"/>
    </row>
    <row r="22" spans="1:69" ht="16.5" thickBot="1">
      <c r="A22" s="2162"/>
      <c r="B22" s="7515" t="s">
        <v>548</v>
      </c>
      <c r="C22" s="7427"/>
      <c r="D22" s="7507"/>
      <c r="E22" s="7508"/>
      <c r="F22" s="7508"/>
      <c r="G22" s="7508"/>
      <c r="H22" s="7509"/>
      <c r="I22" s="1150"/>
      <c r="J22" s="808"/>
      <c r="K22" s="7532"/>
      <c r="L22" s="7532"/>
      <c r="M22" s="7532"/>
      <c r="N22" s="7532"/>
      <c r="O22" s="7532"/>
      <c r="P22" s="7532"/>
      <c r="Q22" s="7532"/>
      <c r="R22" s="7532"/>
      <c r="S22" s="7532"/>
      <c r="T22" s="7532"/>
      <c r="U22" s="7532"/>
      <c r="V22" s="7532"/>
      <c r="W22" s="7532"/>
      <c r="X22" s="7510" t="s">
        <v>548</v>
      </c>
      <c r="Y22" s="7511"/>
      <c r="Z22" s="7512"/>
      <c r="AA22" s="6668"/>
      <c r="AB22" s="7394"/>
      <c r="AC22" s="7394"/>
      <c r="AD22" s="7394"/>
      <c r="AE22" s="7395"/>
      <c r="AF22" s="6668"/>
      <c r="AG22" s="7394"/>
      <c r="AH22" s="7394"/>
      <c r="AI22" s="7394"/>
      <c r="AJ22" s="7395"/>
      <c r="AK22" s="2444"/>
      <c r="AL22" s="2445"/>
      <c r="AM22" s="809"/>
      <c r="AN22" s="2445"/>
      <c r="AO22" s="2445"/>
      <c r="AP22" s="2162"/>
      <c r="AR22" s="902" t="b">
        <f>D22=8</f>
        <v>0</v>
      </c>
      <c r="AV22" s="2495" t="b">
        <f>AA22&gt;$AV$20</f>
        <v>0</v>
      </c>
      <c r="AW22" s="2496" t="b">
        <f>AF22&gt;$AV$20</f>
        <v>0</v>
      </c>
      <c r="AX22" s="39">
        <v>5</v>
      </c>
      <c r="AY22" s="39" t="s">
        <v>2681</v>
      </c>
      <c r="BE22" s="2244" t="b">
        <f>IF(AND(D22&lt;&gt;"",OR(D22&lt;1,D22&gt;8,ISERROR(AD32))),TRUE,FALSE)</f>
        <v>0</v>
      </c>
      <c r="BG22" s="2396"/>
      <c r="BH22" s="2038"/>
      <c r="BI22" s="2038"/>
      <c r="BJ22" s="2038"/>
      <c r="BK22" s="2038"/>
      <c r="BL22" s="2038"/>
      <c r="BM22" s="2038"/>
      <c r="BN22" s="2038"/>
      <c r="BO22" s="2038"/>
      <c r="BP22" s="2038"/>
    </row>
    <row r="23" spans="1:69" ht="15.75">
      <c r="A23" s="2162"/>
      <c r="B23" s="7515" t="s">
        <v>550</v>
      </c>
      <c r="C23" s="7427"/>
      <c r="D23" s="7507"/>
      <c r="E23" s="7508"/>
      <c r="F23" s="7508"/>
      <c r="G23" s="7508"/>
      <c r="H23" s="7509"/>
      <c r="I23" s="1154"/>
      <c r="J23" s="1121"/>
      <c r="K23" s="7533"/>
      <c r="L23" s="7533"/>
      <c r="M23" s="7533"/>
      <c r="N23" s="7533"/>
      <c r="O23" s="7533"/>
      <c r="P23" s="7533"/>
      <c r="Q23" s="7533"/>
      <c r="R23" s="7533"/>
      <c r="S23" s="7533"/>
      <c r="T23" s="7533"/>
      <c r="U23" s="7533"/>
      <c r="V23" s="7533"/>
      <c r="W23" s="7533"/>
      <c r="X23" s="7510" t="s">
        <v>550</v>
      </c>
      <c r="Y23" s="7511"/>
      <c r="Z23" s="7512"/>
      <c r="AA23" s="6668"/>
      <c r="AB23" s="7394"/>
      <c r="AC23" s="7394"/>
      <c r="AD23" s="7394"/>
      <c r="AE23" s="7395"/>
      <c r="AF23" s="6668"/>
      <c r="AG23" s="7394"/>
      <c r="AH23" s="7394"/>
      <c r="AI23" s="7394"/>
      <c r="AJ23" s="7395"/>
      <c r="AK23" s="2444"/>
      <c r="AL23" s="2445"/>
      <c r="AM23" s="809"/>
      <c r="AN23" s="2445"/>
      <c r="AO23" s="2445"/>
      <c r="AP23" s="2162"/>
      <c r="AR23" s="902" t="b">
        <f>D23=8</f>
        <v>0</v>
      </c>
      <c r="AV23" s="2497" t="b">
        <f>AA23&gt;$AV$20</f>
        <v>0</v>
      </c>
      <c r="AW23" s="2498" t="b">
        <f>AF23&gt;$AV$20</f>
        <v>0</v>
      </c>
      <c r="AX23" s="39">
        <v>6</v>
      </c>
      <c r="AY23" s="39" t="s">
        <v>2682</v>
      </c>
      <c r="AZ23" s="4630" t="s">
        <v>542</v>
      </c>
      <c r="BA23" s="4631" t="s">
        <v>548</v>
      </c>
      <c r="BB23" s="4631" t="s">
        <v>550</v>
      </c>
      <c r="BC23" s="4632" t="s">
        <v>248</v>
      </c>
      <c r="BE23" s="2244" t="b">
        <f>IF(AND(D23&lt;&gt;"",OR(D23&lt;1,D23&gt;8,ISERROR(AJ32))),TRUE,FALSE)</f>
        <v>0</v>
      </c>
      <c r="BG23" s="2396"/>
      <c r="BH23" s="2038"/>
      <c r="BI23" s="2038"/>
      <c r="BJ23" s="2038"/>
      <c r="BK23" s="2038"/>
      <c r="BL23" s="2038"/>
      <c r="BM23" s="2038"/>
      <c r="BN23" s="2038"/>
      <c r="BO23" s="2038"/>
      <c r="BP23" s="2038"/>
    </row>
    <row r="24" spans="1:69" ht="14.25" customHeight="1">
      <c r="A24" s="2162"/>
      <c r="B24" s="2448" t="s">
        <v>2683</v>
      </c>
      <c r="C24" s="2446"/>
      <c r="D24" s="1746"/>
      <c r="E24" s="1715"/>
      <c r="F24" s="1715"/>
      <c r="G24" s="1715"/>
      <c r="H24" s="1715"/>
      <c r="I24" s="2490" t="str">
        <f>IF(BE24,"The 'Type of Property' must be entered as a number (1 - 8).","")</f>
        <v/>
      </c>
      <c r="J24" s="1715"/>
      <c r="K24" s="1715"/>
      <c r="L24" s="1715"/>
      <c r="M24" s="1715"/>
      <c r="N24" s="1715"/>
      <c r="O24" s="1715"/>
      <c r="P24" s="1715"/>
      <c r="Q24" s="1715"/>
      <c r="R24" s="1715"/>
      <c r="S24" s="1715"/>
      <c r="T24" s="1715"/>
      <c r="U24" s="1715"/>
      <c r="V24" s="1715"/>
      <c r="W24" s="1715"/>
      <c r="X24" s="1715"/>
      <c r="Y24" s="1715"/>
      <c r="Z24" s="1715"/>
      <c r="AA24" s="1715"/>
      <c r="AB24" s="1715"/>
      <c r="AC24" s="1715"/>
      <c r="AD24" s="2490" t="str">
        <f>IF(OR(AV21,AV22,AV23,AW21,AW22,AW23),"Must be "&amp;AV20&amp;" or less.","")</f>
        <v/>
      </c>
      <c r="AE24" s="1715"/>
      <c r="AF24" s="1715"/>
      <c r="AG24" s="1715"/>
      <c r="AH24" s="1715"/>
      <c r="AI24" s="1715"/>
      <c r="AJ24" s="1715"/>
      <c r="AK24" s="1715"/>
      <c r="AL24" s="1715"/>
      <c r="AM24" s="1715"/>
      <c r="AN24" s="1715"/>
      <c r="AO24" s="1715"/>
      <c r="AP24" s="2162"/>
      <c r="AR24" s="902" t="b">
        <f>OR(AR21:AR23)</f>
        <v>0</v>
      </c>
      <c r="AX24" s="39">
        <v>7</v>
      </c>
      <c r="AY24" s="39" t="s">
        <v>2684</v>
      </c>
      <c r="AZ24" s="4633">
        <f>IF(D21&lt;&gt;6,V30,0)</f>
        <v>0</v>
      </c>
      <c r="BA24" s="2722">
        <f>IF(D22&lt;&gt;6,AD30,0)</f>
        <v>0</v>
      </c>
      <c r="BB24" s="2722">
        <f>IF(D23&lt;&gt;6,AJ30,0)</f>
        <v>0</v>
      </c>
      <c r="BC24" s="4634">
        <f>SUM(AZ24:BB24)</f>
        <v>0</v>
      </c>
      <c r="BE24" s="2244" t="b">
        <f>OR(BE21,BE22,BE23)</f>
        <v>0</v>
      </c>
      <c r="BG24" s="2396"/>
      <c r="BH24" s="2038"/>
      <c r="BI24" s="2038"/>
      <c r="BJ24" s="2038"/>
      <c r="BK24" s="2038"/>
      <c r="BL24" s="2038"/>
      <c r="BM24" s="2038"/>
      <c r="BN24" s="2038"/>
      <c r="BO24" s="2038"/>
      <c r="BP24" s="2038"/>
    </row>
    <row r="25" spans="1:69" ht="17.25" customHeight="1" thickBot="1">
      <c r="A25" s="2162"/>
      <c r="B25" s="2446">
        <v>1</v>
      </c>
      <c r="C25" s="2447" t="s">
        <v>2671</v>
      </c>
      <c r="D25" s="1746"/>
      <c r="E25" s="1715"/>
      <c r="F25" s="1715"/>
      <c r="G25" s="1715"/>
      <c r="H25" s="1715"/>
      <c r="I25" s="1715"/>
      <c r="J25" s="1715"/>
      <c r="K25" s="2450">
        <v>3</v>
      </c>
      <c r="L25" s="2449" t="s">
        <v>2685</v>
      </c>
      <c r="M25" s="1715"/>
      <c r="N25" s="1715"/>
      <c r="O25" s="1715"/>
      <c r="P25" s="1715"/>
      <c r="Q25" s="1715"/>
      <c r="R25" s="1715"/>
      <c r="S25" s="1715"/>
      <c r="T25" s="1715"/>
      <c r="U25" s="2450">
        <v>5</v>
      </c>
      <c r="V25" s="2449" t="s">
        <v>2681</v>
      </c>
      <c r="W25" s="1715"/>
      <c r="X25" s="1715"/>
      <c r="Y25" s="1715"/>
      <c r="Z25" s="2450"/>
      <c r="AA25" s="2450">
        <v>7</v>
      </c>
      <c r="AB25" s="2449" t="s">
        <v>2684</v>
      </c>
      <c r="AC25" s="1715"/>
      <c r="AD25" s="1715"/>
      <c r="AE25" s="1715"/>
      <c r="AF25" s="1715"/>
      <c r="AG25" s="1715"/>
      <c r="AH25" s="1715"/>
      <c r="AI25" s="1715"/>
      <c r="AJ25" s="1715"/>
      <c r="AK25" s="1715"/>
      <c r="AL25" s="1715"/>
      <c r="AM25" s="1715"/>
      <c r="AN25" s="1715"/>
      <c r="AO25" s="1715"/>
      <c r="AP25" s="2162"/>
      <c r="AR25" s="7327" t="str">
        <f>IF($AR$24,"Attach a statement to your return describing the property.","")</f>
        <v/>
      </c>
      <c r="AS25" s="7327"/>
      <c r="AX25" s="39">
        <v>8</v>
      </c>
      <c r="AY25" s="39" t="s">
        <v>283</v>
      </c>
      <c r="AZ25" s="4635">
        <f>IF(D21=6,V31,0)</f>
        <v>0</v>
      </c>
      <c r="BA25" s="4636">
        <f>IF(D22=6,AD31,0)</f>
        <v>0</v>
      </c>
      <c r="BB25" s="4636">
        <f>IF(D23=6,AJ31,0)</f>
        <v>0</v>
      </c>
      <c r="BC25" s="4637">
        <f>SUM(AZ25:BB25)</f>
        <v>0</v>
      </c>
      <c r="BE25" s="2245"/>
      <c r="BG25" s="2396"/>
      <c r="BH25" s="2038"/>
      <c r="BI25" s="2038"/>
      <c r="BJ25" s="2038"/>
      <c r="BK25" s="2038"/>
      <c r="BL25" s="2038"/>
      <c r="BM25" s="2038"/>
      <c r="BN25" s="2038"/>
      <c r="BO25" s="2038"/>
      <c r="BP25" s="2038"/>
    </row>
    <row r="26" spans="1:69" s="649" customFormat="1" ht="17.25" customHeight="1">
      <c r="A26" s="2191"/>
      <c r="B26" s="4066">
        <v>2</v>
      </c>
      <c r="C26" s="4978" t="s">
        <v>2677</v>
      </c>
      <c r="D26" s="4979"/>
      <c r="E26" s="4979"/>
      <c r="F26" s="4979"/>
      <c r="G26" s="4979"/>
      <c r="H26" s="4979"/>
      <c r="I26" s="4979"/>
      <c r="J26" s="4979"/>
      <c r="K26" s="4066">
        <v>4</v>
      </c>
      <c r="L26" s="4978" t="s">
        <v>2680</v>
      </c>
      <c r="M26" s="4979"/>
      <c r="N26" s="4979"/>
      <c r="O26" s="4979"/>
      <c r="P26" s="4979"/>
      <c r="Q26" s="4979"/>
      <c r="R26" s="4979"/>
      <c r="S26" s="4979"/>
      <c r="T26" s="4979"/>
      <c r="U26" s="4066">
        <v>6</v>
      </c>
      <c r="V26" s="4978" t="s">
        <v>2682</v>
      </c>
      <c r="W26" s="4979"/>
      <c r="X26" s="4979"/>
      <c r="Y26" s="4979"/>
      <c r="Z26" s="4066"/>
      <c r="AA26" s="4066">
        <v>8</v>
      </c>
      <c r="AB26" s="4978" t="s">
        <v>2686</v>
      </c>
      <c r="AC26" s="4979"/>
      <c r="AD26" s="4979"/>
      <c r="AE26" s="4979"/>
      <c r="AF26" s="4979"/>
      <c r="AG26" s="4979"/>
      <c r="AH26" s="7329"/>
      <c r="AI26" s="7329"/>
      <c r="AJ26" s="7329"/>
      <c r="AK26" s="7329"/>
      <c r="AL26" s="7329"/>
      <c r="AM26" s="7329"/>
      <c r="AN26" s="7329"/>
      <c r="AO26" s="7329"/>
      <c r="AP26" s="2191"/>
      <c r="AQ26" s="4976"/>
      <c r="AR26" s="7327"/>
      <c r="AS26" s="7327"/>
      <c r="AT26" s="4977"/>
      <c r="BG26" s="3060"/>
      <c r="BH26" s="2042"/>
      <c r="BI26" s="2042"/>
      <c r="BJ26" s="2042"/>
      <c r="BK26" s="2042"/>
      <c r="BL26" s="2042"/>
      <c r="BM26" s="2042"/>
      <c r="BN26" s="2042"/>
      <c r="BO26" s="2042"/>
      <c r="BP26" s="2042"/>
      <c r="BQ26" s="3526"/>
    </row>
    <row r="27" spans="1:69" s="649" customFormat="1" ht="7.5" customHeight="1" thickBot="1">
      <c r="A27" s="2191"/>
      <c r="B27" s="4066"/>
      <c r="C27" s="4978"/>
      <c r="D27" s="4979"/>
      <c r="E27" s="4979"/>
      <c r="F27" s="4979"/>
      <c r="G27" s="4979"/>
      <c r="H27" s="4979"/>
      <c r="I27" s="4979"/>
      <c r="J27" s="4979"/>
      <c r="K27" s="4066"/>
      <c r="L27" s="4978"/>
      <c r="M27" s="4979"/>
      <c r="N27" s="4979"/>
      <c r="O27" s="4979"/>
      <c r="P27" s="4979"/>
      <c r="Q27" s="4979"/>
      <c r="R27" s="4979"/>
      <c r="S27" s="4979"/>
      <c r="T27" s="4979"/>
      <c r="U27" s="4066"/>
      <c r="V27" s="4978"/>
      <c r="W27" s="4979"/>
      <c r="X27" s="4979"/>
      <c r="Y27" s="4979"/>
      <c r="Z27" s="4066"/>
      <c r="AA27" s="4066"/>
      <c r="AB27" s="4978"/>
      <c r="AC27" s="4979"/>
      <c r="AD27" s="4979"/>
      <c r="AE27" s="4979"/>
      <c r="AF27" s="4979"/>
      <c r="AG27" s="4979"/>
      <c r="AH27" s="4979"/>
      <c r="AI27" s="4979"/>
      <c r="AJ27" s="4979"/>
      <c r="AK27" s="4979"/>
      <c r="AL27" s="4979"/>
      <c r="AM27" s="4979"/>
      <c r="AN27" s="4979"/>
      <c r="AO27" s="4979"/>
      <c r="AP27" s="2191"/>
      <c r="AQ27" s="4976"/>
      <c r="AR27" s="7327"/>
      <c r="AS27" s="7327"/>
      <c r="AT27" s="4977"/>
      <c r="BG27" s="3060"/>
      <c r="BH27" s="2042"/>
      <c r="BI27" s="2042"/>
      <c r="BJ27" s="2042"/>
      <c r="BK27" s="2042"/>
      <c r="BL27" s="2042"/>
      <c r="BM27" s="2042"/>
      <c r="BN27" s="2042"/>
      <c r="BO27" s="2042"/>
      <c r="BP27" s="2042"/>
      <c r="BQ27" s="3526"/>
    </row>
    <row r="28" spans="1:69" ht="14.25" customHeight="1">
      <c r="A28" s="2162"/>
      <c r="B28" s="4963"/>
      <c r="C28" s="4980"/>
      <c r="D28" s="4981"/>
      <c r="E28" s="4442"/>
      <c r="F28" s="4442"/>
      <c r="G28" s="4442"/>
      <c r="H28" s="4442"/>
      <c r="I28" s="4442"/>
      <c r="J28" s="4442"/>
      <c r="K28" s="4442"/>
      <c r="L28" s="4442"/>
      <c r="M28" s="4442"/>
      <c r="N28" s="4442"/>
      <c r="O28" s="4442"/>
      <c r="P28" s="4442"/>
      <c r="Q28" s="4442"/>
      <c r="R28" s="4982"/>
      <c r="S28" s="4442"/>
      <c r="T28" s="4982"/>
      <c r="U28" s="4983"/>
      <c r="V28" s="7538" t="s">
        <v>2687</v>
      </c>
      <c r="W28" s="7539"/>
      <c r="X28" s="7539"/>
      <c r="Y28" s="7539"/>
      <c r="Z28" s="7539"/>
      <c r="AA28" s="7539"/>
      <c r="AB28" s="7539"/>
      <c r="AC28" s="7539"/>
      <c r="AD28" s="7539"/>
      <c r="AE28" s="7539"/>
      <c r="AF28" s="7539"/>
      <c r="AG28" s="7539"/>
      <c r="AH28" s="7539"/>
      <c r="AI28" s="7539"/>
      <c r="AJ28" s="7539"/>
      <c r="AK28" s="7539"/>
      <c r="AL28" s="7539"/>
      <c r="AM28" s="7539"/>
      <c r="AN28" s="7539"/>
      <c r="AO28" s="7539"/>
      <c r="AP28" s="2162"/>
      <c r="AR28" s="4989"/>
      <c r="AS28" s="4989"/>
      <c r="AT28" s="904"/>
      <c r="AZ28" s="39" t="b">
        <f>IF(AND($D$21="",OR($V$30&gt;0,$V$31&gt;0)),TRUE,FALSE)</f>
        <v>0</v>
      </c>
      <c r="BA28" s="39" t="b">
        <f>IF(AND($D$22="",OR($AD$30&gt;0,$AD$31&gt;0)),TRUE,FALSE)</f>
        <v>0</v>
      </c>
      <c r="BB28" s="39" t="b">
        <f>IF(AND($D$23="",OR($AJ$30&gt;0,$AJ$31&gt;0)),TRUE,FALSE)</f>
        <v>0</v>
      </c>
      <c r="BG28" s="2396"/>
      <c r="BH28" s="2038"/>
      <c r="BI28" s="2038"/>
      <c r="BJ28" s="2038"/>
      <c r="BK28" s="2038"/>
      <c r="BL28" s="2038"/>
      <c r="BM28" s="2038"/>
      <c r="BN28" s="2038"/>
      <c r="BO28" s="2038"/>
      <c r="BP28" s="2038"/>
    </row>
    <row r="29" spans="1:69" ht="14.25" customHeight="1">
      <c r="A29" s="2162"/>
      <c r="B29" s="3243" t="s">
        <v>2688</v>
      </c>
      <c r="C29" s="2446"/>
      <c r="D29" s="1746"/>
      <c r="E29" s="1715"/>
      <c r="F29" s="1715"/>
      <c r="G29" s="1715"/>
      <c r="H29" s="1715"/>
      <c r="I29" s="1715"/>
      <c r="J29" s="1715"/>
      <c r="K29" s="1715"/>
      <c r="L29" s="1715"/>
      <c r="M29" s="1715"/>
      <c r="N29" s="1715"/>
      <c r="O29" s="1715"/>
      <c r="P29" s="1715"/>
      <c r="Q29" s="1715"/>
      <c r="R29" s="3173"/>
      <c r="S29" s="1715"/>
      <c r="T29" s="4984"/>
      <c r="U29" s="4985"/>
      <c r="V29" s="7475" t="s">
        <v>542</v>
      </c>
      <c r="W29" s="7534"/>
      <c r="X29" s="7534"/>
      <c r="Y29" s="7534"/>
      <c r="Z29" s="7534"/>
      <c r="AA29" s="7534"/>
      <c r="AB29" s="7534"/>
      <c r="AC29" s="7476"/>
      <c r="AD29" s="7535" t="s">
        <v>548</v>
      </c>
      <c r="AE29" s="7536"/>
      <c r="AF29" s="7536"/>
      <c r="AG29" s="7536"/>
      <c r="AH29" s="7536"/>
      <c r="AI29" s="7537"/>
      <c r="AJ29" s="7535" t="s">
        <v>550</v>
      </c>
      <c r="AK29" s="7536"/>
      <c r="AL29" s="7536"/>
      <c r="AM29" s="7536"/>
      <c r="AN29" s="7536"/>
      <c r="AO29" s="7536"/>
      <c r="AP29" s="2162"/>
      <c r="AR29" s="3201"/>
      <c r="AS29" s="904"/>
      <c r="AT29" s="904"/>
      <c r="BG29" s="2396"/>
      <c r="BH29" s="2038"/>
      <c r="BI29" s="2038"/>
      <c r="BJ29" s="2038"/>
      <c r="BK29" s="2038"/>
      <c r="BL29" s="2038"/>
      <c r="BM29" s="2038"/>
      <c r="BN29" s="2038"/>
      <c r="BO29" s="2038"/>
      <c r="BP29" s="2038"/>
    </row>
    <row r="30" spans="1:69" ht="14.25" customHeight="1">
      <c r="A30" s="2162"/>
      <c r="B30" s="7474">
        <v>3</v>
      </c>
      <c r="C30" s="7413"/>
      <c r="D30" s="2447" t="s">
        <v>2689</v>
      </c>
      <c r="E30" s="1715"/>
      <c r="F30" s="1715"/>
      <c r="G30" s="1715"/>
      <c r="H30" s="1715"/>
      <c r="I30" s="1715"/>
      <c r="J30" s="1715"/>
      <c r="K30" s="1715"/>
      <c r="L30" s="1715"/>
      <c r="M30" s="1715"/>
      <c r="N30" s="1715"/>
      <c r="O30" s="1715"/>
      <c r="P30" s="1715"/>
      <c r="Q30" s="1715"/>
      <c r="R30" s="1715"/>
      <c r="S30" s="2760" t="s">
        <v>642</v>
      </c>
      <c r="T30" s="7475">
        <v>3</v>
      </c>
      <c r="U30" s="7476"/>
      <c r="V30" s="7513"/>
      <c r="W30" s="7514"/>
      <c r="X30" s="7514"/>
      <c r="Y30" s="7514"/>
      <c r="Z30" s="7514"/>
      <c r="AA30" s="7514"/>
      <c r="AB30" s="7514"/>
      <c r="AC30" s="7530"/>
      <c r="AD30" s="7513"/>
      <c r="AE30" s="7514"/>
      <c r="AF30" s="7514"/>
      <c r="AG30" s="7514"/>
      <c r="AH30" s="7514"/>
      <c r="AI30" s="7530"/>
      <c r="AJ30" s="7513"/>
      <c r="AK30" s="7514"/>
      <c r="AL30" s="7514"/>
      <c r="AM30" s="7514"/>
      <c r="AN30" s="7514"/>
      <c r="AO30" s="7514"/>
      <c r="AP30" s="2162"/>
      <c r="AR30" s="904"/>
      <c r="AS30" s="904"/>
      <c r="AT30" s="904"/>
      <c r="BG30" s="2396"/>
      <c r="BH30" s="2038"/>
      <c r="BI30" s="2038"/>
      <c r="BJ30" s="2038"/>
      <c r="BK30" s="2038"/>
      <c r="BL30" s="2038"/>
      <c r="BM30" s="2038"/>
      <c r="BN30" s="2038"/>
      <c r="BO30" s="2038"/>
      <c r="BP30" s="2038"/>
    </row>
    <row r="31" spans="1:69" ht="14.25" customHeight="1">
      <c r="A31" s="2162"/>
      <c r="B31" s="7529">
        <v>4</v>
      </c>
      <c r="C31" s="7415"/>
      <c r="D31" s="2453" t="s">
        <v>2690</v>
      </c>
      <c r="E31" s="1719"/>
      <c r="F31" s="1719"/>
      <c r="G31" s="1719"/>
      <c r="H31" s="1719"/>
      <c r="I31" s="1719"/>
      <c r="J31" s="1719"/>
      <c r="K31" s="1719"/>
      <c r="L31" s="1719"/>
      <c r="M31" s="1719"/>
      <c r="N31" s="1719"/>
      <c r="O31" s="1719"/>
      <c r="P31" s="1719"/>
      <c r="Q31" s="1719"/>
      <c r="R31" s="1719"/>
      <c r="S31" s="2762" t="s">
        <v>646</v>
      </c>
      <c r="T31" s="7475">
        <v>4</v>
      </c>
      <c r="U31" s="7476"/>
      <c r="V31" s="7513"/>
      <c r="W31" s="7514"/>
      <c r="X31" s="7514"/>
      <c r="Y31" s="7514"/>
      <c r="Z31" s="7514"/>
      <c r="AA31" s="7514"/>
      <c r="AB31" s="7514"/>
      <c r="AC31" s="7530"/>
      <c r="AD31" s="7513"/>
      <c r="AE31" s="7514"/>
      <c r="AF31" s="7514"/>
      <c r="AG31" s="7514"/>
      <c r="AH31" s="7514"/>
      <c r="AI31" s="7530"/>
      <c r="AJ31" s="7513"/>
      <c r="AK31" s="7514"/>
      <c r="AL31" s="7514"/>
      <c r="AM31" s="7514"/>
      <c r="AN31" s="7514"/>
      <c r="AO31" s="7514"/>
      <c r="AP31" s="2162"/>
      <c r="BG31" s="2396"/>
      <c r="BH31" s="2038"/>
      <c r="BI31" s="2038"/>
      <c r="BJ31" s="2038"/>
      <c r="BK31" s="2038"/>
      <c r="BL31" s="2038"/>
      <c r="BM31" s="2038"/>
      <c r="BN31" s="2038"/>
      <c r="BO31" s="2038"/>
      <c r="BP31" s="2038"/>
    </row>
    <row r="32" spans="1:69" ht="14.25" customHeight="1">
      <c r="A32" s="2162"/>
      <c r="B32" s="2458" t="s">
        <v>2691</v>
      </c>
      <c r="C32" s="2454"/>
      <c r="D32" s="4722"/>
      <c r="E32" s="2455"/>
      <c r="F32" s="2491"/>
      <c r="G32" s="2491" t="str">
        <f>IF(OR($AZ$28,$BA$28,$BB$28),"Please enter property type in Line 1b.","")</f>
        <v/>
      </c>
      <c r="H32" s="2455"/>
      <c r="I32" s="2455"/>
      <c r="J32" s="2455"/>
      <c r="K32" s="2455"/>
      <c r="L32" s="2455"/>
      <c r="M32" s="2455"/>
      <c r="N32" s="2455"/>
      <c r="O32" s="2455"/>
      <c r="P32" s="2455"/>
      <c r="Q32" s="2455"/>
      <c r="R32" s="2455"/>
      <c r="S32" s="2455"/>
      <c r="T32" s="2456"/>
      <c r="U32" s="2457"/>
      <c r="V32" s="7416" t="str">
        <f>IF(D21="","",LOOKUP(D21,$AX$18:$AX$25,$AY$18:$AY$25))</f>
        <v/>
      </c>
      <c r="W32" s="7417"/>
      <c r="X32" s="7417"/>
      <c r="Y32" s="7417"/>
      <c r="Z32" s="7417"/>
      <c r="AA32" s="7417"/>
      <c r="AB32" s="7417"/>
      <c r="AC32" s="7278"/>
      <c r="AD32" s="7416" t="str">
        <f>IF(D22="","",LOOKUP(D22,$AX$18:$AX$25,$AY$18:$AY$25))</f>
        <v/>
      </c>
      <c r="AE32" s="7417"/>
      <c r="AF32" s="7417"/>
      <c r="AG32" s="7417"/>
      <c r="AH32" s="7417"/>
      <c r="AI32" s="7278"/>
      <c r="AJ32" s="7416" t="str">
        <f>IF(D23="","",LOOKUP(D23,$AX$18:$AX$25,$AY$18:$AY$25))</f>
        <v/>
      </c>
      <c r="AK32" s="7417"/>
      <c r="AL32" s="7417"/>
      <c r="AM32" s="7417"/>
      <c r="AN32" s="7417"/>
      <c r="AO32" s="7417"/>
      <c r="AP32" s="2162"/>
      <c r="BG32" s="2396"/>
      <c r="BH32" s="2038"/>
      <c r="BI32" s="2038"/>
      <c r="BJ32" s="2038"/>
      <c r="BK32" s="2038"/>
      <c r="BL32" s="2038"/>
      <c r="BM32" s="2038"/>
      <c r="BN32" s="2038"/>
      <c r="BO32" s="2038"/>
      <c r="BP32" s="2038"/>
    </row>
    <row r="33" spans="1:68" ht="14.25" customHeight="1">
      <c r="A33" s="2162"/>
      <c r="B33" s="7474">
        <v>5</v>
      </c>
      <c r="C33" s="7413"/>
      <c r="D33" s="2447" t="s">
        <v>2692</v>
      </c>
      <c r="E33" s="1715"/>
      <c r="F33" s="1715"/>
      <c r="G33" s="1715"/>
      <c r="H33" s="1715"/>
      <c r="I33" s="1715"/>
      <c r="J33" s="1715"/>
      <c r="K33" s="1715"/>
      <c r="L33" s="1715"/>
      <c r="M33" s="1715"/>
      <c r="N33" s="1715"/>
      <c r="O33" s="1715"/>
      <c r="P33" s="1715"/>
      <c r="Q33" s="1715"/>
      <c r="R33" s="1715"/>
      <c r="S33" s="2760" t="s">
        <v>2162</v>
      </c>
      <c r="T33" s="7479">
        <v>5</v>
      </c>
      <c r="U33" s="7480"/>
      <c r="V33" s="7502"/>
      <c r="W33" s="7502"/>
      <c r="X33" s="7502"/>
      <c r="Y33" s="7502"/>
      <c r="Z33" s="7502"/>
      <c r="AA33" s="7502"/>
      <c r="AB33" s="7502"/>
      <c r="AC33" s="7503"/>
      <c r="AD33" s="7504"/>
      <c r="AE33" s="7502"/>
      <c r="AF33" s="7502"/>
      <c r="AG33" s="7502"/>
      <c r="AH33" s="7502"/>
      <c r="AI33" s="7503"/>
      <c r="AJ33" s="7504"/>
      <c r="AK33" s="7502"/>
      <c r="AL33" s="7502"/>
      <c r="AM33" s="7502"/>
      <c r="AN33" s="7502"/>
      <c r="AO33" s="7502"/>
      <c r="AP33" s="2162"/>
      <c r="BG33" s="2396"/>
      <c r="BH33" s="2038"/>
      <c r="BI33" s="2038"/>
      <c r="BJ33" s="2038"/>
      <c r="BK33" s="2038"/>
      <c r="BL33" s="2038"/>
      <c r="BM33" s="2038"/>
      <c r="BN33" s="2038"/>
      <c r="BO33" s="2038"/>
      <c r="BP33" s="2038"/>
    </row>
    <row r="34" spans="1:68" ht="14.25" customHeight="1">
      <c r="A34" s="2162"/>
      <c r="B34" s="7474">
        <v>6</v>
      </c>
      <c r="C34" s="7413"/>
      <c r="D34" s="2447" t="s">
        <v>2693</v>
      </c>
      <c r="E34" s="1715"/>
      <c r="F34" s="1715"/>
      <c r="G34" s="1715"/>
      <c r="H34" s="1715"/>
      <c r="I34" s="1715"/>
      <c r="J34" s="1715"/>
      <c r="K34" s="1715"/>
      <c r="L34" s="1715"/>
      <c r="M34" s="1715"/>
      <c r="N34" s="1715"/>
      <c r="O34" s="1715"/>
      <c r="P34" s="1715"/>
      <c r="Q34" s="1715"/>
      <c r="R34" s="1715"/>
      <c r="S34" s="2760" t="s">
        <v>654</v>
      </c>
      <c r="T34" s="7479">
        <v>6</v>
      </c>
      <c r="U34" s="7480"/>
      <c r="V34" s="7502"/>
      <c r="W34" s="7502"/>
      <c r="X34" s="7502"/>
      <c r="Y34" s="7502"/>
      <c r="Z34" s="7502"/>
      <c r="AA34" s="7502"/>
      <c r="AB34" s="7502"/>
      <c r="AC34" s="7503"/>
      <c r="AD34" s="7504"/>
      <c r="AE34" s="7502"/>
      <c r="AF34" s="7502"/>
      <c r="AG34" s="7502"/>
      <c r="AH34" s="7502"/>
      <c r="AI34" s="7503"/>
      <c r="AJ34" s="7504"/>
      <c r="AK34" s="7502"/>
      <c r="AL34" s="7502"/>
      <c r="AM34" s="7502"/>
      <c r="AN34" s="7502"/>
      <c r="AO34" s="7502"/>
      <c r="AP34" s="2162"/>
      <c r="BG34" s="2396"/>
      <c r="BH34" s="2038"/>
      <c r="BI34" s="2038"/>
      <c r="BJ34" s="2038"/>
      <c r="BK34" s="2038"/>
      <c r="BL34" s="2038"/>
      <c r="BM34" s="2038"/>
      <c r="BN34" s="2038"/>
      <c r="BO34" s="2038"/>
      <c r="BP34" s="2038"/>
    </row>
    <row r="35" spans="1:68" ht="14.25" customHeight="1">
      <c r="A35" s="2162"/>
      <c r="B35" s="7474">
        <v>7</v>
      </c>
      <c r="C35" s="7413"/>
      <c r="D35" s="2447" t="s">
        <v>2694</v>
      </c>
      <c r="E35" s="1715"/>
      <c r="F35" s="1715"/>
      <c r="G35" s="1715"/>
      <c r="H35" s="1715"/>
      <c r="I35" s="1715"/>
      <c r="J35" s="1715"/>
      <c r="K35" s="1715"/>
      <c r="L35" s="1715"/>
      <c r="M35" s="1715"/>
      <c r="N35" s="1715"/>
      <c r="O35" s="1715"/>
      <c r="P35" s="1715"/>
      <c r="Q35" s="1715"/>
      <c r="R35" s="1715"/>
      <c r="S35" s="2760" t="s">
        <v>752</v>
      </c>
      <c r="T35" s="7479">
        <v>7</v>
      </c>
      <c r="U35" s="7480"/>
      <c r="V35" s="7502"/>
      <c r="W35" s="7502"/>
      <c r="X35" s="7502"/>
      <c r="Y35" s="7502"/>
      <c r="Z35" s="7502"/>
      <c r="AA35" s="7502"/>
      <c r="AB35" s="7502"/>
      <c r="AC35" s="7503"/>
      <c r="AD35" s="7504"/>
      <c r="AE35" s="7502"/>
      <c r="AF35" s="7502"/>
      <c r="AG35" s="7502"/>
      <c r="AH35" s="7502"/>
      <c r="AI35" s="7503"/>
      <c r="AJ35" s="7504"/>
      <c r="AK35" s="7502"/>
      <c r="AL35" s="7502"/>
      <c r="AM35" s="7502"/>
      <c r="AN35" s="7502"/>
      <c r="AO35" s="7502"/>
      <c r="AP35" s="2162"/>
      <c r="BG35" s="2396"/>
      <c r="BH35" s="2038"/>
      <c r="BI35" s="2038"/>
      <c r="BJ35" s="2038"/>
      <c r="BK35" s="2038"/>
      <c r="BL35" s="2038"/>
      <c r="BM35" s="2038"/>
      <c r="BN35" s="2038"/>
      <c r="BO35" s="2038"/>
      <c r="BP35" s="2038"/>
    </row>
    <row r="36" spans="1:68" ht="14.25" customHeight="1">
      <c r="A36" s="2162"/>
      <c r="B36" s="7474">
        <v>8</v>
      </c>
      <c r="C36" s="7413"/>
      <c r="D36" s="2447" t="s">
        <v>2695</v>
      </c>
      <c r="E36" s="1715"/>
      <c r="F36" s="1715"/>
      <c r="G36" s="1715"/>
      <c r="H36" s="1715"/>
      <c r="I36" s="1715"/>
      <c r="J36" s="1715"/>
      <c r="K36" s="1715"/>
      <c r="L36" s="1715"/>
      <c r="M36" s="1715"/>
      <c r="N36" s="1715"/>
      <c r="O36" s="1715"/>
      <c r="P36" s="1715"/>
      <c r="Q36" s="1715"/>
      <c r="R36" s="1715"/>
      <c r="S36" s="2760" t="s">
        <v>650</v>
      </c>
      <c r="T36" s="7479">
        <v>8</v>
      </c>
      <c r="U36" s="7480"/>
      <c r="V36" s="7502"/>
      <c r="W36" s="7502"/>
      <c r="X36" s="7502"/>
      <c r="Y36" s="7502"/>
      <c r="Z36" s="7502"/>
      <c r="AA36" s="7502"/>
      <c r="AB36" s="7502"/>
      <c r="AC36" s="7503"/>
      <c r="AD36" s="7504"/>
      <c r="AE36" s="7502"/>
      <c r="AF36" s="7502"/>
      <c r="AG36" s="7502"/>
      <c r="AH36" s="7502"/>
      <c r="AI36" s="7503"/>
      <c r="AJ36" s="7504"/>
      <c r="AK36" s="7502"/>
      <c r="AL36" s="7502"/>
      <c r="AM36" s="7502"/>
      <c r="AN36" s="7502"/>
      <c r="AO36" s="7502"/>
      <c r="AP36" s="2162"/>
      <c r="BG36" s="2396"/>
      <c r="BH36" s="2038"/>
      <c r="BI36" s="2038"/>
      <c r="BJ36" s="2038"/>
      <c r="BK36" s="2038"/>
      <c r="BL36" s="2038"/>
      <c r="BM36" s="2038"/>
      <c r="BN36" s="2038"/>
      <c r="BO36" s="2038"/>
      <c r="BP36" s="2038"/>
    </row>
    <row r="37" spans="1:68" ht="14.25" customHeight="1">
      <c r="A37" s="2162"/>
      <c r="B37" s="7474">
        <v>9</v>
      </c>
      <c r="C37" s="7413"/>
      <c r="D37" s="2447" t="s">
        <v>2696</v>
      </c>
      <c r="E37" s="1715"/>
      <c r="F37" s="1715"/>
      <c r="G37" s="1715"/>
      <c r="H37" s="1715"/>
      <c r="I37" s="1715"/>
      <c r="J37" s="1715"/>
      <c r="K37" s="1715"/>
      <c r="L37" s="1715"/>
      <c r="M37" s="1715"/>
      <c r="N37" s="1715"/>
      <c r="O37" s="1715"/>
      <c r="P37" s="1715"/>
      <c r="Q37" s="1715"/>
      <c r="R37" s="1715"/>
      <c r="S37" s="2760" t="s">
        <v>2521</v>
      </c>
      <c r="T37" s="7479">
        <v>9</v>
      </c>
      <c r="U37" s="7480"/>
      <c r="V37" s="7502"/>
      <c r="W37" s="7502"/>
      <c r="X37" s="7502"/>
      <c r="Y37" s="7502"/>
      <c r="Z37" s="7502"/>
      <c r="AA37" s="7502"/>
      <c r="AB37" s="7502"/>
      <c r="AC37" s="7503"/>
      <c r="AD37" s="7504"/>
      <c r="AE37" s="7502"/>
      <c r="AF37" s="7502"/>
      <c r="AG37" s="7502"/>
      <c r="AH37" s="7502"/>
      <c r="AI37" s="7503"/>
      <c r="AJ37" s="7504"/>
      <c r="AK37" s="7502"/>
      <c r="AL37" s="7502"/>
      <c r="AM37" s="7502"/>
      <c r="AN37" s="7502"/>
      <c r="AO37" s="7502"/>
      <c r="AP37" s="2162"/>
      <c r="BG37" s="2396"/>
      <c r="BH37" s="2038"/>
      <c r="BI37" s="2038"/>
      <c r="BJ37" s="2038"/>
      <c r="BK37" s="2038"/>
      <c r="BL37" s="2038"/>
      <c r="BM37" s="2038"/>
      <c r="BN37" s="2038"/>
      <c r="BO37" s="2038"/>
      <c r="BP37" s="2038"/>
    </row>
    <row r="38" spans="1:68" ht="14.25" customHeight="1">
      <c r="A38" s="2162"/>
      <c r="B38" s="7474">
        <v>10</v>
      </c>
      <c r="C38" s="7413"/>
      <c r="D38" s="2447" t="s">
        <v>2697</v>
      </c>
      <c r="E38" s="1715"/>
      <c r="F38" s="1715"/>
      <c r="G38" s="1715"/>
      <c r="H38" s="1715"/>
      <c r="I38" s="1715"/>
      <c r="J38" s="1715"/>
      <c r="K38" s="1715"/>
      <c r="L38" s="1715"/>
      <c r="M38" s="1715"/>
      <c r="N38" s="1715"/>
      <c r="O38" s="1715"/>
      <c r="P38" s="1715"/>
      <c r="Q38" s="1715"/>
      <c r="R38" s="1715"/>
      <c r="S38" s="2760" t="s">
        <v>677</v>
      </c>
      <c r="T38" s="7479">
        <v>10</v>
      </c>
      <c r="U38" s="7480"/>
      <c r="V38" s="7502"/>
      <c r="W38" s="7502"/>
      <c r="X38" s="7502"/>
      <c r="Y38" s="7502"/>
      <c r="Z38" s="7502"/>
      <c r="AA38" s="7502"/>
      <c r="AB38" s="7502"/>
      <c r="AC38" s="7503"/>
      <c r="AD38" s="7504"/>
      <c r="AE38" s="7502"/>
      <c r="AF38" s="7502"/>
      <c r="AG38" s="7502"/>
      <c r="AH38" s="7502"/>
      <c r="AI38" s="7503"/>
      <c r="AJ38" s="7504"/>
      <c r="AK38" s="7502"/>
      <c r="AL38" s="7502"/>
      <c r="AM38" s="7502"/>
      <c r="AN38" s="7502"/>
      <c r="AO38" s="7502"/>
      <c r="AP38" s="2162"/>
      <c r="BG38" s="2396"/>
      <c r="BH38" s="2038"/>
      <c r="BI38" s="2038"/>
      <c r="BJ38" s="2038"/>
      <c r="BK38" s="2038"/>
      <c r="BL38" s="2038"/>
      <c r="BM38" s="2038"/>
      <c r="BN38" s="2038"/>
      <c r="BO38" s="2038"/>
      <c r="BP38" s="2038"/>
    </row>
    <row r="39" spans="1:68" ht="14.25" customHeight="1">
      <c r="A39" s="2162"/>
      <c r="B39" s="7474">
        <v>11</v>
      </c>
      <c r="C39" s="7413"/>
      <c r="D39" s="2447" t="s">
        <v>2698</v>
      </c>
      <c r="E39" s="1715"/>
      <c r="F39" s="1715"/>
      <c r="G39" s="1715"/>
      <c r="H39" s="1715"/>
      <c r="I39" s="1715"/>
      <c r="J39" s="1715"/>
      <c r="K39" s="1715"/>
      <c r="L39" s="1715"/>
      <c r="M39" s="1715"/>
      <c r="N39" s="1715"/>
      <c r="O39" s="1715"/>
      <c r="P39" s="1715"/>
      <c r="Q39" s="1715"/>
      <c r="R39" s="1715"/>
      <c r="S39" s="2760" t="s">
        <v>646</v>
      </c>
      <c r="T39" s="7479">
        <v>11</v>
      </c>
      <c r="U39" s="7480"/>
      <c r="V39" s="7502"/>
      <c r="W39" s="7502"/>
      <c r="X39" s="7502"/>
      <c r="Y39" s="7502"/>
      <c r="Z39" s="7502"/>
      <c r="AA39" s="7502"/>
      <c r="AB39" s="7502"/>
      <c r="AC39" s="7503"/>
      <c r="AD39" s="7504"/>
      <c r="AE39" s="7502"/>
      <c r="AF39" s="7502"/>
      <c r="AG39" s="7502"/>
      <c r="AH39" s="7502"/>
      <c r="AI39" s="7503"/>
      <c r="AJ39" s="7504"/>
      <c r="AK39" s="7502"/>
      <c r="AL39" s="7502"/>
      <c r="AM39" s="7502"/>
      <c r="AN39" s="7502"/>
      <c r="AO39" s="7502"/>
      <c r="AP39" s="2162"/>
      <c r="BG39" s="2396"/>
      <c r="BH39" s="2038"/>
      <c r="BI39" s="2038"/>
      <c r="BJ39" s="2038"/>
      <c r="BK39" s="2038"/>
      <c r="BL39" s="2038"/>
      <c r="BM39" s="2038"/>
      <c r="BN39" s="2038"/>
      <c r="BO39" s="2038"/>
      <c r="BP39" s="2038"/>
    </row>
    <row r="40" spans="1:68" ht="14.25" customHeight="1">
      <c r="A40" s="2162"/>
      <c r="B40" s="7474">
        <v>12</v>
      </c>
      <c r="C40" s="7413"/>
      <c r="D40" s="2447" t="s">
        <v>2699</v>
      </c>
      <c r="E40" s="1715"/>
      <c r="F40" s="1715"/>
      <c r="G40" s="1715"/>
      <c r="H40" s="1715"/>
      <c r="I40" s="1715"/>
      <c r="J40" s="1715"/>
      <c r="K40" s="1715"/>
      <c r="L40" s="1715"/>
      <c r="M40" s="1715"/>
      <c r="N40" s="1715"/>
      <c r="O40" s="1715"/>
      <c r="P40" s="1715"/>
      <c r="Q40" s="1715"/>
      <c r="R40" s="1715"/>
      <c r="S40" s="2341"/>
      <c r="T40" s="7479">
        <v>12</v>
      </c>
      <c r="U40" s="7480"/>
      <c r="V40" s="7502"/>
      <c r="W40" s="7502"/>
      <c r="X40" s="7502"/>
      <c r="Y40" s="7502"/>
      <c r="Z40" s="7502"/>
      <c r="AA40" s="7502"/>
      <c r="AB40" s="7502"/>
      <c r="AC40" s="7503"/>
      <c r="AD40" s="7504"/>
      <c r="AE40" s="7502"/>
      <c r="AF40" s="7502"/>
      <c r="AG40" s="7502"/>
      <c r="AH40" s="7502"/>
      <c r="AI40" s="7503"/>
      <c r="AJ40" s="7504"/>
      <c r="AK40" s="7502"/>
      <c r="AL40" s="7502"/>
      <c r="AM40" s="7502"/>
      <c r="AN40" s="7502"/>
      <c r="AO40" s="7502"/>
      <c r="AP40" s="2162"/>
      <c r="BG40" s="2396"/>
      <c r="BH40" s="2038"/>
      <c r="BI40" s="2038"/>
      <c r="BJ40" s="2038"/>
      <c r="BK40" s="2038"/>
      <c r="BL40" s="2038"/>
      <c r="BM40" s="2038"/>
      <c r="BN40" s="2038"/>
      <c r="BO40" s="2038"/>
      <c r="BP40" s="2038"/>
    </row>
    <row r="41" spans="1:68" ht="14.25" customHeight="1">
      <c r="A41" s="2162"/>
      <c r="B41" s="7474">
        <v>13</v>
      </c>
      <c r="C41" s="7413"/>
      <c r="D41" s="2447" t="s">
        <v>2700</v>
      </c>
      <c r="E41" s="1715"/>
      <c r="F41" s="1715"/>
      <c r="G41" s="1715"/>
      <c r="H41" s="1715"/>
      <c r="I41" s="1715"/>
      <c r="J41" s="1715"/>
      <c r="K41" s="1715"/>
      <c r="L41" s="1715"/>
      <c r="M41" s="1715"/>
      <c r="N41" s="1715"/>
      <c r="O41" s="1715"/>
      <c r="P41" s="1715"/>
      <c r="Q41" s="1715"/>
      <c r="R41" s="1715"/>
      <c r="S41" s="2760" t="s">
        <v>650</v>
      </c>
      <c r="T41" s="7479">
        <v>13</v>
      </c>
      <c r="U41" s="7480"/>
      <c r="V41" s="7502"/>
      <c r="W41" s="7502"/>
      <c r="X41" s="7502"/>
      <c r="Y41" s="7502"/>
      <c r="Z41" s="7502"/>
      <c r="AA41" s="7502"/>
      <c r="AB41" s="7502"/>
      <c r="AC41" s="7503"/>
      <c r="AD41" s="7504"/>
      <c r="AE41" s="7502"/>
      <c r="AF41" s="7502"/>
      <c r="AG41" s="7502"/>
      <c r="AH41" s="7502"/>
      <c r="AI41" s="7503"/>
      <c r="AJ41" s="7504"/>
      <c r="AK41" s="7502"/>
      <c r="AL41" s="7502"/>
      <c r="AM41" s="7502"/>
      <c r="AN41" s="7502"/>
      <c r="AO41" s="7502"/>
      <c r="AP41" s="2162"/>
      <c r="BG41" s="2396"/>
      <c r="BH41" s="2038"/>
      <c r="BI41" s="2038"/>
      <c r="BJ41" s="2038"/>
      <c r="BK41" s="2038"/>
      <c r="BL41" s="2038"/>
      <c r="BM41" s="2038"/>
      <c r="BN41" s="2038"/>
      <c r="BO41" s="2038"/>
      <c r="BP41" s="2038"/>
    </row>
    <row r="42" spans="1:68" ht="14.25" customHeight="1">
      <c r="A42" s="2162"/>
      <c r="B42" s="7474">
        <v>14</v>
      </c>
      <c r="C42" s="7413"/>
      <c r="D42" s="2447" t="s">
        <v>2701</v>
      </c>
      <c r="E42" s="1715"/>
      <c r="F42" s="1715"/>
      <c r="G42" s="1715"/>
      <c r="H42" s="1715"/>
      <c r="I42" s="1715"/>
      <c r="J42" s="1715"/>
      <c r="K42" s="1715"/>
      <c r="L42" s="1715"/>
      <c r="M42" s="1715"/>
      <c r="N42" s="1715"/>
      <c r="O42" s="1715"/>
      <c r="P42" s="1715"/>
      <c r="Q42" s="1715"/>
      <c r="R42" s="1715"/>
      <c r="S42" s="2760" t="s">
        <v>2521</v>
      </c>
      <c r="T42" s="7479">
        <v>14</v>
      </c>
      <c r="U42" s="7480"/>
      <c r="V42" s="7502"/>
      <c r="W42" s="7502"/>
      <c r="X42" s="7502"/>
      <c r="Y42" s="7502"/>
      <c r="Z42" s="7502"/>
      <c r="AA42" s="7502"/>
      <c r="AB42" s="7502"/>
      <c r="AC42" s="7503"/>
      <c r="AD42" s="7504"/>
      <c r="AE42" s="7502"/>
      <c r="AF42" s="7502"/>
      <c r="AG42" s="7502"/>
      <c r="AH42" s="7502"/>
      <c r="AI42" s="7503"/>
      <c r="AJ42" s="7504"/>
      <c r="AK42" s="7502"/>
      <c r="AL42" s="7502"/>
      <c r="AM42" s="7502"/>
      <c r="AN42" s="7502"/>
      <c r="AO42" s="7502"/>
      <c r="AP42" s="2162"/>
      <c r="BG42" s="2396"/>
      <c r="BH42" s="2038"/>
      <c r="BI42" s="2038"/>
      <c r="BJ42" s="2038"/>
      <c r="BK42" s="2038"/>
      <c r="BL42" s="2038"/>
      <c r="BM42" s="2038"/>
      <c r="BN42" s="2038"/>
      <c r="BO42" s="2038"/>
      <c r="BP42" s="2038"/>
    </row>
    <row r="43" spans="1:68" ht="14.25" customHeight="1">
      <c r="A43" s="2162"/>
      <c r="B43" s="7474">
        <v>15</v>
      </c>
      <c r="C43" s="7413"/>
      <c r="D43" s="2447" t="s">
        <v>2702</v>
      </c>
      <c r="E43" s="1715"/>
      <c r="F43" s="1715"/>
      <c r="G43" s="1715"/>
      <c r="H43" s="1715"/>
      <c r="I43" s="1715"/>
      <c r="J43" s="1715"/>
      <c r="K43" s="1715"/>
      <c r="L43" s="1715"/>
      <c r="M43" s="1715"/>
      <c r="N43" s="1715"/>
      <c r="O43" s="1715"/>
      <c r="P43" s="1715"/>
      <c r="Q43" s="1715"/>
      <c r="R43" s="1715"/>
      <c r="S43" s="2760" t="s">
        <v>2521</v>
      </c>
      <c r="T43" s="7479">
        <v>15</v>
      </c>
      <c r="U43" s="7480"/>
      <c r="V43" s="7502"/>
      <c r="W43" s="7502"/>
      <c r="X43" s="7502"/>
      <c r="Y43" s="7502"/>
      <c r="Z43" s="7502"/>
      <c r="AA43" s="7502"/>
      <c r="AB43" s="7502"/>
      <c r="AC43" s="7503"/>
      <c r="AD43" s="7504"/>
      <c r="AE43" s="7502"/>
      <c r="AF43" s="7502"/>
      <c r="AG43" s="7502"/>
      <c r="AH43" s="7502"/>
      <c r="AI43" s="7503"/>
      <c r="AJ43" s="7504"/>
      <c r="AK43" s="7502"/>
      <c r="AL43" s="7502"/>
      <c r="AM43" s="7502"/>
      <c r="AN43" s="7502"/>
      <c r="AO43" s="7502"/>
      <c r="AP43" s="2162"/>
      <c r="BG43" s="2396"/>
      <c r="BH43" s="2038"/>
      <c r="BI43" s="2038"/>
      <c r="BJ43" s="2038"/>
      <c r="BK43" s="2038"/>
      <c r="BL43" s="2038"/>
      <c r="BM43" s="2038"/>
      <c r="BN43" s="2038"/>
      <c r="BO43" s="2038"/>
      <c r="BP43" s="2038"/>
    </row>
    <row r="44" spans="1:68" ht="14.25" customHeight="1">
      <c r="A44" s="2162"/>
      <c r="B44" s="7474">
        <v>16</v>
      </c>
      <c r="C44" s="7413"/>
      <c r="D44" s="2447" t="s">
        <v>2703</v>
      </c>
      <c r="E44" s="1715"/>
      <c r="F44" s="1715"/>
      <c r="G44" s="1715"/>
      <c r="H44" s="1715"/>
      <c r="I44" s="1715"/>
      <c r="J44" s="1715"/>
      <c r="K44" s="1715"/>
      <c r="L44" s="1715"/>
      <c r="M44" s="1715"/>
      <c r="N44" s="1715"/>
      <c r="O44" s="1715"/>
      <c r="P44" s="1715"/>
      <c r="Q44" s="1715"/>
      <c r="R44" s="1715"/>
      <c r="S44" s="2760" t="s">
        <v>714</v>
      </c>
      <c r="T44" s="7479">
        <v>16</v>
      </c>
      <c r="U44" s="7480"/>
      <c r="V44" s="7502"/>
      <c r="W44" s="7502"/>
      <c r="X44" s="7502"/>
      <c r="Y44" s="7502"/>
      <c r="Z44" s="7502"/>
      <c r="AA44" s="7502"/>
      <c r="AB44" s="7502"/>
      <c r="AC44" s="7503"/>
      <c r="AD44" s="7504"/>
      <c r="AE44" s="7502"/>
      <c r="AF44" s="7502"/>
      <c r="AG44" s="7502"/>
      <c r="AH44" s="7502"/>
      <c r="AI44" s="7503"/>
      <c r="AJ44" s="7504"/>
      <c r="AK44" s="7502"/>
      <c r="AL44" s="7502"/>
      <c r="AM44" s="7502"/>
      <c r="AN44" s="7502"/>
      <c r="AO44" s="7502"/>
      <c r="AP44" s="2162"/>
      <c r="BG44" s="2396"/>
      <c r="BH44" s="2038"/>
      <c r="BI44" s="2038"/>
      <c r="BJ44" s="2038"/>
      <c r="BK44" s="2038"/>
      <c r="BL44" s="2038"/>
      <c r="BM44" s="2038"/>
      <c r="BN44" s="2038"/>
      <c r="BO44" s="2038"/>
      <c r="BP44" s="2038"/>
    </row>
    <row r="45" spans="1:68" ht="14.25" customHeight="1">
      <c r="A45" s="2162"/>
      <c r="B45" s="7474">
        <v>17</v>
      </c>
      <c r="C45" s="7413"/>
      <c r="D45" s="2447" t="s">
        <v>2333</v>
      </c>
      <c r="E45" s="1715"/>
      <c r="F45" s="1715"/>
      <c r="G45" s="1715"/>
      <c r="H45" s="1715"/>
      <c r="I45" s="1715"/>
      <c r="J45" s="1715"/>
      <c r="K45" s="1715"/>
      <c r="L45" s="1715"/>
      <c r="M45" s="1715"/>
      <c r="N45" s="1715"/>
      <c r="O45" s="1715"/>
      <c r="P45" s="1715"/>
      <c r="Q45" s="1715"/>
      <c r="R45" s="1715"/>
      <c r="S45" s="2760" t="s">
        <v>714</v>
      </c>
      <c r="T45" s="7479">
        <v>17</v>
      </c>
      <c r="U45" s="7480"/>
      <c r="V45" s="7502"/>
      <c r="W45" s="7502"/>
      <c r="X45" s="7502"/>
      <c r="Y45" s="7502"/>
      <c r="Z45" s="7502"/>
      <c r="AA45" s="7502"/>
      <c r="AB45" s="7502"/>
      <c r="AC45" s="7503"/>
      <c r="AD45" s="7504"/>
      <c r="AE45" s="7502"/>
      <c r="AF45" s="7502"/>
      <c r="AG45" s="7502"/>
      <c r="AH45" s="7502"/>
      <c r="AI45" s="7503"/>
      <c r="AJ45" s="7504"/>
      <c r="AK45" s="7502"/>
      <c r="AL45" s="7502"/>
      <c r="AM45" s="7502"/>
      <c r="AN45" s="7502"/>
      <c r="AO45" s="7502"/>
      <c r="AP45" s="2162"/>
      <c r="AQ45" s="260"/>
      <c r="AR45" s="260"/>
      <c r="AS45" s="260"/>
      <c r="AT45" s="260"/>
      <c r="AU45" s="260"/>
      <c r="BG45" s="2396"/>
      <c r="BH45" s="2038"/>
      <c r="BI45" s="2038"/>
      <c r="BJ45" s="2038"/>
      <c r="BK45" s="2038"/>
      <c r="BL45" s="2038"/>
      <c r="BM45" s="2038"/>
      <c r="BN45" s="2038"/>
      <c r="BO45" s="2038"/>
      <c r="BP45" s="2038"/>
    </row>
    <row r="46" spans="1:68" ht="14.25" customHeight="1">
      <c r="A46" s="2162"/>
      <c r="B46" s="7474">
        <v>18</v>
      </c>
      <c r="C46" s="7413"/>
      <c r="D46" s="2447" t="s">
        <v>2704</v>
      </c>
      <c r="E46" s="1715"/>
      <c r="F46" s="1715"/>
      <c r="G46" s="1715"/>
      <c r="H46" s="1715"/>
      <c r="I46" s="1715"/>
      <c r="J46" s="1715"/>
      <c r="K46" s="1715"/>
      <c r="L46" s="1715"/>
      <c r="M46" s="1715"/>
      <c r="N46" s="1715"/>
      <c r="O46" s="1715"/>
      <c r="P46" s="1715"/>
      <c r="Q46" s="1715"/>
      <c r="R46" s="1715"/>
      <c r="S46" s="2760" t="s">
        <v>677</v>
      </c>
      <c r="T46" s="7479">
        <v>18</v>
      </c>
      <c r="U46" s="7480"/>
      <c r="V46" s="7502"/>
      <c r="W46" s="7502"/>
      <c r="X46" s="7502"/>
      <c r="Y46" s="7502"/>
      <c r="Z46" s="7502"/>
      <c r="AA46" s="7502"/>
      <c r="AB46" s="7502"/>
      <c r="AC46" s="7503"/>
      <c r="AD46" s="7504"/>
      <c r="AE46" s="7502"/>
      <c r="AF46" s="7502"/>
      <c r="AG46" s="7502"/>
      <c r="AH46" s="7502"/>
      <c r="AI46" s="7503"/>
      <c r="AJ46" s="7504"/>
      <c r="AK46" s="7502"/>
      <c r="AL46" s="7502"/>
      <c r="AM46" s="7502"/>
      <c r="AN46" s="7502"/>
      <c r="AO46" s="7502"/>
      <c r="AP46" s="2162"/>
      <c r="AQ46" s="260"/>
      <c r="AR46" s="7328" t="s">
        <v>2705</v>
      </c>
      <c r="AS46" s="7367"/>
      <c r="AT46" s="7367"/>
      <c r="AU46" s="260"/>
      <c r="BG46" s="2396"/>
      <c r="BH46" s="2038"/>
      <c r="BI46" s="2038"/>
      <c r="BJ46" s="2038"/>
      <c r="BK46" s="2038"/>
      <c r="BL46" s="2038"/>
      <c r="BM46" s="2038"/>
      <c r="BN46" s="2038"/>
      <c r="BO46" s="2038"/>
      <c r="BP46" s="2038"/>
    </row>
    <row r="47" spans="1:68" ht="14.25" customHeight="1">
      <c r="A47" s="2162"/>
      <c r="B47" s="7474">
        <v>19</v>
      </c>
      <c r="C47" s="7413"/>
      <c r="D47" s="2447" t="s">
        <v>2706</v>
      </c>
      <c r="E47" s="1715"/>
      <c r="F47" s="1715"/>
      <c r="G47" s="1715"/>
      <c r="H47" s="7506"/>
      <c r="I47" s="7506"/>
      <c r="J47" s="7506"/>
      <c r="K47" s="7506"/>
      <c r="L47" s="7506"/>
      <c r="M47" s="7506"/>
      <c r="N47" s="7506"/>
      <c r="O47" s="7506"/>
      <c r="P47" s="7506"/>
      <c r="Q47" s="7506"/>
      <c r="R47" s="7506"/>
      <c r="S47" s="2341"/>
      <c r="T47" s="7479">
        <v>19</v>
      </c>
      <c r="U47" s="7480"/>
      <c r="V47" s="7502"/>
      <c r="W47" s="7502"/>
      <c r="X47" s="7502"/>
      <c r="Y47" s="7502"/>
      <c r="Z47" s="7502"/>
      <c r="AA47" s="7502"/>
      <c r="AB47" s="7502"/>
      <c r="AC47" s="7503"/>
      <c r="AD47" s="7504"/>
      <c r="AE47" s="7502"/>
      <c r="AF47" s="7502"/>
      <c r="AG47" s="7502"/>
      <c r="AH47" s="7502"/>
      <c r="AI47" s="7503"/>
      <c r="AJ47" s="7504"/>
      <c r="AK47" s="7502"/>
      <c r="AL47" s="7502"/>
      <c r="AM47" s="7502"/>
      <c r="AN47" s="7502"/>
      <c r="AO47" s="7502"/>
      <c r="AP47" s="2162"/>
      <c r="AQ47" s="260"/>
      <c r="AR47" s="260"/>
      <c r="AS47" s="260"/>
      <c r="AT47" s="260"/>
      <c r="AU47" s="260"/>
      <c r="BG47" s="2396"/>
      <c r="BH47" s="2038"/>
      <c r="BI47" s="2038"/>
      <c r="BJ47" s="2038"/>
      <c r="BK47" s="2038"/>
      <c r="BL47" s="2038"/>
      <c r="BM47" s="2038"/>
      <c r="BN47" s="2038"/>
      <c r="BO47" s="2038"/>
      <c r="BP47" s="2038"/>
    </row>
    <row r="48" spans="1:68" ht="14.25" customHeight="1">
      <c r="A48" s="2162"/>
      <c r="B48" s="7474">
        <v>20</v>
      </c>
      <c r="C48" s="7413"/>
      <c r="D48" s="2447" t="s">
        <v>2707</v>
      </c>
      <c r="E48" s="1715"/>
      <c r="F48" s="1715"/>
      <c r="G48" s="1715"/>
      <c r="H48" s="1715"/>
      <c r="I48" s="1715"/>
      <c r="J48" s="1715"/>
      <c r="K48" s="1715"/>
      <c r="L48" s="1715"/>
      <c r="M48" s="1715"/>
      <c r="N48" s="1715"/>
      <c r="O48" s="1715"/>
      <c r="P48" s="1715"/>
      <c r="Q48" s="1715"/>
      <c r="R48" s="1715"/>
      <c r="S48" s="2760" t="s">
        <v>699</v>
      </c>
      <c r="T48" s="7479">
        <v>20</v>
      </c>
      <c r="U48" s="7480"/>
      <c r="V48" s="7369">
        <f>IF(AR48&lt;&gt;"",ROUND(AR48,0),ROUND(SUM(V33:AC47),0))</f>
        <v>0</v>
      </c>
      <c r="W48" s="7369"/>
      <c r="X48" s="7369"/>
      <c r="Y48" s="7369"/>
      <c r="Z48" s="7369"/>
      <c r="AA48" s="7369"/>
      <c r="AB48" s="7369"/>
      <c r="AC48" s="7491"/>
      <c r="AD48" s="7490">
        <f>IF(AS48&lt;&gt;"",ROUND(AS48,0),ROUND(SUM(AD33:AI47),0))</f>
        <v>0</v>
      </c>
      <c r="AE48" s="7369"/>
      <c r="AF48" s="7369"/>
      <c r="AG48" s="7369"/>
      <c r="AH48" s="7369"/>
      <c r="AI48" s="7491"/>
      <c r="AJ48" s="7505">
        <f>IF(AT48&lt;&gt;"",ROUND(AT48,0),ROUND(SUM(AJ33:AO47),0))</f>
        <v>0</v>
      </c>
      <c r="AK48" s="7371"/>
      <c r="AL48" s="7371"/>
      <c r="AM48" s="7371"/>
      <c r="AN48" s="7371"/>
      <c r="AO48" s="7371"/>
      <c r="AP48" s="2162"/>
      <c r="AQ48" s="260"/>
      <c r="AR48" s="2499"/>
      <c r="AS48" s="2499"/>
      <c r="AT48" s="2499"/>
      <c r="AU48" s="260"/>
      <c r="BG48" s="2396"/>
      <c r="BH48" s="2038"/>
      <c r="BI48" s="2038"/>
      <c r="BJ48" s="2038"/>
      <c r="BK48" s="2038"/>
      <c r="BL48" s="2038"/>
      <c r="BM48" s="2038"/>
      <c r="BN48" s="2038"/>
      <c r="BO48" s="2038"/>
      <c r="BP48" s="2038"/>
    </row>
    <row r="49" spans="1:68" ht="14.25" customHeight="1">
      <c r="A49" s="2162"/>
      <c r="B49" s="7474">
        <v>21</v>
      </c>
      <c r="C49" s="7413"/>
      <c r="D49" s="2447" t="s">
        <v>2708</v>
      </c>
      <c r="E49" s="1715"/>
      <c r="F49" s="1715"/>
      <c r="G49" s="1715"/>
      <c r="H49" s="1715"/>
      <c r="I49" s="1715"/>
      <c r="J49" s="1715"/>
      <c r="K49" s="1715"/>
      <c r="L49" s="1715"/>
      <c r="M49" s="1715"/>
      <c r="N49" s="1715"/>
      <c r="O49" s="1715"/>
      <c r="P49" s="1715"/>
      <c r="Q49" s="1715"/>
      <c r="R49" s="1715"/>
      <c r="S49" s="2341"/>
      <c r="T49" s="7497"/>
      <c r="U49" s="7498"/>
      <c r="V49" s="7499"/>
      <c r="W49" s="7500"/>
      <c r="X49" s="7500"/>
      <c r="Y49" s="7500"/>
      <c r="Z49" s="7500"/>
      <c r="AA49" s="7500"/>
      <c r="AB49" s="7500"/>
      <c r="AC49" s="7501"/>
      <c r="AD49" s="7499"/>
      <c r="AE49" s="7500"/>
      <c r="AF49" s="7500"/>
      <c r="AG49" s="7500"/>
      <c r="AH49" s="7500"/>
      <c r="AI49" s="7501"/>
      <c r="AJ49" s="7499"/>
      <c r="AK49" s="7500"/>
      <c r="AL49" s="7500"/>
      <c r="AM49" s="7500"/>
      <c r="AN49" s="7500"/>
      <c r="AO49" s="7500"/>
      <c r="AP49" s="2162"/>
      <c r="AQ49" s="260"/>
      <c r="AR49" s="260"/>
      <c r="AS49" s="260"/>
      <c r="AT49" s="260"/>
      <c r="AU49" s="260"/>
      <c r="AX49" s="118"/>
      <c r="AY49" s="7365" t="s">
        <v>542</v>
      </c>
      <c r="AZ49" s="7366"/>
      <c r="BA49" s="7365" t="s">
        <v>548</v>
      </c>
      <c r="BB49" s="7366"/>
      <c r="BC49" s="7365" t="s">
        <v>550</v>
      </c>
      <c r="BD49" s="7366"/>
      <c r="BG49" s="2396"/>
      <c r="BH49" s="2038"/>
      <c r="BI49" s="2038"/>
      <c r="BJ49" s="2038"/>
      <c r="BK49" s="2038"/>
      <c r="BL49" s="2038"/>
      <c r="BM49" s="2038"/>
      <c r="BN49" s="2038"/>
      <c r="BO49" s="2038"/>
      <c r="BP49" s="2038"/>
    </row>
    <row r="50" spans="1:68" ht="14.25" customHeight="1">
      <c r="A50" s="2162"/>
      <c r="B50" s="7474"/>
      <c r="C50" s="7413"/>
      <c r="D50" s="2447" t="s">
        <v>2709</v>
      </c>
      <c r="E50" s="1715"/>
      <c r="F50" s="1715"/>
      <c r="G50" s="1715"/>
      <c r="H50" s="1715"/>
      <c r="I50" s="1715"/>
      <c r="J50" s="1715"/>
      <c r="K50" s="1715"/>
      <c r="L50" s="1715"/>
      <c r="M50" s="1715"/>
      <c r="N50" s="1715"/>
      <c r="O50" s="1715"/>
      <c r="P50" s="1715"/>
      <c r="Q50" s="1715"/>
      <c r="R50" s="1715"/>
      <c r="S50" s="2341"/>
      <c r="T50" s="7492"/>
      <c r="U50" s="7493"/>
      <c r="V50" s="7494"/>
      <c r="W50" s="7495"/>
      <c r="X50" s="7495"/>
      <c r="Y50" s="7495"/>
      <c r="Z50" s="7495"/>
      <c r="AA50" s="7495"/>
      <c r="AB50" s="7495"/>
      <c r="AC50" s="7496"/>
      <c r="AD50" s="7494"/>
      <c r="AE50" s="7495"/>
      <c r="AF50" s="7495"/>
      <c r="AG50" s="7495"/>
      <c r="AH50" s="7495"/>
      <c r="AI50" s="7496"/>
      <c r="AJ50" s="7494"/>
      <c r="AK50" s="7495"/>
      <c r="AL50" s="7495"/>
      <c r="AM50" s="7495"/>
      <c r="AN50" s="7495"/>
      <c r="AO50" s="7495"/>
      <c r="AP50" s="2162"/>
      <c r="AQ50" s="260"/>
      <c r="AR50" s="260"/>
      <c r="AS50" s="260"/>
      <c r="AT50" s="260"/>
      <c r="AU50" s="260"/>
      <c r="AX50" s="118"/>
      <c r="AY50" s="777" t="s">
        <v>2710</v>
      </c>
      <c r="AZ50" s="777" t="s">
        <v>2711</v>
      </c>
      <c r="BA50" s="777" t="s">
        <v>2710</v>
      </c>
      <c r="BB50" s="777" t="s">
        <v>2711</v>
      </c>
      <c r="BC50" s="777" t="s">
        <v>2710</v>
      </c>
      <c r="BD50" s="777" t="s">
        <v>2711</v>
      </c>
      <c r="BG50" s="2396"/>
      <c r="BH50" s="2038"/>
      <c r="BI50" s="2038"/>
      <c r="BJ50" s="2038"/>
      <c r="BK50" s="2038"/>
      <c r="BL50" s="2038"/>
      <c r="BM50" s="2038"/>
      <c r="BN50" s="2038"/>
      <c r="BO50" s="2038"/>
      <c r="BP50" s="2038"/>
    </row>
    <row r="51" spans="1:68" ht="14.25" customHeight="1">
      <c r="A51" s="2162"/>
      <c r="B51" s="7474"/>
      <c r="C51" s="7413"/>
      <c r="D51" s="2447" t="s">
        <v>2712</v>
      </c>
      <c r="E51" s="1715"/>
      <c r="F51" s="1715"/>
      <c r="G51" s="1715"/>
      <c r="H51" s="1715"/>
      <c r="I51" s="1715"/>
      <c r="J51" s="1715"/>
      <c r="K51" s="1715"/>
      <c r="L51" s="1715"/>
      <c r="M51" s="1715"/>
      <c r="N51" s="1715"/>
      <c r="O51" s="1715"/>
      <c r="P51" s="1715"/>
      <c r="Q51" s="1715"/>
      <c r="R51" s="1715"/>
      <c r="S51" s="2760" t="s">
        <v>661</v>
      </c>
      <c r="T51" s="7479">
        <v>21</v>
      </c>
      <c r="U51" s="7480"/>
      <c r="V51" s="7490">
        <f>IF(AR51&lt;&gt;"",ROUND(AR51,0),ROUND(SUM(V30,V31,-V48),0))</f>
        <v>0</v>
      </c>
      <c r="W51" s="7369"/>
      <c r="X51" s="7369"/>
      <c r="Y51" s="7369"/>
      <c r="Z51" s="7369"/>
      <c r="AA51" s="7369"/>
      <c r="AB51" s="7369"/>
      <c r="AC51" s="7491"/>
      <c r="AD51" s="7490">
        <f>IF(AS51&lt;&gt;"",ROUND(AS51,0),ROUND(SUM(AD30,AD31,-AD48),0))</f>
        <v>0</v>
      </c>
      <c r="AE51" s="7369"/>
      <c r="AF51" s="7369"/>
      <c r="AG51" s="7369"/>
      <c r="AH51" s="7369"/>
      <c r="AI51" s="7491"/>
      <c r="AJ51" s="7490">
        <f>IF(AT51&lt;&gt;"",ROUND(AT51,0),ROUND(SUM(AJ30,AJ31,-AJ48),0))</f>
        <v>0</v>
      </c>
      <c r="AK51" s="7369"/>
      <c r="AL51" s="7369"/>
      <c r="AM51" s="7369"/>
      <c r="AN51" s="7369"/>
      <c r="AO51" s="7369"/>
      <c r="AP51" s="2162"/>
      <c r="AQ51" s="260"/>
      <c r="AR51" s="2499"/>
      <c r="AS51" s="2499"/>
      <c r="AT51" s="2499"/>
      <c r="AU51" s="260"/>
      <c r="AX51" s="779" t="s">
        <v>2713</v>
      </c>
      <c r="AY51" s="776">
        <f>IF(V51&gt;0,V51,0)</f>
        <v>0</v>
      </c>
      <c r="AZ51" s="776">
        <f>IF(V51&lt;0,V51,0)</f>
        <v>0</v>
      </c>
      <c r="BA51" s="776">
        <f>IF(AD51&gt;0,AD51,0)</f>
        <v>0</v>
      </c>
      <c r="BB51" s="776">
        <f>IF(AD51&lt;0,AD51,0)</f>
        <v>0</v>
      </c>
      <c r="BC51" s="776">
        <f>IF(AJ51&gt;0,AJ51,0)</f>
        <v>0</v>
      </c>
      <c r="BD51" s="776">
        <f>IF(AJ51&lt;0,AJ51,0)</f>
        <v>0</v>
      </c>
      <c r="BG51" s="2396"/>
      <c r="BH51" s="2038"/>
      <c r="BI51" s="2038"/>
      <c r="BJ51" s="2038"/>
      <c r="BK51" s="2038"/>
      <c r="BL51" s="2038"/>
      <c r="BM51" s="2038"/>
      <c r="BN51" s="2038"/>
      <c r="BO51" s="2038"/>
      <c r="BP51" s="2038"/>
    </row>
    <row r="52" spans="1:68" ht="14.25" customHeight="1">
      <c r="A52" s="2162"/>
      <c r="B52" s="7474">
        <v>22</v>
      </c>
      <c r="C52" s="7413"/>
      <c r="D52" s="2447" t="s">
        <v>2714</v>
      </c>
      <c r="E52" s="1715"/>
      <c r="F52" s="1715"/>
      <c r="G52" s="1715"/>
      <c r="H52" s="1715"/>
      <c r="I52" s="1715"/>
      <c r="J52" s="1715"/>
      <c r="K52" s="1715"/>
      <c r="L52" s="1715"/>
      <c r="M52" s="1715"/>
      <c r="N52" s="1715"/>
      <c r="O52" s="1715"/>
      <c r="P52" s="1715"/>
      <c r="Q52" s="1715"/>
      <c r="R52" s="1715"/>
      <c r="S52" s="2341"/>
      <c r="T52" s="7492"/>
      <c r="U52" s="7493"/>
      <c r="V52" s="7494"/>
      <c r="W52" s="7495"/>
      <c r="X52" s="7495"/>
      <c r="Y52" s="7495"/>
      <c r="Z52" s="7495"/>
      <c r="AA52" s="7495"/>
      <c r="AB52" s="7495"/>
      <c r="AC52" s="7496"/>
      <c r="AD52" s="7494"/>
      <c r="AE52" s="7495"/>
      <c r="AF52" s="7495"/>
      <c r="AG52" s="7495"/>
      <c r="AH52" s="7495"/>
      <c r="AI52" s="7496"/>
      <c r="AJ52" s="7494"/>
      <c r="AK52" s="7495"/>
      <c r="AL52" s="7495"/>
      <c r="AM52" s="7495"/>
      <c r="AN52" s="7495"/>
      <c r="AO52" s="7495"/>
      <c r="AP52" s="2162"/>
      <c r="AQ52" s="260"/>
      <c r="AR52" s="260"/>
      <c r="AS52" s="260"/>
      <c r="AT52" s="260"/>
      <c r="AU52" s="260"/>
      <c r="AX52" s="779" t="s">
        <v>2715</v>
      </c>
      <c r="AY52" s="792" t="s">
        <v>399</v>
      </c>
      <c r="AZ52" s="776">
        <f>IF(W53&lt;&gt;"",-W53,0)</f>
        <v>0</v>
      </c>
      <c r="BA52" s="792" t="s">
        <v>399</v>
      </c>
      <c r="BB52" s="776">
        <f>IF(AE53&lt;&gt;"",-AE53,0)</f>
        <v>0</v>
      </c>
      <c r="BC52" s="792" t="s">
        <v>399</v>
      </c>
      <c r="BD52" s="776">
        <f>IF(AK53&lt;&gt;"",-AK53,0)</f>
        <v>0</v>
      </c>
      <c r="BG52" s="2396"/>
      <c r="BH52" s="2038"/>
      <c r="BI52" s="2038"/>
      <c r="BJ52" s="2038"/>
      <c r="BK52" s="2038"/>
      <c r="BL52" s="2038"/>
      <c r="BM52" s="2038"/>
      <c r="BN52" s="2038"/>
      <c r="BO52" s="2038"/>
      <c r="BP52" s="2038"/>
    </row>
    <row r="53" spans="1:68" ht="14.25" customHeight="1">
      <c r="A53" s="2162"/>
      <c r="B53" s="7474"/>
      <c r="C53" s="7413"/>
      <c r="D53" s="2447" t="s">
        <v>2716</v>
      </c>
      <c r="E53" s="1715"/>
      <c r="F53" s="1715"/>
      <c r="G53" s="1715"/>
      <c r="H53" s="1715"/>
      <c r="I53" s="1715"/>
      <c r="J53" s="1715"/>
      <c r="K53" s="1715"/>
      <c r="L53" s="1715"/>
      <c r="M53" s="1715"/>
      <c r="N53" s="1715"/>
      <c r="O53" s="1715"/>
      <c r="P53" s="1715"/>
      <c r="Q53" s="1715"/>
      <c r="R53" s="1715"/>
      <c r="S53" s="2760" t="s">
        <v>677</v>
      </c>
      <c r="T53" s="7479">
        <v>22</v>
      </c>
      <c r="U53" s="7480"/>
      <c r="V53" s="2501" t="s">
        <v>905</v>
      </c>
      <c r="W53" s="7369" t="str">
        <f>IF(AND(AR53&lt;0,AR53&lt;&gt;""),-ROUND(AR53,0),IF(AND(AR53&gt;=0,AR53&lt;&gt;""),ROUND(AR53,0),IF(AND(D21&lt;&gt;6,V51&lt;0),ROUND(-V51,0),"")))</f>
        <v/>
      </c>
      <c r="X53" s="7370"/>
      <c r="Y53" s="7370"/>
      <c r="Z53" s="7370"/>
      <c r="AA53" s="7370"/>
      <c r="AB53" s="7370"/>
      <c r="AC53" s="4714" t="s">
        <v>906</v>
      </c>
      <c r="AD53" s="2501" t="s">
        <v>905</v>
      </c>
      <c r="AE53" s="7369" t="str">
        <f>IF(AND(AS53&lt;0,AS53&lt;&gt;""),-ROUND(AS53,0),IF(AND(AS53&gt;=0,AS53&lt;&gt;""),ROUND(AS53,0),IF(AND(D22&lt;&gt;6,AD51&lt;0),ROUND(-AD51,0),"")))</f>
        <v/>
      </c>
      <c r="AF53" s="7370"/>
      <c r="AG53" s="7370"/>
      <c r="AH53" s="7370"/>
      <c r="AI53" s="4714" t="s">
        <v>906</v>
      </c>
      <c r="AJ53" s="2501" t="s">
        <v>905</v>
      </c>
      <c r="AK53" s="7369" t="str">
        <f>IF(AND(AT53&lt;0,AT53&lt;&gt;""),-ROUND(AT53,0),IF(AND(AT53&gt;=0,AT53&lt;&gt;""),ROUND(AT53,0),IF(AND(D23&lt;&gt;6,AJ51&lt;0),ROUND(-AJ51,0),"")))</f>
        <v/>
      </c>
      <c r="AL53" s="7370"/>
      <c r="AM53" s="7370"/>
      <c r="AN53" s="7370"/>
      <c r="AO53" s="4713" t="s">
        <v>906</v>
      </c>
      <c r="AP53" s="2162"/>
      <c r="AQ53" s="260"/>
      <c r="AR53" s="2499"/>
      <c r="AS53" s="2499"/>
      <c r="AT53" s="2499"/>
      <c r="AU53" s="260"/>
      <c r="AX53" s="779"/>
      <c r="AY53" s="778" t="s">
        <v>2717</v>
      </c>
      <c r="AZ53" s="776">
        <f>IF(D21=6,AZ51,0)</f>
        <v>0</v>
      </c>
      <c r="BA53"/>
      <c r="BB53" s="776">
        <f>IF(D22=6,BB51,0)</f>
        <v>0</v>
      </c>
      <c r="BC53"/>
      <c r="BD53" s="776">
        <f>IF(D23=6,BD51,0)</f>
        <v>0</v>
      </c>
      <c r="BG53" s="2396"/>
      <c r="BH53" s="2038"/>
      <c r="BI53" s="2038"/>
      <c r="BJ53" s="2038"/>
      <c r="BK53" s="2038"/>
      <c r="BL53" s="2038"/>
      <c r="BM53" s="2038"/>
      <c r="BN53" s="2038"/>
      <c r="BO53" s="2038"/>
      <c r="BP53" s="2038"/>
    </row>
    <row r="54" spans="1:68" ht="14.25" customHeight="1">
      <c r="A54" s="2162"/>
      <c r="B54" s="7474" t="s">
        <v>2718</v>
      </c>
      <c r="C54" s="7413"/>
      <c r="D54" s="2447" t="s">
        <v>2719</v>
      </c>
      <c r="E54" s="1715"/>
      <c r="F54" s="1715"/>
      <c r="G54" s="1715"/>
      <c r="H54" s="1715"/>
      <c r="I54" s="1715"/>
      <c r="J54" s="1715"/>
      <c r="K54" s="1715"/>
      <c r="L54" s="1715"/>
      <c r="M54" s="1715"/>
      <c r="N54" s="1715"/>
      <c r="O54" s="1715"/>
      <c r="P54" s="1715"/>
      <c r="Q54" s="1715"/>
      <c r="R54" s="1715"/>
      <c r="S54" s="1715"/>
      <c r="T54" s="1715"/>
      <c r="U54" s="1715"/>
      <c r="V54" s="1715"/>
      <c r="W54" s="1715"/>
      <c r="X54" s="1715"/>
      <c r="Y54" s="1715"/>
      <c r="Z54" s="1715"/>
      <c r="AA54" s="2760" t="s">
        <v>684</v>
      </c>
      <c r="AB54" s="7475" t="s">
        <v>2718</v>
      </c>
      <c r="AC54" s="7476"/>
      <c r="AD54" s="7490">
        <f>IF(AR54&lt;&gt;"",ROUND(AR54,0),ROUND(BC24,0))</f>
        <v>0</v>
      </c>
      <c r="AE54" s="7369"/>
      <c r="AF54" s="7369"/>
      <c r="AG54" s="7369"/>
      <c r="AH54" s="7369"/>
      <c r="AI54" s="7491"/>
      <c r="AJ54" s="2162"/>
      <c r="AK54" s="2162"/>
      <c r="AL54" s="2162"/>
      <c r="AM54" s="2162"/>
      <c r="AN54" s="2162"/>
      <c r="AO54" s="2162"/>
      <c r="AP54" s="2162"/>
      <c r="AQ54" s="260"/>
      <c r="AR54" s="2499"/>
      <c r="AS54" s="260"/>
      <c r="AT54" s="260"/>
      <c r="AU54" s="260"/>
      <c r="AX54" s="118"/>
      <c r="AY54" s="778" t="s">
        <v>2720</v>
      </c>
      <c r="AZ54" s="776">
        <f>IF(D21&lt;&gt;6,AZ51,0)</f>
        <v>0</v>
      </c>
      <c r="BA54"/>
      <c r="BB54" s="776">
        <f>IF(D22&lt;&gt;6,BB51,0)</f>
        <v>0</v>
      </c>
      <c r="BC54"/>
      <c r="BD54" s="776">
        <f>IF(D23&lt;&gt;6,BD51,0)</f>
        <v>0</v>
      </c>
      <c r="BG54" s="2396"/>
      <c r="BH54" s="2038"/>
      <c r="BI54" s="2038"/>
      <c r="BJ54" s="2038"/>
      <c r="BK54" s="2038"/>
      <c r="BL54" s="2038"/>
      <c r="BM54" s="2038"/>
      <c r="BN54" s="2038"/>
      <c r="BO54" s="2038"/>
      <c r="BP54" s="2038"/>
    </row>
    <row r="55" spans="1:68" ht="14.25" customHeight="1">
      <c r="A55" s="2162"/>
      <c r="B55" s="7488" t="s">
        <v>644</v>
      </c>
      <c r="C55" s="7489"/>
      <c r="D55" s="2447" t="s">
        <v>2721</v>
      </c>
      <c r="E55" s="1715"/>
      <c r="F55" s="1715"/>
      <c r="G55" s="1715"/>
      <c r="H55" s="1715"/>
      <c r="I55" s="1715"/>
      <c r="J55" s="1715"/>
      <c r="K55" s="1715"/>
      <c r="L55" s="1715"/>
      <c r="M55" s="1715"/>
      <c r="N55" s="1715"/>
      <c r="O55" s="1715"/>
      <c r="P55" s="1715"/>
      <c r="Q55" s="1715"/>
      <c r="R55" s="1715"/>
      <c r="S55" s="1715"/>
      <c r="T55" s="1715"/>
      <c r="U55" s="1715"/>
      <c r="V55" s="1715"/>
      <c r="W55" s="1715"/>
      <c r="X55" s="1715"/>
      <c r="Y55" s="1715"/>
      <c r="Z55" s="1715"/>
      <c r="AA55" s="2760" t="s">
        <v>699</v>
      </c>
      <c r="AB55" s="7475" t="s">
        <v>2722</v>
      </c>
      <c r="AC55" s="7476"/>
      <c r="AD55" s="7490">
        <f>IF(AR55&lt;&gt;"",ROUND(AR55,0),ROUND(BC25,0))</f>
        <v>0</v>
      </c>
      <c r="AE55" s="7369"/>
      <c r="AF55" s="7369"/>
      <c r="AG55" s="7369"/>
      <c r="AH55" s="7369"/>
      <c r="AI55" s="7491"/>
      <c r="AJ55" s="2162"/>
      <c r="AK55" s="2162"/>
      <c r="AL55" s="2162"/>
      <c r="AM55" s="2162"/>
      <c r="AN55" s="2162"/>
      <c r="AO55" s="2162"/>
      <c r="AP55" s="2162"/>
      <c r="AQ55" s="260"/>
      <c r="AR55" s="2499"/>
      <c r="AS55" s="260"/>
      <c r="AT55" s="260"/>
      <c r="AU55" s="260"/>
      <c r="BG55" s="2396"/>
      <c r="BH55" s="2038"/>
      <c r="BI55" s="2038"/>
      <c r="BJ55" s="2038"/>
      <c r="BK55" s="2038"/>
      <c r="BL55" s="2038"/>
      <c r="BM55" s="2038"/>
      <c r="BN55" s="2038"/>
      <c r="BO55" s="2038"/>
      <c r="BP55" s="2038"/>
    </row>
    <row r="56" spans="1:68" ht="14.25" customHeight="1">
      <c r="A56" s="2162"/>
      <c r="B56" s="7488" t="s">
        <v>648</v>
      </c>
      <c r="C56" s="7489"/>
      <c r="D56" s="2447" t="s">
        <v>2723</v>
      </c>
      <c r="E56" s="1715"/>
      <c r="F56" s="1715"/>
      <c r="G56" s="1715"/>
      <c r="H56" s="1715"/>
      <c r="I56" s="1715"/>
      <c r="J56" s="1715"/>
      <c r="K56" s="1715"/>
      <c r="L56" s="1715"/>
      <c r="M56" s="1715"/>
      <c r="N56" s="1715"/>
      <c r="O56" s="1715"/>
      <c r="P56" s="1715"/>
      <c r="Q56" s="1715"/>
      <c r="R56" s="1715"/>
      <c r="S56" s="1715"/>
      <c r="T56" s="1715"/>
      <c r="U56" s="1715"/>
      <c r="V56" s="1715"/>
      <c r="W56" s="1715"/>
      <c r="X56" s="1715"/>
      <c r="Y56" s="1715"/>
      <c r="Z56" s="1715"/>
      <c r="AA56" s="2760" t="s">
        <v>654</v>
      </c>
      <c r="AB56" s="7475" t="s">
        <v>2724</v>
      </c>
      <c r="AC56" s="7476"/>
      <c r="AD56" s="7490">
        <f>IF(AR56&lt;&gt;"",ROUND(AR56,0),ROUND(SUM(V40,AD40,AJ40),0))</f>
        <v>0</v>
      </c>
      <c r="AE56" s="7369"/>
      <c r="AF56" s="7369"/>
      <c r="AG56" s="7369"/>
      <c r="AH56" s="7369"/>
      <c r="AI56" s="7491"/>
      <c r="AJ56" s="2162"/>
      <c r="AK56" s="2162"/>
      <c r="AL56" s="2162"/>
      <c r="AM56" s="2162"/>
      <c r="AN56" s="2162"/>
      <c r="AO56" s="2162"/>
      <c r="AP56" s="2162"/>
      <c r="AQ56" s="260"/>
      <c r="AR56" s="2499"/>
      <c r="AS56" s="260"/>
      <c r="AT56" s="260"/>
      <c r="AU56" s="260"/>
      <c r="BG56" s="2396"/>
      <c r="BH56" s="2038"/>
      <c r="BI56" s="2038"/>
      <c r="BJ56" s="2038"/>
      <c r="BK56" s="2038"/>
      <c r="BL56" s="2038"/>
      <c r="BM56" s="2038"/>
      <c r="BN56" s="2038"/>
      <c r="BO56" s="2038"/>
      <c r="BP56" s="2038"/>
    </row>
    <row r="57" spans="1:68" ht="14.25" customHeight="1">
      <c r="A57" s="2162"/>
      <c r="B57" s="7488" t="s">
        <v>652</v>
      </c>
      <c r="C57" s="7489"/>
      <c r="D57" s="2447" t="s">
        <v>2725</v>
      </c>
      <c r="E57" s="1715"/>
      <c r="F57" s="1715"/>
      <c r="G57" s="1715"/>
      <c r="H57" s="1715"/>
      <c r="I57" s="1715"/>
      <c r="J57" s="1715"/>
      <c r="K57" s="1715"/>
      <c r="L57" s="1715"/>
      <c r="M57" s="1715"/>
      <c r="N57" s="1715"/>
      <c r="O57" s="1715"/>
      <c r="P57" s="1715"/>
      <c r="Q57" s="1715"/>
      <c r="R57" s="1715"/>
      <c r="S57" s="1715"/>
      <c r="T57" s="1715"/>
      <c r="U57" s="1715"/>
      <c r="V57" s="1715"/>
      <c r="W57" s="1715"/>
      <c r="X57" s="1715"/>
      <c r="Y57" s="1715"/>
      <c r="Z57" s="1715"/>
      <c r="AA57" s="2760" t="s">
        <v>654</v>
      </c>
      <c r="AB57" s="7475" t="s">
        <v>2726</v>
      </c>
      <c r="AC57" s="7476"/>
      <c r="AD57" s="7490">
        <f>IF(AR57&lt;&gt;"",ROUND(AR57,0),ROUND(SUM(V46,AD46,AJ46),0))</f>
        <v>0</v>
      </c>
      <c r="AE57" s="7369"/>
      <c r="AF57" s="7369"/>
      <c r="AG57" s="7369"/>
      <c r="AH57" s="7369"/>
      <c r="AI57" s="7491"/>
      <c r="AJ57" s="2162"/>
      <c r="AK57" s="2162"/>
      <c r="AL57" s="2162"/>
      <c r="AM57" s="2162"/>
      <c r="AN57" s="2162"/>
      <c r="AO57" s="2162"/>
      <c r="AP57" s="2162"/>
      <c r="AQ57" s="260"/>
      <c r="AR57" s="2499"/>
      <c r="AS57" s="260"/>
      <c r="AT57" s="260"/>
      <c r="AU57" s="260"/>
      <c r="BG57" s="2396"/>
      <c r="BH57" s="2038"/>
      <c r="BI57" s="2038"/>
      <c r="BJ57" s="2038"/>
      <c r="BK57" s="2038"/>
      <c r="BL57" s="2038"/>
      <c r="BM57" s="2038"/>
      <c r="BN57" s="2038"/>
      <c r="BO57" s="2038"/>
      <c r="BP57" s="2038"/>
    </row>
    <row r="58" spans="1:68" ht="14.25" customHeight="1">
      <c r="A58" s="2162"/>
      <c r="B58" s="7488" t="s">
        <v>656</v>
      </c>
      <c r="C58" s="7489"/>
      <c r="D58" s="2447" t="s">
        <v>2727</v>
      </c>
      <c r="E58" s="1715"/>
      <c r="F58" s="1715"/>
      <c r="G58" s="1715"/>
      <c r="H58" s="1715"/>
      <c r="I58" s="1715"/>
      <c r="J58" s="1715"/>
      <c r="K58" s="1715"/>
      <c r="L58" s="1715"/>
      <c r="M58" s="1715"/>
      <c r="N58" s="1715"/>
      <c r="O58" s="1715"/>
      <c r="P58" s="1715"/>
      <c r="Q58" s="1715"/>
      <c r="R58" s="1715"/>
      <c r="S58" s="1715"/>
      <c r="T58" s="1715"/>
      <c r="U58" s="1715"/>
      <c r="V58" s="1715"/>
      <c r="W58" s="1715"/>
      <c r="X58" s="1715"/>
      <c r="Y58" s="1715"/>
      <c r="Z58" s="1715"/>
      <c r="AA58" s="2760" t="s">
        <v>654</v>
      </c>
      <c r="AB58" s="7475" t="s">
        <v>2728</v>
      </c>
      <c r="AC58" s="7476"/>
      <c r="AD58" s="7490">
        <f>IF(AR58&lt;&gt;"",ROUND(AR58,0),ROUND(SUM(V48,AD48,AJ48),0))</f>
        <v>0</v>
      </c>
      <c r="AE58" s="7369"/>
      <c r="AF58" s="7369"/>
      <c r="AG58" s="7369"/>
      <c r="AH58" s="7369"/>
      <c r="AI58" s="7491"/>
      <c r="AJ58" s="2162"/>
      <c r="AK58" s="2162"/>
      <c r="AL58" s="2162"/>
      <c r="AM58" s="2162"/>
      <c r="AN58" s="2162"/>
      <c r="AO58" s="2162"/>
      <c r="AP58" s="2162"/>
      <c r="AQ58" s="260"/>
      <c r="AR58" s="2499"/>
      <c r="AS58" s="260"/>
      <c r="AT58" s="260"/>
      <c r="AU58" s="260"/>
      <c r="BG58" s="2396"/>
      <c r="BH58" s="2038"/>
      <c r="BI58" s="2038"/>
      <c r="BJ58" s="2038"/>
      <c r="BK58" s="2038"/>
      <c r="BL58" s="2038"/>
      <c r="BM58" s="2038"/>
      <c r="BN58" s="2038"/>
      <c r="BO58" s="2038"/>
      <c r="BP58" s="2038"/>
    </row>
    <row r="59" spans="1:68" ht="14.25" customHeight="1">
      <c r="A59" s="2162"/>
      <c r="B59" s="7474">
        <v>24</v>
      </c>
      <c r="C59" s="7413"/>
      <c r="D59" s="2447" t="s">
        <v>2729</v>
      </c>
      <c r="E59" s="1715"/>
      <c r="F59" s="1715"/>
      <c r="G59" s="1715"/>
      <c r="H59" s="1715"/>
      <c r="I59" s="1715"/>
      <c r="J59" s="1715"/>
      <c r="K59" s="1715"/>
      <c r="L59" s="1715"/>
      <c r="M59" s="1715"/>
      <c r="N59" s="1715"/>
      <c r="O59" s="1715"/>
      <c r="P59" s="1715"/>
      <c r="Q59" s="1715"/>
      <c r="R59" s="1715"/>
      <c r="S59" s="1715"/>
      <c r="T59" s="1715"/>
      <c r="U59" s="1715"/>
      <c r="V59" s="1715"/>
      <c r="W59" s="1715"/>
      <c r="X59" s="1715"/>
      <c r="Y59" s="1715"/>
      <c r="Z59" s="1715"/>
      <c r="AA59" s="1715"/>
      <c r="AB59" s="1715"/>
      <c r="AC59" s="1715"/>
      <c r="AD59" s="1715"/>
      <c r="AE59" s="1715"/>
      <c r="AF59" s="1715"/>
      <c r="AG59" s="2760" t="s">
        <v>746</v>
      </c>
      <c r="AH59" s="7479">
        <v>24</v>
      </c>
      <c r="AI59" s="7480"/>
      <c r="AJ59" s="7477">
        <f>IF(AR59&lt;&gt;"",ROUND(AR59,0),ROUND(SUM(AY51,BA51,BC51),0))</f>
        <v>0</v>
      </c>
      <c r="AK59" s="7478"/>
      <c r="AL59" s="7478"/>
      <c r="AM59" s="7478"/>
      <c r="AN59" s="7478"/>
      <c r="AO59" s="7478"/>
      <c r="AP59" s="2162"/>
      <c r="AQ59" s="260"/>
      <c r="AR59" s="2499"/>
      <c r="AS59" s="260"/>
      <c r="AT59" s="260"/>
      <c r="AU59" s="260"/>
      <c r="BG59" s="2396"/>
      <c r="BH59" s="2038"/>
      <c r="BI59" s="2038"/>
      <c r="BJ59" s="2038"/>
      <c r="BK59" s="2038"/>
      <c r="BL59" s="2038"/>
      <c r="BM59" s="2038"/>
      <c r="BN59" s="2038"/>
      <c r="BO59" s="2038"/>
      <c r="BP59" s="2038"/>
    </row>
    <row r="60" spans="1:68" ht="14.25" customHeight="1">
      <c r="A60" s="2162"/>
      <c r="B60" s="7474">
        <v>25</v>
      </c>
      <c r="C60" s="7413"/>
      <c r="D60" s="2461" t="s">
        <v>2730</v>
      </c>
      <c r="E60" s="1715"/>
      <c r="F60" s="1715"/>
      <c r="G60" s="1715"/>
      <c r="H60" s="1715"/>
      <c r="I60" s="1715"/>
      <c r="J60" s="1715"/>
      <c r="K60" s="1715"/>
      <c r="L60" s="1715"/>
      <c r="M60" s="1715"/>
      <c r="N60" s="1715"/>
      <c r="O60" s="1715"/>
      <c r="P60" s="1715"/>
      <c r="Q60" s="1715"/>
      <c r="R60" s="1715"/>
      <c r="S60" s="1715"/>
      <c r="T60" s="1715"/>
      <c r="U60" s="1715"/>
      <c r="V60" s="1715"/>
      <c r="W60" s="1715"/>
      <c r="X60" s="1715"/>
      <c r="Y60" s="1715"/>
      <c r="Z60" s="1715"/>
      <c r="AA60" s="1715"/>
      <c r="AB60" s="1715"/>
      <c r="AC60" s="1715"/>
      <c r="AD60" s="1715"/>
      <c r="AE60" s="1715"/>
      <c r="AF60" s="1715"/>
      <c r="AG60" s="1715"/>
      <c r="AH60" s="7475">
        <v>25</v>
      </c>
      <c r="AI60" s="7476"/>
      <c r="AJ60" s="4718" t="s">
        <v>905</v>
      </c>
      <c r="AK60" s="7371">
        <f>-AK61</f>
        <v>0</v>
      </c>
      <c r="AL60" s="7372"/>
      <c r="AM60" s="7372"/>
      <c r="AN60" s="7372"/>
      <c r="AO60" s="4712" t="s">
        <v>906</v>
      </c>
      <c r="AP60" s="2162"/>
      <c r="AQ60" s="260"/>
      <c r="AR60" s="2499"/>
      <c r="AS60" s="260"/>
      <c r="AT60" s="260"/>
      <c r="AU60" s="260"/>
      <c r="BG60" s="2396"/>
      <c r="BH60" s="2038"/>
      <c r="BI60" s="2038"/>
      <c r="BJ60" s="2038"/>
      <c r="BK60" s="2038"/>
      <c r="BL60" s="2038"/>
      <c r="BM60" s="2038"/>
      <c r="BN60" s="2038"/>
      <c r="BO60" s="2038"/>
      <c r="BP60" s="2038"/>
    </row>
    <row r="61" spans="1:68" ht="14.25" customHeight="1">
      <c r="A61" s="2162"/>
      <c r="B61" s="7474">
        <v>26</v>
      </c>
      <c r="C61" s="7413"/>
      <c r="D61" s="2447" t="s">
        <v>2731</v>
      </c>
      <c r="E61" s="1715"/>
      <c r="F61" s="1715"/>
      <c r="G61" s="1715"/>
      <c r="H61" s="1715"/>
      <c r="I61" s="1715"/>
      <c r="J61" s="1715"/>
      <c r="K61" s="1715"/>
      <c r="L61" s="1715"/>
      <c r="M61" s="1715"/>
      <c r="N61" s="1715"/>
      <c r="O61" s="1715"/>
      <c r="P61" s="1715"/>
      <c r="Q61" s="1715"/>
      <c r="R61" s="1715"/>
      <c r="S61" s="1715"/>
      <c r="T61" s="2358"/>
      <c r="U61" s="2460"/>
      <c r="V61" s="4716"/>
      <c r="W61" s="4716"/>
      <c r="X61" s="4716"/>
      <c r="Y61" s="4716"/>
      <c r="Z61" s="4716"/>
      <c r="AA61" s="4716"/>
      <c r="AB61" s="4716"/>
      <c r="AC61" s="4716"/>
      <c r="AD61" s="4716"/>
      <c r="AE61" s="4716"/>
      <c r="AF61" s="4716"/>
      <c r="AG61" s="4716"/>
      <c r="AH61" s="4719"/>
      <c r="AI61" s="4720"/>
      <c r="AJ61" s="4716"/>
      <c r="AK61" s="7485">
        <f>IF(AND(AR60&lt;&gt;"",AR60&gt;=0),-ROUND(AR60,0),IF(AND(AR60&lt;&gt;"",AR60&lt;0),ROUND(AR60,0),SUM(AZ52,AZ53,BB52,BB53,BD52,BD53)))</f>
        <v>0</v>
      </c>
      <c r="AL61" s="7485"/>
      <c r="AM61" s="7485"/>
      <c r="AN61" s="7485"/>
      <c r="AO61" s="4716"/>
      <c r="AP61" s="2162"/>
      <c r="AQ61" s="260"/>
      <c r="AR61" s="260"/>
      <c r="AS61" s="260"/>
      <c r="AT61" s="260"/>
      <c r="AU61" s="260"/>
      <c r="BG61" s="2396"/>
      <c r="BH61" s="2038"/>
      <c r="BI61" s="2038"/>
      <c r="BJ61" s="2038"/>
      <c r="BK61" s="2038"/>
      <c r="BL61" s="2038"/>
      <c r="BM61" s="2038"/>
      <c r="BN61" s="2038"/>
      <c r="BO61" s="2038"/>
      <c r="BP61" s="2038"/>
    </row>
    <row r="62" spans="1:68" ht="14.25" customHeight="1">
      <c r="A62" s="2162"/>
      <c r="B62" s="7474"/>
      <c r="C62" s="7413"/>
      <c r="D62" s="2447" t="s">
        <v>2732</v>
      </c>
      <c r="E62" s="1715"/>
      <c r="F62" s="1715"/>
      <c r="G62" s="1715"/>
      <c r="H62" s="1715"/>
      <c r="I62" s="1715"/>
      <c r="J62" s="1715"/>
      <c r="K62" s="1715"/>
      <c r="L62" s="1715"/>
      <c r="M62" s="1715"/>
      <c r="N62" s="1715"/>
      <c r="O62" s="1715"/>
      <c r="P62" s="1715"/>
      <c r="Q62" s="1715"/>
      <c r="R62" s="1715"/>
      <c r="S62" s="1715"/>
      <c r="T62" s="2358"/>
      <c r="U62" s="2460"/>
      <c r="V62" s="4716"/>
      <c r="W62" s="4716"/>
      <c r="X62" s="4716"/>
      <c r="Y62" s="4716"/>
      <c r="Z62" s="4716"/>
      <c r="AA62" s="4716"/>
      <c r="AB62" s="4716"/>
      <c r="AC62" s="4716"/>
      <c r="AD62" s="4716"/>
      <c r="AE62" s="4716"/>
      <c r="AF62" s="4716"/>
      <c r="AG62" s="4716"/>
      <c r="AH62" s="4715"/>
      <c r="AI62" s="4717"/>
      <c r="AJ62" s="4716"/>
      <c r="AK62" s="4716"/>
      <c r="AL62" s="4716"/>
      <c r="AM62" s="4716"/>
      <c r="AN62" s="4716"/>
      <c r="AO62" s="4716"/>
      <c r="AP62" s="2162"/>
      <c r="AQ62" s="260"/>
      <c r="AR62" s="260"/>
      <c r="AS62" s="260"/>
      <c r="AT62" s="260"/>
      <c r="AU62" s="260"/>
      <c r="BG62" s="2396"/>
      <c r="BH62" s="2038"/>
      <c r="BI62" s="2038"/>
      <c r="BJ62" s="2038"/>
      <c r="BK62" s="2038"/>
      <c r="BL62" s="2038"/>
      <c r="BM62" s="2038"/>
      <c r="BN62" s="2038"/>
      <c r="BO62" s="2038"/>
      <c r="BP62" s="2038"/>
    </row>
    <row r="63" spans="1:68" ht="14.25" customHeight="1" thickBot="1">
      <c r="A63" s="2162"/>
      <c r="B63" s="2462"/>
      <c r="C63" s="2463"/>
      <c r="D63" s="3759" t="s">
        <v>2733</v>
      </c>
      <c r="E63" s="2464"/>
      <c r="F63" s="2464"/>
      <c r="G63" s="2464"/>
      <c r="H63" s="2464"/>
      <c r="I63" s="2464"/>
      <c r="J63" s="2464"/>
      <c r="K63" s="2464"/>
      <c r="L63" s="2464"/>
      <c r="M63" s="2464"/>
      <c r="N63" s="2464"/>
      <c r="O63" s="2464"/>
      <c r="P63" s="2464"/>
      <c r="Q63" s="2464"/>
      <c r="R63" s="2464"/>
      <c r="S63" s="2464"/>
      <c r="T63" s="2464"/>
      <c r="U63" s="2464"/>
      <c r="V63" s="2464"/>
      <c r="W63" s="2464"/>
      <c r="X63" s="2464"/>
      <c r="Y63" s="2464"/>
      <c r="Z63" s="2464"/>
      <c r="AA63" s="2464"/>
      <c r="AB63" s="2465"/>
      <c r="AC63" s="2466"/>
      <c r="AD63" s="2467"/>
      <c r="AE63" s="2467"/>
      <c r="AF63" s="2467"/>
      <c r="AG63" s="2761" t="s">
        <v>2734</v>
      </c>
      <c r="AH63" s="7481">
        <v>26</v>
      </c>
      <c r="AI63" s="7482"/>
      <c r="AJ63" s="7483">
        <f>IF(AR63&lt;&gt;"",ROUND(AR63,0),SUM(AJ59,AK61))</f>
        <v>0</v>
      </c>
      <c r="AK63" s="7484"/>
      <c r="AL63" s="7484"/>
      <c r="AM63" s="7484"/>
      <c r="AN63" s="7484"/>
      <c r="AO63" s="7484"/>
      <c r="AP63" s="2162"/>
      <c r="AQ63" s="260"/>
      <c r="AR63" s="2492"/>
      <c r="AS63" s="260"/>
      <c r="AT63" s="260"/>
      <c r="AU63" s="260"/>
      <c r="BG63" s="2396"/>
      <c r="BH63" s="2038"/>
      <c r="BI63" s="2038"/>
      <c r="BJ63" s="2038"/>
      <c r="BK63" s="2038"/>
      <c r="BL63" s="2038"/>
      <c r="BM63" s="2038"/>
      <c r="BN63" s="2038"/>
      <c r="BO63" s="2038"/>
      <c r="BP63" s="2038"/>
    </row>
    <row r="64" spans="1:68" ht="14.25" customHeight="1">
      <c r="A64" s="2162"/>
      <c r="B64" s="2441" t="s">
        <v>2383</v>
      </c>
      <c r="C64" s="2459"/>
      <c r="D64" s="2447"/>
      <c r="E64" s="1715"/>
      <c r="F64" s="1715"/>
      <c r="G64" s="1715"/>
      <c r="H64" s="1715"/>
      <c r="I64" s="1715"/>
      <c r="J64" s="1715"/>
      <c r="K64" s="1715"/>
      <c r="L64" s="1715"/>
      <c r="M64" s="1715"/>
      <c r="N64" s="1715"/>
      <c r="O64" s="1715"/>
      <c r="P64" s="1715"/>
      <c r="Q64" s="1715"/>
      <c r="R64" s="1715"/>
      <c r="S64" s="1715"/>
      <c r="T64" s="1715"/>
      <c r="U64" s="1715"/>
      <c r="V64" s="1715"/>
      <c r="W64" s="1715"/>
      <c r="X64" s="1715"/>
      <c r="Y64" s="1715" t="s">
        <v>2735</v>
      </c>
      <c r="Z64" s="1715"/>
      <c r="AA64" s="1715"/>
      <c r="AB64" s="2358"/>
      <c r="AC64" s="2460"/>
      <c r="AD64" s="4716"/>
      <c r="AE64" s="4716"/>
      <c r="AF64" s="4716"/>
      <c r="AG64" s="4716"/>
      <c r="AH64" s="4716"/>
      <c r="AI64" s="4716"/>
      <c r="AJ64" s="808"/>
      <c r="AK64" s="808"/>
      <c r="AL64" s="808"/>
      <c r="AM64" s="808"/>
      <c r="AN64" s="808"/>
      <c r="AO64" s="1128" t="str">
        <f>"Schedule E (Form 1040) "&amp;TaxYear</f>
        <v>Schedule E (Form 1040) 2023</v>
      </c>
      <c r="AP64" s="2162"/>
      <c r="AQ64" s="260"/>
      <c r="AR64" s="260"/>
      <c r="AS64" s="260"/>
      <c r="AT64" s="260"/>
      <c r="AU64" s="260"/>
      <c r="BG64" s="2396"/>
      <c r="BH64" s="2038"/>
      <c r="BI64" s="2038"/>
      <c r="BJ64" s="2038"/>
      <c r="BK64" s="2038"/>
      <c r="BL64" s="2038"/>
      <c r="BM64" s="2038"/>
      <c r="BN64" s="2038"/>
      <c r="BO64" s="2038"/>
      <c r="BP64" s="2038"/>
    </row>
    <row r="65" spans="1:69" ht="21" customHeight="1">
      <c r="A65" s="2162"/>
      <c r="B65" s="2181" t="str">
        <f>"Schedule E (Form 1040) "&amp;TaxYear</f>
        <v>Schedule E (Form 1040) 2023</v>
      </c>
      <c r="C65" s="1121"/>
      <c r="D65" s="1121"/>
      <c r="E65" s="1121"/>
      <c r="F65" s="1121"/>
      <c r="G65" s="1121"/>
      <c r="H65" s="1121"/>
      <c r="I65" s="2486"/>
      <c r="J65" s="1121"/>
      <c r="K65" s="1121"/>
      <c r="L65" s="1121"/>
      <c r="M65" s="1121"/>
      <c r="N65" s="1121"/>
      <c r="O65" s="1121"/>
      <c r="P65" s="2487"/>
      <c r="Q65" s="1121"/>
      <c r="R65" s="1121"/>
      <c r="S65" s="1121"/>
      <c r="T65" s="1121"/>
      <c r="U65" s="1121"/>
      <c r="V65" s="1121"/>
      <c r="W65" s="1121"/>
      <c r="X65" s="1121"/>
      <c r="Y65" s="1121"/>
      <c r="Z65" s="1121"/>
      <c r="AA65" s="2181" t="s">
        <v>2428</v>
      </c>
      <c r="AB65" s="1121"/>
      <c r="AC65" s="1121"/>
      <c r="AD65" s="1121"/>
      <c r="AE65" s="1121"/>
      <c r="AF65" s="1121"/>
      <c r="AG65" s="7355">
        <v>13</v>
      </c>
      <c r="AH65" s="7355"/>
      <c r="AI65" s="1121"/>
      <c r="AJ65" s="1121"/>
      <c r="AK65" s="1121"/>
      <c r="AL65" s="1121"/>
      <c r="AM65" s="1121"/>
      <c r="AN65" s="1121"/>
      <c r="AO65" s="2473" t="s">
        <v>981</v>
      </c>
      <c r="AP65" s="2162"/>
      <c r="BG65" s="2396"/>
      <c r="BH65" s="2038"/>
      <c r="BI65" s="2038"/>
      <c r="BJ65" s="2038"/>
      <c r="BK65" s="2038"/>
      <c r="BL65" s="2038"/>
      <c r="BM65" s="2038"/>
      <c r="BN65" s="2038"/>
      <c r="BO65" s="2038"/>
      <c r="BP65" s="2038"/>
    </row>
    <row r="66" spans="1:69" ht="12.75" customHeight="1">
      <c r="A66" s="2162"/>
      <c r="B66" s="878" t="s">
        <v>2736</v>
      </c>
      <c r="C66" s="878"/>
      <c r="D66" s="878"/>
      <c r="E66" s="878"/>
      <c r="F66" s="878"/>
      <c r="G66" s="878"/>
      <c r="H66" s="878" t="s">
        <v>2737</v>
      </c>
      <c r="I66" s="878"/>
      <c r="J66" s="808"/>
      <c r="K66" s="808"/>
      <c r="L66" s="808"/>
      <c r="M66" s="808"/>
      <c r="N66" s="808"/>
      <c r="O66" s="808"/>
      <c r="P66" s="808"/>
      <c r="Q66" s="808"/>
      <c r="R66" s="808"/>
      <c r="S66" s="808"/>
      <c r="T66" s="808"/>
      <c r="U66" s="808"/>
      <c r="V66" s="808"/>
      <c r="W66" s="808"/>
      <c r="X66" s="808"/>
      <c r="Y66" s="808"/>
      <c r="Z66" s="808"/>
      <c r="AA66" s="808"/>
      <c r="AB66" s="808"/>
      <c r="AC66" s="808"/>
      <c r="AD66" s="808"/>
      <c r="AE66" s="808"/>
      <c r="AF66" s="7486" t="s">
        <v>586</v>
      </c>
      <c r="AG66" s="7487"/>
      <c r="AH66" s="7487"/>
      <c r="AI66" s="7487"/>
      <c r="AJ66" s="7487"/>
      <c r="AK66" s="7487"/>
      <c r="AL66" s="7487"/>
      <c r="AM66" s="7487"/>
      <c r="AN66" s="7487"/>
      <c r="AO66" s="7487"/>
      <c r="AP66" s="2162"/>
      <c r="AR66" s="902" t="b">
        <f>OR(AND(AF67&lt;&gt;"",AF67=AG8),AND(B8&lt;&gt;"",B67&lt;&gt;""))</f>
        <v>0</v>
      </c>
      <c r="BG66" s="2396"/>
      <c r="BH66" s="2038"/>
      <c r="BI66" s="2038"/>
      <c r="BJ66" s="2038"/>
      <c r="BK66" s="2038"/>
      <c r="BL66" s="2038"/>
      <c r="BM66" s="2038"/>
      <c r="BN66" s="2038"/>
      <c r="BO66" s="2038"/>
      <c r="BP66" s="2038"/>
    </row>
    <row r="67" spans="1:69" ht="16.5" customHeight="1">
      <c r="A67" s="2162"/>
      <c r="B67" s="7382"/>
      <c r="C67" s="7382"/>
      <c r="D67" s="7382"/>
      <c r="E67" s="7382"/>
      <c r="F67" s="7382"/>
      <c r="G67" s="7382"/>
      <c r="H67" s="7382"/>
      <c r="I67" s="7382"/>
      <c r="J67" s="7382"/>
      <c r="K67" s="7382"/>
      <c r="L67" s="7382"/>
      <c r="M67" s="7382"/>
      <c r="N67" s="7382"/>
      <c r="O67" s="7382"/>
      <c r="P67" s="7382"/>
      <c r="Q67" s="7382"/>
      <c r="R67" s="7382"/>
      <c r="S67" s="7382"/>
      <c r="T67" s="7382"/>
      <c r="U67" s="7382"/>
      <c r="V67" s="7382"/>
      <c r="W67" s="7382"/>
      <c r="X67" s="7382"/>
      <c r="Y67" s="7382"/>
      <c r="Z67" s="7382"/>
      <c r="AA67" s="7382"/>
      <c r="AB67" s="7382"/>
      <c r="AC67" s="7382"/>
      <c r="AD67" s="7382"/>
      <c r="AE67" s="7383"/>
      <c r="AF67" s="6498"/>
      <c r="AG67" s="7381"/>
      <c r="AH67" s="7381"/>
      <c r="AI67" s="7381"/>
      <c r="AJ67" s="7381"/>
      <c r="AK67" s="7381"/>
      <c r="AL67" s="7381"/>
      <c r="AM67" s="7381"/>
      <c r="AN67" s="7381"/>
      <c r="AO67" s="7381"/>
      <c r="AP67" s="2406"/>
      <c r="AQ67" s="1998" t="str">
        <f>IF($AR66,"Hide emphasis.","")</f>
        <v/>
      </c>
      <c r="AR67" s="1998"/>
      <c r="BG67" s="2396"/>
      <c r="BH67" s="2038"/>
      <c r="BI67" s="2038"/>
      <c r="BJ67" s="2038"/>
      <c r="BK67" s="2038"/>
      <c r="BL67" s="2038"/>
      <c r="BM67" s="2038"/>
      <c r="BN67" s="2038"/>
      <c r="BO67" s="2038"/>
      <c r="BP67" s="2038"/>
    </row>
    <row r="68" spans="1:69" ht="15" customHeight="1">
      <c r="A68" s="2162"/>
      <c r="B68" s="2112" t="s">
        <v>2738</v>
      </c>
      <c r="C68" s="808"/>
      <c r="D68" s="808"/>
      <c r="E68" s="808"/>
      <c r="F68" s="808"/>
      <c r="G68" s="808"/>
      <c r="H68" s="808"/>
      <c r="I68" s="808"/>
      <c r="J68" s="808"/>
      <c r="K68" s="808"/>
      <c r="L68" s="808"/>
      <c r="M68" s="808"/>
      <c r="N68" s="808"/>
      <c r="O68" s="808"/>
      <c r="P68" s="808"/>
      <c r="Q68" s="808"/>
      <c r="R68" s="808"/>
      <c r="S68" s="808"/>
      <c r="T68" s="808"/>
      <c r="U68" s="808"/>
      <c r="V68" s="808"/>
      <c r="W68" s="808"/>
      <c r="X68" s="808"/>
      <c r="Y68" s="808"/>
      <c r="Z68" s="808"/>
      <c r="AA68" s="808"/>
      <c r="AB68" s="808"/>
      <c r="AC68" s="808"/>
      <c r="AD68" s="808"/>
      <c r="AE68" s="808"/>
      <c r="AF68" s="808"/>
      <c r="AG68" s="808"/>
      <c r="AH68" s="808"/>
      <c r="AI68" s="808"/>
      <c r="AJ68" s="808"/>
      <c r="AK68" s="808"/>
      <c r="AL68" s="808"/>
      <c r="AM68" s="808"/>
      <c r="AN68" s="808"/>
      <c r="AO68" s="808"/>
      <c r="AP68" s="2162"/>
      <c r="BG68" s="2396"/>
      <c r="BH68" s="2038"/>
      <c r="BI68" s="2038"/>
      <c r="BJ68" s="2038"/>
      <c r="BK68" s="2038"/>
      <c r="BL68" s="2038"/>
      <c r="BM68" s="2038"/>
      <c r="BN68" s="2038"/>
      <c r="BO68" s="2038"/>
      <c r="BP68" s="2038"/>
    </row>
    <row r="69" spans="1:69" s="2114" customFormat="1" ht="17.25" customHeight="1">
      <c r="A69" s="2163"/>
      <c r="B69" s="7384" t="s">
        <v>982</v>
      </c>
      <c r="C69" s="7384"/>
      <c r="D69" s="7385"/>
      <c r="E69" s="997"/>
      <c r="F69" s="4968" t="s">
        <v>2739</v>
      </c>
      <c r="G69" s="997"/>
      <c r="H69" s="997"/>
      <c r="I69" s="997"/>
      <c r="J69" s="997"/>
      <c r="K69" s="997"/>
      <c r="L69" s="997"/>
      <c r="M69" s="997"/>
      <c r="N69" s="997"/>
      <c r="O69" s="997"/>
      <c r="P69" s="997"/>
      <c r="Q69" s="997"/>
      <c r="R69" s="997"/>
      <c r="S69" s="997"/>
      <c r="T69" s="997"/>
      <c r="U69" s="997"/>
      <c r="V69" s="997"/>
      <c r="W69" s="997"/>
      <c r="X69" s="2440"/>
      <c r="Y69" s="997"/>
      <c r="Z69" s="997"/>
      <c r="AA69" s="997"/>
      <c r="AB69" s="997"/>
      <c r="AC69" s="997"/>
      <c r="AD69" s="997"/>
      <c r="AE69" s="997"/>
      <c r="AF69" s="997"/>
      <c r="AG69" s="997"/>
      <c r="AH69" s="997"/>
      <c r="AI69" s="997"/>
      <c r="AJ69" s="997"/>
      <c r="AK69" s="997"/>
      <c r="AL69" s="997"/>
      <c r="AM69" s="997"/>
      <c r="AN69" s="997"/>
      <c r="AO69" s="997"/>
      <c r="AP69" s="2162"/>
      <c r="AX69" s="39"/>
      <c r="AY69" s="39"/>
      <c r="AZ69" s="39"/>
      <c r="BA69" s="39"/>
      <c r="BB69" s="39"/>
      <c r="BC69" s="39"/>
      <c r="BD69" s="39"/>
      <c r="BG69" s="2396"/>
      <c r="BH69" s="2038"/>
      <c r="BI69" s="2038"/>
      <c r="BJ69" s="2038"/>
      <c r="BK69" s="2038"/>
      <c r="BL69" s="2038"/>
      <c r="BM69" s="2038"/>
      <c r="BN69" s="2038"/>
      <c r="BO69" s="2038"/>
      <c r="BP69" s="2038"/>
      <c r="BQ69" s="2690"/>
    </row>
    <row r="70" spans="1:69" ht="12.75" customHeight="1">
      <c r="A70" s="2162"/>
      <c r="B70" s="808"/>
      <c r="C70" s="808"/>
      <c r="D70" s="808"/>
      <c r="E70" s="808"/>
      <c r="F70" s="892" t="s">
        <v>2740</v>
      </c>
      <c r="G70" s="808"/>
      <c r="H70" s="808"/>
      <c r="I70" s="808"/>
      <c r="J70" s="808"/>
      <c r="K70" s="808"/>
      <c r="L70" s="808"/>
      <c r="M70" s="808"/>
      <c r="N70" s="808"/>
      <c r="O70" s="808"/>
      <c r="P70" s="808"/>
      <c r="Q70" s="808"/>
      <c r="R70" s="808"/>
      <c r="S70" s="808"/>
      <c r="T70" s="808"/>
      <c r="U70" s="808"/>
      <c r="V70" s="808"/>
      <c r="W70" s="808"/>
      <c r="X70" s="808"/>
      <c r="Y70" s="808"/>
      <c r="Z70" s="808"/>
      <c r="AA70" s="808"/>
      <c r="AB70" s="808"/>
      <c r="AC70" s="808"/>
      <c r="AD70" s="808"/>
      <c r="AE70" s="808"/>
      <c r="AF70" s="808"/>
      <c r="AG70" s="808"/>
      <c r="AH70" s="808"/>
      <c r="AI70" s="808"/>
      <c r="AJ70" s="808"/>
      <c r="AK70" s="808"/>
      <c r="AL70" s="808"/>
      <c r="AM70" s="808"/>
      <c r="AN70" s="808"/>
      <c r="AO70" s="808"/>
      <c r="AP70" s="2162"/>
      <c r="BG70" s="2396"/>
      <c r="BH70" s="2038"/>
      <c r="BI70" s="2038"/>
      <c r="BJ70" s="2038"/>
      <c r="BK70" s="2038"/>
      <c r="BL70" s="2038"/>
      <c r="BM70" s="2038"/>
      <c r="BN70" s="2038"/>
      <c r="BO70" s="2038"/>
      <c r="BP70" s="2038"/>
    </row>
    <row r="71" spans="1:69" ht="12.75" customHeight="1">
      <c r="A71" s="2162"/>
      <c r="B71" s="808"/>
      <c r="C71" s="808"/>
      <c r="D71" s="808"/>
      <c r="E71" s="808"/>
      <c r="F71" s="892" t="s">
        <v>2741</v>
      </c>
      <c r="G71" s="808"/>
      <c r="H71" s="808"/>
      <c r="I71" s="808"/>
      <c r="J71" s="808"/>
      <c r="K71" s="808"/>
      <c r="L71" s="808"/>
      <c r="M71" s="808"/>
      <c r="N71" s="808"/>
      <c r="O71" s="808"/>
      <c r="P71" s="808"/>
      <c r="Q71" s="808"/>
      <c r="R71" s="808"/>
      <c r="S71" s="808"/>
      <c r="T71" s="808"/>
      <c r="U71" s="808"/>
      <c r="V71" s="808"/>
      <c r="W71" s="808"/>
      <c r="X71" s="808"/>
      <c r="Y71" s="808"/>
      <c r="Z71" s="808"/>
      <c r="AA71" s="808"/>
      <c r="AB71" s="808"/>
      <c r="AC71" s="808"/>
      <c r="AD71" s="808"/>
      <c r="AE71" s="808"/>
      <c r="AF71" s="808"/>
      <c r="AG71" s="808"/>
      <c r="AH71" s="808"/>
      <c r="AI71" s="808"/>
      <c r="AJ71" s="808"/>
      <c r="AK71" s="808"/>
      <c r="AL71" s="808"/>
      <c r="AM71" s="808"/>
      <c r="AN71" s="808"/>
      <c r="AO71" s="808"/>
      <c r="AP71" s="2162"/>
      <c r="AX71" s="2114"/>
      <c r="AY71" s="2114"/>
      <c r="AZ71" s="2114"/>
      <c r="BA71" s="2114"/>
      <c r="BB71" s="2114"/>
      <c r="BC71" s="2114"/>
      <c r="BD71" s="2114"/>
      <c r="BG71" s="2396"/>
      <c r="BH71" s="2038"/>
      <c r="BI71" s="2038"/>
      <c r="BJ71" s="2038"/>
      <c r="BK71" s="2038"/>
      <c r="BL71" s="2038"/>
      <c r="BM71" s="2038"/>
      <c r="BN71" s="2038"/>
      <c r="BO71" s="2038"/>
      <c r="BP71" s="2038"/>
    </row>
    <row r="72" spans="1:69" ht="12.75" customHeight="1">
      <c r="A72" s="2162"/>
      <c r="B72" s="1121"/>
      <c r="C72" s="1121"/>
      <c r="D72" s="1121"/>
      <c r="E72" s="1121"/>
      <c r="F72" s="1260" t="s">
        <v>2742</v>
      </c>
      <c r="G72" s="1121"/>
      <c r="H72" s="1121"/>
      <c r="I72" s="1121"/>
      <c r="J72" s="1121"/>
      <c r="K72" s="1121"/>
      <c r="L72" s="1121"/>
      <c r="M72" s="1121"/>
      <c r="N72" s="1121"/>
      <c r="O72" s="1121"/>
      <c r="P72" s="1121"/>
      <c r="Q72" s="1121"/>
      <c r="R72" s="1121"/>
      <c r="S72" s="1121"/>
      <c r="T72" s="1121"/>
      <c r="U72" s="1121"/>
      <c r="V72" s="1121"/>
      <c r="W72" s="1121"/>
      <c r="X72" s="1121"/>
      <c r="Y72" s="1121"/>
      <c r="Z72" s="1121"/>
      <c r="AA72" s="1121"/>
      <c r="AB72" s="1121"/>
      <c r="AC72" s="1121"/>
      <c r="AD72" s="1121"/>
      <c r="AE72" s="1121"/>
      <c r="AF72" s="1121"/>
      <c r="AG72" s="1121"/>
      <c r="AH72" s="1121"/>
      <c r="AI72" s="1121"/>
      <c r="AJ72" s="1121"/>
      <c r="AK72" s="1121"/>
      <c r="AL72" s="1121"/>
      <c r="AM72" s="1121"/>
      <c r="AN72" s="1121"/>
      <c r="AO72" s="1121"/>
      <c r="AP72" s="2162"/>
      <c r="BG72" s="2396"/>
      <c r="BH72" s="2038"/>
      <c r="BI72" s="2038"/>
      <c r="BJ72" s="2038"/>
      <c r="BK72" s="2038"/>
      <c r="BL72" s="2038"/>
      <c r="BM72" s="2038"/>
      <c r="BN72" s="2038"/>
      <c r="BO72" s="2038"/>
      <c r="BP72" s="2038"/>
    </row>
    <row r="73" spans="1:69" ht="18.75" customHeight="1">
      <c r="A73" s="2162"/>
      <c r="B73" s="7390">
        <v>27</v>
      </c>
      <c r="C73" s="6466"/>
      <c r="D73" s="808"/>
      <c r="E73" s="2112" t="s">
        <v>2743</v>
      </c>
      <c r="F73" s="892"/>
      <c r="G73" s="808"/>
      <c r="H73" s="808"/>
      <c r="I73" s="808"/>
      <c r="J73" s="808"/>
      <c r="K73" s="808"/>
      <c r="L73" s="808"/>
      <c r="M73" s="808"/>
      <c r="N73" s="808"/>
      <c r="O73" s="808"/>
      <c r="P73" s="808"/>
      <c r="Q73" s="808"/>
      <c r="R73" s="808"/>
      <c r="S73" s="808"/>
      <c r="T73" s="808"/>
      <c r="U73" s="808"/>
      <c r="V73" s="808"/>
      <c r="W73" s="808"/>
      <c r="X73" s="808"/>
      <c r="Y73" s="808"/>
      <c r="Z73" s="808"/>
      <c r="AA73" s="808"/>
      <c r="AB73" s="808"/>
      <c r="AC73" s="808"/>
      <c r="AD73" s="808"/>
      <c r="AE73" s="808"/>
      <c r="AF73" s="808"/>
      <c r="AG73" s="808"/>
      <c r="AH73" s="808"/>
      <c r="AI73" s="808"/>
      <c r="AJ73" s="808"/>
      <c r="AK73" s="808"/>
      <c r="AL73" s="808"/>
      <c r="AM73" s="808"/>
      <c r="AN73" s="808"/>
      <c r="AO73" s="808"/>
      <c r="AP73" s="2162"/>
      <c r="BG73" s="2396"/>
      <c r="BH73" s="2038"/>
      <c r="BI73" s="2038"/>
      <c r="BJ73" s="2038"/>
      <c r="BK73" s="2038"/>
      <c r="BL73" s="2038"/>
      <c r="BM73" s="2038"/>
      <c r="BN73" s="2038"/>
      <c r="BO73" s="2038"/>
      <c r="BP73" s="2038"/>
    </row>
    <row r="74" spans="1:69" ht="12.75" customHeight="1">
      <c r="A74" s="2162"/>
      <c r="B74" s="2358"/>
      <c r="C74" s="1252"/>
      <c r="D74" s="808"/>
      <c r="E74" s="2112" t="s">
        <v>2744</v>
      </c>
      <c r="F74" s="892"/>
      <c r="G74" s="808"/>
      <c r="H74" s="808"/>
      <c r="I74" s="808"/>
      <c r="J74" s="808"/>
      <c r="K74" s="808"/>
      <c r="L74" s="808"/>
      <c r="M74" s="808"/>
      <c r="N74" s="808"/>
      <c r="O74" s="808"/>
      <c r="P74" s="808"/>
      <c r="Q74" s="808"/>
      <c r="R74" s="808"/>
      <c r="S74" s="808"/>
      <c r="T74" s="808"/>
      <c r="U74" s="808"/>
      <c r="V74" s="808"/>
      <c r="W74" s="808"/>
      <c r="X74" s="808"/>
      <c r="Y74" s="808"/>
      <c r="Z74" s="808"/>
      <c r="AA74" s="808"/>
      <c r="AB74" s="808"/>
      <c r="AC74" s="808"/>
      <c r="AD74" s="808"/>
      <c r="AE74" s="808"/>
      <c r="AF74" s="808"/>
      <c r="AG74" s="808"/>
      <c r="AH74" s="808"/>
      <c r="AI74" s="808"/>
      <c r="AJ74" s="808"/>
      <c r="AK74" s="808"/>
      <c r="AL74" s="808"/>
      <c r="AM74" s="808"/>
      <c r="AN74" s="808"/>
      <c r="AO74" s="808"/>
      <c r="AP74" s="2162"/>
      <c r="BG74" s="2396"/>
      <c r="BH74" s="2038"/>
      <c r="BI74" s="2038"/>
      <c r="BJ74" s="2038"/>
      <c r="BK74" s="2038"/>
      <c r="BL74" s="2038"/>
      <c r="BM74" s="2038"/>
      <c r="BN74" s="2038"/>
      <c r="BO74" s="2038"/>
      <c r="BP74" s="2038"/>
    </row>
    <row r="75" spans="1:69" ht="12.75" customHeight="1">
      <c r="A75" s="2162"/>
      <c r="B75" s="808"/>
      <c r="C75" s="808"/>
      <c r="D75" s="808"/>
      <c r="E75" s="2112" t="s">
        <v>2745</v>
      </c>
      <c r="F75" s="892"/>
      <c r="G75" s="808"/>
      <c r="H75" s="808"/>
      <c r="I75" s="808"/>
      <c r="J75" s="808"/>
      <c r="K75" s="808"/>
      <c r="L75" s="808"/>
      <c r="M75" s="808"/>
      <c r="N75" s="808"/>
      <c r="O75" s="808"/>
      <c r="P75" s="808"/>
      <c r="Q75" s="808"/>
      <c r="R75" s="808"/>
      <c r="S75" s="808"/>
      <c r="T75" s="808"/>
      <c r="U75" s="808"/>
      <c r="V75" s="808"/>
      <c r="W75" s="808"/>
      <c r="X75" s="808"/>
      <c r="Y75" s="808"/>
      <c r="Z75" s="808"/>
      <c r="AA75" s="808"/>
      <c r="AB75" s="808"/>
      <c r="AC75" s="808"/>
      <c r="AD75" s="808"/>
      <c r="AE75" s="808"/>
      <c r="AF75" s="808"/>
      <c r="AG75" s="808"/>
      <c r="AH75" s="808"/>
      <c r="AI75" s="2760" t="s">
        <v>646</v>
      </c>
      <c r="AJ75" s="809"/>
      <c r="AK75" s="2185" t="s">
        <v>2668</v>
      </c>
      <c r="AL75" s="1823"/>
      <c r="AM75" s="809"/>
      <c r="AN75" s="2185" t="s">
        <v>2669</v>
      </c>
      <c r="AO75" s="1823"/>
      <c r="AP75" s="2162"/>
      <c r="BG75" s="2396"/>
      <c r="BH75" s="2038"/>
      <c r="BI75" s="2038"/>
      <c r="BJ75" s="2038"/>
      <c r="BK75" s="2038"/>
      <c r="BL75" s="2038"/>
      <c r="BM75" s="2038"/>
      <c r="BN75" s="2038"/>
      <c r="BO75" s="2038"/>
      <c r="BP75" s="2038"/>
    </row>
    <row r="76" spans="1:69" ht="4.5" customHeight="1">
      <c r="A76" s="2162"/>
      <c r="B76" s="1121"/>
      <c r="C76" s="1121"/>
      <c r="D76" s="1121"/>
      <c r="E76" s="1121"/>
      <c r="F76" s="1260"/>
      <c r="G76" s="1121"/>
      <c r="H76" s="1121"/>
      <c r="I76" s="1121"/>
      <c r="J76" s="1121"/>
      <c r="K76" s="1121"/>
      <c r="L76" s="1121"/>
      <c r="M76" s="1121"/>
      <c r="N76" s="1121"/>
      <c r="O76" s="1121"/>
      <c r="P76" s="1121"/>
      <c r="Q76" s="1121"/>
      <c r="R76" s="1121"/>
      <c r="S76" s="1121"/>
      <c r="T76" s="1121"/>
      <c r="U76" s="1121"/>
      <c r="V76" s="1121"/>
      <c r="W76" s="1121"/>
      <c r="X76" s="1121"/>
      <c r="Y76" s="1121"/>
      <c r="Z76" s="1121"/>
      <c r="AA76" s="1121"/>
      <c r="AB76" s="1121"/>
      <c r="AC76" s="1121"/>
      <c r="AD76" s="1121"/>
      <c r="AE76" s="1121"/>
      <c r="AF76" s="1121"/>
      <c r="AG76" s="1121"/>
      <c r="AH76" s="1121"/>
      <c r="AI76" s="1121"/>
      <c r="AJ76" s="1121"/>
      <c r="AK76" s="1121"/>
      <c r="AL76" s="1121"/>
      <c r="AM76" s="1121"/>
      <c r="AN76" s="1121"/>
      <c r="AO76" s="1121"/>
      <c r="AP76" s="2162"/>
      <c r="BG76" s="2396"/>
      <c r="BH76" s="2038"/>
      <c r="BI76" s="2038"/>
      <c r="BJ76" s="2038"/>
      <c r="BK76" s="2038"/>
      <c r="BL76" s="2038"/>
      <c r="BM76" s="2038"/>
      <c r="BN76" s="2038"/>
      <c r="BO76" s="2038"/>
      <c r="BP76" s="2038"/>
    </row>
    <row r="77" spans="1:69" ht="12.75" customHeight="1">
      <c r="A77" s="2162"/>
      <c r="B77" s="808"/>
      <c r="C77" s="808"/>
      <c r="D77" s="808"/>
      <c r="E77" s="808"/>
      <c r="F77" s="892"/>
      <c r="G77" s="808"/>
      <c r="H77" s="808"/>
      <c r="I77" s="808"/>
      <c r="J77" s="808"/>
      <c r="K77" s="808"/>
      <c r="L77" s="808"/>
      <c r="M77" s="808"/>
      <c r="N77" s="808"/>
      <c r="O77" s="7396" t="s">
        <v>2746</v>
      </c>
      <c r="P77" s="7397"/>
      <c r="Q77" s="7397"/>
      <c r="R77" s="7397"/>
      <c r="S77" s="7398"/>
      <c r="T77" s="7396" t="s">
        <v>2747</v>
      </c>
      <c r="U77" s="7397"/>
      <c r="V77" s="7397"/>
      <c r="W77" s="7397"/>
      <c r="X77" s="7398"/>
      <c r="Y77" s="7396" t="s">
        <v>2748</v>
      </c>
      <c r="Z77" s="7397"/>
      <c r="AA77" s="7397"/>
      <c r="AB77" s="7397"/>
      <c r="AC77" s="7397"/>
      <c r="AD77" s="7397"/>
      <c r="AE77" s="7398"/>
      <c r="AF77" s="7396" t="s">
        <v>2749</v>
      </c>
      <c r="AG77" s="7397"/>
      <c r="AH77" s="7397"/>
      <c r="AI77" s="7397"/>
      <c r="AJ77" s="7398"/>
      <c r="AK77" s="7396" t="s">
        <v>2750</v>
      </c>
      <c r="AL77" s="7397"/>
      <c r="AM77" s="7397"/>
      <c r="AN77" s="7397"/>
      <c r="AO77" s="7397"/>
      <c r="AP77" s="2162"/>
      <c r="BG77" s="2396"/>
      <c r="BH77" s="2038"/>
      <c r="BI77" s="2038"/>
      <c r="BJ77" s="2038"/>
      <c r="BK77" s="2038"/>
      <c r="BL77" s="2038"/>
      <c r="BM77" s="2038"/>
      <c r="BN77" s="2038"/>
      <c r="BO77" s="2038"/>
      <c r="BP77" s="2038"/>
    </row>
    <row r="78" spans="1:69" ht="12.75" customHeight="1">
      <c r="A78" s="2162"/>
      <c r="B78" s="7390">
        <v>28</v>
      </c>
      <c r="C78" s="6466"/>
      <c r="D78" s="808"/>
      <c r="E78" s="808"/>
      <c r="F78" s="808"/>
      <c r="G78" s="808"/>
      <c r="H78" s="892" t="s">
        <v>2751</v>
      </c>
      <c r="I78" s="808"/>
      <c r="J78" s="808"/>
      <c r="K78" s="808"/>
      <c r="L78" s="808"/>
      <c r="M78" s="808"/>
      <c r="N78" s="808"/>
      <c r="O78" s="7399"/>
      <c r="P78" s="7400"/>
      <c r="Q78" s="7400"/>
      <c r="R78" s="7400"/>
      <c r="S78" s="7401"/>
      <c r="T78" s="7399"/>
      <c r="U78" s="7400"/>
      <c r="V78" s="7400"/>
      <c r="W78" s="7400"/>
      <c r="X78" s="7401"/>
      <c r="Y78" s="7399"/>
      <c r="Z78" s="7400"/>
      <c r="AA78" s="7400"/>
      <c r="AB78" s="7400"/>
      <c r="AC78" s="7400"/>
      <c r="AD78" s="7400"/>
      <c r="AE78" s="7401"/>
      <c r="AF78" s="7399"/>
      <c r="AG78" s="7400"/>
      <c r="AH78" s="7400"/>
      <c r="AI78" s="7400"/>
      <c r="AJ78" s="7401"/>
      <c r="AK78" s="7399"/>
      <c r="AL78" s="7400"/>
      <c r="AM78" s="7400"/>
      <c r="AN78" s="7400"/>
      <c r="AO78" s="7400"/>
      <c r="AP78" s="2162"/>
      <c r="BG78" s="2396"/>
      <c r="BH78" s="2038"/>
      <c r="BI78" s="2038"/>
      <c r="BJ78" s="2038"/>
      <c r="BK78" s="2038"/>
      <c r="BL78" s="2038"/>
      <c r="BM78" s="2038"/>
      <c r="BN78" s="2038"/>
      <c r="BO78" s="2038"/>
      <c r="BP78" s="2038"/>
    </row>
    <row r="79" spans="1:69" ht="12.75" customHeight="1">
      <c r="A79" s="2162"/>
      <c r="B79" s="1121"/>
      <c r="C79" s="1121"/>
      <c r="D79" s="1121"/>
      <c r="E79" s="1121"/>
      <c r="F79" s="1121"/>
      <c r="G79" s="1121"/>
      <c r="H79" s="1121"/>
      <c r="I79" s="1121"/>
      <c r="J79" s="1121"/>
      <c r="K79" s="1121"/>
      <c r="L79" s="1121"/>
      <c r="M79" s="1121"/>
      <c r="N79" s="1121"/>
      <c r="O79" s="7402"/>
      <c r="P79" s="7403"/>
      <c r="Q79" s="7403"/>
      <c r="R79" s="7403"/>
      <c r="S79" s="7404"/>
      <c r="T79" s="7402"/>
      <c r="U79" s="7403"/>
      <c r="V79" s="7403"/>
      <c r="W79" s="7403"/>
      <c r="X79" s="7404"/>
      <c r="Y79" s="7402"/>
      <c r="Z79" s="7403"/>
      <c r="AA79" s="7403"/>
      <c r="AB79" s="7403"/>
      <c r="AC79" s="7403"/>
      <c r="AD79" s="7403"/>
      <c r="AE79" s="7404"/>
      <c r="AF79" s="7402"/>
      <c r="AG79" s="7403"/>
      <c r="AH79" s="7403"/>
      <c r="AI79" s="7403"/>
      <c r="AJ79" s="7404"/>
      <c r="AK79" s="7402"/>
      <c r="AL79" s="7403"/>
      <c r="AM79" s="7403"/>
      <c r="AN79" s="7403"/>
      <c r="AO79" s="7403"/>
      <c r="AP79" s="2162"/>
      <c r="BG79" s="2396"/>
      <c r="BH79" s="2038"/>
      <c r="BI79" s="2038"/>
      <c r="BJ79" s="2038"/>
      <c r="BK79" s="2038"/>
      <c r="BL79" s="2038"/>
      <c r="BM79" s="2038"/>
      <c r="BN79" s="2038"/>
      <c r="BO79" s="2038"/>
      <c r="BP79" s="2038"/>
    </row>
    <row r="80" spans="1:69" ht="13.5" customHeight="1">
      <c r="A80" s="2162"/>
      <c r="B80" s="2476" t="s">
        <v>542</v>
      </c>
      <c r="C80" s="7391"/>
      <c r="D80" s="7392"/>
      <c r="E80" s="7392"/>
      <c r="F80" s="7392"/>
      <c r="G80" s="7392"/>
      <c r="H80" s="7392"/>
      <c r="I80" s="7392"/>
      <c r="J80" s="7392"/>
      <c r="K80" s="7392"/>
      <c r="L80" s="7392"/>
      <c r="M80" s="7392"/>
      <c r="N80" s="7393"/>
      <c r="O80" s="6668"/>
      <c r="P80" s="7394"/>
      <c r="Q80" s="7394"/>
      <c r="R80" s="7394"/>
      <c r="S80" s="7395"/>
      <c r="T80" s="2474"/>
      <c r="U80" s="1122"/>
      <c r="V80" s="809"/>
      <c r="W80" s="1122"/>
      <c r="X80" s="2475"/>
      <c r="Y80" s="7360"/>
      <c r="Z80" s="7361"/>
      <c r="AA80" s="7361"/>
      <c r="AB80" s="7361"/>
      <c r="AC80" s="7361"/>
      <c r="AD80" s="7361"/>
      <c r="AE80" s="7362"/>
      <c r="AF80" s="2474"/>
      <c r="AG80" s="1122"/>
      <c r="AH80" s="809"/>
      <c r="AI80" s="1122"/>
      <c r="AJ80" s="2475"/>
      <c r="AK80" s="2474"/>
      <c r="AL80" s="1122"/>
      <c r="AM80" s="809"/>
      <c r="AN80" s="1122"/>
      <c r="AO80" s="1122"/>
      <c r="AP80" s="2162"/>
      <c r="BG80" s="2396"/>
      <c r="BH80" s="2038"/>
      <c r="BI80" s="2038"/>
      <c r="BJ80" s="2038"/>
      <c r="BK80" s="2038"/>
      <c r="BL80" s="2038"/>
      <c r="BM80" s="2038"/>
      <c r="BN80" s="2038"/>
      <c r="BO80" s="2038"/>
      <c r="BP80" s="2038"/>
    </row>
    <row r="81" spans="1:68" ht="13.5" customHeight="1">
      <c r="A81" s="2162"/>
      <c r="B81" s="2476" t="s">
        <v>548</v>
      </c>
      <c r="C81" s="7391"/>
      <c r="D81" s="7392"/>
      <c r="E81" s="7392"/>
      <c r="F81" s="7392"/>
      <c r="G81" s="7392"/>
      <c r="H81" s="7392"/>
      <c r="I81" s="7392"/>
      <c r="J81" s="7392"/>
      <c r="K81" s="7392"/>
      <c r="L81" s="7392"/>
      <c r="M81" s="7392"/>
      <c r="N81" s="7393"/>
      <c r="O81" s="6668"/>
      <c r="P81" s="7394"/>
      <c r="Q81" s="7394"/>
      <c r="R81" s="7394"/>
      <c r="S81" s="7395"/>
      <c r="T81" s="2474"/>
      <c r="U81" s="1122"/>
      <c r="V81" s="809"/>
      <c r="W81" s="1122"/>
      <c r="X81" s="2475"/>
      <c r="Y81" s="7360"/>
      <c r="Z81" s="7361"/>
      <c r="AA81" s="7361"/>
      <c r="AB81" s="7361"/>
      <c r="AC81" s="7361"/>
      <c r="AD81" s="7361"/>
      <c r="AE81" s="7362"/>
      <c r="AF81" s="2474"/>
      <c r="AG81" s="1122"/>
      <c r="AH81" s="809"/>
      <c r="AI81" s="1122"/>
      <c r="AJ81" s="2475"/>
      <c r="AK81" s="2474"/>
      <c r="AL81" s="1122"/>
      <c r="AM81" s="809"/>
      <c r="AN81" s="1122"/>
      <c r="AO81" s="1122"/>
      <c r="AP81" s="2162"/>
      <c r="BG81" s="2396"/>
      <c r="BH81" s="2038"/>
      <c r="BI81" s="2038"/>
      <c r="BJ81" s="2038"/>
      <c r="BK81" s="2038"/>
      <c r="BL81" s="2038"/>
      <c r="BM81" s="2038"/>
      <c r="BN81" s="2038"/>
      <c r="BO81" s="2038"/>
      <c r="BP81" s="2038"/>
    </row>
    <row r="82" spans="1:68" ht="13.5" customHeight="1">
      <c r="A82" s="2162"/>
      <c r="B82" s="2476" t="s">
        <v>550</v>
      </c>
      <c r="C82" s="7391"/>
      <c r="D82" s="7392"/>
      <c r="E82" s="7392"/>
      <c r="F82" s="7392"/>
      <c r="G82" s="7392"/>
      <c r="H82" s="7392"/>
      <c r="I82" s="7392"/>
      <c r="J82" s="7392"/>
      <c r="K82" s="7392"/>
      <c r="L82" s="7392"/>
      <c r="M82" s="7392"/>
      <c r="N82" s="7393"/>
      <c r="O82" s="6668"/>
      <c r="P82" s="7394"/>
      <c r="Q82" s="7394"/>
      <c r="R82" s="7394"/>
      <c r="S82" s="7395"/>
      <c r="T82" s="2474"/>
      <c r="U82" s="1122"/>
      <c r="V82" s="809"/>
      <c r="W82" s="1122"/>
      <c r="X82" s="2475"/>
      <c r="Y82" s="7360"/>
      <c r="Z82" s="7361"/>
      <c r="AA82" s="7361"/>
      <c r="AB82" s="7361"/>
      <c r="AC82" s="7361"/>
      <c r="AD82" s="7361"/>
      <c r="AE82" s="7362"/>
      <c r="AF82" s="2474"/>
      <c r="AG82" s="1122"/>
      <c r="AH82" s="809"/>
      <c r="AI82" s="1122"/>
      <c r="AJ82" s="2475"/>
      <c r="AK82" s="2474"/>
      <c r="AL82" s="1122"/>
      <c r="AM82" s="809"/>
      <c r="AN82" s="1122"/>
      <c r="AO82" s="1122"/>
      <c r="AP82" s="2162"/>
      <c r="BG82" s="2396"/>
      <c r="BH82" s="2038"/>
      <c r="BI82" s="2038"/>
      <c r="BJ82" s="2038"/>
      <c r="BK82" s="2038"/>
      <c r="BL82" s="2038"/>
      <c r="BM82" s="2038"/>
      <c r="BN82" s="2038"/>
      <c r="BO82" s="2038"/>
      <c r="BP82" s="2038"/>
    </row>
    <row r="83" spans="1:68" ht="13.5" customHeight="1">
      <c r="A83" s="2162"/>
      <c r="B83" s="2476" t="s">
        <v>553</v>
      </c>
      <c r="C83" s="7391"/>
      <c r="D83" s="7392"/>
      <c r="E83" s="7392"/>
      <c r="F83" s="7392"/>
      <c r="G83" s="7392"/>
      <c r="H83" s="7392"/>
      <c r="I83" s="7392"/>
      <c r="J83" s="7392"/>
      <c r="K83" s="7392"/>
      <c r="L83" s="7392"/>
      <c r="M83" s="7392"/>
      <c r="N83" s="7393"/>
      <c r="O83" s="6668"/>
      <c r="P83" s="7394"/>
      <c r="Q83" s="7394"/>
      <c r="R83" s="7394"/>
      <c r="S83" s="7395"/>
      <c r="T83" s="2474"/>
      <c r="U83" s="1122"/>
      <c r="V83" s="809"/>
      <c r="W83" s="1122"/>
      <c r="X83" s="2475"/>
      <c r="Y83" s="7360"/>
      <c r="Z83" s="7361"/>
      <c r="AA83" s="7361"/>
      <c r="AB83" s="7361"/>
      <c r="AC83" s="7361"/>
      <c r="AD83" s="7361"/>
      <c r="AE83" s="7362"/>
      <c r="AF83" s="2474"/>
      <c r="AG83" s="1122"/>
      <c r="AH83" s="809"/>
      <c r="AI83" s="1122"/>
      <c r="AJ83" s="2475"/>
      <c r="AK83" s="2474"/>
      <c r="AL83" s="1122"/>
      <c r="AM83" s="809"/>
      <c r="AN83" s="1122"/>
      <c r="AO83" s="1122"/>
      <c r="AP83" s="2162"/>
      <c r="BG83" s="2396"/>
      <c r="BH83" s="2038"/>
      <c r="BI83" s="2038"/>
      <c r="BJ83" s="2038"/>
      <c r="BK83" s="2038"/>
      <c r="BL83" s="2038"/>
      <c r="BM83" s="2038"/>
      <c r="BN83" s="2038"/>
      <c r="BO83" s="2038"/>
      <c r="BP83" s="2038"/>
    </row>
    <row r="84" spans="1:68" ht="17.25" customHeight="1">
      <c r="A84" s="2162"/>
      <c r="B84" s="7364" t="s">
        <v>2752</v>
      </c>
      <c r="C84" s="7461"/>
      <c r="D84" s="7461"/>
      <c r="E84" s="7461"/>
      <c r="F84" s="7461"/>
      <c r="G84" s="7461"/>
      <c r="H84" s="7461"/>
      <c r="I84" s="7461"/>
      <c r="J84" s="7461"/>
      <c r="K84" s="7461"/>
      <c r="L84" s="7461"/>
      <c r="M84" s="7461"/>
      <c r="N84" s="7461"/>
      <c r="O84" s="7461"/>
      <c r="P84" s="7461"/>
      <c r="Q84" s="7461"/>
      <c r="R84" s="6844"/>
      <c r="S84" s="7379" t="s">
        <v>2753</v>
      </c>
      <c r="T84" s="7380"/>
      <c r="U84" s="7380"/>
      <c r="V84" s="7380"/>
      <c r="W84" s="7380"/>
      <c r="X84" s="7380"/>
      <c r="Y84" s="7380"/>
      <c r="Z84" s="7380"/>
      <c r="AA84" s="7380"/>
      <c r="AB84" s="7380"/>
      <c r="AC84" s="7380"/>
      <c r="AD84" s="7380"/>
      <c r="AE84" s="7380"/>
      <c r="AF84" s="7380"/>
      <c r="AG84" s="7380"/>
      <c r="AH84" s="7380"/>
      <c r="AI84" s="7380"/>
      <c r="AJ84" s="7380"/>
      <c r="AK84" s="7380"/>
      <c r="AL84" s="7380"/>
      <c r="AM84" s="7380"/>
      <c r="AN84" s="7380"/>
      <c r="AO84" s="7380"/>
      <c r="AP84" s="2162"/>
      <c r="BG84" s="2396"/>
      <c r="BH84" s="2038"/>
      <c r="BI84" s="2038"/>
      <c r="BJ84" s="2038"/>
      <c r="BK84" s="2038"/>
      <c r="BL84" s="2038"/>
      <c r="BM84" s="2038"/>
      <c r="BN84" s="2038"/>
      <c r="BO84" s="2038"/>
      <c r="BP84" s="2038"/>
    </row>
    <row r="85" spans="1:68" ht="12.75" customHeight="1">
      <c r="A85" s="2162"/>
      <c r="B85" s="1142"/>
      <c r="C85" s="7467" t="s">
        <v>2754</v>
      </c>
      <c r="D85" s="7374"/>
      <c r="E85" s="7374"/>
      <c r="F85" s="7374"/>
      <c r="G85" s="7374"/>
      <c r="H85" s="7374"/>
      <c r="I85" s="7374"/>
      <c r="J85" s="7468"/>
      <c r="K85" s="7373" t="s">
        <v>2755</v>
      </c>
      <c r="L85" s="7374"/>
      <c r="M85" s="7374"/>
      <c r="N85" s="7374"/>
      <c r="O85" s="7374"/>
      <c r="P85" s="7374"/>
      <c r="Q85" s="7374"/>
      <c r="R85" s="7374"/>
      <c r="S85" s="7471" t="s">
        <v>2756</v>
      </c>
      <c r="T85" s="7374"/>
      <c r="U85" s="7374"/>
      <c r="V85" s="7374"/>
      <c r="W85" s="7374"/>
      <c r="X85" s="7374"/>
      <c r="Y85" s="7468"/>
      <c r="Z85" s="7373" t="s">
        <v>2757</v>
      </c>
      <c r="AA85" s="7374"/>
      <c r="AB85" s="7374"/>
      <c r="AC85" s="7374"/>
      <c r="AD85" s="7374"/>
      <c r="AE85" s="7374"/>
      <c r="AF85" s="7374"/>
      <c r="AG85" s="7468"/>
      <c r="AH85" s="7373" t="s">
        <v>2758</v>
      </c>
      <c r="AI85" s="7374"/>
      <c r="AJ85" s="7374"/>
      <c r="AK85" s="7374"/>
      <c r="AL85" s="7374"/>
      <c r="AM85" s="7374"/>
      <c r="AN85" s="7374"/>
      <c r="AO85" s="7374"/>
      <c r="AP85" s="2162"/>
      <c r="BG85" s="2396"/>
      <c r="BH85" s="2038"/>
      <c r="BI85" s="2038"/>
      <c r="BJ85" s="2038"/>
      <c r="BK85" s="2038"/>
      <c r="BL85" s="2038"/>
      <c r="BM85" s="2038"/>
      <c r="BN85" s="2038"/>
      <c r="BO85" s="2038"/>
      <c r="BP85" s="2038"/>
    </row>
    <row r="86" spans="1:68" ht="12.75" customHeight="1">
      <c r="A86" s="2162"/>
      <c r="B86" s="808"/>
      <c r="C86" s="7376"/>
      <c r="D86" s="7376"/>
      <c r="E86" s="7376"/>
      <c r="F86" s="7376"/>
      <c r="G86" s="7376"/>
      <c r="H86" s="7376"/>
      <c r="I86" s="7376"/>
      <c r="J86" s="7469"/>
      <c r="K86" s="7375"/>
      <c r="L86" s="7376"/>
      <c r="M86" s="7376"/>
      <c r="N86" s="7376"/>
      <c r="O86" s="7376"/>
      <c r="P86" s="7376"/>
      <c r="Q86" s="7376"/>
      <c r="R86" s="7376"/>
      <c r="S86" s="7472"/>
      <c r="T86" s="7376"/>
      <c r="U86" s="7376"/>
      <c r="V86" s="7376"/>
      <c r="W86" s="7376"/>
      <c r="X86" s="7376"/>
      <c r="Y86" s="7469"/>
      <c r="Z86" s="7375"/>
      <c r="AA86" s="7376"/>
      <c r="AB86" s="7376"/>
      <c r="AC86" s="7376"/>
      <c r="AD86" s="7376"/>
      <c r="AE86" s="7376"/>
      <c r="AF86" s="7376"/>
      <c r="AG86" s="7469"/>
      <c r="AH86" s="7375"/>
      <c r="AI86" s="7376"/>
      <c r="AJ86" s="7376"/>
      <c r="AK86" s="7376"/>
      <c r="AL86" s="7376"/>
      <c r="AM86" s="7376"/>
      <c r="AN86" s="7376"/>
      <c r="AO86" s="7376"/>
      <c r="AP86" s="2162"/>
      <c r="BG86" s="2396"/>
      <c r="BH86" s="2038"/>
      <c r="BI86" s="2038"/>
      <c r="BJ86" s="2038"/>
      <c r="BK86" s="2038"/>
      <c r="BL86" s="2038"/>
      <c r="BM86" s="2038"/>
      <c r="BN86" s="2038"/>
      <c r="BO86" s="2038"/>
      <c r="BP86" s="2038"/>
    </row>
    <row r="87" spans="1:68" ht="12.75" customHeight="1">
      <c r="A87" s="2162"/>
      <c r="B87" s="1121"/>
      <c r="C87" s="7378"/>
      <c r="D87" s="7378"/>
      <c r="E87" s="7378"/>
      <c r="F87" s="7378"/>
      <c r="G87" s="7378"/>
      <c r="H87" s="7378"/>
      <c r="I87" s="7378"/>
      <c r="J87" s="7470"/>
      <c r="K87" s="7377"/>
      <c r="L87" s="7378"/>
      <c r="M87" s="7378"/>
      <c r="N87" s="7378"/>
      <c r="O87" s="7378"/>
      <c r="P87" s="7378"/>
      <c r="Q87" s="7378"/>
      <c r="R87" s="7378"/>
      <c r="S87" s="7473"/>
      <c r="T87" s="7378"/>
      <c r="U87" s="7378"/>
      <c r="V87" s="7378"/>
      <c r="W87" s="7378"/>
      <c r="X87" s="7378"/>
      <c r="Y87" s="7470"/>
      <c r="Z87" s="7377"/>
      <c r="AA87" s="7378"/>
      <c r="AB87" s="7378"/>
      <c r="AC87" s="7378"/>
      <c r="AD87" s="7378"/>
      <c r="AE87" s="7378"/>
      <c r="AF87" s="7378"/>
      <c r="AG87" s="7470"/>
      <c r="AH87" s="7377"/>
      <c r="AI87" s="7378"/>
      <c r="AJ87" s="7378"/>
      <c r="AK87" s="7378"/>
      <c r="AL87" s="7378"/>
      <c r="AM87" s="7378"/>
      <c r="AN87" s="7378"/>
      <c r="AO87" s="7378"/>
      <c r="AP87" s="2162"/>
      <c r="BG87" s="2396"/>
      <c r="BH87" s="2038"/>
      <c r="BI87" s="2038"/>
      <c r="BJ87" s="2038"/>
      <c r="BK87" s="2038"/>
      <c r="BL87" s="2038"/>
      <c r="BM87" s="2038"/>
      <c r="BN87" s="2038"/>
      <c r="BO87" s="2038"/>
      <c r="BP87" s="2038"/>
    </row>
    <row r="88" spans="1:68" ht="13.5" customHeight="1">
      <c r="A88" s="2162"/>
      <c r="B88" s="2477" t="s">
        <v>542</v>
      </c>
      <c r="C88" s="7388"/>
      <c r="D88" s="7389"/>
      <c r="E88" s="7389"/>
      <c r="F88" s="7389"/>
      <c r="G88" s="7389"/>
      <c r="H88" s="7389"/>
      <c r="I88" s="7389"/>
      <c r="J88" s="7422"/>
      <c r="K88" s="7388"/>
      <c r="L88" s="7389"/>
      <c r="M88" s="7389"/>
      <c r="N88" s="7389"/>
      <c r="O88" s="7389"/>
      <c r="P88" s="7389"/>
      <c r="Q88" s="7389"/>
      <c r="R88" s="7432"/>
      <c r="S88" s="7388"/>
      <c r="T88" s="7389"/>
      <c r="U88" s="7389"/>
      <c r="V88" s="7389"/>
      <c r="W88" s="7389"/>
      <c r="X88" s="7389"/>
      <c r="Y88" s="7389"/>
      <c r="Z88" s="7388"/>
      <c r="AA88" s="7389"/>
      <c r="AB88" s="7389"/>
      <c r="AC88" s="7389"/>
      <c r="AD88" s="7389"/>
      <c r="AE88" s="7389"/>
      <c r="AF88" s="7389"/>
      <c r="AG88" s="7422"/>
      <c r="AH88" s="7388"/>
      <c r="AI88" s="7389"/>
      <c r="AJ88" s="7389"/>
      <c r="AK88" s="7389"/>
      <c r="AL88" s="7389"/>
      <c r="AM88" s="7389"/>
      <c r="AN88" s="7389"/>
      <c r="AO88" s="7389"/>
      <c r="AP88" s="2162"/>
      <c r="BG88" s="2396"/>
      <c r="BH88" s="2038"/>
      <c r="BI88" s="2038"/>
      <c r="BJ88" s="2038"/>
      <c r="BK88" s="2038"/>
      <c r="BL88" s="2038"/>
      <c r="BM88" s="2038"/>
      <c r="BN88" s="2038"/>
      <c r="BO88" s="2038"/>
      <c r="BP88" s="2038"/>
    </row>
    <row r="89" spans="1:68" ht="13.5" customHeight="1">
      <c r="A89" s="2162"/>
      <c r="B89" s="2476" t="s">
        <v>548</v>
      </c>
      <c r="C89" s="7388"/>
      <c r="D89" s="7389"/>
      <c r="E89" s="7389"/>
      <c r="F89" s="7389"/>
      <c r="G89" s="7389"/>
      <c r="H89" s="7389"/>
      <c r="I89" s="7389"/>
      <c r="J89" s="7422"/>
      <c r="K89" s="7388"/>
      <c r="L89" s="7389"/>
      <c r="M89" s="7389"/>
      <c r="N89" s="7389"/>
      <c r="O89" s="7389"/>
      <c r="P89" s="7389"/>
      <c r="Q89" s="7389"/>
      <c r="R89" s="7432"/>
      <c r="S89" s="7388"/>
      <c r="T89" s="7389"/>
      <c r="U89" s="7389"/>
      <c r="V89" s="7389"/>
      <c r="W89" s="7389"/>
      <c r="X89" s="7389"/>
      <c r="Y89" s="7389"/>
      <c r="Z89" s="7388"/>
      <c r="AA89" s="7389"/>
      <c r="AB89" s="7389"/>
      <c r="AC89" s="7389"/>
      <c r="AD89" s="7389"/>
      <c r="AE89" s="7389"/>
      <c r="AF89" s="7389"/>
      <c r="AG89" s="7422"/>
      <c r="AH89" s="7388"/>
      <c r="AI89" s="7389"/>
      <c r="AJ89" s="7389"/>
      <c r="AK89" s="7389"/>
      <c r="AL89" s="7389"/>
      <c r="AM89" s="7389"/>
      <c r="AN89" s="7389"/>
      <c r="AO89" s="7389"/>
      <c r="AP89" s="2162"/>
      <c r="BG89" s="2396"/>
      <c r="BH89" s="2038"/>
      <c r="BI89" s="2038"/>
      <c r="BJ89" s="2038"/>
      <c r="BK89" s="2038"/>
      <c r="BL89" s="2038"/>
      <c r="BM89" s="2038"/>
      <c r="BN89" s="2038"/>
      <c r="BO89" s="2038"/>
      <c r="BP89" s="2038"/>
    </row>
    <row r="90" spans="1:68" ht="13.5" customHeight="1">
      <c r="A90" s="2162"/>
      <c r="B90" s="2476" t="s">
        <v>550</v>
      </c>
      <c r="C90" s="7388"/>
      <c r="D90" s="7389"/>
      <c r="E90" s="7389"/>
      <c r="F90" s="7389"/>
      <c r="G90" s="7389"/>
      <c r="H90" s="7389"/>
      <c r="I90" s="7389"/>
      <c r="J90" s="7422"/>
      <c r="K90" s="7388"/>
      <c r="L90" s="7389"/>
      <c r="M90" s="7389"/>
      <c r="N90" s="7389"/>
      <c r="O90" s="7389"/>
      <c r="P90" s="7389"/>
      <c r="Q90" s="7389"/>
      <c r="R90" s="7432"/>
      <c r="S90" s="7388"/>
      <c r="T90" s="7389"/>
      <c r="U90" s="7389"/>
      <c r="V90" s="7389"/>
      <c r="W90" s="7389"/>
      <c r="X90" s="7389"/>
      <c r="Y90" s="7389"/>
      <c r="Z90" s="7388"/>
      <c r="AA90" s="7389"/>
      <c r="AB90" s="7389"/>
      <c r="AC90" s="7389"/>
      <c r="AD90" s="7389"/>
      <c r="AE90" s="7389"/>
      <c r="AF90" s="7389"/>
      <c r="AG90" s="7422"/>
      <c r="AH90" s="7388"/>
      <c r="AI90" s="7389"/>
      <c r="AJ90" s="7389"/>
      <c r="AK90" s="7389"/>
      <c r="AL90" s="7389"/>
      <c r="AM90" s="7389"/>
      <c r="AN90" s="7389"/>
      <c r="AO90" s="7389"/>
      <c r="AP90" s="2162"/>
      <c r="BG90" s="2396"/>
      <c r="BH90" s="2038"/>
      <c r="BI90" s="2038"/>
      <c r="BJ90" s="2038"/>
      <c r="BK90" s="2038"/>
      <c r="BL90" s="2038"/>
      <c r="BM90" s="2038"/>
      <c r="BN90" s="2038"/>
      <c r="BO90" s="2038"/>
      <c r="BP90" s="2038"/>
    </row>
    <row r="91" spans="1:68" ht="13.5" customHeight="1">
      <c r="A91" s="2162"/>
      <c r="B91" s="2476" t="s">
        <v>553</v>
      </c>
      <c r="C91" s="7388"/>
      <c r="D91" s="7389"/>
      <c r="E91" s="7389"/>
      <c r="F91" s="7389"/>
      <c r="G91" s="7389"/>
      <c r="H91" s="7389"/>
      <c r="I91" s="7389"/>
      <c r="J91" s="7422"/>
      <c r="K91" s="7388"/>
      <c r="L91" s="7389"/>
      <c r="M91" s="7389"/>
      <c r="N91" s="7389"/>
      <c r="O91" s="7389"/>
      <c r="P91" s="7389"/>
      <c r="Q91" s="7389"/>
      <c r="R91" s="7432"/>
      <c r="S91" s="7388"/>
      <c r="T91" s="7389"/>
      <c r="U91" s="7389"/>
      <c r="V91" s="7389"/>
      <c r="W91" s="7389"/>
      <c r="X91" s="7389"/>
      <c r="Y91" s="7389"/>
      <c r="Z91" s="7388"/>
      <c r="AA91" s="7389"/>
      <c r="AB91" s="7389"/>
      <c r="AC91" s="7389"/>
      <c r="AD91" s="7389"/>
      <c r="AE91" s="7389"/>
      <c r="AF91" s="7389"/>
      <c r="AG91" s="7422"/>
      <c r="AH91" s="7388"/>
      <c r="AI91" s="7389"/>
      <c r="AJ91" s="7389"/>
      <c r="AK91" s="7389"/>
      <c r="AL91" s="7389"/>
      <c r="AM91" s="7389"/>
      <c r="AN91" s="7389"/>
      <c r="AO91" s="7389"/>
      <c r="AP91" s="2162"/>
      <c r="BG91" s="2396"/>
      <c r="BH91" s="2038"/>
      <c r="BI91" s="2038"/>
      <c r="BJ91" s="2038"/>
      <c r="BK91" s="2038"/>
      <c r="BL91" s="2038"/>
      <c r="BM91" s="2038"/>
      <c r="BN91" s="2038"/>
      <c r="BO91" s="2038"/>
      <c r="BP91" s="2038"/>
    </row>
    <row r="92" spans="1:68" ht="13.5" customHeight="1">
      <c r="A92" s="2162"/>
      <c r="B92" s="7364" t="s">
        <v>2759</v>
      </c>
      <c r="C92" s="7364"/>
      <c r="D92" s="3604"/>
      <c r="E92" s="3604" t="s">
        <v>2760</v>
      </c>
      <c r="F92" s="818"/>
      <c r="G92" s="2403"/>
      <c r="H92" s="2403"/>
      <c r="I92" s="2403"/>
      <c r="J92" s="819"/>
      <c r="K92" s="7338">
        <f>ROUND(SUM(K88:K91),0)</f>
        <v>0</v>
      </c>
      <c r="L92" s="7339"/>
      <c r="M92" s="7339"/>
      <c r="N92" s="7339"/>
      <c r="O92" s="7339"/>
      <c r="P92" s="7339"/>
      <c r="Q92" s="7339"/>
      <c r="R92" s="7340"/>
      <c r="S92" s="7462"/>
      <c r="T92" s="7463"/>
      <c r="U92" s="7463"/>
      <c r="V92" s="7463"/>
      <c r="W92" s="7463"/>
      <c r="X92" s="7463"/>
      <c r="Y92" s="7463"/>
      <c r="Z92" s="2403"/>
      <c r="AA92" s="2403"/>
      <c r="AB92" s="2403"/>
      <c r="AC92" s="2403"/>
      <c r="AD92" s="2403"/>
      <c r="AE92" s="2403"/>
      <c r="AF92" s="2403"/>
      <c r="AG92" s="819"/>
      <c r="AH92" s="7335">
        <f>ROUND(SUM(AH88:AH91),0)</f>
        <v>0</v>
      </c>
      <c r="AI92" s="7458"/>
      <c r="AJ92" s="7458"/>
      <c r="AK92" s="7458"/>
      <c r="AL92" s="7458"/>
      <c r="AM92" s="7458"/>
      <c r="AN92" s="7458"/>
      <c r="AO92" s="7458"/>
      <c r="AP92" s="2162"/>
      <c r="BG92" s="2396"/>
      <c r="BH92" s="2038"/>
      <c r="BI92" s="2038"/>
      <c r="BJ92" s="2038"/>
      <c r="BK92" s="2038"/>
      <c r="BL92" s="2038"/>
      <c r="BM92" s="2038"/>
      <c r="BN92" s="2038"/>
      <c r="BO92" s="2038"/>
      <c r="BP92" s="2038"/>
    </row>
    <row r="93" spans="1:68" ht="13.5" customHeight="1">
      <c r="A93" s="2162"/>
      <c r="B93" s="7433" t="s">
        <v>644</v>
      </c>
      <c r="C93" s="7433"/>
      <c r="D93" s="2112"/>
      <c r="E93" s="3604" t="s">
        <v>2760</v>
      </c>
      <c r="F93" s="7335">
        <f>ROUND(SUM(C88:C91),0)</f>
        <v>0</v>
      </c>
      <c r="G93" s="7458"/>
      <c r="H93" s="7458"/>
      <c r="I93" s="7458"/>
      <c r="J93" s="7459"/>
      <c r="K93" s="7464"/>
      <c r="L93" s="7465"/>
      <c r="M93" s="7465"/>
      <c r="N93" s="7465"/>
      <c r="O93" s="7465"/>
      <c r="P93" s="7465"/>
      <c r="Q93" s="7465"/>
      <c r="R93" s="7466"/>
      <c r="S93" s="7356">
        <f>ROUND(SUM(S88:S91),0)</f>
        <v>0</v>
      </c>
      <c r="T93" s="7339"/>
      <c r="U93" s="7339"/>
      <c r="V93" s="7339"/>
      <c r="W93" s="7339"/>
      <c r="X93" s="7339"/>
      <c r="Y93" s="7357"/>
      <c r="Z93" s="7460">
        <f>ROUND(SUM(Z88:Z91),0)</f>
        <v>0</v>
      </c>
      <c r="AA93" s="7460"/>
      <c r="AB93" s="7460"/>
      <c r="AC93" s="7460"/>
      <c r="AD93" s="7460"/>
      <c r="AE93" s="7460"/>
      <c r="AF93" s="7460"/>
      <c r="AG93" s="7460"/>
      <c r="AH93" s="7456"/>
      <c r="AI93" s="7456"/>
      <c r="AJ93" s="7456"/>
      <c r="AK93" s="7456"/>
      <c r="AL93" s="7456"/>
      <c r="AM93" s="7456"/>
      <c r="AN93" s="7456"/>
      <c r="AO93" s="7457"/>
      <c r="AP93" s="2162"/>
      <c r="BG93" s="2396"/>
      <c r="BH93" s="2038"/>
      <c r="BI93" s="2038"/>
      <c r="BJ93" s="2038"/>
      <c r="BK93" s="2038"/>
      <c r="BL93" s="2038"/>
      <c r="BM93" s="2038"/>
      <c r="BN93" s="2038"/>
      <c r="BO93" s="2038"/>
      <c r="BP93" s="2038"/>
    </row>
    <row r="94" spans="1:68" ht="12.75" customHeight="1">
      <c r="A94" s="2162"/>
      <c r="B94" s="7328">
        <v>30</v>
      </c>
      <c r="C94" s="7328"/>
      <c r="D94" s="2112" t="s">
        <v>2761</v>
      </c>
      <c r="E94" s="808"/>
      <c r="F94" s="808"/>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08"/>
      <c r="AE94" s="2760" t="s">
        <v>740</v>
      </c>
      <c r="AF94" s="7341">
        <v>30</v>
      </c>
      <c r="AG94" s="7342"/>
      <c r="AH94" s="7386">
        <f>SUM(K92,AH92)</f>
        <v>0</v>
      </c>
      <c r="AI94" s="7387"/>
      <c r="AJ94" s="7387"/>
      <c r="AK94" s="7387"/>
      <c r="AL94" s="7387"/>
      <c r="AM94" s="7387"/>
      <c r="AN94" s="7387"/>
      <c r="AO94" s="7387"/>
      <c r="AP94" s="2162"/>
      <c r="AQ94" s="260"/>
      <c r="AR94" s="260"/>
      <c r="AS94" s="260"/>
      <c r="BG94" s="2396"/>
      <c r="BH94" s="2038"/>
      <c r="BI94" s="2038"/>
      <c r="BJ94" s="2038"/>
      <c r="BK94" s="2038"/>
      <c r="BL94" s="2038"/>
      <c r="BM94" s="2038"/>
      <c r="BN94" s="2038"/>
      <c r="BO94" s="2038"/>
      <c r="BP94" s="2038"/>
    </row>
    <row r="95" spans="1:68" ht="12.75" customHeight="1" thickBot="1">
      <c r="A95" s="2162"/>
      <c r="B95" s="7328">
        <v>31</v>
      </c>
      <c r="C95" s="7328"/>
      <c r="D95" s="2112" t="s">
        <v>2762</v>
      </c>
      <c r="E95" s="808"/>
      <c r="F95" s="808"/>
      <c r="G95" s="808"/>
      <c r="H95" s="808"/>
      <c r="I95" s="808"/>
      <c r="J95" s="808"/>
      <c r="K95" s="808"/>
      <c r="L95" s="808"/>
      <c r="M95" s="808"/>
      <c r="N95" s="808"/>
      <c r="O95" s="808"/>
      <c r="P95" s="808"/>
      <c r="Q95" s="808"/>
      <c r="R95" s="808"/>
      <c r="S95" s="808"/>
      <c r="T95" s="808"/>
      <c r="U95" s="808"/>
      <c r="V95" s="808"/>
      <c r="W95" s="808"/>
      <c r="X95" s="808"/>
      <c r="Y95" s="808"/>
      <c r="Z95" s="808"/>
      <c r="AA95" s="808"/>
      <c r="AB95" s="808"/>
      <c r="AC95" s="808"/>
      <c r="AD95" s="808"/>
      <c r="AE95" s="2760" t="s">
        <v>705</v>
      </c>
      <c r="AF95" s="7341">
        <v>31</v>
      </c>
      <c r="AG95" s="7342"/>
      <c r="AH95" s="2764" t="s">
        <v>905</v>
      </c>
      <c r="AI95" s="7368">
        <f>SUM(F93,S93,Z93)</f>
        <v>0</v>
      </c>
      <c r="AJ95" s="7253"/>
      <c r="AK95" s="7253"/>
      <c r="AL95" s="7253"/>
      <c r="AM95" s="7253"/>
      <c r="AN95" s="7253"/>
      <c r="AO95" s="2765" t="s">
        <v>906</v>
      </c>
      <c r="AP95" s="2162"/>
      <c r="AQ95" s="260"/>
      <c r="AR95" s="1896" t="s">
        <v>867</v>
      </c>
      <c r="AS95" s="260"/>
      <c r="BG95" s="2396"/>
      <c r="BH95" s="2038"/>
      <c r="BI95" s="2038"/>
      <c r="BJ95" s="2038"/>
      <c r="BK95" s="2038"/>
      <c r="BL95" s="2038"/>
      <c r="BM95" s="2038"/>
      <c r="BN95" s="2038"/>
      <c r="BO95" s="2038"/>
      <c r="BP95" s="2038"/>
    </row>
    <row r="96" spans="1:68" ht="12.75" customHeight="1" thickBot="1">
      <c r="A96" s="2162"/>
      <c r="B96" s="7581">
        <v>32</v>
      </c>
      <c r="C96" s="7581"/>
      <c r="D96" s="3388" t="s">
        <v>2763</v>
      </c>
      <c r="E96" s="896"/>
      <c r="F96" s="896"/>
      <c r="G96" s="896"/>
      <c r="H96" s="896"/>
      <c r="I96" s="896"/>
      <c r="J96" s="896"/>
      <c r="K96" s="896"/>
      <c r="L96" s="896"/>
      <c r="M96" s="896"/>
      <c r="N96" s="896"/>
      <c r="O96" s="896"/>
      <c r="P96" s="896"/>
      <c r="Q96" s="896"/>
      <c r="R96" s="896"/>
      <c r="S96" s="896"/>
      <c r="T96" s="896"/>
      <c r="U96" s="896"/>
      <c r="V96" s="896"/>
      <c r="W96" s="896"/>
      <c r="X96" s="896"/>
      <c r="Y96" s="896"/>
      <c r="Z96" s="896"/>
      <c r="AA96" s="896"/>
      <c r="AB96" s="896"/>
      <c r="AC96" s="896"/>
      <c r="AD96" s="896"/>
      <c r="AE96" s="2761" t="s">
        <v>680</v>
      </c>
      <c r="AF96" s="7343">
        <v>32</v>
      </c>
      <c r="AG96" s="7344"/>
      <c r="AH96" s="7567">
        <f>IF(AR96&lt;&gt;"",ROUND(AR96,0),SUM(AH94,-AI95))</f>
        <v>0</v>
      </c>
      <c r="AI96" s="7568"/>
      <c r="AJ96" s="7568"/>
      <c r="AK96" s="7568"/>
      <c r="AL96" s="7568"/>
      <c r="AM96" s="7568"/>
      <c r="AN96" s="7568"/>
      <c r="AO96" s="7568"/>
      <c r="AP96" s="2162"/>
      <c r="AQ96" s="260"/>
      <c r="AR96" s="2492"/>
      <c r="AS96" s="260"/>
      <c r="BG96" s="2396"/>
      <c r="BH96" s="2038"/>
      <c r="BI96" s="2038"/>
      <c r="BJ96" s="2038"/>
      <c r="BK96" s="2038"/>
      <c r="BL96" s="2038"/>
      <c r="BM96" s="2038"/>
      <c r="BN96" s="2038"/>
      <c r="BO96" s="2038"/>
      <c r="BP96" s="2038"/>
    </row>
    <row r="97" spans="1:69" s="2114" customFormat="1" ht="17.25" customHeight="1">
      <c r="A97" s="2163"/>
      <c r="B97" s="7438" t="s">
        <v>2243</v>
      </c>
      <c r="C97" s="7438"/>
      <c r="D97" s="7439"/>
      <c r="E97" s="998"/>
      <c r="F97" s="2763" t="s">
        <v>2764</v>
      </c>
      <c r="G97" s="998"/>
      <c r="H97" s="998"/>
      <c r="I97" s="998"/>
      <c r="J97" s="998"/>
      <c r="K97" s="998"/>
      <c r="L97" s="998"/>
      <c r="M97" s="998"/>
      <c r="N97" s="998"/>
      <c r="O97" s="998"/>
      <c r="P97" s="998"/>
      <c r="Q97" s="998"/>
      <c r="R97" s="998"/>
      <c r="S97" s="998"/>
      <c r="T97" s="998"/>
      <c r="U97" s="998"/>
      <c r="V97" s="998"/>
      <c r="W97" s="998"/>
      <c r="X97" s="2190"/>
      <c r="Y97" s="998"/>
      <c r="Z97" s="998"/>
      <c r="AA97" s="998"/>
      <c r="AB97" s="998"/>
      <c r="AC97" s="998"/>
      <c r="AD97" s="998"/>
      <c r="AE97" s="998"/>
      <c r="AF97" s="998"/>
      <c r="AG97" s="998"/>
      <c r="AH97" s="998"/>
      <c r="AI97" s="998"/>
      <c r="AJ97" s="998"/>
      <c r="AK97" s="998"/>
      <c r="AL97" s="998"/>
      <c r="AM97" s="998"/>
      <c r="AN97" s="998"/>
      <c r="AO97" s="998"/>
      <c r="AP97" s="2162"/>
      <c r="AQ97" s="260"/>
      <c r="AR97" s="260"/>
      <c r="AS97" s="260"/>
      <c r="AX97" s="39"/>
      <c r="AY97" s="39"/>
      <c r="AZ97" s="39"/>
      <c r="BA97" s="39"/>
      <c r="BB97" s="39"/>
      <c r="BC97" s="39"/>
      <c r="BD97" s="39"/>
      <c r="BG97" s="2396"/>
      <c r="BH97" s="2038"/>
      <c r="BI97" s="2038"/>
      <c r="BJ97" s="2038"/>
      <c r="BK97" s="2038"/>
      <c r="BL97" s="2038"/>
      <c r="BM97" s="2038"/>
      <c r="BN97" s="2038"/>
      <c r="BO97" s="2038"/>
      <c r="BP97" s="2038"/>
      <c r="BQ97" s="2690"/>
    </row>
    <row r="98" spans="1:69" ht="12.75" customHeight="1">
      <c r="A98" s="2162"/>
      <c r="B98" s="1142"/>
      <c r="C98" s="1142"/>
      <c r="D98" s="1142"/>
      <c r="E98" s="1142"/>
      <c r="F98" s="1142"/>
      <c r="G98" s="1142"/>
      <c r="H98" s="1142"/>
      <c r="I98" s="1142"/>
      <c r="J98" s="1142"/>
      <c r="K98" s="1142"/>
      <c r="L98" s="1142"/>
      <c r="M98" s="1142"/>
      <c r="N98" s="1142"/>
      <c r="O98" s="1142"/>
      <c r="P98" s="1142"/>
      <c r="Q98" s="1142"/>
      <c r="R98" s="1142"/>
      <c r="S98" s="1142"/>
      <c r="T98" s="1142"/>
      <c r="U98" s="1142"/>
      <c r="V98" s="1142"/>
      <c r="W98" s="1142"/>
      <c r="X98" s="1142"/>
      <c r="Y98" s="1142"/>
      <c r="Z98" s="1142"/>
      <c r="AA98" s="1142"/>
      <c r="AB98" s="1142"/>
      <c r="AC98" s="1142"/>
      <c r="AD98" s="1142"/>
      <c r="AE98" s="1142"/>
      <c r="AF98" s="1142"/>
      <c r="AG98" s="1143"/>
      <c r="AH98" s="7373" t="s">
        <v>2765</v>
      </c>
      <c r="AI98" s="7440"/>
      <c r="AJ98" s="7440"/>
      <c r="AK98" s="7440"/>
      <c r="AL98" s="7440"/>
      <c r="AM98" s="7440"/>
      <c r="AN98" s="7440"/>
      <c r="AO98" s="7440"/>
      <c r="AP98" s="2162"/>
      <c r="BG98" s="2396"/>
      <c r="BH98" s="2038"/>
      <c r="BI98" s="2038"/>
      <c r="BJ98" s="2038"/>
      <c r="BK98" s="2038"/>
      <c r="BL98" s="2038"/>
      <c r="BM98" s="2038"/>
      <c r="BN98" s="2038"/>
      <c r="BO98" s="2038"/>
      <c r="BP98" s="2038"/>
    </row>
    <row r="99" spans="1:69" ht="12.75" customHeight="1">
      <c r="A99" s="2162"/>
      <c r="B99" s="7390">
        <v>33</v>
      </c>
      <c r="C99" s="6466"/>
      <c r="D99" s="808"/>
      <c r="E99" s="808"/>
      <c r="F99" s="808"/>
      <c r="G99" s="808"/>
      <c r="H99" s="808"/>
      <c r="I99" s="808"/>
      <c r="J99" s="808"/>
      <c r="K99" s="808"/>
      <c r="L99" s="808"/>
      <c r="M99" s="808"/>
      <c r="N99" s="808"/>
      <c r="O99" s="808"/>
      <c r="P99" s="892" t="s">
        <v>2751</v>
      </c>
      <c r="Q99" s="808"/>
      <c r="R99" s="808"/>
      <c r="S99" s="808"/>
      <c r="T99" s="808"/>
      <c r="U99" s="808"/>
      <c r="V99" s="808"/>
      <c r="W99" s="808"/>
      <c r="X99" s="808"/>
      <c r="Y99" s="808"/>
      <c r="Z99" s="808"/>
      <c r="AA99" s="808"/>
      <c r="AB99" s="808"/>
      <c r="AC99" s="808"/>
      <c r="AD99" s="808"/>
      <c r="AE99" s="808"/>
      <c r="AF99" s="808"/>
      <c r="AG99" s="1151"/>
      <c r="AH99" s="7441"/>
      <c r="AI99" s="7232"/>
      <c r="AJ99" s="7232"/>
      <c r="AK99" s="7232"/>
      <c r="AL99" s="7232"/>
      <c r="AM99" s="7232"/>
      <c r="AN99" s="7232"/>
      <c r="AO99" s="7232"/>
      <c r="AP99" s="2162"/>
      <c r="AX99" s="2114"/>
      <c r="AY99" s="2114"/>
      <c r="AZ99" s="2114"/>
      <c r="BA99" s="2114"/>
      <c r="BB99" s="2114"/>
      <c r="BC99" s="2114"/>
      <c r="BD99" s="2114"/>
      <c r="BG99" s="2396"/>
      <c r="BH99" s="2038"/>
      <c r="BI99" s="2038"/>
      <c r="BJ99" s="2038"/>
      <c r="BK99" s="2038"/>
      <c r="BL99" s="2038"/>
      <c r="BM99" s="2038"/>
      <c r="BN99" s="2038"/>
      <c r="BO99" s="2038"/>
      <c r="BP99" s="2038"/>
    </row>
    <row r="100" spans="1:69" ht="12.75" customHeight="1">
      <c r="A100" s="2162"/>
      <c r="B100" s="1121"/>
      <c r="C100" s="1121"/>
      <c r="D100" s="1121"/>
      <c r="E100" s="1121"/>
      <c r="F100" s="1121"/>
      <c r="G100" s="1121"/>
      <c r="H100" s="1121"/>
      <c r="I100" s="1121"/>
      <c r="J100" s="1121"/>
      <c r="K100" s="1121"/>
      <c r="L100" s="1121"/>
      <c r="M100" s="1121"/>
      <c r="N100" s="1121"/>
      <c r="O100" s="1121"/>
      <c r="P100" s="1121"/>
      <c r="Q100" s="1121"/>
      <c r="R100" s="1121"/>
      <c r="S100" s="1121"/>
      <c r="T100" s="1121"/>
      <c r="U100" s="1121"/>
      <c r="V100" s="1121"/>
      <c r="W100" s="1121"/>
      <c r="X100" s="1121"/>
      <c r="Y100" s="1121"/>
      <c r="Z100" s="1121"/>
      <c r="AA100" s="1121"/>
      <c r="AB100" s="1121"/>
      <c r="AC100" s="1121"/>
      <c r="AD100" s="1121"/>
      <c r="AE100" s="1121"/>
      <c r="AF100" s="1121"/>
      <c r="AG100" s="2391"/>
      <c r="AH100" s="7442"/>
      <c r="AI100" s="6918"/>
      <c r="AJ100" s="6918"/>
      <c r="AK100" s="6918"/>
      <c r="AL100" s="6918"/>
      <c r="AM100" s="6918"/>
      <c r="AN100" s="6918"/>
      <c r="AO100" s="6918"/>
      <c r="AP100" s="2162"/>
      <c r="BG100" s="2396"/>
      <c r="BH100" s="2038"/>
      <c r="BI100" s="2038"/>
      <c r="BJ100" s="2038"/>
      <c r="BK100" s="2038"/>
      <c r="BL100" s="2038"/>
      <c r="BM100" s="2038"/>
      <c r="BN100" s="2038"/>
      <c r="BO100" s="2038"/>
      <c r="BP100" s="2038"/>
    </row>
    <row r="101" spans="1:69" ht="13.5" customHeight="1">
      <c r="A101" s="2162"/>
      <c r="B101" s="2477" t="s">
        <v>542</v>
      </c>
      <c r="C101" s="7434"/>
      <c r="D101" s="7435"/>
      <c r="E101" s="7435"/>
      <c r="F101" s="7435"/>
      <c r="G101" s="7435"/>
      <c r="H101" s="7435"/>
      <c r="I101" s="7435"/>
      <c r="J101" s="7435"/>
      <c r="K101" s="7436"/>
      <c r="L101" s="7436"/>
      <c r="M101" s="7436"/>
      <c r="N101" s="7436"/>
      <c r="O101" s="7436"/>
      <c r="P101" s="7436"/>
      <c r="Q101" s="7436"/>
      <c r="R101" s="7436"/>
      <c r="S101" s="7436"/>
      <c r="T101" s="7436"/>
      <c r="U101" s="7436"/>
      <c r="V101" s="7436"/>
      <c r="W101" s="7436"/>
      <c r="X101" s="7436"/>
      <c r="Y101" s="7436"/>
      <c r="Z101" s="7436"/>
      <c r="AA101" s="7436"/>
      <c r="AB101" s="7436"/>
      <c r="AC101" s="7436"/>
      <c r="AD101" s="7436"/>
      <c r="AE101" s="7436"/>
      <c r="AF101" s="7436"/>
      <c r="AG101" s="7437"/>
      <c r="AH101" s="7358"/>
      <c r="AI101" s="7359"/>
      <c r="AJ101" s="7359"/>
      <c r="AK101" s="7359"/>
      <c r="AL101" s="7359"/>
      <c r="AM101" s="7359"/>
      <c r="AN101" s="7359"/>
      <c r="AO101" s="7359"/>
      <c r="AP101" s="2162"/>
      <c r="BG101" s="2396"/>
      <c r="BH101" s="2038"/>
      <c r="BI101" s="2038"/>
      <c r="BJ101" s="2038"/>
      <c r="BK101" s="2038"/>
      <c r="BL101" s="2038"/>
      <c r="BM101" s="2038"/>
      <c r="BN101" s="2038"/>
      <c r="BO101" s="2038"/>
      <c r="BP101" s="2038"/>
    </row>
    <row r="102" spans="1:69" ht="13.5" customHeight="1">
      <c r="A102" s="2162"/>
      <c r="B102" s="2476" t="s">
        <v>548</v>
      </c>
      <c r="C102" s="7434"/>
      <c r="D102" s="7435"/>
      <c r="E102" s="7435"/>
      <c r="F102" s="7435"/>
      <c r="G102" s="7435"/>
      <c r="H102" s="7435"/>
      <c r="I102" s="7435"/>
      <c r="J102" s="7435"/>
      <c r="K102" s="7436"/>
      <c r="L102" s="7436"/>
      <c r="M102" s="7436"/>
      <c r="N102" s="7436"/>
      <c r="O102" s="7436"/>
      <c r="P102" s="7436"/>
      <c r="Q102" s="7436"/>
      <c r="R102" s="7436"/>
      <c r="S102" s="7436"/>
      <c r="T102" s="7436"/>
      <c r="U102" s="7436"/>
      <c r="V102" s="7436"/>
      <c r="W102" s="7436"/>
      <c r="X102" s="7436"/>
      <c r="Y102" s="7436"/>
      <c r="Z102" s="7436"/>
      <c r="AA102" s="7436"/>
      <c r="AB102" s="7436"/>
      <c r="AC102" s="7436"/>
      <c r="AD102" s="7436"/>
      <c r="AE102" s="7436"/>
      <c r="AF102" s="7436"/>
      <c r="AG102" s="7437"/>
      <c r="AH102" s="7358"/>
      <c r="AI102" s="7359"/>
      <c r="AJ102" s="7359"/>
      <c r="AK102" s="7359"/>
      <c r="AL102" s="7359"/>
      <c r="AM102" s="7359"/>
      <c r="AN102" s="7359"/>
      <c r="AO102" s="7359"/>
      <c r="AP102" s="2162"/>
      <c r="BG102" s="2396"/>
      <c r="BH102" s="2038"/>
      <c r="BI102" s="2038"/>
      <c r="BJ102" s="2038"/>
      <c r="BK102" s="2038"/>
      <c r="BL102" s="2038"/>
      <c r="BM102" s="2038"/>
      <c r="BN102" s="2038"/>
      <c r="BO102" s="2038"/>
      <c r="BP102" s="2038"/>
    </row>
    <row r="103" spans="1:69" ht="17.25" customHeight="1">
      <c r="A103" s="2162"/>
      <c r="B103" s="7448" t="s">
        <v>2752</v>
      </c>
      <c r="C103" s="6435"/>
      <c r="D103" s="6435"/>
      <c r="E103" s="6435"/>
      <c r="F103" s="6435"/>
      <c r="G103" s="6435"/>
      <c r="H103" s="6435"/>
      <c r="I103" s="6435"/>
      <c r="J103" s="6435"/>
      <c r="K103" s="6435"/>
      <c r="L103" s="6435"/>
      <c r="M103" s="6435"/>
      <c r="N103" s="6435"/>
      <c r="O103" s="6435"/>
      <c r="P103" s="6435"/>
      <c r="Q103" s="6435"/>
      <c r="R103" s="6435"/>
      <c r="S103" s="6435"/>
      <c r="T103" s="6435"/>
      <c r="U103" s="6435"/>
      <c r="V103" s="6435"/>
      <c r="W103" s="6435"/>
      <c r="X103" s="7449"/>
      <c r="Y103" s="7379" t="s">
        <v>2753</v>
      </c>
      <c r="Z103" s="6435"/>
      <c r="AA103" s="6435"/>
      <c r="AB103" s="6435"/>
      <c r="AC103" s="6435"/>
      <c r="AD103" s="6435"/>
      <c r="AE103" s="6435"/>
      <c r="AF103" s="6435"/>
      <c r="AG103" s="6435"/>
      <c r="AH103" s="6435"/>
      <c r="AI103" s="6435"/>
      <c r="AJ103" s="6435"/>
      <c r="AK103" s="6435"/>
      <c r="AL103" s="6435"/>
      <c r="AM103" s="6435"/>
      <c r="AN103" s="6435"/>
      <c r="AO103" s="6435"/>
      <c r="AP103" s="2162"/>
      <c r="BG103" s="2396"/>
      <c r="BH103" s="2038"/>
      <c r="BI103" s="2038"/>
      <c r="BJ103" s="2038"/>
      <c r="BK103" s="2038"/>
      <c r="BL103" s="2038"/>
      <c r="BM103" s="2038"/>
      <c r="BN103" s="2038"/>
      <c r="BO103" s="2038"/>
      <c r="BP103" s="2038"/>
    </row>
    <row r="104" spans="1:69" ht="12.75" customHeight="1">
      <c r="A104" s="2162"/>
      <c r="B104" s="7450" t="s">
        <v>2766</v>
      </c>
      <c r="C104" s="6864"/>
      <c r="D104" s="6864"/>
      <c r="E104" s="6864"/>
      <c r="F104" s="6864"/>
      <c r="G104" s="6864"/>
      <c r="H104" s="6864"/>
      <c r="I104" s="6864"/>
      <c r="J104" s="6864"/>
      <c r="K104" s="6864"/>
      <c r="L104" s="6864"/>
      <c r="M104" s="6864"/>
      <c r="N104" s="7451"/>
      <c r="O104" s="7410" t="s">
        <v>2767</v>
      </c>
      <c r="P104" s="7411"/>
      <c r="Q104" s="7411"/>
      <c r="R104" s="7411"/>
      <c r="S104" s="7411"/>
      <c r="T104" s="7411"/>
      <c r="U104" s="7411"/>
      <c r="V104" s="7411"/>
      <c r="W104" s="7411"/>
      <c r="X104" s="7411"/>
      <c r="Y104" s="7454" t="s">
        <v>2768</v>
      </c>
      <c r="Z104" s="6864"/>
      <c r="AA104" s="6864"/>
      <c r="AB104" s="6864"/>
      <c r="AC104" s="6864"/>
      <c r="AD104" s="6864"/>
      <c r="AE104" s="6864"/>
      <c r="AF104" s="6864"/>
      <c r="AG104" s="7451"/>
      <c r="AH104" s="7410" t="s">
        <v>2769</v>
      </c>
      <c r="AI104" s="7411"/>
      <c r="AJ104" s="7411"/>
      <c r="AK104" s="7411"/>
      <c r="AL104" s="7411"/>
      <c r="AM104" s="7411"/>
      <c r="AN104" s="7411"/>
      <c r="AO104" s="7411"/>
      <c r="AP104" s="2162"/>
      <c r="BG104" s="2396"/>
      <c r="BH104" s="2038"/>
      <c r="BI104" s="2038"/>
      <c r="BJ104" s="2038"/>
      <c r="BK104" s="2038"/>
      <c r="BL104" s="2038"/>
      <c r="BM104" s="2038"/>
      <c r="BN104" s="2038"/>
      <c r="BO104" s="2038"/>
      <c r="BP104" s="2038"/>
    </row>
    <row r="105" spans="1:69" ht="12.75" customHeight="1">
      <c r="A105" s="2162"/>
      <c r="B105" s="6733"/>
      <c r="C105" s="6733"/>
      <c r="D105" s="6733"/>
      <c r="E105" s="6733"/>
      <c r="F105" s="6733"/>
      <c r="G105" s="6733"/>
      <c r="H105" s="6733"/>
      <c r="I105" s="6733"/>
      <c r="J105" s="6733"/>
      <c r="K105" s="6733"/>
      <c r="L105" s="6733"/>
      <c r="M105" s="6733"/>
      <c r="N105" s="7452"/>
      <c r="O105" s="7412"/>
      <c r="P105" s="7413"/>
      <c r="Q105" s="7413"/>
      <c r="R105" s="7413"/>
      <c r="S105" s="7413"/>
      <c r="T105" s="7413"/>
      <c r="U105" s="7413"/>
      <c r="V105" s="7413"/>
      <c r="W105" s="7413"/>
      <c r="X105" s="7413"/>
      <c r="Y105" s="6865"/>
      <c r="Z105" s="6733"/>
      <c r="AA105" s="6733"/>
      <c r="AB105" s="6733"/>
      <c r="AC105" s="6733"/>
      <c r="AD105" s="6733"/>
      <c r="AE105" s="6733"/>
      <c r="AF105" s="6733"/>
      <c r="AG105" s="7452"/>
      <c r="AH105" s="7412"/>
      <c r="AI105" s="7413"/>
      <c r="AJ105" s="7413"/>
      <c r="AK105" s="7413"/>
      <c r="AL105" s="7413"/>
      <c r="AM105" s="7413"/>
      <c r="AN105" s="7413"/>
      <c r="AO105" s="7413"/>
      <c r="AP105" s="2162"/>
      <c r="BG105" s="2396"/>
      <c r="BH105" s="2038"/>
      <c r="BI105" s="2038"/>
      <c r="BJ105" s="2038"/>
      <c r="BK105" s="2038"/>
      <c r="BL105" s="2038"/>
      <c r="BM105" s="2038"/>
      <c r="BN105" s="2038"/>
      <c r="BO105" s="2038"/>
      <c r="BP105" s="2038"/>
    </row>
    <row r="106" spans="1:69" ht="12.75" customHeight="1">
      <c r="A106" s="2162"/>
      <c r="B106" s="6731"/>
      <c r="C106" s="6731"/>
      <c r="D106" s="6731"/>
      <c r="E106" s="6731"/>
      <c r="F106" s="6731"/>
      <c r="G106" s="6731"/>
      <c r="H106" s="6731"/>
      <c r="I106" s="6731"/>
      <c r="J106" s="6731"/>
      <c r="K106" s="6731"/>
      <c r="L106" s="6731"/>
      <c r="M106" s="6731"/>
      <c r="N106" s="7453"/>
      <c r="O106" s="7414"/>
      <c r="P106" s="7415"/>
      <c r="Q106" s="7415"/>
      <c r="R106" s="7415"/>
      <c r="S106" s="7415"/>
      <c r="T106" s="7415"/>
      <c r="U106" s="7415"/>
      <c r="V106" s="7415"/>
      <c r="W106" s="7415"/>
      <c r="X106" s="7415"/>
      <c r="Y106" s="7455"/>
      <c r="Z106" s="6731"/>
      <c r="AA106" s="6731"/>
      <c r="AB106" s="6731"/>
      <c r="AC106" s="6731"/>
      <c r="AD106" s="6731"/>
      <c r="AE106" s="6731"/>
      <c r="AF106" s="6731"/>
      <c r="AG106" s="7453"/>
      <c r="AH106" s="7414"/>
      <c r="AI106" s="7415"/>
      <c r="AJ106" s="7415"/>
      <c r="AK106" s="7415"/>
      <c r="AL106" s="7415"/>
      <c r="AM106" s="7415"/>
      <c r="AN106" s="7415"/>
      <c r="AO106" s="7415"/>
      <c r="AP106" s="2162"/>
      <c r="BG106" s="2396"/>
      <c r="BH106" s="2038"/>
      <c r="BI106" s="2038"/>
      <c r="BJ106" s="2038"/>
      <c r="BK106" s="2038"/>
      <c r="BL106" s="2038"/>
      <c r="BM106" s="2038"/>
      <c r="BN106" s="2038"/>
      <c r="BO106" s="2038"/>
      <c r="BP106" s="2038"/>
    </row>
    <row r="107" spans="1:69" ht="13.5" customHeight="1">
      <c r="A107" s="2162"/>
      <c r="B107" s="2477" t="s">
        <v>542</v>
      </c>
      <c r="C107" s="7407"/>
      <c r="D107" s="7408"/>
      <c r="E107" s="7408"/>
      <c r="F107" s="7408"/>
      <c r="G107" s="7408"/>
      <c r="H107" s="7408"/>
      <c r="I107" s="7408"/>
      <c r="J107" s="7408"/>
      <c r="K107" s="7408"/>
      <c r="L107" s="7408"/>
      <c r="M107" s="7408"/>
      <c r="N107" s="7409"/>
      <c r="O107" s="7443"/>
      <c r="P107" s="7444"/>
      <c r="Q107" s="7444"/>
      <c r="R107" s="7444"/>
      <c r="S107" s="7444"/>
      <c r="T107" s="7444"/>
      <c r="U107" s="7444"/>
      <c r="V107" s="7444"/>
      <c r="W107" s="7444"/>
      <c r="X107" s="7445"/>
      <c r="Y107" s="7446"/>
      <c r="Z107" s="7447"/>
      <c r="AA107" s="7447"/>
      <c r="AB107" s="7447"/>
      <c r="AC107" s="7447"/>
      <c r="AD107" s="7447"/>
      <c r="AE107" s="7447"/>
      <c r="AF107" s="7447"/>
      <c r="AG107" s="7447"/>
      <c r="AH107" s="7447"/>
      <c r="AI107" s="7447"/>
      <c r="AJ107" s="7447"/>
      <c r="AK107" s="7447"/>
      <c r="AL107" s="7447"/>
      <c r="AM107" s="7447"/>
      <c r="AN107" s="7447"/>
      <c r="AO107" s="7443"/>
      <c r="AP107" s="2162"/>
      <c r="BG107" s="2396"/>
      <c r="BH107" s="2038"/>
      <c r="BI107" s="2038"/>
      <c r="BJ107" s="2038"/>
      <c r="BK107" s="2038"/>
      <c r="BL107" s="2038"/>
      <c r="BM107" s="2038"/>
      <c r="BN107" s="2038"/>
      <c r="BO107" s="2038"/>
      <c r="BP107" s="2038"/>
    </row>
    <row r="108" spans="1:69" ht="13.5" customHeight="1">
      <c r="A108" s="2162"/>
      <c r="B108" s="2477" t="s">
        <v>548</v>
      </c>
      <c r="C108" s="7407"/>
      <c r="D108" s="7408"/>
      <c r="E108" s="7408"/>
      <c r="F108" s="7408"/>
      <c r="G108" s="7408"/>
      <c r="H108" s="7408"/>
      <c r="I108" s="7408"/>
      <c r="J108" s="7408"/>
      <c r="K108" s="7408"/>
      <c r="L108" s="7408"/>
      <c r="M108" s="7408"/>
      <c r="N108" s="7409"/>
      <c r="O108" s="7443"/>
      <c r="P108" s="7444"/>
      <c r="Q108" s="7444"/>
      <c r="R108" s="7444"/>
      <c r="S108" s="7444"/>
      <c r="T108" s="7444"/>
      <c r="U108" s="7444"/>
      <c r="V108" s="7444"/>
      <c r="W108" s="7444"/>
      <c r="X108" s="7445"/>
      <c r="Y108" s="7446"/>
      <c r="Z108" s="7447"/>
      <c r="AA108" s="7447"/>
      <c r="AB108" s="7447"/>
      <c r="AC108" s="7447"/>
      <c r="AD108" s="7447"/>
      <c r="AE108" s="7447"/>
      <c r="AF108" s="7447"/>
      <c r="AG108" s="7447"/>
      <c r="AH108" s="7447"/>
      <c r="AI108" s="7447"/>
      <c r="AJ108" s="7447"/>
      <c r="AK108" s="7447"/>
      <c r="AL108" s="7447"/>
      <c r="AM108" s="7447"/>
      <c r="AN108" s="7447"/>
      <c r="AO108" s="7443"/>
      <c r="AP108" s="2162"/>
      <c r="BG108" s="2396"/>
      <c r="BH108" s="2038"/>
      <c r="BI108" s="2038"/>
      <c r="BJ108" s="2038"/>
      <c r="BK108" s="2038"/>
      <c r="BL108" s="2038"/>
      <c r="BM108" s="2038"/>
      <c r="BN108" s="2038"/>
      <c r="BO108" s="2038"/>
      <c r="BP108" s="2038"/>
    </row>
    <row r="109" spans="1:69" ht="13.5" customHeight="1">
      <c r="A109" s="2162"/>
      <c r="B109" s="7364" t="s">
        <v>2770</v>
      </c>
      <c r="C109" s="7364"/>
      <c r="D109" s="2112" t="s">
        <v>2760</v>
      </c>
      <c r="E109" s="808"/>
      <c r="F109" s="818"/>
      <c r="G109" s="2403"/>
      <c r="H109" s="2403"/>
      <c r="I109" s="2403"/>
      <c r="J109" s="2403"/>
      <c r="K109" s="2403"/>
      <c r="L109" s="2403"/>
      <c r="M109" s="2403"/>
      <c r="N109" s="819"/>
      <c r="O109" s="7338">
        <f>ROUND(SUM(O107:O108),0)</f>
        <v>0</v>
      </c>
      <c r="P109" s="7339"/>
      <c r="Q109" s="7339"/>
      <c r="R109" s="7339"/>
      <c r="S109" s="7339"/>
      <c r="T109" s="7339"/>
      <c r="U109" s="7339"/>
      <c r="V109" s="7339"/>
      <c r="W109" s="7339"/>
      <c r="X109" s="7340"/>
      <c r="Y109" s="2478"/>
      <c r="Z109" s="2403"/>
      <c r="AA109" s="2403"/>
      <c r="AB109" s="2403"/>
      <c r="AC109" s="2403"/>
      <c r="AD109" s="2403"/>
      <c r="AE109" s="2403"/>
      <c r="AF109" s="2403"/>
      <c r="AG109" s="819"/>
      <c r="AH109" s="7335">
        <f>ROUND(SUM(AH107:AH108),0)</f>
        <v>0</v>
      </c>
      <c r="AI109" s="7354"/>
      <c r="AJ109" s="7354"/>
      <c r="AK109" s="7354"/>
      <c r="AL109" s="7354"/>
      <c r="AM109" s="7354"/>
      <c r="AN109" s="7354"/>
      <c r="AO109" s="7354"/>
      <c r="AP109" s="2162"/>
      <c r="BG109" s="2396"/>
      <c r="BH109" s="2038"/>
      <c r="BI109" s="2038"/>
      <c r="BJ109" s="2038"/>
      <c r="BK109" s="2038"/>
      <c r="BL109" s="2038"/>
      <c r="BM109" s="2038"/>
      <c r="BN109" s="2038"/>
      <c r="BO109" s="2038"/>
      <c r="BP109" s="2038"/>
    </row>
    <row r="110" spans="1:69" ht="13.5" customHeight="1">
      <c r="A110" s="2162"/>
      <c r="B110" s="7433" t="s">
        <v>644</v>
      </c>
      <c r="C110" s="7433"/>
      <c r="D110" s="2112" t="s">
        <v>2760</v>
      </c>
      <c r="E110" s="808"/>
      <c r="F110" s="7335">
        <f>ROUND(SUM(C107:C108),0)</f>
        <v>0</v>
      </c>
      <c r="G110" s="7336"/>
      <c r="H110" s="7336"/>
      <c r="I110" s="7336"/>
      <c r="J110" s="7336"/>
      <c r="K110" s="7336"/>
      <c r="L110" s="7336"/>
      <c r="M110" s="7336"/>
      <c r="N110" s="7337"/>
      <c r="O110" s="2479"/>
      <c r="P110" s="2388"/>
      <c r="Q110" s="2388"/>
      <c r="R110" s="2388"/>
      <c r="S110" s="2388"/>
      <c r="T110" s="2388"/>
      <c r="U110" s="2388"/>
      <c r="V110" s="2388"/>
      <c r="W110" s="2388"/>
      <c r="X110" s="2480"/>
      <c r="Y110" s="7335">
        <f>ROUND(SUM(Y107:Y108),0)</f>
        <v>0</v>
      </c>
      <c r="Z110" s="7336"/>
      <c r="AA110" s="7336"/>
      <c r="AB110" s="7336"/>
      <c r="AC110" s="7336"/>
      <c r="AD110" s="7336"/>
      <c r="AE110" s="7336"/>
      <c r="AF110" s="7336"/>
      <c r="AG110" s="7337"/>
      <c r="AH110" s="818"/>
      <c r="AI110" s="2403"/>
      <c r="AJ110" s="2403"/>
      <c r="AK110" s="2403"/>
      <c r="AL110" s="2403"/>
      <c r="AM110" s="2403"/>
      <c r="AN110" s="2403"/>
      <c r="AO110" s="2403"/>
      <c r="AP110" s="2162"/>
      <c r="BG110" s="2396"/>
      <c r="BH110" s="2038"/>
      <c r="BI110" s="2038"/>
      <c r="BJ110" s="2038"/>
      <c r="BK110" s="2038"/>
      <c r="BL110" s="2038"/>
      <c r="BM110" s="2038"/>
      <c r="BN110" s="2038"/>
      <c r="BO110" s="2038"/>
      <c r="BP110" s="2038"/>
    </row>
    <row r="111" spans="1:69" ht="13.5" customHeight="1">
      <c r="A111" s="2162"/>
      <c r="B111" s="7328">
        <v>35</v>
      </c>
      <c r="C111" s="7328"/>
      <c r="D111" s="2112" t="s">
        <v>2771</v>
      </c>
      <c r="E111" s="808"/>
      <c r="F111" s="808"/>
      <c r="G111" s="808"/>
      <c r="H111" s="808"/>
      <c r="I111" s="808"/>
      <c r="J111" s="808"/>
      <c r="K111" s="808"/>
      <c r="L111" s="808"/>
      <c r="M111" s="808"/>
      <c r="N111" s="808"/>
      <c r="O111" s="808"/>
      <c r="P111" s="808"/>
      <c r="Q111" s="808"/>
      <c r="R111" s="808"/>
      <c r="S111" s="808"/>
      <c r="T111" s="808"/>
      <c r="U111" s="808"/>
      <c r="V111" s="808"/>
      <c r="W111" s="808"/>
      <c r="X111" s="808"/>
      <c r="Y111" s="808"/>
      <c r="Z111" s="808"/>
      <c r="AA111" s="808"/>
      <c r="AB111" s="808"/>
      <c r="AC111" s="808"/>
      <c r="AD111" s="808"/>
      <c r="AE111" s="808"/>
      <c r="AF111" s="808"/>
      <c r="AG111" s="2760" t="s">
        <v>754</v>
      </c>
      <c r="AH111" s="7426">
        <v>35</v>
      </c>
      <c r="AI111" s="7569"/>
      <c r="AJ111" s="7386">
        <f>SUM(O109,AH109)</f>
        <v>0</v>
      </c>
      <c r="AK111" s="7576"/>
      <c r="AL111" s="7576"/>
      <c r="AM111" s="7576"/>
      <c r="AN111" s="7576"/>
      <c r="AO111" s="7576"/>
      <c r="AP111" s="2162"/>
      <c r="BG111" s="2396"/>
      <c r="BH111" s="2038"/>
      <c r="BI111" s="2038"/>
      <c r="BJ111" s="2038"/>
      <c r="BK111" s="2038"/>
      <c r="BL111" s="2038"/>
      <c r="BM111" s="2038"/>
      <c r="BN111" s="2038"/>
      <c r="BO111" s="2038"/>
      <c r="BP111" s="2038"/>
    </row>
    <row r="112" spans="1:69" ht="13.5" customHeight="1">
      <c r="A112" s="2162"/>
      <c r="B112" s="7328">
        <v>36</v>
      </c>
      <c r="C112" s="7328"/>
      <c r="D112" s="2112" t="s">
        <v>2772</v>
      </c>
      <c r="E112" s="808"/>
      <c r="F112" s="808"/>
      <c r="G112" s="808"/>
      <c r="H112" s="808"/>
      <c r="I112" s="808"/>
      <c r="J112" s="808"/>
      <c r="K112" s="808"/>
      <c r="L112" s="808"/>
      <c r="M112" s="808"/>
      <c r="N112" s="808"/>
      <c r="O112" s="808"/>
      <c r="P112" s="808"/>
      <c r="Q112" s="808"/>
      <c r="R112" s="808"/>
      <c r="S112" s="808"/>
      <c r="T112" s="808"/>
      <c r="U112" s="808"/>
      <c r="V112" s="808"/>
      <c r="W112" s="808"/>
      <c r="X112" s="808"/>
      <c r="Y112" s="808"/>
      <c r="Z112" s="808"/>
      <c r="AA112" s="808"/>
      <c r="AB112" s="808"/>
      <c r="AC112" s="808"/>
      <c r="AD112" s="808"/>
      <c r="AE112" s="808"/>
      <c r="AF112" s="808"/>
      <c r="AG112" s="2760" t="s">
        <v>754</v>
      </c>
      <c r="AH112" s="7426">
        <v>36</v>
      </c>
      <c r="AI112" s="7569"/>
      <c r="AJ112" s="4709" t="s">
        <v>905</v>
      </c>
      <c r="AK112" s="7352">
        <f>SUM(F110,Y110)</f>
        <v>0</v>
      </c>
      <c r="AL112" s="7353"/>
      <c r="AM112" s="7353"/>
      <c r="AN112" s="7353"/>
      <c r="AO112" s="2500" t="s">
        <v>906</v>
      </c>
      <c r="AP112" s="2162"/>
      <c r="BG112" s="2396"/>
      <c r="BH112" s="2038"/>
      <c r="BI112" s="2038"/>
      <c r="BJ112" s="2038"/>
      <c r="BK112" s="2038"/>
      <c r="BL112" s="2038"/>
      <c r="BM112" s="2038"/>
      <c r="BN112" s="2038"/>
      <c r="BO112" s="2038"/>
      <c r="BP112" s="2038"/>
    </row>
    <row r="113" spans="1:69" ht="13.5" customHeight="1">
      <c r="A113" s="2162"/>
      <c r="B113" s="7334">
        <v>37</v>
      </c>
      <c r="C113" s="7334"/>
      <c r="D113" s="2190" t="s">
        <v>2773</v>
      </c>
      <c r="E113" s="1121"/>
      <c r="F113" s="1121"/>
      <c r="G113" s="1121"/>
      <c r="H113" s="1121"/>
      <c r="I113" s="1121"/>
      <c r="J113" s="1121"/>
      <c r="K113" s="1121"/>
      <c r="L113" s="1121"/>
      <c r="M113" s="1121"/>
      <c r="N113" s="1121"/>
      <c r="O113" s="1121"/>
      <c r="P113" s="1121"/>
      <c r="Q113" s="1121"/>
      <c r="R113" s="1121"/>
      <c r="S113" s="1121"/>
      <c r="T113" s="1121"/>
      <c r="U113" s="1121"/>
      <c r="V113" s="1121"/>
      <c r="W113" s="1121"/>
      <c r="X113" s="1121"/>
      <c r="Y113" s="1121"/>
      <c r="Z113" s="1121"/>
      <c r="AA113" s="1121"/>
      <c r="AB113" s="1121"/>
      <c r="AC113" s="1121"/>
      <c r="AD113" s="1121"/>
      <c r="AE113" s="1121"/>
      <c r="AF113" s="1121"/>
      <c r="AG113" s="2762" t="s">
        <v>752</v>
      </c>
      <c r="AH113" s="7426">
        <v>37</v>
      </c>
      <c r="AI113" s="7569"/>
      <c r="AJ113" s="7386">
        <f>SUM(AJ111,-AK112)</f>
        <v>0</v>
      </c>
      <c r="AK113" s="7576"/>
      <c r="AL113" s="7576"/>
      <c r="AM113" s="7576"/>
      <c r="AN113" s="7576"/>
      <c r="AO113" s="7576"/>
      <c r="AP113" s="2162"/>
      <c r="BG113" s="2396"/>
      <c r="BH113" s="2038"/>
      <c r="BI113" s="2038"/>
      <c r="BJ113" s="2038"/>
      <c r="BK113" s="2038"/>
      <c r="BL113" s="2038"/>
      <c r="BM113" s="2038"/>
      <c r="BN113" s="2038"/>
      <c r="BO113" s="2038"/>
      <c r="BP113" s="2038"/>
    </row>
    <row r="114" spans="1:69" s="2114" customFormat="1" ht="17.25" customHeight="1">
      <c r="A114" s="2163"/>
      <c r="B114" s="7384" t="s">
        <v>2410</v>
      </c>
      <c r="C114" s="7384"/>
      <c r="D114" s="7385"/>
      <c r="E114" s="2115"/>
      <c r="F114" s="2179" t="s">
        <v>2774</v>
      </c>
      <c r="G114" s="2115"/>
      <c r="H114" s="2115"/>
      <c r="I114" s="2115"/>
      <c r="J114" s="2115"/>
      <c r="K114" s="2115"/>
      <c r="L114" s="2115"/>
      <c r="M114" s="2115"/>
      <c r="N114" s="2115"/>
      <c r="O114" s="2115"/>
      <c r="P114" s="2115"/>
      <c r="Q114" s="2115"/>
      <c r="R114" s="2115"/>
      <c r="S114" s="2115"/>
      <c r="T114" s="2115"/>
      <c r="U114" s="2115"/>
      <c r="V114" s="2115"/>
      <c r="W114" s="2115"/>
      <c r="X114" s="2113"/>
      <c r="Y114" s="2115"/>
      <c r="Z114" s="2115"/>
      <c r="AA114" s="2115"/>
      <c r="AB114" s="2115"/>
      <c r="AC114" s="2115"/>
      <c r="AD114" s="2115"/>
      <c r="AE114" s="2115"/>
      <c r="AF114" s="2115"/>
      <c r="AG114" s="998"/>
      <c r="AH114" s="2115"/>
      <c r="AI114" s="2115"/>
      <c r="AJ114" s="2115"/>
      <c r="AK114" s="2115"/>
      <c r="AL114" s="2115"/>
      <c r="AM114" s="2115"/>
      <c r="AN114" s="2115"/>
      <c r="AO114" s="2115"/>
      <c r="AP114" s="2162"/>
      <c r="AX114" s="39"/>
      <c r="AY114" s="39"/>
      <c r="AZ114" s="39"/>
      <c r="BA114" s="39"/>
      <c r="BB114" s="39"/>
      <c r="BC114" s="39"/>
      <c r="BD114" s="39"/>
      <c r="BG114" s="2396"/>
      <c r="BH114" s="2038"/>
      <c r="BI114" s="2038"/>
      <c r="BJ114" s="2038"/>
      <c r="BK114" s="2038"/>
      <c r="BL114" s="2038"/>
      <c r="BM114" s="2038"/>
      <c r="BN114" s="2038"/>
      <c r="BO114" s="2038"/>
      <c r="BP114" s="2038"/>
      <c r="BQ114" s="2690"/>
    </row>
    <row r="115" spans="1:69" ht="12.75" customHeight="1">
      <c r="A115" s="2162"/>
      <c r="B115" s="1142"/>
      <c r="C115" s="4711"/>
      <c r="D115" s="7345" t="s">
        <v>2775</v>
      </c>
      <c r="E115" s="7346"/>
      <c r="F115" s="7346"/>
      <c r="G115" s="7346"/>
      <c r="H115" s="7346"/>
      <c r="I115" s="7346"/>
      <c r="J115" s="7347"/>
      <c r="K115" s="7428" t="s">
        <v>2776</v>
      </c>
      <c r="L115" s="7429"/>
      <c r="M115" s="7429"/>
      <c r="N115" s="7429"/>
      <c r="O115" s="7429"/>
      <c r="P115" s="7429"/>
      <c r="Q115" s="7429"/>
      <c r="R115" s="7429"/>
      <c r="S115" s="7577" t="s">
        <v>2777</v>
      </c>
      <c r="T115" s="7578"/>
      <c r="U115" s="7578"/>
      <c r="V115" s="7578"/>
      <c r="W115" s="7578"/>
      <c r="X115" s="7578"/>
      <c r="Y115" s="7578"/>
      <c r="Z115" s="7373" t="s">
        <v>2778</v>
      </c>
      <c r="AA115" s="7374"/>
      <c r="AB115" s="7374"/>
      <c r="AC115" s="7374"/>
      <c r="AD115" s="7374"/>
      <c r="AE115" s="7374"/>
      <c r="AF115" s="7374"/>
      <c r="AG115" s="7468"/>
      <c r="AH115" s="7373" t="s">
        <v>2779</v>
      </c>
      <c r="AI115" s="7374"/>
      <c r="AJ115" s="7374"/>
      <c r="AK115" s="7374"/>
      <c r="AL115" s="7374"/>
      <c r="AM115" s="7374"/>
      <c r="AN115" s="7374"/>
      <c r="AO115" s="7374"/>
      <c r="AP115" s="2162"/>
      <c r="BG115" s="2396"/>
      <c r="BH115" s="2038"/>
      <c r="BI115" s="2038"/>
      <c r="BJ115" s="2038"/>
      <c r="BK115" s="2038"/>
      <c r="BL115" s="2038"/>
      <c r="BM115" s="2038"/>
      <c r="BN115" s="2038"/>
      <c r="BO115" s="2038"/>
      <c r="BP115" s="2038"/>
    </row>
    <row r="116" spans="1:69" ht="12.75" customHeight="1">
      <c r="A116" s="2162"/>
      <c r="B116" s="7390">
        <v>38</v>
      </c>
      <c r="C116" s="6466"/>
      <c r="D116" s="7348"/>
      <c r="E116" s="7348"/>
      <c r="F116" s="7348"/>
      <c r="G116" s="7348"/>
      <c r="H116" s="7348"/>
      <c r="I116" s="7348"/>
      <c r="J116" s="7349"/>
      <c r="K116" s="7430"/>
      <c r="L116" s="7430"/>
      <c r="M116" s="7430"/>
      <c r="N116" s="7430"/>
      <c r="O116" s="7430"/>
      <c r="P116" s="7430"/>
      <c r="Q116" s="7430"/>
      <c r="R116" s="7430"/>
      <c r="S116" s="7579"/>
      <c r="T116" s="7579"/>
      <c r="U116" s="7579"/>
      <c r="V116" s="7579"/>
      <c r="W116" s="7579"/>
      <c r="X116" s="7579"/>
      <c r="Y116" s="7579"/>
      <c r="Z116" s="7375"/>
      <c r="AA116" s="7376"/>
      <c r="AB116" s="7376"/>
      <c r="AC116" s="7376"/>
      <c r="AD116" s="7376"/>
      <c r="AE116" s="7376"/>
      <c r="AF116" s="7376"/>
      <c r="AG116" s="7469"/>
      <c r="AH116" s="7375"/>
      <c r="AI116" s="7376"/>
      <c r="AJ116" s="7376"/>
      <c r="AK116" s="7376"/>
      <c r="AL116" s="7376"/>
      <c r="AM116" s="7376"/>
      <c r="AN116" s="7376"/>
      <c r="AO116" s="7376"/>
      <c r="AP116" s="2162"/>
      <c r="AX116" s="2114"/>
      <c r="AY116" s="2114"/>
      <c r="AZ116" s="2114"/>
      <c r="BA116" s="2114"/>
      <c r="BB116" s="2114"/>
      <c r="BC116" s="2114"/>
      <c r="BD116" s="2114"/>
      <c r="BG116" s="2396"/>
      <c r="BH116" s="2038"/>
      <c r="BI116" s="2038"/>
      <c r="BJ116" s="2038"/>
      <c r="BK116" s="2038"/>
      <c r="BL116" s="2038"/>
      <c r="BM116" s="2038"/>
      <c r="BN116" s="2038"/>
      <c r="BO116" s="2038"/>
      <c r="BP116" s="2038"/>
    </row>
    <row r="117" spans="1:69" ht="12.75" customHeight="1">
      <c r="A117" s="2162"/>
      <c r="B117" s="1121"/>
      <c r="C117" s="4721"/>
      <c r="D117" s="7350"/>
      <c r="E117" s="7350"/>
      <c r="F117" s="7350"/>
      <c r="G117" s="7350"/>
      <c r="H117" s="7350"/>
      <c r="I117" s="7350"/>
      <c r="J117" s="7351"/>
      <c r="K117" s="7431"/>
      <c r="L117" s="7431"/>
      <c r="M117" s="7431"/>
      <c r="N117" s="7431"/>
      <c r="O117" s="7431"/>
      <c r="P117" s="7431"/>
      <c r="Q117" s="7431"/>
      <c r="R117" s="7431"/>
      <c r="S117" s="7580"/>
      <c r="T117" s="7580"/>
      <c r="U117" s="7580"/>
      <c r="V117" s="7580"/>
      <c r="W117" s="7580"/>
      <c r="X117" s="7580"/>
      <c r="Y117" s="7580"/>
      <c r="Z117" s="7377"/>
      <c r="AA117" s="7378"/>
      <c r="AB117" s="7378"/>
      <c r="AC117" s="7378"/>
      <c r="AD117" s="7378"/>
      <c r="AE117" s="7378"/>
      <c r="AF117" s="7378"/>
      <c r="AG117" s="7470"/>
      <c r="AH117" s="7377"/>
      <c r="AI117" s="7378"/>
      <c r="AJ117" s="7378"/>
      <c r="AK117" s="7378"/>
      <c r="AL117" s="7378"/>
      <c r="AM117" s="7378"/>
      <c r="AN117" s="7378"/>
      <c r="AO117" s="7378"/>
      <c r="AP117" s="2162"/>
      <c r="AQ117" s="260"/>
      <c r="AR117" s="260"/>
      <c r="AS117" s="260"/>
      <c r="BG117" s="2396"/>
      <c r="BH117" s="2038"/>
      <c r="BI117" s="2038"/>
      <c r="BJ117" s="2038"/>
      <c r="BK117" s="2038"/>
      <c r="BL117" s="2038"/>
      <c r="BM117" s="2038"/>
      <c r="BN117" s="2038"/>
      <c r="BO117" s="2038"/>
      <c r="BP117" s="2038"/>
    </row>
    <row r="118" spans="1:69" ht="12.75" customHeight="1">
      <c r="A118" s="2162"/>
      <c r="B118" s="7423"/>
      <c r="C118" s="7424"/>
      <c r="D118" s="7424"/>
      <c r="E118" s="7424"/>
      <c r="F118" s="7424"/>
      <c r="G118" s="7424"/>
      <c r="H118" s="7424"/>
      <c r="I118" s="7424"/>
      <c r="J118" s="7425"/>
      <c r="K118" s="7360"/>
      <c r="L118" s="7361"/>
      <c r="M118" s="7361"/>
      <c r="N118" s="7361"/>
      <c r="O118" s="7361"/>
      <c r="P118" s="7361"/>
      <c r="Q118" s="7361"/>
      <c r="R118" s="7362"/>
      <c r="S118" s="7363"/>
      <c r="T118" s="7363"/>
      <c r="U118" s="7363"/>
      <c r="V118" s="7363"/>
      <c r="W118" s="7363"/>
      <c r="X118" s="7363"/>
      <c r="Y118" s="7363"/>
      <c r="Z118" s="7388"/>
      <c r="AA118" s="7389"/>
      <c r="AB118" s="7389"/>
      <c r="AC118" s="7389"/>
      <c r="AD118" s="7389"/>
      <c r="AE118" s="7389"/>
      <c r="AF118" s="7389"/>
      <c r="AG118" s="7422"/>
      <c r="AH118" s="7388"/>
      <c r="AI118" s="7389"/>
      <c r="AJ118" s="7389"/>
      <c r="AK118" s="7389"/>
      <c r="AL118" s="7389"/>
      <c r="AM118" s="7389"/>
      <c r="AN118" s="7389"/>
      <c r="AO118" s="7389"/>
      <c r="AP118" s="2162"/>
      <c r="AQ118" s="260"/>
      <c r="AR118" s="1896" t="s">
        <v>867</v>
      </c>
      <c r="AS118" s="260"/>
      <c r="BG118" s="2396"/>
      <c r="BH118" s="2038"/>
      <c r="BI118" s="2038"/>
      <c r="BJ118" s="2038"/>
      <c r="BK118" s="2038"/>
      <c r="BL118" s="2038"/>
      <c r="BM118" s="2038"/>
      <c r="BN118" s="2038"/>
      <c r="BO118" s="2038"/>
      <c r="BP118" s="2038"/>
    </row>
    <row r="119" spans="1:69" ht="13.5" customHeight="1">
      <c r="A119" s="2162"/>
      <c r="B119" s="7334">
        <v>39</v>
      </c>
      <c r="C119" s="7334"/>
      <c r="D119" s="2190" t="s">
        <v>2780</v>
      </c>
      <c r="E119" s="1121"/>
      <c r="F119" s="1121"/>
      <c r="G119" s="1121"/>
      <c r="H119" s="1121"/>
      <c r="I119" s="1121"/>
      <c r="J119" s="1121"/>
      <c r="K119" s="1121"/>
      <c r="L119" s="1121"/>
      <c r="M119" s="1121"/>
      <c r="N119" s="1121"/>
      <c r="O119" s="1121"/>
      <c r="P119" s="1121"/>
      <c r="Q119" s="1121"/>
      <c r="R119" s="1121"/>
      <c r="S119" s="1121"/>
      <c r="T119" s="1121"/>
      <c r="U119" s="1121"/>
      <c r="V119" s="1121"/>
      <c r="W119" s="1121"/>
      <c r="X119" s="1121"/>
      <c r="Y119" s="1121"/>
      <c r="Z119" s="1121"/>
      <c r="AA119" s="1121"/>
      <c r="AB119" s="1121"/>
      <c r="AC119" s="1121"/>
      <c r="AD119" s="1121"/>
      <c r="AE119" s="1121"/>
      <c r="AF119" s="1121"/>
      <c r="AG119" s="2391"/>
      <c r="AH119" s="7426">
        <v>39</v>
      </c>
      <c r="AI119" s="7427"/>
      <c r="AJ119" s="7335">
        <f>IF(AR119&lt;&gt;"",ROUND(AR119,0),ROUND(SUM(Z118,AH118),0))</f>
        <v>0</v>
      </c>
      <c r="AK119" s="7354"/>
      <c r="AL119" s="7354"/>
      <c r="AM119" s="7354"/>
      <c r="AN119" s="7354"/>
      <c r="AO119" s="7354"/>
      <c r="AP119" s="2162"/>
      <c r="AQ119" s="260"/>
      <c r="AR119" s="2492"/>
      <c r="AS119" s="260"/>
      <c r="BG119" s="2396"/>
      <c r="BH119" s="2038"/>
      <c r="BI119" s="2038"/>
      <c r="BJ119" s="2038"/>
      <c r="BK119" s="2038"/>
      <c r="BL119" s="2038"/>
      <c r="BM119" s="2038"/>
      <c r="BN119" s="2038"/>
      <c r="BO119" s="2038"/>
      <c r="BP119" s="2038"/>
    </row>
    <row r="120" spans="1:69" s="2114" customFormat="1" ht="17.25" customHeight="1">
      <c r="A120" s="2163"/>
      <c r="B120" s="7384" t="s">
        <v>2425</v>
      </c>
      <c r="C120" s="7384"/>
      <c r="D120" s="7385"/>
      <c r="E120" s="2115"/>
      <c r="F120" s="3760" t="s">
        <v>2781</v>
      </c>
      <c r="G120" s="2115"/>
      <c r="H120" s="2115"/>
      <c r="I120" s="2115"/>
      <c r="J120" s="2115"/>
      <c r="K120" s="2115"/>
      <c r="L120" s="2115"/>
      <c r="M120" s="2115"/>
      <c r="N120" s="2115"/>
      <c r="O120" s="2115"/>
      <c r="P120" s="2115"/>
      <c r="Q120" s="2115"/>
      <c r="R120" s="2115"/>
      <c r="S120" s="2115"/>
      <c r="T120" s="2115"/>
      <c r="U120" s="2115"/>
      <c r="V120" s="2115"/>
      <c r="W120" s="2115"/>
      <c r="X120" s="2113"/>
      <c r="Y120" s="2115"/>
      <c r="Z120" s="2115"/>
      <c r="AA120" s="2115"/>
      <c r="AB120" s="2115"/>
      <c r="AC120" s="2115"/>
      <c r="AD120" s="2115"/>
      <c r="AE120" s="2115"/>
      <c r="AF120" s="2115"/>
      <c r="AG120" s="2115"/>
      <c r="AH120" s="2115"/>
      <c r="AI120" s="2115"/>
      <c r="AJ120" s="2115"/>
      <c r="AK120" s="2115"/>
      <c r="AL120" s="2115"/>
      <c r="AM120" s="2115"/>
      <c r="AN120" s="2115"/>
      <c r="AO120" s="2115"/>
      <c r="AP120" s="2162"/>
      <c r="AQ120" s="260"/>
      <c r="AR120" s="260"/>
      <c r="AS120" s="260"/>
      <c r="AX120" s="39"/>
      <c r="AY120" s="39"/>
      <c r="AZ120" s="39"/>
      <c r="BA120" s="39"/>
      <c r="BB120" s="39"/>
      <c r="BC120" s="39"/>
      <c r="BD120" s="39"/>
      <c r="BG120" s="2396"/>
      <c r="BH120" s="2038"/>
      <c r="BI120" s="2038"/>
      <c r="BJ120" s="2038"/>
      <c r="BK120" s="2038"/>
      <c r="BL120" s="2038"/>
      <c r="BM120" s="2038"/>
      <c r="BN120" s="2038"/>
      <c r="BO120" s="2038"/>
      <c r="BP120" s="2038"/>
      <c r="BQ120" s="2690"/>
    </row>
    <row r="121" spans="1:69" ht="16.5" customHeight="1" thickBot="1">
      <c r="A121" s="2162"/>
      <c r="B121" s="7364">
        <v>40</v>
      </c>
      <c r="C121" s="7364"/>
      <c r="D121" s="2440" t="s">
        <v>2782</v>
      </c>
      <c r="E121" s="1142"/>
      <c r="F121" s="1142"/>
      <c r="G121" s="1142"/>
      <c r="H121" s="1142"/>
      <c r="I121" s="1142"/>
      <c r="J121" s="1142"/>
      <c r="K121" s="1142"/>
      <c r="L121" s="1142"/>
      <c r="M121" s="1142"/>
      <c r="N121" s="1142"/>
      <c r="O121" s="1142"/>
      <c r="P121" s="1142"/>
      <c r="Q121" s="1142"/>
      <c r="R121" s="1142"/>
      <c r="S121" s="1142"/>
      <c r="T121" s="1142"/>
      <c r="U121" s="1142"/>
      <c r="V121" s="1142"/>
      <c r="W121" s="1142"/>
      <c r="X121" s="1142"/>
      <c r="Y121" s="1142"/>
      <c r="Z121" s="1142"/>
      <c r="AA121" s="1142"/>
      <c r="AB121" s="1142"/>
      <c r="AC121" s="1142"/>
      <c r="AD121" s="1142"/>
      <c r="AE121" s="1142"/>
      <c r="AF121" s="1142"/>
      <c r="AG121" s="2760" t="s">
        <v>654</v>
      </c>
      <c r="AH121" s="7418">
        <v>40</v>
      </c>
      <c r="AI121" s="7419"/>
      <c r="AJ121" s="7574"/>
      <c r="AK121" s="7575"/>
      <c r="AL121" s="7575"/>
      <c r="AM121" s="7575"/>
      <c r="AN121" s="7575"/>
      <c r="AO121" s="7575"/>
      <c r="AP121" s="2162"/>
      <c r="AQ121" s="260"/>
      <c r="AR121" s="260"/>
      <c r="AS121" s="260"/>
      <c r="BG121" s="2396"/>
      <c r="BH121" s="2038"/>
      <c r="BI121" s="2038"/>
      <c r="BJ121" s="2038"/>
      <c r="BK121" s="2038"/>
      <c r="BL121" s="2038"/>
      <c r="BM121" s="2038"/>
      <c r="BN121" s="2038"/>
      <c r="BO121" s="2038"/>
      <c r="BP121" s="2038"/>
    </row>
    <row r="122" spans="1:69" ht="13.5" customHeight="1">
      <c r="A122" s="2162"/>
      <c r="B122" s="7328">
        <v>41</v>
      </c>
      <c r="C122" s="7328"/>
      <c r="D122" s="2112" t="s">
        <v>2783</v>
      </c>
      <c r="E122" s="808"/>
      <c r="F122" s="808"/>
      <c r="G122" s="808"/>
      <c r="H122" s="808"/>
      <c r="I122" s="808"/>
      <c r="J122" s="808"/>
      <c r="K122" s="808"/>
      <c r="L122" s="808"/>
      <c r="M122" s="808"/>
      <c r="N122" s="808"/>
      <c r="O122" s="808"/>
      <c r="P122" s="808"/>
      <c r="Q122" s="808"/>
      <c r="R122" s="808"/>
      <c r="S122" s="808"/>
      <c r="T122" s="808"/>
      <c r="U122" s="808"/>
      <c r="V122" s="808"/>
      <c r="W122" s="808"/>
      <c r="X122" s="808"/>
      <c r="Y122" s="808"/>
      <c r="Z122" s="808"/>
      <c r="AA122" s="808"/>
      <c r="AB122" s="808"/>
      <c r="AC122" s="808"/>
      <c r="AD122" s="808"/>
      <c r="AE122" s="808"/>
      <c r="AF122" s="808"/>
      <c r="AG122" s="1151"/>
      <c r="AH122" s="1895"/>
      <c r="AI122" s="4994"/>
      <c r="AJ122" s="4995"/>
      <c r="AK122" s="3340"/>
      <c r="AL122" s="3340"/>
      <c r="AM122" s="3340"/>
      <c r="AN122" s="3340"/>
      <c r="AO122" s="3340"/>
      <c r="AP122" s="2162"/>
      <c r="AQ122" s="260"/>
      <c r="AR122" s="260"/>
      <c r="AS122" s="260"/>
      <c r="AX122" s="2114"/>
      <c r="AY122" s="2114"/>
      <c r="AZ122" s="2114"/>
      <c r="BA122" s="2114"/>
      <c r="BB122" s="2114"/>
      <c r="BC122" s="2114"/>
      <c r="BD122" s="2114"/>
      <c r="BG122" s="2396"/>
      <c r="BH122" s="2038"/>
      <c r="BI122" s="2038"/>
      <c r="BJ122" s="2038"/>
      <c r="BK122" s="2038"/>
      <c r="BL122" s="2038"/>
      <c r="BM122" s="2038"/>
      <c r="BN122" s="2038"/>
      <c r="BO122" s="2038"/>
      <c r="BP122" s="2038"/>
    </row>
    <row r="123" spans="1:69" ht="13.5" customHeight="1">
      <c r="A123" s="2162"/>
      <c r="B123" s="7328"/>
      <c r="C123" s="7328"/>
      <c r="D123" s="2112" t="s">
        <v>2784</v>
      </c>
      <c r="E123" s="808"/>
      <c r="F123" s="808"/>
      <c r="G123" s="808"/>
      <c r="H123" s="808"/>
      <c r="I123" s="808"/>
      <c r="J123" s="808"/>
      <c r="K123" s="808"/>
      <c r="L123" s="808"/>
      <c r="M123" s="808"/>
      <c r="N123" s="808"/>
      <c r="O123" s="808"/>
      <c r="P123" s="808"/>
      <c r="Q123" s="808"/>
      <c r="R123" s="808"/>
      <c r="S123" s="808"/>
      <c r="T123" s="808"/>
      <c r="U123" s="808"/>
      <c r="V123" s="808"/>
      <c r="W123" s="808"/>
      <c r="X123" s="808"/>
      <c r="Y123" s="808"/>
      <c r="Z123" s="808"/>
      <c r="AA123" s="808"/>
      <c r="AB123" s="808"/>
      <c r="AC123" s="808"/>
      <c r="AD123" s="808"/>
      <c r="AE123" s="808"/>
      <c r="AF123" s="808"/>
      <c r="AG123" s="2760" t="s">
        <v>2170</v>
      </c>
      <c r="AH123" s="7420">
        <v>41</v>
      </c>
      <c r="AI123" s="7421"/>
      <c r="AJ123" s="6353">
        <f>IF(AR123&lt;&gt;"",ROUND(AR123,0),IF(SchE1_Completed,SUM(SchE1_Line26,SchE1_Line32,SchE1_Line37,SchE1_Line39,ROUND(SchE1_Line40,0)),0))</f>
        <v>0</v>
      </c>
      <c r="AK123" s="6354"/>
      <c r="AL123" s="6354"/>
      <c r="AM123" s="6354"/>
      <c r="AN123" s="6354"/>
      <c r="AO123" s="6354"/>
      <c r="AP123" s="2162"/>
      <c r="AQ123" s="260"/>
      <c r="AR123" s="2492"/>
      <c r="AS123" s="260"/>
      <c r="AV123" s="39" t="b">
        <f>OR(SchE1_Line26&lt;&gt;0,SchE1_Line32&lt;&gt;0,SchE1_Line37&lt;&gt;0,SchE1_Line39&lt;&gt;0,SchE1_Line40&lt;&gt;0)</f>
        <v>0</v>
      </c>
      <c r="AX123" s="2114"/>
      <c r="AY123" s="2114"/>
      <c r="AZ123" s="2114"/>
      <c r="BA123" s="2114"/>
      <c r="BB123" s="2114"/>
      <c r="BC123" s="2114"/>
      <c r="BD123" s="2114"/>
      <c r="BG123" s="2396"/>
      <c r="BH123" s="2038"/>
      <c r="BI123" s="2038"/>
      <c r="BJ123" s="2038"/>
      <c r="BK123" s="2038"/>
      <c r="BL123" s="2038"/>
      <c r="BM123" s="2038"/>
      <c r="BN123" s="2038"/>
      <c r="BO123" s="2038"/>
      <c r="BP123" s="2038"/>
    </row>
    <row r="124" spans="1:69" ht="12.75" customHeight="1">
      <c r="A124" s="2162"/>
      <c r="B124" s="7328">
        <v>42</v>
      </c>
      <c r="C124" s="7328"/>
      <c r="D124" s="1108" t="s">
        <v>2785</v>
      </c>
      <c r="E124" s="808"/>
      <c r="F124" s="808"/>
      <c r="G124" s="808"/>
      <c r="H124" s="808"/>
      <c r="I124" s="808"/>
      <c r="J124" s="808"/>
      <c r="K124" s="808"/>
      <c r="L124" s="808"/>
      <c r="M124" s="808"/>
      <c r="N124" s="808"/>
      <c r="O124" s="808"/>
      <c r="P124" s="808"/>
      <c r="Q124" s="808"/>
      <c r="R124" s="808"/>
      <c r="S124" s="808"/>
      <c r="T124" s="808"/>
      <c r="U124" s="808"/>
      <c r="V124" s="808"/>
      <c r="W124" s="808"/>
      <c r="X124" s="808"/>
      <c r="Y124" s="1150"/>
      <c r="Z124" s="1151"/>
      <c r="AA124" s="808"/>
      <c r="AB124" s="808"/>
      <c r="AC124" s="808"/>
      <c r="AD124" s="808"/>
      <c r="AE124" s="808"/>
      <c r="AF124" s="808"/>
      <c r="AG124" s="1151"/>
      <c r="AH124" s="1130"/>
      <c r="AI124" s="1130"/>
      <c r="AJ124" s="1130"/>
      <c r="AK124" s="1130"/>
      <c r="AL124" s="1130"/>
      <c r="AM124" s="1130"/>
      <c r="AN124" s="1130"/>
      <c r="AO124" s="1130"/>
      <c r="AP124" s="2162"/>
      <c r="AQ124" s="260"/>
      <c r="AR124" s="260"/>
      <c r="AS124" s="260"/>
      <c r="AV124" s="2502">
        <f>IF(SchE1_Completed,SchE1_Line41,SchE1_Line26)</f>
        <v>0</v>
      </c>
      <c r="BG124" s="2396"/>
      <c r="BH124" s="2038"/>
      <c r="BI124" s="2038"/>
      <c r="BJ124" s="2038"/>
      <c r="BK124" s="2038"/>
      <c r="BL124" s="2038"/>
      <c r="BM124" s="2038"/>
      <c r="BN124" s="2038"/>
      <c r="BO124" s="2038"/>
      <c r="BP124" s="2038"/>
    </row>
    <row r="125" spans="1:69" ht="12.75" customHeight="1">
      <c r="A125" s="2162"/>
      <c r="B125" s="2177"/>
      <c r="C125" s="808"/>
      <c r="D125" s="2112" t="s">
        <v>2786</v>
      </c>
      <c r="E125" s="808"/>
      <c r="F125" s="808"/>
      <c r="G125" s="808"/>
      <c r="H125" s="808"/>
      <c r="I125" s="808"/>
      <c r="J125" s="808"/>
      <c r="K125" s="808"/>
      <c r="L125" s="808"/>
      <c r="M125" s="808"/>
      <c r="N125" s="808"/>
      <c r="O125" s="808"/>
      <c r="P125" s="808"/>
      <c r="Q125" s="808"/>
      <c r="R125" s="808"/>
      <c r="S125" s="808"/>
      <c r="T125" s="808"/>
      <c r="U125" s="808"/>
      <c r="V125" s="808"/>
      <c r="W125" s="808"/>
      <c r="X125" s="808"/>
      <c r="Y125" s="1150"/>
      <c r="Z125" s="1151"/>
      <c r="AA125" s="808"/>
      <c r="AB125" s="808"/>
      <c r="AC125" s="808"/>
      <c r="AD125" s="808"/>
      <c r="AE125" s="808"/>
      <c r="AF125" s="808"/>
      <c r="AG125" s="1151"/>
      <c r="AH125" s="1130"/>
      <c r="AI125" s="1130"/>
      <c r="AJ125" s="1130"/>
      <c r="AK125" s="1130"/>
      <c r="AL125" s="1130"/>
      <c r="AM125" s="1130"/>
      <c r="AN125" s="1130"/>
      <c r="AO125" s="1130"/>
      <c r="AP125" s="2162"/>
      <c r="BG125" s="2396"/>
      <c r="BH125" s="2038"/>
      <c r="BI125" s="2038"/>
      <c r="BJ125" s="2038"/>
      <c r="BK125" s="2038"/>
      <c r="BL125" s="2038"/>
      <c r="BM125" s="2038"/>
      <c r="BN125" s="2038"/>
      <c r="BO125" s="2038"/>
      <c r="BP125" s="2038"/>
    </row>
    <row r="126" spans="1:69" ht="12.75" customHeight="1">
      <c r="A126" s="2162"/>
      <c r="B126" s="2177"/>
      <c r="C126" s="808"/>
      <c r="D126" s="2112" t="s">
        <v>2787</v>
      </c>
      <c r="E126" s="808"/>
      <c r="F126" s="808"/>
      <c r="G126" s="808"/>
      <c r="H126" s="808"/>
      <c r="I126" s="808"/>
      <c r="J126" s="808"/>
      <c r="K126" s="808"/>
      <c r="L126" s="808"/>
      <c r="M126" s="808"/>
      <c r="N126" s="808"/>
      <c r="O126" s="808"/>
      <c r="P126" s="808"/>
      <c r="Q126" s="808"/>
      <c r="R126" s="808"/>
      <c r="S126" s="808"/>
      <c r="T126" s="808"/>
      <c r="U126" s="808"/>
      <c r="V126" s="808"/>
      <c r="W126" s="808"/>
      <c r="X126" s="808"/>
      <c r="Y126" s="1150"/>
      <c r="Z126" s="1151"/>
      <c r="AA126" s="808"/>
      <c r="AB126" s="808"/>
      <c r="AC126" s="808"/>
      <c r="AD126" s="808"/>
      <c r="AE126" s="808"/>
      <c r="AF126" s="808"/>
      <c r="AG126" s="1151"/>
      <c r="AH126" s="1130"/>
      <c r="AI126" s="1130"/>
      <c r="AJ126" s="1130"/>
      <c r="AK126" s="1130"/>
      <c r="AL126" s="1130"/>
      <c r="AM126" s="1130"/>
      <c r="AN126" s="1130"/>
      <c r="AO126" s="1130"/>
      <c r="AP126" s="2162"/>
      <c r="BG126" s="2396"/>
      <c r="BH126" s="2038"/>
      <c r="BI126" s="2038"/>
      <c r="BJ126" s="2038"/>
      <c r="BK126" s="2038"/>
      <c r="BL126" s="2038"/>
      <c r="BM126" s="2038"/>
      <c r="BN126" s="2038"/>
      <c r="BO126" s="2038"/>
      <c r="BP126" s="2038"/>
    </row>
    <row r="127" spans="1:69" ht="13.5" customHeight="1">
      <c r="A127" s="2162"/>
      <c r="B127" s="2177"/>
      <c r="C127" s="808"/>
      <c r="D127" s="2112" t="s">
        <v>2788</v>
      </c>
      <c r="E127" s="808"/>
      <c r="F127" s="808"/>
      <c r="G127" s="808"/>
      <c r="H127" s="808"/>
      <c r="I127" s="808"/>
      <c r="J127" s="808"/>
      <c r="K127" s="808"/>
      <c r="L127" s="808"/>
      <c r="M127" s="808"/>
      <c r="N127" s="808"/>
      <c r="O127" s="808"/>
      <c r="P127" s="808"/>
      <c r="Q127" s="808"/>
      <c r="R127" s="808"/>
      <c r="S127" s="808"/>
      <c r="T127" s="808"/>
      <c r="U127" s="808"/>
      <c r="V127" s="808"/>
      <c r="W127" s="808"/>
      <c r="X127" s="1128" t="s">
        <v>2789</v>
      </c>
      <c r="Y127" s="7570">
        <v>42</v>
      </c>
      <c r="Z127" s="7571"/>
      <c r="AA127" s="7572"/>
      <c r="AB127" s="7573"/>
      <c r="AC127" s="7573"/>
      <c r="AD127" s="7573"/>
      <c r="AE127" s="7573"/>
      <c r="AF127" s="7573"/>
      <c r="AG127" s="7573"/>
      <c r="AH127" s="1130"/>
      <c r="AI127" s="1130"/>
      <c r="AJ127" s="1130"/>
      <c r="AK127" s="1130"/>
      <c r="AL127" s="1130"/>
      <c r="AM127" s="1130"/>
      <c r="AN127" s="1130"/>
      <c r="AO127" s="1130"/>
      <c r="AP127" s="2162"/>
      <c r="BG127" s="2396"/>
      <c r="BH127" s="2038"/>
      <c r="BI127" s="2038"/>
      <c r="BJ127" s="2038"/>
      <c r="BK127" s="2038"/>
      <c r="BL127" s="2038"/>
      <c r="BM127" s="2038"/>
      <c r="BN127" s="2038"/>
      <c r="BO127" s="2038"/>
      <c r="BP127" s="2038"/>
    </row>
    <row r="128" spans="1:69" ht="12.75" customHeight="1">
      <c r="A128" s="2162"/>
      <c r="B128" s="7328">
        <v>43</v>
      </c>
      <c r="C128" s="7328"/>
      <c r="D128" s="2112" t="s">
        <v>2790</v>
      </c>
      <c r="E128" s="808"/>
      <c r="F128" s="808"/>
      <c r="G128" s="808"/>
      <c r="H128" s="808"/>
      <c r="I128" s="808"/>
      <c r="J128" s="808"/>
      <c r="K128" s="808"/>
      <c r="L128" s="808"/>
      <c r="M128" s="808"/>
      <c r="N128" s="808"/>
      <c r="O128" s="808"/>
      <c r="P128" s="808"/>
      <c r="Q128" s="808"/>
      <c r="R128" s="808"/>
      <c r="S128" s="808"/>
      <c r="T128" s="808"/>
      <c r="U128" s="808"/>
      <c r="V128" s="808"/>
      <c r="W128" s="808"/>
      <c r="X128" s="808"/>
      <c r="Y128" s="1149"/>
      <c r="Z128" s="1143"/>
      <c r="AA128" s="1142"/>
      <c r="AB128" s="1142"/>
      <c r="AC128" s="1142"/>
      <c r="AD128" s="1142"/>
      <c r="AE128" s="1142"/>
      <c r="AF128" s="1142"/>
      <c r="AG128" s="1143"/>
      <c r="AH128" s="1130"/>
      <c r="AI128" s="1130"/>
      <c r="AJ128" s="1130"/>
      <c r="AK128" s="1130"/>
      <c r="AL128" s="1130"/>
      <c r="AM128" s="1130"/>
      <c r="AN128" s="1130"/>
      <c r="AO128" s="1130"/>
      <c r="AP128" s="2162"/>
      <c r="BG128" s="2396"/>
      <c r="BH128" s="2038"/>
      <c r="BI128" s="2038"/>
      <c r="BJ128" s="2038"/>
      <c r="BK128" s="2038"/>
      <c r="BL128" s="2038"/>
      <c r="BM128" s="2038"/>
      <c r="BN128" s="2038"/>
      <c r="BO128" s="2038"/>
      <c r="BP128" s="2038"/>
    </row>
    <row r="129" spans="1:69" ht="12.75" customHeight="1">
      <c r="A129" s="2162"/>
      <c r="B129" s="2177"/>
      <c r="C129" s="808"/>
      <c r="D129" s="2447" t="s">
        <v>2791</v>
      </c>
      <c r="E129" s="808"/>
      <c r="F129" s="808"/>
      <c r="G129" s="808"/>
      <c r="H129" s="808"/>
      <c r="I129" s="808"/>
      <c r="J129" s="808"/>
      <c r="K129" s="808"/>
      <c r="L129" s="808"/>
      <c r="M129" s="808"/>
      <c r="N129" s="808"/>
      <c r="O129" s="808"/>
      <c r="P129" s="808"/>
      <c r="Q129" s="808"/>
      <c r="R129" s="808"/>
      <c r="S129" s="808"/>
      <c r="T129" s="808"/>
      <c r="U129" s="808"/>
      <c r="V129" s="808"/>
      <c r="W129" s="808"/>
      <c r="X129" s="808"/>
      <c r="Y129" s="1150"/>
      <c r="Z129" s="1151"/>
      <c r="AA129" s="808"/>
      <c r="AB129" s="808"/>
      <c r="AC129" s="808"/>
      <c r="AD129" s="808"/>
      <c r="AE129" s="808"/>
      <c r="AF129" s="808"/>
      <c r="AG129" s="1151"/>
      <c r="AH129" s="1130"/>
      <c r="AI129" s="1130"/>
      <c r="AJ129" s="1130"/>
      <c r="AK129" s="1130"/>
      <c r="AL129" s="1130"/>
      <c r="AM129" s="1130"/>
      <c r="AN129" s="1130"/>
      <c r="AO129" s="1130"/>
      <c r="AP129" s="2162"/>
      <c r="BG129" s="2396"/>
      <c r="BH129" s="2038"/>
      <c r="BI129" s="2038"/>
      <c r="BJ129" s="2038"/>
      <c r="BK129" s="2038"/>
      <c r="BL129" s="2038"/>
      <c r="BM129" s="2038"/>
      <c r="BN129" s="2038"/>
      <c r="BO129" s="2038"/>
      <c r="BP129" s="2038"/>
    </row>
    <row r="130" spans="1:69" ht="12.75" customHeight="1">
      <c r="A130" s="2162"/>
      <c r="B130" s="2177"/>
      <c r="C130" s="808"/>
      <c r="D130" s="2447" t="s">
        <v>2792</v>
      </c>
      <c r="E130" s="808"/>
      <c r="F130" s="808"/>
      <c r="G130" s="808"/>
      <c r="H130" s="808"/>
      <c r="I130" s="808"/>
      <c r="J130" s="808"/>
      <c r="K130" s="808"/>
      <c r="L130" s="808"/>
      <c r="M130" s="808"/>
      <c r="N130" s="808"/>
      <c r="O130" s="808"/>
      <c r="P130" s="808"/>
      <c r="Q130" s="808"/>
      <c r="R130" s="808"/>
      <c r="S130" s="808"/>
      <c r="T130" s="808"/>
      <c r="U130" s="808"/>
      <c r="V130" s="808"/>
      <c r="W130" s="808"/>
      <c r="X130" s="808"/>
      <c r="Y130" s="1150"/>
      <c r="Z130" s="1151"/>
      <c r="AA130" s="808"/>
      <c r="AB130" s="808"/>
      <c r="AC130" s="808"/>
      <c r="AD130" s="808"/>
      <c r="AE130" s="808"/>
      <c r="AF130" s="808"/>
      <c r="AG130" s="1151"/>
      <c r="AH130" s="1130"/>
      <c r="AI130" s="1130"/>
      <c r="AJ130" s="1130"/>
      <c r="AK130" s="1130"/>
      <c r="AL130" s="1130"/>
      <c r="AM130" s="1130"/>
      <c r="AN130" s="1130"/>
      <c r="AO130" s="1130"/>
      <c r="AP130" s="2162"/>
      <c r="BG130" s="2396"/>
      <c r="BH130" s="2038"/>
      <c r="BI130" s="2038"/>
      <c r="BJ130" s="2038"/>
      <c r="BK130" s="2038"/>
      <c r="BL130" s="2038"/>
      <c r="BM130" s="2038"/>
      <c r="BN130" s="2038"/>
      <c r="BO130" s="2038"/>
      <c r="BP130" s="2038"/>
    </row>
    <row r="131" spans="1:69" ht="12.75" customHeight="1">
      <c r="A131" s="2162"/>
      <c r="B131" s="2177"/>
      <c r="C131" s="808"/>
      <c r="D131" s="2112" t="s">
        <v>2793</v>
      </c>
      <c r="E131" s="808"/>
      <c r="F131" s="808"/>
      <c r="G131" s="808"/>
      <c r="H131" s="808"/>
      <c r="I131" s="808"/>
      <c r="J131" s="808"/>
      <c r="K131" s="808"/>
      <c r="L131" s="808"/>
      <c r="M131" s="808"/>
      <c r="N131" s="808"/>
      <c r="O131" s="808"/>
      <c r="P131" s="808"/>
      <c r="Q131" s="808"/>
      <c r="R131" s="808"/>
      <c r="S131" s="808"/>
      <c r="T131" s="808"/>
      <c r="U131" s="808"/>
      <c r="V131" s="808"/>
      <c r="W131" s="808"/>
      <c r="X131" s="808"/>
      <c r="Y131" s="1150"/>
      <c r="Z131" s="1151"/>
      <c r="AA131" s="808"/>
      <c r="AB131" s="808"/>
      <c r="AC131" s="808"/>
      <c r="AD131" s="808"/>
      <c r="AE131" s="808"/>
      <c r="AF131" s="808"/>
      <c r="AG131" s="1151"/>
      <c r="AH131" s="1130"/>
      <c r="AI131" s="1130"/>
      <c r="AJ131" s="1130"/>
      <c r="AK131" s="1130"/>
      <c r="AL131" s="1130"/>
      <c r="AM131" s="1130"/>
      <c r="AN131" s="1130"/>
      <c r="AO131" s="1130"/>
      <c r="AP131" s="2162"/>
      <c r="BG131" s="2396"/>
      <c r="BH131" s="2038"/>
      <c r="BI131" s="2038"/>
      <c r="BJ131" s="2038"/>
      <c r="BK131" s="2038"/>
      <c r="BL131" s="2038"/>
      <c r="BM131" s="2038"/>
      <c r="BN131" s="2038"/>
      <c r="BO131" s="2038"/>
      <c r="BP131" s="2038"/>
    </row>
    <row r="132" spans="1:69" ht="15.75" customHeight="1" thickBot="1">
      <c r="A132" s="2162"/>
      <c r="B132" s="4710"/>
      <c r="C132" s="896"/>
      <c r="D132" s="2122" t="s">
        <v>2794</v>
      </c>
      <c r="E132" s="896"/>
      <c r="F132" s="896"/>
      <c r="G132" s="896"/>
      <c r="H132" s="896"/>
      <c r="I132" s="896"/>
      <c r="J132" s="896"/>
      <c r="K132" s="896"/>
      <c r="L132" s="896"/>
      <c r="M132" s="896"/>
      <c r="N132" s="896"/>
      <c r="O132" s="896"/>
      <c r="P132" s="896"/>
      <c r="Q132" s="896"/>
      <c r="R132" s="896"/>
      <c r="S132" s="896"/>
      <c r="T132" s="896"/>
      <c r="U132" s="896"/>
      <c r="V132" s="896"/>
      <c r="W132" s="896"/>
      <c r="X132" s="2629" t="s">
        <v>752</v>
      </c>
      <c r="Y132" s="7330">
        <v>43</v>
      </c>
      <c r="Z132" s="7331"/>
      <c r="AA132" s="7332"/>
      <c r="AB132" s="7333"/>
      <c r="AC132" s="7333"/>
      <c r="AD132" s="7333"/>
      <c r="AE132" s="7333"/>
      <c r="AF132" s="7333"/>
      <c r="AG132" s="7333"/>
      <c r="AH132" s="2482"/>
      <c r="AI132" s="2482"/>
      <c r="AJ132" s="2482"/>
      <c r="AK132" s="2482"/>
      <c r="AL132" s="2482"/>
      <c r="AM132" s="2482"/>
      <c r="AN132" s="2482"/>
      <c r="AO132" s="2482"/>
      <c r="AP132" s="2162"/>
      <c r="BG132" s="2396"/>
      <c r="BH132" s="2038"/>
      <c r="BI132" s="2038"/>
      <c r="BJ132" s="2038"/>
      <c r="BK132" s="2038"/>
      <c r="BL132" s="2038"/>
      <c r="BM132" s="2038"/>
      <c r="BN132" s="2038"/>
      <c r="BO132" s="2038"/>
      <c r="BP132" s="2038"/>
    </row>
    <row r="133" spans="1:69" ht="12.75" customHeight="1">
      <c r="A133" s="2162"/>
      <c r="B133" s="2177"/>
      <c r="C133" s="808"/>
      <c r="D133" s="808"/>
      <c r="E133" s="808"/>
      <c r="F133" s="808"/>
      <c r="G133" s="808"/>
      <c r="H133" s="808"/>
      <c r="I133" s="808"/>
      <c r="J133" s="808"/>
      <c r="K133" s="808"/>
      <c r="L133" s="808"/>
      <c r="M133" s="808"/>
      <c r="N133" s="808"/>
      <c r="O133" s="808"/>
      <c r="P133" s="808"/>
      <c r="Q133" s="808"/>
      <c r="R133" s="808"/>
      <c r="S133" s="808"/>
      <c r="T133" s="808"/>
      <c r="U133" s="808"/>
      <c r="V133" s="808"/>
      <c r="W133" s="808"/>
      <c r="X133" s="808"/>
      <c r="Y133" s="808"/>
      <c r="Z133" s="808"/>
      <c r="AA133" s="808"/>
      <c r="AB133" s="808"/>
      <c r="AC133" s="808"/>
      <c r="AD133" s="808"/>
      <c r="AE133" s="808"/>
      <c r="AF133" s="808"/>
      <c r="AG133" s="808"/>
      <c r="AH133" s="808"/>
      <c r="AI133" s="808"/>
      <c r="AJ133" s="808"/>
      <c r="AK133" s="808"/>
      <c r="AL133" s="808"/>
      <c r="AM133" s="808"/>
      <c r="AN133" s="808"/>
      <c r="AO133" s="2468" t="str">
        <f>"Schedule E (Form 1040) "&amp;TaxYear</f>
        <v>Schedule E (Form 1040) 2023</v>
      </c>
      <c r="AP133" s="2162"/>
      <c r="BG133" s="2396"/>
      <c r="BH133" s="2038"/>
      <c r="BI133" s="2038"/>
      <c r="BJ133" s="2038"/>
      <c r="BK133" s="2038"/>
      <c r="BL133" s="2038"/>
      <c r="BM133" s="2038"/>
      <c r="BN133" s="2038"/>
      <c r="BO133" s="2038"/>
      <c r="BP133" s="2038"/>
    </row>
    <row r="134" spans="1:69" ht="18" customHeight="1">
      <c r="A134" s="2162"/>
      <c r="B134" s="7584" t="s">
        <v>2659</v>
      </c>
      <c r="C134" s="7585"/>
      <c r="D134" s="7585"/>
      <c r="E134" s="7585"/>
      <c r="F134" s="7585"/>
      <c r="G134" s="7586"/>
      <c r="H134" s="2432"/>
      <c r="I134" s="808"/>
      <c r="J134" s="808"/>
      <c r="K134" s="808"/>
      <c r="L134" s="808"/>
      <c r="M134" s="2434"/>
      <c r="N134" s="808"/>
      <c r="O134" s="808"/>
      <c r="P134" s="808"/>
      <c r="Q134" s="808"/>
      <c r="R134" s="808"/>
      <c r="S134" s="808"/>
      <c r="T134" s="808"/>
      <c r="U134" s="808"/>
      <c r="V134" s="808"/>
      <c r="W134" s="808"/>
      <c r="X134" s="808"/>
      <c r="Y134" s="808"/>
      <c r="Z134" s="808"/>
      <c r="AA134" s="808"/>
      <c r="AB134" s="808"/>
      <c r="AC134" s="808"/>
      <c r="AD134" s="808"/>
      <c r="AE134" s="808"/>
      <c r="AF134" s="808"/>
      <c r="AG134" s="808"/>
      <c r="AH134" s="808"/>
      <c r="AI134" s="7540" t="s">
        <v>576</v>
      </c>
      <c r="AJ134" s="7541"/>
      <c r="AK134" s="7541"/>
      <c r="AL134" s="7541"/>
      <c r="AM134" s="7541"/>
      <c r="AN134" s="7541"/>
      <c r="AO134" s="7541"/>
      <c r="AP134" s="2162"/>
      <c r="BG134" s="2552" t="s">
        <v>319</v>
      </c>
      <c r="BH134" s="2038"/>
      <c r="BI134" s="2038"/>
      <c r="BJ134" s="2038"/>
      <c r="BK134" s="2038"/>
      <c r="BL134" s="2038"/>
      <c r="BM134" s="2038"/>
      <c r="BN134" s="2038"/>
      <c r="BO134" s="2038"/>
      <c r="BP134" s="2038"/>
    </row>
    <row r="135" spans="1:69" ht="30" customHeight="1">
      <c r="A135" s="2162"/>
      <c r="B135" s="7544" t="s">
        <v>2088</v>
      </c>
      <c r="C135" s="7545"/>
      <c r="D135" s="7545"/>
      <c r="E135" s="7545"/>
      <c r="F135" s="7545"/>
      <c r="G135" s="7546"/>
      <c r="H135" s="3931" t="s">
        <v>2660</v>
      </c>
      <c r="I135" s="2470"/>
      <c r="J135" s="2470"/>
      <c r="K135" s="2470"/>
      <c r="L135" s="2470"/>
      <c r="M135" s="2470"/>
      <c r="N135" s="2470"/>
      <c r="O135" s="2470"/>
      <c r="P135" s="2470"/>
      <c r="Q135" s="2470"/>
      <c r="R135" s="2470"/>
      <c r="S135" s="2470"/>
      <c r="T135" s="2470"/>
      <c r="U135" s="2470"/>
      <c r="V135" s="2470"/>
      <c r="W135" s="2470"/>
      <c r="X135" s="2470"/>
      <c r="Y135" s="2470"/>
      <c r="Z135" s="2470"/>
      <c r="AA135" s="2470"/>
      <c r="AB135" s="2470"/>
      <c r="AC135" s="2470"/>
      <c r="AD135" s="2470"/>
      <c r="AE135" s="2470"/>
      <c r="AF135" s="2470"/>
      <c r="AG135" s="2470"/>
      <c r="AH135" s="2471"/>
      <c r="AI135" s="7549">
        <f>TaxYear</f>
        <v>2023</v>
      </c>
      <c r="AJ135" s="7550"/>
      <c r="AK135" s="7550"/>
      <c r="AL135" s="7550"/>
      <c r="AM135" s="7550"/>
      <c r="AN135" s="7550"/>
      <c r="AO135" s="7550"/>
      <c r="AP135" s="2162"/>
      <c r="BG135" s="2396"/>
      <c r="BH135" s="2038"/>
      <c r="BI135" s="2038"/>
      <c r="BJ135" s="2038"/>
      <c r="BK135" s="2038"/>
      <c r="BL135" s="2038"/>
      <c r="BM135" s="2038"/>
      <c r="BN135" s="2038"/>
      <c r="BO135" s="2038"/>
      <c r="BP135" s="2038"/>
    </row>
    <row r="136" spans="1:69">
      <c r="A136" s="2162"/>
      <c r="B136" s="6763" t="s">
        <v>2661</v>
      </c>
      <c r="C136" s="6919"/>
      <c r="D136" s="6919"/>
      <c r="E136" s="6919"/>
      <c r="F136" s="6919"/>
      <c r="G136" s="7542"/>
      <c r="H136" s="2485" t="str">
        <f>"(From rental real estate, royalties, partnerships, S corporations, estates, trusts, REMICs, etc.)"</f>
        <v>(From rental real estate, royalties, partnerships, S corporations, estates, trusts, REMICs, etc.)</v>
      </c>
      <c r="I136" s="1364"/>
      <c r="J136" s="1364"/>
      <c r="K136" s="1364"/>
      <c r="L136" s="1364"/>
      <c r="M136" s="1364"/>
      <c r="N136" s="1364"/>
      <c r="O136" s="1364"/>
      <c r="P136" s="1364"/>
      <c r="Q136" s="1364"/>
      <c r="R136" s="1364"/>
      <c r="S136" s="1364"/>
      <c r="T136" s="2469"/>
      <c r="U136" s="1364"/>
      <c r="V136" s="1364"/>
      <c r="W136" s="1364"/>
      <c r="X136" s="1364"/>
      <c r="Y136" s="1364"/>
      <c r="Z136" s="1364"/>
      <c r="AA136" s="1364"/>
      <c r="AB136" s="1364"/>
      <c r="AC136" s="1364"/>
      <c r="AD136" s="1364"/>
      <c r="AE136" s="1364"/>
      <c r="AF136" s="1364"/>
      <c r="AG136" s="1364"/>
      <c r="AH136" s="1364"/>
      <c r="AI136" s="7551"/>
      <c r="AJ136" s="7552"/>
      <c r="AK136" s="7552"/>
      <c r="AL136" s="7552"/>
      <c r="AM136" s="7552"/>
      <c r="AN136" s="7552"/>
      <c r="AO136" s="7552"/>
      <c r="AP136" s="2162"/>
      <c r="BG136" s="2396"/>
      <c r="BH136" s="2038"/>
      <c r="BI136" s="2038"/>
      <c r="BJ136" s="2038"/>
      <c r="BK136" s="2038"/>
      <c r="BL136" s="2038"/>
      <c r="BM136" s="2038"/>
      <c r="BN136" s="2038"/>
      <c r="BO136" s="2038"/>
      <c r="BP136" s="2038"/>
    </row>
    <row r="137" spans="1:69">
      <c r="A137" s="2162"/>
      <c r="B137" s="6763"/>
      <c r="C137" s="6919"/>
      <c r="D137" s="6919"/>
      <c r="E137" s="6919"/>
      <c r="F137" s="6919"/>
      <c r="G137" s="7542"/>
      <c r="H137" s="894"/>
      <c r="I137" s="808"/>
      <c r="J137" s="808"/>
      <c r="K137" s="808"/>
      <c r="L137" s="808"/>
      <c r="M137" s="808"/>
      <c r="N137" s="808"/>
      <c r="O137" s="808"/>
      <c r="P137" s="808"/>
      <c r="Q137" s="808"/>
      <c r="R137" s="808"/>
      <c r="S137" s="808"/>
      <c r="T137" s="1040" t="s">
        <v>2662</v>
      </c>
      <c r="U137" s="808"/>
      <c r="V137" s="808"/>
      <c r="W137" s="808"/>
      <c r="X137" s="808"/>
      <c r="Y137" s="808"/>
      <c r="Z137" s="808"/>
      <c r="AA137" s="808"/>
      <c r="AB137" s="808"/>
      <c r="AC137" s="808"/>
      <c r="AD137" s="808"/>
      <c r="AE137" s="808"/>
      <c r="AF137" s="808"/>
      <c r="AG137" s="808"/>
      <c r="AH137" s="808"/>
      <c r="AI137" s="2483"/>
      <c r="AJ137" s="7547" t="s">
        <v>2663</v>
      </c>
      <c r="AK137" s="7324"/>
      <c r="AL137" s="7324"/>
      <c r="AM137" s="7324"/>
      <c r="AN137" s="2433"/>
      <c r="AO137" s="2433"/>
      <c r="AP137" s="2162"/>
      <c r="BG137" s="2396"/>
      <c r="BH137" s="2038"/>
      <c r="BI137" s="2038"/>
      <c r="BJ137" s="2038"/>
      <c r="BK137" s="2038"/>
      <c r="BL137" s="2038"/>
      <c r="BM137" s="2038"/>
      <c r="BN137" s="2038"/>
      <c r="BO137" s="2038"/>
      <c r="BP137" s="2038"/>
    </row>
    <row r="138" spans="1:69" ht="14.25" customHeight="1" thickBot="1">
      <c r="A138" s="2162"/>
      <c r="B138" s="6920"/>
      <c r="C138" s="6920"/>
      <c r="D138" s="6920"/>
      <c r="E138" s="6920"/>
      <c r="F138" s="6920"/>
      <c r="G138" s="7543"/>
      <c r="H138" s="2435" t="s">
        <v>2664</v>
      </c>
      <c r="I138" s="2399"/>
      <c r="J138" s="2399"/>
      <c r="K138" s="2399"/>
      <c r="L138" s="2399"/>
      <c r="M138" s="2399"/>
      <c r="N138" s="2399"/>
      <c r="O138" s="2399"/>
      <c r="P138" s="2399"/>
      <c r="Q138" s="2399"/>
      <c r="R138" s="2399"/>
      <c r="S138" s="2399"/>
      <c r="T138" s="2399"/>
      <c r="U138" s="2399"/>
      <c r="V138" s="2399"/>
      <c r="W138" s="2399"/>
      <c r="X138" s="2399"/>
      <c r="Y138" s="2399"/>
      <c r="Z138" s="2399"/>
      <c r="AA138" s="2399"/>
      <c r="AB138" s="2399"/>
      <c r="AC138" s="2399"/>
      <c r="AD138" s="2399"/>
      <c r="AE138" s="2399"/>
      <c r="AF138" s="2399"/>
      <c r="AG138" s="2399"/>
      <c r="AH138" s="2399"/>
      <c r="AI138" s="2484"/>
      <c r="AJ138" s="7548"/>
      <c r="AK138" s="7548"/>
      <c r="AL138" s="7548"/>
      <c r="AM138" s="7548"/>
      <c r="AN138" s="7582">
        <v>13</v>
      </c>
      <c r="AO138" s="7583"/>
      <c r="AP138" s="2162"/>
      <c r="BG138" s="2396"/>
      <c r="BH138" s="2038"/>
      <c r="BI138" s="2038"/>
      <c r="BJ138" s="2038"/>
      <c r="BK138" s="2038"/>
      <c r="BL138" s="2038"/>
      <c r="BM138" s="2038"/>
      <c r="BN138" s="2038"/>
      <c r="BO138" s="2038"/>
      <c r="BP138" s="2038"/>
    </row>
    <row r="139" spans="1:69">
      <c r="A139" s="2162"/>
      <c r="B139" s="892" t="s">
        <v>2208</v>
      </c>
      <c r="C139" s="808"/>
      <c r="D139" s="808"/>
      <c r="E139" s="808"/>
      <c r="F139" s="808"/>
      <c r="G139" s="808"/>
      <c r="H139" s="808"/>
      <c r="I139" s="808"/>
      <c r="J139" s="808"/>
      <c r="K139" s="808"/>
      <c r="L139" s="808"/>
      <c r="M139" s="808"/>
      <c r="N139" s="808"/>
      <c r="O139" s="808"/>
      <c r="P139" s="808"/>
      <c r="Q139" s="808"/>
      <c r="R139" s="808"/>
      <c r="S139" s="808"/>
      <c r="T139" s="808"/>
      <c r="U139" s="808"/>
      <c r="V139" s="808"/>
      <c r="W139" s="808"/>
      <c r="X139" s="808"/>
      <c r="Y139" s="808"/>
      <c r="Z139" s="808"/>
      <c r="AA139" s="808"/>
      <c r="AB139" s="808"/>
      <c r="AC139" s="808"/>
      <c r="AD139" s="808"/>
      <c r="AE139" s="808"/>
      <c r="AF139" s="808"/>
      <c r="AG139" s="7563" t="s">
        <v>586</v>
      </c>
      <c r="AH139" s="7564"/>
      <c r="AI139" s="7564"/>
      <c r="AJ139" s="7564"/>
      <c r="AK139" s="7564"/>
      <c r="AL139" s="7564"/>
      <c r="AM139" s="7564"/>
      <c r="AN139" s="7564"/>
      <c r="AO139" s="7564"/>
      <c r="AP139" s="2162"/>
      <c r="BG139" s="2396"/>
      <c r="BH139" s="2038"/>
      <c r="BI139" s="2038"/>
      <c r="BJ139" s="2038"/>
      <c r="BK139" s="2038"/>
      <c r="BL139" s="2038"/>
      <c r="BM139" s="2038"/>
      <c r="BN139" s="2038"/>
      <c r="BO139" s="2038"/>
      <c r="BP139" s="2038"/>
    </row>
    <row r="140" spans="1:69" ht="9.75" customHeight="1">
      <c r="A140" s="2162"/>
      <c r="B140" s="6750" t="str">
        <f>Names</f>
        <v/>
      </c>
      <c r="C140" s="6751"/>
      <c r="D140" s="6751"/>
      <c r="E140" s="6751"/>
      <c r="F140" s="6751"/>
      <c r="G140" s="6751"/>
      <c r="H140" s="6751"/>
      <c r="I140" s="6751"/>
      <c r="J140" s="6751"/>
      <c r="K140" s="6751"/>
      <c r="L140" s="6751"/>
      <c r="M140" s="6751"/>
      <c r="N140" s="6751"/>
      <c r="O140" s="6751"/>
      <c r="P140" s="6751"/>
      <c r="Q140" s="6751"/>
      <c r="R140" s="6751"/>
      <c r="S140" s="6751"/>
      <c r="T140" s="6751"/>
      <c r="U140" s="6751"/>
      <c r="V140" s="6751"/>
      <c r="W140" s="6751"/>
      <c r="X140" s="6751"/>
      <c r="Y140" s="6751"/>
      <c r="Z140" s="6751"/>
      <c r="AA140" s="6751"/>
      <c r="AB140" s="6751"/>
      <c r="AC140" s="6751"/>
      <c r="AD140" s="6751"/>
      <c r="AE140" s="6751"/>
      <c r="AF140" s="6752"/>
      <c r="AG140" s="7559">
        <f>IF(NoSSN,"",SS_Yours)</f>
        <v>1010001</v>
      </c>
      <c r="AH140" s="7560"/>
      <c r="AI140" s="7560"/>
      <c r="AJ140" s="7560"/>
      <c r="AK140" s="7560"/>
      <c r="AL140" s="7560"/>
      <c r="AM140" s="7560"/>
      <c r="AN140" s="7560"/>
      <c r="AO140" s="7560"/>
      <c r="AP140" s="2162"/>
      <c r="BG140" s="2396"/>
      <c r="BH140" s="2038"/>
      <c r="BI140" s="2038"/>
      <c r="BJ140" s="2038"/>
      <c r="BK140" s="2038"/>
      <c r="BL140" s="2038"/>
      <c r="BM140" s="2038"/>
      <c r="BN140" s="2038"/>
      <c r="BO140" s="2038"/>
      <c r="BP140" s="2038"/>
    </row>
    <row r="141" spans="1:69" ht="9.75" customHeight="1">
      <c r="A141" s="2162"/>
      <c r="B141" s="6339"/>
      <c r="C141" s="6339"/>
      <c r="D141" s="6339"/>
      <c r="E141" s="6339"/>
      <c r="F141" s="6339"/>
      <c r="G141" s="6339"/>
      <c r="H141" s="6339"/>
      <c r="I141" s="6339"/>
      <c r="J141" s="6339"/>
      <c r="K141" s="6339"/>
      <c r="L141" s="6339"/>
      <c r="M141" s="6339"/>
      <c r="N141" s="6339"/>
      <c r="O141" s="6339"/>
      <c r="P141" s="6339"/>
      <c r="Q141" s="6339"/>
      <c r="R141" s="6339"/>
      <c r="S141" s="6339"/>
      <c r="T141" s="6339"/>
      <c r="U141" s="6339"/>
      <c r="V141" s="6339"/>
      <c r="W141" s="6339"/>
      <c r="X141" s="6339"/>
      <c r="Y141" s="6339"/>
      <c r="Z141" s="6339"/>
      <c r="AA141" s="6339"/>
      <c r="AB141" s="6339"/>
      <c r="AC141" s="6339"/>
      <c r="AD141" s="6339"/>
      <c r="AE141" s="6339"/>
      <c r="AF141" s="6753"/>
      <c r="AG141" s="7561"/>
      <c r="AH141" s="7562"/>
      <c r="AI141" s="7562"/>
      <c r="AJ141" s="7562"/>
      <c r="AK141" s="7562"/>
      <c r="AL141" s="7562"/>
      <c r="AM141" s="7562"/>
      <c r="AN141" s="7562"/>
      <c r="AO141" s="7562"/>
      <c r="AP141" s="2162"/>
      <c r="BG141" s="2396"/>
      <c r="BH141" s="2038"/>
      <c r="BI141" s="2038"/>
      <c r="BJ141" s="2038"/>
      <c r="BK141" s="2038"/>
      <c r="BL141" s="2038"/>
      <c r="BM141" s="2038"/>
      <c r="BN141" s="2038"/>
      <c r="BO141" s="2038"/>
      <c r="BP141" s="2038"/>
    </row>
    <row r="142" spans="1:69" s="2114" customFormat="1" ht="17.25" customHeight="1">
      <c r="A142" s="2163"/>
      <c r="B142" s="7384" t="s">
        <v>884</v>
      </c>
      <c r="C142" s="7384"/>
      <c r="D142" s="7385"/>
      <c r="E142" s="997"/>
      <c r="F142" s="4968" t="s">
        <v>2665</v>
      </c>
      <c r="G142" s="997"/>
      <c r="H142" s="997"/>
      <c r="I142" s="997"/>
      <c r="J142" s="997"/>
      <c r="K142" s="997"/>
      <c r="L142" s="997"/>
      <c r="M142" s="997"/>
      <c r="N142" s="997"/>
      <c r="O142" s="997"/>
      <c r="P142" s="997"/>
      <c r="Q142" s="997"/>
      <c r="R142" s="997"/>
      <c r="S142" s="997"/>
      <c r="T142" s="997"/>
      <c r="U142" s="997"/>
      <c r="V142" s="997"/>
      <c r="W142" s="997"/>
      <c r="X142" s="2440"/>
      <c r="Y142" s="997"/>
      <c r="Z142" s="997"/>
      <c r="AA142" s="997"/>
      <c r="AB142" s="997"/>
      <c r="AC142" s="997"/>
      <c r="AD142" s="997"/>
      <c r="AE142" s="997"/>
      <c r="AF142" s="997"/>
      <c r="AG142" s="997"/>
      <c r="AH142" s="997"/>
      <c r="AI142" s="997"/>
      <c r="AJ142" s="997"/>
      <c r="AK142" s="997"/>
      <c r="AL142" s="997"/>
      <c r="AM142" s="997"/>
      <c r="AN142" s="997"/>
      <c r="AO142" s="997"/>
      <c r="AP142" s="2162"/>
      <c r="BG142" s="2396"/>
      <c r="BH142" s="2038"/>
      <c r="BI142" s="2038"/>
      <c r="BJ142" s="2038"/>
      <c r="BK142" s="2038"/>
      <c r="BL142" s="2038"/>
      <c r="BM142" s="2038"/>
      <c r="BN142" s="2038"/>
      <c r="BO142" s="2038"/>
      <c r="BP142" s="2038"/>
      <c r="BQ142" s="2690"/>
    </row>
    <row r="143" spans="1:69" ht="15.75">
      <c r="A143" s="2162"/>
      <c r="B143" s="4966"/>
      <c r="C143" s="4966"/>
      <c r="D143" s="4962"/>
      <c r="E143" s="1329"/>
      <c r="F143" s="2112" t="s">
        <v>2666</v>
      </c>
      <c r="G143" s="1823"/>
      <c r="H143" s="1823"/>
      <c r="I143" s="1823"/>
      <c r="J143" s="1823"/>
      <c r="K143" s="1823"/>
      <c r="L143" s="1823"/>
      <c r="M143" s="1329"/>
      <c r="N143" s="1823"/>
      <c r="O143" s="1823"/>
      <c r="P143" s="1823"/>
      <c r="Q143" s="1823"/>
      <c r="R143" s="1823"/>
      <c r="S143" s="1823"/>
      <c r="T143" s="1823"/>
      <c r="U143" s="1823"/>
      <c r="V143" s="1823"/>
      <c r="W143" s="1823"/>
      <c r="X143" s="1823"/>
      <c r="Y143" s="1823"/>
      <c r="Z143" s="1823"/>
      <c r="AA143" s="1823"/>
      <c r="AB143" s="1823"/>
      <c r="AC143" s="1823"/>
      <c r="AD143" s="1329"/>
      <c r="AE143" s="1823"/>
      <c r="AF143" s="1823"/>
      <c r="AG143" s="1823"/>
      <c r="AH143" s="1823"/>
      <c r="AI143" s="1823"/>
      <c r="AJ143" s="1823"/>
      <c r="AK143" s="1823"/>
      <c r="AL143" s="1823"/>
      <c r="AM143" s="1823"/>
      <c r="AN143" s="1823"/>
      <c r="AO143" s="1823"/>
      <c r="AP143" s="2162"/>
      <c r="BG143" s="2396"/>
      <c r="BH143" s="2038"/>
      <c r="BI143" s="2038"/>
      <c r="BJ143" s="2038"/>
      <c r="BK143" s="2038"/>
      <c r="BL143" s="2038"/>
      <c r="BM143" s="2038"/>
      <c r="BN143" s="2038"/>
      <c r="BO143" s="2038"/>
      <c r="BP143" s="2038"/>
    </row>
    <row r="144" spans="1:69" ht="15.75">
      <c r="A144" s="2162"/>
      <c r="B144" s="2442"/>
      <c r="C144" s="2442"/>
      <c r="D144" s="4967"/>
      <c r="E144" s="1330"/>
      <c r="F144" s="1719" t="s">
        <v>2667</v>
      </c>
      <c r="G144" s="2438"/>
      <c r="H144" s="2438"/>
      <c r="I144" s="2438"/>
      <c r="J144" s="2438"/>
      <c r="K144" s="2438"/>
      <c r="L144" s="2438"/>
      <c r="M144" s="1330"/>
      <c r="N144" s="2438"/>
      <c r="O144" s="2438"/>
      <c r="P144" s="2438"/>
      <c r="Q144" s="2438"/>
      <c r="R144" s="2438"/>
      <c r="S144" s="2438"/>
      <c r="T144" s="2438"/>
      <c r="U144" s="2438"/>
      <c r="V144" s="2438"/>
      <c r="W144" s="2438"/>
      <c r="X144" s="2438"/>
      <c r="Y144" s="2438"/>
      <c r="Z144" s="2438"/>
      <c r="AA144" s="2438"/>
      <c r="AB144" s="2438"/>
      <c r="AC144" s="2438"/>
      <c r="AD144" s="1330"/>
      <c r="AE144" s="2438"/>
      <c r="AF144" s="2438"/>
      <c r="AG144" s="2438"/>
      <c r="AH144" s="2438"/>
      <c r="AI144" s="2438"/>
      <c r="AJ144" s="2438"/>
      <c r="AK144" s="2438"/>
      <c r="AL144" s="2438"/>
      <c r="AM144" s="2438"/>
      <c r="AN144" s="2438"/>
      <c r="AO144" s="2438"/>
      <c r="AP144" s="2162"/>
      <c r="BG144" s="2396"/>
      <c r="BH144" s="2038"/>
      <c r="BI144" s="2038"/>
      <c r="BJ144" s="2038"/>
      <c r="BK144" s="2038"/>
      <c r="BL144" s="2038"/>
      <c r="BM144" s="2038"/>
      <c r="BN144" s="2038"/>
      <c r="BO144" s="2038"/>
      <c r="BP144" s="2038"/>
    </row>
    <row r="145" spans="1:69" ht="15.75">
      <c r="A145" s="2162"/>
      <c r="B145" s="7516" t="s">
        <v>542</v>
      </c>
      <c r="C145" s="7565"/>
      <c r="D145" s="4722" t="str">
        <f>"Did you make any payments in "&amp;TaxYear&amp;" that would require you to file Form(s) 1099?  See instructions"</f>
        <v>Did you make any payments in 2023 that would require you to file Form(s) 1099?  See instructions</v>
      </c>
      <c r="E145" s="1823"/>
      <c r="F145" s="1823"/>
      <c r="G145" s="1823"/>
      <c r="H145" s="1823"/>
      <c r="I145" s="1823"/>
      <c r="J145" s="1823"/>
      <c r="K145" s="1823"/>
      <c r="L145" s="1823"/>
      <c r="M145" s="1823"/>
      <c r="N145" s="1823"/>
      <c r="O145" s="1823"/>
      <c r="P145" s="1823"/>
      <c r="Q145" s="1823"/>
      <c r="R145" s="1823"/>
      <c r="S145" s="1823"/>
      <c r="T145" s="1823"/>
      <c r="U145" s="1823"/>
      <c r="V145" s="1823"/>
      <c r="W145" s="1823"/>
      <c r="X145" s="1823"/>
      <c r="Y145" s="1823"/>
      <c r="Z145" s="1823"/>
      <c r="AA145" s="1823"/>
      <c r="AB145" s="1823"/>
      <c r="AC145" s="1823"/>
      <c r="AD145" s="1823"/>
      <c r="AE145" s="1823"/>
      <c r="AF145" s="1823"/>
      <c r="AG145" s="1823"/>
      <c r="AH145" s="1823"/>
      <c r="AI145" s="1823"/>
      <c r="AJ145" s="809"/>
      <c r="AK145" s="2185" t="s">
        <v>2668</v>
      </c>
      <c r="AL145" s="1823"/>
      <c r="AM145" s="809"/>
      <c r="AN145" s="2185" t="s">
        <v>2669</v>
      </c>
      <c r="AO145" s="1823"/>
      <c r="AP145" s="2162"/>
      <c r="BG145" s="2396"/>
      <c r="BH145" s="2038"/>
      <c r="BI145" s="2038"/>
      <c r="BJ145" s="2038"/>
      <c r="BK145" s="2038"/>
      <c r="BL145" s="2038"/>
      <c r="BM145" s="2038"/>
      <c r="BN145" s="2038"/>
      <c r="BO145" s="2038"/>
      <c r="BP145" s="2038"/>
    </row>
    <row r="146" spans="1:69" ht="15.75">
      <c r="A146" s="2162"/>
      <c r="B146" s="7553" t="s">
        <v>548</v>
      </c>
      <c r="C146" s="7554"/>
      <c r="D146" s="2202" t="s">
        <v>5605</v>
      </c>
      <c r="E146" s="2438"/>
      <c r="F146" s="2438"/>
      <c r="G146" s="2438"/>
      <c r="H146" s="2438"/>
      <c r="I146" s="2438"/>
      <c r="J146" s="2438"/>
      <c r="K146" s="2438"/>
      <c r="L146" s="2438"/>
      <c r="M146" s="2438"/>
      <c r="N146" s="2438"/>
      <c r="O146" s="2438"/>
      <c r="P146" s="2438"/>
      <c r="Q146" s="2438"/>
      <c r="R146" s="2438"/>
      <c r="S146" s="2438"/>
      <c r="T146" s="2438"/>
      <c r="U146" s="2438"/>
      <c r="V146" s="2438"/>
      <c r="W146" s="2438"/>
      <c r="X146" s="2438"/>
      <c r="Y146" s="2438"/>
      <c r="Z146" s="2438"/>
      <c r="AA146" s="2438"/>
      <c r="AB146" s="2438"/>
      <c r="AC146" s="2438"/>
      <c r="AD146" s="2438"/>
      <c r="AE146" s="2438"/>
      <c r="AF146" s="2438"/>
      <c r="AG146" s="2438"/>
      <c r="AH146" s="2438"/>
      <c r="AI146" s="2438"/>
      <c r="AJ146" s="809"/>
      <c r="AK146" s="1140" t="s">
        <v>2668</v>
      </c>
      <c r="AL146" s="2438"/>
      <c r="AM146" s="809"/>
      <c r="AN146" s="1140" t="s">
        <v>2669</v>
      </c>
      <c r="AO146" s="2438"/>
      <c r="AP146" s="2162"/>
      <c r="BG146" s="2396"/>
      <c r="BH146" s="2038"/>
      <c r="BI146" s="2038"/>
      <c r="BJ146" s="2038"/>
      <c r="BK146" s="2038"/>
      <c r="BL146" s="2038"/>
      <c r="BM146" s="2038"/>
      <c r="BN146" s="2038"/>
      <c r="BO146" s="2038"/>
      <c r="BP146" s="2038"/>
    </row>
    <row r="147" spans="1:69" s="406" customFormat="1" ht="18.75" customHeight="1">
      <c r="A147" s="4969"/>
      <c r="B147" s="7555" t="s">
        <v>363</v>
      </c>
      <c r="C147" s="7556"/>
      <c r="D147" s="4970" t="s">
        <v>2670</v>
      </c>
      <c r="E147" s="4961"/>
      <c r="F147" s="4961"/>
      <c r="G147" s="4961"/>
      <c r="H147" s="4961"/>
      <c r="I147" s="4961"/>
      <c r="J147" s="4961"/>
      <c r="K147" s="4961"/>
      <c r="L147" s="4961"/>
      <c r="M147" s="4961"/>
      <c r="N147" s="4961"/>
      <c r="O147" s="4961"/>
      <c r="P147" s="4961"/>
      <c r="Q147" s="4961"/>
      <c r="R147" s="4961"/>
      <c r="S147" s="4961"/>
      <c r="T147" s="4961"/>
      <c r="U147" s="4961"/>
      <c r="V147" s="4961"/>
      <c r="W147" s="4961"/>
      <c r="X147" s="4961"/>
      <c r="Y147" s="4961"/>
      <c r="Z147" s="4961"/>
      <c r="AA147" s="4961"/>
      <c r="AB147" s="4961"/>
      <c r="AC147" s="4961"/>
      <c r="AD147" s="4961"/>
      <c r="AE147" s="4961"/>
      <c r="AF147" s="4961"/>
      <c r="AG147" s="4961"/>
      <c r="AH147" s="4961"/>
      <c r="AI147" s="4961"/>
      <c r="AJ147" s="4961"/>
      <c r="AK147" s="4961"/>
      <c r="AL147" s="4961"/>
      <c r="AM147" s="4961"/>
      <c r="AN147" s="4961"/>
      <c r="AO147" s="4961"/>
      <c r="AP147" s="4969"/>
      <c r="BG147" s="4971"/>
      <c r="BH147" s="4972"/>
      <c r="BI147" s="4972"/>
      <c r="BJ147" s="4972"/>
      <c r="BK147" s="4972"/>
      <c r="BL147" s="4972"/>
      <c r="BM147" s="4972"/>
      <c r="BN147" s="4972"/>
      <c r="BO147" s="4972"/>
      <c r="BP147" s="4972"/>
      <c r="BQ147" s="4973"/>
    </row>
    <row r="148" spans="1:69" ht="15.75">
      <c r="A148" s="2162"/>
      <c r="B148" s="7515" t="s">
        <v>542</v>
      </c>
      <c r="C148" s="7427"/>
      <c r="D148" s="7518"/>
      <c r="E148" s="7013"/>
      <c r="F148" s="7013"/>
      <c r="G148" s="7013"/>
      <c r="H148" s="7013"/>
      <c r="I148" s="7013"/>
      <c r="J148" s="7013"/>
      <c r="K148" s="7013"/>
      <c r="L148" s="7013"/>
      <c r="M148" s="7013"/>
      <c r="N148" s="7013"/>
      <c r="O148" s="7013"/>
      <c r="P148" s="7013"/>
      <c r="Q148" s="7013"/>
      <c r="R148" s="7013"/>
      <c r="S148" s="7013"/>
      <c r="T148" s="7013"/>
      <c r="U148" s="7013"/>
      <c r="V148" s="7013"/>
      <c r="W148" s="7013"/>
      <c r="X148" s="7013"/>
      <c r="Y148" s="7013"/>
      <c r="Z148" s="7013"/>
      <c r="AA148" s="7013"/>
      <c r="AB148" s="7013"/>
      <c r="AC148" s="7013"/>
      <c r="AD148" s="7013"/>
      <c r="AE148" s="7013"/>
      <c r="AF148" s="7013"/>
      <c r="AG148" s="7013"/>
      <c r="AH148" s="7013"/>
      <c r="AI148" s="7013"/>
      <c r="AJ148" s="7013"/>
      <c r="AK148" s="7013"/>
      <c r="AL148" s="7013"/>
      <c r="AM148" s="7013"/>
      <c r="AN148" s="7013"/>
      <c r="AO148" s="7013"/>
      <c r="AP148" s="2162"/>
      <c r="BG148" s="2396"/>
      <c r="BH148" s="2038"/>
      <c r="BI148" s="2038"/>
      <c r="BJ148" s="2038"/>
      <c r="BK148" s="2038"/>
      <c r="BL148" s="2038"/>
      <c r="BM148" s="2038"/>
      <c r="BN148" s="2038"/>
      <c r="BO148" s="2038"/>
      <c r="BP148" s="2038"/>
    </row>
    <row r="149" spans="1:69" ht="15.75">
      <c r="A149" s="2162"/>
      <c r="B149" s="7515" t="s">
        <v>548</v>
      </c>
      <c r="C149" s="7427"/>
      <c r="D149" s="7518"/>
      <c r="E149" s="7013"/>
      <c r="F149" s="7013"/>
      <c r="G149" s="7013"/>
      <c r="H149" s="7013"/>
      <c r="I149" s="7013"/>
      <c r="J149" s="7013"/>
      <c r="K149" s="7013"/>
      <c r="L149" s="7013"/>
      <c r="M149" s="7013"/>
      <c r="N149" s="7013"/>
      <c r="O149" s="7013"/>
      <c r="P149" s="7013"/>
      <c r="Q149" s="7013"/>
      <c r="R149" s="7013"/>
      <c r="S149" s="7013"/>
      <c r="T149" s="7013"/>
      <c r="U149" s="7013"/>
      <c r="V149" s="7013"/>
      <c r="W149" s="7013"/>
      <c r="X149" s="7013"/>
      <c r="Y149" s="7013"/>
      <c r="Z149" s="7013"/>
      <c r="AA149" s="7013"/>
      <c r="AB149" s="7013"/>
      <c r="AC149" s="7013"/>
      <c r="AD149" s="7013"/>
      <c r="AE149" s="7013"/>
      <c r="AF149" s="7013"/>
      <c r="AG149" s="7013"/>
      <c r="AH149" s="7013"/>
      <c r="AI149" s="7013"/>
      <c r="AJ149" s="7013"/>
      <c r="AK149" s="7013"/>
      <c r="AL149" s="7013"/>
      <c r="AM149" s="7013"/>
      <c r="AN149" s="7013"/>
      <c r="AO149" s="7013"/>
      <c r="AP149" s="2162"/>
      <c r="BG149" s="2396"/>
      <c r="BH149" s="2038"/>
      <c r="BI149" s="2038"/>
      <c r="BJ149" s="2038"/>
      <c r="BK149" s="2038"/>
      <c r="BL149" s="2038"/>
      <c r="BM149" s="2038"/>
      <c r="BN149" s="2038"/>
      <c r="BO149" s="2038"/>
      <c r="BP149" s="2038"/>
    </row>
    <row r="150" spans="1:69" ht="15.75">
      <c r="A150" s="2162"/>
      <c r="B150" s="7515" t="s">
        <v>550</v>
      </c>
      <c r="C150" s="7427"/>
      <c r="D150" s="7518"/>
      <c r="E150" s="7013"/>
      <c r="F150" s="7013"/>
      <c r="G150" s="7013"/>
      <c r="H150" s="7013"/>
      <c r="I150" s="7013"/>
      <c r="J150" s="7013"/>
      <c r="K150" s="7013"/>
      <c r="L150" s="7013"/>
      <c r="M150" s="7013"/>
      <c r="N150" s="7013"/>
      <c r="O150" s="7013"/>
      <c r="P150" s="7013"/>
      <c r="Q150" s="7013"/>
      <c r="R150" s="7013"/>
      <c r="S150" s="7013"/>
      <c r="T150" s="7013"/>
      <c r="U150" s="7013"/>
      <c r="V150" s="7013"/>
      <c r="W150" s="7013"/>
      <c r="X150" s="7013"/>
      <c r="Y150" s="7013"/>
      <c r="Z150" s="7013"/>
      <c r="AA150" s="7013"/>
      <c r="AB150" s="7013"/>
      <c r="AC150" s="7013"/>
      <c r="AD150" s="7013"/>
      <c r="AE150" s="7013"/>
      <c r="AF150" s="7013"/>
      <c r="AG150" s="7013"/>
      <c r="AH150" s="7013"/>
      <c r="AI150" s="7013"/>
      <c r="AJ150" s="7013"/>
      <c r="AK150" s="7013"/>
      <c r="AL150" s="7013"/>
      <c r="AM150" s="7013"/>
      <c r="AN150" s="7013"/>
      <c r="AO150" s="7013"/>
      <c r="AP150" s="2162"/>
      <c r="AX150" s="39">
        <v>1</v>
      </c>
      <c r="AY150" s="39" t="s">
        <v>2671</v>
      </c>
      <c r="BG150" s="2396"/>
      <c r="BH150" s="2038"/>
      <c r="BI150" s="2038"/>
      <c r="BJ150" s="2038"/>
      <c r="BK150" s="2038"/>
      <c r="BL150" s="2038"/>
      <c r="BM150" s="2038"/>
      <c r="BN150" s="2038"/>
      <c r="BO150" s="2038"/>
      <c r="BP150" s="2038"/>
    </row>
    <row r="151" spans="1:69" ht="15.75" customHeight="1">
      <c r="A151" s="2162"/>
      <c r="B151" s="7516" t="s">
        <v>365</v>
      </c>
      <c r="C151" s="7517"/>
      <c r="D151" s="7450" t="s">
        <v>2795</v>
      </c>
      <c r="E151" s="7519"/>
      <c r="F151" s="7519"/>
      <c r="G151" s="7519"/>
      <c r="H151" s="7520"/>
      <c r="I151" s="7497">
        <v>2</v>
      </c>
      <c r="J151" s="7566"/>
      <c r="K151" s="7531" t="s">
        <v>2673</v>
      </c>
      <c r="L151" s="7531"/>
      <c r="M151" s="7531"/>
      <c r="N151" s="7531"/>
      <c r="O151" s="7531"/>
      <c r="P151" s="7531"/>
      <c r="Q151" s="7531"/>
      <c r="R151" s="7531"/>
      <c r="S151" s="7531"/>
      <c r="T151" s="7531"/>
      <c r="U151" s="7531"/>
      <c r="V151" s="7531"/>
      <c r="W151" s="7531"/>
      <c r="X151" s="2436"/>
      <c r="Y151" s="2436"/>
      <c r="Z151" s="2436"/>
      <c r="AA151" s="7523" t="s">
        <v>2796</v>
      </c>
      <c r="AB151" s="7524"/>
      <c r="AC151" s="7524"/>
      <c r="AD151" s="7524"/>
      <c r="AE151" s="7527"/>
      <c r="AF151" s="7523" t="s">
        <v>2797</v>
      </c>
      <c r="AG151" s="7524"/>
      <c r="AH151" s="7524"/>
      <c r="AI151" s="7524"/>
      <c r="AJ151" s="7527"/>
      <c r="AK151" s="7523" t="s">
        <v>2676</v>
      </c>
      <c r="AL151" s="7524"/>
      <c r="AM151" s="7524"/>
      <c r="AN151" s="7524"/>
      <c r="AO151" s="7524"/>
      <c r="AP151" s="2162"/>
      <c r="AX151" s="39">
        <v>2</v>
      </c>
      <c r="AY151" s="39" t="s">
        <v>2677</v>
      </c>
      <c r="BG151" s="2396"/>
      <c r="BH151" s="2038"/>
      <c r="BI151" s="2038"/>
      <c r="BJ151" s="2038"/>
      <c r="BK151" s="2038"/>
      <c r="BL151" s="2038"/>
      <c r="BM151" s="2038"/>
      <c r="BN151" s="2038"/>
      <c r="BO151" s="2038"/>
      <c r="BP151" s="2038"/>
    </row>
    <row r="152" spans="1:69" ht="14.25" customHeight="1">
      <c r="A152" s="2162"/>
      <c r="B152" s="2442"/>
      <c r="C152" s="2442"/>
      <c r="D152" s="7521"/>
      <c r="E152" s="7521"/>
      <c r="F152" s="7521"/>
      <c r="G152" s="7521"/>
      <c r="H152" s="7522"/>
      <c r="I152" s="2437"/>
      <c r="J152" s="1823"/>
      <c r="K152" s="7532"/>
      <c r="L152" s="7532"/>
      <c r="M152" s="7532"/>
      <c r="N152" s="7532"/>
      <c r="O152" s="7532"/>
      <c r="P152" s="7532"/>
      <c r="Q152" s="7532"/>
      <c r="R152" s="7532"/>
      <c r="S152" s="7532"/>
      <c r="T152" s="7532"/>
      <c r="U152" s="7532"/>
      <c r="V152" s="7532"/>
      <c r="W152" s="7532"/>
      <c r="X152" s="1823"/>
      <c r="Y152" s="1823"/>
      <c r="Z152" s="1823"/>
      <c r="AA152" s="7525"/>
      <c r="AB152" s="7526"/>
      <c r="AC152" s="7526"/>
      <c r="AD152" s="7526"/>
      <c r="AE152" s="7528"/>
      <c r="AF152" s="7525"/>
      <c r="AG152" s="7526"/>
      <c r="AH152" s="7526"/>
      <c r="AI152" s="7526"/>
      <c r="AJ152" s="7528"/>
      <c r="AK152" s="7525"/>
      <c r="AL152" s="7526"/>
      <c r="AM152" s="7526"/>
      <c r="AN152" s="7526"/>
      <c r="AO152" s="7526"/>
      <c r="AP152" s="2162"/>
      <c r="AV152" s="2493">
        <f>IF(LeapYear,366,365)</f>
        <v>365</v>
      </c>
      <c r="AW152" s="2494"/>
      <c r="AX152" s="39">
        <v>3</v>
      </c>
      <c r="AY152" s="39" t="s">
        <v>2678</v>
      </c>
      <c r="BE152" s="2243" t="s">
        <v>2679</v>
      </c>
      <c r="BG152" s="2396"/>
      <c r="BH152" s="2038"/>
      <c r="BI152" s="2038"/>
      <c r="BJ152" s="2038"/>
      <c r="BK152" s="2038"/>
      <c r="BL152" s="2038"/>
      <c r="BM152" s="2038"/>
      <c r="BN152" s="2038"/>
      <c r="BO152" s="2038"/>
      <c r="BP152" s="2038"/>
    </row>
    <row r="153" spans="1:69" ht="15.75">
      <c r="A153" s="2162"/>
      <c r="B153" s="7515" t="s">
        <v>542</v>
      </c>
      <c r="C153" s="7427"/>
      <c r="D153" s="7507"/>
      <c r="E153" s="7508"/>
      <c r="F153" s="7508"/>
      <c r="G153" s="7508"/>
      <c r="H153" s="7509"/>
      <c r="I153" s="1150"/>
      <c r="J153" s="808"/>
      <c r="K153" s="7532"/>
      <c r="L153" s="7532"/>
      <c r="M153" s="7532"/>
      <c r="N153" s="7532"/>
      <c r="O153" s="7532"/>
      <c r="P153" s="7532"/>
      <c r="Q153" s="7532"/>
      <c r="R153" s="7532"/>
      <c r="S153" s="7532"/>
      <c r="T153" s="7532"/>
      <c r="U153" s="7532"/>
      <c r="V153" s="7532"/>
      <c r="W153" s="7532"/>
      <c r="X153" s="7510" t="s">
        <v>542</v>
      </c>
      <c r="Y153" s="7511"/>
      <c r="Z153" s="7512"/>
      <c r="AA153" s="6668"/>
      <c r="AB153" s="7394"/>
      <c r="AC153" s="7394"/>
      <c r="AD153" s="7394"/>
      <c r="AE153" s="7395"/>
      <c r="AF153" s="6668"/>
      <c r="AG153" s="7394"/>
      <c r="AH153" s="7394"/>
      <c r="AI153" s="7394"/>
      <c r="AJ153" s="7395"/>
      <c r="AK153" s="2444"/>
      <c r="AL153" s="2445"/>
      <c r="AM153" s="809"/>
      <c r="AN153" s="2445"/>
      <c r="AO153" s="2445"/>
      <c r="AP153" s="2162"/>
      <c r="AR153" s="902" t="b">
        <f>D153=8</f>
        <v>0</v>
      </c>
      <c r="AV153" s="2495" t="b">
        <f>AA153&gt;$AV$20</f>
        <v>0</v>
      </c>
      <c r="AW153" s="2496" t="b">
        <f>AF153&gt;$AV$20</f>
        <v>0</v>
      </c>
      <c r="AX153" s="39">
        <v>4</v>
      </c>
      <c r="AY153" s="39" t="s">
        <v>2680</v>
      </c>
      <c r="BE153" s="2244" t="b">
        <f>IF(AND(D153&lt;&gt;"",OR(D153&lt;1,D153&gt;8,ISERROR(V164))),TRUE,FALSE)</f>
        <v>0</v>
      </c>
      <c r="BG153" s="2396"/>
      <c r="BH153" s="2038"/>
      <c r="BI153" s="2038"/>
      <c r="BJ153" s="2038"/>
      <c r="BK153" s="2038"/>
      <c r="BL153" s="2038"/>
      <c r="BM153" s="2038"/>
      <c r="BN153" s="2038"/>
      <c r="BO153" s="2038"/>
      <c r="BP153" s="2038"/>
    </row>
    <row r="154" spans="1:69" ht="15.75">
      <c r="A154" s="2162"/>
      <c r="B154" s="7515" t="s">
        <v>548</v>
      </c>
      <c r="C154" s="7427"/>
      <c r="D154" s="7507"/>
      <c r="E154" s="7508"/>
      <c r="F154" s="7508"/>
      <c r="G154" s="7508"/>
      <c r="H154" s="7509"/>
      <c r="I154" s="1150"/>
      <c r="J154" s="808"/>
      <c r="K154" s="7532"/>
      <c r="L154" s="7532"/>
      <c r="M154" s="7532"/>
      <c r="N154" s="7532"/>
      <c r="O154" s="7532"/>
      <c r="P154" s="7532"/>
      <c r="Q154" s="7532"/>
      <c r="R154" s="7532"/>
      <c r="S154" s="7532"/>
      <c r="T154" s="7532"/>
      <c r="U154" s="7532"/>
      <c r="V154" s="7532"/>
      <c r="W154" s="7532"/>
      <c r="X154" s="7510" t="s">
        <v>548</v>
      </c>
      <c r="Y154" s="7511"/>
      <c r="Z154" s="7512"/>
      <c r="AA154" s="6668"/>
      <c r="AB154" s="7394"/>
      <c r="AC154" s="7394"/>
      <c r="AD154" s="7394"/>
      <c r="AE154" s="7395"/>
      <c r="AF154" s="6668"/>
      <c r="AG154" s="7394"/>
      <c r="AH154" s="7394"/>
      <c r="AI154" s="7394"/>
      <c r="AJ154" s="7395"/>
      <c r="AK154" s="2444"/>
      <c r="AL154" s="2445"/>
      <c r="AM154" s="809"/>
      <c r="AN154" s="2445"/>
      <c r="AO154" s="2445"/>
      <c r="AP154" s="2162"/>
      <c r="AR154" s="902" t="b">
        <f>D154=8</f>
        <v>0</v>
      </c>
      <c r="AV154" s="2495" t="b">
        <f>AA154&gt;$AV$20</f>
        <v>0</v>
      </c>
      <c r="AW154" s="2496" t="b">
        <f>AF154&gt;$AV$20</f>
        <v>0</v>
      </c>
      <c r="AX154" s="39">
        <v>5</v>
      </c>
      <c r="AY154" s="39" t="s">
        <v>2681</v>
      </c>
      <c r="BE154" s="2244" t="b">
        <f>IF(AND(D154&lt;&gt;"",OR(D154&lt;1,D154&gt;8,ISERROR(AD164))),TRUE,FALSE)</f>
        <v>0</v>
      </c>
      <c r="BG154" s="2396"/>
      <c r="BH154" s="2038"/>
      <c r="BI154" s="2038"/>
      <c r="BJ154" s="2038"/>
      <c r="BK154" s="2038"/>
      <c r="BL154" s="2038"/>
      <c r="BM154" s="2038"/>
      <c r="BN154" s="2038"/>
      <c r="BO154" s="2038"/>
      <c r="BP154" s="2038"/>
    </row>
    <row r="155" spans="1:69" ht="15.75">
      <c r="A155" s="2162"/>
      <c r="B155" s="7515" t="s">
        <v>550</v>
      </c>
      <c r="C155" s="7427"/>
      <c r="D155" s="7507"/>
      <c r="E155" s="7508"/>
      <c r="F155" s="7508"/>
      <c r="G155" s="7508"/>
      <c r="H155" s="7509"/>
      <c r="I155" s="1154"/>
      <c r="J155" s="1121"/>
      <c r="K155" s="7533"/>
      <c r="L155" s="7533"/>
      <c r="M155" s="7533"/>
      <c r="N155" s="7533"/>
      <c r="O155" s="7533"/>
      <c r="P155" s="7533"/>
      <c r="Q155" s="7533"/>
      <c r="R155" s="7533"/>
      <c r="S155" s="7533"/>
      <c r="T155" s="7533"/>
      <c r="U155" s="7533"/>
      <c r="V155" s="7533"/>
      <c r="W155" s="7533"/>
      <c r="X155" s="7510" t="s">
        <v>550</v>
      </c>
      <c r="Y155" s="7511"/>
      <c r="Z155" s="7512"/>
      <c r="AA155" s="6668"/>
      <c r="AB155" s="7394"/>
      <c r="AC155" s="7394"/>
      <c r="AD155" s="7394"/>
      <c r="AE155" s="7395"/>
      <c r="AF155" s="6668"/>
      <c r="AG155" s="7394"/>
      <c r="AH155" s="7394"/>
      <c r="AI155" s="7394"/>
      <c r="AJ155" s="7395"/>
      <c r="AK155" s="2444"/>
      <c r="AL155" s="2445"/>
      <c r="AM155" s="809"/>
      <c r="AN155" s="2445"/>
      <c r="AO155" s="2445"/>
      <c r="AP155" s="2162"/>
      <c r="AR155" s="902" t="b">
        <f>D155=8</f>
        <v>0</v>
      </c>
      <c r="AV155" s="2497" t="b">
        <f>AA155&gt;$AV$20</f>
        <v>0</v>
      </c>
      <c r="AW155" s="2498" t="b">
        <f>AF155&gt;$AV$20</f>
        <v>0</v>
      </c>
      <c r="AX155" s="39">
        <v>6</v>
      </c>
      <c r="AY155" s="39" t="s">
        <v>2682</v>
      </c>
      <c r="AZ155" s="2489" t="s">
        <v>542</v>
      </c>
      <c r="BA155" s="2489" t="s">
        <v>548</v>
      </c>
      <c r="BB155" s="2489" t="s">
        <v>550</v>
      </c>
      <c r="BC155" s="2489" t="s">
        <v>248</v>
      </c>
      <c r="BE155" s="2244" t="b">
        <f>IF(AND(D155&lt;&gt;"",OR(D155&lt;1,D155&gt;8,ISERROR(AJ164))),TRUE,FALSE)</f>
        <v>0</v>
      </c>
      <c r="BG155" s="2396"/>
      <c r="BH155" s="2038"/>
      <c r="BI155" s="2038"/>
      <c r="BJ155" s="2038"/>
      <c r="BK155" s="2038"/>
      <c r="BL155" s="2038"/>
      <c r="BM155" s="2038"/>
      <c r="BN155" s="2038"/>
      <c r="BO155" s="2038"/>
      <c r="BP155" s="2038"/>
    </row>
    <row r="156" spans="1:69" ht="14.25" customHeight="1">
      <c r="A156" s="2162"/>
      <c r="B156" s="2448" t="s">
        <v>2683</v>
      </c>
      <c r="C156" s="2446"/>
      <c r="D156" s="1746"/>
      <c r="E156" s="1715"/>
      <c r="F156" s="1715"/>
      <c r="G156" s="1715"/>
      <c r="H156" s="1715"/>
      <c r="I156" s="2490" t="str">
        <f>IF(BE156,"The 'Type of Property' must be entered as a number (1 - 8).","")</f>
        <v/>
      </c>
      <c r="J156" s="1715"/>
      <c r="K156" s="1715"/>
      <c r="L156" s="1715"/>
      <c r="M156" s="1715"/>
      <c r="N156" s="1715"/>
      <c r="O156" s="1715"/>
      <c r="P156" s="1715"/>
      <c r="Q156" s="1715"/>
      <c r="R156" s="1715"/>
      <c r="S156" s="1715"/>
      <c r="T156" s="1715"/>
      <c r="U156" s="1715"/>
      <c r="V156" s="1715"/>
      <c r="W156" s="1715"/>
      <c r="X156" s="1715"/>
      <c r="Y156" s="1715"/>
      <c r="Z156" s="1715"/>
      <c r="AA156" s="1715"/>
      <c r="AB156" s="1715"/>
      <c r="AC156" s="1715"/>
      <c r="AD156" s="2490" t="str">
        <f>IF(OR(AV153,AV154,AV155,AW153,AW154,AW155),"Must be "&amp;AV152&amp;" or less.","")</f>
        <v/>
      </c>
      <c r="AE156" s="1715"/>
      <c r="AF156" s="1715"/>
      <c r="AG156" s="1715"/>
      <c r="AH156" s="1715"/>
      <c r="AI156" s="1715"/>
      <c r="AJ156" s="1715"/>
      <c r="AK156" s="1715"/>
      <c r="AL156" s="1715"/>
      <c r="AM156" s="1715"/>
      <c r="AN156" s="1715"/>
      <c r="AO156" s="1715"/>
      <c r="AP156" s="2162"/>
      <c r="AR156" s="902" t="b">
        <f>OR(AR153:AR155)</f>
        <v>0</v>
      </c>
      <c r="AX156" s="39">
        <v>7</v>
      </c>
      <c r="AY156" s="39" t="s">
        <v>2684</v>
      </c>
      <c r="AZ156" s="39">
        <f>IF(D153&lt;&gt;6,V162,0)</f>
        <v>0</v>
      </c>
      <c r="BA156" s="39">
        <f>IF(D154&lt;&gt;6,AD162,0)</f>
        <v>0</v>
      </c>
      <c r="BB156" s="39">
        <f>IF(D155&lt;&gt;6,AJ162,0)</f>
        <v>0</v>
      </c>
      <c r="BC156" s="39">
        <f>SUM(AZ156:BB156)</f>
        <v>0</v>
      </c>
      <c r="BE156" s="2244" t="b">
        <f>OR(BE153,BE154,BE155)</f>
        <v>0</v>
      </c>
      <c r="BG156" s="2396"/>
      <c r="BH156" s="2038"/>
      <c r="BI156" s="2038"/>
      <c r="BJ156" s="2038"/>
      <c r="BK156" s="2038"/>
      <c r="BL156" s="2038"/>
      <c r="BM156" s="2038"/>
      <c r="BN156" s="2038"/>
      <c r="BO156" s="2038"/>
      <c r="BP156" s="2038"/>
    </row>
    <row r="157" spans="1:69" ht="18" customHeight="1">
      <c r="A157" s="2162"/>
      <c r="B157" s="2446">
        <v>1</v>
      </c>
      <c r="C157" s="2447" t="s">
        <v>2671</v>
      </c>
      <c r="D157" s="1746"/>
      <c r="E157" s="1715"/>
      <c r="F157" s="1715"/>
      <c r="G157" s="1715"/>
      <c r="H157" s="1715"/>
      <c r="I157" s="1715"/>
      <c r="J157" s="1715"/>
      <c r="K157" s="2450">
        <v>3</v>
      </c>
      <c r="L157" s="2449" t="s">
        <v>2685</v>
      </c>
      <c r="M157" s="1715"/>
      <c r="N157" s="1715"/>
      <c r="O157" s="1715"/>
      <c r="P157" s="1715"/>
      <c r="Q157" s="1715"/>
      <c r="R157" s="1715"/>
      <c r="S157" s="1715"/>
      <c r="T157" s="1715"/>
      <c r="U157" s="2450">
        <v>5</v>
      </c>
      <c r="V157" s="2449" t="s">
        <v>2681</v>
      </c>
      <c r="W157" s="1715"/>
      <c r="X157" s="1715"/>
      <c r="Y157" s="1715"/>
      <c r="Z157" s="2450"/>
      <c r="AA157" s="2450">
        <v>7</v>
      </c>
      <c r="AB157" s="2449" t="s">
        <v>2684</v>
      </c>
      <c r="AC157" s="1715"/>
      <c r="AD157" s="1715"/>
      <c r="AE157" s="1715"/>
      <c r="AF157" s="1715"/>
      <c r="AG157" s="1715"/>
      <c r="AH157" s="1715"/>
      <c r="AI157" s="1715"/>
      <c r="AJ157" s="1715"/>
      <c r="AK157" s="1715"/>
      <c r="AL157" s="1715"/>
      <c r="AM157" s="1715"/>
      <c r="AN157" s="1715"/>
      <c r="AO157" s="1715"/>
      <c r="AP157" s="2162"/>
      <c r="AR157" s="7326" t="str">
        <f>IF($AR$156,"Attach a statement to your return describing the property.","")</f>
        <v/>
      </c>
      <c r="AS157" s="7326"/>
      <c r="AX157" s="39">
        <v>8</v>
      </c>
      <c r="AY157" s="39" t="s">
        <v>283</v>
      </c>
      <c r="AZ157" s="39">
        <f>IF(D153=6,V163,0)</f>
        <v>0</v>
      </c>
      <c r="BA157" s="39">
        <f>IF(D154=6,AD163,0)</f>
        <v>0</v>
      </c>
      <c r="BB157" s="39">
        <f>IF(D155=6,AJ163,0)</f>
        <v>0</v>
      </c>
      <c r="BC157" s="39">
        <f>SUM(AZ157:BB157)</f>
        <v>0</v>
      </c>
      <c r="BE157" s="2245"/>
      <c r="BG157" s="2396"/>
      <c r="BH157" s="2038"/>
      <c r="BI157" s="2038"/>
      <c r="BJ157" s="2038"/>
      <c r="BK157" s="2038"/>
      <c r="BL157" s="2038"/>
      <c r="BM157" s="2038"/>
      <c r="BN157" s="2038"/>
      <c r="BO157" s="2038"/>
      <c r="BP157" s="2038"/>
    </row>
    <row r="158" spans="1:69" s="649" customFormat="1" ht="18" customHeight="1">
      <c r="A158" s="2191"/>
      <c r="B158" s="4066">
        <v>2</v>
      </c>
      <c r="C158" s="4978" t="s">
        <v>2677</v>
      </c>
      <c r="D158" s="4979"/>
      <c r="E158" s="4979"/>
      <c r="F158" s="4979"/>
      <c r="G158" s="4979"/>
      <c r="H158" s="4979"/>
      <c r="I158" s="4979"/>
      <c r="J158" s="4979"/>
      <c r="K158" s="4066">
        <v>4</v>
      </c>
      <c r="L158" s="4978" t="s">
        <v>2680</v>
      </c>
      <c r="M158" s="4979"/>
      <c r="N158" s="4979"/>
      <c r="O158" s="4979"/>
      <c r="P158" s="4979"/>
      <c r="Q158" s="4979"/>
      <c r="R158" s="4979"/>
      <c r="S158" s="4979"/>
      <c r="T158" s="4979"/>
      <c r="U158" s="4066">
        <v>6</v>
      </c>
      <c r="V158" s="4978" t="s">
        <v>2682</v>
      </c>
      <c r="W158" s="4979"/>
      <c r="X158" s="4979"/>
      <c r="Y158" s="4979"/>
      <c r="Z158" s="4066"/>
      <c r="AA158" s="4066">
        <v>8</v>
      </c>
      <c r="AB158" s="4978" t="s">
        <v>2798</v>
      </c>
      <c r="AC158" s="4979"/>
      <c r="AD158" s="4979"/>
      <c r="AE158" s="4979"/>
      <c r="AF158" s="4979"/>
      <c r="AG158" s="7587"/>
      <c r="AH158" s="7588"/>
      <c r="AI158" s="7588"/>
      <c r="AJ158" s="7588"/>
      <c r="AK158" s="7588"/>
      <c r="AL158" s="7588"/>
      <c r="AM158" s="7588"/>
      <c r="AN158" s="7588"/>
      <c r="AO158" s="7588"/>
      <c r="AP158" s="2191"/>
      <c r="AQ158" s="4976"/>
      <c r="AR158" s="7326"/>
      <c r="AS158" s="7326"/>
      <c r="BG158" s="3060"/>
      <c r="BH158" s="2042"/>
      <c r="BI158" s="2042"/>
      <c r="BJ158" s="2042"/>
      <c r="BK158" s="2042"/>
      <c r="BL158" s="2042"/>
      <c r="BM158" s="2042"/>
      <c r="BN158" s="2042"/>
      <c r="BO158" s="2042"/>
      <c r="BP158" s="2042"/>
      <c r="BQ158" s="3526"/>
    </row>
    <row r="159" spans="1:69" s="649" customFormat="1" ht="6.75" customHeight="1" thickBot="1">
      <c r="A159" s="2191"/>
      <c r="B159" s="4066"/>
      <c r="C159" s="4978"/>
      <c r="D159" s="4979"/>
      <c r="E159" s="4979"/>
      <c r="F159" s="4979"/>
      <c r="G159" s="4979"/>
      <c r="H159" s="4979"/>
      <c r="I159" s="4979"/>
      <c r="J159" s="4979"/>
      <c r="K159" s="4066"/>
      <c r="L159" s="4978"/>
      <c r="M159" s="4979"/>
      <c r="N159" s="4979"/>
      <c r="O159" s="4979"/>
      <c r="P159" s="4979"/>
      <c r="Q159" s="4979"/>
      <c r="R159" s="4979"/>
      <c r="S159" s="4979"/>
      <c r="T159" s="4979"/>
      <c r="U159" s="4066"/>
      <c r="V159" s="4974"/>
      <c r="W159" s="4975"/>
      <c r="X159" s="4975"/>
      <c r="Y159" s="4975"/>
      <c r="Z159" s="4067"/>
      <c r="AA159" s="4067"/>
      <c r="AB159" s="4974"/>
      <c r="AC159" s="4975"/>
      <c r="AD159" s="4975"/>
      <c r="AE159" s="4975"/>
      <c r="AF159" s="4975"/>
      <c r="AG159" s="4975"/>
      <c r="AH159" s="4987"/>
      <c r="AI159" s="4987"/>
      <c r="AJ159" s="4987"/>
      <c r="AK159" s="4987"/>
      <c r="AL159" s="4987"/>
      <c r="AM159" s="4988"/>
      <c r="AN159" s="4988"/>
      <c r="AO159" s="4987"/>
      <c r="AP159" s="2191"/>
      <c r="AQ159" s="4976"/>
      <c r="AR159" s="7326"/>
      <c r="AS159" s="7326"/>
      <c r="BG159" s="3060"/>
      <c r="BH159" s="2042"/>
      <c r="BI159" s="2042"/>
      <c r="BJ159" s="2042"/>
      <c r="BK159" s="2042"/>
      <c r="BL159" s="2042"/>
      <c r="BM159" s="2042"/>
      <c r="BN159" s="2042"/>
      <c r="BO159" s="2042"/>
      <c r="BP159" s="2042"/>
      <c r="BQ159" s="3526"/>
    </row>
    <row r="160" spans="1:69" ht="14.25" customHeight="1">
      <c r="A160" s="2162"/>
      <c r="B160" s="4963"/>
      <c r="C160" s="4980"/>
      <c r="D160" s="4981"/>
      <c r="E160" s="4442"/>
      <c r="F160" s="4442"/>
      <c r="G160" s="4442"/>
      <c r="H160" s="4442"/>
      <c r="I160" s="4442"/>
      <c r="J160" s="4442"/>
      <c r="K160" s="4442"/>
      <c r="L160" s="4442"/>
      <c r="M160" s="4442"/>
      <c r="N160" s="4442"/>
      <c r="O160" s="4442"/>
      <c r="P160" s="4442"/>
      <c r="Q160" s="4442"/>
      <c r="R160" s="4982"/>
      <c r="S160" s="4442"/>
      <c r="T160" s="4982"/>
      <c r="U160" s="4983"/>
      <c r="V160" s="7538" t="s">
        <v>2687</v>
      </c>
      <c r="W160" s="7539"/>
      <c r="X160" s="7539"/>
      <c r="Y160" s="7539"/>
      <c r="Z160" s="7539"/>
      <c r="AA160" s="7539"/>
      <c r="AB160" s="7539"/>
      <c r="AC160" s="7539"/>
      <c r="AD160" s="7539"/>
      <c r="AE160" s="7539"/>
      <c r="AF160" s="7539"/>
      <c r="AG160" s="7539"/>
      <c r="AH160" s="7539"/>
      <c r="AI160" s="7539"/>
      <c r="AJ160" s="7539"/>
      <c r="AK160" s="7539"/>
      <c r="AL160" s="7539"/>
      <c r="AM160" s="7539"/>
      <c r="AN160" s="7539"/>
      <c r="AO160" s="7539"/>
      <c r="AP160" s="2162"/>
      <c r="AR160" s="3201" t="str">
        <f>IF($AR$24,"describing the property.","")</f>
        <v/>
      </c>
      <c r="AS160" s="904"/>
      <c r="AT160" s="904"/>
      <c r="AZ160" s="39" t="b">
        <f>IF(AND($D$21="",OR($V$30&gt;0,$V$31&gt;0)),TRUE,FALSE)</f>
        <v>0</v>
      </c>
      <c r="BA160" s="39" t="b">
        <f>IF(AND($D$22="",OR($AD$30&gt;0,$AD$31&gt;0)),TRUE,FALSE)</f>
        <v>0</v>
      </c>
      <c r="BB160" s="39" t="b">
        <f>IF(AND($D$23="",OR($AJ$30&gt;0,$AJ$31&gt;0)),TRUE,FALSE)</f>
        <v>0</v>
      </c>
      <c r="BG160" s="2396"/>
      <c r="BH160" s="2038"/>
      <c r="BI160" s="2038"/>
      <c r="BJ160" s="2038"/>
      <c r="BK160" s="2038"/>
      <c r="BL160" s="2038"/>
      <c r="BM160" s="2038"/>
      <c r="BN160" s="2038"/>
      <c r="BO160" s="2038"/>
      <c r="BP160" s="2038"/>
    </row>
    <row r="161" spans="1:68" ht="14.25" customHeight="1">
      <c r="A161" s="2162"/>
      <c r="B161" s="3243" t="s">
        <v>2688</v>
      </c>
      <c r="C161" s="2446"/>
      <c r="D161" s="1746"/>
      <c r="E161" s="1715"/>
      <c r="F161" s="1715"/>
      <c r="G161" s="1715"/>
      <c r="H161" s="1715"/>
      <c r="I161" s="1715"/>
      <c r="J161" s="1715"/>
      <c r="K161" s="1715"/>
      <c r="L161" s="1715"/>
      <c r="M161" s="1715"/>
      <c r="N161" s="1715"/>
      <c r="O161" s="1715"/>
      <c r="P161" s="1715"/>
      <c r="Q161" s="1715"/>
      <c r="R161" s="3173"/>
      <c r="S161" s="1715"/>
      <c r="T161" s="4984"/>
      <c r="U161" s="4985"/>
      <c r="V161" s="7475" t="s">
        <v>542</v>
      </c>
      <c r="W161" s="7534"/>
      <c r="X161" s="7534"/>
      <c r="Y161" s="7534"/>
      <c r="Z161" s="7534"/>
      <c r="AA161" s="7534"/>
      <c r="AB161" s="7534"/>
      <c r="AC161" s="7476"/>
      <c r="AD161" s="7535" t="s">
        <v>548</v>
      </c>
      <c r="AE161" s="7536"/>
      <c r="AF161" s="7536"/>
      <c r="AG161" s="7536"/>
      <c r="AH161" s="7536"/>
      <c r="AI161" s="7537"/>
      <c r="AJ161" s="7535" t="s">
        <v>550</v>
      </c>
      <c r="AK161" s="7536"/>
      <c r="AL161" s="7536"/>
      <c r="AM161" s="7536"/>
      <c r="AN161" s="7536"/>
      <c r="AO161" s="7536"/>
      <c r="AP161" s="2162"/>
      <c r="AR161" s="3201"/>
      <c r="AZ161" s="39" t="b">
        <f>IF(AND($D$21="",OR($V$30&gt;0,$V$31&gt;0)),TRUE,FALSE)</f>
        <v>0</v>
      </c>
      <c r="BA161" s="39" t="b">
        <f>IF(AND($D$22="",OR($AD$30&gt;0,$AD$31&gt;0)),TRUE,FALSE)</f>
        <v>0</v>
      </c>
      <c r="BB161" s="39" t="b">
        <f>IF(AND($D$23="",OR($AJ$30&gt;0,$AJ$31&gt;0)),TRUE,FALSE)</f>
        <v>0</v>
      </c>
      <c r="BG161" s="2396"/>
      <c r="BH161" s="2038"/>
      <c r="BI161" s="2038"/>
      <c r="BJ161" s="2038"/>
      <c r="BK161" s="2038"/>
      <c r="BL161" s="2038"/>
      <c r="BM161" s="2038"/>
      <c r="BN161" s="2038"/>
      <c r="BO161" s="2038"/>
      <c r="BP161" s="2038"/>
    </row>
    <row r="162" spans="1:68" ht="14.25" customHeight="1">
      <c r="A162" s="2162"/>
      <c r="B162" s="7474">
        <v>3</v>
      </c>
      <c r="C162" s="7413"/>
      <c r="D162" s="2447" t="s">
        <v>2689</v>
      </c>
      <c r="E162" s="1715"/>
      <c r="F162" s="1715"/>
      <c r="G162" s="1715"/>
      <c r="H162" s="1715"/>
      <c r="I162" s="1715"/>
      <c r="J162" s="1715"/>
      <c r="K162" s="1715"/>
      <c r="L162" s="1715"/>
      <c r="M162" s="1715"/>
      <c r="N162" s="1715"/>
      <c r="O162" s="1715"/>
      <c r="P162" s="1715"/>
      <c r="Q162" s="1715"/>
      <c r="R162" s="1715"/>
      <c r="S162" s="2335" t="s">
        <v>642</v>
      </c>
      <c r="T162" s="7475">
        <v>3</v>
      </c>
      <c r="U162" s="7476"/>
      <c r="V162" s="7513"/>
      <c r="W162" s="7514"/>
      <c r="X162" s="7514"/>
      <c r="Y162" s="7514"/>
      <c r="Z162" s="7514"/>
      <c r="AA162" s="7514"/>
      <c r="AB162" s="7514"/>
      <c r="AC162" s="7530"/>
      <c r="AD162" s="7513"/>
      <c r="AE162" s="7514"/>
      <c r="AF162" s="7514"/>
      <c r="AG162" s="7514"/>
      <c r="AH162" s="7514"/>
      <c r="AI162" s="7530"/>
      <c r="AJ162" s="7513"/>
      <c r="AK162" s="7514"/>
      <c r="AL162" s="7514"/>
      <c r="AM162" s="7514"/>
      <c r="AN162" s="7514"/>
      <c r="AO162" s="7514"/>
      <c r="AP162" s="2162"/>
      <c r="BG162" s="2396"/>
      <c r="BH162" s="2038"/>
      <c r="BI162" s="2038"/>
      <c r="BJ162" s="2038"/>
      <c r="BK162" s="2038"/>
      <c r="BL162" s="2038"/>
      <c r="BM162" s="2038"/>
      <c r="BN162" s="2038"/>
      <c r="BO162" s="2038"/>
      <c r="BP162" s="2038"/>
    </row>
    <row r="163" spans="1:68" ht="14.25" customHeight="1">
      <c r="A163" s="2162"/>
      <c r="B163" s="7529">
        <v>4</v>
      </c>
      <c r="C163" s="7415"/>
      <c r="D163" s="2453" t="s">
        <v>2690</v>
      </c>
      <c r="E163" s="1719"/>
      <c r="F163" s="1719"/>
      <c r="G163" s="1719"/>
      <c r="H163" s="1719"/>
      <c r="I163" s="1719"/>
      <c r="J163" s="1719"/>
      <c r="K163" s="1719"/>
      <c r="L163" s="1719"/>
      <c r="M163" s="1719"/>
      <c r="N163" s="1719"/>
      <c r="O163" s="1719"/>
      <c r="P163" s="1719"/>
      <c r="Q163" s="1719"/>
      <c r="R163" s="1719"/>
      <c r="S163" s="4986" t="s">
        <v>646</v>
      </c>
      <c r="T163" s="7475">
        <v>4</v>
      </c>
      <c r="U163" s="7476"/>
      <c r="V163" s="7513"/>
      <c r="W163" s="7514"/>
      <c r="X163" s="7514"/>
      <c r="Y163" s="7514"/>
      <c r="Z163" s="7514"/>
      <c r="AA163" s="7514"/>
      <c r="AB163" s="7514"/>
      <c r="AC163" s="7530"/>
      <c r="AD163" s="7513"/>
      <c r="AE163" s="7514"/>
      <c r="AF163" s="7514"/>
      <c r="AG163" s="7514"/>
      <c r="AH163" s="7514"/>
      <c r="AI163" s="7530"/>
      <c r="AJ163" s="7513"/>
      <c r="AK163" s="7514"/>
      <c r="AL163" s="7514"/>
      <c r="AM163" s="7514"/>
      <c r="AN163" s="7514"/>
      <c r="AO163" s="7514"/>
      <c r="AP163" s="2162"/>
      <c r="BG163" s="2396"/>
      <c r="BH163" s="2038"/>
      <c r="BI163" s="2038"/>
      <c r="BJ163" s="2038"/>
      <c r="BK163" s="2038"/>
      <c r="BL163" s="2038"/>
      <c r="BM163" s="2038"/>
      <c r="BN163" s="2038"/>
      <c r="BO163" s="2038"/>
      <c r="BP163" s="2038"/>
    </row>
    <row r="164" spans="1:68" ht="14.25" customHeight="1">
      <c r="A164" s="2162"/>
      <c r="B164" s="2458" t="s">
        <v>2691</v>
      </c>
      <c r="C164" s="2454"/>
      <c r="D164" s="4722"/>
      <c r="E164" s="2455"/>
      <c r="F164" s="2491"/>
      <c r="G164" s="2491" t="str">
        <f>IF(OR($AZ$28,$BA$28,$BB$28),"Please enter property type in Line 1b.","")</f>
        <v/>
      </c>
      <c r="H164" s="2455"/>
      <c r="I164" s="2455"/>
      <c r="J164" s="2455"/>
      <c r="K164" s="2455"/>
      <c r="L164" s="2455"/>
      <c r="M164" s="2455"/>
      <c r="N164" s="2455"/>
      <c r="O164" s="2455"/>
      <c r="P164" s="2455"/>
      <c r="Q164" s="2455"/>
      <c r="R164" s="2455"/>
      <c r="S164" s="2455"/>
      <c r="T164" s="2456"/>
      <c r="U164" s="2457"/>
      <c r="V164" s="7416" t="str">
        <f>IF(D153="","",LOOKUP(D153,$AX$18:$AX$25,$AY$18:$AY$25))</f>
        <v/>
      </c>
      <c r="W164" s="7417"/>
      <c r="X164" s="7417"/>
      <c r="Y164" s="7417"/>
      <c r="Z164" s="7417"/>
      <c r="AA164" s="7417"/>
      <c r="AB164" s="7417"/>
      <c r="AC164" s="7278"/>
      <c r="AD164" s="7416" t="str">
        <f>IF(D154="","",LOOKUP(D154,$AX$18:$AX$25,$AY$18:$AY$25))</f>
        <v/>
      </c>
      <c r="AE164" s="7417"/>
      <c r="AF164" s="7417"/>
      <c r="AG164" s="7417"/>
      <c r="AH164" s="7417"/>
      <c r="AI164" s="7278"/>
      <c r="AJ164" s="7416" t="str">
        <f>IF(D155="","",LOOKUP(D155,$AX$18:$AX$25,$AY$18:$AY$25))</f>
        <v/>
      </c>
      <c r="AK164" s="7417"/>
      <c r="AL164" s="7417"/>
      <c r="AM164" s="7417"/>
      <c r="AN164" s="7417"/>
      <c r="AO164" s="7417"/>
      <c r="AP164" s="2162"/>
      <c r="AR164" s="676"/>
      <c r="BG164" s="2396"/>
      <c r="BH164" s="2038"/>
      <c r="BI164" s="2038"/>
      <c r="BJ164" s="2038"/>
      <c r="BK164" s="2038"/>
      <c r="BL164" s="2038"/>
      <c r="BM164" s="2038"/>
      <c r="BN164" s="2038"/>
      <c r="BO164" s="2038"/>
      <c r="BP164" s="2038"/>
    </row>
    <row r="165" spans="1:68" ht="14.25" customHeight="1">
      <c r="A165" s="2162"/>
      <c r="B165" s="7474">
        <v>5</v>
      </c>
      <c r="C165" s="7413"/>
      <c r="D165" s="2447" t="s">
        <v>2692</v>
      </c>
      <c r="E165" s="1715"/>
      <c r="F165" s="1715"/>
      <c r="G165" s="1715"/>
      <c r="H165" s="1715"/>
      <c r="I165" s="1715"/>
      <c r="J165" s="1715"/>
      <c r="K165" s="1715"/>
      <c r="L165" s="1715"/>
      <c r="M165" s="1715"/>
      <c r="N165" s="1715"/>
      <c r="O165" s="1715"/>
      <c r="P165" s="1715"/>
      <c r="Q165" s="1715"/>
      <c r="R165" s="1715"/>
      <c r="S165" s="2760" t="s">
        <v>2162</v>
      </c>
      <c r="T165" s="7479">
        <v>5</v>
      </c>
      <c r="U165" s="7480"/>
      <c r="V165" s="7502"/>
      <c r="W165" s="7502"/>
      <c r="X165" s="7502"/>
      <c r="Y165" s="7502"/>
      <c r="Z165" s="7502"/>
      <c r="AA165" s="7502"/>
      <c r="AB165" s="7502"/>
      <c r="AC165" s="7503"/>
      <c r="AD165" s="7504"/>
      <c r="AE165" s="7502"/>
      <c r="AF165" s="7502"/>
      <c r="AG165" s="7502"/>
      <c r="AH165" s="7502"/>
      <c r="AI165" s="7503"/>
      <c r="AJ165" s="7504"/>
      <c r="AK165" s="7502"/>
      <c r="AL165" s="7502"/>
      <c r="AM165" s="7502"/>
      <c r="AN165" s="7502"/>
      <c r="AO165" s="7502"/>
      <c r="AP165" s="2162"/>
      <c r="BG165" s="2396"/>
      <c r="BH165" s="2038"/>
      <c r="BI165" s="2038"/>
      <c r="BJ165" s="2038"/>
      <c r="BK165" s="2038"/>
      <c r="BL165" s="2038"/>
      <c r="BM165" s="2038"/>
      <c r="BN165" s="2038"/>
      <c r="BO165" s="2038"/>
      <c r="BP165" s="2038"/>
    </row>
    <row r="166" spans="1:68" ht="14.25" customHeight="1">
      <c r="A166" s="2162"/>
      <c r="B166" s="7474">
        <v>6</v>
      </c>
      <c r="C166" s="7413"/>
      <c r="D166" s="2447" t="s">
        <v>2693</v>
      </c>
      <c r="E166" s="1715"/>
      <c r="F166" s="1715"/>
      <c r="G166" s="1715"/>
      <c r="H166" s="1715"/>
      <c r="I166" s="1715"/>
      <c r="J166" s="1715"/>
      <c r="K166" s="1715"/>
      <c r="L166" s="1715"/>
      <c r="M166" s="1715"/>
      <c r="N166" s="1715"/>
      <c r="O166" s="1715"/>
      <c r="P166" s="1715"/>
      <c r="Q166" s="1715"/>
      <c r="R166" s="1715"/>
      <c r="S166" s="2760" t="s">
        <v>654</v>
      </c>
      <c r="T166" s="7479">
        <v>6</v>
      </c>
      <c r="U166" s="7480"/>
      <c r="V166" s="7502"/>
      <c r="W166" s="7502"/>
      <c r="X166" s="7502"/>
      <c r="Y166" s="7502"/>
      <c r="Z166" s="7502"/>
      <c r="AA166" s="7502"/>
      <c r="AB166" s="7502"/>
      <c r="AC166" s="7503"/>
      <c r="AD166" s="7504"/>
      <c r="AE166" s="7502"/>
      <c r="AF166" s="7502"/>
      <c r="AG166" s="7502"/>
      <c r="AH166" s="7502"/>
      <c r="AI166" s="7503"/>
      <c r="AJ166" s="7504"/>
      <c r="AK166" s="7502"/>
      <c r="AL166" s="7502"/>
      <c r="AM166" s="7502"/>
      <c r="AN166" s="7502"/>
      <c r="AO166" s="7502"/>
      <c r="AP166" s="2162"/>
      <c r="BG166" s="2396"/>
      <c r="BH166" s="2038"/>
      <c r="BI166" s="2038"/>
      <c r="BJ166" s="2038"/>
      <c r="BK166" s="2038"/>
      <c r="BL166" s="2038"/>
      <c r="BM166" s="2038"/>
      <c r="BN166" s="2038"/>
      <c r="BO166" s="2038"/>
      <c r="BP166" s="2038"/>
    </row>
    <row r="167" spans="1:68" ht="14.25" customHeight="1">
      <c r="A167" s="2162"/>
      <c r="B167" s="7474">
        <v>7</v>
      </c>
      <c r="C167" s="7413"/>
      <c r="D167" s="2447" t="s">
        <v>2694</v>
      </c>
      <c r="E167" s="1715"/>
      <c r="F167" s="1715"/>
      <c r="G167" s="1715"/>
      <c r="H167" s="1715"/>
      <c r="I167" s="1715"/>
      <c r="J167" s="1715"/>
      <c r="K167" s="1715"/>
      <c r="L167" s="1715"/>
      <c r="M167" s="1715"/>
      <c r="N167" s="1715"/>
      <c r="O167" s="1715"/>
      <c r="P167" s="1715"/>
      <c r="Q167" s="1715"/>
      <c r="R167" s="1715"/>
      <c r="S167" s="2760" t="s">
        <v>752</v>
      </c>
      <c r="T167" s="7479">
        <v>7</v>
      </c>
      <c r="U167" s="7480"/>
      <c r="V167" s="7502"/>
      <c r="W167" s="7502"/>
      <c r="X167" s="7502"/>
      <c r="Y167" s="7502"/>
      <c r="Z167" s="7502"/>
      <c r="AA167" s="7502"/>
      <c r="AB167" s="7502"/>
      <c r="AC167" s="7503"/>
      <c r="AD167" s="7504"/>
      <c r="AE167" s="7502"/>
      <c r="AF167" s="7502"/>
      <c r="AG167" s="7502"/>
      <c r="AH167" s="7502"/>
      <c r="AI167" s="7503"/>
      <c r="AJ167" s="7504"/>
      <c r="AK167" s="7502"/>
      <c r="AL167" s="7502"/>
      <c r="AM167" s="7502"/>
      <c r="AN167" s="7502"/>
      <c r="AO167" s="7502"/>
      <c r="AP167" s="2162"/>
      <c r="BG167" s="2396"/>
      <c r="BH167" s="2038"/>
      <c r="BI167" s="2038"/>
      <c r="BJ167" s="2038"/>
      <c r="BK167" s="2038"/>
      <c r="BL167" s="2038"/>
      <c r="BM167" s="2038"/>
      <c r="BN167" s="2038"/>
      <c r="BO167" s="2038"/>
      <c r="BP167" s="2038"/>
    </row>
    <row r="168" spans="1:68" ht="14.25" customHeight="1">
      <c r="A168" s="2162"/>
      <c r="B168" s="7474">
        <v>8</v>
      </c>
      <c r="C168" s="7413"/>
      <c r="D168" s="2447" t="s">
        <v>2695</v>
      </c>
      <c r="E168" s="1715"/>
      <c r="F168" s="1715"/>
      <c r="G168" s="1715"/>
      <c r="H168" s="1715"/>
      <c r="I168" s="1715"/>
      <c r="J168" s="1715"/>
      <c r="K168" s="1715"/>
      <c r="L168" s="1715"/>
      <c r="M168" s="1715"/>
      <c r="N168" s="1715"/>
      <c r="O168" s="1715"/>
      <c r="P168" s="1715"/>
      <c r="Q168" s="1715"/>
      <c r="R168" s="1715"/>
      <c r="S168" s="2760" t="s">
        <v>650</v>
      </c>
      <c r="T168" s="7479">
        <v>8</v>
      </c>
      <c r="U168" s="7480"/>
      <c r="V168" s="7502"/>
      <c r="W168" s="7502"/>
      <c r="X168" s="7502"/>
      <c r="Y168" s="7502"/>
      <c r="Z168" s="7502"/>
      <c r="AA168" s="7502"/>
      <c r="AB168" s="7502"/>
      <c r="AC168" s="7503"/>
      <c r="AD168" s="7504"/>
      <c r="AE168" s="7502"/>
      <c r="AF168" s="7502"/>
      <c r="AG168" s="7502"/>
      <c r="AH168" s="7502"/>
      <c r="AI168" s="7503"/>
      <c r="AJ168" s="7504"/>
      <c r="AK168" s="7502"/>
      <c r="AL168" s="7502"/>
      <c r="AM168" s="7502"/>
      <c r="AN168" s="7502"/>
      <c r="AO168" s="7502"/>
      <c r="AP168" s="2162"/>
      <c r="BG168" s="2396"/>
      <c r="BH168" s="2038"/>
      <c r="BI168" s="2038"/>
      <c r="BJ168" s="2038"/>
      <c r="BK168" s="2038"/>
      <c r="BL168" s="2038"/>
      <c r="BM168" s="2038"/>
      <c r="BN168" s="2038"/>
      <c r="BO168" s="2038"/>
      <c r="BP168" s="2038"/>
    </row>
    <row r="169" spans="1:68" ht="14.25" customHeight="1">
      <c r="A169" s="2162"/>
      <c r="B169" s="7474">
        <v>9</v>
      </c>
      <c r="C169" s="7413"/>
      <c r="D169" s="2447" t="s">
        <v>2696</v>
      </c>
      <c r="E169" s="1715"/>
      <c r="F169" s="1715"/>
      <c r="G169" s="1715"/>
      <c r="H169" s="1715"/>
      <c r="I169" s="1715"/>
      <c r="J169" s="1715"/>
      <c r="K169" s="1715"/>
      <c r="L169" s="1715"/>
      <c r="M169" s="1715"/>
      <c r="N169" s="1715"/>
      <c r="O169" s="1715"/>
      <c r="P169" s="1715"/>
      <c r="Q169" s="1715"/>
      <c r="R169" s="1715"/>
      <c r="S169" s="2760" t="s">
        <v>2521</v>
      </c>
      <c r="T169" s="7479">
        <v>9</v>
      </c>
      <c r="U169" s="7480"/>
      <c r="V169" s="7502"/>
      <c r="W169" s="7502"/>
      <c r="X169" s="7502"/>
      <c r="Y169" s="7502"/>
      <c r="Z169" s="7502"/>
      <c r="AA169" s="7502"/>
      <c r="AB169" s="7502"/>
      <c r="AC169" s="7503"/>
      <c r="AD169" s="7504"/>
      <c r="AE169" s="7502"/>
      <c r="AF169" s="7502"/>
      <c r="AG169" s="7502"/>
      <c r="AH169" s="7502"/>
      <c r="AI169" s="7503"/>
      <c r="AJ169" s="7504"/>
      <c r="AK169" s="7502"/>
      <c r="AL169" s="7502"/>
      <c r="AM169" s="7502"/>
      <c r="AN169" s="7502"/>
      <c r="AO169" s="7502"/>
      <c r="AP169" s="2162"/>
      <c r="BG169" s="2396"/>
      <c r="BH169" s="2038"/>
      <c r="BI169" s="2038"/>
      <c r="BJ169" s="2038"/>
      <c r="BK169" s="2038"/>
      <c r="BL169" s="2038"/>
      <c r="BM169" s="2038"/>
      <c r="BN169" s="2038"/>
      <c r="BO169" s="2038"/>
      <c r="BP169" s="2038"/>
    </row>
    <row r="170" spans="1:68" ht="14.25" customHeight="1">
      <c r="A170" s="2162"/>
      <c r="B170" s="7474">
        <v>10</v>
      </c>
      <c r="C170" s="7413"/>
      <c r="D170" s="2447" t="s">
        <v>2697</v>
      </c>
      <c r="E170" s="1715"/>
      <c r="F170" s="1715"/>
      <c r="G170" s="1715"/>
      <c r="H170" s="1715"/>
      <c r="I170" s="1715"/>
      <c r="J170" s="1715"/>
      <c r="K170" s="1715"/>
      <c r="L170" s="1715"/>
      <c r="M170" s="1715"/>
      <c r="N170" s="1715"/>
      <c r="O170" s="1715"/>
      <c r="P170" s="1715"/>
      <c r="Q170" s="1715"/>
      <c r="R170" s="1715"/>
      <c r="S170" s="2760" t="s">
        <v>677</v>
      </c>
      <c r="T170" s="7479">
        <v>10</v>
      </c>
      <c r="U170" s="7480"/>
      <c r="V170" s="7502"/>
      <c r="W170" s="7502"/>
      <c r="X170" s="7502"/>
      <c r="Y170" s="7502"/>
      <c r="Z170" s="7502"/>
      <c r="AA170" s="7502"/>
      <c r="AB170" s="7502"/>
      <c r="AC170" s="7503"/>
      <c r="AD170" s="7504"/>
      <c r="AE170" s="7502"/>
      <c r="AF170" s="7502"/>
      <c r="AG170" s="7502"/>
      <c r="AH170" s="7502"/>
      <c r="AI170" s="7503"/>
      <c r="AJ170" s="7504"/>
      <c r="AK170" s="7502"/>
      <c r="AL170" s="7502"/>
      <c r="AM170" s="7502"/>
      <c r="AN170" s="7502"/>
      <c r="AO170" s="7502"/>
      <c r="AP170" s="2162"/>
      <c r="BG170" s="2396"/>
      <c r="BH170" s="2038"/>
      <c r="BI170" s="2038"/>
      <c r="BJ170" s="2038"/>
      <c r="BK170" s="2038"/>
      <c r="BL170" s="2038"/>
      <c r="BM170" s="2038"/>
      <c r="BN170" s="2038"/>
      <c r="BO170" s="2038"/>
      <c r="BP170" s="2038"/>
    </row>
    <row r="171" spans="1:68" ht="14.25" customHeight="1">
      <c r="A171" s="2162"/>
      <c r="B171" s="7474">
        <v>11</v>
      </c>
      <c r="C171" s="7413"/>
      <c r="D171" s="2447" t="s">
        <v>2698</v>
      </c>
      <c r="E171" s="1715"/>
      <c r="F171" s="1715"/>
      <c r="G171" s="1715"/>
      <c r="H171" s="1715"/>
      <c r="I171" s="1715"/>
      <c r="J171" s="1715"/>
      <c r="K171" s="1715"/>
      <c r="L171" s="1715"/>
      <c r="M171" s="1715"/>
      <c r="N171" s="1715"/>
      <c r="O171" s="1715"/>
      <c r="P171" s="1715"/>
      <c r="Q171" s="1715"/>
      <c r="R171" s="1715"/>
      <c r="S171" s="2760" t="s">
        <v>646</v>
      </c>
      <c r="T171" s="7479">
        <v>11</v>
      </c>
      <c r="U171" s="7480"/>
      <c r="V171" s="7502"/>
      <c r="W171" s="7502"/>
      <c r="X171" s="7502"/>
      <c r="Y171" s="7502"/>
      <c r="Z171" s="7502"/>
      <c r="AA171" s="7502"/>
      <c r="AB171" s="7502"/>
      <c r="AC171" s="7503"/>
      <c r="AD171" s="7504"/>
      <c r="AE171" s="7502"/>
      <c r="AF171" s="7502"/>
      <c r="AG171" s="7502"/>
      <c r="AH171" s="7502"/>
      <c r="AI171" s="7503"/>
      <c r="AJ171" s="7504"/>
      <c r="AK171" s="7502"/>
      <c r="AL171" s="7502"/>
      <c r="AM171" s="7502"/>
      <c r="AN171" s="7502"/>
      <c r="AO171" s="7502"/>
      <c r="AP171" s="2162"/>
      <c r="BG171" s="2396"/>
      <c r="BH171" s="2038"/>
      <c r="BI171" s="2038"/>
      <c r="BJ171" s="2038"/>
      <c r="BK171" s="2038"/>
      <c r="BL171" s="2038"/>
      <c r="BM171" s="2038"/>
      <c r="BN171" s="2038"/>
      <c r="BO171" s="2038"/>
      <c r="BP171" s="2038"/>
    </row>
    <row r="172" spans="1:68" ht="14.25" customHeight="1">
      <c r="A172" s="2162"/>
      <c r="B172" s="7474">
        <v>12</v>
      </c>
      <c r="C172" s="7413"/>
      <c r="D172" s="2447" t="s">
        <v>2699</v>
      </c>
      <c r="E172" s="1715"/>
      <c r="F172" s="1715"/>
      <c r="G172" s="1715"/>
      <c r="H172" s="1715"/>
      <c r="I172" s="1715"/>
      <c r="J172" s="1715"/>
      <c r="K172" s="1715"/>
      <c r="L172" s="1715"/>
      <c r="M172" s="1715"/>
      <c r="N172" s="1715"/>
      <c r="O172" s="1715"/>
      <c r="P172" s="1715"/>
      <c r="Q172" s="1715"/>
      <c r="R172" s="1715"/>
      <c r="S172" s="2341"/>
      <c r="T172" s="7479">
        <v>12</v>
      </c>
      <c r="U172" s="7480"/>
      <c r="V172" s="7502"/>
      <c r="W172" s="7502"/>
      <c r="X172" s="7502"/>
      <c r="Y172" s="7502"/>
      <c r="Z172" s="7502"/>
      <c r="AA172" s="7502"/>
      <c r="AB172" s="7502"/>
      <c r="AC172" s="7503"/>
      <c r="AD172" s="7504"/>
      <c r="AE172" s="7502"/>
      <c r="AF172" s="7502"/>
      <c r="AG172" s="7502"/>
      <c r="AH172" s="7502"/>
      <c r="AI172" s="7503"/>
      <c r="AJ172" s="7504"/>
      <c r="AK172" s="7502"/>
      <c r="AL172" s="7502"/>
      <c r="AM172" s="7502"/>
      <c r="AN172" s="7502"/>
      <c r="AO172" s="7502"/>
      <c r="AP172" s="2162"/>
      <c r="BG172" s="2396"/>
      <c r="BH172" s="2038"/>
      <c r="BI172" s="2038"/>
      <c r="BJ172" s="2038"/>
      <c r="BK172" s="2038"/>
      <c r="BL172" s="2038"/>
      <c r="BM172" s="2038"/>
      <c r="BN172" s="2038"/>
      <c r="BO172" s="2038"/>
      <c r="BP172" s="2038"/>
    </row>
    <row r="173" spans="1:68" ht="14.25" customHeight="1">
      <c r="A173" s="2162"/>
      <c r="B173" s="7474">
        <v>13</v>
      </c>
      <c r="C173" s="7413"/>
      <c r="D173" s="2447" t="s">
        <v>2700</v>
      </c>
      <c r="E173" s="1715"/>
      <c r="F173" s="1715"/>
      <c r="G173" s="1715"/>
      <c r="H173" s="1715"/>
      <c r="I173" s="1715"/>
      <c r="J173" s="1715"/>
      <c r="K173" s="1715"/>
      <c r="L173" s="1715"/>
      <c r="M173" s="1715"/>
      <c r="N173" s="1715"/>
      <c r="O173" s="1715"/>
      <c r="P173" s="1715"/>
      <c r="Q173" s="1715"/>
      <c r="R173" s="1715"/>
      <c r="S173" s="2760" t="s">
        <v>650</v>
      </c>
      <c r="T173" s="7479">
        <v>13</v>
      </c>
      <c r="U173" s="7480"/>
      <c r="V173" s="7502"/>
      <c r="W173" s="7502"/>
      <c r="X173" s="7502"/>
      <c r="Y173" s="7502"/>
      <c r="Z173" s="7502"/>
      <c r="AA173" s="7502"/>
      <c r="AB173" s="7502"/>
      <c r="AC173" s="7503"/>
      <c r="AD173" s="7504"/>
      <c r="AE173" s="7502"/>
      <c r="AF173" s="7502"/>
      <c r="AG173" s="7502"/>
      <c r="AH173" s="7502"/>
      <c r="AI173" s="7503"/>
      <c r="AJ173" s="7504"/>
      <c r="AK173" s="7502"/>
      <c r="AL173" s="7502"/>
      <c r="AM173" s="7502"/>
      <c r="AN173" s="7502"/>
      <c r="AO173" s="7502"/>
      <c r="AP173" s="2162"/>
      <c r="BG173" s="2396"/>
      <c r="BH173" s="2038"/>
      <c r="BI173" s="2038"/>
      <c r="BJ173" s="2038"/>
      <c r="BK173" s="2038"/>
      <c r="BL173" s="2038"/>
      <c r="BM173" s="2038"/>
      <c r="BN173" s="2038"/>
      <c r="BO173" s="2038"/>
      <c r="BP173" s="2038"/>
    </row>
    <row r="174" spans="1:68" ht="14.25" customHeight="1">
      <c r="A174" s="2162"/>
      <c r="B174" s="7474">
        <v>14</v>
      </c>
      <c r="C174" s="7413"/>
      <c r="D174" s="2447" t="s">
        <v>2701</v>
      </c>
      <c r="E174" s="1715"/>
      <c r="F174" s="1715"/>
      <c r="G174" s="1715"/>
      <c r="H174" s="1715"/>
      <c r="I174" s="1715"/>
      <c r="J174" s="1715"/>
      <c r="K174" s="1715"/>
      <c r="L174" s="1715"/>
      <c r="M174" s="1715"/>
      <c r="N174" s="1715"/>
      <c r="O174" s="1715"/>
      <c r="P174" s="1715"/>
      <c r="Q174" s="1715"/>
      <c r="R174" s="1715"/>
      <c r="S174" s="2760" t="s">
        <v>2521</v>
      </c>
      <c r="T174" s="7479">
        <v>14</v>
      </c>
      <c r="U174" s="7480"/>
      <c r="V174" s="7502"/>
      <c r="W174" s="7502"/>
      <c r="X174" s="7502"/>
      <c r="Y174" s="7502"/>
      <c r="Z174" s="7502"/>
      <c r="AA174" s="7502"/>
      <c r="AB174" s="7502"/>
      <c r="AC174" s="7503"/>
      <c r="AD174" s="7504"/>
      <c r="AE174" s="7502"/>
      <c r="AF174" s="7502"/>
      <c r="AG174" s="7502"/>
      <c r="AH174" s="7502"/>
      <c r="AI174" s="7503"/>
      <c r="AJ174" s="7504"/>
      <c r="AK174" s="7502"/>
      <c r="AL174" s="7502"/>
      <c r="AM174" s="7502"/>
      <c r="AN174" s="7502"/>
      <c r="AO174" s="7502"/>
      <c r="AP174" s="2162"/>
      <c r="BG174" s="2396"/>
      <c r="BH174" s="2038"/>
      <c r="BI174" s="2038"/>
      <c r="BJ174" s="2038"/>
      <c r="BK174" s="2038"/>
      <c r="BL174" s="2038"/>
      <c r="BM174" s="2038"/>
      <c r="BN174" s="2038"/>
      <c r="BO174" s="2038"/>
      <c r="BP174" s="2038"/>
    </row>
    <row r="175" spans="1:68" ht="14.25" customHeight="1">
      <c r="A175" s="2162"/>
      <c r="B175" s="7474">
        <v>15</v>
      </c>
      <c r="C175" s="7413"/>
      <c r="D175" s="2447" t="s">
        <v>2702</v>
      </c>
      <c r="E175" s="1715"/>
      <c r="F175" s="1715"/>
      <c r="G175" s="1715"/>
      <c r="H175" s="1715"/>
      <c r="I175" s="1715"/>
      <c r="J175" s="1715"/>
      <c r="K175" s="1715"/>
      <c r="L175" s="1715"/>
      <c r="M175" s="1715"/>
      <c r="N175" s="1715"/>
      <c r="O175" s="1715"/>
      <c r="P175" s="1715"/>
      <c r="Q175" s="1715"/>
      <c r="R175" s="1715"/>
      <c r="S175" s="2760" t="s">
        <v>2521</v>
      </c>
      <c r="T175" s="7479">
        <v>15</v>
      </c>
      <c r="U175" s="7480"/>
      <c r="V175" s="7502"/>
      <c r="W175" s="7502"/>
      <c r="X175" s="7502"/>
      <c r="Y175" s="7502"/>
      <c r="Z175" s="7502"/>
      <c r="AA175" s="7502"/>
      <c r="AB175" s="7502"/>
      <c r="AC175" s="7503"/>
      <c r="AD175" s="7504"/>
      <c r="AE175" s="7502"/>
      <c r="AF175" s="7502"/>
      <c r="AG175" s="7502"/>
      <c r="AH175" s="7502"/>
      <c r="AI175" s="7503"/>
      <c r="AJ175" s="7504"/>
      <c r="AK175" s="7502"/>
      <c r="AL175" s="7502"/>
      <c r="AM175" s="7502"/>
      <c r="AN175" s="7502"/>
      <c r="AO175" s="7502"/>
      <c r="AP175" s="2162"/>
      <c r="BG175" s="2396"/>
      <c r="BH175" s="2038"/>
      <c r="BI175" s="2038"/>
      <c r="BJ175" s="2038"/>
      <c r="BK175" s="2038"/>
      <c r="BL175" s="2038"/>
      <c r="BM175" s="2038"/>
      <c r="BN175" s="2038"/>
      <c r="BO175" s="2038"/>
      <c r="BP175" s="2038"/>
    </row>
    <row r="176" spans="1:68" ht="14.25" customHeight="1">
      <c r="A176" s="2162"/>
      <c r="B176" s="7474">
        <v>16</v>
      </c>
      <c r="C176" s="7413"/>
      <c r="D176" s="2447" t="s">
        <v>2703</v>
      </c>
      <c r="E176" s="1715"/>
      <c r="F176" s="1715"/>
      <c r="G176" s="1715"/>
      <c r="H176" s="1715"/>
      <c r="I176" s="1715"/>
      <c r="J176" s="1715"/>
      <c r="K176" s="1715"/>
      <c r="L176" s="1715"/>
      <c r="M176" s="1715"/>
      <c r="N176" s="1715"/>
      <c r="O176" s="1715"/>
      <c r="P176" s="1715"/>
      <c r="Q176" s="1715"/>
      <c r="R176" s="1715"/>
      <c r="S176" s="2760" t="s">
        <v>714</v>
      </c>
      <c r="T176" s="7479">
        <v>16</v>
      </c>
      <c r="U176" s="7480"/>
      <c r="V176" s="7502"/>
      <c r="W176" s="7502"/>
      <c r="X176" s="7502"/>
      <c r="Y176" s="7502"/>
      <c r="Z176" s="7502"/>
      <c r="AA176" s="7502"/>
      <c r="AB176" s="7502"/>
      <c r="AC176" s="7503"/>
      <c r="AD176" s="7504"/>
      <c r="AE176" s="7502"/>
      <c r="AF176" s="7502"/>
      <c r="AG176" s="7502"/>
      <c r="AH176" s="7502"/>
      <c r="AI176" s="7503"/>
      <c r="AJ176" s="7504"/>
      <c r="AK176" s="7502"/>
      <c r="AL176" s="7502"/>
      <c r="AM176" s="7502"/>
      <c r="AN176" s="7502"/>
      <c r="AO176" s="7502"/>
      <c r="AP176" s="2162"/>
      <c r="BG176" s="2396"/>
      <c r="BH176" s="2038"/>
      <c r="BI176" s="2038"/>
      <c r="BJ176" s="2038"/>
      <c r="BK176" s="2038"/>
      <c r="BL176" s="2038"/>
      <c r="BM176" s="2038"/>
      <c r="BN176" s="2038"/>
      <c r="BO176" s="2038"/>
      <c r="BP176" s="2038"/>
    </row>
    <row r="177" spans="1:68" ht="14.25" customHeight="1">
      <c r="A177" s="2162"/>
      <c r="B177" s="7474">
        <v>17</v>
      </c>
      <c r="C177" s="7413"/>
      <c r="D177" s="2447" t="s">
        <v>2333</v>
      </c>
      <c r="E177" s="1715"/>
      <c r="F177" s="1715"/>
      <c r="G177" s="1715"/>
      <c r="H177" s="1715"/>
      <c r="I177" s="1715"/>
      <c r="J177" s="1715"/>
      <c r="K177" s="1715"/>
      <c r="L177" s="1715"/>
      <c r="M177" s="1715"/>
      <c r="N177" s="1715"/>
      <c r="O177" s="1715"/>
      <c r="P177" s="1715"/>
      <c r="Q177" s="1715"/>
      <c r="R177" s="1715"/>
      <c r="S177" s="2760" t="s">
        <v>714</v>
      </c>
      <c r="T177" s="7479">
        <v>17</v>
      </c>
      <c r="U177" s="7480"/>
      <c r="V177" s="7502"/>
      <c r="W177" s="7502"/>
      <c r="X177" s="7502"/>
      <c r="Y177" s="7502"/>
      <c r="Z177" s="7502"/>
      <c r="AA177" s="7502"/>
      <c r="AB177" s="7502"/>
      <c r="AC177" s="7503"/>
      <c r="AD177" s="7504"/>
      <c r="AE177" s="7502"/>
      <c r="AF177" s="7502"/>
      <c r="AG177" s="7502"/>
      <c r="AH177" s="7502"/>
      <c r="AI177" s="7503"/>
      <c r="AJ177" s="7504"/>
      <c r="AK177" s="7502"/>
      <c r="AL177" s="7502"/>
      <c r="AM177" s="7502"/>
      <c r="AN177" s="7502"/>
      <c r="AO177" s="7502"/>
      <c r="AP177" s="2162"/>
      <c r="AQ177" s="260"/>
      <c r="AR177" s="260"/>
      <c r="AS177" s="260"/>
      <c r="AT177" s="260"/>
      <c r="AU177" s="260"/>
      <c r="BG177" s="2396"/>
      <c r="BH177" s="2038"/>
      <c r="BI177" s="2038"/>
      <c r="BJ177" s="2038"/>
      <c r="BK177" s="2038"/>
      <c r="BL177" s="2038"/>
      <c r="BM177" s="2038"/>
      <c r="BN177" s="2038"/>
      <c r="BO177" s="2038"/>
      <c r="BP177" s="2038"/>
    </row>
    <row r="178" spans="1:68" ht="14.25" customHeight="1">
      <c r="A178" s="2162"/>
      <c r="B178" s="7474">
        <v>18</v>
      </c>
      <c r="C178" s="7413"/>
      <c r="D178" s="2447" t="s">
        <v>2704</v>
      </c>
      <c r="E178" s="1715"/>
      <c r="F178" s="1715"/>
      <c r="G178" s="1715"/>
      <c r="H178" s="1715"/>
      <c r="I178" s="1715"/>
      <c r="J178" s="1715"/>
      <c r="K178" s="1715"/>
      <c r="L178" s="1715"/>
      <c r="M178" s="1715"/>
      <c r="N178" s="1715"/>
      <c r="O178" s="1715"/>
      <c r="P178" s="1715"/>
      <c r="Q178" s="1715"/>
      <c r="R178" s="1715"/>
      <c r="S178" s="2760" t="s">
        <v>677</v>
      </c>
      <c r="T178" s="7479">
        <v>18</v>
      </c>
      <c r="U178" s="7480"/>
      <c r="V178" s="7502"/>
      <c r="W178" s="7502"/>
      <c r="X178" s="7502"/>
      <c r="Y178" s="7502"/>
      <c r="Z178" s="7502"/>
      <c r="AA178" s="7502"/>
      <c r="AB178" s="7502"/>
      <c r="AC178" s="7503"/>
      <c r="AD178" s="7504"/>
      <c r="AE178" s="7502"/>
      <c r="AF178" s="7502"/>
      <c r="AG178" s="7502"/>
      <c r="AH178" s="7502"/>
      <c r="AI178" s="7503"/>
      <c r="AJ178" s="7504"/>
      <c r="AK178" s="7502"/>
      <c r="AL178" s="7502"/>
      <c r="AM178" s="7502"/>
      <c r="AN178" s="7502"/>
      <c r="AO178" s="7502"/>
      <c r="AP178" s="2162"/>
      <c r="AQ178" s="260"/>
      <c r="AR178" s="7328" t="s">
        <v>2705</v>
      </c>
      <c r="AS178" s="7367"/>
      <c r="AT178" s="7367"/>
      <c r="AU178" s="260"/>
      <c r="BG178" s="2396"/>
      <c r="BH178" s="2038"/>
      <c r="BI178" s="2038"/>
      <c r="BJ178" s="2038"/>
      <c r="BK178" s="2038"/>
      <c r="BL178" s="2038"/>
      <c r="BM178" s="2038"/>
      <c r="BN178" s="2038"/>
      <c r="BO178" s="2038"/>
      <c r="BP178" s="2038"/>
    </row>
    <row r="179" spans="1:68" ht="14.25" customHeight="1">
      <c r="A179" s="2162"/>
      <c r="B179" s="7474">
        <v>19</v>
      </c>
      <c r="C179" s="7413"/>
      <c r="D179" s="2447" t="s">
        <v>2706</v>
      </c>
      <c r="E179" s="1715"/>
      <c r="F179" s="1715"/>
      <c r="G179" s="1715"/>
      <c r="H179" s="7506"/>
      <c r="I179" s="7506"/>
      <c r="J179" s="7506"/>
      <c r="K179" s="7506"/>
      <c r="L179" s="7506"/>
      <c r="M179" s="7506"/>
      <c r="N179" s="7506"/>
      <c r="O179" s="7506"/>
      <c r="P179" s="7506"/>
      <c r="Q179" s="7506"/>
      <c r="R179" s="7506"/>
      <c r="S179" s="2341"/>
      <c r="T179" s="7479">
        <v>19</v>
      </c>
      <c r="U179" s="7480"/>
      <c r="V179" s="7502"/>
      <c r="W179" s="7502"/>
      <c r="X179" s="7502"/>
      <c r="Y179" s="7502"/>
      <c r="Z179" s="7502"/>
      <c r="AA179" s="7502"/>
      <c r="AB179" s="7502"/>
      <c r="AC179" s="7503"/>
      <c r="AD179" s="7504"/>
      <c r="AE179" s="7502"/>
      <c r="AF179" s="7502"/>
      <c r="AG179" s="7502"/>
      <c r="AH179" s="7502"/>
      <c r="AI179" s="7503"/>
      <c r="AJ179" s="7504"/>
      <c r="AK179" s="7502"/>
      <c r="AL179" s="7502"/>
      <c r="AM179" s="7502"/>
      <c r="AN179" s="7502"/>
      <c r="AO179" s="7502"/>
      <c r="AP179" s="2162"/>
      <c r="AQ179" s="260"/>
      <c r="AR179" s="260"/>
      <c r="AS179" s="260"/>
      <c r="AT179" s="260"/>
      <c r="AU179" s="260"/>
      <c r="BG179" s="2396"/>
      <c r="BH179" s="2038"/>
      <c r="BI179" s="2038"/>
      <c r="BJ179" s="2038"/>
      <c r="BK179" s="2038"/>
      <c r="BL179" s="2038"/>
      <c r="BM179" s="2038"/>
      <c r="BN179" s="2038"/>
      <c r="BO179" s="2038"/>
      <c r="BP179" s="2038"/>
    </row>
    <row r="180" spans="1:68" ht="14.25" customHeight="1">
      <c r="A180" s="2162"/>
      <c r="B180" s="7474">
        <v>20</v>
      </c>
      <c r="C180" s="7413"/>
      <c r="D180" s="2447" t="s">
        <v>2707</v>
      </c>
      <c r="E180" s="1715"/>
      <c r="F180" s="1715"/>
      <c r="G180" s="1715"/>
      <c r="H180" s="1715"/>
      <c r="I180" s="1715"/>
      <c r="J180" s="1715"/>
      <c r="K180" s="1715"/>
      <c r="L180" s="1715"/>
      <c r="M180" s="1715"/>
      <c r="N180" s="1715"/>
      <c r="O180" s="1715"/>
      <c r="P180" s="1715"/>
      <c r="Q180" s="1715"/>
      <c r="R180" s="1715"/>
      <c r="S180" s="2760" t="s">
        <v>699</v>
      </c>
      <c r="T180" s="7479">
        <v>20</v>
      </c>
      <c r="U180" s="7480"/>
      <c r="V180" s="7369">
        <f>IF(AR180&lt;&gt;"",ROUND(AR180,0),ROUND(SUM(V165:AC179),0))</f>
        <v>0</v>
      </c>
      <c r="W180" s="7369"/>
      <c r="X180" s="7369"/>
      <c r="Y180" s="7369"/>
      <c r="Z180" s="7369"/>
      <c r="AA180" s="7369"/>
      <c r="AB180" s="7369"/>
      <c r="AC180" s="7491"/>
      <c r="AD180" s="7490">
        <f>IF(AS180&lt;&gt;"",ROUND(AS180,0),ROUND(SUM(AD165:AI179),0))</f>
        <v>0</v>
      </c>
      <c r="AE180" s="7369"/>
      <c r="AF180" s="7369"/>
      <c r="AG180" s="7369"/>
      <c r="AH180" s="7369"/>
      <c r="AI180" s="7491"/>
      <c r="AJ180" s="7505">
        <f>IF(AT180&lt;&gt;"",ROUND(AT180,0),ROUND(SUM(AJ165:AO179),0))</f>
        <v>0</v>
      </c>
      <c r="AK180" s="7371"/>
      <c r="AL180" s="7371"/>
      <c r="AM180" s="7371"/>
      <c r="AN180" s="7371"/>
      <c r="AO180" s="7371"/>
      <c r="AP180" s="2162"/>
      <c r="AQ180" s="260"/>
      <c r="AR180" s="2499"/>
      <c r="AS180" s="2499"/>
      <c r="AT180" s="2499"/>
      <c r="AU180" s="260"/>
      <c r="BG180" s="2396"/>
      <c r="BH180" s="2038"/>
      <c r="BI180" s="2038"/>
      <c r="BJ180" s="2038"/>
      <c r="BK180" s="2038"/>
      <c r="BL180" s="2038"/>
      <c r="BM180" s="2038"/>
      <c r="BN180" s="2038"/>
      <c r="BO180" s="2038"/>
      <c r="BP180" s="2038"/>
    </row>
    <row r="181" spans="1:68" ht="14.25" customHeight="1">
      <c r="A181" s="2162"/>
      <c r="B181" s="7474">
        <v>21</v>
      </c>
      <c r="C181" s="7413"/>
      <c r="D181" s="2447" t="s">
        <v>2708</v>
      </c>
      <c r="E181" s="1715"/>
      <c r="F181" s="1715"/>
      <c r="G181" s="1715"/>
      <c r="H181" s="1715"/>
      <c r="I181" s="1715"/>
      <c r="J181" s="1715"/>
      <c r="K181" s="1715"/>
      <c r="L181" s="1715"/>
      <c r="M181" s="1715"/>
      <c r="N181" s="1715"/>
      <c r="O181" s="1715"/>
      <c r="P181" s="1715"/>
      <c r="Q181" s="1715"/>
      <c r="R181" s="1715"/>
      <c r="S181" s="2341"/>
      <c r="T181" s="7497"/>
      <c r="U181" s="7498"/>
      <c r="V181" s="7499"/>
      <c r="W181" s="7500"/>
      <c r="X181" s="7500"/>
      <c r="Y181" s="7500"/>
      <c r="Z181" s="7500"/>
      <c r="AA181" s="7500"/>
      <c r="AB181" s="7500"/>
      <c r="AC181" s="7501"/>
      <c r="AD181" s="7499"/>
      <c r="AE181" s="7500"/>
      <c r="AF181" s="7500"/>
      <c r="AG181" s="7500"/>
      <c r="AH181" s="7500"/>
      <c r="AI181" s="7501"/>
      <c r="AJ181" s="7499"/>
      <c r="AK181" s="7500"/>
      <c r="AL181" s="7500"/>
      <c r="AM181" s="7500"/>
      <c r="AN181" s="7500"/>
      <c r="AO181" s="7500"/>
      <c r="AP181" s="2162"/>
      <c r="AQ181" s="260"/>
      <c r="AR181" s="260"/>
      <c r="AS181" s="260"/>
      <c r="AT181" s="260"/>
      <c r="AU181" s="260"/>
      <c r="AX181" s="118"/>
      <c r="AY181" s="7365" t="s">
        <v>542</v>
      </c>
      <c r="AZ181" s="7366"/>
      <c r="BA181" s="7365" t="s">
        <v>548</v>
      </c>
      <c r="BB181" s="7366"/>
      <c r="BC181" s="7365" t="s">
        <v>550</v>
      </c>
      <c r="BD181" s="7366"/>
      <c r="BG181" s="2396"/>
      <c r="BH181" s="2038"/>
      <c r="BI181" s="2038"/>
      <c r="BJ181" s="2038"/>
      <c r="BK181" s="2038"/>
      <c r="BL181" s="2038"/>
      <c r="BM181" s="2038"/>
      <c r="BN181" s="2038"/>
      <c r="BO181" s="2038"/>
      <c r="BP181" s="2038"/>
    </row>
    <row r="182" spans="1:68" ht="14.25" customHeight="1">
      <c r="A182" s="2162"/>
      <c r="B182" s="7474"/>
      <c r="C182" s="7413"/>
      <c r="D182" s="2447" t="s">
        <v>2709</v>
      </c>
      <c r="E182" s="1715"/>
      <c r="F182" s="1715"/>
      <c r="G182" s="1715"/>
      <c r="H182" s="1715"/>
      <c r="I182" s="1715"/>
      <c r="J182" s="1715"/>
      <c r="K182" s="1715"/>
      <c r="L182" s="1715"/>
      <c r="M182" s="1715"/>
      <c r="N182" s="1715"/>
      <c r="O182" s="1715"/>
      <c r="P182" s="1715"/>
      <c r="Q182" s="1715"/>
      <c r="R182" s="1715"/>
      <c r="S182" s="2341"/>
      <c r="T182" s="7492"/>
      <c r="U182" s="7493"/>
      <c r="V182" s="7494"/>
      <c r="W182" s="7495"/>
      <c r="X182" s="7495"/>
      <c r="Y182" s="7495"/>
      <c r="Z182" s="7495"/>
      <c r="AA182" s="7495"/>
      <c r="AB182" s="7495"/>
      <c r="AC182" s="7496"/>
      <c r="AD182" s="7494"/>
      <c r="AE182" s="7495"/>
      <c r="AF182" s="7495"/>
      <c r="AG182" s="7495"/>
      <c r="AH182" s="7495"/>
      <c r="AI182" s="7496"/>
      <c r="AJ182" s="7494"/>
      <c r="AK182" s="7495"/>
      <c r="AL182" s="7495"/>
      <c r="AM182" s="7495"/>
      <c r="AN182" s="7495"/>
      <c r="AO182" s="7495"/>
      <c r="AP182" s="2162"/>
      <c r="AQ182" s="260"/>
      <c r="AR182" s="260"/>
      <c r="AS182" s="260"/>
      <c r="AT182" s="260"/>
      <c r="AU182" s="260"/>
      <c r="AX182" s="118"/>
      <c r="AY182" s="777" t="s">
        <v>2710</v>
      </c>
      <c r="AZ182" s="777" t="s">
        <v>2711</v>
      </c>
      <c r="BA182" s="777" t="s">
        <v>2710</v>
      </c>
      <c r="BB182" s="777" t="s">
        <v>2711</v>
      </c>
      <c r="BC182" s="777" t="s">
        <v>2710</v>
      </c>
      <c r="BD182" s="777" t="s">
        <v>2711</v>
      </c>
      <c r="BG182" s="2396"/>
      <c r="BH182" s="2038"/>
      <c r="BI182" s="2038"/>
      <c r="BJ182" s="2038"/>
      <c r="BK182" s="2038"/>
      <c r="BL182" s="2038"/>
      <c r="BM182" s="2038"/>
      <c r="BN182" s="2038"/>
      <c r="BO182" s="2038"/>
      <c r="BP182" s="2038"/>
    </row>
    <row r="183" spans="1:68" ht="14.25" customHeight="1">
      <c r="A183" s="2162"/>
      <c r="B183" s="7474"/>
      <c r="C183" s="7413"/>
      <c r="D183" s="2447" t="s">
        <v>2712</v>
      </c>
      <c r="E183" s="1715"/>
      <c r="F183" s="1715"/>
      <c r="G183" s="1715"/>
      <c r="H183" s="1715"/>
      <c r="I183" s="1715"/>
      <c r="J183" s="1715"/>
      <c r="K183" s="1715"/>
      <c r="L183" s="1715"/>
      <c r="M183" s="1715"/>
      <c r="N183" s="1715"/>
      <c r="O183" s="1715"/>
      <c r="P183" s="1715"/>
      <c r="Q183" s="1715"/>
      <c r="R183" s="1715"/>
      <c r="S183" s="2760" t="s">
        <v>661</v>
      </c>
      <c r="T183" s="7479">
        <v>21</v>
      </c>
      <c r="U183" s="7480"/>
      <c r="V183" s="7490">
        <f>IF(AR183&lt;&gt;"",ROUND(AR183,0),ROUND(SUM(V162,V163,-V180),0))</f>
        <v>0</v>
      </c>
      <c r="W183" s="7369"/>
      <c r="X183" s="7369"/>
      <c r="Y183" s="7369"/>
      <c r="Z183" s="7369"/>
      <c r="AA183" s="7369"/>
      <c r="AB183" s="7369"/>
      <c r="AC183" s="7491"/>
      <c r="AD183" s="7490">
        <f>IF(AS183&lt;&gt;"",ROUND(AS183,0),ROUND(SUM(AD162,AD163,-AD180),0))</f>
        <v>0</v>
      </c>
      <c r="AE183" s="7369"/>
      <c r="AF183" s="7369"/>
      <c r="AG183" s="7369"/>
      <c r="AH183" s="7369"/>
      <c r="AI183" s="7491"/>
      <c r="AJ183" s="7490">
        <f>IF(AT183&lt;&gt;"",ROUND(AT183,0),ROUND(SUM(AJ162,AJ163,-AJ180),0))</f>
        <v>0</v>
      </c>
      <c r="AK183" s="7369"/>
      <c r="AL183" s="7369"/>
      <c r="AM183" s="7369"/>
      <c r="AN183" s="7369"/>
      <c r="AO183" s="7369"/>
      <c r="AP183" s="2162"/>
      <c r="AQ183" s="260"/>
      <c r="AR183" s="2499"/>
      <c r="AS183" s="2499"/>
      <c r="AT183" s="2499"/>
      <c r="AU183" s="260"/>
      <c r="AX183" s="779" t="s">
        <v>2713</v>
      </c>
      <c r="AY183" s="776">
        <f>IF(V183&gt;0,V183,0)</f>
        <v>0</v>
      </c>
      <c r="AZ183" s="776">
        <f>IF(V183&lt;0,V183,0)</f>
        <v>0</v>
      </c>
      <c r="BA183" s="776">
        <f>IF(AD183&gt;0,AD183,0)</f>
        <v>0</v>
      </c>
      <c r="BB183" s="776">
        <f>IF(AD183&lt;0,AD183,0)</f>
        <v>0</v>
      </c>
      <c r="BC183" s="776">
        <f>IF(AJ183&gt;0,AJ183,0)</f>
        <v>0</v>
      </c>
      <c r="BD183" s="776">
        <f>IF(AJ183&lt;0,AJ183,0)</f>
        <v>0</v>
      </c>
      <c r="BG183" s="2396"/>
      <c r="BH183" s="2038"/>
      <c r="BI183" s="2038"/>
      <c r="BJ183" s="2038"/>
      <c r="BK183" s="2038"/>
      <c r="BL183" s="2038"/>
      <c r="BM183" s="2038"/>
      <c r="BN183" s="2038"/>
      <c r="BO183" s="2038"/>
      <c r="BP183" s="2038"/>
    </row>
    <row r="184" spans="1:68" ht="14.25" customHeight="1">
      <c r="A184" s="2162"/>
      <c r="B184" s="7474">
        <v>22</v>
      </c>
      <c r="C184" s="7413"/>
      <c r="D184" s="2447" t="s">
        <v>2714</v>
      </c>
      <c r="E184" s="1715"/>
      <c r="F184" s="1715"/>
      <c r="G184" s="1715"/>
      <c r="H184" s="1715"/>
      <c r="I184" s="1715"/>
      <c r="J184" s="1715"/>
      <c r="K184" s="1715"/>
      <c r="L184" s="1715"/>
      <c r="M184" s="1715"/>
      <c r="N184" s="1715"/>
      <c r="O184" s="1715"/>
      <c r="P184" s="1715"/>
      <c r="Q184" s="1715"/>
      <c r="R184" s="1715"/>
      <c r="S184" s="2341"/>
      <c r="T184" s="7492"/>
      <c r="U184" s="7493"/>
      <c r="V184" s="7494"/>
      <c r="W184" s="7495"/>
      <c r="X184" s="7495"/>
      <c r="Y184" s="7495"/>
      <c r="Z184" s="7495"/>
      <c r="AA184" s="7495"/>
      <c r="AB184" s="7495"/>
      <c r="AC184" s="7496"/>
      <c r="AD184" s="7494"/>
      <c r="AE184" s="7495"/>
      <c r="AF184" s="7495"/>
      <c r="AG184" s="7495"/>
      <c r="AH184" s="7495"/>
      <c r="AI184" s="7496"/>
      <c r="AJ184" s="7494"/>
      <c r="AK184" s="7495"/>
      <c r="AL184" s="7495"/>
      <c r="AM184" s="7495"/>
      <c r="AN184" s="7495"/>
      <c r="AO184" s="7495"/>
      <c r="AP184" s="2162"/>
      <c r="AQ184" s="260"/>
      <c r="AR184" s="260"/>
      <c r="AS184" s="260"/>
      <c r="AT184" s="260"/>
      <c r="AU184" s="260"/>
      <c r="AX184" s="779" t="s">
        <v>2715</v>
      </c>
      <c r="AY184" s="792" t="s">
        <v>399</v>
      </c>
      <c r="AZ184" s="776">
        <f>IF(W185&lt;&gt;"",-W185,0)</f>
        <v>0</v>
      </c>
      <c r="BA184" s="792" t="s">
        <v>399</v>
      </c>
      <c r="BB184" s="776">
        <f>IF(AE185&lt;&gt;"",-AE185,0)</f>
        <v>0</v>
      </c>
      <c r="BC184" s="792" t="s">
        <v>399</v>
      </c>
      <c r="BD184" s="776">
        <f>IF(AK185&lt;&gt;"",-AK185,0)</f>
        <v>0</v>
      </c>
      <c r="BG184" s="2396"/>
      <c r="BH184" s="2038"/>
      <c r="BI184" s="2038"/>
      <c r="BJ184" s="2038"/>
      <c r="BK184" s="2038"/>
      <c r="BL184" s="2038"/>
      <c r="BM184" s="2038"/>
      <c r="BN184" s="2038"/>
      <c r="BO184" s="2038"/>
      <c r="BP184" s="2038"/>
    </row>
    <row r="185" spans="1:68" ht="14.25" customHeight="1">
      <c r="A185" s="2162"/>
      <c r="B185" s="7474"/>
      <c r="C185" s="7413"/>
      <c r="D185" s="2447" t="s">
        <v>2716</v>
      </c>
      <c r="E185" s="1715"/>
      <c r="F185" s="1715"/>
      <c r="G185" s="1715"/>
      <c r="H185" s="1715"/>
      <c r="I185" s="1715"/>
      <c r="J185" s="1715"/>
      <c r="K185" s="1715"/>
      <c r="L185" s="1715"/>
      <c r="M185" s="1715"/>
      <c r="N185" s="1715"/>
      <c r="O185" s="1715"/>
      <c r="P185" s="1715"/>
      <c r="Q185" s="1715"/>
      <c r="R185" s="1715"/>
      <c r="S185" s="2760" t="s">
        <v>654</v>
      </c>
      <c r="T185" s="7479">
        <v>22</v>
      </c>
      <c r="U185" s="7480"/>
      <c r="V185" s="2501" t="s">
        <v>905</v>
      </c>
      <c r="W185" s="7369" t="str">
        <f>IF(AND(AR185&lt;0,AR185&lt;&gt;""),-ROUND(AR185,0),IF(AND(AR185&gt;=0,AR185&lt;&gt;""),ROUND(AR185,0),IF(AND(D153&lt;&gt;6,V183&lt;0),ROUND(-V183,0),"")))</f>
        <v/>
      </c>
      <c r="X185" s="7370"/>
      <c r="Y185" s="7370"/>
      <c r="Z185" s="7370"/>
      <c r="AA185" s="7370"/>
      <c r="AB185" s="7370"/>
      <c r="AC185" s="4714" t="s">
        <v>906</v>
      </c>
      <c r="AD185" s="2501" t="s">
        <v>905</v>
      </c>
      <c r="AE185" s="7369" t="str">
        <f>IF(AND(AS185&lt;0,AS185&lt;&gt;""),-ROUND(AS185,0),IF(AND(AS185&gt;=0,AS185&lt;&gt;""),ROUND(AS185,0),IF(AND(D154&lt;&gt;6,AD183&lt;0),ROUND(-AD183,0),"")))</f>
        <v/>
      </c>
      <c r="AF185" s="7370"/>
      <c r="AG185" s="7370"/>
      <c r="AH185" s="7370"/>
      <c r="AI185" s="4714" t="s">
        <v>906</v>
      </c>
      <c r="AJ185" s="2501" t="s">
        <v>905</v>
      </c>
      <c r="AK185" s="7369" t="str">
        <f>IF(AND(AT185&lt;0,AT185&lt;&gt;""),-ROUND(AT185,0),IF(AND(AT185&gt;=0,AT185&lt;&gt;""),ROUND(AT185,0),IF(AND(D155&lt;&gt;6,AJ183&lt;0),ROUND(-AJ183,0),"")))</f>
        <v/>
      </c>
      <c r="AL185" s="7370"/>
      <c r="AM185" s="7370"/>
      <c r="AN185" s="7370"/>
      <c r="AO185" s="4713" t="s">
        <v>906</v>
      </c>
      <c r="AP185" s="2162"/>
      <c r="AQ185" s="260"/>
      <c r="AR185" s="2499"/>
      <c r="AS185" s="2499"/>
      <c r="AT185" s="2499"/>
      <c r="AU185" s="260"/>
      <c r="AX185" s="779"/>
      <c r="AY185" s="778" t="s">
        <v>2717</v>
      </c>
      <c r="AZ185" s="776">
        <f>IF(D153=6,AZ183,0)</f>
        <v>0</v>
      </c>
      <c r="BA185"/>
      <c r="BB185" s="776">
        <f>IF(D154=6,BB183,0)</f>
        <v>0</v>
      </c>
      <c r="BC185"/>
      <c r="BD185" s="776">
        <f>IF(D155=6,BD183,0)</f>
        <v>0</v>
      </c>
      <c r="BG185" s="2396"/>
      <c r="BH185" s="2038"/>
      <c r="BI185" s="2038"/>
      <c r="BJ185" s="2038"/>
      <c r="BK185" s="2038"/>
      <c r="BL185" s="2038"/>
      <c r="BM185" s="2038"/>
      <c r="BN185" s="2038"/>
      <c r="BO185" s="2038"/>
      <c r="BP185" s="2038"/>
    </row>
    <row r="186" spans="1:68" ht="14.25" customHeight="1">
      <c r="A186" s="2162"/>
      <c r="B186" s="7474" t="s">
        <v>2718</v>
      </c>
      <c r="C186" s="7413"/>
      <c r="D186" s="2447" t="s">
        <v>2719</v>
      </c>
      <c r="E186" s="1715"/>
      <c r="F186" s="1715"/>
      <c r="G186" s="1715"/>
      <c r="H186" s="1715"/>
      <c r="I186" s="1715"/>
      <c r="J186" s="1715"/>
      <c r="K186" s="1715"/>
      <c r="L186" s="1715"/>
      <c r="M186" s="1715"/>
      <c r="N186" s="1715"/>
      <c r="O186" s="1715"/>
      <c r="P186" s="1715"/>
      <c r="Q186" s="1715"/>
      <c r="R186" s="1715"/>
      <c r="S186" s="1715"/>
      <c r="T186" s="1715"/>
      <c r="U186" s="1715"/>
      <c r="V186" s="1715"/>
      <c r="W186" s="1715"/>
      <c r="X186" s="1715"/>
      <c r="Y186" s="1715"/>
      <c r="Z186" s="1715"/>
      <c r="AA186" s="2760" t="s">
        <v>684</v>
      </c>
      <c r="AB186" s="7475" t="s">
        <v>2718</v>
      </c>
      <c r="AC186" s="7476"/>
      <c r="AD186" s="7490">
        <f>IF(AR186&lt;&gt;"",ROUND(AR186,0),ROUND(BC156,0))</f>
        <v>0</v>
      </c>
      <c r="AE186" s="7369"/>
      <c r="AF186" s="7369"/>
      <c r="AG186" s="7369"/>
      <c r="AH186" s="7369"/>
      <c r="AI186" s="7491"/>
      <c r="AJ186" s="2162"/>
      <c r="AK186" s="2162"/>
      <c r="AL186" s="2162"/>
      <c r="AM186" s="2162"/>
      <c r="AN186" s="2162"/>
      <c r="AO186" s="2162"/>
      <c r="AP186" s="2162"/>
      <c r="AQ186" s="260"/>
      <c r="AR186" s="2499"/>
      <c r="AS186" s="260"/>
      <c r="AT186" s="260"/>
      <c r="AU186" s="260"/>
      <c r="AX186" s="118"/>
      <c r="AY186" s="778" t="s">
        <v>2720</v>
      </c>
      <c r="AZ186" s="776">
        <f>IF(D153&lt;&gt;6,AZ183,0)</f>
        <v>0</v>
      </c>
      <c r="BA186"/>
      <c r="BB186" s="776">
        <f>IF(D154&lt;&gt;6,BB183,0)</f>
        <v>0</v>
      </c>
      <c r="BC186"/>
      <c r="BD186" s="776">
        <f>IF(D155&lt;&gt;6,BD183,0)</f>
        <v>0</v>
      </c>
      <c r="BG186" s="2396"/>
      <c r="BH186" s="2038"/>
      <c r="BI186" s="2038"/>
      <c r="BJ186" s="2038"/>
      <c r="BK186" s="2038"/>
      <c r="BL186" s="2038"/>
      <c r="BM186" s="2038"/>
      <c r="BN186" s="2038"/>
      <c r="BO186" s="2038"/>
      <c r="BP186" s="2038"/>
    </row>
    <row r="187" spans="1:68" ht="14.25" customHeight="1">
      <c r="A187" s="2162"/>
      <c r="B187" s="7488" t="s">
        <v>644</v>
      </c>
      <c r="C187" s="7489"/>
      <c r="D187" s="2447" t="s">
        <v>2721</v>
      </c>
      <c r="E187" s="1715"/>
      <c r="F187" s="1715"/>
      <c r="G187" s="1715"/>
      <c r="H187" s="1715"/>
      <c r="I187" s="1715"/>
      <c r="J187" s="1715"/>
      <c r="K187" s="1715"/>
      <c r="L187" s="1715"/>
      <c r="M187" s="1715"/>
      <c r="N187" s="1715"/>
      <c r="O187" s="1715"/>
      <c r="P187" s="1715"/>
      <c r="Q187" s="1715"/>
      <c r="R187" s="1715"/>
      <c r="S187" s="1715"/>
      <c r="T187" s="1715"/>
      <c r="U187" s="1715"/>
      <c r="V187" s="1715"/>
      <c r="W187" s="1715"/>
      <c r="X187" s="1715"/>
      <c r="Y187" s="1715"/>
      <c r="Z187" s="1715"/>
      <c r="AA187" s="2760" t="s">
        <v>699</v>
      </c>
      <c r="AB187" s="7475" t="s">
        <v>2722</v>
      </c>
      <c r="AC187" s="7476"/>
      <c r="AD187" s="7490">
        <f>IF(AR187&lt;&gt;"",ROUND(AR187,0),ROUND(BC157,0))</f>
        <v>0</v>
      </c>
      <c r="AE187" s="7369"/>
      <c r="AF187" s="7369"/>
      <c r="AG187" s="7369"/>
      <c r="AH187" s="7369"/>
      <c r="AI187" s="7491"/>
      <c r="AJ187" s="2162"/>
      <c r="AK187" s="2162"/>
      <c r="AL187" s="2162"/>
      <c r="AM187" s="2162"/>
      <c r="AN187" s="2162"/>
      <c r="AO187" s="2162"/>
      <c r="AP187" s="2162"/>
      <c r="AQ187" s="260"/>
      <c r="AR187" s="2499"/>
      <c r="AS187" s="260"/>
      <c r="AT187" s="260"/>
      <c r="AU187" s="260"/>
      <c r="BG187" s="2396"/>
      <c r="BH187" s="2038"/>
      <c r="BI187" s="2038"/>
      <c r="BJ187" s="2038"/>
      <c r="BK187" s="2038"/>
      <c r="BL187" s="2038"/>
      <c r="BM187" s="2038"/>
      <c r="BN187" s="2038"/>
      <c r="BO187" s="2038"/>
      <c r="BP187" s="2038"/>
    </row>
    <row r="188" spans="1:68" ht="14.25" customHeight="1">
      <c r="A188" s="2162"/>
      <c r="B188" s="7488" t="s">
        <v>648</v>
      </c>
      <c r="C188" s="7489"/>
      <c r="D188" s="2447" t="s">
        <v>2723</v>
      </c>
      <c r="E188" s="1715"/>
      <c r="F188" s="1715"/>
      <c r="G188" s="1715"/>
      <c r="H188" s="1715"/>
      <c r="I188" s="1715"/>
      <c r="J188" s="1715"/>
      <c r="K188" s="1715"/>
      <c r="L188" s="1715"/>
      <c r="M188" s="1715"/>
      <c r="N188" s="1715"/>
      <c r="O188" s="1715"/>
      <c r="P188" s="1715"/>
      <c r="Q188" s="1715"/>
      <c r="R188" s="1715"/>
      <c r="S188" s="1715"/>
      <c r="T188" s="1715"/>
      <c r="U188" s="1715"/>
      <c r="V188" s="1715"/>
      <c r="W188" s="1715"/>
      <c r="X188" s="1715"/>
      <c r="Y188" s="1715"/>
      <c r="Z188" s="1715"/>
      <c r="AA188" s="2760" t="s">
        <v>654</v>
      </c>
      <c r="AB188" s="7475" t="s">
        <v>2724</v>
      </c>
      <c r="AC188" s="7476"/>
      <c r="AD188" s="7490">
        <f>IF(AR188&lt;&gt;"",ROUND(AR188,0),ROUND(SUM(V172,AD172,AJ172),0))</f>
        <v>0</v>
      </c>
      <c r="AE188" s="7369"/>
      <c r="AF188" s="7369"/>
      <c r="AG188" s="7369"/>
      <c r="AH188" s="7369"/>
      <c r="AI188" s="7491"/>
      <c r="AJ188" s="2162"/>
      <c r="AK188" s="2162"/>
      <c r="AL188" s="2162"/>
      <c r="AM188" s="2162"/>
      <c r="AN188" s="2162"/>
      <c r="AO188" s="2162"/>
      <c r="AP188" s="2162"/>
      <c r="AQ188" s="260"/>
      <c r="AR188" s="2499"/>
      <c r="AS188" s="260"/>
      <c r="AT188" s="260"/>
      <c r="AU188" s="260"/>
      <c r="BG188" s="2396"/>
      <c r="BH188" s="2038"/>
      <c r="BI188" s="2038"/>
      <c r="BJ188" s="2038"/>
      <c r="BK188" s="2038"/>
      <c r="BL188" s="2038"/>
      <c r="BM188" s="2038"/>
      <c r="BN188" s="2038"/>
      <c r="BO188" s="2038"/>
      <c r="BP188" s="2038"/>
    </row>
    <row r="189" spans="1:68" ht="14.25" customHeight="1">
      <c r="A189" s="2162"/>
      <c r="B189" s="7488" t="s">
        <v>652</v>
      </c>
      <c r="C189" s="7489"/>
      <c r="D189" s="2447" t="s">
        <v>2725</v>
      </c>
      <c r="E189" s="1715"/>
      <c r="F189" s="1715"/>
      <c r="G189" s="1715"/>
      <c r="H189" s="1715"/>
      <c r="I189" s="1715"/>
      <c r="J189" s="1715"/>
      <c r="K189" s="1715"/>
      <c r="L189" s="1715"/>
      <c r="M189" s="1715"/>
      <c r="N189" s="1715"/>
      <c r="O189" s="1715"/>
      <c r="P189" s="1715"/>
      <c r="Q189" s="1715"/>
      <c r="R189" s="1715"/>
      <c r="S189" s="1715"/>
      <c r="T189" s="1715"/>
      <c r="U189" s="1715"/>
      <c r="V189" s="1715"/>
      <c r="W189" s="1715"/>
      <c r="X189" s="1715"/>
      <c r="Y189" s="1715"/>
      <c r="Z189" s="1715"/>
      <c r="AA189" s="2760" t="s">
        <v>654</v>
      </c>
      <c r="AB189" s="7475" t="s">
        <v>2726</v>
      </c>
      <c r="AC189" s="7476"/>
      <c r="AD189" s="7490">
        <f>IF(AR189&lt;&gt;"",ROUND(AR189,0),ROUND(SUM(V178,AD178,AJ178),0))</f>
        <v>0</v>
      </c>
      <c r="AE189" s="7369"/>
      <c r="AF189" s="7369"/>
      <c r="AG189" s="7369"/>
      <c r="AH189" s="7369"/>
      <c r="AI189" s="7491"/>
      <c r="AJ189" s="2162"/>
      <c r="AK189" s="2162"/>
      <c r="AL189" s="2162"/>
      <c r="AM189" s="2162"/>
      <c r="AN189" s="2162"/>
      <c r="AO189" s="2162"/>
      <c r="AP189" s="2162"/>
      <c r="AQ189" s="260"/>
      <c r="AR189" s="2499"/>
      <c r="AS189" s="260"/>
      <c r="AT189" s="260"/>
      <c r="AU189" s="260"/>
      <c r="BG189" s="2396"/>
      <c r="BH189" s="2038"/>
      <c r="BI189" s="2038"/>
      <c r="BJ189" s="2038"/>
      <c r="BK189" s="2038"/>
      <c r="BL189" s="2038"/>
      <c r="BM189" s="2038"/>
      <c r="BN189" s="2038"/>
      <c r="BO189" s="2038"/>
      <c r="BP189" s="2038"/>
    </row>
    <row r="190" spans="1:68" ht="14.25" customHeight="1">
      <c r="A190" s="2162"/>
      <c r="B190" s="7488" t="s">
        <v>656</v>
      </c>
      <c r="C190" s="7489"/>
      <c r="D190" s="2447" t="s">
        <v>2727</v>
      </c>
      <c r="E190" s="1715"/>
      <c r="F190" s="1715"/>
      <c r="G190" s="1715"/>
      <c r="H190" s="1715"/>
      <c r="I190" s="1715"/>
      <c r="J190" s="1715"/>
      <c r="K190" s="1715"/>
      <c r="L190" s="1715"/>
      <c r="M190" s="1715"/>
      <c r="N190" s="1715"/>
      <c r="O190" s="1715"/>
      <c r="P190" s="1715"/>
      <c r="Q190" s="1715"/>
      <c r="R190" s="1715"/>
      <c r="S190" s="1715"/>
      <c r="T190" s="1715"/>
      <c r="U190" s="1715"/>
      <c r="V190" s="1715"/>
      <c r="W190" s="1715"/>
      <c r="X190" s="1715"/>
      <c r="Y190" s="1715"/>
      <c r="Z190" s="1715"/>
      <c r="AA190" s="2760" t="s">
        <v>654</v>
      </c>
      <c r="AB190" s="7475" t="s">
        <v>2728</v>
      </c>
      <c r="AC190" s="7476"/>
      <c r="AD190" s="7490">
        <f>IF(AR190&lt;&gt;"",ROUND(AR190,0),ROUND(SUM(V180,AD180,AJ180),0))</f>
        <v>0</v>
      </c>
      <c r="AE190" s="7369"/>
      <c r="AF190" s="7369"/>
      <c r="AG190" s="7369"/>
      <c r="AH190" s="7369"/>
      <c r="AI190" s="7491"/>
      <c r="AJ190" s="2162"/>
      <c r="AK190" s="2162"/>
      <c r="AL190" s="2162"/>
      <c r="AM190" s="2162"/>
      <c r="AN190" s="2162"/>
      <c r="AO190" s="2162"/>
      <c r="AP190" s="2162"/>
      <c r="AQ190" s="260"/>
      <c r="AR190" s="2499"/>
      <c r="AS190" s="260"/>
      <c r="AT190" s="260"/>
      <c r="AU190" s="260"/>
      <c r="BG190" s="2396"/>
      <c r="BH190" s="2038"/>
      <c r="BI190" s="2038"/>
      <c r="BJ190" s="2038"/>
      <c r="BK190" s="2038"/>
      <c r="BL190" s="2038"/>
      <c r="BM190" s="2038"/>
      <c r="BN190" s="2038"/>
      <c r="BO190" s="2038"/>
      <c r="BP190" s="2038"/>
    </row>
    <row r="191" spans="1:68" ht="14.25" customHeight="1">
      <c r="A191" s="2162"/>
      <c r="B191" s="7474">
        <v>24</v>
      </c>
      <c r="C191" s="7413"/>
      <c r="D191" s="2447" t="s">
        <v>2729</v>
      </c>
      <c r="E191" s="1715"/>
      <c r="F191" s="1715"/>
      <c r="G191" s="1715"/>
      <c r="H191" s="1715"/>
      <c r="I191" s="1715"/>
      <c r="J191" s="1715"/>
      <c r="K191" s="1715"/>
      <c r="L191" s="1715"/>
      <c r="M191" s="1715"/>
      <c r="N191" s="1715"/>
      <c r="O191" s="1715"/>
      <c r="P191" s="1715"/>
      <c r="Q191" s="1715"/>
      <c r="R191" s="1715"/>
      <c r="S191" s="1715"/>
      <c r="T191" s="1715"/>
      <c r="U191" s="1715"/>
      <c r="V191" s="1715"/>
      <c r="W191" s="1715"/>
      <c r="X191" s="1715"/>
      <c r="Y191" s="1715"/>
      <c r="Z191" s="1715"/>
      <c r="AA191" s="1715"/>
      <c r="AB191" s="1715"/>
      <c r="AC191" s="1715"/>
      <c r="AD191" s="1715"/>
      <c r="AE191" s="1715"/>
      <c r="AF191" s="1715"/>
      <c r="AG191" s="2760" t="s">
        <v>746</v>
      </c>
      <c r="AH191" s="7479">
        <v>24</v>
      </c>
      <c r="AI191" s="7480"/>
      <c r="AJ191" s="7477">
        <f>IF(AR191&lt;&gt;"",ROUND(AR191,0),ROUND(SUM(AY183,BA183,BC183),0))</f>
        <v>0</v>
      </c>
      <c r="AK191" s="7478"/>
      <c r="AL191" s="7478"/>
      <c r="AM191" s="7478"/>
      <c r="AN191" s="7478"/>
      <c r="AO191" s="7478"/>
      <c r="AP191" s="2162"/>
      <c r="AQ191" s="260"/>
      <c r="AR191" s="2499"/>
      <c r="AS191" s="260"/>
      <c r="AT191" s="260"/>
      <c r="AU191" s="260"/>
      <c r="BG191" s="2396"/>
      <c r="BH191" s="2038"/>
      <c r="BI191" s="2038"/>
      <c r="BJ191" s="2038"/>
      <c r="BK191" s="2038"/>
      <c r="BL191" s="2038"/>
      <c r="BM191" s="2038"/>
      <c r="BN191" s="2038"/>
      <c r="BO191" s="2038"/>
      <c r="BP191" s="2038"/>
    </row>
    <row r="192" spans="1:68" ht="14.25" customHeight="1">
      <c r="A192" s="2162"/>
      <c r="B192" s="7474">
        <v>25</v>
      </c>
      <c r="C192" s="7413"/>
      <c r="D192" s="2461" t="s">
        <v>2730</v>
      </c>
      <c r="E192" s="1715"/>
      <c r="F192" s="1715"/>
      <c r="G192" s="1715"/>
      <c r="H192" s="1715"/>
      <c r="I192" s="1715"/>
      <c r="J192" s="1715"/>
      <c r="K192" s="1715"/>
      <c r="L192" s="1715"/>
      <c r="M192" s="1715"/>
      <c r="N192" s="1715"/>
      <c r="O192" s="1715"/>
      <c r="P192" s="1715"/>
      <c r="Q192" s="1715"/>
      <c r="R192" s="1715"/>
      <c r="S192" s="1715"/>
      <c r="T192" s="1715"/>
      <c r="U192" s="1715"/>
      <c r="V192" s="1715"/>
      <c r="W192" s="1715"/>
      <c r="X192" s="1715"/>
      <c r="Y192" s="1715"/>
      <c r="Z192" s="1715"/>
      <c r="AA192" s="1715"/>
      <c r="AB192" s="1715"/>
      <c r="AC192" s="1715"/>
      <c r="AD192" s="1715"/>
      <c r="AE192" s="1715"/>
      <c r="AF192" s="1715"/>
      <c r="AG192" s="1715"/>
      <c r="AH192" s="7475">
        <v>25</v>
      </c>
      <c r="AI192" s="7476"/>
      <c r="AJ192" s="4718" t="s">
        <v>905</v>
      </c>
      <c r="AK192" s="7371">
        <f>-AK193</f>
        <v>0</v>
      </c>
      <c r="AL192" s="7372"/>
      <c r="AM192" s="7372"/>
      <c r="AN192" s="7372"/>
      <c r="AO192" s="4712" t="s">
        <v>906</v>
      </c>
      <c r="AP192" s="2162"/>
      <c r="AQ192" s="260"/>
      <c r="AR192" s="2499"/>
      <c r="AS192" s="260"/>
      <c r="AT192" s="260"/>
      <c r="AU192" s="260"/>
      <c r="BG192" s="2396"/>
      <c r="BH192" s="2038"/>
      <c r="BI192" s="2038"/>
      <c r="BJ192" s="2038"/>
      <c r="BK192" s="2038"/>
      <c r="BL192" s="2038"/>
      <c r="BM192" s="2038"/>
      <c r="BN192" s="2038"/>
      <c r="BO192" s="2038"/>
      <c r="BP192" s="2038"/>
    </row>
    <row r="193" spans="1:69" ht="14.25" customHeight="1">
      <c r="A193" s="2162"/>
      <c r="B193" s="7474">
        <v>26</v>
      </c>
      <c r="C193" s="7413"/>
      <c r="D193" s="2447" t="s">
        <v>2731</v>
      </c>
      <c r="E193" s="1715"/>
      <c r="F193" s="1715"/>
      <c r="G193" s="1715"/>
      <c r="H193" s="1715"/>
      <c r="I193" s="1715"/>
      <c r="J193" s="1715"/>
      <c r="K193" s="1715"/>
      <c r="L193" s="1715"/>
      <c r="M193" s="1715"/>
      <c r="N193" s="1715"/>
      <c r="O193" s="1715"/>
      <c r="P193" s="1715"/>
      <c r="Q193" s="1715"/>
      <c r="R193" s="1715"/>
      <c r="S193" s="1715"/>
      <c r="T193" s="2358"/>
      <c r="U193" s="2460"/>
      <c r="V193" s="4716"/>
      <c r="W193" s="4716"/>
      <c r="X193" s="4716"/>
      <c r="Y193" s="4716"/>
      <c r="Z193" s="4716"/>
      <c r="AA193" s="4716"/>
      <c r="AB193" s="4716"/>
      <c r="AC193" s="4716"/>
      <c r="AD193" s="4716"/>
      <c r="AE193" s="4716"/>
      <c r="AF193" s="4716"/>
      <c r="AG193" s="4716"/>
      <c r="AH193" s="4719"/>
      <c r="AI193" s="4720"/>
      <c r="AJ193" s="4716"/>
      <c r="AK193" s="7485">
        <f>IF(AND(AR192&lt;&gt;"",AR192&gt;=0),-ROUND(AR192,0),IF(AND(AR192&lt;&gt;"",AR192&lt;0),ROUND(AR192,0),SUM(AZ184,AZ185,BB184,BB185,BD184,BD185)))</f>
        <v>0</v>
      </c>
      <c r="AL193" s="7485"/>
      <c r="AM193" s="7485"/>
      <c r="AN193" s="7485"/>
      <c r="AO193" s="4716"/>
      <c r="AP193" s="2162"/>
      <c r="AQ193" s="260"/>
      <c r="AR193" s="260"/>
      <c r="AS193" s="260"/>
      <c r="AT193" s="260"/>
      <c r="AU193" s="260"/>
      <c r="BG193" s="2396"/>
      <c r="BH193" s="2038"/>
      <c r="BI193" s="2038"/>
      <c r="BJ193" s="2038"/>
      <c r="BK193" s="2038"/>
      <c r="BL193" s="2038"/>
      <c r="BM193" s="2038"/>
      <c r="BN193" s="2038"/>
      <c r="BO193" s="2038"/>
      <c r="BP193" s="2038"/>
    </row>
    <row r="194" spans="1:69" ht="14.25" customHeight="1">
      <c r="A194" s="2162"/>
      <c r="B194" s="7474"/>
      <c r="C194" s="7413"/>
      <c r="D194" s="2447" t="s">
        <v>2732</v>
      </c>
      <c r="E194" s="1715"/>
      <c r="F194" s="1715"/>
      <c r="G194" s="1715"/>
      <c r="H194" s="1715"/>
      <c r="I194" s="1715"/>
      <c r="J194" s="1715"/>
      <c r="K194" s="1715"/>
      <c r="L194" s="1715"/>
      <c r="M194" s="1715"/>
      <c r="N194" s="1715"/>
      <c r="O194" s="1715"/>
      <c r="P194" s="1715"/>
      <c r="Q194" s="1715"/>
      <c r="R194" s="1715"/>
      <c r="S194" s="1715"/>
      <c r="T194" s="2358"/>
      <c r="U194" s="2460"/>
      <c r="V194" s="4716"/>
      <c r="W194" s="4716"/>
      <c r="X194" s="4716"/>
      <c r="Y194" s="4716"/>
      <c r="Z194" s="4716"/>
      <c r="AA194" s="4716"/>
      <c r="AB194" s="4716"/>
      <c r="AC194" s="4716"/>
      <c r="AD194" s="4716"/>
      <c r="AE194" s="4716"/>
      <c r="AF194" s="4716"/>
      <c r="AG194" s="4716"/>
      <c r="AH194" s="4715"/>
      <c r="AI194" s="4717"/>
      <c r="AJ194" s="4716"/>
      <c r="AK194" s="4716"/>
      <c r="AL194" s="4716"/>
      <c r="AM194" s="4716"/>
      <c r="AN194" s="4716"/>
      <c r="AO194" s="4716"/>
      <c r="AP194" s="2162"/>
      <c r="AQ194" s="260"/>
      <c r="AR194" s="260"/>
      <c r="AS194" s="260"/>
      <c r="AT194" s="260"/>
      <c r="AU194" s="260"/>
      <c r="BG194" s="2396"/>
      <c r="BH194" s="2038"/>
      <c r="BI194" s="2038"/>
      <c r="BJ194" s="2038"/>
      <c r="BK194" s="2038"/>
      <c r="BL194" s="2038"/>
      <c r="BM194" s="2038"/>
      <c r="BN194" s="2038"/>
      <c r="BO194" s="2038"/>
      <c r="BP194" s="2038"/>
    </row>
    <row r="195" spans="1:69" ht="14.25" customHeight="1" thickBot="1">
      <c r="A195" s="2162"/>
      <c r="B195" s="2462"/>
      <c r="C195" s="2463"/>
      <c r="D195" s="3759" t="s">
        <v>2733</v>
      </c>
      <c r="E195" s="2464"/>
      <c r="F195" s="2464"/>
      <c r="G195" s="2464"/>
      <c r="H195" s="2464"/>
      <c r="I195" s="2464"/>
      <c r="J195" s="2464"/>
      <c r="K195" s="2464"/>
      <c r="L195" s="2464"/>
      <c r="M195" s="2464"/>
      <c r="N195" s="2464"/>
      <c r="O195" s="2464"/>
      <c r="P195" s="2464"/>
      <c r="Q195" s="2464"/>
      <c r="R195" s="2464"/>
      <c r="S195" s="2464"/>
      <c r="T195" s="2464"/>
      <c r="U195" s="2464"/>
      <c r="V195" s="2464"/>
      <c r="W195" s="2464"/>
      <c r="X195" s="2464"/>
      <c r="Y195" s="2464"/>
      <c r="Z195" s="2464"/>
      <c r="AA195" s="2464"/>
      <c r="AB195" s="2465"/>
      <c r="AC195" s="2466"/>
      <c r="AD195" s="2467"/>
      <c r="AE195" s="2467"/>
      <c r="AF195" s="2467"/>
      <c r="AG195" s="2761" t="s">
        <v>2734</v>
      </c>
      <c r="AH195" s="7481">
        <v>26</v>
      </c>
      <c r="AI195" s="7482"/>
      <c r="AJ195" s="7483">
        <f>IF(AR195&lt;&gt;"",ROUND(AR195,0),SUM(AJ191,AK193))</f>
        <v>0</v>
      </c>
      <c r="AK195" s="7484"/>
      <c r="AL195" s="7484"/>
      <c r="AM195" s="7484"/>
      <c r="AN195" s="7484"/>
      <c r="AO195" s="7484"/>
      <c r="AP195" s="2162"/>
      <c r="AQ195" s="260"/>
      <c r="AR195" s="2492"/>
      <c r="AS195" s="260"/>
      <c r="AT195" s="260"/>
      <c r="AU195" s="260"/>
      <c r="BG195" s="2396"/>
      <c r="BH195" s="2038"/>
      <c r="BI195" s="2038"/>
      <c r="BJ195" s="2038"/>
      <c r="BK195" s="2038"/>
      <c r="BL195" s="2038"/>
      <c r="BM195" s="2038"/>
      <c r="BN195" s="2038"/>
      <c r="BO195" s="2038"/>
      <c r="BP195" s="2038"/>
    </row>
    <row r="196" spans="1:69" ht="14.25" customHeight="1">
      <c r="A196" s="2162"/>
      <c r="B196" s="2441" t="s">
        <v>2383</v>
      </c>
      <c r="C196" s="2459"/>
      <c r="D196" s="2447"/>
      <c r="E196" s="1715"/>
      <c r="F196" s="1715"/>
      <c r="G196" s="1715"/>
      <c r="H196" s="1715"/>
      <c r="I196" s="1715"/>
      <c r="J196" s="1715"/>
      <c r="K196" s="1715"/>
      <c r="L196" s="1715"/>
      <c r="M196" s="1715"/>
      <c r="N196" s="1715"/>
      <c r="O196" s="1715"/>
      <c r="P196" s="1715"/>
      <c r="Q196" s="1715"/>
      <c r="R196" s="1715"/>
      <c r="S196" s="1715"/>
      <c r="T196" s="1715"/>
      <c r="U196" s="1715"/>
      <c r="V196" s="1715"/>
      <c r="W196" s="1715"/>
      <c r="X196" s="1715"/>
      <c r="Y196" s="1715" t="s">
        <v>2735</v>
      </c>
      <c r="Z196" s="1715"/>
      <c r="AA196" s="1715"/>
      <c r="AB196" s="2358"/>
      <c r="AC196" s="2460"/>
      <c r="AD196" s="4716"/>
      <c r="AE196" s="4716"/>
      <c r="AF196" s="4716"/>
      <c r="AG196" s="4716"/>
      <c r="AH196" s="4716"/>
      <c r="AI196" s="4716"/>
      <c r="AJ196" s="808"/>
      <c r="AK196" s="808"/>
      <c r="AL196" s="808"/>
      <c r="AM196" s="808"/>
      <c r="AN196" s="808"/>
      <c r="AO196" s="1128" t="str">
        <f>"Schedule E (Form 1040) "&amp;TaxYear</f>
        <v>Schedule E (Form 1040) 2023</v>
      </c>
      <c r="AP196" s="2162"/>
      <c r="AQ196" s="260"/>
      <c r="AR196" s="260"/>
      <c r="AS196" s="260"/>
      <c r="AT196" s="260"/>
      <c r="AU196" s="260"/>
      <c r="BG196" s="2396"/>
      <c r="BH196" s="2038"/>
      <c r="BI196" s="2038"/>
      <c r="BJ196" s="2038"/>
      <c r="BK196" s="2038"/>
      <c r="BL196" s="2038"/>
      <c r="BM196" s="2038"/>
      <c r="BN196" s="2038"/>
      <c r="BO196" s="2038"/>
      <c r="BP196" s="2038"/>
    </row>
    <row r="197" spans="1:69" ht="21" customHeight="1">
      <c r="A197" s="2162"/>
      <c r="B197" s="2181" t="str">
        <f>"Schedule E (Form 1040) "&amp;TaxYear</f>
        <v>Schedule E (Form 1040) 2023</v>
      </c>
      <c r="C197" s="1121"/>
      <c r="D197" s="1121"/>
      <c r="E197" s="1121"/>
      <c r="F197" s="1121"/>
      <c r="G197" s="1121"/>
      <c r="H197" s="1121"/>
      <c r="I197" s="2486"/>
      <c r="J197" s="1121"/>
      <c r="K197" s="1121"/>
      <c r="L197" s="1121"/>
      <c r="M197" s="1121"/>
      <c r="N197" s="1121"/>
      <c r="O197" s="1121"/>
      <c r="P197" s="2487"/>
      <c r="Q197" s="1121"/>
      <c r="R197" s="1121"/>
      <c r="S197" s="1121"/>
      <c r="T197" s="1121"/>
      <c r="U197" s="1121"/>
      <c r="V197" s="1121"/>
      <c r="W197" s="1121"/>
      <c r="X197" s="1121"/>
      <c r="Y197" s="1121"/>
      <c r="Z197" s="1121"/>
      <c r="AA197" s="2181" t="s">
        <v>2428</v>
      </c>
      <c r="AB197" s="1121"/>
      <c r="AC197" s="1121"/>
      <c r="AD197" s="1121"/>
      <c r="AE197" s="1121"/>
      <c r="AF197" s="1121"/>
      <c r="AG197" s="2472">
        <v>13</v>
      </c>
      <c r="AH197" s="1121"/>
      <c r="AI197" s="1121"/>
      <c r="AJ197" s="1121"/>
      <c r="AK197" s="1121"/>
      <c r="AL197" s="1121"/>
      <c r="AM197" s="1121"/>
      <c r="AN197" s="1121"/>
      <c r="AO197" s="2473" t="s">
        <v>981</v>
      </c>
      <c r="AP197" s="2162"/>
      <c r="BG197" s="2396"/>
      <c r="BH197" s="2038"/>
      <c r="BI197" s="2038"/>
      <c r="BJ197" s="2038"/>
      <c r="BK197" s="2038"/>
      <c r="BL197" s="2038"/>
      <c r="BM197" s="2038"/>
      <c r="BN197" s="2038"/>
      <c r="BO197" s="2038"/>
      <c r="BP197" s="2038"/>
    </row>
    <row r="198" spans="1:69" ht="12.75" customHeight="1">
      <c r="A198" s="2162"/>
      <c r="B198" s="878" t="s">
        <v>2736</v>
      </c>
      <c r="C198" s="878"/>
      <c r="D198" s="878"/>
      <c r="E198" s="878"/>
      <c r="F198" s="878"/>
      <c r="G198" s="878"/>
      <c r="H198" s="878" t="s">
        <v>2737</v>
      </c>
      <c r="I198" s="808"/>
      <c r="J198" s="808"/>
      <c r="K198" s="808"/>
      <c r="L198" s="808"/>
      <c r="M198" s="808"/>
      <c r="N198" s="808"/>
      <c r="O198" s="808"/>
      <c r="P198" s="808"/>
      <c r="Q198" s="808"/>
      <c r="R198" s="808"/>
      <c r="S198" s="808"/>
      <c r="T198" s="808"/>
      <c r="U198" s="808"/>
      <c r="V198" s="808"/>
      <c r="W198" s="808"/>
      <c r="X198" s="808"/>
      <c r="Y198" s="808"/>
      <c r="Z198" s="808"/>
      <c r="AA198" s="808"/>
      <c r="AB198" s="808"/>
      <c r="AC198" s="808"/>
      <c r="AD198" s="808"/>
      <c r="AE198" s="808"/>
      <c r="AF198" s="7486" t="s">
        <v>586</v>
      </c>
      <c r="AG198" s="7487"/>
      <c r="AH198" s="7487"/>
      <c r="AI198" s="7487"/>
      <c r="AJ198" s="7487"/>
      <c r="AK198" s="7487"/>
      <c r="AL198" s="7487"/>
      <c r="AM198" s="7487"/>
      <c r="AN198" s="7487"/>
      <c r="AO198" s="7487"/>
      <c r="AP198" s="2162"/>
      <c r="AR198" s="902" t="b">
        <f>OR(AND(AF199&lt;&gt;"",AF199=AG140),AND(B140&lt;&gt;"",B199&lt;&gt;""))</f>
        <v>0</v>
      </c>
      <c r="BG198" s="2396"/>
      <c r="BH198" s="2038"/>
      <c r="BI198" s="2038"/>
      <c r="BJ198" s="2038"/>
      <c r="BK198" s="2038"/>
      <c r="BL198" s="2038"/>
      <c r="BM198" s="2038"/>
      <c r="BN198" s="2038"/>
      <c r="BO198" s="2038"/>
      <c r="BP198" s="2038"/>
    </row>
    <row r="199" spans="1:69" ht="16.5" customHeight="1">
      <c r="A199" s="2162"/>
      <c r="B199" s="7382"/>
      <c r="C199" s="7382"/>
      <c r="D199" s="7382"/>
      <c r="E199" s="7382"/>
      <c r="F199" s="7382"/>
      <c r="G199" s="7382"/>
      <c r="H199" s="7382"/>
      <c r="I199" s="7382"/>
      <c r="J199" s="7382"/>
      <c r="K199" s="7382"/>
      <c r="L199" s="7382"/>
      <c r="M199" s="7382"/>
      <c r="N199" s="7382"/>
      <c r="O199" s="7382"/>
      <c r="P199" s="7382"/>
      <c r="Q199" s="7382"/>
      <c r="R199" s="7382"/>
      <c r="S199" s="7382"/>
      <c r="T199" s="7382"/>
      <c r="U199" s="7382"/>
      <c r="V199" s="7382"/>
      <c r="W199" s="7382"/>
      <c r="X199" s="7382"/>
      <c r="Y199" s="7382"/>
      <c r="Z199" s="7382"/>
      <c r="AA199" s="7382"/>
      <c r="AB199" s="7382"/>
      <c r="AC199" s="7382"/>
      <c r="AD199" s="7382"/>
      <c r="AE199" s="7383"/>
      <c r="AF199" s="6498"/>
      <c r="AG199" s="7381"/>
      <c r="AH199" s="7381"/>
      <c r="AI199" s="7381"/>
      <c r="AJ199" s="7381"/>
      <c r="AK199" s="7381"/>
      <c r="AL199" s="7381"/>
      <c r="AM199" s="7381"/>
      <c r="AN199" s="7381"/>
      <c r="AO199" s="7381"/>
      <c r="AP199" s="2406"/>
      <c r="AQ199" s="1998" t="str">
        <f>IF($AR198,"Hide emphasis.","")</f>
        <v/>
      </c>
      <c r="AR199" s="1998"/>
      <c r="BG199" s="2396"/>
      <c r="BH199" s="2038"/>
      <c r="BI199" s="2038"/>
      <c r="BJ199" s="2038"/>
      <c r="BK199" s="2038"/>
      <c r="BL199" s="2038"/>
      <c r="BM199" s="2038"/>
      <c r="BN199" s="2038"/>
      <c r="BO199" s="2038"/>
      <c r="BP199" s="2038"/>
    </row>
    <row r="200" spans="1:69" ht="15" customHeight="1">
      <c r="A200" s="2162"/>
      <c r="B200" s="2112" t="s">
        <v>2738</v>
      </c>
      <c r="C200" s="808"/>
      <c r="D200" s="808"/>
      <c r="E200" s="808"/>
      <c r="F200" s="808"/>
      <c r="G200" s="808"/>
      <c r="H200" s="808"/>
      <c r="I200" s="808"/>
      <c r="J200" s="808"/>
      <c r="K200" s="808"/>
      <c r="L200" s="808"/>
      <c r="M200" s="808"/>
      <c r="N200" s="808"/>
      <c r="O200" s="808"/>
      <c r="P200" s="808"/>
      <c r="Q200" s="808"/>
      <c r="R200" s="808"/>
      <c r="S200" s="808"/>
      <c r="T200" s="808"/>
      <c r="U200" s="808"/>
      <c r="V200" s="808"/>
      <c r="W200" s="808"/>
      <c r="X200" s="808"/>
      <c r="Y200" s="808"/>
      <c r="Z200" s="808"/>
      <c r="AA200" s="808"/>
      <c r="AB200" s="808"/>
      <c r="AC200" s="808"/>
      <c r="AD200" s="808"/>
      <c r="AE200" s="808"/>
      <c r="AF200" s="808"/>
      <c r="AG200" s="808"/>
      <c r="AH200" s="808"/>
      <c r="AI200" s="808"/>
      <c r="AJ200" s="808"/>
      <c r="AK200" s="808"/>
      <c r="AL200" s="808"/>
      <c r="AM200" s="808"/>
      <c r="AN200" s="808"/>
      <c r="AO200" s="808"/>
      <c r="AP200" s="2162"/>
      <c r="BG200" s="2396"/>
      <c r="BH200" s="2038"/>
      <c r="BI200" s="2038"/>
      <c r="BJ200" s="2038"/>
      <c r="BK200" s="2038"/>
      <c r="BL200" s="2038"/>
      <c r="BM200" s="2038"/>
      <c r="BN200" s="2038"/>
      <c r="BO200" s="2038"/>
      <c r="BP200" s="2038"/>
    </row>
    <row r="201" spans="1:69" s="2114" customFormat="1" ht="17.25" customHeight="1">
      <c r="A201" s="2163"/>
      <c r="B201" s="7384" t="s">
        <v>982</v>
      </c>
      <c r="C201" s="7384"/>
      <c r="D201" s="7385"/>
      <c r="E201" s="997"/>
      <c r="F201" s="4968" t="s">
        <v>2739</v>
      </c>
      <c r="G201" s="997"/>
      <c r="H201" s="997"/>
      <c r="I201" s="997"/>
      <c r="J201" s="997"/>
      <c r="K201" s="997"/>
      <c r="L201" s="997"/>
      <c r="M201" s="997"/>
      <c r="N201" s="997"/>
      <c r="O201" s="997"/>
      <c r="P201" s="997"/>
      <c r="Q201" s="997"/>
      <c r="R201" s="997"/>
      <c r="S201" s="997"/>
      <c r="T201" s="997"/>
      <c r="U201" s="997"/>
      <c r="V201" s="997"/>
      <c r="W201" s="997"/>
      <c r="X201" s="2440"/>
      <c r="Y201" s="997"/>
      <c r="Z201" s="997"/>
      <c r="AA201" s="997"/>
      <c r="AB201" s="997"/>
      <c r="AC201" s="997"/>
      <c r="AD201" s="997"/>
      <c r="AE201" s="997"/>
      <c r="AF201" s="997"/>
      <c r="AG201" s="997"/>
      <c r="AH201" s="997"/>
      <c r="AI201" s="997"/>
      <c r="AJ201" s="997"/>
      <c r="AK201" s="997"/>
      <c r="AL201" s="997"/>
      <c r="AM201" s="997"/>
      <c r="AN201" s="997"/>
      <c r="AO201" s="997"/>
      <c r="AP201" s="2162"/>
      <c r="AX201" s="39"/>
      <c r="AY201" s="39"/>
      <c r="AZ201" s="39"/>
      <c r="BA201" s="39"/>
      <c r="BB201" s="39"/>
      <c r="BC201" s="39"/>
      <c r="BD201" s="39"/>
      <c r="BG201" s="2396"/>
      <c r="BH201" s="2038"/>
      <c r="BI201" s="2038"/>
      <c r="BJ201" s="2038"/>
      <c r="BK201" s="2038"/>
      <c r="BL201" s="2038"/>
      <c r="BM201" s="2038"/>
      <c r="BN201" s="2038"/>
      <c r="BO201" s="2038"/>
      <c r="BP201" s="2038"/>
      <c r="BQ201" s="2690"/>
    </row>
    <row r="202" spans="1:69" ht="12.75" customHeight="1">
      <c r="A202" s="2162"/>
      <c r="B202" s="808"/>
      <c r="C202" s="808"/>
      <c r="D202" s="808"/>
      <c r="E202" s="808"/>
      <c r="F202" s="892" t="s">
        <v>2740</v>
      </c>
      <c r="G202" s="808"/>
      <c r="H202" s="808"/>
      <c r="I202" s="808"/>
      <c r="J202" s="808"/>
      <c r="K202" s="808"/>
      <c r="L202" s="808"/>
      <c r="M202" s="808"/>
      <c r="N202" s="808"/>
      <c r="O202" s="808"/>
      <c r="P202" s="808"/>
      <c r="Q202" s="808"/>
      <c r="R202" s="808"/>
      <c r="S202" s="808"/>
      <c r="T202" s="808"/>
      <c r="U202" s="808"/>
      <c r="V202" s="808"/>
      <c r="W202" s="808"/>
      <c r="X202" s="808"/>
      <c r="Y202" s="808"/>
      <c r="Z202" s="808"/>
      <c r="AA202" s="808"/>
      <c r="AB202" s="808"/>
      <c r="AC202" s="808"/>
      <c r="AD202" s="808"/>
      <c r="AE202" s="808"/>
      <c r="AF202" s="808"/>
      <c r="AG202" s="808"/>
      <c r="AH202" s="808"/>
      <c r="AI202" s="808"/>
      <c r="AJ202" s="808"/>
      <c r="AK202" s="808"/>
      <c r="AL202" s="808"/>
      <c r="AM202" s="808"/>
      <c r="AN202" s="808"/>
      <c r="AO202" s="808"/>
      <c r="AP202" s="2162"/>
      <c r="BG202" s="2396"/>
      <c r="BH202" s="2038"/>
      <c r="BI202" s="2038"/>
      <c r="BJ202" s="2038"/>
      <c r="BK202" s="2038"/>
      <c r="BL202" s="2038"/>
      <c r="BM202" s="2038"/>
      <c r="BN202" s="2038"/>
      <c r="BO202" s="2038"/>
      <c r="BP202" s="2038"/>
    </row>
    <row r="203" spans="1:69" ht="12.75" customHeight="1">
      <c r="A203" s="2162"/>
      <c r="B203" s="808"/>
      <c r="C203" s="808"/>
      <c r="D203" s="808"/>
      <c r="E203" s="808"/>
      <c r="F203" s="892" t="s">
        <v>2741</v>
      </c>
      <c r="G203" s="808"/>
      <c r="H203" s="808"/>
      <c r="I203" s="808"/>
      <c r="J203" s="808"/>
      <c r="K203" s="808"/>
      <c r="L203" s="808"/>
      <c r="M203" s="808"/>
      <c r="N203" s="808"/>
      <c r="O203" s="808"/>
      <c r="P203" s="808"/>
      <c r="Q203" s="808"/>
      <c r="R203" s="808"/>
      <c r="S203" s="808"/>
      <c r="T203" s="808"/>
      <c r="U203" s="808"/>
      <c r="V203" s="808"/>
      <c r="W203" s="808"/>
      <c r="X203" s="808"/>
      <c r="Y203" s="808"/>
      <c r="Z203" s="808"/>
      <c r="AA203" s="808"/>
      <c r="AB203" s="808"/>
      <c r="AC203" s="808"/>
      <c r="AD203" s="808"/>
      <c r="AE203" s="808"/>
      <c r="AF203" s="808"/>
      <c r="AG203" s="808"/>
      <c r="AH203" s="808"/>
      <c r="AI203" s="808"/>
      <c r="AJ203" s="808"/>
      <c r="AK203" s="808"/>
      <c r="AL203" s="808"/>
      <c r="AM203" s="808"/>
      <c r="AN203" s="808"/>
      <c r="AO203" s="808"/>
      <c r="AP203" s="2162"/>
      <c r="AX203" s="2114"/>
      <c r="AY203" s="2114"/>
      <c r="AZ203" s="2114"/>
      <c r="BA203" s="2114"/>
      <c r="BB203" s="2114"/>
      <c r="BC203" s="2114"/>
      <c r="BD203" s="2114"/>
      <c r="BG203" s="2396"/>
      <c r="BH203" s="2038"/>
      <c r="BI203" s="2038"/>
      <c r="BJ203" s="2038"/>
      <c r="BK203" s="2038"/>
      <c r="BL203" s="2038"/>
      <c r="BM203" s="2038"/>
      <c r="BN203" s="2038"/>
      <c r="BO203" s="2038"/>
      <c r="BP203" s="2038"/>
    </row>
    <row r="204" spans="1:69" ht="12.75" customHeight="1">
      <c r="A204" s="2162"/>
      <c r="B204" s="1121"/>
      <c r="C204" s="1121"/>
      <c r="D204" s="1121"/>
      <c r="E204" s="1121"/>
      <c r="F204" s="1260" t="s">
        <v>2742</v>
      </c>
      <c r="G204" s="1121"/>
      <c r="H204" s="1121"/>
      <c r="I204" s="1121"/>
      <c r="J204" s="1121"/>
      <c r="K204" s="1121"/>
      <c r="L204" s="1121"/>
      <c r="M204" s="1121"/>
      <c r="N204" s="1121"/>
      <c r="O204" s="1121"/>
      <c r="P204" s="1121"/>
      <c r="Q204" s="1121"/>
      <c r="R204" s="1121"/>
      <c r="S204" s="1121"/>
      <c r="T204" s="1121"/>
      <c r="U204" s="1121"/>
      <c r="V204" s="1121"/>
      <c r="W204" s="1121"/>
      <c r="X204" s="1121"/>
      <c r="Y204" s="1121"/>
      <c r="Z204" s="1121"/>
      <c r="AA204" s="1121"/>
      <c r="AB204" s="1121"/>
      <c r="AC204" s="1121"/>
      <c r="AD204" s="1121"/>
      <c r="AE204" s="1121"/>
      <c r="AF204" s="1121"/>
      <c r="AG204" s="1121"/>
      <c r="AH204" s="1121"/>
      <c r="AI204" s="1121"/>
      <c r="AJ204" s="1121"/>
      <c r="AK204" s="1121"/>
      <c r="AL204" s="1121"/>
      <c r="AM204" s="1121"/>
      <c r="AN204" s="1121"/>
      <c r="AO204" s="1121"/>
      <c r="AP204" s="2162"/>
      <c r="BG204" s="2396"/>
      <c r="BH204" s="2038"/>
      <c r="BI204" s="2038"/>
      <c r="BJ204" s="2038"/>
      <c r="BK204" s="2038"/>
      <c r="BL204" s="2038"/>
      <c r="BM204" s="2038"/>
      <c r="BN204" s="2038"/>
      <c r="BO204" s="2038"/>
      <c r="BP204" s="2038"/>
    </row>
    <row r="205" spans="1:69" ht="18.75" customHeight="1">
      <c r="A205" s="2162"/>
      <c r="B205" s="7390">
        <v>27</v>
      </c>
      <c r="C205" s="6466"/>
      <c r="D205" s="808"/>
      <c r="E205" s="2112" t="s">
        <v>2743</v>
      </c>
      <c r="F205" s="892"/>
      <c r="G205" s="808"/>
      <c r="H205" s="808"/>
      <c r="I205" s="808"/>
      <c r="J205" s="808"/>
      <c r="K205" s="808"/>
      <c r="L205" s="808"/>
      <c r="M205" s="808"/>
      <c r="N205" s="808"/>
      <c r="O205" s="808"/>
      <c r="P205" s="808"/>
      <c r="Q205" s="808"/>
      <c r="R205" s="808"/>
      <c r="S205" s="808"/>
      <c r="T205" s="808"/>
      <c r="U205" s="808"/>
      <c r="V205" s="808"/>
      <c r="W205" s="808"/>
      <c r="X205" s="808"/>
      <c r="Y205" s="808"/>
      <c r="Z205" s="808"/>
      <c r="AA205" s="808"/>
      <c r="AB205" s="808"/>
      <c r="AC205" s="808"/>
      <c r="AD205" s="808"/>
      <c r="AE205" s="808"/>
      <c r="AF205" s="808"/>
      <c r="AG205" s="808"/>
      <c r="AH205" s="808"/>
      <c r="AI205" s="808"/>
      <c r="AJ205" s="808"/>
      <c r="AK205" s="808"/>
      <c r="AL205" s="808"/>
      <c r="AM205" s="808"/>
      <c r="AN205" s="808"/>
      <c r="AO205" s="808"/>
      <c r="AP205" s="2162"/>
      <c r="BG205" s="2396"/>
      <c r="BH205" s="2038"/>
      <c r="BI205" s="2038"/>
      <c r="BJ205" s="2038"/>
      <c r="BK205" s="2038"/>
      <c r="BL205" s="2038"/>
      <c r="BM205" s="2038"/>
      <c r="BN205" s="2038"/>
      <c r="BO205" s="2038"/>
      <c r="BP205" s="2038"/>
    </row>
    <row r="206" spans="1:69" ht="12.75" customHeight="1">
      <c r="A206" s="2162"/>
      <c r="B206" s="2358"/>
      <c r="C206" s="1252"/>
      <c r="D206" s="808"/>
      <c r="E206" s="2112" t="s">
        <v>2744</v>
      </c>
      <c r="F206" s="892"/>
      <c r="G206" s="808"/>
      <c r="H206" s="808"/>
      <c r="I206" s="808"/>
      <c r="J206" s="808"/>
      <c r="K206" s="808"/>
      <c r="L206" s="808"/>
      <c r="M206" s="808"/>
      <c r="N206" s="808"/>
      <c r="O206" s="808"/>
      <c r="P206" s="808"/>
      <c r="Q206" s="808"/>
      <c r="R206" s="808"/>
      <c r="S206" s="808"/>
      <c r="T206" s="808"/>
      <c r="U206" s="808"/>
      <c r="V206" s="808"/>
      <c r="W206" s="808"/>
      <c r="X206" s="808"/>
      <c r="Y206" s="808"/>
      <c r="Z206" s="808"/>
      <c r="AA206" s="808"/>
      <c r="AB206" s="808"/>
      <c r="AC206" s="808"/>
      <c r="AD206" s="808"/>
      <c r="AE206" s="808"/>
      <c r="AF206" s="808"/>
      <c r="AG206" s="808"/>
      <c r="AH206" s="808"/>
      <c r="AI206" s="808"/>
      <c r="AJ206" s="808"/>
      <c r="AK206" s="808"/>
      <c r="AL206" s="808"/>
      <c r="AM206" s="808"/>
      <c r="AN206" s="808"/>
      <c r="AO206" s="808"/>
      <c r="AP206" s="2162"/>
      <c r="BG206" s="2396"/>
      <c r="BH206" s="2038"/>
      <c r="BI206" s="2038"/>
      <c r="BJ206" s="2038"/>
      <c r="BK206" s="2038"/>
      <c r="BL206" s="2038"/>
      <c r="BM206" s="2038"/>
      <c r="BN206" s="2038"/>
      <c r="BO206" s="2038"/>
      <c r="BP206" s="2038"/>
    </row>
    <row r="207" spans="1:69" ht="12.75" customHeight="1">
      <c r="A207" s="2162"/>
      <c r="B207" s="808"/>
      <c r="C207" s="808"/>
      <c r="D207" s="808"/>
      <c r="E207" s="2112" t="s">
        <v>2745</v>
      </c>
      <c r="F207" s="892"/>
      <c r="G207" s="808"/>
      <c r="H207" s="808"/>
      <c r="I207" s="808"/>
      <c r="J207" s="808"/>
      <c r="K207" s="808"/>
      <c r="L207" s="808"/>
      <c r="M207" s="808"/>
      <c r="N207" s="808"/>
      <c r="O207" s="808"/>
      <c r="P207" s="808"/>
      <c r="Q207" s="808"/>
      <c r="R207" s="808"/>
      <c r="S207" s="808"/>
      <c r="T207" s="808"/>
      <c r="U207" s="808"/>
      <c r="V207" s="808"/>
      <c r="W207" s="808"/>
      <c r="X207" s="808"/>
      <c r="Y207" s="808"/>
      <c r="Z207" s="808"/>
      <c r="AA207" s="808"/>
      <c r="AB207" s="808"/>
      <c r="AC207" s="808"/>
      <c r="AD207" s="808"/>
      <c r="AE207" s="808"/>
      <c r="AF207" s="808"/>
      <c r="AG207" s="808"/>
      <c r="AH207" s="808"/>
      <c r="AI207" s="808"/>
      <c r="AJ207" s="809"/>
      <c r="AK207" s="2185" t="s">
        <v>2668</v>
      </c>
      <c r="AL207" s="1823"/>
      <c r="AM207" s="809"/>
      <c r="AN207" s="2185" t="s">
        <v>2669</v>
      </c>
      <c r="AO207" s="1823"/>
      <c r="AP207" s="2162"/>
      <c r="BG207" s="2396"/>
      <c r="BH207" s="2038"/>
      <c r="BI207" s="2038"/>
      <c r="BJ207" s="2038"/>
      <c r="BK207" s="2038"/>
      <c r="BL207" s="2038"/>
      <c r="BM207" s="2038"/>
      <c r="BN207" s="2038"/>
      <c r="BO207" s="2038"/>
      <c r="BP207" s="2038"/>
    </row>
    <row r="208" spans="1:69" ht="4.5" customHeight="1">
      <c r="A208" s="2162"/>
      <c r="B208" s="1121"/>
      <c r="C208" s="1121"/>
      <c r="D208" s="1121"/>
      <c r="E208" s="1121"/>
      <c r="F208" s="1260"/>
      <c r="G208" s="1121"/>
      <c r="H208" s="1121"/>
      <c r="I208" s="1121"/>
      <c r="J208" s="1121"/>
      <c r="K208" s="1121"/>
      <c r="L208" s="1121"/>
      <c r="M208" s="1121"/>
      <c r="N208" s="1121"/>
      <c r="O208" s="1121"/>
      <c r="P208" s="1121"/>
      <c r="Q208" s="1121"/>
      <c r="R208" s="1121"/>
      <c r="S208" s="1121"/>
      <c r="T208" s="1121"/>
      <c r="U208" s="1121"/>
      <c r="V208" s="1121"/>
      <c r="W208" s="1121"/>
      <c r="X208" s="1121"/>
      <c r="Y208" s="1121"/>
      <c r="Z208" s="1121"/>
      <c r="AA208" s="1121"/>
      <c r="AB208" s="1121"/>
      <c r="AC208" s="1121"/>
      <c r="AD208" s="1121"/>
      <c r="AE208" s="1121"/>
      <c r="AF208" s="1121"/>
      <c r="AG208" s="1121"/>
      <c r="AH208" s="1121"/>
      <c r="AI208" s="1121"/>
      <c r="AJ208" s="1121"/>
      <c r="AK208" s="1121"/>
      <c r="AL208" s="1121"/>
      <c r="AM208" s="1121"/>
      <c r="AN208" s="1121"/>
      <c r="AO208" s="1121"/>
      <c r="AP208" s="2162"/>
      <c r="BG208" s="2396"/>
      <c r="BH208" s="2038"/>
      <c r="BI208" s="2038"/>
      <c r="BJ208" s="2038"/>
      <c r="BK208" s="2038"/>
      <c r="BL208" s="2038"/>
      <c r="BM208" s="2038"/>
      <c r="BN208" s="2038"/>
      <c r="BO208" s="2038"/>
      <c r="BP208" s="2038"/>
    </row>
    <row r="209" spans="1:68" ht="12.75" customHeight="1">
      <c r="A209" s="2162"/>
      <c r="B209" s="808"/>
      <c r="C209" s="808"/>
      <c r="D209" s="808"/>
      <c r="E209" s="808"/>
      <c r="F209" s="892"/>
      <c r="G209" s="808"/>
      <c r="H209" s="808"/>
      <c r="I209" s="808"/>
      <c r="J209" s="808"/>
      <c r="K209" s="808"/>
      <c r="L209" s="808"/>
      <c r="M209" s="808"/>
      <c r="N209" s="808"/>
      <c r="O209" s="7396" t="s">
        <v>2746</v>
      </c>
      <c r="P209" s="7397"/>
      <c r="Q209" s="7397"/>
      <c r="R209" s="7397"/>
      <c r="S209" s="7398"/>
      <c r="T209" s="7396" t="s">
        <v>2747</v>
      </c>
      <c r="U209" s="7397"/>
      <c r="V209" s="7397"/>
      <c r="W209" s="7397"/>
      <c r="X209" s="7398"/>
      <c r="Y209" s="7396" t="s">
        <v>2748</v>
      </c>
      <c r="Z209" s="7397"/>
      <c r="AA209" s="7397"/>
      <c r="AB209" s="7397"/>
      <c r="AC209" s="7397"/>
      <c r="AD209" s="7397"/>
      <c r="AE209" s="7398"/>
      <c r="AF209" s="7396" t="s">
        <v>2749</v>
      </c>
      <c r="AG209" s="7397"/>
      <c r="AH209" s="7397"/>
      <c r="AI209" s="7397"/>
      <c r="AJ209" s="7398"/>
      <c r="AK209" s="7396" t="s">
        <v>2750</v>
      </c>
      <c r="AL209" s="7397"/>
      <c r="AM209" s="7397"/>
      <c r="AN209" s="7397"/>
      <c r="AO209" s="7397"/>
      <c r="AP209" s="2162"/>
      <c r="BG209" s="2396"/>
      <c r="BH209" s="2038"/>
      <c r="BI209" s="2038"/>
      <c r="BJ209" s="2038"/>
      <c r="BK209" s="2038"/>
      <c r="BL209" s="2038"/>
      <c r="BM209" s="2038"/>
      <c r="BN209" s="2038"/>
      <c r="BO209" s="2038"/>
      <c r="BP209" s="2038"/>
    </row>
    <row r="210" spans="1:68" ht="12.75" customHeight="1">
      <c r="A210" s="2162"/>
      <c r="B210" s="7390">
        <v>28</v>
      </c>
      <c r="C210" s="6466"/>
      <c r="D210" s="808"/>
      <c r="E210" s="808"/>
      <c r="F210" s="808"/>
      <c r="G210" s="808"/>
      <c r="H210" s="892" t="s">
        <v>2751</v>
      </c>
      <c r="I210" s="808"/>
      <c r="J210" s="808"/>
      <c r="K210" s="808"/>
      <c r="L210" s="808"/>
      <c r="M210" s="808"/>
      <c r="N210" s="808"/>
      <c r="O210" s="7399"/>
      <c r="P210" s="7400"/>
      <c r="Q210" s="7400"/>
      <c r="R210" s="7400"/>
      <c r="S210" s="7401"/>
      <c r="T210" s="7399"/>
      <c r="U210" s="7400"/>
      <c r="V210" s="7400"/>
      <c r="W210" s="7400"/>
      <c r="X210" s="7401"/>
      <c r="Y210" s="7399"/>
      <c r="Z210" s="7400"/>
      <c r="AA210" s="7400"/>
      <c r="AB210" s="7400"/>
      <c r="AC210" s="7400"/>
      <c r="AD210" s="7400"/>
      <c r="AE210" s="7401"/>
      <c r="AF210" s="7399"/>
      <c r="AG210" s="7400"/>
      <c r="AH210" s="7400"/>
      <c r="AI210" s="7400"/>
      <c r="AJ210" s="7401"/>
      <c r="AK210" s="7399"/>
      <c r="AL210" s="7400"/>
      <c r="AM210" s="7400"/>
      <c r="AN210" s="7400"/>
      <c r="AO210" s="7400"/>
      <c r="AP210" s="2162"/>
      <c r="BG210" s="2396"/>
      <c r="BH210" s="2038"/>
      <c r="BI210" s="2038"/>
      <c r="BJ210" s="2038"/>
      <c r="BK210" s="2038"/>
      <c r="BL210" s="2038"/>
      <c r="BM210" s="2038"/>
      <c r="BN210" s="2038"/>
      <c r="BO210" s="2038"/>
      <c r="BP210" s="2038"/>
    </row>
    <row r="211" spans="1:68" ht="12.75" customHeight="1">
      <c r="A211" s="2162"/>
      <c r="B211" s="1121"/>
      <c r="C211" s="1121"/>
      <c r="D211" s="1121"/>
      <c r="E211" s="1121"/>
      <c r="F211" s="1121"/>
      <c r="G211" s="1121"/>
      <c r="H211" s="1121"/>
      <c r="I211" s="1121"/>
      <c r="J211" s="1121"/>
      <c r="K211" s="1121"/>
      <c r="L211" s="1121"/>
      <c r="M211" s="1121"/>
      <c r="N211" s="1121"/>
      <c r="O211" s="7402"/>
      <c r="P211" s="7403"/>
      <c r="Q211" s="7403"/>
      <c r="R211" s="7403"/>
      <c r="S211" s="7404"/>
      <c r="T211" s="7402"/>
      <c r="U211" s="7403"/>
      <c r="V211" s="7403"/>
      <c r="W211" s="7403"/>
      <c r="X211" s="7404"/>
      <c r="Y211" s="7402"/>
      <c r="Z211" s="7403"/>
      <c r="AA211" s="7403"/>
      <c r="AB211" s="7403"/>
      <c r="AC211" s="7403"/>
      <c r="AD211" s="7403"/>
      <c r="AE211" s="7404"/>
      <c r="AF211" s="7402"/>
      <c r="AG211" s="7403"/>
      <c r="AH211" s="7403"/>
      <c r="AI211" s="7403"/>
      <c r="AJ211" s="7404"/>
      <c r="AK211" s="7402"/>
      <c r="AL211" s="7403"/>
      <c r="AM211" s="7403"/>
      <c r="AN211" s="7403"/>
      <c r="AO211" s="7403"/>
      <c r="AP211" s="2162"/>
      <c r="BG211" s="2396"/>
      <c r="BH211" s="2038"/>
      <c r="BI211" s="2038"/>
      <c r="BJ211" s="2038"/>
      <c r="BK211" s="2038"/>
      <c r="BL211" s="2038"/>
      <c r="BM211" s="2038"/>
      <c r="BN211" s="2038"/>
      <c r="BO211" s="2038"/>
      <c r="BP211" s="2038"/>
    </row>
    <row r="212" spans="1:68" ht="13.5" customHeight="1">
      <c r="A212" s="2162"/>
      <c r="B212" s="2476" t="s">
        <v>542</v>
      </c>
      <c r="C212" s="7391"/>
      <c r="D212" s="7392"/>
      <c r="E212" s="7392"/>
      <c r="F212" s="7392"/>
      <c r="G212" s="7392"/>
      <c r="H212" s="7392"/>
      <c r="I212" s="7392"/>
      <c r="J212" s="7392"/>
      <c r="K212" s="7392"/>
      <c r="L212" s="7392"/>
      <c r="M212" s="7392"/>
      <c r="N212" s="7393"/>
      <c r="O212" s="6668"/>
      <c r="P212" s="7394"/>
      <c r="Q212" s="7394"/>
      <c r="R212" s="7394"/>
      <c r="S212" s="7395"/>
      <c r="T212" s="2474"/>
      <c r="U212" s="1122"/>
      <c r="V212" s="809"/>
      <c r="W212" s="1122"/>
      <c r="X212" s="2475"/>
      <c r="Y212" s="7360"/>
      <c r="Z212" s="7361"/>
      <c r="AA212" s="7361"/>
      <c r="AB212" s="7361"/>
      <c r="AC212" s="7361"/>
      <c r="AD212" s="7361"/>
      <c r="AE212" s="7362"/>
      <c r="AF212" s="2474"/>
      <c r="AG212" s="1122"/>
      <c r="AH212" s="809"/>
      <c r="AI212" s="1122"/>
      <c r="AJ212" s="2475"/>
      <c r="AK212" s="2474"/>
      <c r="AL212" s="1122"/>
      <c r="AM212" s="809"/>
      <c r="AN212" s="1122"/>
      <c r="AO212" s="1122"/>
      <c r="AP212" s="2162"/>
      <c r="BG212" s="2396"/>
      <c r="BH212" s="2038"/>
      <c r="BI212" s="2038"/>
      <c r="BJ212" s="2038"/>
      <c r="BK212" s="2038"/>
      <c r="BL212" s="2038"/>
      <c r="BM212" s="2038"/>
      <c r="BN212" s="2038"/>
      <c r="BO212" s="2038"/>
      <c r="BP212" s="2038"/>
    </row>
    <row r="213" spans="1:68" ht="13.5" customHeight="1">
      <c r="A213" s="2162"/>
      <c r="B213" s="2476" t="s">
        <v>548</v>
      </c>
      <c r="C213" s="7391"/>
      <c r="D213" s="7392"/>
      <c r="E213" s="7392"/>
      <c r="F213" s="7392"/>
      <c r="G213" s="7392"/>
      <c r="H213" s="7392"/>
      <c r="I213" s="7392"/>
      <c r="J213" s="7392"/>
      <c r="K213" s="7392"/>
      <c r="L213" s="7392"/>
      <c r="M213" s="7392"/>
      <c r="N213" s="7393"/>
      <c r="O213" s="6668"/>
      <c r="P213" s="7394"/>
      <c r="Q213" s="7394"/>
      <c r="R213" s="7394"/>
      <c r="S213" s="7395"/>
      <c r="T213" s="2474"/>
      <c r="U213" s="1122"/>
      <c r="V213" s="809"/>
      <c r="W213" s="1122"/>
      <c r="X213" s="2475"/>
      <c r="Y213" s="7360"/>
      <c r="Z213" s="7361"/>
      <c r="AA213" s="7361"/>
      <c r="AB213" s="7361"/>
      <c r="AC213" s="7361"/>
      <c r="AD213" s="7361"/>
      <c r="AE213" s="7362"/>
      <c r="AF213" s="2474"/>
      <c r="AG213" s="1122"/>
      <c r="AH213" s="809"/>
      <c r="AI213" s="1122"/>
      <c r="AJ213" s="2475"/>
      <c r="AK213" s="2474"/>
      <c r="AL213" s="1122"/>
      <c r="AM213" s="809"/>
      <c r="AN213" s="1122"/>
      <c r="AO213" s="1122"/>
      <c r="AP213" s="2162"/>
      <c r="BG213" s="2396"/>
      <c r="BH213" s="2038"/>
      <c r="BI213" s="2038"/>
      <c r="BJ213" s="2038"/>
      <c r="BK213" s="2038"/>
      <c r="BL213" s="2038"/>
      <c r="BM213" s="2038"/>
      <c r="BN213" s="2038"/>
      <c r="BO213" s="2038"/>
      <c r="BP213" s="2038"/>
    </row>
    <row r="214" spans="1:68" ht="13.5" customHeight="1">
      <c r="A214" s="2162"/>
      <c r="B214" s="2476" t="s">
        <v>550</v>
      </c>
      <c r="C214" s="7391"/>
      <c r="D214" s="7392"/>
      <c r="E214" s="7392"/>
      <c r="F214" s="7392"/>
      <c r="G214" s="7392"/>
      <c r="H214" s="7392"/>
      <c r="I214" s="7392"/>
      <c r="J214" s="7392"/>
      <c r="K214" s="7392"/>
      <c r="L214" s="7392"/>
      <c r="M214" s="7392"/>
      <c r="N214" s="7393"/>
      <c r="O214" s="6668"/>
      <c r="P214" s="7394"/>
      <c r="Q214" s="7394"/>
      <c r="R214" s="7394"/>
      <c r="S214" s="7395"/>
      <c r="T214" s="2474"/>
      <c r="U214" s="1122"/>
      <c r="V214" s="809"/>
      <c r="W214" s="1122"/>
      <c r="X214" s="2475"/>
      <c r="Y214" s="7360"/>
      <c r="Z214" s="7361"/>
      <c r="AA214" s="7361"/>
      <c r="AB214" s="7361"/>
      <c r="AC214" s="7361"/>
      <c r="AD214" s="7361"/>
      <c r="AE214" s="7362"/>
      <c r="AF214" s="2474"/>
      <c r="AG214" s="1122"/>
      <c r="AH214" s="809"/>
      <c r="AI214" s="1122"/>
      <c r="AJ214" s="2475"/>
      <c r="AK214" s="2474"/>
      <c r="AL214" s="1122"/>
      <c r="AM214" s="809"/>
      <c r="AN214" s="1122"/>
      <c r="AO214" s="1122"/>
      <c r="AP214" s="2162"/>
      <c r="BG214" s="2396"/>
      <c r="BH214" s="2038"/>
      <c r="BI214" s="2038"/>
      <c r="BJ214" s="2038"/>
      <c r="BK214" s="2038"/>
      <c r="BL214" s="2038"/>
      <c r="BM214" s="2038"/>
      <c r="BN214" s="2038"/>
      <c r="BO214" s="2038"/>
      <c r="BP214" s="2038"/>
    </row>
    <row r="215" spans="1:68" ht="13.5" customHeight="1">
      <c r="A215" s="2162"/>
      <c r="B215" s="2476" t="s">
        <v>553</v>
      </c>
      <c r="C215" s="7391"/>
      <c r="D215" s="7392"/>
      <c r="E215" s="7392"/>
      <c r="F215" s="7392"/>
      <c r="G215" s="7392"/>
      <c r="H215" s="7392"/>
      <c r="I215" s="7392"/>
      <c r="J215" s="7392"/>
      <c r="K215" s="7392"/>
      <c r="L215" s="7392"/>
      <c r="M215" s="7392"/>
      <c r="N215" s="7393"/>
      <c r="O215" s="6668"/>
      <c r="P215" s="7394"/>
      <c r="Q215" s="7394"/>
      <c r="R215" s="7394"/>
      <c r="S215" s="7395"/>
      <c r="T215" s="2474"/>
      <c r="U215" s="1122"/>
      <c r="V215" s="809"/>
      <c r="W215" s="1122"/>
      <c r="X215" s="2475"/>
      <c r="Y215" s="7360"/>
      <c r="Z215" s="7361"/>
      <c r="AA215" s="7361"/>
      <c r="AB215" s="7361"/>
      <c r="AC215" s="7361"/>
      <c r="AD215" s="7361"/>
      <c r="AE215" s="7362"/>
      <c r="AF215" s="2474"/>
      <c r="AG215" s="1122"/>
      <c r="AH215" s="809"/>
      <c r="AI215" s="1122"/>
      <c r="AJ215" s="2475"/>
      <c r="AK215" s="2474"/>
      <c r="AL215" s="1122"/>
      <c r="AM215" s="809"/>
      <c r="AN215" s="1122"/>
      <c r="AO215" s="1122"/>
      <c r="AP215" s="2162"/>
      <c r="BG215" s="2396"/>
      <c r="BH215" s="2038"/>
      <c r="BI215" s="2038"/>
      <c r="BJ215" s="2038"/>
      <c r="BK215" s="2038"/>
      <c r="BL215" s="2038"/>
      <c r="BM215" s="2038"/>
      <c r="BN215" s="2038"/>
      <c r="BO215" s="2038"/>
      <c r="BP215" s="2038"/>
    </row>
    <row r="216" spans="1:68" ht="17.25" customHeight="1">
      <c r="A216" s="2162"/>
      <c r="B216" s="7364" t="s">
        <v>2752</v>
      </c>
      <c r="C216" s="7461"/>
      <c r="D216" s="7461"/>
      <c r="E216" s="7461"/>
      <c r="F216" s="7461"/>
      <c r="G216" s="7461"/>
      <c r="H216" s="7461"/>
      <c r="I216" s="7461"/>
      <c r="J216" s="7461"/>
      <c r="K216" s="7461"/>
      <c r="L216" s="7461"/>
      <c r="M216" s="7461"/>
      <c r="N216" s="7461"/>
      <c r="O216" s="7461"/>
      <c r="P216" s="7461"/>
      <c r="Q216" s="7461"/>
      <c r="R216" s="6844"/>
      <c r="S216" s="7379" t="s">
        <v>2753</v>
      </c>
      <c r="T216" s="7380"/>
      <c r="U216" s="7380"/>
      <c r="V216" s="7380"/>
      <c r="W216" s="7380"/>
      <c r="X216" s="7380"/>
      <c r="Y216" s="7380"/>
      <c r="Z216" s="7380"/>
      <c r="AA216" s="7380"/>
      <c r="AB216" s="7380"/>
      <c r="AC216" s="7380"/>
      <c r="AD216" s="7380"/>
      <c r="AE216" s="7380"/>
      <c r="AF216" s="7380"/>
      <c r="AG216" s="7380"/>
      <c r="AH216" s="7380"/>
      <c r="AI216" s="7380"/>
      <c r="AJ216" s="7380"/>
      <c r="AK216" s="7380"/>
      <c r="AL216" s="7380"/>
      <c r="AM216" s="7380"/>
      <c r="AN216" s="7380"/>
      <c r="AO216" s="7380"/>
      <c r="AP216" s="2162"/>
      <c r="BG216" s="2396"/>
      <c r="BH216" s="2038"/>
      <c r="BI216" s="2038"/>
      <c r="BJ216" s="2038"/>
      <c r="BK216" s="2038"/>
      <c r="BL216" s="2038"/>
      <c r="BM216" s="2038"/>
      <c r="BN216" s="2038"/>
      <c r="BO216" s="2038"/>
      <c r="BP216" s="2038"/>
    </row>
    <row r="217" spans="1:68" ht="12.75" customHeight="1">
      <c r="A217" s="2162"/>
      <c r="B217" s="1142"/>
      <c r="C217" s="7467" t="s">
        <v>2754</v>
      </c>
      <c r="D217" s="7374"/>
      <c r="E217" s="7374"/>
      <c r="F217" s="7374"/>
      <c r="G217" s="7374"/>
      <c r="H217" s="7374"/>
      <c r="I217" s="7374"/>
      <c r="J217" s="7468"/>
      <c r="K217" s="7373" t="s">
        <v>2755</v>
      </c>
      <c r="L217" s="7374"/>
      <c r="M217" s="7374"/>
      <c r="N217" s="7374"/>
      <c r="O217" s="7374"/>
      <c r="P217" s="7374"/>
      <c r="Q217" s="7374"/>
      <c r="R217" s="7374"/>
      <c r="S217" s="7471" t="s">
        <v>2756</v>
      </c>
      <c r="T217" s="7374"/>
      <c r="U217" s="7374"/>
      <c r="V217" s="7374"/>
      <c r="W217" s="7374"/>
      <c r="X217" s="7374"/>
      <c r="Y217" s="7468"/>
      <c r="Z217" s="7373" t="s">
        <v>2757</v>
      </c>
      <c r="AA217" s="7374"/>
      <c r="AB217" s="7374"/>
      <c r="AC217" s="7374"/>
      <c r="AD217" s="7374"/>
      <c r="AE217" s="7374"/>
      <c r="AF217" s="7374"/>
      <c r="AG217" s="7468"/>
      <c r="AH217" s="7373" t="s">
        <v>2758</v>
      </c>
      <c r="AI217" s="7374"/>
      <c r="AJ217" s="7374"/>
      <c r="AK217" s="7374"/>
      <c r="AL217" s="7374"/>
      <c r="AM217" s="7374"/>
      <c r="AN217" s="7374"/>
      <c r="AO217" s="7374"/>
      <c r="AP217" s="2162"/>
      <c r="BG217" s="2396"/>
      <c r="BH217" s="2038"/>
      <c r="BI217" s="2038"/>
      <c r="BJ217" s="2038"/>
      <c r="BK217" s="2038"/>
      <c r="BL217" s="2038"/>
      <c r="BM217" s="2038"/>
      <c r="BN217" s="2038"/>
      <c r="BO217" s="2038"/>
      <c r="BP217" s="2038"/>
    </row>
    <row r="218" spans="1:68" ht="12.75" customHeight="1">
      <c r="A218" s="2162"/>
      <c r="B218" s="808"/>
      <c r="C218" s="7376"/>
      <c r="D218" s="7376"/>
      <c r="E218" s="7376"/>
      <c r="F218" s="7376"/>
      <c r="G218" s="7376"/>
      <c r="H218" s="7376"/>
      <c r="I218" s="7376"/>
      <c r="J218" s="7469"/>
      <c r="K218" s="7375"/>
      <c r="L218" s="7376"/>
      <c r="M218" s="7376"/>
      <c r="N218" s="7376"/>
      <c r="O218" s="7376"/>
      <c r="P218" s="7376"/>
      <c r="Q218" s="7376"/>
      <c r="R218" s="7376"/>
      <c r="S218" s="7472"/>
      <c r="T218" s="7376"/>
      <c r="U218" s="7376"/>
      <c r="V218" s="7376"/>
      <c r="W218" s="7376"/>
      <c r="X218" s="7376"/>
      <c r="Y218" s="7469"/>
      <c r="Z218" s="7375"/>
      <c r="AA218" s="7376"/>
      <c r="AB218" s="7376"/>
      <c r="AC218" s="7376"/>
      <c r="AD218" s="7376"/>
      <c r="AE218" s="7376"/>
      <c r="AF218" s="7376"/>
      <c r="AG218" s="7469"/>
      <c r="AH218" s="7375"/>
      <c r="AI218" s="7376"/>
      <c r="AJ218" s="7376"/>
      <c r="AK218" s="7376"/>
      <c r="AL218" s="7376"/>
      <c r="AM218" s="7376"/>
      <c r="AN218" s="7376"/>
      <c r="AO218" s="7376"/>
      <c r="AP218" s="2162"/>
      <c r="BG218" s="2396"/>
      <c r="BH218" s="2038"/>
      <c r="BI218" s="2038"/>
      <c r="BJ218" s="2038"/>
      <c r="BK218" s="2038"/>
      <c r="BL218" s="2038"/>
      <c r="BM218" s="2038"/>
      <c r="BN218" s="2038"/>
      <c r="BO218" s="2038"/>
      <c r="BP218" s="2038"/>
    </row>
    <row r="219" spans="1:68" ht="12.75" customHeight="1">
      <c r="A219" s="2162"/>
      <c r="B219" s="1121"/>
      <c r="C219" s="7378"/>
      <c r="D219" s="7378"/>
      <c r="E219" s="7378"/>
      <c r="F219" s="7378"/>
      <c r="G219" s="7378"/>
      <c r="H219" s="7378"/>
      <c r="I219" s="7378"/>
      <c r="J219" s="7470"/>
      <c r="K219" s="7377"/>
      <c r="L219" s="7378"/>
      <c r="M219" s="7378"/>
      <c r="N219" s="7378"/>
      <c r="O219" s="7378"/>
      <c r="P219" s="7378"/>
      <c r="Q219" s="7378"/>
      <c r="R219" s="7378"/>
      <c r="S219" s="7473"/>
      <c r="T219" s="7378"/>
      <c r="U219" s="7378"/>
      <c r="V219" s="7378"/>
      <c r="W219" s="7378"/>
      <c r="X219" s="7378"/>
      <c r="Y219" s="7470"/>
      <c r="Z219" s="7377"/>
      <c r="AA219" s="7378"/>
      <c r="AB219" s="7378"/>
      <c r="AC219" s="7378"/>
      <c r="AD219" s="7378"/>
      <c r="AE219" s="7378"/>
      <c r="AF219" s="7378"/>
      <c r="AG219" s="7470"/>
      <c r="AH219" s="7377"/>
      <c r="AI219" s="7378"/>
      <c r="AJ219" s="7378"/>
      <c r="AK219" s="7378"/>
      <c r="AL219" s="7378"/>
      <c r="AM219" s="7378"/>
      <c r="AN219" s="7378"/>
      <c r="AO219" s="7378"/>
      <c r="AP219" s="2162"/>
      <c r="BG219" s="2396"/>
      <c r="BH219" s="2038"/>
      <c r="BI219" s="2038"/>
      <c r="BJ219" s="2038"/>
      <c r="BK219" s="2038"/>
      <c r="BL219" s="2038"/>
      <c r="BM219" s="2038"/>
      <c r="BN219" s="2038"/>
      <c r="BO219" s="2038"/>
      <c r="BP219" s="2038"/>
    </row>
    <row r="220" spans="1:68" ht="13.5" customHeight="1">
      <c r="A220" s="2162"/>
      <c r="B220" s="2477" t="s">
        <v>542</v>
      </c>
      <c r="C220" s="7388"/>
      <c r="D220" s="7389"/>
      <c r="E220" s="7389"/>
      <c r="F220" s="7389"/>
      <c r="G220" s="7389"/>
      <c r="H220" s="7389"/>
      <c r="I220" s="7389"/>
      <c r="J220" s="7422"/>
      <c r="K220" s="7388"/>
      <c r="L220" s="7389"/>
      <c r="M220" s="7389"/>
      <c r="N220" s="7389"/>
      <c r="O220" s="7389"/>
      <c r="P220" s="7389"/>
      <c r="Q220" s="7389"/>
      <c r="R220" s="7432"/>
      <c r="S220" s="7388"/>
      <c r="T220" s="7389"/>
      <c r="U220" s="7389"/>
      <c r="V220" s="7389"/>
      <c r="W220" s="7389"/>
      <c r="X220" s="7389"/>
      <c r="Y220" s="7389"/>
      <c r="Z220" s="7388"/>
      <c r="AA220" s="7389"/>
      <c r="AB220" s="7389"/>
      <c r="AC220" s="7389"/>
      <c r="AD220" s="7389"/>
      <c r="AE220" s="7389"/>
      <c r="AF220" s="7389"/>
      <c r="AG220" s="7422"/>
      <c r="AH220" s="7388"/>
      <c r="AI220" s="7389"/>
      <c r="AJ220" s="7389"/>
      <c r="AK220" s="7389"/>
      <c r="AL220" s="7389"/>
      <c r="AM220" s="7389"/>
      <c r="AN220" s="7389"/>
      <c r="AO220" s="7389"/>
      <c r="AP220" s="2162"/>
      <c r="BG220" s="2396"/>
      <c r="BH220" s="2038"/>
      <c r="BI220" s="2038"/>
      <c r="BJ220" s="2038"/>
      <c r="BK220" s="2038"/>
      <c r="BL220" s="2038"/>
      <c r="BM220" s="2038"/>
      <c r="BN220" s="2038"/>
      <c r="BO220" s="2038"/>
      <c r="BP220" s="2038"/>
    </row>
    <row r="221" spans="1:68" ht="13.5" customHeight="1">
      <c r="A221" s="2162"/>
      <c r="B221" s="2476" t="s">
        <v>548</v>
      </c>
      <c r="C221" s="7388"/>
      <c r="D221" s="7389"/>
      <c r="E221" s="7389"/>
      <c r="F221" s="7389"/>
      <c r="G221" s="7389"/>
      <c r="H221" s="7389"/>
      <c r="I221" s="7389"/>
      <c r="J221" s="7422"/>
      <c r="K221" s="7388"/>
      <c r="L221" s="7389"/>
      <c r="M221" s="7389"/>
      <c r="N221" s="7389"/>
      <c r="O221" s="7389"/>
      <c r="P221" s="7389"/>
      <c r="Q221" s="7389"/>
      <c r="R221" s="7432"/>
      <c r="S221" s="7388"/>
      <c r="T221" s="7389"/>
      <c r="U221" s="7389"/>
      <c r="V221" s="7389"/>
      <c r="W221" s="7389"/>
      <c r="X221" s="7389"/>
      <c r="Y221" s="7389"/>
      <c r="Z221" s="7388"/>
      <c r="AA221" s="7389"/>
      <c r="AB221" s="7389"/>
      <c r="AC221" s="7389"/>
      <c r="AD221" s="7389"/>
      <c r="AE221" s="7389"/>
      <c r="AF221" s="7389"/>
      <c r="AG221" s="7422"/>
      <c r="AH221" s="7388"/>
      <c r="AI221" s="7389"/>
      <c r="AJ221" s="7389"/>
      <c r="AK221" s="7389"/>
      <c r="AL221" s="7389"/>
      <c r="AM221" s="7389"/>
      <c r="AN221" s="7389"/>
      <c r="AO221" s="7389"/>
      <c r="AP221" s="2162"/>
      <c r="BG221" s="2396"/>
      <c r="BH221" s="2038"/>
      <c r="BI221" s="2038"/>
      <c r="BJ221" s="2038"/>
      <c r="BK221" s="2038"/>
      <c r="BL221" s="2038"/>
      <c r="BM221" s="2038"/>
      <c r="BN221" s="2038"/>
      <c r="BO221" s="2038"/>
      <c r="BP221" s="2038"/>
    </row>
    <row r="222" spans="1:68" ht="13.5" customHeight="1">
      <c r="A222" s="2162"/>
      <c r="B222" s="2476" t="s">
        <v>550</v>
      </c>
      <c r="C222" s="7388"/>
      <c r="D222" s="7389"/>
      <c r="E222" s="7389"/>
      <c r="F222" s="7389"/>
      <c r="G222" s="7389"/>
      <c r="H222" s="7389"/>
      <c r="I222" s="7389"/>
      <c r="J222" s="7422"/>
      <c r="K222" s="7388"/>
      <c r="L222" s="7389"/>
      <c r="M222" s="7389"/>
      <c r="N222" s="7389"/>
      <c r="O222" s="7389"/>
      <c r="P222" s="7389"/>
      <c r="Q222" s="7389"/>
      <c r="R222" s="7432"/>
      <c r="S222" s="7388"/>
      <c r="T222" s="7389"/>
      <c r="U222" s="7389"/>
      <c r="V222" s="7389"/>
      <c r="W222" s="7389"/>
      <c r="X222" s="7389"/>
      <c r="Y222" s="7389"/>
      <c r="Z222" s="7388"/>
      <c r="AA222" s="7389"/>
      <c r="AB222" s="7389"/>
      <c r="AC222" s="7389"/>
      <c r="AD222" s="7389"/>
      <c r="AE222" s="7389"/>
      <c r="AF222" s="7389"/>
      <c r="AG222" s="7422"/>
      <c r="AH222" s="7388"/>
      <c r="AI222" s="7389"/>
      <c r="AJ222" s="7389"/>
      <c r="AK222" s="7389"/>
      <c r="AL222" s="7389"/>
      <c r="AM222" s="7389"/>
      <c r="AN222" s="7389"/>
      <c r="AO222" s="7389"/>
      <c r="AP222" s="2162"/>
      <c r="BG222" s="2396"/>
      <c r="BH222" s="2038"/>
      <c r="BI222" s="2038"/>
      <c r="BJ222" s="2038"/>
      <c r="BK222" s="2038"/>
      <c r="BL222" s="2038"/>
      <c r="BM222" s="2038"/>
      <c r="BN222" s="2038"/>
      <c r="BO222" s="2038"/>
      <c r="BP222" s="2038"/>
    </row>
    <row r="223" spans="1:68" ht="13.5" customHeight="1">
      <c r="A223" s="2162"/>
      <c r="B223" s="2476" t="s">
        <v>553</v>
      </c>
      <c r="C223" s="7388"/>
      <c r="D223" s="7389"/>
      <c r="E223" s="7389"/>
      <c r="F223" s="7389"/>
      <c r="G223" s="7389"/>
      <c r="H223" s="7389"/>
      <c r="I223" s="7389"/>
      <c r="J223" s="7422"/>
      <c r="K223" s="7388"/>
      <c r="L223" s="7389"/>
      <c r="M223" s="7389"/>
      <c r="N223" s="7389"/>
      <c r="O223" s="7389"/>
      <c r="P223" s="7389"/>
      <c r="Q223" s="7389"/>
      <c r="R223" s="7432"/>
      <c r="S223" s="7388"/>
      <c r="T223" s="7389"/>
      <c r="U223" s="7389"/>
      <c r="V223" s="7389"/>
      <c r="W223" s="7389"/>
      <c r="X223" s="7389"/>
      <c r="Y223" s="7389"/>
      <c r="Z223" s="7388"/>
      <c r="AA223" s="7389"/>
      <c r="AB223" s="7389"/>
      <c r="AC223" s="7389"/>
      <c r="AD223" s="7389"/>
      <c r="AE223" s="7389"/>
      <c r="AF223" s="7389"/>
      <c r="AG223" s="7422"/>
      <c r="AH223" s="7388"/>
      <c r="AI223" s="7389"/>
      <c r="AJ223" s="7389"/>
      <c r="AK223" s="7389"/>
      <c r="AL223" s="7389"/>
      <c r="AM223" s="7389"/>
      <c r="AN223" s="7389"/>
      <c r="AO223" s="7389"/>
      <c r="AP223" s="2162"/>
      <c r="BG223" s="2396"/>
      <c r="BH223" s="2038"/>
      <c r="BI223" s="2038"/>
      <c r="BJ223" s="2038"/>
      <c r="BK223" s="2038"/>
      <c r="BL223" s="2038"/>
      <c r="BM223" s="2038"/>
      <c r="BN223" s="2038"/>
      <c r="BO223" s="2038"/>
      <c r="BP223" s="2038"/>
    </row>
    <row r="224" spans="1:68" ht="13.5" customHeight="1">
      <c r="A224" s="2162"/>
      <c r="B224" s="7364" t="s">
        <v>2759</v>
      </c>
      <c r="C224" s="7364"/>
      <c r="D224" s="3604"/>
      <c r="E224" s="3604" t="s">
        <v>2760</v>
      </c>
      <c r="F224" s="818"/>
      <c r="G224" s="2403"/>
      <c r="H224" s="2403"/>
      <c r="I224" s="2403"/>
      <c r="J224" s="819"/>
      <c r="K224" s="7338">
        <f>ROUND(SUM(K220:K223),0)</f>
        <v>0</v>
      </c>
      <c r="L224" s="7339"/>
      <c r="M224" s="7339"/>
      <c r="N224" s="7339"/>
      <c r="O224" s="7339"/>
      <c r="P224" s="7339"/>
      <c r="Q224" s="7339"/>
      <c r="R224" s="7340"/>
      <c r="S224" s="7462"/>
      <c r="T224" s="7463"/>
      <c r="U224" s="7463"/>
      <c r="V224" s="7463"/>
      <c r="W224" s="7463"/>
      <c r="X224" s="7463"/>
      <c r="Y224" s="7463"/>
      <c r="Z224" s="2403"/>
      <c r="AA224" s="2403"/>
      <c r="AB224" s="2403"/>
      <c r="AC224" s="2403"/>
      <c r="AD224" s="2403"/>
      <c r="AE224" s="2403"/>
      <c r="AF224" s="2403"/>
      <c r="AG224" s="819"/>
      <c r="AH224" s="7335">
        <f>ROUND(SUM(AH220:AH223),0)</f>
        <v>0</v>
      </c>
      <c r="AI224" s="7458"/>
      <c r="AJ224" s="7458"/>
      <c r="AK224" s="7458"/>
      <c r="AL224" s="7458"/>
      <c r="AM224" s="7458"/>
      <c r="AN224" s="7458"/>
      <c r="AO224" s="7458"/>
      <c r="AP224" s="2162"/>
      <c r="BG224" s="2396"/>
      <c r="BH224" s="2038"/>
      <c r="BI224" s="2038"/>
      <c r="BJ224" s="2038"/>
      <c r="BK224" s="2038"/>
      <c r="BL224" s="2038"/>
      <c r="BM224" s="2038"/>
      <c r="BN224" s="2038"/>
      <c r="BO224" s="2038"/>
      <c r="BP224" s="2038"/>
    </row>
    <row r="225" spans="1:69" ht="13.5" customHeight="1">
      <c r="A225" s="2162"/>
      <c r="B225" s="7433" t="s">
        <v>644</v>
      </c>
      <c r="C225" s="7433"/>
      <c r="D225" s="2112"/>
      <c r="E225" s="3604" t="s">
        <v>2760</v>
      </c>
      <c r="F225" s="7335">
        <f>ROUND(SUM(C220:C223),0)</f>
        <v>0</v>
      </c>
      <c r="G225" s="7458"/>
      <c r="H225" s="7458"/>
      <c r="I225" s="7458"/>
      <c r="J225" s="7459"/>
      <c r="K225" s="7464"/>
      <c r="L225" s="7465"/>
      <c r="M225" s="7465"/>
      <c r="N225" s="7465"/>
      <c r="O225" s="7465"/>
      <c r="P225" s="7465"/>
      <c r="Q225" s="7465"/>
      <c r="R225" s="7466"/>
      <c r="S225" s="7356">
        <f>ROUND(SUM(S220:S223),0)</f>
        <v>0</v>
      </c>
      <c r="T225" s="7339"/>
      <c r="U225" s="7339"/>
      <c r="V225" s="7339"/>
      <c r="W225" s="7339"/>
      <c r="X225" s="7339"/>
      <c r="Y225" s="7357"/>
      <c r="Z225" s="7460">
        <f>ROUND(SUM(Z220:Z223),0)</f>
        <v>0</v>
      </c>
      <c r="AA225" s="7460"/>
      <c r="AB225" s="7460"/>
      <c r="AC225" s="7460"/>
      <c r="AD225" s="7460"/>
      <c r="AE225" s="7460"/>
      <c r="AF225" s="7460"/>
      <c r="AG225" s="7460"/>
      <c r="AH225" s="7456"/>
      <c r="AI225" s="7456"/>
      <c r="AJ225" s="7456"/>
      <c r="AK225" s="7456"/>
      <c r="AL225" s="7456"/>
      <c r="AM225" s="7456"/>
      <c r="AN225" s="7456"/>
      <c r="AO225" s="7457"/>
      <c r="AP225" s="2162"/>
      <c r="BG225" s="2396"/>
      <c r="BH225" s="2038"/>
      <c r="BI225" s="2038"/>
      <c r="BJ225" s="2038"/>
      <c r="BK225" s="2038"/>
      <c r="BL225" s="2038"/>
      <c r="BM225" s="2038"/>
      <c r="BN225" s="2038"/>
      <c r="BO225" s="2038"/>
      <c r="BP225" s="2038"/>
    </row>
    <row r="226" spans="1:69" ht="12.75" customHeight="1">
      <c r="A226" s="2162"/>
      <c r="B226" s="7328">
        <v>30</v>
      </c>
      <c r="C226" s="7328"/>
      <c r="D226" s="2112" t="s">
        <v>2761</v>
      </c>
      <c r="E226" s="808"/>
      <c r="F226" s="808"/>
      <c r="G226" s="808"/>
      <c r="H226" s="808"/>
      <c r="I226" s="808"/>
      <c r="J226" s="808"/>
      <c r="K226" s="808"/>
      <c r="L226" s="808"/>
      <c r="M226" s="808"/>
      <c r="N226" s="808"/>
      <c r="O226" s="808"/>
      <c r="P226" s="808"/>
      <c r="Q226" s="808"/>
      <c r="R226" s="808"/>
      <c r="S226" s="808"/>
      <c r="T226" s="808"/>
      <c r="U226" s="808"/>
      <c r="V226" s="808"/>
      <c r="W226" s="808"/>
      <c r="X226" s="808"/>
      <c r="Y226" s="808"/>
      <c r="Z226" s="808"/>
      <c r="AA226" s="808"/>
      <c r="AB226" s="808"/>
      <c r="AC226" s="808"/>
      <c r="AD226" s="808"/>
      <c r="AE226" s="2760" t="s">
        <v>740</v>
      </c>
      <c r="AF226" s="7341">
        <v>30</v>
      </c>
      <c r="AG226" s="7342"/>
      <c r="AH226" s="7386">
        <f>SUM(K224,AH224)</f>
        <v>0</v>
      </c>
      <c r="AI226" s="7387"/>
      <c r="AJ226" s="7387"/>
      <c r="AK226" s="7387"/>
      <c r="AL226" s="7387"/>
      <c r="AM226" s="7387"/>
      <c r="AN226" s="7387"/>
      <c r="AO226" s="7387"/>
      <c r="AP226" s="2162"/>
      <c r="AQ226" s="260"/>
      <c r="AR226" s="260"/>
      <c r="AS226" s="260"/>
      <c r="BG226" s="2396"/>
      <c r="BH226" s="2038"/>
      <c r="BI226" s="2038"/>
      <c r="BJ226" s="2038"/>
      <c r="BK226" s="2038"/>
      <c r="BL226" s="2038"/>
      <c r="BM226" s="2038"/>
      <c r="BN226" s="2038"/>
      <c r="BO226" s="2038"/>
      <c r="BP226" s="2038"/>
    </row>
    <row r="227" spans="1:69" ht="12.75" customHeight="1" thickBot="1">
      <c r="A227" s="2162"/>
      <c r="B227" s="7328">
        <v>31</v>
      </c>
      <c r="C227" s="7328"/>
      <c r="D227" s="2112" t="s">
        <v>2762</v>
      </c>
      <c r="E227" s="808"/>
      <c r="F227" s="808"/>
      <c r="G227" s="808"/>
      <c r="H227" s="808"/>
      <c r="I227" s="808"/>
      <c r="J227" s="808"/>
      <c r="K227" s="808"/>
      <c r="L227" s="808"/>
      <c r="M227" s="808"/>
      <c r="N227" s="808"/>
      <c r="O227" s="808"/>
      <c r="P227" s="808"/>
      <c r="Q227" s="808"/>
      <c r="R227" s="808"/>
      <c r="S227" s="808"/>
      <c r="T227" s="808"/>
      <c r="U227" s="808"/>
      <c r="V227" s="808"/>
      <c r="W227" s="808"/>
      <c r="X227" s="808"/>
      <c r="Y227" s="808"/>
      <c r="Z227" s="808"/>
      <c r="AA227" s="808"/>
      <c r="AB227" s="808"/>
      <c r="AC227" s="808"/>
      <c r="AD227" s="808"/>
      <c r="AE227" s="2760" t="s">
        <v>705</v>
      </c>
      <c r="AF227" s="7341">
        <v>31</v>
      </c>
      <c r="AG227" s="7342"/>
      <c r="AH227" s="2764" t="s">
        <v>905</v>
      </c>
      <c r="AI227" s="7368">
        <f>SUM(F225,S225,Z225)</f>
        <v>0</v>
      </c>
      <c r="AJ227" s="7253"/>
      <c r="AK227" s="7253"/>
      <c r="AL227" s="7253"/>
      <c r="AM227" s="7253"/>
      <c r="AN227" s="7253"/>
      <c r="AO227" s="2765" t="s">
        <v>906</v>
      </c>
      <c r="AP227" s="2162"/>
      <c r="AQ227" s="260"/>
      <c r="AR227" s="1896" t="s">
        <v>867</v>
      </c>
      <c r="AS227" s="260"/>
      <c r="BG227" s="2396"/>
      <c r="BH227" s="2038"/>
      <c r="BI227" s="2038"/>
      <c r="BJ227" s="2038"/>
      <c r="BK227" s="2038"/>
      <c r="BL227" s="2038"/>
      <c r="BM227" s="2038"/>
      <c r="BN227" s="2038"/>
      <c r="BO227" s="2038"/>
      <c r="BP227" s="2038"/>
    </row>
    <row r="228" spans="1:69" ht="12.75" customHeight="1" thickBot="1">
      <c r="A228" s="2162"/>
      <c r="B228" s="7581">
        <v>32</v>
      </c>
      <c r="C228" s="7581"/>
      <c r="D228" s="3388" t="s">
        <v>2763</v>
      </c>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c r="AA228" s="896"/>
      <c r="AB228" s="896"/>
      <c r="AC228" s="896"/>
      <c r="AD228" s="896"/>
      <c r="AE228" s="2761" t="s">
        <v>680</v>
      </c>
      <c r="AF228" s="7343">
        <v>32</v>
      </c>
      <c r="AG228" s="7344"/>
      <c r="AH228" s="7567">
        <f>IF(AR228&lt;&gt;"",ROUND(AR228,0),SUM(AH226,-AI227))</f>
        <v>0</v>
      </c>
      <c r="AI228" s="7568"/>
      <c r="AJ228" s="7568"/>
      <c r="AK228" s="7568"/>
      <c r="AL228" s="7568"/>
      <c r="AM228" s="7568"/>
      <c r="AN228" s="7568"/>
      <c r="AO228" s="7568"/>
      <c r="AP228" s="2162"/>
      <c r="AQ228" s="260"/>
      <c r="AR228" s="2492"/>
      <c r="AS228" s="260"/>
      <c r="BG228" s="2396"/>
      <c r="BH228" s="2038"/>
      <c r="BI228" s="2038"/>
      <c r="BJ228" s="2038"/>
      <c r="BK228" s="2038"/>
      <c r="BL228" s="2038"/>
      <c r="BM228" s="2038"/>
      <c r="BN228" s="2038"/>
      <c r="BO228" s="2038"/>
      <c r="BP228" s="2038"/>
    </row>
    <row r="229" spans="1:69" s="2114" customFormat="1" ht="17.25" customHeight="1">
      <c r="A229" s="2163"/>
      <c r="B229" s="7438" t="s">
        <v>2243</v>
      </c>
      <c r="C229" s="7438"/>
      <c r="D229" s="7439"/>
      <c r="E229" s="998"/>
      <c r="F229" s="2763" t="s">
        <v>2764</v>
      </c>
      <c r="G229" s="998"/>
      <c r="H229" s="998"/>
      <c r="I229" s="998"/>
      <c r="J229" s="998"/>
      <c r="K229" s="998"/>
      <c r="L229" s="998"/>
      <c r="M229" s="998"/>
      <c r="N229" s="998"/>
      <c r="O229" s="998"/>
      <c r="P229" s="998"/>
      <c r="Q229" s="998"/>
      <c r="R229" s="998"/>
      <c r="S229" s="998"/>
      <c r="T229" s="998"/>
      <c r="U229" s="998"/>
      <c r="V229" s="998"/>
      <c r="W229" s="998"/>
      <c r="X229" s="2190"/>
      <c r="Y229" s="998"/>
      <c r="Z229" s="998"/>
      <c r="AA229" s="998"/>
      <c r="AB229" s="998"/>
      <c r="AC229" s="998"/>
      <c r="AD229" s="998"/>
      <c r="AE229" s="998"/>
      <c r="AF229" s="998"/>
      <c r="AG229" s="998"/>
      <c r="AH229" s="998"/>
      <c r="AI229" s="998"/>
      <c r="AJ229" s="998"/>
      <c r="AK229" s="998"/>
      <c r="AL229" s="998"/>
      <c r="AM229" s="998"/>
      <c r="AN229" s="998"/>
      <c r="AO229" s="998"/>
      <c r="AP229" s="2162"/>
      <c r="AQ229" s="260"/>
      <c r="AR229" s="260"/>
      <c r="AS229" s="260"/>
      <c r="AX229" s="39"/>
      <c r="AY229" s="39"/>
      <c r="AZ229" s="39"/>
      <c r="BA229" s="39"/>
      <c r="BB229" s="39"/>
      <c r="BC229" s="39"/>
      <c r="BD229" s="39"/>
      <c r="BG229" s="2396"/>
      <c r="BH229" s="2038"/>
      <c r="BI229" s="2038"/>
      <c r="BJ229" s="2038"/>
      <c r="BK229" s="2038"/>
      <c r="BL229" s="2038"/>
      <c r="BM229" s="2038"/>
      <c r="BN229" s="2038"/>
      <c r="BO229" s="2038"/>
      <c r="BP229" s="2038"/>
      <c r="BQ229" s="2690"/>
    </row>
    <row r="230" spans="1:69" ht="12.75" customHeight="1">
      <c r="A230" s="2162"/>
      <c r="B230" s="1142"/>
      <c r="C230" s="1142"/>
      <c r="D230" s="1142"/>
      <c r="E230" s="1142"/>
      <c r="F230" s="1142"/>
      <c r="G230" s="1142"/>
      <c r="H230" s="1142"/>
      <c r="I230" s="1142"/>
      <c r="J230" s="1142"/>
      <c r="K230" s="1142"/>
      <c r="L230" s="1142"/>
      <c r="M230" s="1142"/>
      <c r="N230" s="1142"/>
      <c r="O230" s="1142"/>
      <c r="P230" s="1142"/>
      <c r="Q230" s="1142"/>
      <c r="R230" s="1142"/>
      <c r="S230" s="1142"/>
      <c r="T230" s="1142"/>
      <c r="U230" s="1142"/>
      <c r="V230" s="1142"/>
      <c r="W230" s="1142"/>
      <c r="X230" s="1142"/>
      <c r="Y230" s="1142"/>
      <c r="Z230" s="1142"/>
      <c r="AA230" s="1142"/>
      <c r="AB230" s="1142"/>
      <c r="AC230" s="1142"/>
      <c r="AD230" s="1142"/>
      <c r="AE230" s="1142"/>
      <c r="AF230" s="1142"/>
      <c r="AG230" s="1143"/>
      <c r="AH230" s="7373" t="s">
        <v>2765</v>
      </c>
      <c r="AI230" s="7440"/>
      <c r="AJ230" s="7440"/>
      <c r="AK230" s="7440"/>
      <c r="AL230" s="7440"/>
      <c r="AM230" s="7440"/>
      <c r="AN230" s="7440"/>
      <c r="AO230" s="7440"/>
      <c r="AP230" s="2162"/>
      <c r="BG230" s="2396"/>
      <c r="BH230" s="2038"/>
      <c r="BI230" s="2038"/>
      <c r="BJ230" s="2038"/>
      <c r="BK230" s="2038"/>
      <c r="BL230" s="2038"/>
      <c r="BM230" s="2038"/>
      <c r="BN230" s="2038"/>
      <c r="BO230" s="2038"/>
      <c r="BP230" s="2038"/>
    </row>
    <row r="231" spans="1:69" ht="12.75" customHeight="1">
      <c r="A231" s="2162"/>
      <c r="B231" s="7390">
        <v>33</v>
      </c>
      <c r="C231" s="6466"/>
      <c r="D231" s="808"/>
      <c r="E231" s="808"/>
      <c r="F231" s="808"/>
      <c r="G231" s="808"/>
      <c r="H231" s="808"/>
      <c r="I231" s="808"/>
      <c r="J231" s="808"/>
      <c r="K231" s="808"/>
      <c r="L231" s="808"/>
      <c r="M231" s="808"/>
      <c r="N231" s="808"/>
      <c r="O231" s="808"/>
      <c r="P231" s="892" t="s">
        <v>2751</v>
      </c>
      <c r="Q231" s="808"/>
      <c r="R231" s="808"/>
      <c r="S231" s="808"/>
      <c r="T231" s="808"/>
      <c r="U231" s="808"/>
      <c r="V231" s="808"/>
      <c r="W231" s="808"/>
      <c r="X231" s="808"/>
      <c r="Y231" s="808"/>
      <c r="Z231" s="808"/>
      <c r="AA231" s="808"/>
      <c r="AB231" s="808"/>
      <c r="AC231" s="808"/>
      <c r="AD231" s="808"/>
      <c r="AE231" s="808"/>
      <c r="AF231" s="808"/>
      <c r="AG231" s="1151"/>
      <c r="AH231" s="7441"/>
      <c r="AI231" s="7232"/>
      <c r="AJ231" s="7232"/>
      <c r="AK231" s="7232"/>
      <c r="AL231" s="7232"/>
      <c r="AM231" s="7232"/>
      <c r="AN231" s="7232"/>
      <c r="AO231" s="7232"/>
      <c r="AP231" s="2162"/>
      <c r="AX231" s="2114"/>
      <c r="AY231" s="2114"/>
      <c r="AZ231" s="2114"/>
      <c r="BA231" s="2114"/>
      <c r="BB231" s="2114"/>
      <c r="BC231" s="2114"/>
      <c r="BD231" s="2114"/>
      <c r="BG231" s="2396"/>
      <c r="BH231" s="2038"/>
      <c r="BI231" s="2038"/>
      <c r="BJ231" s="2038"/>
      <c r="BK231" s="2038"/>
      <c r="BL231" s="2038"/>
      <c r="BM231" s="2038"/>
      <c r="BN231" s="2038"/>
      <c r="BO231" s="2038"/>
      <c r="BP231" s="2038"/>
    </row>
    <row r="232" spans="1:69" ht="12.75" customHeight="1">
      <c r="A232" s="2162"/>
      <c r="B232" s="1121"/>
      <c r="C232" s="1121"/>
      <c r="D232" s="1121"/>
      <c r="E232" s="1121"/>
      <c r="F232" s="1121"/>
      <c r="G232" s="1121"/>
      <c r="H232" s="1121"/>
      <c r="I232" s="1121"/>
      <c r="J232" s="1121"/>
      <c r="K232" s="1121"/>
      <c r="L232" s="1121"/>
      <c r="M232" s="1121"/>
      <c r="N232" s="1121"/>
      <c r="O232" s="1121"/>
      <c r="P232" s="1121"/>
      <c r="Q232" s="1121"/>
      <c r="R232" s="1121"/>
      <c r="S232" s="1121"/>
      <c r="T232" s="1121"/>
      <c r="U232" s="1121"/>
      <c r="V232" s="1121"/>
      <c r="W232" s="1121"/>
      <c r="X232" s="1121"/>
      <c r="Y232" s="1121"/>
      <c r="Z232" s="1121"/>
      <c r="AA232" s="1121"/>
      <c r="AB232" s="1121"/>
      <c r="AC232" s="1121"/>
      <c r="AD232" s="1121"/>
      <c r="AE232" s="1121"/>
      <c r="AF232" s="1121"/>
      <c r="AG232" s="2391"/>
      <c r="AH232" s="7442"/>
      <c r="AI232" s="6918"/>
      <c r="AJ232" s="6918"/>
      <c r="AK232" s="6918"/>
      <c r="AL232" s="6918"/>
      <c r="AM232" s="6918"/>
      <c r="AN232" s="6918"/>
      <c r="AO232" s="6918"/>
      <c r="AP232" s="2162"/>
      <c r="BG232" s="2396"/>
      <c r="BH232" s="2038"/>
      <c r="BI232" s="2038"/>
      <c r="BJ232" s="2038"/>
      <c r="BK232" s="2038"/>
      <c r="BL232" s="2038"/>
      <c r="BM232" s="2038"/>
      <c r="BN232" s="2038"/>
      <c r="BO232" s="2038"/>
      <c r="BP232" s="2038"/>
    </row>
    <row r="233" spans="1:69" ht="13.5" customHeight="1">
      <c r="A233" s="2162"/>
      <c r="B233" s="2477" t="s">
        <v>542</v>
      </c>
      <c r="C233" s="7434"/>
      <c r="D233" s="7435"/>
      <c r="E233" s="7435"/>
      <c r="F233" s="7435"/>
      <c r="G233" s="7435"/>
      <c r="H233" s="7435"/>
      <c r="I233" s="7435"/>
      <c r="J233" s="7435"/>
      <c r="K233" s="7436"/>
      <c r="L233" s="7436"/>
      <c r="M233" s="7436"/>
      <c r="N233" s="7436"/>
      <c r="O233" s="7436"/>
      <c r="P233" s="7436"/>
      <c r="Q233" s="7436"/>
      <c r="R233" s="7436"/>
      <c r="S233" s="7436"/>
      <c r="T233" s="7436"/>
      <c r="U233" s="7436"/>
      <c r="V233" s="7436"/>
      <c r="W233" s="7436"/>
      <c r="X233" s="7436"/>
      <c r="Y233" s="7436"/>
      <c r="Z233" s="7436"/>
      <c r="AA233" s="7436"/>
      <c r="AB233" s="7436"/>
      <c r="AC233" s="7436"/>
      <c r="AD233" s="7436"/>
      <c r="AE233" s="7436"/>
      <c r="AF233" s="7436"/>
      <c r="AG233" s="7437"/>
      <c r="AH233" s="7358"/>
      <c r="AI233" s="7359"/>
      <c r="AJ233" s="7359"/>
      <c r="AK233" s="7359"/>
      <c r="AL233" s="7359"/>
      <c r="AM233" s="7359"/>
      <c r="AN233" s="7359"/>
      <c r="AO233" s="7359"/>
      <c r="AP233" s="2162"/>
      <c r="BG233" s="2396"/>
      <c r="BH233" s="2038"/>
      <c r="BI233" s="2038"/>
      <c r="BJ233" s="2038"/>
      <c r="BK233" s="2038"/>
      <c r="BL233" s="2038"/>
      <c r="BM233" s="2038"/>
      <c r="BN233" s="2038"/>
      <c r="BO233" s="2038"/>
      <c r="BP233" s="2038"/>
    </row>
    <row r="234" spans="1:69" ht="13.5" customHeight="1">
      <c r="A234" s="2162"/>
      <c r="B234" s="2476" t="s">
        <v>548</v>
      </c>
      <c r="C234" s="7434"/>
      <c r="D234" s="7435"/>
      <c r="E234" s="7435"/>
      <c r="F234" s="7435"/>
      <c r="G234" s="7435"/>
      <c r="H234" s="7435"/>
      <c r="I234" s="7435"/>
      <c r="J234" s="7435"/>
      <c r="K234" s="7436"/>
      <c r="L234" s="7436"/>
      <c r="M234" s="7436"/>
      <c r="N234" s="7436"/>
      <c r="O234" s="7436"/>
      <c r="P234" s="7436"/>
      <c r="Q234" s="7436"/>
      <c r="R234" s="7436"/>
      <c r="S234" s="7436"/>
      <c r="T234" s="7436"/>
      <c r="U234" s="7436"/>
      <c r="V234" s="7436"/>
      <c r="W234" s="7436"/>
      <c r="X234" s="7436"/>
      <c r="Y234" s="7436"/>
      <c r="Z234" s="7436"/>
      <c r="AA234" s="7436"/>
      <c r="AB234" s="7436"/>
      <c r="AC234" s="7436"/>
      <c r="AD234" s="7436"/>
      <c r="AE234" s="7436"/>
      <c r="AF234" s="7436"/>
      <c r="AG234" s="7437"/>
      <c r="AH234" s="7358"/>
      <c r="AI234" s="7359"/>
      <c r="AJ234" s="7359"/>
      <c r="AK234" s="7359"/>
      <c r="AL234" s="7359"/>
      <c r="AM234" s="7359"/>
      <c r="AN234" s="7359"/>
      <c r="AO234" s="7359"/>
      <c r="AP234" s="2162"/>
      <c r="BG234" s="2396"/>
      <c r="BH234" s="2038"/>
      <c r="BI234" s="2038"/>
      <c r="BJ234" s="2038"/>
      <c r="BK234" s="2038"/>
      <c r="BL234" s="2038"/>
      <c r="BM234" s="2038"/>
      <c r="BN234" s="2038"/>
      <c r="BO234" s="2038"/>
      <c r="BP234" s="2038"/>
    </row>
    <row r="235" spans="1:69" ht="17.25" customHeight="1">
      <c r="A235" s="2162"/>
      <c r="B235" s="7448" t="s">
        <v>2752</v>
      </c>
      <c r="C235" s="6435"/>
      <c r="D235" s="6435"/>
      <c r="E235" s="6435"/>
      <c r="F235" s="6435"/>
      <c r="G235" s="6435"/>
      <c r="H235" s="6435"/>
      <c r="I235" s="6435"/>
      <c r="J235" s="6435"/>
      <c r="K235" s="6435"/>
      <c r="L235" s="6435"/>
      <c r="M235" s="6435"/>
      <c r="N235" s="6435"/>
      <c r="O235" s="6435"/>
      <c r="P235" s="6435"/>
      <c r="Q235" s="6435"/>
      <c r="R235" s="6435"/>
      <c r="S235" s="6435"/>
      <c r="T235" s="6435"/>
      <c r="U235" s="6435"/>
      <c r="V235" s="6435"/>
      <c r="W235" s="6435"/>
      <c r="X235" s="7449"/>
      <c r="Y235" s="7379" t="s">
        <v>2753</v>
      </c>
      <c r="Z235" s="6435"/>
      <c r="AA235" s="6435"/>
      <c r="AB235" s="6435"/>
      <c r="AC235" s="6435"/>
      <c r="AD235" s="6435"/>
      <c r="AE235" s="6435"/>
      <c r="AF235" s="6435"/>
      <c r="AG235" s="6435"/>
      <c r="AH235" s="6435"/>
      <c r="AI235" s="6435"/>
      <c r="AJ235" s="6435"/>
      <c r="AK235" s="6435"/>
      <c r="AL235" s="6435"/>
      <c r="AM235" s="6435"/>
      <c r="AN235" s="6435"/>
      <c r="AO235" s="6435"/>
      <c r="AP235" s="2162"/>
      <c r="BG235" s="2396"/>
      <c r="BH235" s="2038"/>
      <c r="BI235" s="2038"/>
      <c r="BJ235" s="2038"/>
      <c r="BK235" s="2038"/>
      <c r="BL235" s="2038"/>
      <c r="BM235" s="2038"/>
      <c r="BN235" s="2038"/>
      <c r="BO235" s="2038"/>
      <c r="BP235" s="2038"/>
    </row>
    <row r="236" spans="1:69" ht="12.75" customHeight="1">
      <c r="A236" s="2162"/>
      <c r="B236" s="7450" t="s">
        <v>2766</v>
      </c>
      <c r="C236" s="6864"/>
      <c r="D236" s="6864"/>
      <c r="E236" s="6864"/>
      <c r="F236" s="6864"/>
      <c r="G236" s="6864"/>
      <c r="H236" s="6864"/>
      <c r="I236" s="6864"/>
      <c r="J236" s="6864"/>
      <c r="K236" s="6864"/>
      <c r="L236" s="6864"/>
      <c r="M236" s="6864"/>
      <c r="N236" s="7451"/>
      <c r="O236" s="7410" t="s">
        <v>2767</v>
      </c>
      <c r="P236" s="7411"/>
      <c r="Q236" s="7411"/>
      <c r="R236" s="7411"/>
      <c r="S236" s="7411"/>
      <c r="T236" s="7411"/>
      <c r="U236" s="7411"/>
      <c r="V236" s="7411"/>
      <c r="W236" s="7411"/>
      <c r="X236" s="7411"/>
      <c r="Y236" s="7454" t="s">
        <v>2768</v>
      </c>
      <c r="Z236" s="6864"/>
      <c r="AA236" s="6864"/>
      <c r="AB236" s="6864"/>
      <c r="AC236" s="6864"/>
      <c r="AD236" s="6864"/>
      <c r="AE236" s="6864"/>
      <c r="AF236" s="6864"/>
      <c r="AG236" s="7451"/>
      <c r="AH236" s="7410" t="s">
        <v>2769</v>
      </c>
      <c r="AI236" s="7411"/>
      <c r="AJ236" s="7411"/>
      <c r="AK236" s="7411"/>
      <c r="AL236" s="7411"/>
      <c r="AM236" s="7411"/>
      <c r="AN236" s="7411"/>
      <c r="AO236" s="7411"/>
      <c r="AP236" s="2162"/>
      <c r="BG236" s="2396"/>
      <c r="BH236" s="2038"/>
      <c r="BI236" s="2038"/>
      <c r="BJ236" s="2038"/>
      <c r="BK236" s="2038"/>
      <c r="BL236" s="2038"/>
      <c r="BM236" s="2038"/>
      <c r="BN236" s="2038"/>
      <c r="BO236" s="2038"/>
      <c r="BP236" s="2038"/>
    </row>
    <row r="237" spans="1:69" ht="12.75" customHeight="1">
      <c r="A237" s="2162"/>
      <c r="B237" s="6733"/>
      <c r="C237" s="6733"/>
      <c r="D237" s="6733"/>
      <c r="E237" s="6733"/>
      <c r="F237" s="6733"/>
      <c r="G237" s="6733"/>
      <c r="H237" s="6733"/>
      <c r="I237" s="6733"/>
      <c r="J237" s="6733"/>
      <c r="K237" s="6733"/>
      <c r="L237" s="6733"/>
      <c r="M237" s="6733"/>
      <c r="N237" s="7452"/>
      <c r="O237" s="7412"/>
      <c r="P237" s="7413"/>
      <c r="Q237" s="7413"/>
      <c r="R237" s="7413"/>
      <c r="S237" s="7413"/>
      <c r="T237" s="7413"/>
      <c r="U237" s="7413"/>
      <c r="V237" s="7413"/>
      <c r="W237" s="7413"/>
      <c r="X237" s="7413"/>
      <c r="Y237" s="6865"/>
      <c r="Z237" s="6733"/>
      <c r="AA237" s="6733"/>
      <c r="AB237" s="6733"/>
      <c r="AC237" s="6733"/>
      <c r="AD237" s="6733"/>
      <c r="AE237" s="6733"/>
      <c r="AF237" s="6733"/>
      <c r="AG237" s="7452"/>
      <c r="AH237" s="7412"/>
      <c r="AI237" s="7413"/>
      <c r="AJ237" s="7413"/>
      <c r="AK237" s="7413"/>
      <c r="AL237" s="7413"/>
      <c r="AM237" s="7413"/>
      <c r="AN237" s="7413"/>
      <c r="AO237" s="7413"/>
      <c r="AP237" s="2162"/>
      <c r="BG237" s="2396"/>
      <c r="BH237" s="2038"/>
      <c r="BI237" s="2038"/>
      <c r="BJ237" s="2038"/>
      <c r="BK237" s="2038"/>
      <c r="BL237" s="2038"/>
      <c r="BM237" s="2038"/>
      <c r="BN237" s="2038"/>
      <c r="BO237" s="2038"/>
      <c r="BP237" s="2038"/>
    </row>
    <row r="238" spans="1:69" ht="12.75" customHeight="1">
      <c r="A238" s="2162"/>
      <c r="B238" s="6731"/>
      <c r="C238" s="6731"/>
      <c r="D238" s="6731"/>
      <c r="E238" s="6731"/>
      <c r="F238" s="6731"/>
      <c r="G238" s="6731"/>
      <c r="H238" s="6731"/>
      <c r="I238" s="6731"/>
      <c r="J238" s="6731"/>
      <c r="K238" s="6731"/>
      <c r="L238" s="6731"/>
      <c r="M238" s="6731"/>
      <c r="N238" s="7453"/>
      <c r="O238" s="7414"/>
      <c r="P238" s="7415"/>
      <c r="Q238" s="7415"/>
      <c r="R238" s="7415"/>
      <c r="S238" s="7415"/>
      <c r="T238" s="7415"/>
      <c r="U238" s="7415"/>
      <c r="V238" s="7415"/>
      <c r="W238" s="7415"/>
      <c r="X238" s="7415"/>
      <c r="Y238" s="7455"/>
      <c r="Z238" s="6731"/>
      <c r="AA238" s="6731"/>
      <c r="AB238" s="6731"/>
      <c r="AC238" s="6731"/>
      <c r="AD238" s="6731"/>
      <c r="AE238" s="6731"/>
      <c r="AF238" s="6731"/>
      <c r="AG238" s="7453"/>
      <c r="AH238" s="7414"/>
      <c r="AI238" s="7415"/>
      <c r="AJ238" s="7415"/>
      <c r="AK238" s="7415"/>
      <c r="AL238" s="7415"/>
      <c r="AM238" s="7415"/>
      <c r="AN238" s="7415"/>
      <c r="AO238" s="7415"/>
      <c r="AP238" s="2162"/>
      <c r="BG238" s="2396"/>
      <c r="BH238" s="2038"/>
      <c r="BI238" s="2038"/>
      <c r="BJ238" s="2038"/>
      <c r="BK238" s="2038"/>
      <c r="BL238" s="2038"/>
      <c r="BM238" s="2038"/>
      <c r="BN238" s="2038"/>
      <c r="BO238" s="2038"/>
      <c r="BP238" s="2038"/>
    </row>
    <row r="239" spans="1:69" ht="13.5" customHeight="1">
      <c r="A239" s="2162"/>
      <c r="B239" s="2477" t="s">
        <v>542</v>
      </c>
      <c r="C239" s="7407"/>
      <c r="D239" s="7408"/>
      <c r="E239" s="7408"/>
      <c r="F239" s="7408"/>
      <c r="G239" s="7408"/>
      <c r="H239" s="7408"/>
      <c r="I239" s="7408"/>
      <c r="J239" s="7408"/>
      <c r="K239" s="7408"/>
      <c r="L239" s="7408"/>
      <c r="M239" s="7408"/>
      <c r="N239" s="7409"/>
      <c r="O239" s="7443"/>
      <c r="P239" s="7444"/>
      <c r="Q239" s="7444"/>
      <c r="R239" s="7444"/>
      <c r="S239" s="7444"/>
      <c r="T239" s="7444"/>
      <c r="U239" s="7444"/>
      <c r="V239" s="7444"/>
      <c r="W239" s="7444"/>
      <c r="X239" s="7445"/>
      <c r="Y239" s="7446"/>
      <c r="Z239" s="7447"/>
      <c r="AA239" s="7447"/>
      <c r="AB239" s="7447"/>
      <c r="AC239" s="7447"/>
      <c r="AD239" s="7447"/>
      <c r="AE239" s="7447"/>
      <c r="AF239" s="7447"/>
      <c r="AG239" s="7447"/>
      <c r="AH239" s="7447"/>
      <c r="AI239" s="7447"/>
      <c r="AJ239" s="7447"/>
      <c r="AK239" s="7447"/>
      <c r="AL239" s="7447"/>
      <c r="AM239" s="7447"/>
      <c r="AN239" s="7447"/>
      <c r="AO239" s="7443"/>
      <c r="AP239" s="2162"/>
      <c r="BG239" s="2396"/>
      <c r="BH239" s="2038"/>
      <c r="BI239" s="2038"/>
      <c r="BJ239" s="2038"/>
      <c r="BK239" s="2038"/>
      <c r="BL239" s="2038"/>
      <c r="BM239" s="2038"/>
      <c r="BN239" s="2038"/>
      <c r="BO239" s="2038"/>
      <c r="BP239" s="2038"/>
    </row>
    <row r="240" spans="1:69" ht="13.5" customHeight="1">
      <c r="A240" s="2162"/>
      <c r="B240" s="2477" t="s">
        <v>548</v>
      </c>
      <c r="C240" s="7407"/>
      <c r="D240" s="7408"/>
      <c r="E240" s="7408"/>
      <c r="F240" s="7408"/>
      <c r="G240" s="7408"/>
      <c r="H240" s="7408"/>
      <c r="I240" s="7408"/>
      <c r="J240" s="7408"/>
      <c r="K240" s="7408"/>
      <c r="L240" s="7408"/>
      <c r="M240" s="7408"/>
      <c r="N240" s="7409"/>
      <c r="O240" s="7443"/>
      <c r="P240" s="7444"/>
      <c r="Q240" s="7444"/>
      <c r="R240" s="7444"/>
      <c r="S240" s="7444"/>
      <c r="T240" s="7444"/>
      <c r="U240" s="7444"/>
      <c r="V240" s="7444"/>
      <c r="W240" s="7444"/>
      <c r="X240" s="7445"/>
      <c r="Y240" s="7446"/>
      <c r="Z240" s="7447"/>
      <c r="AA240" s="7447"/>
      <c r="AB240" s="7447"/>
      <c r="AC240" s="7447"/>
      <c r="AD240" s="7447"/>
      <c r="AE240" s="7447"/>
      <c r="AF240" s="7447"/>
      <c r="AG240" s="7447"/>
      <c r="AH240" s="7447"/>
      <c r="AI240" s="7447"/>
      <c r="AJ240" s="7447"/>
      <c r="AK240" s="7447"/>
      <c r="AL240" s="7447"/>
      <c r="AM240" s="7447"/>
      <c r="AN240" s="7447"/>
      <c r="AO240" s="7443"/>
      <c r="AP240" s="2162"/>
      <c r="BG240" s="2396"/>
      <c r="BH240" s="2038"/>
      <c r="BI240" s="2038"/>
      <c r="BJ240" s="2038"/>
      <c r="BK240" s="2038"/>
      <c r="BL240" s="2038"/>
      <c r="BM240" s="2038"/>
      <c r="BN240" s="2038"/>
      <c r="BO240" s="2038"/>
      <c r="BP240" s="2038"/>
    </row>
    <row r="241" spans="1:69" ht="13.5" customHeight="1">
      <c r="A241" s="2162"/>
      <c r="B241" s="7364" t="s">
        <v>2770</v>
      </c>
      <c r="C241" s="7364"/>
      <c r="D241" s="2112"/>
      <c r="E241" s="3604" t="s">
        <v>2760</v>
      </c>
      <c r="F241" s="818"/>
      <c r="G241" s="2403"/>
      <c r="H241" s="2403"/>
      <c r="I241" s="2403"/>
      <c r="J241" s="2403"/>
      <c r="K241" s="2403"/>
      <c r="L241" s="2403"/>
      <c r="M241" s="2403"/>
      <c r="N241" s="819"/>
      <c r="O241" s="7338">
        <f>ROUND(SUM(O239:O240),0)</f>
        <v>0</v>
      </c>
      <c r="P241" s="7339"/>
      <c r="Q241" s="7339"/>
      <c r="R241" s="7339"/>
      <c r="S241" s="7339"/>
      <c r="T241" s="7339"/>
      <c r="U241" s="7339"/>
      <c r="V241" s="7339"/>
      <c r="W241" s="7339"/>
      <c r="X241" s="7340"/>
      <c r="Y241" s="2478"/>
      <c r="Z241" s="2403"/>
      <c r="AA241" s="2403"/>
      <c r="AB241" s="2403"/>
      <c r="AC241" s="2403"/>
      <c r="AD241" s="2403"/>
      <c r="AE241" s="2403"/>
      <c r="AF241" s="2403"/>
      <c r="AG241" s="819"/>
      <c r="AH241" s="7335">
        <f>ROUND(SUM(AH239:AH240),0)</f>
        <v>0</v>
      </c>
      <c r="AI241" s="7354"/>
      <c r="AJ241" s="7354"/>
      <c r="AK241" s="7354"/>
      <c r="AL241" s="7354"/>
      <c r="AM241" s="7354"/>
      <c r="AN241" s="7354"/>
      <c r="AO241" s="7354"/>
      <c r="AP241" s="2162"/>
      <c r="BG241" s="2396"/>
      <c r="BH241" s="2038"/>
      <c r="BI241" s="2038"/>
      <c r="BJ241" s="2038"/>
      <c r="BK241" s="2038"/>
      <c r="BL241" s="2038"/>
      <c r="BM241" s="2038"/>
      <c r="BN241" s="2038"/>
      <c r="BO241" s="2038"/>
      <c r="BP241" s="2038"/>
    </row>
    <row r="242" spans="1:69" ht="13.5" customHeight="1">
      <c r="A242" s="2162"/>
      <c r="B242" s="7433" t="s">
        <v>644</v>
      </c>
      <c r="C242" s="7433"/>
      <c r="D242" s="2112"/>
      <c r="E242" s="3604" t="s">
        <v>2760</v>
      </c>
      <c r="F242" s="7335">
        <f>ROUND(SUM(C239:C240),0)</f>
        <v>0</v>
      </c>
      <c r="G242" s="7336"/>
      <c r="H242" s="7336"/>
      <c r="I242" s="7336"/>
      <c r="J242" s="7336"/>
      <c r="K242" s="7336"/>
      <c r="L242" s="7336"/>
      <c r="M242" s="7336"/>
      <c r="N242" s="7337"/>
      <c r="O242" s="2479"/>
      <c r="P242" s="2388"/>
      <c r="Q242" s="2388"/>
      <c r="R242" s="2388"/>
      <c r="S242" s="2388"/>
      <c r="T242" s="2388"/>
      <c r="U242" s="2388"/>
      <c r="V242" s="2388"/>
      <c r="W242" s="2388"/>
      <c r="X242" s="2480"/>
      <c r="Y242" s="7335">
        <f>ROUND(SUM(Y239:Y240),0)</f>
        <v>0</v>
      </c>
      <c r="Z242" s="7336"/>
      <c r="AA242" s="7336"/>
      <c r="AB242" s="7336"/>
      <c r="AC242" s="7336"/>
      <c r="AD242" s="7336"/>
      <c r="AE242" s="7336"/>
      <c r="AF242" s="7336"/>
      <c r="AG242" s="7337"/>
      <c r="AH242" s="818"/>
      <c r="AI242" s="2403"/>
      <c r="AJ242" s="2403"/>
      <c r="AK242" s="2403"/>
      <c r="AL242" s="2403"/>
      <c r="AM242" s="2403"/>
      <c r="AN242" s="2403"/>
      <c r="AO242" s="2403"/>
      <c r="AP242" s="2162"/>
      <c r="BG242" s="2396"/>
      <c r="BH242" s="2038"/>
      <c r="BI242" s="2038"/>
      <c r="BJ242" s="2038"/>
      <c r="BK242" s="2038"/>
      <c r="BL242" s="2038"/>
      <c r="BM242" s="2038"/>
      <c r="BN242" s="2038"/>
      <c r="BO242" s="2038"/>
      <c r="BP242" s="2038"/>
    </row>
    <row r="243" spans="1:69" ht="13.5" customHeight="1">
      <c r="A243" s="2162"/>
      <c r="B243" s="7328">
        <v>35</v>
      </c>
      <c r="C243" s="7328"/>
      <c r="D243" s="2112" t="s">
        <v>2771</v>
      </c>
      <c r="E243" s="808"/>
      <c r="F243" s="808"/>
      <c r="G243" s="808"/>
      <c r="H243" s="808"/>
      <c r="I243" s="808"/>
      <c r="J243" s="808"/>
      <c r="K243" s="808"/>
      <c r="L243" s="808"/>
      <c r="M243" s="808"/>
      <c r="N243" s="808"/>
      <c r="O243" s="808"/>
      <c r="P243" s="808"/>
      <c r="Q243" s="808"/>
      <c r="R243" s="808"/>
      <c r="S243" s="808"/>
      <c r="T243" s="808"/>
      <c r="U243" s="808"/>
      <c r="V243" s="808"/>
      <c r="W243" s="808"/>
      <c r="X243" s="808"/>
      <c r="Y243" s="808"/>
      <c r="Z243" s="808"/>
      <c r="AA243" s="808"/>
      <c r="AB243" s="808"/>
      <c r="AC243" s="808"/>
      <c r="AD243" s="808"/>
      <c r="AE243" s="808"/>
      <c r="AF243" s="808"/>
      <c r="AG243" s="2760" t="s">
        <v>754</v>
      </c>
      <c r="AH243" s="7426">
        <v>35</v>
      </c>
      <c r="AI243" s="7569"/>
      <c r="AJ243" s="7386">
        <f>SUM(O241,AH241)</f>
        <v>0</v>
      </c>
      <c r="AK243" s="7576"/>
      <c r="AL243" s="7576"/>
      <c r="AM243" s="7576"/>
      <c r="AN243" s="7576"/>
      <c r="AO243" s="7576"/>
      <c r="AP243" s="2162"/>
      <c r="BG243" s="2396"/>
      <c r="BH243" s="2038"/>
      <c r="BI243" s="2038"/>
      <c r="BJ243" s="2038"/>
      <c r="BK243" s="2038"/>
      <c r="BL243" s="2038"/>
      <c r="BM243" s="2038"/>
      <c r="BN243" s="2038"/>
      <c r="BO243" s="2038"/>
      <c r="BP243" s="2038"/>
    </row>
    <row r="244" spans="1:69" ht="13.5" customHeight="1">
      <c r="A244" s="2162"/>
      <c r="B244" s="7328">
        <v>36</v>
      </c>
      <c r="C244" s="7328"/>
      <c r="D244" s="2112" t="s">
        <v>2772</v>
      </c>
      <c r="E244" s="808"/>
      <c r="F244" s="808"/>
      <c r="G244" s="808"/>
      <c r="H244" s="808"/>
      <c r="I244" s="808"/>
      <c r="J244" s="808"/>
      <c r="K244" s="808"/>
      <c r="L244" s="808"/>
      <c r="M244" s="808"/>
      <c r="N244" s="808"/>
      <c r="O244" s="808"/>
      <c r="P244" s="808"/>
      <c r="Q244" s="808"/>
      <c r="R244" s="808"/>
      <c r="S244" s="808"/>
      <c r="T244" s="808"/>
      <c r="U244" s="808"/>
      <c r="V244" s="808"/>
      <c r="W244" s="808"/>
      <c r="X244" s="808"/>
      <c r="Y244" s="808"/>
      <c r="Z244" s="808"/>
      <c r="AA244" s="808"/>
      <c r="AB244" s="808"/>
      <c r="AC244" s="808"/>
      <c r="AD244" s="808"/>
      <c r="AE244" s="808"/>
      <c r="AF244" s="808"/>
      <c r="AG244" s="2760" t="s">
        <v>754</v>
      </c>
      <c r="AH244" s="7426">
        <v>36</v>
      </c>
      <c r="AI244" s="7569"/>
      <c r="AJ244" s="4709" t="s">
        <v>905</v>
      </c>
      <c r="AK244" s="7352">
        <f>SUM(F242,Y242)</f>
        <v>0</v>
      </c>
      <c r="AL244" s="7353"/>
      <c r="AM244" s="7353"/>
      <c r="AN244" s="7353"/>
      <c r="AO244" s="2500" t="s">
        <v>906</v>
      </c>
      <c r="AP244" s="2162"/>
      <c r="BG244" s="2396"/>
      <c r="BH244" s="2038"/>
      <c r="BI244" s="2038"/>
      <c r="BJ244" s="2038"/>
      <c r="BK244" s="2038"/>
      <c r="BL244" s="2038"/>
      <c r="BM244" s="2038"/>
      <c r="BN244" s="2038"/>
      <c r="BO244" s="2038"/>
      <c r="BP244" s="2038"/>
    </row>
    <row r="245" spans="1:69" ht="13.5" customHeight="1">
      <c r="A245" s="2162"/>
      <c r="B245" s="7334">
        <v>37</v>
      </c>
      <c r="C245" s="7334"/>
      <c r="D245" s="2190" t="s">
        <v>2773</v>
      </c>
      <c r="E245" s="1121"/>
      <c r="F245" s="1121"/>
      <c r="G245" s="1121"/>
      <c r="H245" s="1121"/>
      <c r="I245" s="1121"/>
      <c r="J245" s="1121"/>
      <c r="K245" s="1121"/>
      <c r="L245" s="1121"/>
      <c r="M245" s="1121"/>
      <c r="N245" s="1121"/>
      <c r="O245" s="1121"/>
      <c r="P245" s="1121"/>
      <c r="Q245" s="1121"/>
      <c r="R245" s="1121"/>
      <c r="S245" s="1121"/>
      <c r="T245" s="1121"/>
      <c r="U245" s="1121"/>
      <c r="V245" s="1121"/>
      <c r="W245" s="1121"/>
      <c r="X245" s="1121"/>
      <c r="Y245" s="1121"/>
      <c r="Z245" s="1121"/>
      <c r="AA245" s="1121"/>
      <c r="AB245" s="1121"/>
      <c r="AC245" s="1121"/>
      <c r="AD245" s="1121"/>
      <c r="AE245" s="1121"/>
      <c r="AF245" s="1121"/>
      <c r="AG245" s="2762" t="s">
        <v>752</v>
      </c>
      <c r="AH245" s="7426">
        <v>37</v>
      </c>
      <c r="AI245" s="7569"/>
      <c r="AJ245" s="7386">
        <f>SUM(AJ243,-AK244)</f>
        <v>0</v>
      </c>
      <c r="AK245" s="7576"/>
      <c r="AL245" s="7576"/>
      <c r="AM245" s="7576"/>
      <c r="AN245" s="7576"/>
      <c r="AO245" s="7576"/>
      <c r="AP245" s="2162"/>
      <c r="BG245" s="2396"/>
      <c r="BH245" s="2038"/>
      <c r="BI245" s="2038"/>
      <c r="BJ245" s="2038"/>
      <c r="BK245" s="2038"/>
      <c r="BL245" s="2038"/>
      <c r="BM245" s="2038"/>
      <c r="BN245" s="2038"/>
      <c r="BO245" s="2038"/>
      <c r="BP245" s="2038"/>
    </row>
    <row r="246" spans="1:69" s="2114" customFormat="1" ht="17.25" customHeight="1">
      <c r="A246" s="2163"/>
      <c r="B246" s="7384" t="s">
        <v>2410</v>
      </c>
      <c r="C246" s="7384"/>
      <c r="D246" s="7385"/>
      <c r="E246" s="2115"/>
      <c r="F246" s="2179" t="s">
        <v>2774</v>
      </c>
      <c r="G246" s="2115"/>
      <c r="H246" s="2115"/>
      <c r="I246" s="2115"/>
      <c r="J246" s="2115"/>
      <c r="K246" s="2115"/>
      <c r="L246" s="2115"/>
      <c r="M246" s="2115"/>
      <c r="N246" s="2115"/>
      <c r="O246" s="2115"/>
      <c r="P246" s="2115"/>
      <c r="Q246" s="2115"/>
      <c r="R246" s="2115"/>
      <c r="S246" s="2115"/>
      <c r="T246" s="2115"/>
      <c r="U246" s="2115"/>
      <c r="V246" s="2115"/>
      <c r="W246" s="2115"/>
      <c r="X246" s="2113"/>
      <c r="Y246" s="2115"/>
      <c r="Z246" s="2115"/>
      <c r="AA246" s="2115"/>
      <c r="AB246" s="2115"/>
      <c r="AC246" s="2115"/>
      <c r="AD246" s="2115"/>
      <c r="AE246" s="2115"/>
      <c r="AF246" s="2115"/>
      <c r="AG246" s="998"/>
      <c r="AH246" s="2115"/>
      <c r="AI246" s="2115"/>
      <c r="AJ246" s="2115"/>
      <c r="AK246" s="2115"/>
      <c r="AL246" s="2115"/>
      <c r="AM246" s="2115"/>
      <c r="AN246" s="2115"/>
      <c r="AO246" s="2115"/>
      <c r="AP246" s="2162"/>
      <c r="AX246" s="39"/>
      <c r="AY246" s="39"/>
      <c r="AZ246" s="39"/>
      <c r="BA246" s="39"/>
      <c r="BB246" s="39"/>
      <c r="BC246" s="39"/>
      <c r="BD246" s="39"/>
      <c r="BG246" s="2396"/>
      <c r="BH246" s="2038"/>
      <c r="BI246" s="2038"/>
      <c r="BJ246" s="2038"/>
      <c r="BK246" s="2038"/>
      <c r="BL246" s="2038"/>
      <c r="BM246" s="2038"/>
      <c r="BN246" s="2038"/>
      <c r="BO246" s="2038"/>
      <c r="BP246" s="2038"/>
      <c r="BQ246" s="2690"/>
    </row>
    <row r="247" spans="1:69" ht="12.75" customHeight="1">
      <c r="A247" s="2162"/>
      <c r="B247" s="1142"/>
      <c r="C247" s="4711"/>
      <c r="D247" s="7345" t="s">
        <v>2775</v>
      </c>
      <c r="E247" s="7346"/>
      <c r="F247" s="7346"/>
      <c r="G247" s="7346"/>
      <c r="H247" s="7346"/>
      <c r="I247" s="7346"/>
      <c r="J247" s="7347"/>
      <c r="K247" s="7428" t="s">
        <v>2776</v>
      </c>
      <c r="L247" s="7429"/>
      <c r="M247" s="7429"/>
      <c r="N247" s="7429"/>
      <c r="O247" s="7429"/>
      <c r="P247" s="7429"/>
      <c r="Q247" s="7429"/>
      <c r="R247" s="7429"/>
      <c r="S247" s="7577" t="s">
        <v>2777</v>
      </c>
      <c r="T247" s="7578"/>
      <c r="U247" s="7578"/>
      <c r="V247" s="7578"/>
      <c r="W247" s="7578"/>
      <c r="X247" s="7578"/>
      <c r="Y247" s="7578"/>
      <c r="Z247" s="7373" t="s">
        <v>2778</v>
      </c>
      <c r="AA247" s="7374"/>
      <c r="AB247" s="7374"/>
      <c r="AC247" s="7374"/>
      <c r="AD247" s="7374"/>
      <c r="AE247" s="7374"/>
      <c r="AF247" s="7374"/>
      <c r="AG247" s="7468"/>
      <c r="AH247" s="7373" t="s">
        <v>2779</v>
      </c>
      <c r="AI247" s="7374"/>
      <c r="AJ247" s="7374"/>
      <c r="AK247" s="7374"/>
      <c r="AL247" s="7374"/>
      <c r="AM247" s="7374"/>
      <c r="AN247" s="7374"/>
      <c r="AO247" s="7374"/>
      <c r="AP247" s="2162"/>
      <c r="BG247" s="2396"/>
      <c r="BH247" s="2038"/>
      <c r="BI247" s="2038"/>
      <c r="BJ247" s="2038"/>
      <c r="BK247" s="2038"/>
      <c r="BL247" s="2038"/>
      <c r="BM247" s="2038"/>
      <c r="BN247" s="2038"/>
      <c r="BO247" s="2038"/>
      <c r="BP247" s="2038"/>
    </row>
    <row r="248" spans="1:69" ht="12.75" customHeight="1">
      <c r="A248" s="2162"/>
      <c r="B248" s="7390">
        <v>38</v>
      </c>
      <c r="C248" s="6466"/>
      <c r="D248" s="7348"/>
      <c r="E248" s="7348"/>
      <c r="F248" s="7348"/>
      <c r="G248" s="7348"/>
      <c r="H248" s="7348"/>
      <c r="I248" s="7348"/>
      <c r="J248" s="7349"/>
      <c r="K248" s="7430"/>
      <c r="L248" s="7430"/>
      <c r="M248" s="7430"/>
      <c r="N248" s="7430"/>
      <c r="O248" s="7430"/>
      <c r="P248" s="7430"/>
      <c r="Q248" s="7430"/>
      <c r="R248" s="7430"/>
      <c r="S248" s="7579"/>
      <c r="T248" s="7579"/>
      <c r="U248" s="7579"/>
      <c r="V248" s="7579"/>
      <c r="W248" s="7579"/>
      <c r="X248" s="7579"/>
      <c r="Y248" s="7579"/>
      <c r="Z248" s="7375"/>
      <c r="AA248" s="7376"/>
      <c r="AB248" s="7376"/>
      <c r="AC248" s="7376"/>
      <c r="AD248" s="7376"/>
      <c r="AE248" s="7376"/>
      <c r="AF248" s="7376"/>
      <c r="AG248" s="7469"/>
      <c r="AH248" s="7375"/>
      <c r="AI248" s="7376"/>
      <c r="AJ248" s="7376"/>
      <c r="AK248" s="7376"/>
      <c r="AL248" s="7376"/>
      <c r="AM248" s="7376"/>
      <c r="AN248" s="7376"/>
      <c r="AO248" s="7376"/>
      <c r="AP248" s="2162"/>
      <c r="AX248" s="2114"/>
      <c r="AY248" s="2114"/>
      <c r="AZ248" s="2114"/>
      <c r="BA248" s="2114"/>
      <c r="BB248" s="2114"/>
      <c r="BC248" s="2114"/>
      <c r="BD248" s="2114"/>
      <c r="BG248" s="2396"/>
      <c r="BH248" s="2038"/>
      <c r="BI248" s="2038"/>
      <c r="BJ248" s="2038"/>
      <c r="BK248" s="2038"/>
      <c r="BL248" s="2038"/>
      <c r="BM248" s="2038"/>
      <c r="BN248" s="2038"/>
      <c r="BO248" s="2038"/>
      <c r="BP248" s="2038"/>
    </row>
    <row r="249" spans="1:69" ht="12.75" customHeight="1">
      <c r="A249" s="2162"/>
      <c r="B249" s="1121"/>
      <c r="C249" s="4721"/>
      <c r="D249" s="7350"/>
      <c r="E249" s="7350"/>
      <c r="F249" s="7350"/>
      <c r="G249" s="7350"/>
      <c r="H249" s="7350"/>
      <c r="I249" s="7350"/>
      <c r="J249" s="7351"/>
      <c r="K249" s="7431"/>
      <c r="L249" s="7431"/>
      <c r="M249" s="7431"/>
      <c r="N249" s="7431"/>
      <c r="O249" s="7431"/>
      <c r="P249" s="7431"/>
      <c r="Q249" s="7431"/>
      <c r="R249" s="7431"/>
      <c r="S249" s="7580"/>
      <c r="T249" s="7580"/>
      <c r="U249" s="7580"/>
      <c r="V249" s="7580"/>
      <c r="W249" s="7580"/>
      <c r="X249" s="7580"/>
      <c r="Y249" s="7580"/>
      <c r="Z249" s="7377"/>
      <c r="AA249" s="7378"/>
      <c r="AB249" s="7378"/>
      <c r="AC249" s="7378"/>
      <c r="AD249" s="7378"/>
      <c r="AE249" s="7378"/>
      <c r="AF249" s="7378"/>
      <c r="AG249" s="7470"/>
      <c r="AH249" s="7377"/>
      <c r="AI249" s="7378"/>
      <c r="AJ249" s="7378"/>
      <c r="AK249" s="7378"/>
      <c r="AL249" s="7378"/>
      <c r="AM249" s="7378"/>
      <c r="AN249" s="7378"/>
      <c r="AO249" s="7378"/>
      <c r="AP249" s="2162"/>
      <c r="AQ249" s="260"/>
      <c r="AR249" s="260"/>
      <c r="AS249" s="260"/>
      <c r="BG249" s="2396"/>
      <c r="BH249" s="2038"/>
      <c r="BI249" s="2038"/>
      <c r="BJ249" s="2038"/>
      <c r="BK249" s="2038"/>
      <c r="BL249" s="2038"/>
      <c r="BM249" s="2038"/>
      <c r="BN249" s="2038"/>
      <c r="BO249" s="2038"/>
      <c r="BP249" s="2038"/>
    </row>
    <row r="250" spans="1:69" ht="12.75" customHeight="1">
      <c r="A250" s="2162"/>
      <c r="B250" s="7423"/>
      <c r="C250" s="7424"/>
      <c r="D250" s="7424"/>
      <c r="E250" s="7424"/>
      <c r="F250" s="7424"/>
      <c r="G250" s="7424"/>
      <c r="H250" s="7424"/>
      <c r="I250" s="7424"/>
      <c r="J250" s="7425"/>
      <c r="K250" s="7360"/>
      <c r="L250" s="7361"/>
      <c r="M250" s="7361"/>
      <c r="N250" s="7361"/>
      <c r="O250" s="7361"/>
      <c r="P250" s="7361"/>
      <c r="Q250" s="7361"/>
      <c r="R250" s="7362"/>
      <c r="S250" s="7363"/>
      <c r="T250" s="7363"/>
      <c r="U250" s="7363"/>
      <c r="V250" s="7363"/>
      <c r="W250" s="7363"/>
      <c r="X250" s="7363"/>
      <c r="Y250" s="7363"/>
      <c r="Z250" s="7388"/>
      <c r="AA250" s="7389"/>
      <c r="AB250" s="7389"/>
      <c r="AC250" s="7389"/>
      <c r="AD250" s="7389"/>
      <c r="AE250" s="7389"/>
      <c r="AF250" s="7389"/>
      <c r="AG250" s="7422"/>
      <c r="AH250" s="7388"/>
      <c r="AI250" s="7389"/>
      <c r="AJ250" s="7389"/>
      <c r="AK250" s="7389"/>
      <c r="AL250" s="7389"/>
      <c r="AM250" s="7389"/>
      <c r="AN250" s="7389"/>
      <c r="AO250" s="7389"/>
      <c r="AP250" s="2162"/>
      <c r="AQ250" s="260"/>
      <c r="AR250" s="1896" t="s">
        <v>867</v>
      </c>
      <c r="AS250" s="260"/>
      <c r="BG250" s="2396"/>
      <c r="BH250" s="2038"/>
      <c r="BI250" s="2038"/>
      <c r="BJ250" s="2038"/>
      <c r="BK250" s="2038"/>
      <c r="BL250" s="2038"/>
      <c r="BM250" s="2038"/>
      <c r="BN250" s="2038"/>
      <c r="BO250" s="2038"/>
      <c r="BP250" s="2038"/>
    </row>
    <row r="251" spans="1:69" ht="13.5" customHeight="1">
      <c r="A251" s="2162"/>
      <c r="B251" s="7334">
        <v>39</v>
      </c>
      <c r="C251" s="7334"/>
      <c r="D251" s="2190" t="s">
        <v>2780</v>
      </c>
      <c r="E251" s="1121"/>
      <c r="F251" s="1121"/>
      <c r="G251" s="1121"/>
      <c r="H251" s="1121"/>
      <c r="I251" s="1121"/>
      <c r="J251" s="1121"/>
      <c r="K251" s="1121"/>
      <c r="L251" s="1121"/>
      <c r="M251" s="1121"/>
      <c r="N251" s="1121"/>
      <c r="O251" s="1121"/>
      <c r="P251" s="1121"/>
      <c r="Q251" s="1121"/>
      <c r="R251" s="1121"/>
      <c r="S251" s="1121"/>
      <c r="T251" s="1121"/>
      <c r="U251" s="1121"/>
      <c r="V251" s="1121"/>
      <c r="W251" s="1121"/>
      <c r="X251" s="1121"/>
      <c r="Y251" s="1121"/>
      <c r="Z251" s="1121"/>
      <c r="AA251" s="1121"/>
      <c r="AB251" s="1121"/>
      <c r="AC251" s="1121"/>
      <c r="AD251" s="1121"/>
      <c r="AE251" s="1121"/>
      <c r="AF251" s="1121"/>
      <c r="AG251" s="2391"/>
      <c r="AH251" s="7426">
        <v>39</v>
      </c>
      <c r="AI251" s="7427"/>
      <c r="AJ251" s="7335">
        <f>IF(AR251&lt;&gt;"",ROUND(AR251,0),ROUND(SUM(Z250,AH250),0))</f>
        <v>0</v>
      </c>
      <c r="AK251" s="7354"/>
      <c r="AL251" s="7354"/>
      <c r="AM251" s="7354"/>
      <c r="AN251" s="7354"/>
      <c r="AO251" s="7354"/>
      <c r="AP251" s="2162"/>
      <c r="AQ251" s="260"/>
      <c r="AR251" s="2492"/>
      <c r="AS251" s="260"/>
      <c r="BG251" s="2396"/>
      <c r="BH251" s="2038"/>
      <c r="BI251" s="2038"/>
      <c r="BJ251" s="2038"/>
      <c r="BK251" s="2038"/>
      <c r="BL251" s="2038"/>
      <c r="BM251" s="2038"/>
      <c r="BN251" s="2038"/>
      <c r="BO251" s="2038"/>
      <c r="BP251" s="2038"/>
    </row>
    <row r="252" spans="1:69" s="2114" customFormat="1" ht="17.25" customHeight="1">
      <c r="A252" s="2163"/>
      <c r="B252" s="7384" t="s">
        <v>2425</v>
      </c>
      <c r="C252" s="7384"/>
      <c r="D252" s="7385"/>
      <c r="E252" s="2115"/>
      <c r="F252" s="2179" t="s">
        <v>2781</v>
      </c>
      <c r="G252" s="2115"/>
      <c r="H252" s="2115"/>
      <c r="I252" s="2115"/>
      <c r="J252" s="2115"/>
      <c r="K252" s="2115"/>
      <c r="L252" s="2115"/>
      <c r="M252" s="2115"/>
      <c r="N252" s="2115"/>
      <c r="O252" s="2115"/>
      <c r="P252" s="2115"/>
      <c r="Q252" s="2115"/>
      <c r="R252" s="2115"/>
      <c r="S252" s="2115"/>
      <c r="T252" s="2115"/>
      <c r="U252" s="2115"/>
      <c r="V252" s="2115"/>
      <c r="W252" s="2115"/>
      <c r="X252" s="2113"/>
      <c r="Y252" s="2115"/>
      <c r="Z252" s="2115"/>
      <c r="AA252" s="2115"/>
      <c r="AB252" s="2115"/>
      <c r="AC252" s="2115"/>
      <c r="AD252" s="2115"/>
      <c r="AE252" s="2115"/>
      <c r="AF252" s="2115"/>
      <c r="AG252" s="2115"/>
      <c r="AH252" s="2115"/>
      <c r="AI252" s="2115"/>
      <c r="AJ252" s="2115"/>
      <c r="AK252" s="2115"/>
      <c r="AL252" s="2115"/>
      <c r="AM252" s="2115"/>
      <c r="AN252" s="2115"/>
      <c r="AO252" s="2115"/>
      <c r="AP252" s="2162"/>
      <c r="AQ252" s="260"/>
      <c r="AR252" s="260"/>
      <c r="AS252" s="260"/>
      <c r="AX252" s="39"/>
      <c r="AY252" s="39"/>
      <c r="AZ252" s="39"/>
      <c r="BA252" s="39"/>
      <c r="BB252" s="39"/>
      <c r="BC252" s="39"/>
      <c r="BD252" s="39"/>
      <c r="BG252" s="2396"/>
      <c r="BH252" s="2038"/>
      <c r="BI252" s="2038"/>
      <c r="BJ252" s="2038"/>
      <c r="BK252" s="2038"/>
      <c r="BL252" s="2038"/>
      <c r="BM252" s="2038"/>
      <c r="BN252" s="2038"/>
      <c r="BO252" s="2038"/>
      <c r="BP252" s="2038"/>
      <c r="BQ252" s="2690"/>
    </row>
    <row r="253" spans="1:69" ht="15.75" customHeight="1" thickBot="1">
      <c r="A253" s="2162"/>
      <c r="B253" s="7364">
        <v>40</v>
      </c>
      <c r="C253" s="7364"/>
      <c r="D253" s="2440" t="s">
        <v>2782</v>
      </c>
      <c r="E253" s="1142"/>
      <c r="F253" s="1142"/>
      <c r="G253" s="1142"/>
      <c r="H253" s="1142"/>
      <c r="I253" s="1142"/>
      <c r="J253" s="1142"/>
      <c r="K253" s="1142"/>
      <c r="L253" s="1142"/>
      <c r="M253" s="1142"/>
      <c r="N253" s="1142"/>
      <c r="O253" s="1142"/>
      <c r="P253" s="1142"/>
      <c r="Q253" s="1142"/>
      <c r="R253" s="1142"/>
      <c r="S253" s="1142"/>
      <c r="T253" s="1142"/>
      <c r="U253" s="1142"/>
      <c r="V253" s="1142"/>
      <c r="W253" s="1142"/>
      <c r="X253" s="1142"/>
      <c r="Y253" s="1142"/>
      <c r="Z253" s="1142"/>
      <c r="AA253" s="1142"/>
      <c r="AB253" s="1142"/>
      <c r="AC253" s="1142"/>
      <c r="AD253" s="1142"/>
      <c r="AE253" s="1142"/>
      <c r="AF253" s="1142"/>
      <c r="AG253" s="2760" t="s">
        <v>654</v>
      </c>
      <c r="AH253" s="7589">
        <v>40</v>
      </c>
      <c r="AI253" s="7590"/>
      <c r="AJ253" s="7591"/>
      <c r="AK253" s="7591"/>
      <c r="AL253" s="7591"/>
      <c r="AM253" s="7591"/>
      <c r="AN253" s="7591"/>
      <c r="AO253" s="7574"/>
      <c r="AP253" s="2162"/>
      <c r="AQ253" s="260"/>
      <c r="AR253" s="260"/>
      <c r="AS253" s="260"/>
      <c r="BG253" s="2396"/>
      <c r="BH253" s="2038"/>
      <c r="BI253" s="2038"/>
      <c r="BJ253" s="2038"/>
      <c r="BK253" s="2038"/>
      <c r="BL253" s="2038"/>
      <c r="BM253" s="2038"/>
      <c r="BN253" s="2038"/>
      <c r="BO253" s="2038"/>
      <c r="BP253" s="2038"/>
    </row>
    <row r="254" spans="1:69" ht="13.5" customHeight="1">
      <c r="A254" s="2162"/>
      <c r="B254" s="7328">
        <v>41</v>
      </c>
      <c r="C254" s="7328"/>
      <c r="D254" s="2112" t="s">
        <v>2783</v>
      </c>
      <c r="E254" s="808"/>
      <c r="F254" s="808"/>
      <c r="G254" s="808"/>
      <c r="H254" s="808"/>
      <c r="I254" s="808"/>
      <c r="J254" s="808"/>
      <c r="K254" s="808"/>
      <c r="L254" s="808"/>
      <c r="M254" s="808"/>
      <c r="N254" s="808"/>
      <c r="O254" s="808"/>
      <c r="P254" s="808"/>
      <c r="Q254" s="808"/>
      <c r="R254" s="808"/>
      <c r="S254" s="808"/>
      <c r="T254" s="808"/>
      <c r="U254" s="808"/>
      <c r="V254" s="808"/>
      <c r="W254" s="808"/>
      <c r="X254" s="808"/>
      <c r="Y254" s="808"/>
      <c r="Z254" s="808"/>
      <c r="AA254" s="808"/>
      <c r="AB254" s="808"/>
      <c r="AC254" s="808"/>
      <c r="AD254" s="808"/>
      <c r="AE254" s="808"/>
      <c r="AF254" s="808"/>
      <c r="AG254" s="1151"/>
      <c r="AH254" s="4991"/>
      <c r="AI254" s="4992"/>
      <c r="AJ254" s="4993"/>
      <c r="AK254" s="3340"/>
      <c r="AL254" s="3340"/>
      <c r="AM254" s="3340"/>
      <c r="AN254" s="3340"/>
      <c r="AO254" s="3340"/>
      <c r="AP254" s="2162"/>
      <c r="AQ254" s="260"/>
      <c r="AR254" s="260"/>
      <c r="AS254" s="260"/>
      <c r="AX254" s="2114"/>
      <c r="AY254" s="2114"/>
      <c r="AZ254" s="2114"/>
      <c r="BA254" s="2114"/>
      <c r="BB254" s="2114"/>
      <c r="BC254" s="2114"/>
      <c r="BD254" s="2114"/>
      <c r="BG254" s="2396"/>
      <c r="BH254" s="2038"/>
      <c r="BI254" s="2038"/>
      <c r="BJ254" s="2038"/>
      <c r="BK254" s="2038"/>
      <c r="BL254" s="2038"/>
      <c r="BM254" s="2038"/>
      <c r="BN254" s="2038"/>
      <c r="BO254" s="2038"/>
      <c r="BP254" s="2038"/>
    </row>
    <row r="255" spans="1:69" ht="13.5" customHeight="1">
      <c r="A255" s="2162"/>
      <c r="B255" s="7328"/>
      <c r="C255" s="7328"/>
      <c r="D255" s="2112" t="s">
        <v>2784</v>
      </c>
      <c r="E255" s="808"/>
      <c r="F255" s="808"/>
      <c r="G255" s="808"/>
      <c r="H255" s="808"/>
      <c r="I255" s="808"/>
      <c r="J255" s="808"/>
      <c r="K255" s="808"/>
      <c r="L255" s="808"/>
      <c r="M255" s="808"/>
      <c r="N255" s="808"/>
      <c r="O255" s="808"/>
      <c r="P255" s="808"/>
      <c r="Q255" s="808"/>
      <c r="R255" s="808"/>
      <c r="S255" s="808"/>
      <c r="T255" s="808"/>
      <c r="U255" s="808"/>
      <c r="V255" s="808"/>
      <c r="W255" s="808"/>
      <c r="X255" s="808"/>
      <c r="Y255" s="808"/>
      <c r="Z255" s="808"/>
      <c r="AA255" s="808"/>
      <c r="AB255" s="808"/>
      <c r="AC255" s="808"/>
      <c r="AD255" s="808"/>
      <c r="AE255" s="808"/>
      <c r="AF255" s="808"/>
      <c r="AG255" s="2760" t="s">
        <v>2170</v>
      </c>
      <c r="AH255" s="7592">
        <v>41</v>
      </c>
      <c r="AI255" s="7593"/>
      <c r="AJ255" s="7594">
        <f>IF(AR255&lt;&gt;"",ROUND(AR255,0),IF(SchE2_Completed,SUM(SchE2_Line26,SchE2_Line32,SchE2_Line37,SchE2_Line39,ROUND(SchE2_Line40,0)),0))</f>
        <v>0</v>
      </c>
      <c r="AK255" s="7594"/>
      <c r="AL255" s="7594"/>
      <c r="AM255" s="7594"/>
      <c r="AN255" s="7594"/>
      <c r="AO255" s="6353"/>
      <c r="AP255" s="2162"/>
      <c r="AQ255" s="260"/>
      <c r="AR255" s="2492"/>
      <c r="AS255" s="260"/>
      <c r="AV255" s="39" t="b">
        <f>OR(SchE2_Line26&lt;&gt;0,SchE2_Line32&lt;&gt;0,SchE2_Line37&lt;&gt;0,SchE2_Line39&lt;&gt;0,SchE2_Line40&lt;&gt;0)</f>
        <v>0</v>
      </c>
      <c r="AX255" s="2114"/>
      <c r="AY255" s="2114"/>
      <c r="AZ255" s="2114"/>
      <c r="BA255" s="2114"/>
      <c r="BB255" s="2114"/>
      <c r="BC255" s="2114"/>
      <c r="BD255" s="2114"/>
      <c r="BG255" s="2396"/>
      <c r="BH255" s="2038"/>
      <c r="BI255" s="2038"/>
      <c r="BJ255" s="2038"/>
      <c r="BK255" s="2038"/>
      <c r="BL255" s="2038"/>
      <c r="BM255" s="2038"/>
      <c r="BN255" s="2038"/>
      <c r="BO255" s="2038"/>
      <c r="BP255" s="2038"/>
    </row>
    <row r="256" spans="1:69" ht="12.75" customHeight="1">
      <c r="A256" s="2162"/>
      <c r="B256" s="7328">
        <v>42</v>
      </c>
      <c r="C256" s="7328"/>
      <c r="D256" s="1108" t="s">
        <v>2785</v>
      </c>
      <c r="E256" s="808"/>
      <c r="F256" s="808"/>
      <c r="G256" s="808"/>
      <c r="H256" s="808"/>
      <c r="I256" s="808"/>
      <c r="J256" s="808"/>
      <c r="K256" s="808"/>
      <c r="L256" s="808"/>
      <c r="M256" s="808"/>
      <c r="N256" s="808"/>
      <c r="O256" s="808"/>
      <c r="P256" s="808"/>
      <c r="Q256" s="808"/>
      <c r="R256" s="808"/>
      <c r="S256" s="808"/>
      <c r="T256" s="808"/>
      <c r="U256" s="808"/>
      <c r="V256" s="808"/>
      <c r="W256" s="808"/>
      <c r="X256" s="808"/>
      <c r="Y256" s="1150"/>
      <c r="Z256" s="1151"/>
      <c r="AA256" s="1150"/>
      <c r="AB256" s="808"/>
      <c r="AC256" s="808"/>
      <c r="AD256" s="808"/>
      <c r="AE256" s="808"/>
      <c r="AF256" s="808"/>
      <c r="AG256" s="1151"/>
      <c r="AH256" s="1130"/>
      <c r="AI256" s="1130"/>
      <c r="AJ256" s="1130"/>
      <c r="AK256" s="1130"/>
      <c r="AL256" s="1130"/>
      <c r="AM256" s="1130"/>
      <c r="AN256" s="1130"/>
      <c r="AO256" s="1130"/>
      <c r="AP256" s="2162"/>
      <c r="AQ256" s="260"/>
      <c r="AR256" s="260"/>
      <c r="AS256" s="260"/>
      <c r="AV256" s="2502">
        <f>IF(SchE2_Completed,SchE2_Line41,SchE2_Line26)</f>
        <v>0</v>
      </c>
      <c r="BG256" s="2396"/>
      <c r="BH256" s="2038"/>
      <c r="BI256" s="2038"/>
      <c r="BJ256" s="2038"/>
      <c r="BK256" s="2038"/>
      <c r="BL256" s="2038"/>
      <c r="BM256" s="2038"/>
      <c r="BN256" s="2038"/>
      <c r="BO256" s="2038"/>
      <c r="BP256" s="2038"/>
    </row>
    <row r="257" spans="1:68" ht="12.75" customHeight="1">
      <c r="A257" s="2162"/>
      <c r="B257" s="2177"/>
      <c r="C257" s="808"/>
      <c r="D257" s="2112" t="s">
        <v>2786</v>
      </c>
      <c r="E257" s="808"/>
      <c r="F257" s="808"/>
      <c r="G257" s="808"/>
      <c r="H257" s="808"/>
      <c r="I257" s="808"/>
      <c r="J257" s="808"/>
      <c r="K257" s="808"/>
      <c r="L257" s="808"/>
      <c r="M257" s="808"/>
      <c r="N257" s="808"/>
      <c r="O257" s="808"/>
      <c r="P257" s="808"/>
      <c r="Q257" s="808"/>
      <c r="R257" s="808"/>
      <c r="S257" s="808"/>
      <c r="T257" s="808"/>
      <c r="U257" s="808"/>
      <c r="V257" s="808"/>
      <c r="W257" s="808"/>
      <c r="X257" s="808"/>
      <c r="Y257" s="1150"/>
      <c r="Z257" s="1151"/>
      <c r="AA257" s="1150"/>
      <c r="AB257" s="808"/>
      <c r="AC257" s="808"/>
      <c r="AD257" s="808"/>
      <c r="AE257" s="808"/>
      <c r="AF257" s="808"/>
      <c r="AG257" s="1151"/>
      <c r="AH257" s="1130"/>
      <c r="AI257" s="1130"/>
      <c r="AJ257" s="1130"/>
      <c r="AK257" s="1130"/>
      <c r="AL257" s="1130"/>
      <c r="AM257" s="1130"/>
      <c r="AN257" s="1130"/>
      <c r="AO257" s="1130"/>
      <c r="AP257" s="2162"/>
      <c r="BG257" s="2396"/>
      <c r="BH257" s="2038"/>
      <c r="BI257" s="2038"/>
      <c r="BJ257" s="2038"/>
      <c r="BK257" s="2038"/>
      <c r="BL257" s="2038"/>
      <c r="BM257" s="2038"/>
      <c r="BN257" s="2038"/>
      <c r="BO257" s="2038"/>
      <c r="BP257" s="2038"/>
    </row>
    <row r="258" spans="1:68" ht="12.75" customHeight="1">
      <c r="A258" s="2162"/>
      <c r="B258" s="2177"/>
      <c r="C258" s="808"/>
      <c r="D258" s="2112" t="s">
        <v>2787</v>
      </c>
      <c r="E258" s="808"/>
      <c r="F258" s="808"/>
      <c r="G258" s="808"/>
      <c r="H258" s="808"/>
      <c r="I258" s="808"/>
      <c r="J258" s="808"/>
      <c r="K258" s="808"/>
      <c r="L258" s="808"/>
      <c r="M258" s="808"/>
      <c r="N258" s="808"/>
      <c r="O258" s="808"/>
      <c r="P258" s="808"/>
      <c r="Q258" s="808"/>
      <c r="R258" s="808"/>
      <c r="S258" s="808"/>
      <c r="T258" s="808"/>
      <c r="U258" s="808"/>
      <c r="V258" s="808"/>
      <c r="W258" s="808"/>
      <c r="X258" s="808"/>
      <c r="Y258" s="1150"/>
      <c r="Z258" s="1151"/>
      <c r="AA258" s="1150"/>
      <c r="AB258" s="808"/>
      <c r="AC258" s="808"/>
      <c r="AD258" s="808"/>
      <c r="AE258" s="808"/>
      <c r="AF258" s="808"/>
      <c r="AG258" s="1151"/>
      <c r="AH258" s="1130"/>
      <c r="AI258" s="1130"/>
      <c r="AJ258" s="1130"/>
      <c r="AK258" s="1130"/>
      <c r="AL258" s="1130"/>
      <c r="AM258" s="1130"/>
      <c r="AN258" s="1130"/>
      <c r="AO258" s="1130"/>
      <c r="AP258" s="2162"/>
      <c r="BG258" s="2396"/>
      <c r="BH258" s="2038"/>
      <c r="BI258" s="2038"/>
      <c r="BJ258" s="2038"/>
      <c r="BK258" s="2038"/>
      <c r="BL258" s="2038"/>
      <c r="BM258" s="2038"/>
      <c r="BN258" s="2038"/>
      <c r="BO258" s="2038"/>
      <c r="BP258" s="2038"/>
    </row>
    <row r="259" spans="1:68" ht="13.5" customHeight="1">
      <c r="A259" s="2162"/>
      <c r="B259" s="2177"/>
      <c r="C259" s="808"/>
      <c r="D259" s="2112" t="s">
        <v>2788</v>
      </c>
      <c r="E259" s="808"/>
      <c r="F259" s="808"/>
      <c r="G259" s="808"/>
      <c r="H259" s="808"/>
      <c r="I259" s="808"/>
      <c r="J259" s="808"/>
      <c r="K259" s="808"/>
      <c r="L259" s="808"/>
      <c r="M259" s="808"/>
      <c r="N259" s="808"/>
      <c r="O259" s="808"/>
      <c r="P259" s="808"/>
      <c r="Q259" s="808"/>
      <c r="R259" s="808"/>
      <c r="S259" s="808"/>
      <c r="T259" s="808"/>
      <c r="U259" s="808"/>
      <c r="V259" s="808"/>
      <c r="W259" s="808"/>
      <c r="X259" s="1128" t="s">
        <v>2789</v>
      </c>
      <c r="Y259" s="7570">
        <v>42</v>
      </c>
      <c r="Z259" s="7571"/>
      <c r="AA259" s="7572"/>
      <c r="AB259" s="7573"/>
      <c r="AC259" s="7573"/>
      <c r="AD259" s="7573"/>
      <c r="AE259" s="7573"/>
      <c r="AF259" s="7573"/>
      <c r="AG259" s="7573"/>
      <c r="AH259" s="1130"/>
      <c r="AI259" s="1130"/>
      <c r="AJ259" s="1130"/>
      <c r="AK259" s="1130"/>
      <c r="AL259" s="1130"/>
      <c r="AM259" s="1130"/>
      <c r="AN259" s="1130"/>
      <c r="AO259" s="1130"/>
      <c r="AP259" s="2162"/>
      <c r="BG259" s="2396"/>
      <c r="BH259" s="2038"/>
      <c r="BI259" s="2038"/>
      <c r="BJ259" s="2038"/>
      <c r="BK259" s="2038"/>
      <c r="BL259" s="2038"/>
      <c r="BM259" s="2038"/>
      <c r="BN259" s="2038"/>
      <c r="BO259" s="2038"/>
      <c r="BP259" s="2038"/>
    </row>
    <row r="260" spans="1:68" ht="12.75" customHeight="1">
      <c r="A260" s="2162"/>
      <c r="B260" s="7328">
        <v>43</v>
      </c>
      <c r="C260" s="7328"/>
      <c r="D260" s="2112" t="s">
        <v>2790</v>
      </c>
      <c r="E260" s="808"/>
      <c r="F260" s="808"/>
      <c r="G260" s="808"/>
      <c r="H260" s="808"/>
      <c r="I260" s="808"/>
      <c r="J260" s="808"/>
      <c r="K260" s="808"/>
      <c r="L260" s="808"/>
      <c r="M260" s="808"/>
      <c r="N260" s="808"/>
      <c r="O260" s="808"/>
      <c r="P260" s="808"/>
      <c r="Q260" s="808"/>
      <c r="R260" s="808"/>
      <c r="S260" s="808"/>
      <c r="T260" s="808"/>
      <c r="U260" s="808"/>
      <c r="V260" s="808"/>
      <c r="W260" s="808"/>
      <c r="X260" s="808"/>
      <c r="Y260" s="1149"/>
      <c r="Z260" s="1143"/>
      <c r="AA260" s="1142"/>
      <c r="AB260" s="1142"/>
      <c r="AC260" s="1142"/>
      <c r="AD260" s="1142"/>
      <c r="AE260" s="1142"/>
      <c r="AF260" s="1142"/>
      <c r="AG260" s="1143"/>
      <c r="AH260" s="1130"/>
      <c r="AI260" s="1130"/>
      <c r="AJ260" s="1130"/>
      <c r="AK260" s="1130"/>
      <c r="AL260" s="1130"/>
      <c r="AM260" s="1130"/>
      <c r="AN260" s="1130"/>
      <c r="AO260" s="1130"/>
      <c r="AP260" s="2162"/>
      <c r="BG260" s="2396"/>
      <c r="BH260" s="2038"/>
      <c r="BI260" s="2038"/>
      <c r="BJ260" s="2038"/>
      <c r="BK260" s="2038"/>
      <c r="BL260" s="2038"/>
      <c r="BM260" s="2038"/>
      <c r="BN260" s="2038"/>
      <c r="BO260" s="2038"/>
      <c r="BP260" s="2038"/>
    </row>
    <row r="261" spans="1:68" ht="12.75" customHeight="1">
      <c r="A261" s="2162"/>
      <c r="B261" s="2177"/>
      <c r="C261" s="808"/>
      <c r="D261" s="2447" t="s">
        <v>2791</v>
      </c>
      <c r="E261" s="808"/>
      <c r="F261" s="808"/>
      <c r="G261" s="808"/>
      <c r="H261" s="808"/>
      <c r="I261" s="808"/>
      <c r="J261" s="808"/>
      <c r="K261" s="808"/>
      <c r="L261" s="808"/>
      <c r="M261" s="808"/>
      <c r="N261" s="808"/>
      <c r="O261" s="808"/>
      <c r="P261" s="808"/>
      <c r="Q261" s="808"/>
      <c r="R261" s="808"/>
      <c r="S261" s="808"/>
      <c r="T261" s="808"/>
      <c r="U261" s="808"/>
      <c r="V261" s="808"/>
      <c r="W261" s="808"/>
      <c r="X261" s="808"/>
      <c r="Y261" s="1150"/>
      <c r="Z261" s="1151"/>
      <c r="AA261" s="808"/>
      <c r="AB261" s="808"/>
      <c r="AC261" s="808"/>
      <c r="AD261" s="808"/>
      <c r="AE261" s="808"/>
      <c r="AF261" s="808"/>
      <c r="AG261" s="1151"/>
      <c r="AH261" s="1130"/>
      <c r="AI261" s="1130"/>
      <c r="AJ261" s="1130"/>
      <c r="AK261" s="1130"/>
      <c r="AL261" s="1130"/>
      <c r="AM261" s="1130"/>
      <c r="AN261" s="1130"/>
      <c r="AO261" s="1130"/>
      <c r="AP261" s="2162"/>
      <c r="BG261" s="2396"/>
      <c r="BH261" s="2038"/>
      <c r="BI261" s="2038"/>
      <c r="BJ261" s="2038"/>
      <c r="BK261" s="2038"/>
      <c r="BL261" s="2038"/>
      <c r="BM261" s="2038"/>
      <c r="BN261" s="2038"/>
      <c r="BO261" s="2038"/>
      <c r="BP261" s="2038"/>
    </row>
    <row r="262" spans="1:68" ht="12.75" customHeight="1">
      <c r="A262" s="2162"/>
      <c r="B262" s="2177"/>
      <c r="C262" s="808"/>
      <c r="D262" s="2447" t="s">
        <v>2792</v>
      </c>
      <c r="E262" s="808"/>
      <c r="F262" s="808"/>
      <c r="G262" s="808"/>
      <c r="H262" s="808"/>
      <c r="I262" s="808"/>
      <c r="J262" s="808"/>
      <c r="K262" s="808"/>
      <c r="L262" s="808"/>
      <c r="M262" s="808"/>
      <c r="N262" s="808"/>
      <c r="O262" s="808"/>
      <c r="P262" s="808"/>
      <c r="Q262" s="808"/>
      <c r="R262" s="808"/>
      <c r="S262" s="808"/>
      <c r="T262" s="808"/>
      <c r="U262" s="808"/>
      <c r="V262" s="808"/>
      <c r="W262" s="808"/>
      <c r="X262" s="808"/>
      <c r="Y262" s="1150"/>
      <c r="Z262" s="1151"/>
      <c r="AA262" s="808"/>
      <c r="AB262" s="808"/>
      <c r="AC262" s="808"/>
      <c r="AD262" s="808"/>
      <c r="AE262" s="808"/>
      <c r="AF262" s="808"/>
      <c r="AG262" s="1151"/>
      <c r="AH262" s="1130"/>
      <c r="AI262" s="1130"/>
      <c r="AJ262" s="1130"/>
      <c r="AK262" s="1130"/>
      <c r="AL262" s="1130"/>
      <c r="AM262" s="1130"/>
      <c r="AN262" s="1130"/>
      <c r="AO262" s="1130"/>
      <c r="AP262" s="2162"/>
      <c r="BG262" s="2396"/>
      <c r="BH262" s="2038"/>
      <c r="BI262" s="2038"/>
      <c r="BJ262" s="2038"/>
      <c r="BK262" s="2038"/>
      <c r="BL262" s="2038"/>
      <c r="BM262" s="2038"/>
      <c r="BN262" s="2038"/>
      <c r="BO262" s="2038"/>
      <c r="BP262" s="2038"/>
    </row>
    <row r="263" spans="1:68" ht="12.75" customHeight="1">
      <c r="A263" s="2162"/>
      <c r="B263" s="2177"/>
      <c r="C263" s="808"/>
      <c r="D263" s="2112" t="s">
        <v>2793</v>
      </c>
      <c r="E263" s="808"/>
      <c r="F263" s="808"/>
      <c r="G263" s="808"/>
      <c r="H263" s="808"/>
      <c r="I263" s="808"/>
      <c r="J263" s="808"/>
      <c r="K263" s="808"/>
      <c r="L263" s="808"/>
      <c r="M263" s="808"/>
      <c r="N263" s="808"/>
      <c r="O263" s="808"/>
      <c r="P263" s="808"/>
      <c r="Q263" s="808"/>
      <c r="R263" s="808"/>
      <c r="S263" s="808"/>
      <c r="T263" s="808"/>
      <c r="U263" s="808"/>
      <c r="V263" s="808"/>
      <c r="W263" s="808"/>
      <c r="X263" s="808"/>
      <c r="Y263" s="1150"/>
      <c r="Z263" s="1151"/>
      <c r="AA263" s="808"/>
      <c r="AB263" s="808"/>
      <c r="AC263" s="808"/>
      <c r="AD263" s="808"/>
      <c r="AE263" s="808"/>
      <c r="AF263" s="808"/>
      <c r="AG263" s="1151"/>
      <c r="AH263" s="1130"/>
      <c r="AI263" s="1130"/>
      <c r="AJ263" s="1130"/>
      <c r="AK263" s="1130"/>
      <c r="AL263" s="1130"/>
      <c r="AM263" s="1130"/>
      <c r="AN263" s="1130"/>
      <c r="AO263" s="1130"/>
      <c r="AP263" s="2162"/>
      <c r="BG263" s="2396"/>
      <c r="BH263" s="2038"/>
      <c r="BI263" s="2038"/>
      <c r="BJ263" s="2038"/>
      <c r="BK263" s="2038"/>
      <c r="BL263" s="2038"/>
      <c r="BM263" s="2038"/>
      <c r="BN263" s="2038"/>
      <c r="BO263" s="2038"/>
      <c r="BP263" s="2038"/>
    </row>
    <row r="264" spans="1:68" ht="13.5" customHeight="1" thickBot="1">
      <c r="A264" s="2162"/>
      <c r="B264" s="4710"/>
      <c r="C264" s="896"/>
      <c r="D264" s="2122" t="s">
        <v>2794</v>
      </c>
      <c r="E264" s="896"/>
      <c r="F264" s="896"/>
      <c r="G264" s="896"/>
      <c r="H264" s="896"/>
      <c r="I264" s="896"/>
      <c r="J264" s="896"/>
      <c r="K264" s="896"/>
      <c r="L264" s="896"/>
      <c r="M264" s="896"/>
      <c r="N264" s="896"/>
      <c r="O264" s="896"/>
      <c r="P264" s="896"/>
      <c r="Q264" s="896"/>
      <c r="R264" s="896"/>
      <c r="S264" s="896"/>
      <c r="T264" s="896"/>
      <c r="U264" s="896"/>
      <c r="V264" s="896"/>
      <c r="W264" s="896"/>
      <c r="X264" s="2629" t="s">
        <v>752</v>
      </c>
      <c r="Y264" s="7330">
        <v>43</v>
      </c>
      <c r="Z264" s="7331"/>
      <c r="AA264" s="7332"/>
      <c r="AB264" s="7333"/>
      <c r="AC264" s="7333"/>
      <c r="AD264" s="7333"/>
      <c r="AE264" s="7333"/>
      <c r="AF264" s="7333"/>
      <c r="AG264" s="7333"/>
      <c r="AH264" s="2482"/>
      <c r="AI264" s="2482"/>
      <c r="AJ264" s="2482"/>
      <c r="AK264" s="2482"/>
      <c r="AL264" s="2482"/>
      <c r="AM264" s="2482"/>
      <c r="AN264" s="2482"/>
      <c r="AO264" s="2482"/>
      <c r="AP264" s="2162"/>
      <c r="BG264" s="2396"/>
      <c r="BH264" s="2038"/>
      <c r="BI264" s="2038"/>
      <c r="BJ264" s="2038"/>
      <c r="BK264" s="2038"/>
      <c r="BL264" s="2038"/>
      <c r="BM264" s="2038"/>
      <c r="BN264" s="2038"/>
      <c r="BO264" s="2038"/>
      <c r="BP264" s="2038"/>
    </row>
    <row r="265" spans="1:68" ht="12.75" customHeight="1">
      <c r="A265" s="2162"/>
      <c r="B265" s="2177"/>
      <c r="C265" s="808"/>
      <c r="D265" s="808"/>
      <c r="E265" s="808"/>
      <c r="F265" s="808"/>
      <c r="G265" s="808"/>
      <c r="H265" s="808"/>
      <c r="I265" s="808"/>
      <c r="J265" s="808"/>
      <c r="K265" s="808"/>
      <c r="L265" s="808"/>
      <c r="M265" s="808"/>
      <c r="N265" s="808"/>
      <c r="O265" s="808"/>
      <c r="P265" s="808"/>
      <c r="Q265" s="808"/>
      <c r="R265" s="808"/>
      <c r="S265" s="808"/>
      <c r="T265" s="808"/>
      <c r="U265" s="808"/>
      <c r="V265" s="808"/>
      <c r="W265" s="808"/>
      <c r="X265" s="808"/>
      <c r="Y265" s="808"/>
      <c r="Z265" s="808"/>
      <c r="AA265" s="808"/>
      <c r="AB265" s="808"/>
      <c r="AC265" s="808"/>
      <c r="AD265" s="808"/>
      <c r="AE265" s="808"/>
      <c r="AF265" s="808"/>
      <c r="AG265" s="808"/>
      <c r="AH265" s="808"/>
      <c r="AI265" s="808"/>
      <c r="AJ265" s="808"/>
      <c r="AK265" s="808"/>
      <c r="AL265" s="808"/>
      <c r="AM265" s="808"/>
      <c r="AN265" s="808"/>
      <c r="AO265" s="2468" t="str">
        <f>"Schedule E (Form 1040) "&amp;TaxYear</f>
        <v>Schedule E (Form 1040) 2023</v>
      </c>
      <c r="AP265" s="2162"/>
      <c r="BG265" s="2396"/>
      <c r="BH265" s="2038"/>
      <c r="BI265" s="2038"/>
      <c r="BJ265" s="2038"/>
      <c r="BK265" s="2038"/>
      <c r="BL265" s="2038"/>
      <c r="BM265" s="2038"/>
      <c r="BN265" s="2038"/>
      <c r="BO265" s="2038"/>
      <c r="BP265" s="2038"/>
    </row>
    <row r="266" spans="1:68">
      <c r="A266" s="2162"/>
      <c r="B266" s="2162"/>
      <c r="C266" s="2162"/>
      <c r="D266" s="2162"/>
      <c r="E266" s="2162"/>
      <c r="F266" s="2162"/>
      <c r="G266" s="2162"/>
      <c r="H266" s="2162"/>
      <c r="I266" s="2162"/>
      <c r="J266" s="2162"/>
      <c r="K266" s="2162"/>
      <c r="L266" s="2162"/>
      <c r="M266" s="2162"/>
      <c r="N266" s="2162"/>
      <c r="O266" s="2162"/>
      <c r="P266" s="2162"/>
      <c r="Q266" s="2162"/>
      <c r="R266" s="2162"/>
      <c r="S266" s="2162"/>
      <c r="T266" s="2162"/>
      <c r="U266" s="2162"/>
      <c r="V266" s="2162"/>
      <c r="W266" s="2162"/>
      <c r="X266" s="2162"/>
      <c r="Y266" s="2162"/>
      <c r="Z266" s="2162"/>
      <c r="AA266" s="2162"/>
      <c r="AB266" s="2162"/>
      <c r="AC266" s="2162"/>
      <c r="AD266" s="2162"/>
      <c r="AE266" s="2162"/>
      <c r="AF266" s="2162"/>
      <c r="AG266" s="2162"/>
      <c r="AH266" s="2162"/>
      <c r="AI266" s="2162"/>
      <c r="AJ266" s="2162"/>
      <c r="AK266" s="2162"/>
      <c r="AL266" s="2162"/>
      <c r="AM266" s="2162"/>
      <c r="AN266" s="2162"/>
      <c r="AO266" s="2162"/>
      <c r="AP266" s="2162"/>
      <c r="BG266" s="2396"/>
      <c r="BH266" s="2038"/>
      <c r="BI266" s="2038"/>
      <c r="BJ266" s="2038"/>
      <c r="BK266" s="2038"/>
      <c r="BL266" s="2038"/>
      <c r="BM266" s="2038"/>
      <c r="BN266" s="2038"/>
      <c r="BO266" s="2038"/>
      <c r="BP266" s="2038"/>
    </row>
  </sheetData>
  <sheetProtection algorithmName="SHA-512" hashValue="em4AvN0lSu/4yuvcFgGLvB2yc8xGY+M47jdv8YbYBNin3GioP598J0hu5le5H5+h2/R1E3Swk4huClIwhz1j9g==" saltValue="jzyxkKwTlLheN14PIu8/8w==" spinCount="100000" sheet="1" objects="1" scenarios="1"/>
  <mergeCells count="663">
    <mergeCell ref="B260:C260"/>
    <mergeCell ref="Y264:Z264"/>
    <mergeCell ref="AA264:AG264"/>
    <mergeCell ref="B253:C253"/>
    <mergeCell ref="AH253:AI253"/>
    <mergeCell ref="AJ253:AO253"/>
    <mergeCell ref="B255:C255"/>
    <mergeCell ref="AH255:AI255"/>
    <mergeCell ref="AJ255:AO255"/>
    <mergeCell ref="B256:C256"/>
    <mergeCell ref="Y259:Z259"/>
    <mergeCell ref="AA259:AG259"/>
    <mergeCell ref="B254:C254"/>
    <mergeCell ref="B250:J250"/>
    <mergeCell ref="K250:R250"/>
    <mergeCell ref="S250:Y250"/>
    <mergeCell ref="Z250:AG250"/>
    <mergeCell ref="AH250:AO250"/>
    <mergeCell ref="B251:C251"/>
    <mergeCell ref="AH251:AI251"/>
    <mergeCell ref="AJ251:AO251"/>
    <mergeCell ref="B252:D252"/>
    <mergeCell ref="B244:C244"/>
    <mergeCell ref="AH244:AI244"/>
    <mergeCell ref="AK244:AN244"/>
    <mergeCell ref="B245:C245"/>
    <mergeCell ref="AH245:AI245"/>
    <mergeCell ref="AJ245:AO245"/>
    <mergeCell ref="B246:D246"/>
    <mergeCell ref="D247:J249"/>
    <mergeCell ref="K247:R249"/>
    <mergeCell ref="S247:Y249"/>
    <mergeCell ref="Z247:AG249"/>
    <mergeCell ref="AH247:AO249"/>
    <mergeCell ref="B248:C248"/>
    <mergeCell ref="B241:C241"/>
    <mergeCell ref="O241:X241"/>
    <mergeCell ref="AH241:AO241"/>
    <mergeCell ref="B242:C242"/>
    <mergeCell ref="F242:N242"/>
    <mergeCell ref="Y242:AG242"/>
    <mergeCell ref="B243:C243"/>
    <mergeCell ref="AH243:AI243"/>
    <mergeCell ref="AJ243:AO243"/>
    <mergeCell ref="B236:N238"/>
    <mergeCell ref="O236:X238"/>
    <mergeCell ref="Y236:AG238"/>
    <mergeCell ref="AH236:AO238"/>
    <mergeCell ref="C239:N239"/>
    <mergeCell ref="O239:X239"/>
    <mergeCell ref="Y239:AG239"/>
    <mergeCell ref="AH239:AO239"/>
    <mergeCell ref="C240:N240"/>
    <mergeCell ref="O240:X240"/>
    <mergeCell ref="Y240:AG240"/>
    <mergeCell ref="AH240:AO240"/>
    <mergeCell ref="B229:D229"/>
    <mergeCell ref="AH230:AO232"/>
    <mergeCell ref="B231:C231"/>
    <mergeCell ref="C233:AG233"/>
    <mergeCell ref="AH233:AO233"/>
    <mergeCell ref="C234:AG234"/>
    <mergeCell ref="AH234:AO234"/>
    <mergeCell ref="B235:X235"/>
    <mergeCell ref="Y235:AO235"/>
    <mergeCell ref="B226:C226"/>
    <mergeCell ref="AF226:AG226"/>
    <mergeCell ref="AH226:AO226"/>
    <mergeCell ref="B227:C227"/>
    <mergeCell ref="AF227:AG227"/>
    <mergeCell ref="AI227:AN227"/>
    <mergeCell ref="B228:C228"/>
    <mergeCell ref="AF228:AG228"/>
    <mergeCell ref="AH228:AO228"/>
    <mergeCell ref="B224:C224"/>
    <mergeCell ref="K224:R224"/>
    <mergeCell ref="S224:Y224"/>
    <mergeCell ref="AH224:AO224"/>
    <mergeCell ref="B225:C225"/>
    <mergeCell ref="F225:J225"/>
    <mergeCell ref="K225:R225"/>
    <mergeCell ref="S225:Y225"/>
    <mergeCell ref="Z225:AG225"/>
    <mergeCell ref="AH225:AO225"/>
    <mergeCell ref="C222:J222"/>
    <mergeCell ref="K222:R222"/>
    <mergeCell ref="S222:Y222"/>
    <mergeCell ref="Z222:AG222"/>
    <mergeCell ref="AH222:AO222"/>
    <mergeCell ref="C223:J223"/>
    <mergeCell ref="K223:R223"/>
    <mergeCell ref="S223:Y223"/>
    <mergeCell ref="Z223:AG223"/>
    <mergeCell ref="AH223:AO223"/>
    <mergeCell ref="C220:J220"/>
    <mergeCell ref="K220:R220"/>
    <mergeCell ref="S220:Y220"/>
    <mergeCell ref="Z220:AG220"/>
    <mergeCell ref="AH220:AO220"/>
    <mergeCell ref="C221:J221"/>
    <mergeCell ref="K221:R221"/>
    <mergeCell ref="S221:Y221"/>
    <mergeCell ref="Z221:AG221"/>
    <mergeCell ref="AH221:AO221"/>
    <mergeCell ref="C215:N215"/>
    <mergeCell ref="O215:S215"/>
    <mergeCell ref="Y215:AE215"/>
    <mergeCell ref="B216:R216"/>
    <mergeCell ref="S216:AO216"/>
    <mergeCell ref="C217:J219"/>
    <mergeCell ref="K217:R219"/>
    <mergeCell ref="S217:Y219"/>
    <mergeCell ref="Z217:AG219"/>
    <mergeCell ref="AH217:AO219"/>
    <mergeCell ref="C212:N212"/>
    <mergeCell ref="O212:S212"/>
    <mergeCell ref="Y212:AE212"/>
    <mergeCell ref="C213:N213"/>
    <mergeCell ref="O213:S213"/>
    <mergeCell ref="Y213:AE213"/>
    <mergeCell ref="C214:N214"/>
    <mergeCell ref="O214:S214"/>
    <mergeCell ref="Y214:AE214"/>
    <mergeCell ref="B199:AE199"/>
    <mergeCell ref="AF199:AO199"/>
    <mergeCell ref="B201:D201"/>
    <mergeCell ref="B205:C205"/>
    <mergeCell ref="O209:S211"/>
    <mergeCell ref="T209:X211"/>
    <mergeCell ref="Y209:AE211"/>
    <mergeCell ref="AF209:AJ211"/>
    <mergeCell ref="AK209:AO211"/>
    <mergeCell ref="B210:C210"/>
    <mergeCell ref="B192:C192"/>
    <mergeCell ref="AH192:AI192"/>
    <mergeCell ref="AK192:AN192"/>
    <mergeCell ref="B193:C193"/>
    <mergeCell ref="B194:C194"/>
    <mergeCell ref="AH195:AI195"/>
    <mergeCell ref="AJ195:AO195"/>
    <mergeCell ref="AF198:AO198"/>
    <mergeCell ref="AK193:AN193"/>
    <mergeCell ref="B189:C189"/>
    <mergeCell ref="AB189:AC189"/>
    <mergeCell ref="AD189:AI189"/>
    <mergeCell ref="B190:C190"/>
    <mergeCell ref="AB190:AC190"/>
    <mergeCell ref="AD190:AI190"/>
    <mergeCell ref="B191:C191"/>
    <mergeCell ref="AH191:AI191"/>
    <mergeCell ref="AJ191:AO191"/>
    <mergeCell ref="B186:C186"/>
    <mergeCell ref="AB186:AC186"/>
    <mergeCell ref="AD186:AI186"/>
    <mergeCell ref="B187:C187"/>
    <mergeCell ref="AB187:AC187"/>
    <mergeCell ref="AD187:AI187"/>
    <mergeCell ref="B188:C188"/>
    <mergeCell ref="AB188:AC188"/>
    <mergeCell ref="AD188:AI188"/>
    <mergeCell ref="B184:C184"/>
    <mergeCell ref="T184:U184"/>
    <mergeCell ref="V184:AC184"/>
    <mergeCell ref="AD184:AI184"/>
    <mergeCell ref="AJ184:AO184"/>
    <mergeCell ref="B185:C185"/>
    <mergeCell ref="T185:U185"/>
    <mergeCell ref="W185:AB185"/>
    <mergeCell ref="AE185:AH185"/>
    <mergeCell ref="AK185:AN185"/>
    <mergeCell ref="AY181:AZ181"/>
    <mergeCell ref="BA181:BB181"/>
    <mergeCell ref="BC181:BD181"/>
    <mergeCell ref="B182:C182"/>
    <mergeCell ref="T182:U182"/>
    <mergeCell ref="V182:AC182"/>
    <mergeCell ref="AD182:AI182"/>
    <mergeCell ref="AJ182:AO182"/>
    <mergeCell ref="B183:C183"/>
    <mergeCell ref="T183:U183"/>
    <mergeCell ref="V183:AC183"/>
    <mergeCell ref="AD183:AI183"/>
    <mergeCell ref="AJ183:AO183"/>
    <mergeCell ref="B180:C180"/>
    <mergeCell ref="T180:U180"/>
    <mergeCell ref="V180:AC180"/>
    <mergeCell ref="AD180:AI180"/>
    <mergeCell ref="AJ180:AO180"/>
    <mergeCell ref="B181:C181"/>
    <mergeCell ref="T181:U181"/>
    <mergeCell ref="V181:AC181"/>
    <mergeCell ref="AD181:AI181"/>
    <mergeCell ref="AJ181:AO181"/>
    <mergeCell ref="B178:C178"/>
    <mergeCell ref="T178:U178"/>
    <mergeCell ref="V178:AC178"/>
    <mergeCell ref="AD178:AI178"/>
    <mergeCell ref="AJ178:AO178"/>
    <mergeCell ref="AR178:AT178"/>
    <mergeCell ref="B179:C179"/>
    <mergeCell ref="H179:R179"/>
    <mergeCell ref="T179:U179"/>
    <mergeCell ref="V179:AC179"/>
    <mergeCell ref="AD179:AI179"/>
    <mergeCell ref="AJ179:AO179"/>
    <mergeCell ref="B176:C176"/>
    <mergeCell ref="T176:U176"/>
    <mergeCell ref="V176:AC176"/>
    <mergeCell ref="AD176:AI176"/>
    <mergeCell ref="AJ176:AO176"/>
    <mergeCell ref="B177:C177"/>
    <mergeCell ref="T177:U177"/>
    <mergeCell ref="V177:AC177"/>
    <mergeCell ref="AD177:AI177"/>
    <mergeCell ref="AJ177:AO177"/>
    <mergeCell ref="B174:C174"/>
    <mergeCell ref="T174:U174"/>
    <mergeCell ref="V174:AC174"/>
    <mergeCell ref="AD174:AI174"/>
    <mergeCell ref="AJ174:AO174"/>
    <mergeCell ref="B175:C175"/>
    <mergeCell ref="T175:U175"/>
    <mergeCell ref="V175:AC175"/>
    <mergeCell ref="AD175:AI175"/>
    <mergeCell ref="AJ175:AO175"/>
    <mergeCell ref="B172:C172"/>
    <mergeCell ref="T172:U172"/>
    <mergeCell ref="V172:AC172"/>
    <mergeCell ref="AD172:AI172"/>
    <mergeCell ref="AJ172:AO172"/>
    <mergeCell ref="B173:C173"/>
    <mergeCell ref="T173:U173"/>
    <mergeCell ref="V173:AC173"/>
    <mergeCell ref="AD173:AI173"/>
    <mergeCell ref="AJ173:AO173"/>
    <mergeCell ref="B170:C170"/>
    <mergeCell ref="T170:U170"/>
    <mergeCell ref="V170:AC170"/>
    <mergeCell ref="AD170:AI170"/>
    <mergeCell ref="AJ170:AO170"/>
    <mergeCell ref="B171:C171"/>
    <mergeCell ref="T171:U171"/>
    <mergeCell ref="V171:AC171"/>
    <mergeCell ref="AD171:AI171"/>
    <mergeCell ref="AJ171:AO171"/>
    <mergeCell ref="B168:C168"/>
    <mergeCell ref="T168:U168"/>
    <mergeCell ref="V168:AC168"/>
    <mergeCell ref="AD168:AI168"/>
    <mergeCell ref="AJ168:AO168"/>
    <mergeCell ref="B169:C169"/>
    <mergeCell ref="T169:U169"/>
    <mergeCell ref="V169:AC169"/>
    <mergeCell ref="AD169:AI169"/>
    <mergeCell ref="AJ169:AO169"/>
    <mergeCell ref="B166:C166"/>
    <mergeCell ref="T166:U166"/>
    <mergeCell ref="V166:AC166"/>
    <mergeCell ref="AD166:AI166"/>
    <mergeCell ref="AJ166:AO166"/>
    <mergeCell ref="B167:C167"/>
    <mergeCell ref="T167:U167"/>
    <mergeCell ref="V167:AC167"/>
    <mergeCell ref="AD167:AI167"/>
    <mergeCell ref="AJ167:AO167"/>
    <mergeCell ref="B163:C163"/>
    <mergeCell ref="T163:U163"/>
    <mergeCell ref="V163:AC163"/>
    <mergeCell ref="AD163:AI163"/>
    <mergeCell ref="AJ163:AO163"/>
    <mergeCell ref="V164:AC164"/>
    <mergeCell ref="AD164:AI164"/>
    <mergeCell ref="AJ164:AO164"/>
    <mergeCell ref="B165:C165"/>
    <mergeCell ref="T165:U165"/>
    <mergeCell ref="V165:AC165"/>
    <mergeCell ref="AD165:AI165"/>
    <mergeCell ref="AJ165:AO165"/>
    <mergeCell ref="V161:AC161"/>
    <mergeCell ref="AD161:AI161"/>
    <mergeCell ref="AJ161:AO161"/>
    <mergeCell ref="B162:C162"/>
    <mergeCell ref="T162:U162"/>
    <mergeCell ref="V162:AC162"/>
    <mergeCell ref="AD162:AI162"/>
    <mergeCell ref="AJ162:AO162"/>
    <mergeCell ref="AG158:AO158"/>
    <mergeCell ref="V160:AO160"/>
    <mergeCell ref="B150:C150"/>
    <mergeCell ref="D150:AO150"/>
    <mergeCell ref="B151:C151"/>
    <mergeCell ref="D151:H152"/>
    <mergeCell ref="I151:J151"/>
    <mergeCell ref="AA151:AE152"/>
    <mergeCell ref="AF151:AJ152"/>
    <mergeCell ref="AK151:AO152"/>
    <mergeCell ref="B153:C153"/>
    <mergeCell ref="D153:H153"/>
    <mergeCell ref="X153:Z153"/>
    <mergeCell ref="AA153:AE153"/>
    <mergeCell ref="AF153:AJ153"/>
    <mergeCell ref="K151:W155"/>
    <mergeCell ref="B154:C154"/>
    <mergeCell ref="D154:H154"/>
    <mergeCell ref="X154:Z154"/>
    <mergeCell ref="AA154:AE154"/>
    <mergeCell ref="AF154:AJ154"/>
    <mergeCell ref="B155:C155"/>
    <mergeCell ref="D155:H155"/>
    <mergeCell ref="X155:Z155"/>
    <mergeCell ref="AA155:AE155"/>
    <mergeCell ref="AF155:AJ155"/>
    <mergeCell ref="B146:C146"/>
    <mergeCell ref="B147:C147"/>
    <mergeCell ref="B148:C148"/>
    <mergeCell ref="D148:AO148"/>
    <mergeCell ref="B149:C149"/>
    <mergeCell ref="D149:AO149"/>
    <mergeCell ref="B96:C96"/>
    <mergeCell ref="B94:C94"/>
    <mergeCell ref="B95:C95"/>
    <mergeCell ref="AI134:AO134"/>
    <mergeCell ref="B135:G135"/>
    <mergeCell ref="AI135:AO136"/>
    <mergeCell ref="B136:G138"/>
    <mergeCell ref="AJ137:AM138"/>
    <mergeCell ref="AN138:AO138"/>
    <mergeCell ref="AG139:AO139"/>
    <mergeCell ref="B140:AF141"/>
    <mergeCell ref="AG140:AO141"/>
    <mergeCell ref="B134:G134"/>
    <mergeCell ref="C108:N108"/>
    <mergeCell ref="O108:X108"/>
    <mergeCell ref="AH115:AO117"/>
    <mergeCell ref="B142:D142"/>
    <mergeCell ref="B99:C99"/>
    <mergeCell ref="C83:N83"/>
    <mergeCell ref="C91:J91"/>
    <mergeCell ref="K91:R91"/>
    <mergeCell ref="Z91:AG91"/>
    <mergeCell ref="AH96:AO96"/>
    <mergeCell ref="AF94:AG94"/>
    <mergeCell ref="B145:C145"/>
    <mergeCell ref="Y108:AG108"/>
    <mergeCell ref="AH108:AO108"/>
    <mergeCell ref="AH91:AO91"/>
    <mergeCell ref="B92:C92"/>
    <mergeCell ref="AH111:AI111"/>
    <mergeCell ref="AH112:AI112"/>
    <mergeCell ref="AH113:AI113"/>
    <mergeCell ref="Y127:Z127"/>
    <mergeCell ref="AA127:AG127"/>
    <mergeCell ref="AJ121:AO121"/>
    <mergeCell ref="AJ123:AO123"/>
    <mergeCell ref="AJ111:AO111"/>
    <mergeCell ref="AJ113:AO113"/>
    <mergeCell ref="S115:Y117"/>
    <mergeCell ref="Z115:AG117"/>
    <mergeCell ref="Z88:AG88"/>
    <mergeCell ref="AH88:AO88"/>
    <mergeCell ref="AI2:AO2"/>
    <mergeCell ref="B4:G6"/>
    <mergeCell ref="B3:G3"/>
    <mergeCell ref="AJ5:AM6"/>
    <mergeCell ref="AI3:AO4"/>
    <mergeCell ref="B30:C30"/>
    <mergeCell ref="T30:U30"/>
    <mergeCell ref="V30:AC30"/>
    <mergeCell ref="AD30:AI30"/>
    <mergeCell ref="B21:C21"/>
    <mergeCell ref="B22:C22"/>
    <mergeCell ref="B10:D10"/>
    <mergeCell ref="B14:C14"/>
    <mergeCell ref="B15:C15"/>
    <mergeCell ref="AN6:AO6"/>
    <mergeCell ref="AG8:AO9"/>
    <mergeCell ref="AG7:AO7"/>
    <mergeCell ref="AF21:AJ21"/>
    <mergeCell ref="AF22:AJ22"/>
    <mergeCell ref="AF23:AJ23"/>
    <mergeCell ref="B16:C16"/>
    <mergeCell ref="D16:AO16"/>
    <mergeCell ref="B13:C13"/>
    <mergeCell ref="I19:J19"/>
    <mergeCell ref="B31:C31"/>
    <mergeCell ref="T31:U31"/>
    <mergeCell ref="V31:AC31"/>
    <mergeCell ref="AD31:AI31"/>
    <mergeCell ref="AJ31:AO31"/>
    <mergeCell ref="B23:C23"/>
    <mergeCell ref="AJ33:AO33"/>
    <mergeCell ref="B34:C34"/>
    <mergeCell ref="T34:U34"/>
    <mergeCell ref="V34:AC34"/>
    <mergeCell ref="AD34:AI34"/>
    <mergeCell ref="AJ34:AO34"/>
    <mergeCell ref="B33:C33"/>
    <mergeCell ref="T33:U33"/>
    <mergeCell ref="V33:AC33"/>
    <mergeCell ref="AD33:AI33"/>
    <mergeCell ref="K19:W23"/>
    <mergeCell ref="V29:AC29"/>
    <mergeCell ref="AD29:AI29"/>
    <mergeCell ref="AA23:AE23"/>
    <mergeCell ref="AJ29:AO29"/>
    <mergeCell ref="V28:AO28"/>
    <mergeCell ref="D21:H21"/>
    <mergeCell ref="D22:H22"/>
    <mergeCell ref="D23:H23"/>
    <mergeCell ref="X21:Z21"/>
    <mergeCell ref="X22:Z22"/>
    <mergeCell ref="X23:Z23"/>
    <mergeCell ref="AA21:AE21"/>
    <mergeCell ref="AA22:AE22"/>
    <mergeCell ref="AJ30:AO30"/>
    <mergeCell ref="B17:C17"/>
    <mergeCell ref="B18:C18"/>
    <mergeCell ref="B19:C19"/>
    <mergeCell ref="D17:AO17"/>
    <mergeCell ref="D18:AO18"/>
    <mergeCell ref="D19:H20"/>
    <mergeCell ref="AK19:AO20"/>
    <mergeCell ref="AF19:AJ20"/>
    <mergeCell ref="AA19:AE20"/>
    <mergeCell ref="T35:U35"/>
    <mergeCell ref="V35:AC35"/>
    <mergeCell ref="AD35:AI35"/>
    <mergeCell ref="AJ35:AO35"/>
    <mergeCell ref="B36:C36"/>
    <mergeCell ref="T36:U36"/>
    <mergeCell ref="V36:AC36"/>
    <mergeCell ref="AD36:AI36"/>
    <mergeCell ref="AJ36:AO36"/>
    <mergeCell ref="B35:C35"/>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B45:C45"/>
    <mergeCell ref="T45:U45"/>
    <mergeCell ref="V45:AC45"/>
    <mergeCell ref="AD45:AI45"/>
    <mergeCell ref="AJ45:AO45"/>
    <mergeCell ref="B46:C46"/>
    <mergeCell ref="T46:U46"/>
    <mergeCell ref="V46:AC46"/>
    <mergeCell ref="AD46:AI46"/>
    <mergeCell ref="AJ46:AO46"/>
    <mergeCell ref="B47:C47"/>
    <mergeCell ref="T47:U47"/>
    <mergeCell ref="V47:AC47"/>
    <mergeCell ref="AD47:AI47"/>
    <mergeCell ref="AJ47:AO47"/>
    <mergeCell ref="B48:C48"/>
    <mergeCell ref="T48:U48"/>
    <mergeCell ref="V48:AC48"/>
    <mergeCell ref="AD48:AI48"/>
    <mergeCell ref="AJ48:AO48"/>
    <mergeCell ref="H47:R47"/>
    <mergeCell ref="AJ51:AO51"/>
    <mergeCell ref="B52:C52"/>
    <mergeCell ref="T52:U52"/>
    <mergeCell ref="V52:AC52"/>
    <mergeCell ref="AD52:AI52"/>
    <mergeCell ref="AJ52:AO52"/>
    <mergeCell ref="B49:C49"/>
    <mergeCell ref="T49:U49"/>
    <mergeCell ref="V49:AC49"/>
    <mergeCell ref="AD49:AI49"/>
    <mergeCell ref="AJ49:AO49"/>
    <mergeCell ref="B50:C50"/>
    <mergeCell ref="T50:U50"/>
    <mergeCell ref="V50:AC50"/>
    <mergeCell ref="AD50:AI50"/>
    <mergeCell ref="AJ50:AO50"/>
    <mergeCell ref="B53:C53"/>
    <mergeCell ref="T53:U53"/>
    <mergeCell ref="AB54:AC54"/>
    <mergeCell ref="AD54:AI54"/>
    <mergeCell ref="B54:C54"/>
    <mergeCell ref="AE53:AH53"/>
    <mergeCell ref="B51:C51"/>
    <mergeCell ref="T51:U51"/>
    <mergeCell ref="V51:AC51"/>
    <mergeCell ref="AD51:AI51"/>
    <mergeCell ref="B57:C57"/>
    <mergeCell ref="AB57:AC57"/>
    <mergeCell ref="AD57:AI57"/>
    <mergeCell ref="B58:C58"/>
    <mergeCell ref="AB58:AC58"/>
    <mergeCell ref="AD58:AI58"/>
    <mergeCell ref="B55:C55"/>
    <mergeCell ref="AB55:AC55"/>
    <mergeCell ref="AD55:AI55"/>
    <mergeCell ref="B56:C56"/>
    <mergeCell ref="AB56:AC56"/>
    <mergeCell ref="AD56:AI56"/>
    <mergeCell ref="C82:N82"/>
    <mergeCell ref="B62:C62"/>
    <mergeCell ref="B60:C60"/>
    <mergeCell ref="AH60:AI60"/>
    <mergeCell ref="B61:C61"/>
    <mergeCell ref="B59:C59"/>
    <mergeCell ref="AJ59:AO59"/>
    <mergeCell ref="AH59:AI59"/>
    <mergeCell ref="AH63:AI63"/>
    <mergeCell ref="AJ63:AO63"/>
    <mergeCell ref="AK61:AN61"/>
    <mergeCell ref="O82:S82"/>
    <mergeCell ref="Y82:AE82"/>
    <mergeCell ref="AF77:AJ79"/>
    <mergeCell ref="AF66:AO66"/>
    <mergeCell ref="AK77:AO79"/>
    <mergeCell ref="B78:C78"/>
    <mergeCell ref="C81:N81"/>
    <mergeCell ref="O81:S81"/>
    <mergeCell ref="Y81:AE81"/>
    <mergeCell ref="AH93:AO93"/>
    <mergeCell ref="F93:J93"/>
    <mergeCell ref="Z93:AG93"/>
    <mergeCell ref="C89:J89"/>
    <mergeCell ref="K89:R89"/>
    <mergeCell ref="S89:Y89"/>
    <mergeCell ref="Z89:AG89"/>
    <mergeCell ref="AH89:AO89"/>
    <mergeCell ref="B84:R84"/>
    <mergeCell ref="C88:J88"/>
    <mergeCell ref="K92:R92"/>
    <mergeCell ref="S92:Y92"/>
    <mergeCell ref="AH92:AO92"/>
    <mergeCell ref="B93:C93"/>
    <mergeCell ref="K93:R93"/>
    <mergeCell ref="C90:J90"/>
    <mergeCell ref="K90:R90"/>
    <mergeCell ref="C85:J87"/>
    <mergeCell ref="K85:R87"/>
    <mergeCell ref="S85:Y87"/>
    <mergeCell ref="Z85:AG87"/>
    <mergeCell ref="S90:Y90"/>
    <mergeCell ref="Z90:AG90"/>
    <mergeCell ref="AH90:AO90"/>
    <mergeCell ref="B110:C110"/>
    <mergeCell ref="AH102:AO102"/>
    <mergeCell ref="C101:AG101"/>
    <mergeCell ref="B97:D97"/>
    <mergeCell ref="C102:AG102"/>
    <mergeCell ref="AH98:AO100"/>
    <mergeCell ref="O107:X107"/>
    <mergeCell ref="Y107:AG107"/>
    <mergeCell ref="AH107:AO107"/>
    <mergeCell ref="Y103:AO103"/>
    <mergeCell ref="B103:X103"/>
    <mergeCell ref="B104:N106"/>
    <mergeCell ref="O104:X106"/>
    <mergeCell ref="Y104:AG106"/>
    <mergeCell ref="B2:G2"/>
    <mergeCell ref="C107:N107"/>
    <mergeCell ref="AH104:AO106"/>
    <mergeCell ref="B123:C123"/>
    <mergeCell ref="B124:C124"/>
    <mergeCell ref="B116:C116"/>
    <mergeCell ref="B8:AF9"/>
    <mergeCell ref="V32:AC32"/>
    <mergeCell ref="AD32:AI32"/>
    <mergeCell ref="W53:AB53"/>
    <mergeCell ref="B120:D120"/>
    <mergeCell ref="B121:C121"/>
    <mergeCell ref="AH121:AI121"/>
    <mergeCell ref="AH123:AI123"/>
    <mergeCell ref="Z118:AG118"/>
    <mergeCell ref="AH118:AO118"/>
    <mergeCell ref="B118:J118"/>
    <mergeCell ref="B119:C119"/>
    <mergeCell ref="AH119:AI119"/>
    <mergeCell ref="AJ119:AO119"/>
    <mergeCell ref="B114:D114"/>
    <mergeCell ref="K115:R117"/>
    <mergeCell ref="K88:R88"/>
    <mergeCell ref="AJ32:AO32"/>
    <mergeCell ref="AY49:AZ49"/>
    <mergeCell ref="BA49:BB49"/>
    <mergeCell ref="BC49:BD49"/>
    <mergeCell ref="AR46:AT46"/>
    <mergeCell ref="AI95:AN95"/>
    <mergeCell ref="AK53:AN53"/>
    <mergeCell ref="AK60:AN60"/>
    <mergeCell ref="AH85:AO87"/>
    <mergeCell ref="S84:AO84"/>
    <mergeCell ref="AF67:AO67"/>
    <mergeCell ref="B67:AE67"/>
    <mergeCell ref="B69:D69"/>
    <mergeCell ref="AH94:AO94"/>
    <mergeCell ref="S88:Y88"/>
    <mergeCell ref="S91:Y91"/>
    <mergeCell ref="B73:C73"/>
    <mergeCell ref="C80:N80"/>
    <mergeCell ref="O80:S80"/>
    <mergeCell ref="Y80:AE80"/>
    <mergeCell ref="O77:S79"/>
    <mergeCell ref="T77:X79"/>
    <mergeCell ref="Y77:AE79"/>
    <mergeCell ref="O83:S83"/>
    <mergeCell ref="Y83:AE83"/>
    <mergeCell ref="AR157:AS159"/>
    <mergeCell ref="AR25:AS27"/>
    <mergeCell ref="B122:C122"/>
    <mergeCell ref="AH26:AO26"/>
    <mergeCell ref="Y132:Z132"/>
    <mergeCell ref="AA132:AG132"/>
    <mergeCell ref="B128:C128"/>
    <mergeCell ref="B113:C113"/>
    <mergeCell ref="F110:N110"/>
    <mergeCell ref="O109:X109"/>
    <mergeCell ref="AF95:AG95"/>
    <mergeCell ref="AF96:AG96"/>
    <mergeCell ref="D115:J117"/>
    <mergeCell ref="AK112:AN112"/>
    <mergeCell ref="AH109:AO109"/>
    <mergeCell ref="Y110:AG110"/>
    <mergeCell ref="AG65:AH65"/>
    <mergeCell ref="B111:C111"/>
    <mergeCell ref="B112:C112"/>
    <mergeCell ref="S93:Y93"/>
    <mergeCell ref="AH101:AO101"/>
    <mergeCell ref="K118:R118"/>
    <mergeCell ref="S118:Y118"/>
    <mergeCell ref="B109:C109"/>
  </mergeCells>
  <conditionalFormatting sqref="B8 AG8">
    <cfRule type="expression" dxfId="2178" priority="188">
      <formula>NoColor</formula>
    </cfRule>
  </conditionalFormatting>
  <conditionalFormatting sqref="B140 AG140">
    <cfRule type="expression" dxfId="2177" priority="66">
      <formula>NoColor</formula>
    </cfRule>
  </conditionalFormatting>
  <conditionalFormatting sqref="B67:AO67">
    <cfRule type="expression" dxfId="2176" priority="98">
      <formula>NoColor</formula>
    </cfRule>
  </conditionalFormatting>
  <conditionalFormatting sqref="B118:AO118">
    <cfRule type="expression" dxfId="2175" priority="67">
      <formula>NoColor</formula>
    </cfRule>
  </conditionalFormatting>
  <conditionalFormatting sqref="B199:AO199">
    <cfRule type="expression" dxfId="2174" priority="8">
      <formula>NoColor</formula>
    </cfRule>
  </conditionalFormatting>
  <conditionalFormatting sqref="B250:AO250">
    <cfRule type="expression" dxfId="2173" priority="14">
      <formula>NoColor</formula>
    </cfRule>
  </conditionalFormatting>
  <conditionalFormatting sqref="C101:J102">
    <cfRule type="expression" dxfId="2172" priority="88">
      <formula>NoColor</formula>
    </cfRule>
  </conditionalFormatting>
  <conditionalFormatting sqref="C233:J234">
    <cfRule type="expression" dxfId="2171" priority="35">
      <formula>NoColor</formula>
    </cfRule>
  </conditionalFormatting>
  <conditionalFormatting sqref="C80:AO83">
    <cfRule type="expression" dxfId="2170" priority="97">
      <formula>NoColor</formula>
    </cfRule>
  </conditionalFormatting>
  <conditionalFormatting sqref="C88:AO91">
    <cfRule type="expression" dxfId="2169" priority="96">
      <formula>NoColor</formula>
    </cfRule>
  </conditionalFormatting>
  <conditionalFormatting sqref="C107:AO108">
    <cfRule type="expression" dxfId="2168" priority="86">
      <formula>NoColor</formula>
    </cfRule>
  </conditionalFormatting>
  <conditionalFormatting sqref="C212:AO215">
    <cfRule type="expression" dxfId="2167" priority="44">
      <formula>NoColor</formula>
    </cfRule>
  </conditionalFormatting>
  <conditionalFormatting sqref="C220:AO223">
    <cfRule type="expression" dxfId="2166" priority="43">
      <formula>NoColor</formula>
    </cfRule>
  </conditionalFormatting>
  <conditionalFormatting sqref="C239:AO240">
    <cfRule type="expression" dxfId="2165" priority="33">
      <formula>NoColor</formula>
    </cfRule>
  </conditionalFormatting>
  <conditionalFormatting sqref="D21:H23">
    <cfRule type="expression" dxfId="2164" priority="117">
      <formula>NoColor</formula>
    </cfRule>
  </conditionalFormatting>
  <conditionalFormatting sqref="D153:H155">
    <cfRule type="expression" dxfId="2163" priority="64">
      <formula>NoColor</formula>
    </cfRule>
  </conditionalFormatting>
  <conditionalFormatting sqref="D16:AO18">
    <cfRule type="expression" dxfId="2162" priority="118">
      <formula>NoColor</formula>
    </cfRule>
  </conditionalFormatting>
  <conditionalFormatting sqref="D148:AO150">
    <cfRule type="expression" dxfId="2161" priority="65">
      <formula>NoColor</formula>
    </cfRule>
  </conditionalFormatting>
  <conditionalFormatting sqref="F93:J93">
    <cfRule type="expression" dxfId="2160" priority="95">
      <formula>NoColor</formula>
    </cfRule>
  </conditionalFormatting>
  <conditionalFormatting sqref="F225:J225">
    <cfRule type="expression" dxfId="2159" priority="42">
      <formula>NoColor</formula>
    </cfRule>
  </conditionalFormatting>
  <conditionalFormatting sqref="F110:N110">
    <cfRule type="expression" dxfId="2158" priority="85">
      <formula>NoColor</formula>
    </cfRule>
  </conditionalFormatting>
  <conditionalFormatting sqref="F242:N242">
    <cfRule type="expression" dxfId="2157" priority="32">
      <formula>NoColor</formula>
    </cfRule>
  </conditionalFormatting>
  <conditionalFormatting sqref="H2">
    <cfRule type="expression" dxfId="2156" priority="68">
      <formula>NOT(Draft)</formula>
    </cfRule>
  </conditionalFormatting>
  <conditionalFormatting sqref="H134">
    <cfRule type="expression" dxfId="2155" priority="15">
      <formula>NOT(Draft)</formula>
    </cfRule>
  </conditionalFormatting>
  <conditionalFormatting sqref="H198">
    <cfRule type="expression" dxfId="2154" priority="2">
      <formula>AND($AR198,$AP199="",NOT(NoColor))</formula>
    </cfRule>
  </conditionalFormatting>
  <conditionalFormatting sqref="H66:I66">
    <cfRule type="expression" dxfId="2153" priority="3">
      <formula>AND($AR66,$AP67="",NOT(NoColor))</formula>
    </cfRule>
  </conditionalFormatting>
  <conditionalFormatting sqref="H47:R48">
    <cfRule type="expression" dxfId="2152" priority="106">
      <formula>NoColor</formula>
    </cfRule>
  </conditionalFormatting>
  <conditionalFormatting sqref="H179:R180">
    <cfRule type="expression" dxfId="2151" priority="53">
      <formula>NoColor</formula>
    </cfRule>
  </conditionalFormatting>
  <conditionalFormatting sqref="H59:AF59">
    <cfRule type="expression" dxfId="2150" priority="104">
      <formula>NoColor</formula>
    </cfRule>
  </conditionalFormatting>
  <conditionalFormatting sqref="H191:AF191">
    <cfRule type="expression" dxfId="2149" priority="51">
      <formula>NoColor</formula>
    </cfRule>
  </conditionalFormatting>
  <conditionalFormatting sqref="H60:AG60">
    <cfRule type="expression" dxfId="2148" priority="102">
      <formula>NoColor</formula>
    </cfRule>
  </conditionalFormatting>
  <conditionalFormatting sqref="H192:AG192">
    <cfRule type="expression" dxfId="2147" priority="49">
      <formula>NoColor</formula>
    </cfRule>
  </conditionalFormatting>
  <conditionalFormatting sqref="K92:R92">
    <cfRule type="expression" dxfId="2146" priority="94">
      <formula>NoColor</formula>
    </cfRule>
  </conditionalFormatting>
  <conditionalFormatting sqref="K224:R224">
    <cfRule type="expression" dxfId="2145" priority="41">
      <formula>NoColor</formula>
    </cfRule>
  </conditionalFormatting>
  <conditionalFormatting sqref="O109:X109">
    <cfRule type="expression" dxfId="2144" priority="84">
      <formula>NoColor</formula>
    </cfRule>
  </conditionalFormatting>
  <conditionalFormatting sqref="O241:X241">
    <cfRule type="expression" dxfId="2143" priority="31">
      <formula>NoColor</formula>
    </cfRule>
  </conditionalFormatting>
  <conditionalFormatting sqref="S93:AG93">
    <cfRule type="expression" dxfId="2142" priority="91">
      <formula>NoColor</formula>
    </cfRule>
  </conditionalFormatting>
  <conditionalFormatting sqref="S225:AG225">
    <cfRule type="expression" dxfId="2141" priority="38">
      <formula>NoColor</formula>
    </cfRule>
  </conditionalFormatting>
  <conditionalFormatting sqref="V53:W53 AC53:AE53 AI53:AK53 AO53">
    <cfRule type="expression" dxfId="2140" priority="108">
      <formula>NoColor</formula>
    </cfRule>
  </conditionalFormatting>
  <conditionalFormatting sqref="V185:W185 AC185:AE185 AI185:AK185 AO185">
    <cfRule type="expression" dxfId="2139" priority="55">
      <formula>NoColor</formula>
    </cfRule>
  </conditionalFormatting>
  <conditionalFormatting sqref="V32:AC32">
    <cfRule type="expression" dxfId="2138" priority="75">
      <formula>$BE$21</formula>
    </cfRule>
  </conditionalFormatting>
  <conditionalFormatting sqref="V164:AC164">
    <cfRule type="expression" dxfId="2137" priority="22">
      <formula>$BE$21</formula>
    </cfRule>
  </conditionalFormatting>
  <conditionalFormatting sqref="V30:AO31">
    <cfRule type="expression" dxfId="2136" priority="112">
      <formula>NoColor</formula>
    </cfRule>
  </conditionalFormatting>
  <conditionalFormatting sqref="V33:AO48">
    <cfRule type="expression" dxfId="2135" priority="110">
      <formula>NoColor</formula>
    </cfRule>
  </conditionalFormatting>
  <conditionalFormatting sqref="V51:AO51">
    <cfRule type="expression" dxfId="2134" priority="109">
      <formula>NoColor</formula>
    </cfRule>
  </conditionalFormatting>
  <conditionalFormatting sqref="V162:AO163">
    <cfRule type="expression" dxfId="2133" priority="59">
      <formula>NoColor</formula>
    </cfRule>
  </conditionalFormatting>
  <conditionalFormatting sqref="V165:AO180">
    <cfRule type="expression" dxfId="2132" priority="57">
      <formula>NoColor</formula>
    </cfRule>
  </conditionalFormatting>
  <conditionalFormatting sqref="V183:AO183">
    <cfRule type="expression" dxfId="2131" priority="56">
      <formula>NoColor</formula>
    </cfRule>
  </conditionalFormatting>
  <conditionalFormatting sqref="Y110:AG110">
    <cfRule type="expression" dxfId="2130" priority="83">
      <formula>NoColor</formula>
    </cfRule>
  </conditionalFormatting>
  <conditionalFormatting sqref="Y242:AG242">
    <cfRule type="expression" dxfId="2129" priority="30">
      <formula>NoColor</formula>
    </cfRule>
  </conditionalFormatting>
  <conditionalFormatting sqref="AA21:AE23">
    <cfRule type="expression" dxfId="2128" priority="71">
      <formula>AV21</formula>
    </cfRule>
  </conditionalFormatting>
  <conditionalFormatting sqref="AA153:AE155">
    <cfRule type="expression" dxfId="2127" priority="18">
      <formula>AV153</formula>
    </cfRule>
  </conditionalFormatting>
  <conditionalFormatting sqref="AA127:AG127">
    <cfRule type="expression" dxfId="2126" priority="77">
      <formula>NoColor</formula>
    </cfRule>
  </conditionalFormatting>
  <conditionalFormatting sqref="AA132:AG132">
    <cfRule type="expression" dxfId="2125" priority="76">
      <formula>NoColor</formula>
    </cfRule>
  </conditionalFormatting>
  <conditionalFormatting sqref="AA259:AG259">
    <cfRule type="expression" dxfId="2124" priority="24">
      <formula>NoColor</formula>
    </cfRule>
  </conditionalFormatting>
  <conditionalFormatting sqref="AA264:AG264">
    <cfRule type="expression" dxfId="2123" priority="23">
      <formula>NoColor</formula>
    </cfRule>
  </conditionalFormatting>
  <conditionalFormatting sqref="AA21:AJ23">
    <cfRule type="expression" dxfId="2122" priority="116">
      <formula>NoColor</formula>
    </cfRule>
  </conditionalFormatting>
  <conditionalFormatting sqref="AA153:AJ155">
    <cfRule type="expression" dxfId="2121" priority="63">
      <formula>NoColor</formula>
    </cfRule>
  </conditionalFormatting>
  <conditionalFormatting sqref="AD32:AI32">
    <cfRule type="expression" dxfId="2120" priority="74">
      <formula>$BE$22</formula>
    </cfRule>
  </conditionalFormatting>
  <conditionalFormatting sqref="AD54:AI58 AD63:AF63 AD64:AI64">
    <cfRule type="expression" dxfId="2119" priority="107">
      <formula>NoColor</formula>
    </cfRule>
  </conditionalFormatting>
  <conditionalFormatting sqref="AD164:AI164">
    <cfRule type="expression" dxfId="2118" priority="21">
      <formula>$BE$22</formula>
    </cfRule>
  </conditionalFormatting>
  <conditionalFormatting sqref="AD186:AI190 AD195:AF195 AD196:AI196">
    <cfRule type="expression" dxfId="2117" priority="54">
      <formula>NoColor</formula>
    </cfRule>
  </conditionalFormatting>
  <conditionalFormatting sqref="AF21:AJ23">
    <cfRule type="expression" dxfId="2116" priority="72">
      <formula>AW21</formula>
    </cfRule>
  </conditionalFormatting>
  <conditionalFormatting sqref="AF153:AJ155">
    <cfRule type="expression" dxfId="2115" priority="19">
      <formula>AW153</formula>
    </cfRule>
  </conditionalFormatting>
  <conditionalFormatting sqref="AG158 AH158:AO159">
    <cfRule type="expression" dxfId="2114" priority="11">
      <formula>OR(NoColor,NOT(AR156))</formula>
    </cfRule>
  </conditionalFormatting>
  <conditionalFormatting sqref="AH26:AO26">
    <cfRule type="expression" dxfId="2113" priority="1">
      <formula>AND(AR24,NOT(NoColor))</formula>
    </cfRule>
  </conditionalFormatting>
  <conditionalFormatting sqref="AH92:AO92">
    <cfRule type="expression" dxfId="2112" priority="92">
      <formula>NoColor</formula>
    </cfRule>
  </conditionalFormatting>
  <conditionalFormatting sqref="AH94:AO94 AH95:AI95 AO95 AH96:AO96">
    <cfRule type="expression" dxfId="2111" priority="90">
      <formula>NoColor</formula>
    </cfRule>
  </conditionalFormatting>
  <conditionalFormatting sqref="AH101:AO102">
    <cfRule type="expression" dxfId="2110" priority="89">
      <formula>NoColor</formula>
    </cfRule>
  </conditionalFormatting>
  <conditionalFormatting sqref="AH109:AO109">
    <cfRule type="expression" dxfId="2109" priority="82">
      <formula>NoColor</formula>
    </cfRule>
  </conditionalFormatting>
  <conditionalFormatting sqref="AH224:AO224">
    <cfRule type="expression" dxfId="2108" priority="39">
      <formula>NoColor</formula>
    </cfRule>
  </conditionalFormatting>
  <conditionalFormatting sqref="AH226:AO226 AH227:AI227 AO227 AH228:AO228">
    <cfRule type="expression" dxfId="2107" priority="37">
      <formula>NoColor</formula>
    </cfRule>
  </conditionalFormatting>
  <conditionalFormatting sqref="AH233:AO234">
    <cfRule type="expression" dxfId="2106" priority="36">
      <formula>NoColor</formula>
    </cfRule>
  </conditionalFormatting>
  <conditionalFormatting sqref="AH241:AO241">
    <cfRule type="expression" dxfId="2105" priority="29">
      <formula>NoColor</formula>
    </cfRule>
  </conditionalFormatting>
  <conditionalFormatting sqref="AJ13">
    <cfRule type="expression" dxfId="2104" priority="70">
      <formula>NOT(Draft)</formula>
    </cfRule>
  </conditionalFormatting>
  <conditionalFormatting sqref="AJ13:AJ14">
    <cfRule type="expression" dxfId="2103" priority="114">
      <formula>NoColor</formula>
    </cfRule>
  </conditionalFormatting>
  <conditionalFormatting sqref="AJ75">
    <cfRule type="expression" dxfId="2102" priority="100">
      <formula>NoColor</formula>
    </cfRule>
  </conditionalFormatting>
  <conditionalFormatting sqref="AJ145">
    <cfRule type="expression" dxfId="2101" priority="17">
      <formula>NOT(Draft)</formula>
    </cfRule>
  </conditionalFormatting>
  <conditionalFormatting sqref="AJ145:AJ146">
    <cfRule type="expression" dxfId="2100" priority="61">
      <formula>NoColor</formula>
    </cfRule>
  </conditionalFormatting>
  <conditionalFormatting sqref="AJ207">
    <cfRule type="expression" dxfId="2099" priority="47">
      <formula>NoColor</formula>
    </cfRule>
  </conditionalFormatting>
  <conditionalFormatting sqref="AJ60:AK60">
    <cfRule type="expression" dxfId="2098" priority="13">
      <formula>NoColor</formula>
    </cfRule>
  </conditionalFormatting>
  <conditionalFormatting sqref="AJ192:AK192 AO192">
    <cfRule type="expression" dxfId="2097" priority="50">
      <formula>NoColor</formula>
    </cfRule>
  </conditionalFormatting>
  <conditionalFormatting sqref="AJ32:AO32">
    <cfRule type="expression" dxfId="2096" priority="73">
      <formula>$BE$23</formula>
    </cfRule>
  </conditionalFormatting>
  <conditionalFormatting sqref="AJ59:AO59">
    <cfRule type="expression" dxfId="2095" priority="105">
      <formula>NoColor</formula>
    </cfRule>
  </conditionalFormatting>
  <conditionalFormatting sqref="AJ63:AO63">
    <cfRule type="expression" dxfId="2094" priority="101">
      <formula>NoColor</formula>
    </cfRule>
  </conditionalFormatting>
  <conditionalFormatting sqref="AJ111:AO111 AJ112:AK112 AO112 AJ113:AO113">
    <cfRule type="expression" dxfId="2093" priority="81">
      <formula>NoColor</formula>
    </cfRule>
  </conditionalFormatting>
  <conditionalFormatting sqref="AJ119:AO119">
    <cfRule type="expression" dxfId="2092" priority="80">
      <formula>NoColor</formula>
    </cfRule>
  </conditionalFormatting>
  <conditionalFormatting sqref="AJ121:AO123">
    <cfRule type="expression" dxfId="2091" priority="79">
      <formula>NoColor</formula>
    </cfRule>
  </conditionalFormatting>
  <conditionalFormatting sqref="AJ164:AO164">
    <cfRule type="expression" dxfId="2090" priority="20">
      <formula>$BE$23</formula>
    </cfRule>
  </conditionalFormatting>
  <conditionalFormatting sqref="AJ191:AO191">
    <cfRule type="expression" dxfId="2089" priority="52">
      <formula>NoColor</formula>
    </cfRule>
  </conditionalFormatting>
  <conditionalFormatting sqref="AJ195:AO195">
    <cfRule type="expression" dxfId="2088" priority="48">
      <formula>NoColor</formula>
    </cfRule>
  </conditionalFormatting>
  <conditionalFormatting sqref="AJ243:AO243 AJ244:AK244 AO244 AJ245:AO245">
    <cfRule type="expression" dxfId="2087" priority="28">
      <formula>NoColor</formula>
    </cfRule>
  </conditionalFormatting>
  <conditionalFormatting sqref="AJ251:AO251">
    <cfRule type="expression" dxfId="2086" priority="27">
      <formula>NoColor</formula>
    </cfRule>
  </conditionalFormatting>
  <conditionalFormatting sqref="AJ253:AO255">
    <cfRule type="expression" dxfId="2085" priority="26">
      <formula>NoColor</formula>
    </cfRule>
  </conditionalFormatting>
  <conditionalFormatting sqref="AM13:AM14">
    <cfRule type="expression" dxfId="2084" priority="113">
      <formula>NoColor</formula>
    </cfRule>
  </conditionalFormatting>
  <conditionalFormatting sqref="AM21:AM23">
    <cfRule type="expression" dxfId="2083" priority="115">
      <formula>NoColor</formula>
    </cfRule>
  </conditionalFormatting>
  <conditionalFormatting sqref="AM75">
    <cfRule type="expression" dxfId="2082" priority="99">
      <formula>NoColor</formula>
    </cfRule>
  </conditionalFormatting>
  <conditionalFormatting sqref="AM145:AM146">
    <cfRule type="expression" dxfId="2081" priority="60">
      <formula>NoColor</formula>
    </cfRule>
  </conditionalFormatting>
  <conditionalFormatting sqref="AM153:AM155">
    <cfRule type="expression" dxfId="2080" priority="62">
      <formula>NoColor</formula>
    </cfRule>
  </conditionalFormatting>
  <conditionalFormatting sqref="AM207">
    <cfRule type="expression" dxfId="2079" priority="46">
      <formula>NoColor</formula>
    </cfRule>
  </conditionalFormatting>
  <conditionalFormatting sqref="AO60">
    <cfRule type="expression" dxfId="2078" priority="103">
      <formula>NoColor</formula>
    </cfRule>
  </conditionalFormatting>
  <conditionalFormatting sqref="AP67">
    <cfRule type="expression" dxfId="2077" priority="5">
      <formula>$AR66</formula>
    </cfRule>
  </conditionalFormatting>
  <conditionalFormatting sqref="AP199">
    <cfRule type="expression" dxfId="2076" priority="6">
      <formula>$AR198</formula>
    </cfRule>
  </conditionalFormatting>
  <pageMargins left="0.75" right="0.25" top="0.36" bottom="0.28999999999999998" header="0.36" footer="0.21"/>
  <pageSetup scale="73" fitToHeight="0" orientation="portrait" r:id="rId1"/>
  <rowBreaks count="3" manualBreakCount="3">
    <brk id="64" min="1" max="40" man="1"/>
    <brk id="133" min="1" max="40" man="1"/>
    <brk id="196"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66"/>
  <sheetViews>
    <sheetView zoomScaleNormal="100" zoomScaleSheetLayoutView="100" workbookViewId="0"/>
  </sheetViews>
  <sheetFormatPr defaultColWidth="3.42578125" defaultRowHeight="12.75"/>
  <cols>
    <col min="1" max="1" width="3.42578125" style="39"/>
    <col min="2" max="2" width="3.85546875" style="39" customWidth="1"/>
    <col min="3" max="4" width="3.42578125" style="39"/>
    <col min="5" max="5" width="2.5703125" style="39" customWidth="1"/>
    <col min="6" max="6" width="4.28515625" style="39" customWidth="1"/>
    <col min="7" max="7" width="3.42578125" style="39"/>
    <col min="8" max="8" width="3.7109375" style="39" customWidth="1"/>
    <col min="9" max="10" width="2.5703125" style="39" customWidth="1"/>
    <col min="11" max="11" width="3.42578125" style="39"/>
    <col min="12" max="12" width="4.42578125" style="39" customWidth="1"/>
    <col min="13" max="14" width="3" style="39" customWidth="1"/>
    <col min="15" max="18" width="2.7109375" style="39" customWidth="1"/>
    <col min="19" max="19" width="4.140625" style="39" customWidth="1"/>
    <col min="20" max="25" width="3.28515625" style="39" customWidth="1"/>
    <col min="26" max="29" width="2.7109375" style="39" customWidth="1"/>
    <col min="30" max="31" width="3.42578125" style="39"/>
    <col min="32" max="33" width="3.7109375" style="39" customWidth="1"/>
    <col min="34" max="34" width="3.5703125" style="39" customWidth="1"/>
    <col min="35" max="43" width="3.42578125" style="39"/>
    <col min="44" max="46" width="10.28515625" style="39" customWidth="1"/>
    <col min="47" max="47" width="3.85546875" style="39" hidden="1" customWidth="1"/>
    <col min="48" max="55" width="10.28515625" style="39" hidden="1" customWidth="1"/>
    <col min="56" max="56" width="10.140625" style="39" hidden="1" customWidth="1"/>
    <col min="57" max="57" width="10.28515625" style="39" hidden="1" customWidth="1"/>
    <col min="58" max="58" width="0" style="39" hidden="1" customWidth="1"/>
    <col min="59" max="59" width="10.7109375" style="2691" customWidth="1"/>
    <col min="60" max="69" width="10.7109375" style="2690" customWidth="1"/>
    <col min="70" max="16384" width="3.42578125" style="39"/>
  </cols>
  <sheetData>
    <row r="1" spans="1:69" ht="21.75" customHeight="1">
      <c r="A1" s="2162"/>
      <c r="B1" s="2162"/>
      <c r="C1" s="3075" t="s">
        <v>2658</v>
      </c>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2162"/>
      <c r="AJ1" s="2162"/>
      <c r="AK1" s="2162"/>
      <c r="AL1" s="2162"/>
      <c r="AM1" s="2162"/>
      <c r="AN1" s="2162"/>
      <c r="AO1" s="2162"/>
      <c r="AP1" s="2162"/>
      <c r="BG1" s="2395" t="s">
        <v>241</v>
      </c>
      <c r="BH1" s="2038"/>
      <c r="BI1" s="2038"/>
      <c r="BJ1" s="2038"/>
      <c r="BK1" s="2038"/>
      <c r="BL1" s="2038"/>
      <c r="BM1" s="2038"/>
      <c r="BN1" s="2038"/>
      <c r="BO1" s="2038"/>
      <c r="BP1" s="2038"/>
    </row>
    <row r="2" spans="1:69" ht="18" customHeight="1">
      <c r="A2" s="2162"/>
      <c r="B2" s="6433" t="s">
        <v>2659</v>
      </c>
      <c r="C2" s="7405"/>
      <c r="D2" s="7405"/>
      <c r="E2" s="7405"/>
      <c r="F2" s="7405"/>
      <c r="G2" s="7406"/>
      <c r="H2" s="2432"/>
      <c r="I2" s="808"/>
      <c r="J2" s="808"/>
      <c r="K2" s="808"/>
      <c r="L2" s="808"/>
      <c r="M2" s="2434"/>
      <c r="N2" s="808"/>
      <c r="O2" s="808"/>
      <c r="P2" s="808"/>
      <c r="Q2" s="808"/>
      <c r="R2" s="808"/>
      <c r="S2" s="808"/>
      <c r="T2" s="808"/>
      <c r="U2" s="808"/>
      <c r="V2" s="808"/>
      <c r="W2" s="808"/>
      <c r="X2" s="808"/>
      <c r="Y2" s="808"/>
      <c r="Z2" s="808"/>
      <c r="AA2" s="808"/>
      <c r="AB2" s="808"/>
      <c r="AC2" s="808"/>
      <c r="AD2" s="808"/>
      <c r="AE2" s="808"/>
      <c r="AF2" s="808"/>
      <c r="AG2" s="808"/>
      <c r="AH2" s="808"/>
      <c r="AI2" s="7540" t="s">
        <v>576</v>
      </c>
      <c r="AJ2" s="7541"/>
      <c r="AK2" s="7541"/>
      <c r="AL2" s="7541"/>
      <c r="AM2" s="7541"/>
      <c r="AN2" s="7541"/>
      <c r="AO2" s="7541"/>
      <c r="AP2" s="2162"/>
      <c r="BG2" s="2552" t="s">
        <v>319</v>
      </c>
      <c r="BH2" s="2038"/>
      <c r="BI2" s="2038"/>
      <c r="BJ2" s="2038"/>
      <c r="BK2" s="2038"/>
      <c r="BL2" s="2038"/>
      <c r="BM2" s="2038"/>
      <c r="BN2" s="2038"/>
      <c r="BO2" s="2038"/>
      <c r="BP2" s="2038"/>
    </row>
    <row r="3" spans="1:69" ht="25.5" customHeight="1">
      <c r="A3" s="2162"/>
      <c r="B3" s="7544" t="s">
        <v>2088</v>
      </c>
      <c r="C3" s="7545"/>
      <c r="D3" s="7545"/>
      <c r="E3" s="7545"/>
      <c r="F3" s="7545"/>
      <c r="G3" s="7546"/>
      <c r="H3" s="3931" t="s">
        <v>2660</v>
      </c>
      <c r="I3" s="2470"/>
      <c r="J3" s="2470"/>
      <c r="K3" s="2470"/>
      <c r="L3" s="2470"/>
      <c r="M3" s="2470"/>
      <c r="N3" s="2470"/>
      <c r="O3" s="2470"/>
      <c r="P3" s="2470"/>
      <c r="Q3" s="2470"/>
      <c r="R3" s="2470"/>
      <c r="S3" s="2470"/>
      <c r="T3" s="2470"/>
      <c r="U3" s="2470"/>
      <c r="V3" s="2470"/>
      <c r="W3" s="2470"/>
      <c r="X3" s="2470"/>
      <c r="Y3" s="2470"/>
      <c r="Z3" s="2470"/>
      <c r="AA3" s="2470"/>
      <c r="AB3" s="2470"/>
      <c r="AC3" s="2470"/>
      <c r="AD3" s="2470"/>
      <c r="AE3" s="2470"/>
      <c r="AF3" s="2470"/>
      <c r="AG3" s="2470"/>
      <c r="AH3" s="2471"/>
      <c r="AI3" s="7549">
        <f>TaxYear</f>
        <v>2023</v>
      </c>
      <c r="AJ3" s="7550"/>
      <c r="AK3" s="7550"/>
      <c r="AL3" s="7550"/>
      <c r="AM3" s="7550"/>
      <c r="AN3" s="7550"/>
      <c r="AO3" s="7550"/>
      <c r="AP3" s="2162"/>
      <c r="BG3" s="2396"/>
      <c r="BH3" s="2038"/>
      <c r="BI3" s="2038"/>
      <c r="BJ3" s="2038"/>
      <c r="BK3" s="2038"/>
      <c r="BL3" s="2038"/>
      <c r="BM3" s="2038"/>
      <c r="BN3" s="2038"/>
      <c r="BO3" s="2038"/>
      <c r="BP3" s="2038"/>
    </row>
    <row r="4" spans="1:69">
      <c r="A4" s="2162"/>
      <c r="B4" s="6763" t="s">
        <v>2661</v>
      </c>
      <c r="C4" s="6919"/>
      <c r="D4" s="6919"/>
      <c r="E4" s="6919"/>
      <c r="F4" s="6919"/>
      <c r="G4" s="7542"/>
      <c r="H4" s="2485" t="str">
        <f>"(From rental real estate, royalties, partnerships, S corporations, estates, trusts, REMICs, etc.)"</f>
        <v>(From rental real estate, royalties, partnerships, S corporations, estates, trusts, REMICs, etc.)</v>
      </c>
      <c r="I4" s="1364"/>
      <c r="J4" s="1364"/>
      <c r="K4" s="1364"/>
      <c r="L4" s="1364"/>
      <c r="M4" s="1364"/>
      <c r="N4" s="1364"/>
      <c r="O4" s="1364"/>
      <c r="P4" s="1364"/>
      <c r="Q4" s="1364"/>
      <c r="R4" s="1364"/>
      <c r="S4" s="1364"/>
      <c r="T4" s="2469"/>
      <c r="U4" s="1364"/>
      <c r="V4" s="1364"/>
      <c r="W4" s="1364"/>
      <c r="X4" s="1364"/>
      <c r="Y4" s="1364"/>
      <c r="Z4" s="1364"/>
      <c r="AA4" s="1364"/>
      <c r="AB4" s="1364"/>
      <c r="AC4" s="1364"/>
      <c r="AD4" s="1364"/>
      <c r="AE4" s="1364"/>
      <c r="AF4" s="1364"/>
      <c r="AG4" s="1364"/>
      <c r="AH4" s="1364"/>
      <c r="AI4" s="7551"/>
      <c r="AJ4" s="7552"/>
      <c r="AK4" s="7552"/>
      <c r="AL4" s="7552"/>
      <c r="AM4" s="7552"/>
      <c r="AN4" s="7552"/>
      <c r="AO4" s="7552"/>
      <c r="AP4" s="2162"/>
      <c r="BG4" s="2396"/>
      <c r="BH4" s="2038"/>
      <c r="BI4" s="2038"/>
      <c r="BJ4" s="2038"/>
      <c r="BK4" s="2038"/>
      <c r="BL4" s="2038"/>
      <c r="BM4" s="2038"/>
      <c r="BN4" s="2038"/>
      <c r="BO4" s="2038"/>
      <c r="BP4" s="2038"/>
    </row>
    <row r="5" spans="1:69">
      <c r="A5" s="2162"/>
      <c r="B5" s="6763"/>
      <c r="C5" s="6919"/>
      <c r="D5" s="6919"/>
      <c r="E5" s="6919"/>
      <c r="F5" s="6919"/>
      <c r="G5" s="7542"/>
      <c r="H5" s="894"/>
      <c r="I5" s="808"/>
      <c r="J5" s="808"/>
      <c r="K5" s="808"/>
      <c r="L5" s="808"/>
      <c r="M5" s="808"/>
      <c r="N5" s="808"/>
      <c r="O5" s="808"/>
      <c r="P5" s="808"/>
      <c r="Q5" s="808"/>
      <c r="R5" s="808"/>
      <c r="S5" s="808"/>
      <c r="T5" s="1040" t="s">
        <v>2662</v>
      </c>
      <c r="U5" s="808"/>
      <c r="V5" s="808"/>
      <c r="W5" s="808"/>
      <c r="X5" s="808"/>
      <c r="Y5" s="808"/>
      <c r="Z5" s="808"/>
      <c r="AA5" s="808"/>
      <c r="AB5" s="808"/>
      <c r="AC5" s="808"/>
      <c r="AD5" s="808"/>
      <c r="AE5" s="808"/>
      <c r="AF5" s="808"/>
      <c r="AG5" s="808"/>
      <c r="AH5" s="808"/>
      <c r="AI5" s="2483"/>
      <c r="AJ5" s="7547" t="s">
        <v>2663</v>
      </c>
      <c r="AK5" s="7324"/>
      <c r="AL5" s="7324"/>
      <c r="AM5" s="7324"/>
      <c r="AN5" s="2433"/>
      <c r="AO5" s="2433"/>
      <c r="AP5" s="2162"/>
      <c r="BG5" s="2396"/>
      <c r="BH5" s="2038"/>
      <c r="BI5" s="2038"/>
      <c r="BJ5" s="2038"/>
      <c r="BK5" s="2038"/>
      <c r="BL5" s="2038"/>
      <c r="BM5" s="2038"/>
      <c r="BN5" s="2038"/>
      <c r="BO5" s="2038"/>
      <c r="BP5" s="2038"/>
    </row>
    <row r="6" spans="1:69" ht="15.75" customHeight="1" thickBot="1">
      <c r="A6" s="2162"/>
      <c r="B6" s="6920"/>
      <c r="C6" s="6920"/>
      <c r="D6" s="6920"/>
      <c r="E6" s="6920"/>
      <c r="F6" s="6920"/>
      <c r="G6" s="7543"/>
      <c r="H6" s="2435" t="s">
        <v>2664</v>
      </c>
      <c r="I6" s="2399"/>
      <c r="J6" s="2399"/>
      <c r="K6" s="2399"/>
      <c r="L6" s="2399"/>
      <c r="M6" s="2399"/>
      <c r="N6" s="2399"/>
      <c r="O6" s="2399"/>
      <c r="P6" s="2399"/>
      <c r="Q6" s="2399"/>
      <c r="R6" s="2399"/>
      <c r="S6" s="2399"/>
      <c r="T6" s="2399"/>
      <c r="U6" s="2399"/>
      <c r="V6" s="2399"/>
      <c r="W6" s="2399"/>
      <c r="X6" s="2399"/>
      <c r="Y6" s="2399"/>
      <c r="Z6" s="2399"/>
      <c r="AA6" s="2399"/>
      <c r="AB6" s="2399"/>
      <c r="AC6" s="2399"/>
      <c r="AD6" s="2399"/>
      <c r="AE6" s="2399"/>
      <c r="AF6" s="2399"/>
      <c r="AG6" s="2399"/>
      <c r="AH6" s="2399"/>
      <c r="AI6" s="2484"/>
      <c r="AJ6" s="7548"/>
      <c r="AK6" s="7548"/>
      <c r="AL6" s="7548"/>
      <c r="AM6" s="7548"/>
      <c r="AN6" s="7557">
        <v>13</v>
      </c>
      <c r="AO6" s="7558"/>
      <c r="AP6" s="2162"/>
      <c r="BG6" s="2396"/>
      <c r="BH6" s="2038"/>
      <c r="BI6" s="2038"/>
      <c r="BJ6" s="2038"/>
      <c r="BK6" s="2038"/>
      <c r="BL6" s="2038"/>
      <c r="BM6" s="2038"/>
      <c r="BN6" s="2038"/>
      <c r="BO6" s="2038"/>
      <c r="BP6" s="2038"/>
    </row>
    <row r="7" spans="1:69">
      <c r="A7" s="2162"/>
      <c r="B7" s="892" t="s">
        <v>2208</v>
      </c>
      <c r="C7" s="808"/>
      <c r="D7" s="808"/>
      <c r="E7" s="808"/>
      <c r="F7" s="808"/>
      <c r="G7" s="808"/>
      <c r="H7" s="808"/>
      <c r="I7" s="808"/>
      <c r="J7" s="808"/>
      <c r="K7" s="808"/>
      <c r="L7" s="808"/>
      <c r="M7" s="808"/>
      <c r="N7" s="808"/>
      <c r="O7" s="808"/>
      <c r="P7" s="808"/>
      <c r="Q7" s="808"/>
      <c r="R7" s="808"/>
      <c r="S7" s="808"/>
      <c r="T7" s="808"/>
      <c r="U7" s="808"/>
      <c r="V7" s="808"/>
      <c r="W7" s="808"/>
      <c r="X7" s="808"/>
      <c r="Y7" s="808"/>
      <c r="Z7" s="808"/>
      <c r="AA7" s="808"/>
      <c r="AB7" s="808"/>
      <c r="AC7" s="808"/>
      <c r="AD7" s="808"/>
      <c r="AE7" s="808"/>
      <c r="AF7" s="808"/>
      <c r="AG7" s="7563" t="s">
        <v>586</v>
      </c>
      <c r="AH7" s="7564"/>
      <c r="AI7" s="7564"/>
      <c r="AJ7" s="7564"/>
      <c r="AK7" s="7564"/>
      <c r="AL7" s="7564"/>
      <c r="AM7" s="7564"/>
      <c r="AN7" s="7564"/>
      <c r="AO7" s="7564"/>
      <c r="AP7" s="2162"/>
      <c r="BG7" s="2396"/>
      <c r="BH7" s="2038"/>
      <c r="BI7" s="2038"/>
      <c r="BJ7" s="2038"/>
      <c r="BK7" s="2038"/>
      <c r="BL7" s="2038"/>
      <c r="BM7" s="2038"/>
      <c r="BN7" s="2038"/>
      <c r="BO7" s="2038"/>
      <c r="BP7" s="2038"/>
    </row>
    <row r="8" spans="1:69" ht="9.75" customHeight="1">
      <c r="A8" s="2162"/>
      <c r="B8" s="6750" t="str">
        <f>Names</f>
        <v/>
      </c>
      <c r="C8" s="6751"/>
      <c r="D8" s="6751"/>
      <c r="E8" s="6751"/>
      <c r="F8" s="6751"/>
      <c r="G8" s="6751"/>
      <c r="H8" s="6751"/>
      <c r="I8" s="6751"/>
      <c r="J8" s="6751"/>
      <c r="K8" s="6751"/>
      <c r="L8" s="6751"/>
      <c r="M8" s="6751"/>
      <c r="N8" s="6751"/>
      <c r="O8" s="6751"/>
      <c r="P8" s="6751"/>
      <c r="Q8" s="6751"/>
      <c r="R8" s="6751"/>
      <c r="S8" s="6751"/>
      <c r="T8" s="6751"/>
      <c r="U8" s="6751"/>
      <c r="V8" s="6751"/>
      <c r="W8" s="6751"/>
      <c r="X8" s="6751"/>
      <c r="Y8" s="6751"/>
      <c r="Z8" s="6751"/>
      <c r="AA8" s="6751"/>
      <c r="AB8" s="6751"/>
      <c r="AC8" s="6751"/>
      <c r="AD8" s="6751"/>
      <c r="AE8" s="6751"/>
      <c r="AF8" s="6752"/>
      <c r="AG8" s="7559">
        <f>IF(NoSSN,"",SS_Yours)</f>
        <v>1010001</v>
      </c>
      <c r="AH8" s="7560"/>
      <c r="AI8" s="7560"/>
      <c r="AJ8" s="7560"/>
      <c r="AK8" s="7560"/>
      <c r="AL8" s="7560"/>
      <c r="AM8" s="7560"/>
      <c r="AN8" s="7560"/>
      <c r="AO8" s="7560"/>
      <c r="AP8" s="2162"/>
      <c r="BG8" s="2396"/>
      <c r="BH8" s="2038"/>
      <c r="BI8" s="2038"/>
      <c r="BJ8" s="2038"/>
      <c r="BK8" s="2038"/>
      <c r="BL8" s="2038"/>
      <c r="BM8" s="2038"/>
      <c r="BN8" s="2038"/>
      <c r="BO8" s="2038"/>
      <c r="BP8" s="2038"/>
    </row>
    <row r="9" spans="1:69" ht="9.75" customHeight="1">
      <c r="A9" s="2162"/>
      <c r="B9" s="6339"/>
      <c r="C9" s="6339"/>
      <c r="D9" s="6339"/>
      <c r="E9" s="6339"/>
      <c r="F9" s="6339"/>
      <c r="G9" s="6339"/>
      <c r="H9" s="6339"/>
      <c r="I9" s="6339"/>
      <c r="J9" s="6339"/>
      <c r="K9" s="6339"/>
      <c r="L9" s="6339"/>
      <c r="M9" s="6339"/>
      <c r="N9" s="6339"/>
      <c r="O9" s="6339"/>
      <c r="P9" s="6339"/>
      <c r="Q9" s="6339"/>
      <c r="R9" s="6339"/>
      <c r="S9" s="6339"/>
      <c r="T9" s="6339"/>
      <c r="U9" s="6339"/>
      <c r="V9" s="6339"/>
      <c r="W9" s="6339"/>
      <c r="X9" s="6339"/>
      <c r="Y9" s="6339"/>
      <c r="Z9" s="6339"/>
      <c r="AA9" s="6339"/>
      <c r="AB9" s="6339"/>
      <c r="AC9" s="6339"/>
      <c r="AD9" s="6339"/>
      <c r="AE9" s="6339"/>
      <c r="AF9" s="6753"/>
      <c r="AG9" s="7561"/>
      <c r="AH9" s="7562"/>
      <c r="AI9" s="7562"/>
      <c r="AJ9" s="7562"/>
      <c r="AK9" s="7562"/>
      <c r="AL9" s="7562"/>
      <c r="AM9" s="7562"/>
      <c r="AN9" s="7562"/>
      <c r="AO9" s="7562"/>
      <c r="AP9" s="2162"/>
      <c r="BG9" s="2396"/>
      <c r="BH9" s="2038"/>
      <c r="BI9" s="2038"/>
      <c r="BJ9" s="2038"/>
      <c r="BK9" s="2038"/>
      <c r="BL9" s="2038"/>
      <c r="BM9" s="2038"/>
      <c r="BN9" s="2038"/>
      <c r="BO9" s="2038"/>
      <c r="BP9" s="2038"/>
    </row>
    <row r="10" spans="1:69" s="2114" customFormat="1" ht="17.25" customHeight="1">
      <c r="A10" s="2163"/>
      <c r="B10" s="7384" t="s">
        <v>884</v>
      </c>
      <c r="C10" s="7384"/>
      <c r="D10" s="7385"/>
      <c r="E10" s="997"/>
      <c r="F10" s="4968" t="s">
        <v>2665</v>
      </c>
      <c r="G10" s="997"/>
      <c r="H10" s="997"/>
      <c r="I10" s="997"/>
      <c r="J10" s="997"/>
      <c r="K10" s="997"/>
      <c r="L10" s="997"/>
      <c r="M10" s="997"/>
      <c r="N10" s="997"/>
      <c r="O10" s="997"/>
      <c r="P10" s="997"/>
      <c r="Q10" s="997"/>
      <c r="R10" s="997"/>
      <c r="S10" s="997"/>
      <c r="T10" s="997"/>
      <c r="U10" s="997"/>
      <c r="V10" s="997"/>
      <c r="W10" s="997"/>
      <c r="X10" s="2440"/>
      <c r="Y10" s="997"/>
      <c r="Z10" s="997"/>
      <c r="AA10" s="997"/>
      <c r="AB10" s="997"/>
      <c r="AC10" s="997"/>
      <c r="AD10" s="997"/>
      <c r="AE10" s="997"/>
      <c r="AF10" s="997"/>
      <c r="AG10" s="997"/>
      <c r="AH10" s="997"/>
      <c r="AI10" s="997"/>
      <c r="AJ10" s="997"/>
      <c r="AK10" s="997"/>
      <c r="AL10" s="997"/>
      <c r="AM10" s="997"/>
      <c r="AN10" s="997"/>
      <c r="AO10" s="997"/>
      <c r="AP10" s="2162"/>
      <c r="BG10" s="2396"/>
      <c r="BH10" s="2038"/>
      <c r="BI10" s="2038"/>
      <c r="BJ10" s="2038"/>
      <c r="BK10" s="2038"/>
      <c r="BL10" s="2038"/>
      <c r="BM10" s="2038"/>
      <c r="BN10" s="2038"/>
      <c r="BO10" s="2038"/>
      <c r="BP10" s="2038"/>
      <c r="BQ10" s="2690"/>
    </row>
    <row r="11" spans="1:69" s="2114" customFormat="1" ht="17.25" customHeight="1">
      <c r="A11" s="2163"/>
      <c r="B11" s="2439"/>
      <c r="C11" s="2439"/>
      <c r="D11" s="2439"/>
      <c r="E11" s="1145"/>
      <c r="F11" s="2112" t="s">
        <v>2666</v>
      </c>
      <c r="G11" s="1108"/>
      <c r="H11" s="1108"/>
      <c r="I11" s="1108"/>
      <c r="J11" s="1108"/>
      <c r="K11" s="1108"/>
      <c r="L11" s="1108"/>
      <c r="M11" s="1108"/>
      <c r="N11" s="1108"/>
      <c r="O11" s="1108"/>
      <c r="P11" s="1108"/>
      <c r="Q11" s="1108"/>
      <c r="R11" s="1108"/>
      <c r="S11" s="1108"/>
      <c r="T11" s="1108"/>
      <c r="U11" s="1108"/>
      <c r="V11" s="1108"/>
      <c r="W11" s="1108"/>
      <c r="X11" s="2112"/>
      <c r="Y11" s="1108"/>
      <c r="Z11" s="1108"/>
      <c r="AA11" s="1108"/>
      <c r="AB11" s="1108"/>
      <c r="AC11" s="1108"/>
      <c r="AD11" s="1108"/>
      <c r="AE11" s="1108"/>
      <c r="AF11" s="1108"/>
      <c r="AG11" s="1108"/>
      <c r="AH11" s="1108"/>
      <c r="AI11" s="1108"/>
      <c r="AJ11" s="1108"/>
      <c r="AK11" s="1108"/>
      <c r="AL11" s="1108"/>
      <c r="AM11" s="1108"/>
      <c r="AN11" s="1108"/>
      <c r="AO11" s="1108"/>
      <c r="AP11" s="2162"/>
      <c r="BG11" s="2396"/>
      <c r="BH11" s="2038"/>
      <c r="BI11" s="2038"/>
      <c r="BJ11" s="2038"/>
      <c r="BK11" s="2038"/>
      <c r="BL11" s="2038"/>
      <c r="BM11" s="2038"/>
      <c r="BN11" s="2038"/>
      <c r="BO11" s="2038"/>
      <c r="BP11" s="2038"/>
      <c r="BQ11" s="2690"/>
    </row>
    <row r="12" spans="1:69" ht="15.75">
      <c r="A12" s="2162"/>
      <c r="B12" s="2442"/>
      <c r="C12" s="2442"/>
      <c r="D12" s="4967"/>
      <c r="E12" s="1330"/>
      <c r="F12" s="1719" t="s">
        <v>2667</v>
      </c>
      <c r="G12" s="2438"/>
      <c r="H12" s="2438"/>
      <c r="I12" s="2438"/>
      <c r="J12" s="2438"/>
      <c r="K12" s="2438"/>
      <c r="L12" s="2438"/>
      <c r="M12" s="1330"/>
      <c r="N12" s="2438"/>
      <c r="O12" s="2438"/>
      <c r="P12" s="2438"/>
      <c r="Q12" s="2438"/>
      <c r="R12" s="2438"/>
      <c r="S12" s="2438"/>
      <c r="T12" s="2438"/>
      <c r="U12" s="2438"/>
      <c r="V12" s="2438"/>
      <c r="W12" s="2438"/>
      <c r="X12" s="2438"/>
      <c r="Y12" s="2438"/>
      <c r="Z12" s="2438"/>
      <c r="AA12" s="2438"/>
      <c r="AB12" s="2438"/>
      <c r="AC12" s="2438"/>
      <c r="AD12" s="1330"/>
      <c r="AE12" s="2438"/>
      <c r="AF12" s="2438"/>
      <c r="AG12" s="2438"/>
      <c r="AH12" s="2438"/>
      <c r="AI12" s="2438"/>
      <c r="AJ12" s="2438"/>
      <c r="AK12" s="2438"/>
      <c r="AL12" s="2438"/>
      <c r="AM12" s="2438"/>
      <c r="AN12" s="2438"/>
      <c r="AO12" s="2438"/>
      <c r="AP12" s="2162"/>
      <c r="BG12" s="2396"/>
      <c r="BH12" s="2038"/>
      <c r="BI12" s="2038"/>
      <c r="BJ12" s="2038"/>
      <c r="BK12" s="2038"/>
      <c r="BL12" s="2038"/>
      <c r="BM12" s="2038"/>
      <c r="BN12" s="2038"/>
      <c r="BO12" s="2038"/>
      <c r="BP12" s="2038"/>
    </row>
    <row r="13" spans="1:69" ht="15.75">
      <c r="A13" s="2162"/>
      <c r="B13" s="7516" t="s">
        <v>542</v>
      </c>
      <c r="C13" s="7565"/>
      <c r="D13" s="4722" t="str">
        <f>"Did you make any payments in "&amp;TaxYear&amp;" that would require you to file Form(s) 1099?  See instructions."</f>
        <v>Did you make any payments in 2023 that would require you to file Form(s) 1099?  See instructions.</v>
      </c>
      <c r="E13" s="1823"/>
      <c r="F13" s="1823"/>
      <c r="G13" s="1823"/>
      <c r="H13" s="1823"/>
      <c r="I13" s="1823"/>
      <c r="J13" s="1823"/>
      <c r="K13" s="1823"/>
      <c r="L13" s="1823"/>
      <c r="M13" s="1823"/>
      <c r="N13" s="1823"/>
      <c r="O13" s="1823"/>
      <c r="P13" s="1823"/>
      <c r="Q13" s="1823"/>
      <c r="R13" s="1823"/>
      <c r="S13" s="1823"/>
      <c r="T13" s="1823"/>
      <c r="U13" s="1823"/>
      <c r="V13" s="1823"/>
      <c r="W13" s="1823"/>
      <c r="X13" s="1823"/>
      <c r="Y13" s="1823"/>
      <c r="Z13" s="1823"/>
      <c r="AA13" s="1823"/>
      <c r="AB13" s="1823"/>
      <c r="AC13" s="1823"/>
      <c r="AD13" s="1823"/>
      <c r="AE13" s="1823"/>
      <c r="AF13" s="1823"/>
      <c r="AG13" s="1823"/>
      <c r="AH13" s="1823"/>
      <c r="AI13" s="1823"/>
      <c r="AJ13" s="809"/>
      <c r="AK13" s="2185" t="s">
        <v>2668</v>
      </c>
      <c r="AL13" s="1823"/>
      <c r="AM13" s="809"/>
      <c r="AN13" s="2185" t="s">
        <v>2669</v>
      </c>
      <c r="AO13" s="1823"/>
      <c r="AP13" s="2162"/>
      <c r="BG13" s="2396"/>
      <c r="BH13" s="2038"/>
      <c r="BI13" s="2038"/>
      <c r="BJ13" s="2038"/>
      <c r="BK13" s="2038"/>
      <c r="BL13" s="2038"/>
      <c r="BM13" s="2038"/>
      <c r="BN13" s="2038"/>
      <c r="BO13" s="2038"/>
      <c r="BP13" s="2038"/>
    </row>
    <row r="14" spans="1:69" ht="15.75">
      <c r="A14" s="2162"/>
      <c r="B14" s="7553" t="s">
        <v>548</v>
      </c>
      <c r="C14" s="7554"/>
      <c r="D14" s="2202" t="s">
        <v>5605</v>
      </c>
      <c r="E14" s="2438"/>
      <c r="F14" s="2438"/>
      <c r="G14" s="2438"/>
      <c r="H14" s="2438"/>
      <c r="I14" s="2438"/>
      <c r="J14" s="2438"/>
      <c r="K14" s="2438"/>
      <c r="L14" s="2438"/>
      <c r="M14" s="2438"/>
      <c r="N14" s="2438"/>
      <c r="O14" s="2438"/>
      <c r="P14" s="2438"/>
      <c r="Q14" s="2438"/>
      <c r="R14" s="2438"/>
      <c r="S14" s="2438"/>
      <c r="T14" s="2438"/>
      <c r="U14" s="2438"/>
      <c r="V14" s="2438"/>
      <c r="W14" s="2438"/>
      <c r="X14" s="2438"/>
      <c r="Y14" s="2438"/>
      <c r="Z14" s="2438"/>
      <c r="AA14" s="2438"/>
      <c r="AB14" s="2438"/>
      <c r="AC14" s="2438"/>
      <c r="AD14" s="2438"/>
      <c r="AE14" s="2438"/>
      <c r="AF14" s="2438"/>
      <c r="AG14" s="2438"/>
      <c r="AH14" s="2438"/>
      <c r="AI14" s="2438"/>
      <c r="AJ14" s="809"/>
      <c r="AK14" s="1140" t="s">
        <v>2668</v>
      </c>
      <c r="AL14" s="2438"/>
      <c r="AM14" s="809"/>
      <c r="AN14" s="1140" t="s">
        <v>2669</v>
      </c>
      <c r="AO14" s="2438"/>
      <c r="AP14" s="2162"/>
      <c r="BG14" s="2396"/>
      <c r="BH14" s="2038"/>
      <c r="BI14" s="2038"/>
      <c r="BJ14" s="2038"/>
      <c r="BK14" s="2038"/>
      <c r="BL14" s="2038"/>
      <c r="BM14" s="2038"/>
      <c r="BN14" s="2038"/>
      <c r="BO14" s="2038"/>
      <c r="BP14" s="2038"/>
    </row>
    <row r="15" spans="1:69" ht="18.75" customHeight="1">
      <c r="A15" s="2162"/>
      <c r="B15" s="7555" t="s">
        <v>363</v>
      </c>
      <c r="C15" s="7556"/>
      <c r="D15" s="4970" t="s">
        <v>2670</v>
      </c>
      <c r="E15" s="4961"/>
      <c r="F15" s="4723"/>
      <c r="G15" s="4723"/>
      <c r="H15" s="4723"/>
      <c r="I15" s="4723"/>
      <c r="J15" s="4723"/>
      <c r="K15" s="4723"/>
      <c r="L15" s="4723"/>
      <c r="M15" s="4723"/>
      <c r="N15" s="4723"/>
      <c r="O15" s="4723"/>
      <c r="P15" s="4723"/>
      <c r="Q15" s="4723"/>
      <c r="R15" s="4723"/>
      <c r="S15" s="4723"/>
      <c r="T15" s="4723"/>
      <c r="U15" s="4723"/>
      <c r="V15" s="4723"/>
      <c r="W15" s="4723"/>
      <c r="X15" s="4723"/>
      <c r="Y15" s="4723"/>
      <c r="Z15" s="4723"/>
      <c r="AA15" s="4723"/>
      <c r="AB15" s="4723"/>
      <c r="AC15" s="4723"/>
      <c r="AD15" s="4723"/>
      <c r="AE15" s="4723"/>
      <c r="AF15" s="4723"/>
      <c r="AG15" s="4723"/>
      <c r="AH15" s="4723"/>
      <c r="AI15" s="4723"/>
      <c r="AJ15" s="4723"/>
      <c r="AK15" s="4723"/>
      <c r="AL15" s="4723"/>
      <c r="AM15" s="4723"/>
      <c r="AN15" s="4723"/>
      <c r="AO15" s="4723"/>
      <c r="AP15" s="2162"/>
      <c r="BG15" s="2396"/>
      <c r="BH15" s="2038"/>
      <c r="BI15" s="2038"/>
      <c r="BJ15" s="2038"/>
      <c r="BK15" s="2038"/>
      <c r="BL15" s="2038"/>
      <c r="BM15" s="2038"/>
      <c r="BN15" s="2038"/>
      <c r="BO15" s="2038"/>
      <c r="BP15" s="2038"/>
    </row>
    <row r="16" spans="1:69" ht="15.75">
      <c r="A16" s="2162"/>
      <c r="B16" s="7515" t="s">
        <v>542</v>
      </c>
      <c r="C16" s="7427"/>
      <c r="D16" s="7518"/>
      <c r="E16" s="7013"/>
      <c r="F16" s="7013"/>
      <c r="G16" s="7013"/>
      <c r="H16" s="7013"/>
      <c r="I16" s="7013"/>
      <c r="J16" s="7013"/>
      <c r="K16" s="7013"/>
      <c r="L16" s="7013"/>
      <c r="M16" s="7013"/>
      <c r="N16" s="7013"/>
      <c r="O16" s="7013"/>
      <c r="P16" s="7013"/>
      <c r="Q16" s="7013"/>
      <c r="R16" s="7013"/>
      <c r="S16" s="7013"/>
      <c r="T16" s="7013"/>
      <c r="U16" s="7013"/>
      <c r="V16" s="7013"/>
      <c r="W16" s="7013"/>
      <c r="X16" s="7013"/>
      <c r="Y16" s="7013"/>
      <c r="Z16" s="7013"/>
      <c r="AA16" s="7013"/>
      <c r="AB16" s="7013"/>
      <c r="AC16" s="7013"/>
      <c r="AD16" s="7013"/>
      <c r="AE16" s="7013"/>
      <c r="AF16" s="7013"/>
      <c r="AG16" s="7013"/>
      <c r="AH16" s="7013"/>
      <c r="AI16" s="7013"/>
      <c r="AJ16" s="7013"/>
      <c r="AK16" s="7013"/>
      <c r="AL16" s="7013"/>
      <c r="AM16" s="7013"/>
      <c r="AN16" s="7013"/>
      <c r="AO16" s="7013"/>
      <c r="AP16" s="2162"/>
      <c r="BG16" s="2396"/>
      <c r="BH16" s="2038"/>
      <c r="BI16" s="2038"/>
      <c r="BJ16" s="2038"/>
      <c r="BK16" s="2038"/>
      <c r="BL16" s="2038"/>
      <c r="BM16" s="2038"/>
      <c r="BN16" s="2038"/>
      <c r="BO16" s="2038"/>
      <c r="BP16" s="2038"/>
    </row>
    <row r="17" spans="1:68" ht="15.75">
      <c r="A17" s="2162"/>
      <c r="B17" s="7515" t="s">
        <v>548</v>
      </c>
      <c r="C17" s="7427"/>
      <c r="D17" s="7518"/>
      <c r="E17" s="7013"/>
      <c r="F17" s="7013"/>
      <c r="G17" s="7013"/>
      <c r="H17" s="7013"/>
      <c r="I17" s="7013"/>
      <c r="J17" s="7013"/>
      <c r="K17" s="7013"/>
      <c r="L17" s="7013"/>
      <c r="M17" s="7013"/>
      <c r="N17" s="7013"/>
      <c r="O17" s="7013"/>
      <c r="P17" s="7013"/>
      <c r="Q17" s="7013"/>
      <c r="R17" s="7013"/>
      <c r="S17" s="7013"/>
      <c r="T17" s="7013"/>
      <c r="U17" s="7013"/>
      <c r="V17" s="7013"/>
      <c r="W17" s="7013"/>
      <c r="X17" s="7013"/>
      <c r="Y17" s="7013"/>
      <c r="Z17" s="7013"/>
      <c r="AA17" s="7013"/>
      <c r="AB17" s="7013"/>
      <c r="AC17" s="7013"/>
      <c r="AD17" s="7013"/>
      <c r="AE17" s="7013"/>
      <c r="AF17" s="7013"/>
      <c r="AG17" s="7013"/>
      <c r="AH17" s="7013"/>
      <c r="AI17" s="7013"/>
      <c r="AJ17" s="7013"/>
      <c r="AK17" s="7013"/>
      <c r="AL17" s="7013"/>
      <c r="AM17" s="7013"/>
      <c r="AN17" s="7013"/>
      <c r="AO17" s="7013"/>
      <c r="AP17" s="2162"/>
      <c r="BG17" s="2396"/>
      <c r="BH17" s="2038"/>
      <c r="BI17" s="2038"/>
      <c r="BJ17" s="2038"/>
      <c r="BK17" s="2038"/>
      <c r="BL17" s="2038"/>
      <c r="BM17" s="2038"/>
      <c r="BN17" s="2038"/>
      <c r="BO17" s="2038"/>
      <c r="BP17" s="2038"/>
    </row>
    <row r="18" spans="1:68" ht="15.75">
      <c r="A18" s="2162"/>
      <c r="B18" s="7515" t="s">
        <v>550</v>
      </c>
      <c r="C18" s="7427"/>
      <c r="D18" s="7518"/>
      <c r="E18" s="7013"/>
      <c r="F18" s="7013"/>
      <c r="G18" s="7013"/>
      <c r="H18" s="7013"/>
      <c r="I18" s="7013"/>
      <c r="J18" s="7013"/>
      <c r="K18" s="7013"/>
      <c r="L18" s="7013"/>
      <c r="M18" s="7013"/>
      <c r="N18" s="7013"/>
      <c r="O18" s="7013"/>
      <c r="P18" s="7013"/>
      <c r="Q18" s="7013"/>
      <c r="R18" s="7013"/>
      <c r="S18" s="7013"/>
      <c r="T18" s="7013"/>
      <c r="U18" s="7013"/>
      <c r="V18" s="7013"/>
      <c r="W18" s="7013"/>
      <c r="X18" s="7013"/>
      <c r="Y18" s="7013"/>
      <c r="Z18" s="7013"/>
      <c r="AA18" s="7013"/>
      <c r="AB18" s="7013"/>
      <c r="AC18" s="7013"/>
      <c r="AD18" s="7013"/>
      <c r="AE18" s="7013"/>
      <c r="AF18" s="7013"/>
      <c r="AG18" s="7013"/>
      <c r="AH18" s="7013"/>
      <c r="AI18" s="7013"/>
      <c r="AJ18" s="7013"/>
      <c r="AK18" s="7013"/>
      <c r="AL18" s="7013"/>
      <c r="AM18" s="7013"/>
      <c r="AN18" s="7013"/>
      <c r="AO18" s="7013"/>
      <c r="AP18" s="2162"/>
      <c r="AX18" s="39">
        <v>1</v>
      </c>
      <c r="AY18" s="39" t="s">
        <v>2671</v>
      </c>
      <c r="BG18" s="2396"/>
      <c r="BH18" s="2038"/>
      <c r="BI18" s="2038"/>
      <c r="BJ18" s="2038"/>
      <c r="BK18" s="2038"/>
      <c r="BL18" s="2038"/>
      <c r="BM18" s="2038"/>
      <c r="BN18" s="2038"/>
      <c r="BO18" s="2038"/>
      <c r="BP18" s="2038"/>
    </row>
    <row r="19" spans="1:68" ht="15.75" customHeight="1">
      <c r="A19" s="2162"/>
      <c r="B19" s="7516" t="s">
        <v>365</v>
      </c>
      <c r="C19" s="7596"/>
      <c r="D19" s="7410" t="s">
        <v>2672</v>
      </c>
      <c r="E19" s="7519"/>
      <c r="F19" s="7519"/>
      <c r="G19" s="7519"/>
      <c r="H19" s="7520"/>
      <c r="I19" s="7497">
        <v>2</v>
      </c>
      <c r="J19" s="7566"/>
      <c r="K19" s="7531" t="s">
        <v>2673</v>
      </c>
      <c r="L19" s="7531"/>
      <c r="M19" s="7531"/>
      <c r="N19" s="7531"/>
      <c r="O19" s="7531"/>
      <c r="P19" s="7531"/>
      <c r="Q19" s="7531"/>
      <c r="R19" s="7531"/>
      <c r="S19" s="7531"/>
      <c r="T19" s="7531"/>
      <c r="U19" s="7531"/>
      <c r="V19" s="7531"/>
      <c r="W19" s="7531"/>
      <c r="X19" s="2436"/>
      <c r="Y19" s="2436"/>
      <c r="Z19" s="2436"/>
      <c r="AA19" s="7523" t="s">
        <v>2674</v>
      </c>
      <c r="AB19" s="7524"/>
      <c r="AC19" s="7524"/>
      <c r="AD19" s="7524"/>
      <c r="AE19" s="7527"/>
      <c r="AF19" s="7523" t="s">
        <v>2675</v>
      </c>
      <c r="AG19" s="7524"/>
      <c r="AH19" s="7524"/>
      <c r="AI19" s="7524"/>
      <c r="AJ19" s="7527"/>
      <c r="AK19" s="7523" t="s">
        <v>2676</v>
      </c>
      <c r="AL19" s="7524"/>
      <c r="AM19" s="7524"/>
      <c r="AN19" s="7524"/>
      <c r="AO19" s="7524"/>
      <c r="AP19" s="2162"/>
      <c r="AX19" s="39">
        <v>2</v>
      </c>
      <c r="AY19" s="39" t="s">
        <v>2677</v>
      </c>
      <c r="BG19" s="2396"/>
      <c r="BH19" s="2038"/>
      <c r="BI19" s="2038"/>
      <c r="BJ19" s="2038"/>
      <c r="BK19" s="2038"/>
      <c r="BL19" s="2038"/>
      <c r="BM19" s="2038"/>
      <c r="BN19" s="2038"/>
      <c r="BO19" s="2038"/>
      <c r="BP19" s="2038"/>
    </row>
    <row r="20" spans="1:68" ht="14.25" customHeight="1">
      <c r="A20" s="2162"/>
      <c r="B20" s="2442"/>
      <c r="C20" s="2443"/>
      <c r="D20" s="7597"/>
      <c r="E20" s="7521"/>
      <c r="F20" s="7521"/>
      <c r="G20" s="7521"/>
      <c r="H20" s="7522"/>
      <c r="I20" s="2437"/>
      <c r="J20" s="1823"/>
      <c r="K20" s="7532"/>
      <c r="L20" s="7532"/>
      <c r="M20" s="7532"/>
      <c r="N20" s="7532"/>
      <c r="O20" s="7532"/>
      <c r="P20" s="7532"/>
      <c r="Q20" s="7532"/>
      <c r="R20" s="7532"/>
      <c r="S20" s="7532"/>
      <c r="T20" s="7532"/>
      <c r="U20" s="7532"/>
      <c r="V20" s="7532"/>
      <c r="W20" s="7532"/>
      <c r="X20" s="1823"/>
      <c r="Y20" s="1823"/>
      <c r="Z20" s="1823"/>
      <c r="AA20" s="7525"/>
      <c r="AB20" s="7526"/>
      <c r="AC20" s="7526"/>
      <c r="AD20" s="7526"/>
      <c r="AE20" s="7528"/>
      <c r="AF20" s="7525"/>
      <c r="AG20" s="7526"/>
      <c r="AH20" s="7526"/>
      <c r="AI20" s="7526"/>
      <c r="AJ20" s="7528"/>
      <c r="AK20" s="7525"/>
      <c r="AL20" s="7526"/>
      <c r="AM20" s="7526"/>
      <c r="AN20" s="7526"/>
      <c r="AO20" s="7526"/>
      <c r="AP20" s="2162"/>
      <c r="AV20" s="2493">
        <f>IF(LeapYear,366,365)</f>
        <v>365</v>
      </c>
      <c r="AW20" s="2494"/>
      <c r="AX20" s="39">
        <v>3</v>
      </c>
      <c r="AY20" s="39" t="s">
        <v>2678</v>
      </c>
      <c r="BE20" s="2243" t="s">
        <v>2679</v>
      </c>
      <c r="BG20" s="2396"/>
      <c r="BH20" s="2038"/>
      <c r="BI20" s="2038"/>
      <c r="BJ20" s="2038"/>
      <c r="BK20" s="2038"/>
      <c r="BL20" s="2038"/>
      <c r="BM20" s="2038"/>
      <c r="BN20" s="2038"/>
      <c r="BO20" s="2038"/>
      <c r="BP20" s="2038"/>
    </row>
    <row r="21" spans="1:68" ht="15.75">
      <c r="A21" s="2162"/>
      <c r="B21" s="7515" t="s">
        <v>542</v>
      </c>
      <c r="C21" s="7427"/>
      <c r="D21" s="7507"/>
      <c r="E21" s="7508"/>
      <c r="F21" s="7508"/>
      <c r="G21" s="7508"/>
      <c r="H21" s="7509"/>
      <c r="I21" s="1150"/>
      <c r="J21" s="808"/>
      <c r="K21" s="7532"/>
      <c r="L21" s="7532"/>
      <c r="M21" s="7532"/>
      <c r="N21" s="7532"/>
      <c r="O21" s="7532"/>
      <c r="P21" s="7532"/>
      <c r="Q21" s="7532"/>
      <c r="R21" s="7532"/>
      <c r="S21" s="7532"/>
      <c r="T21" s="7532"/>
      <c r="U21" s="7532"/>
      <c r="V21" s="7532"/>
      <c r="W21" s="7532"/>
      <c r="X21" s="7510" t="s">
        <v>542</v>
      </c>
      <c r="Y21" s="7511"/>
      <c r="Z21" s="7512"/>
      <c r="AA21" s="6668"/>
      <c r="AB21" s="7394"/>
      <c r="AC21" s="7394"/>
      <c r="AD21" s="7394"/>
      <c r="AE21" s="7395"/>
      <c r="AF21" s="6668"/>
      <c r="AG21" s="7394"/>
      <c r="AH21" s="7394"/>
      <c r="AI21" s="7394"/>
      <c r="AJ21" s="7395"/>
      <c r="AK21" s="2444"/>
      <c r="AL21" s="2445"/>
      <c r="AM21" s="809"/>
      <c r="AN21" s="2445"/>
      <c r="AO21" s="2445"/>
      <c r="AP21" s="2162"/>
      <c r="AR21" s="902" t="b">
        <f>D21=8</f>
        <v>0</v>
      </c>
      <c r="AV21" s="2495" t="b">
        <f>AA21&gt;$AV$20</f>
        <v>0</v>
      </c>
      <c r="AW21" s="2496" t="b">
        <f>AF21&gt;$AV$20</f>
        <v>0</v>
      </c>
      <c r="AX21" s="39">
        <v>4</v>
      </c>
      <c r="AY21" s="39" t="s">
        <v>2680</v>
      </c>
      <c r="BE21" s="2244" t="b">
        <f>IF(AND(D21&lt;&gt;"",OR(D21&lt;1,D21&gt;8,ISERROR(V32))),TRUE,FALSE)</f>
        <v>0</v>
      </c>
      <c r="BG21" s="2396"/>
      <c r="BH21" s="2038"/>
      <c r="BI21" s="2038"/>
      <c r="BJ21" s="2038"/>
      <c r="BK21" s="2038"/>
      <c r="BL21" s="2038"/>
      <c r="BM21" s="2038"/>
      <c r="BN21" s="2038"/>
      <c r="BO21" s="2038"/>
      <c r="BP21" s="2038"/>
    </row>
    <row r="22" spans="1:68" ht="16.5" thickBot="1">
      <c r="A22" s="2162"/>
      <c r="B22" s="7515" t="s">
        <v>548</v>
      </c>
      <c r="C22" s="7427"/>
      <c r="D22" s="7507"/>
      <c r="E22" s="7508"/>
      <c r="F22" s="7508"/>
      <c r="G22" s="7508"/>
      <c r="H22" s="7509"/>
      <c r="I22" s="1150"/>
      <c r="J22" s="808"/>
      <c r="K22" s="7532"/>
      <c r="L22" s="7532"/>
      <c r="M22" s="7532"/>
      <c r="N22" s="7532"/>
      <c r="O22" s="7532"/>
      <c r="P22" s="7532"/>
      <c r="Q22" s="7532"/>
      <c r="R22" s="7532"/>
      <c r="S22" s="7532"/>
      <c r="T22" s="7532"/>
      <c r="U22" s="7532"/>
      <c r="V22" s="7532"/>
      <c r="W22" s="7532"/>
      <c r="X22" s="7510" t="s">
        <v>548</v>
      </c>
      <c r="Y22" s="7511"/>
      <c r="Z22" s="7512"/>
      <c r="AA22" s="6668"/>
      <c r="AB22" s="7394"/>
      <c r="AC22" s="7394"/>
      <c r="AD22" s="7394"/>
      <c r="AE22" s="7395"/>
      <c r="AF22" s="6668"/>
      <c r="AG22" s="7394"/>
      <c r="AH22" s="7394"/>
      <c r="AI22" s="7394"/>
      <c r="AJ22" s="7395"/>
      <c r="AK22" s="2444"/>
      <c r="AL22" s="2445"/>
      <c r="AM22" s="809"/>
      <c r="AN22" s="2445"/>
      <c r="AO22" s="2445"/>
      <c r="AP22" s="2162"/>
      <c r="AR22" s="902" t="b">
        <f>D22=8</f>
        <v>0</v>
      </c>
      <c r="AV22" s="2495" t="b">
        <f>AA22&gt;$AV$20</f>
        <v>0</v>
      </c>
      <c r="AW22" s="2496" t="b">
        <f>AF22&gt;$AV$20</f>
        <v>0</v>
      </c>
      <c r="AX22" s="39">
        <v>5</v>
      </c>
      <c r="AY22" s="39" t="s">
        <v>2681</v>
      </c>
      <c r="BE22" s="2244" t="b">
        <f>IF(AND(D22&lt;&gt;"",OR(D22&lt;1,D22&gt;8,ISERROR(AD32))),TRUE,FALSE)</f>
        <v>0</v>
      </c>
      <c r="BG22" s="2396"/>
      <c r="BH22" s="2038"/>
      <c r="BI22" s="2038"/>
      <c r="BJ22" s="2038"/>
      <c r="BK22" s="2038"/>
      <c r="BL22" s="2038"/>
      <c r="BM22" s="2038"/>
      <c r="BN22" s="2038"/>
      <c r="BO22" s="2038"/>
      <c r="BP22" s="2038"/>
    </row>
    <row r="23" spans="1:68" ht="15.75">
      <c r="A23" s="2162"/>
      <c r="B23" s="7515" t="s">
        <v>550</v>
      </c>
      <c r="C23" s="7427"/>
      <c r="D23" s="7507"/>
      <c r="E23" s="7508"/>
      <c r="F23" s="7508"/>
      <c r="G23" s="7508"/>
      <c r="H23" s="7509"/>
      <c r="I23" s="1154"/>
      <c r="J23" s="1121"/>
      <c r="K23" s="7533"/>
      <c r="L23" s="7533"/>
      <c r="M23" s="7533"/>
      <c r="N23" s="7533"/>
      <c r="O23" s="7533"/>
      <c r="P23" s="7533"/>
      <c r="Q23" s="7533"/>
      <c r="R23" s="7533"/>
      <c r="S23" s="7533"/>
      <c r="T23" s="7533"/>
      <c r="U23" s="7533"/>
      <c r="V23" s="7533"/>
      <c r="W23" s="7533"/>
      <c r="X23" s="7510" t="s">
        <v>550</v>
      </c>
      <c r="Y23" s="7511"/>
      <c r="Z23" s="7512"/>
      <c r="AA23" s="6668"/>
      <c r="AB23" s="7394"/>
      <c r="AC23" s="7394"/>
      <c r="AD23" s="7394"/>
      <c r="AE23" s="7395"/>
      <c r="AF23" s="6668"/>
      <c r="AG23" s="7394"/>
      <c r="AH23" s="7394"/>
      <c r="AI23" s="7394"/>
      <c r="AJ23" s="7395"/>
      <c r="AK23" s="2444"/>
      <c r="AL23" s="2445"/>
      <c r="AM23" s="809"/>
      <c r="AN23" s="2445"/>
      <c r="AO23" s="2445"/>
      <c r="AP23" s="2162"/>
      <c r="AR23" s="902" t="b">
        <f>D23=8</f>
        <v>0</v>
      </c>
      <c r="AV23" s="2497" t="b">
        <f>AA23&gt;$AV$20</f>
        <v>0</v>
      </c>
      <c r="AW23" s="2498" t="b">
        <f>AF23&gt;$AV$20</f>
        <v>0</v>
      </c>
      <c r="AX23" s="39">
        <v>6</v>
      </c>
      <c r="AY23" s="39" t="s">
        <v>2682</v>
      </c>
      <c r="AZ23" s="4630" t="s">
        <v>542</v>
      </c>
      <c r="BA23" s="4631" t="s">
        <v>548</v>
      </c>
      <c r="BB23" s="4631" t="s">
        <v>550</v>
      </c>
      <c r="BC23" s="4632" t="s">
        <v>248</v>
      </c>
      <c r="BE23" s="2244" t="b">
        <f>IF(AND(D23&lt;&gt;"",OR(D23&lt;1,D23&gt;8,ISERROR(AJ32))),TRUE,FALSE)</f>
        <v>0</v>
      </c>
      <c r="BG23" s="2396"/>
      <c r="BH23" s="2038"/>
      <c r="BI23" s="2038"/>
      <c r="BJ23" s="2038"/>
      <c r="BK23" s="2038"/>
      <c r="BL23" s="2038"/>
      <c r="BM23" s="2038"/>
      <c r="BN23" s="2038"/>
      <c r="BO23" s="2038"/>
      <c r="BP23" s="2038"/>
    </row>
    <row r="24" spans="1:68" ht="14.25" customHeight="1">
      <c r="A24" s="2162"/>
      <c r="B24" s="2448" t="s">
        <v>2683</v>
      </c>
      <c r="C24" s="2446"/>
      <c r="D24" s="1746"/>
      <c r="E24" s="1715"/>
      <c r="F24" s="1715"/>
      <c r="G24" s="1715"/>
      <c r="H24" s="1715"/>
      <c r="I24" s="2490" t="str">
        <f>IF(BE24,"The 'Type of Property' must be entered as a number (1 - 8).","")</f>
        <v/>
      </c>
      <c r="J24" s="1715"/>
      <c r="K24" s="1715"/>
      <c r="L24" s="1715"/>
      <c r="M24" s="1715"/>
      <c r="N24" s="1715"/>
      <c r="O24" s="1715"/>
      <c r="P24" s="1715"/>
      <c r="Q24" s="1715"/>
      <c r="R24" s="1715"/>
      <c r="S24" s="1715"/>
      <c r="T24" s="1715"/>
      <c r="U24" s="1715"/>
      <c r="V24" s="1715"/>
      <c r="W24" s="1715"/>
      <c r="X24" s="1715"/>
      <c r="Y24" s="1715"/>
      <c r="Z24" s="1715"/>
      <c r="AA24" s="1715"/>
      <c r="AB24" s="1715"/>
      <c r="AC24" s="1715"/>
      <c r="AD24" s="2490" t="str">
        <f>IF(OR(AV21,AV22,AV23,AW21,AW22,AW23),"Must be "&amp;AV20&amp;" or less.","")</f>
        <v/>
      </c>
      <c r="AE24" s="1715"/>
      <c r="AF24" s="1715"/>
      <c r="AG24" s="1715"/>
      <c r="AH24" s="1715"/>
      <c r="AI24" s="1715"/>
      <c r="AJ24" s="1715"/>
      <c r="AK24" s="1715"/>
      <c r="AL24" s="1715"/>
      <c r="AM24" s="1715"/>
      <c r="AN24" s="1715"/>
      <c r="AO24" s="1715"/>
      <c r="AP24" s="2162"/>
      <c r="AR24" s="902" t="b">
        <f>OR(AR21:AR23)</f>
        <v>0</v>
      </c>
      <c r="AX24" s="39">
        <v>7</v>
      </c>
      <c r="AY24" s="39" t="s">
        <v>2684</v>
      </c>
      <c r="AZ24" s="4633">
        <f>IF(D21&lt;&gt;6,V30,0)</f>
        <v>0</v>
      </c>
      <c r="BA24" s="2722">
        <f>IF(D22&lt;&gt;6,AD30,0)</f>
        <v>0</v>
      </c>
      <c r="BB24" s="2722">
        <f>IF(D23&lt;&gt;6,AJ30,0)</f>
        <v>0</v>
      </c>
      <c r="BC24" s="4634">
        <f>SUM(AZ24:BB24)</f>
        <v>0</v>
      </c>
      <c r="BE24" s="2244" t="b">
        <f>OR(BE21,BE22,BE23)</f>
        <v>0</v>
      </c>
      <c r="BG24" s="2396"/>
      <c r="BH24" s="2038"/>
      <c r="BI24" s="2038"/>
      <c r="BJ24" s="2038"/>
      <c r="BK24" s="2038"/>
      <c r="BL24" s="2038"/>
      <c r="BM24" s="2038"/>
      <c r="BN24" s="2038"/>
      <c r="BO24" s="2038"/>
      <c r="BP24" s="2038"/>
    </row>
    <row r="25" spans="1:68" ht="16.5" customHeight="1" thickBot="1">
      <c r="A25" s="2162"/>
      <c r="B25" s="2446">
        <v>1</v>
      </c>
      <c r="C25" s="2447" t="s">
        <v>2671</v>
      </c>
      <c r="D25" s="1746"/>
      <c r="E25" s="1715"/>
      <c r="F25" s="1715"/>
      <c r="G25" s="1715"/>
      <c r="H25" s="1715"/>
      <c r="I25" s="1715"/>
      <c r="J25" s="1715"/>
      <c r="K25" s="2450">
        <v>3</v>
      </c>
      <c r="L25" s="2449" t="s">
        <v>2685</v>
      </c>
      <c r="M25" s="1715"/>
      <c r="N25" s="1715"/>
      <c r="O25" s="1715"/>
      <c r="P25" s="1715"/>
      <c r="Q25" s="1715"/>
      <c r="R25" s="1715"/>
      <c r="S25" s="1715"/>
      <c r="T25" s="1715"/>
      <c r="U25" s="2450">
        <v>5</v>
      </c>
      <c r="V25" s="2449" t="s">
        <v>2681</v>
      </c>
      <c r="W25" s="1715"/>
      <c r="X25" s="1715"/>
      <c r="Y25" s="1715"/>
      <c r="Z25" s="2450"/>
      <c r="AA25" s="2450">
        <v>7</v>
      </c>
      <c r="AB25" s="2449" t="s">
        <v>2684</v>
      </c>
      <c r="AC25" s="1715"/>
      <c r="AD25" s="1715"/>
      <c r="AE25" s="1715"/>
      <c r="AF25" s="1715"/>
      <c r="AG25" s="1715"/>
      <c r="AH25" s="1715"/>
      <c r="AI25" s="1715"/>
      <c r="AJ25" s="1715"/>
      <c r="AK25" s="1715"/>
      <c r="AL25" s="1715"/>
      <c r="AM25" s="1715"/>
      <c r="AN25" s="1715"/>
      <c r="AO25" s="1715"/>
      <c r="AP25" s="2162"/>
      <c r="AR25" s="7326" t="str">
        <f>IF($AR$24,"Attach a statement to your return describing the property.","")</f>
        <v/>
      </c>
      <c r="AS25" s="7326"/>
      <c r="AX25" s="39">
        <v>8</v>
      </c>
      <c r="AY25" s="39" t="s">
        <v>283</v>
      </c>
      <c r="AZ25" s="4635">
        <f>IF(D21=6,V31,0)</f>
        <v>0</v>
      </c>
      <c r="BA25" s="4636">
        <f>IF(D22=6,AD31,0)</f>
        <v>0</v>
      </c>
      <c r="BB25" s="4636">
        <f>IF(D23=6,AJ31,0)</f>
        <v>0</v>
      </c>
      <c r="BC25" s="4637">
        <f>SUM(AZ25:BB25)</f>
        <v>0</v>
      </c>
      <c r="BE25" s="2245"/>
      <c r="BG25" s="2396"/>
      <c r="BH25" s="2038"/>
      <c r="BI25" s="2038"/>
      <c r="BJ25" s="2038"/>
      <c r="BK25" s="2038"/>
      <c r="BL25" s="2038"/>
      <c r="BM25" s="2038"/>
      <c r="BN25" s="2038"/>
      <c r="BO25" s="2038"/>
      <c r="BP25" s="2038"/>
    </row>
    <row r="26" spans="1:68" ht="14.25" customHeight="1">
      <c r="A26" s="2162"/>
      <c r="B26" s="2446">
        <v>2</v>
      </c>
      <c r="C26" s="2447" t="s">
        <v>2677</v>
      </c>
      <c r="D26" s="1746"/>
      <c r="E26" s="1715"/>
      <c r="F26" s="1715"/>
      <c r="G26" s="1715"/>
      <c r="H26" s="1715"/>
      <c r="I26" s="1715"/>
      <c r="J26" s="1715"/>
      <c r="K26" s="2450">
        <v>4</v>
      </c>
      <c r="L26" s="2449" t="s">
        <v>2680</v>
      </c>
      <c r="M26" s="1715"/>
      <c r="N26" s="1715"/>
      <c r="O26" s="1715"/>
      <c r="P26" s="1715"/>
      <c r="Q26" s="1715"/>
      <c r="R26" s="1715"/>
      <c r="S26" s="1715"/>
      <c r="T26" s="1715"/>
      <c r="U26" s="2450">
        <v>6</v>
      </c>
      <c r="V26" s="2449" t="s">
        <v>2682</v>
      </c>
      <c r="W26" s="1715"/>
      <c r="X26" s="1715"/>
      <c r="Y26" s="1715"/>
      <c r="Z26" s="2450"/>
      <c r="AA26" s="2450">
        <v>8</v>
      </c>
      <c r="AB26" s="2449" t="s">
        <v>2686</v>
      </c>
      <c r="AC26" s="1715"/>
      <c r="AD26" s="1715"/>
      <c r="AE26" s="1715"/>
      <c r="AF26" s="1715"/>
      <c r="AG26" s="1715"/>
      <c r="AH26" s="7598"/>
      <c r="AI26" s="7598"/>
      <c r="AJ26" s="7598"/>
      <c r="AK26" s="7598"/>
      <c r="AL26" s="7598"/>
      <c r="AM26" s="7598"/>
      <c r="AN26" s="7598"/>
      <c r="AO26" s="7598"/>
      <c r="AP26" s="2162"/>
      <c r="AQ26" s="676"/>
      <c r="AR26" s="7326"/>
      <c r="AS26" s="7326"/>
      <c r="AT26" s="904"/>
      <c r="BG26" s="2396"/>
      <c r="BH26" s="2038"/>
      <c r="BI26" s="2038"/>
      <c r="BJ26" s="2038"/>
      <c r="BK26" s="2038"/>
      <c r="BL26" s="2038"/>
      <c r="BM26" s="2038"/>
      <c r="BN26" s="2038"/>
      <c r="BO26" s="2038"/>
      <c r="BP26" s="2038"/>
    </row>
    <row r="27" spans="1:68" ht="8.25" customHeight="1" thickBot="1">
      <c r="A27" s="2162"/>
      <c r="B27" s="2446"/>
      <c r="C27" s="2447"/>
      <c r="D27" s="1746"/>
      <c r="E27" s="1715"/>
      <c r="F27" s="1715"/>
      <c r="G27" s="1715"/>
      <c r="H27" s="1715"/>
      <c r="I27" s="1715"/>
      <c r="J27" s="1715"/>
      <c r="K27" s="2450"/>
      <c r="L27" s="2449"/>
      <c r="M27" s="1715"/>
      <c r="N27" s="1715"/>
      <c r="O27" s="1715"/>
      <c r="P27" s="1715"/>
      <c r="Q27" s="1715"/>
      <c r="R27" s="1715"/>
      <c r="S27" s="1715"/>
      <c r="T27" s="1715"/>
      <c r="U27" s="2450"/>
      <c r="V27" s="2449"/>
      <c r="W27" s="1715"/>
      <c r="X27" s="1715"/>
      <c r="Y27" s="1715"/>
      <c r="Z27" s="2450"/>
      <c r="AA27" s="2450"/>
      <c r="AB27" s="2449"/>
      <c r="AC27" s="1715"/>
      <c r="AD27" s="1715"/>
      <c r="AE27" s="1715"/>
      <c r="AF27" s="1715"/>
      <c r="AG27" s="1715"/>
      <c r="AH27" s="1715"/>
      <c r="AI27" s="1715"/>
      <c r="AJ27" s="1715"/>
      <c r="AK27" s="1715"/>
      <c r="AL27" s="1715"/>
      <c r="AM27" s="1715"/>
      <c r="AN27" s="1715"/>
      <c r="AO27" s="1715"/>
      <c r="AP27" s="2162"/>
      <c r="AQ27" s="676"/>
      <c r="AR27" s="7326"/>
      <c r="AS27" s="7326"/>
      <c r="AT27" s="904"/>
      <c r="BG27" s="2396"/>
      <c r="BH27" s="2038"/>
      <c r="BI27" s="2038"/>
      <c r="BJ27" s="2038"/>
      <c r="BK27" s="2038"/>
      <c r="BL27" s="2038"/>
      <c r="BM27" s="2038"/>
      <c r="BN27" s="2038"/>
      <c r="BO27" s="2038"/>
      <c r="BP27" s="2038"/>
    </row>
    <row r="28" spans="1:68" ht="14.25" customHeight="1">
      <c r="A28" s="2162"/>
      <c r="B28" s="4963"/>
      <c r="C28" s="4980"/>
      <c r="D28" s="4981"/>
      <c r="E28" s="4442"/>
      <c r="F28" s="4442"/>
      <c r="G28" s="4442"/>
      <c r="H28" s="4442"/>
      <c r="I28" s="4442"/>
      <c r="J28" s="4442"/>
      <c r="K28" s="4442"/>
      <c r="L28" s="4442"/>
      <c r="M28" s="4442"/>
      <c r="N28" s="4442"/>
      <c r="O28" s="4442"/>
      <c r="P28" s="4442"/>
      <c r="Q28" s="4442"/>
      <c r="R28" s="4982"/>
      <c r="S28" s="4442"/>
      <c r="T28" s="4982"/>
      <c r="U28" s="4983"/>
      <c r="V28" s="7538" t="s">
        <v>2687</v>
      </c>
      <c r="W28" s="7539"/>
      <c r="X28" s="7539"/>
      <c r="Y28" s="7539"/>
      <c r="Z28" s="7539"/>
      <c r="AA28" s="7539"/>
      <c r="AB28" s="7539"/>
      <c r="AC28" s="7539"/>
      <c r="AD28" s="7539"/>
      <c r="AE28" s="7539"/>
      <c r="AF28" s="7539"/>
      <c r="AG28" s="7539"/>
      <c r="AH28" s="7539"/>
      <c r="AI28" s="7539"/>
      <c r="AJ28" s="7539"/>
      <c r="AK28" s="7539"/>
      <c r="AL28" s="7539"/>
      <c r="AM28" s="7539"/>
      <c r="AN28" s="7539"/>
      <c r="AO28" s="7539"/>
      <c r="AP28" s="2162"/>
      <c r="AR28" s="3201"/>
      <c r="AS28" s="904"/>
      <c r="AT28" s="904"/>
      <c r="AZ28" s="39" t="b">
        <f>IF(AND($D$21="",OR($V$30&gt;0,$V$31&gt;0)),TRUE,FALSE)</f>
        <v>0</v>
      </c>
      <c r="BA28" s="39" t="b">
        <f>IF(AND($D$22="",OR($AD$30&gt;0,$AD$31&gt;0)),TRUE,FALSE)</f>
        <v>0</v>
      </c>
      <c r="BB28" s="39" t="b">
        <f>IF(AND($D$23="",OR($AJ$30&gt;0,$AJ$31&gt;0)),TRUE,FALSE)</f>
        <v>0</v>
      </c>
      <c r="BG28" s="2396"/>
      <c r="BH28" s="2038"/>
      <c r="BI28" s="2038"/>
      <c r="BJ28" s="2038"/>
      <c r="BK28" s="2038"/>
      <c r="BL28" s="2038"/>
      <c r="BM28" s="2038"/>
      <c r="BN28" s="2038"/>
      <c r="BO28" s="2038"/>
      <c r="BP28" s="2038"/>
    </row>
    <row r="29" spans="1:68" ht="14.25" customHeight="1">
      <c r="A29" s="2162"/>
      <c r="B29" s="3243" t="s">
        <v>2688</v>
      </c>
      <c r="C29" s="2446"/>
      <c r="D29" s="1746"/>
      <c r="E29" s="1715"/>
      <c r="F29" s="1715"/>
      <c r="G29" s="1715"/>
      <c r="H29" s="1715"/>
      <c r="I29" s="1715"/>
      <c r="J29" s="1715"/>
      <c r="K29" s="1715"/>
      <c r="L29" s="1715"/>
      <c r="M29" s="1715"/>
      <c r="N29" s="1715"/>
      <c r="O29" s="1715"/>
      <c r="P29" s="1715"/>
      <c r="Q29" s="1715"/>
      <c r="R29" s="3173"/>
      <c r="S29" s="1715"/>
      <c r="T29" s="3173"/>
      <c r="U29" s="2341"/>
      <c r="V29" s="7475" t="s">
        <v>542</v>
      </c>
      <c r="W29" s="7534"/>
      <c r="X29" s="7534"/>
      <c r="Y29" s="7534"/>
      <c r="Z29" s="7534"/>
      <c r="AA29" s="7534"/>
      <c r="AB29" s="7534"/>
      <c r="AC29" s="7476"/>
      <c r="AD29" s="7535" t="s">
        <v>548</v>
      </c>
      <c r="AE29" s="7536"/>
      <c r="AF29" s="7536"/>
      <c r="AG29" s="7536"/>
      <c r="AH29" s="7536"/>
      <c r="AI29" s="7537"/>
      <c r="AJ29" s="7535" t="s">
        <v>550</v>
      </c>
      <c r="AK29" s="7536"/>
      <c r="AL29" s="7536"/>
      <c r="AM29" s="7536"/>
      <c r="AN29" s="7536"/>
      <c r="AO29" s="7536"/>
      <c r="AP29" s="2162"/>
      <c r="AR29" s="3201"/>
      <c r="AS29" s="904"/>
      <c r="AT29" s="904"/>
      <c r="AZ29" s="39" t="b">
        <f>IF(AND($D$21="",OR($V$30&gt;0,$V$31&gt;0)),TRUE,FALSE)</f>
        <v>0</v>
      </c>
      <c r="BA29" s="39" t="b">
        <f>IF(AND($D$22="",OR($AD$30&gt;0,$AD$31&gt;0)),TRUE,FALSE)</f>
        <v>0</v>
      </c>
      <c r="BB29" s="39" t="b">
        <f>IF(AND($D$23="",OR($AJ$30&gt;0,$AJ$31&gt;0)),TRUE,FALSE)</f>
        <v>0</v>
      </c>
      <c r="BG29" s="2396"/>
      <c r="BH29" s="2038"/>
      <c r="BI29" s="2038"/>
      <c r="BJ29" s="2038"/>
      <c r="BK29" s="2038"/>
      <c r="BL29" s="2038"/>
      <c r="BM29" s="2038"/>
      <c r="BN29" s="2038"/>
      <c r="BO29" s="2038"/>
      <c r="BP29" s="2038"/>
    </row>
    <row r="30" spans="1:68" ht="14.25" customHeight="1">
      <c r="A30" s="2162"/>
      <c r="B30" s="7474">
        <v>3</v>
      </c>
      <c r="C30" s="7413"/>
      <c r="D30" s="2447" t="s">
        <v>2689</v>
      </c>
      <c r="E30" s="1715"/>
      <c r="F30" s="1715"/>
      <c r="G30" s="1715"/>
      <c r="H30" s="1715"/>
      <c r="I30" s="1715"/>
      <c r="J30" s="1715"/>
      <c r="K30" s="1715"/>
      <c r="L30" s="1715"/>
      <c r="M30" s="1715"/>
      <c r="N30" s="1715"/>
      <c r="O30" s="1715"/>
      <c r="P30" s="1715"/>
      <c r="Q30" s="1715"/>
      <c r="R30" s="1715"/>
      <c r="S30" s="2335" t="s">
        <v>642</v>
      </c>
      <c r="T30" s="7475">
        <v>3</v>
      </c>
      <c r="U30" s="7476"/>
      <c r="V30" s="7513"/>
      <c r="W30" s="7514"/>
      <c r="X30" s="7514"/>
      <c r="Y30" s="7514"/>
      <c r="Z30" s="7514"/>
      <c r="AA30" s="7514"/>
      <c r="AB30" s="7514"/>
      <c r="AC30" s="7530"/>
      <c r="AD30" s="7513"/>
      <c r="AE30" s="7514"/>
      <c r="AF30" s="7514"/>
      <c r="AG30" s="7514"/>
      <c r="AH30" s="7514"/>
      <c r="AI30" s="7530"/>
      <c r="AJ30" s="7513"/>
      <c r="AK30" s="7514"/>
      <c r="AL30" s="7514"/>
      <c r="AM30" s="7514"/>
      <c r="AN30" s="7514"/>
      <c r="AO30" s="7514"/>
      <c r="AP30" s="2162"/>
      <c r="AR30" s="904"/>
      <c r="AS30" s="904"/>
      <c r="AT30" s="904"/>
      <c r="BG30" s="2396"/>
      <c r="BH30" s="2038"/>
      <c r="BI30" s="2038"/>
      <c r="BJ30" s="2038"/>
      <c r="BK30" s="2038"/>
      <c r="BL30" s="2038"/>
      <c r="BM30" s="2038"/>
      <c r="BN30" s="2038"/>
      <c r="BO30" s="2038"/>
      <c r="BP30" s="2038"/>
    </row>
    <row r="31" spans="1:68" ht="14.25" customHeight="1">
      <c r="A31" s="2162"/>
      <c r="B31" s="7529">
        <v>4</v>
      </c>
      <c r="C31" s="7415"/>
      <c r="D31" s="2453" t="s">
        <v>2690</v>
      </c>
      <c r="E31" s="1719"/>
      <c r="F31" s="1719"/>
      <c r="G31" s="1719"/>
      <c r="H31" s="1719"/>
      <c r="I31" s="1719"/>
      <c r="J31" s="1719"/>
      <c r="K31" s="1719"/>
      <c r="L31" s="1719"/>
      <c r="M31" s="1719"/>
      <c r="N31" s="1719"/>
      <c r="O31" s="1719"/>
      <c r="P31" s="1719"/>
      <c r="Q31" s="1719"/>
      <c r="R31" s="1719"/>
      <c r="S31" s="2762" t="s">
        <v>646</v>
      </c>
      <c r="T31" s="7475">
        <v>4</v>
      </c>
      <c r="U31" s="7476"/>
      <c r="V31" s="7513"/>
      <c r="W31" s="7514"/>
      <c r="X31" s="7514"/>
      <c r="Y31" s="7514"/>
      <c r="Z31" s="7514"/>
      <c r="AA31" s="7514"/>
      <c r="AB31" s="7514"/>
      <c r="AC31" s="7530"/>
      <c r="AD31" s="7513"/>
      <c r="AE31" s="7514"/>
      <c r="AF31" s="7514"/>
      <c r="AG31" s="7514"/>
      <c r="AH31" s="7514"/>
      <c r="AI31" s="7530"/>
      <c r="AJ31" s="7513"/>
      <c r="AK31" s="7514"/>
      <c r="AL31" s="7514"/>
      <c r="AM31" s="7514"/>
      <c r="AN31" s="7514"/>
      <c r="AO31" s="7514"/>
      <c r="AP31" s="2162"/>
      <c r="BG31" s="2396"/>
      <c r="BH31" s="2038"/>
      <c r="BI31" s="2038"/>
      <c r="BJ31" s="2038"/>
      <c r="BK31" s="2038"/>
      <c r="BL31" s="2038"/>
      <c r="BM31" s="2038"/>
      <c r="BN31" s="2038"/>
      <c r="BO31" s="2038"/>
      <c r="BP31" s="2038"/>
    </row>
    <row r="32" spans="1:68" ht="14.25" customHeight="1">
      <c r="A32" s="2162"/>
      <c r="B32" s="2458" t="s">
        <v>2691</v>
      </c>
      <c r="C32" s="2454"/>
      <c r="D32" s="4722"/>
      <c r="E32" s="2455"/>
      <c r="F32" s="2491"/>
      <c r="G32" s="2491" t="str">
        <f>IF(OR($AZ$29,$BA$29,$BB$29),"Please enter property type in Line 1b.","")</f>
        <v/>
      </c>
      <c r="H32" s="2455"/>
      <c r="I32" s="2455"/>
      <c r="J32" s="2455"/>
      <c r="K32" s="2455"/>
      <c r="L32" s="2455"/>
      <c r="M32" s="2455"/>
      <c r="N32" s="2455"/>
      <c r="O32" s="2455"/>
      <c r="P32" s="2455"/>
      <c r="Q32" s="2455"/>
      <c r="R32" s="2455"/>
      <c r="S32" s="2455"/>
      <c r="T32" s="2456"/>
      <c r="U32" s="2457"/>
      <c r="V32" s="7416" t="str">
        <f>IF(D21="","",LOOKUP(D21,$AX$18:$AX$25,$AY$18:$AY$25))</f>
        <v/>
      </c>
      <c r="W32" s="7417"/>
      <c r="X32" s="7417"/>
      <c r="Y32" s="7417"/>
      <c r="Z32" s="7417"/>
      <c r="AA32" s="7417"/>
      <c r="AB32" s="7417"/>
      <c r="AC32" s="7278"/>
      <c r="AD32" s="7416" t="str">
        <f>IF(D22="","",LOOKUP(D22,$AX$18:$AX$25,$AY$18:$AY$25))</f>
        <v/>
      </c>
      <c r="AE32" s="7417"/>
      <c r="AF32" s="7417"/>
      <c r="AG32" s="7417"/>
      <c r="AH32" s="7417"/>
      <c r="AI32" s="7278"/>
      <c r="AJ32" s="7416" t="str">
        <f>IF(D23="","",LOOKUP(D23,$AX$18:$AX$25,$AY$18:$AY$25))</f>
        <v/>
      </c>
      <c r="AK32" s="7417"/>
      <c r="AL32" s="7417"/>
      <c r="AM32" s="7417"/>
      <c r="AN32" s="7417"/>
      <c r="AO32" s="7417"/>
      <c r="AP32" s="2162"/>
      <c r="BG32" s="2396"/>
      <c r="BH32" s="2038"/>
      <c r="BI32" s="2038"/>
      <c r="BJ32" s="2038"/>
      <c r="BK32" s="2038"/>
      <c r="BL32" s="2038"/>
      <c r="BM32" s="2038"/>
      <c r="BN32" s="2038"/>
      <c r="BO32" s="2038"/>
      <c r="BP32" s="2038"/>
    </row>
    <row r="33" spans="1:68" ht="14.25" customHeight="1">
      <c r="A33" s="2162"/>
      <c r="B33" s="7474">
        <v>5</v>
      </c>
      <c r="C33" s="7413"/>
      <c r="D33" s="2447" t="s">
        <v>2692</v>
      </c>
      <c r="E33" s="1715"/>
      <c r="F33" s="1715"/>
      <c r="G33" s="1715"/>
      <c r="H33" s="1715"/>
      <c r="I33" s="1715"/>
      <c r="J33" s="1715"/>
      <c r="K33" s="1715"/>
      <c r="L33" s="1715"/>
      <c r="M33" s="1715"/>
      <c r="N33" s="1715"/>
      <c r="O33" s="1715"/>
      <c r="P33" s="1715"/>
      <c r="Q33" s="1715"/>
      <c r="R33" s="1715"/>
      <c r="S33" s="2760" t="s">
        <v>2162</v>
      </c>
      <c r="T33" s="7479">
        <v>5</v>
      </c>
      <c r="U33" s="7480"/>
      <c r="V33" s="7502"/>
      <c r="W33" s="7502"/>
      <c r="X33" s="7502"/>
      <c r="Y33" s="7502"/>
      <c r="Z33" s="7502"/>
      <c r="AA33" s="7502"/>
      <c r="AB33" s="7502"/>
      <c r="AC33" s="7503"/>
      <c r="AD33" s="7504"/>
      <c r="AE33" s="7502"/>
      <c r="AF33" s="7502"/>
      <c r="AG33" s="7502"/>
      <c r="AH33" s="7502"/>
      <c r="AI33" s="7503"/>
      <c r="AJ33" s="7504"/>
      <c r="AK33" s="7502"/>
      <c r="AL33" s="7502"/>
      <c r="AM33" s="7502"/>
      <c r="AN33" s="7502"/>
      <c r="AO33" s="7502"/>
      <c r="AP33" s="2162"/>
      <c r="BG33" s="2396"/>
      <c r="BH33" s="2038"/>
      <c r="BI33" s="2038"/>
      <c r="BJ33" s="2038"/>
      <c r="BK33" s="2038"/>
      <c r="BL33" s="2038"/>
      <c r="BM33" s="2038"/>
      <c r="BN33" s="2038"/>
      <c r="BO33" s="2038"/>
      <c r="BP33" s="2038"/>
    </row>
    <row r="34" spans="1:68" ht="14.25" customHeight="1">
      <c r="A34" s="2162"/>
      <c r="B34" s="7474">
        <v>6</v>
      </c>
      <c r="C34" s="7413"/>
      <c r="D34" s="2447" t="s">
        <v>2693</v>
      </c>
      <c r="E34" s="1715"/>
      <c r="F34" s="1715"/>
      <c r="G34" s="1715"/>
      <c r="H34" s="1715"/>
      <c r="I34" s="1715"/>
      <c r="J34" s="1715"/>
      <c r="K34" s="1715"/>
      <c r="L34" s="1715"/>
      <c r="M34" s="1715"/>
      <c r="N34" s="1715"/>
      <c r="O34" s="1715"/>
      <c r="P34" s="1715"/>
      <c r="Q34" s="1715"/>
      <c r="R34" s="1715"/>
      <c r="S34" s="2760" t="s">
        <v>654</v>
      </c>
      <c r="T34" s="7479">
        <v>6</v>
      </c>
      <c r="U34" s="7480"/>
      <c r="V34" s="7502"/>
      <c r="W34" s="7502"/>
      <c r="X34" s="7502"/>
      <c r="Y34" s="7502"/>
      <c r="Z34" s="7502"/>
      <c r="AA34" s="7502"/>
      <c r="AB34" s="7502"/>
      <c r="AC34" s="7503"/>
      <c r="AD34" s="7504"/>
      <c r="AE34" s="7502"/>
      <c r="AF34" s="7502"/>
      <c r="AG34" s="7502"/>
      <c r="AH34" s="7502"/>
      <c r="AI34" s="7503"/>
      <c r="AJ34" s="7504"/>
      <c r="AK34" s="7502"/>
      <c r="AL34" s="7502"/>
      <c r="AM34" s="7502"/>
      <c r="AN34" s="7502"/>
      <c r="AO34" s="7502"/>
      <c r="AP34" s="2162"/>
      <c r="BG34" s="2396"/>
      <c r="BH34" s="2038"/>
      <c r="BI34" s="2038"/>
      <c r="BJ34" s="2038"/>
      <c r="BK34" s="2038"/>
      <c r="BL34" s="2038"/>
      <c r="BM34" s="2038"/>
      <c r="BN34" s="2038"/>
      <c r="BO34" s="2038"/>
      <c r="BP34" s="2038"/>
    </row>
    <row r="35" spans="1:68" ht="14.25" customHeight="1">
      <c r="A35" s="2162"/>
      <c r="B35" s="7474">
        <v>7</v>
      </c>
      <c r="C35" s="7413"/>
      <c r="D35" s="2447" t="s">
        <v>2694</v>
      </c>
      <c r="E35" s="1715"/>
      <c r="F35" s="1715"/>
      <c r="G35" s="1715"/>
      <c r="H35" s="1715"/>
      <c r="I35" s="1715"/>
      <c r="J35" s="1715"/>
      <c r="K35" s="1715"/>
      <c r="L35" s="1715"/>
      <c r="M35" s="1715"/>
      <c r="N35" s="1715"/>
      <c r="O35" s="1715"/>
      <c r="P35" s="1715"/>
      <c r="Q35" s="1715"/>
      <c r="R35" s="1715"/>
      <c r="S35" s="2760" t="s">
        <v>752</v>
      </c>
      <c r="T35" s="7479">
        <v>7</v>
      </c>
      <c r="U35" s="7480"/>
      <c r="V35" s="7502"/>
      <c r="W35" s="7502"/>
      <c r="X35" s="7502"/>
      <c r="Y35" s="7502"/>
      <c r="Z35" s="7502"/>
      <c r="AA35" s="7502"/>
      <c r="AB35" s="7502"/>
      <c r="AC35" s="7503"/>
      <c r="AD35" s="7504"/>
      <c r="AE35" s="7502"/>
      <c r="AF35" s="7502"/>
      <c r="AG35" s="7502"/>
      <c r="AH35" s="7502"/>
      <c r="AI35" s="7503"/>
      <c r="AJ35" s="7504"/>
      <c r="AK35" s="7502"/>
      <c r="AL35" s="7502"/>
      <c r="AM35" s="7502"/>
      <c r="AN35" s="7502"/>
      <c r="AO35" s="7502"/>
      <c r="AP35" s="2162"/>
      <c r="BG35" s="2396"/>
      <c r="BH35" s="2038"/>
      <c r="BI35" s="2038"/>
      <c r="BJ35" s="2038"/>
      <c r="BK35" s="2038"/>
      <c r="BL35" s="2038"/>
      <c r="BM35" s="2038"/>
      <c r="BN35" s="2038"/>
      <c r="BO35" s="2038"/>
      <c r="BP35" s="2038"/>
    </row>
    <row r="36" spans="1:68" ht="14.25" customHeight="1">
      <c r="A36" s="2162"/>
      <c r="B36" s="7474">
        <v>8</v>
      </c>
      <c r="C36" s="7413"/>
      <c r="D36" s="2447" t="s">
        <v>2695</v>
      </c>
      <c r="E36" s="1715"/>
      <c r="F36" s="1715"/>
      <c r="G36" s="1715"/>
      <c r="H36" s="1715"/>
      <c r="I36" s="1715"/>
      <c r="J36" s="1715"/>
      <c r="K36" s="1715"/>
      <c r="L36" s="1715"/>
      <c r="M36" s="1715"/>
      <c r="N36" s="1715"/>
      <c r="O36" s="1715"/>
      <c r="P36" s="1715"/>
      <c r="Q36" s="1715"/>
      <c r="R36" s="1715"/>
      <c r="S36" s="2760" t="s">
        <v>650</v>
      </c>
      <c r="T36" s="7479">
        <v>8</v>
      </c>
      <c r="U36" s="7480"/>
      <c r="V36" s="7502"/>
      <c r="W36" s="7502"/>
      <c r="X36" s="7502"/>
      <c r="Y36" s="7502"/>
      <c r="Z36" s="7502"/>
      <c r="AA36" s="7502"/>
      <c r="AB36" s="7502"/>
      <c r="AC36" s="7503"/>
      <c r="AD36" s="7504"/>
      <c r="AE36" s="7502"/>
      <c r="AF36" s="7502"/>
      <c r="AG36" s="7502"/>
      <c r="AH36" s="7502"/>
      <c r="AI36" s="7503"/>
      <c r="AJ36" s="7504"/>
      <c r="AK36" s="7502"/>
      <c r="AL36" s="7502"/>
      <c r="AM36" s="7502"/>
      <c r="AN36" s="7502"/>
      <c r="AO36" s="7502"/>
      <c r="AP36" s="2162"/>
      <c r="BG36" s="2396"/>
      <c r="BH36" s="2038"/>
      <c r="BI36" s="2038"/>
      <c r="BJ36" s="2038"/>
      <c r="BK36" s="2038"/>
      <c r="BL36" s="2038"/>
      <c r="BM36" s="2038"/>
      <c r="BN36" s="2038"/>
      <c r="BO36" s="2038"/>
      <c r="BP36" s="2038"/>
    </row>
    <row r="37" spans="1:68" ht="14.25" customHeight="1">
      <c r="A37" s="2162"/>
      <c r="B37" s="7474">
        <v>9</v>
      </c>
      <c r="C37" s="7413"/>
      <c r="D37" s="2447" t="s">
        <v>2696</v>
      </c>
      <c r="E37" s="1715"/>
      <c r="F37" s="1715"/>
      <c r="G37" s="1715"/>
      <c r="H37" s="1715"/>
      <c r="I37" s="1715"/>
      <c r="J37" s="1715"/>
      <c r="K37" s="1715"/>
      <c r="L37" s="1715"/>
      <c r="M37" s="1715"/>
      <c r="N37" s="1715"/>
      <c r="O37" s="1715"/>
      <c r="P37" s="1715"/>
      <c r="Q37" s="1715"/>
      <c r="R37" s="1715"/>
      <c r="S37" s="2760" t="s">
        <v>2521</v>
      </c>
      <c r="T37" s="7479">
        <v>9</v>
      </c>
      <c r="U37" s="7480"/>
      <c r="V37" s="7502"/>
      <c r="W37" s="7502"/>
      <c r="X37" s="7502"/>
      <c r="Y37" s="7502"/>
      <c r="Z37" s="7502"/>
      <c r="AA37" s="7502"/>
      <c r="AB37" s="7502"/>
      <c r="AC37" s="7503"/>
      <c r="AD37" s="7504"/>
      <c r="AE37" s="7502"/>
      <c r="AF37" s="7502"/>
      <c r="AG37" s="7502"/>
      <c r="AH37" s="7502"/>
      <c r="AI37" s="7503"/>
      <c r="AJ37" s="7504"/>
      <c r="AK37" s="7502"/>
      <c r="AL37" s="7502"/>
      <c r="AM37" s="7502"/>
      <c r="AN37" s="7502"/>
      <c r="AO37" s="7502"/>
      <c r="AP37" s="2162"/>
      <c r="BG37" s="2396"/>
      <c r="BH37" s="2038"/>
      <c r="BI37" s="2038"/>
      <c r="BJ37" s="2038"/>
      <c r="BK37" s="2038"/>
      <c r="BL37" s="2038"/>
      <c r="BM37" s="2038"/>
      <c r="BN37" s="2038"/>
      <c r="BO37" s="2038"/>
      <c r="BP37" s="2038"/>
    </row>
    <row r="38" spans="1:68" ht="14.25" customHeight="1">
      <c r="A38" s="2162"/>
      <c r="B38" s="7474">
        <v>10</v>
      </c>
      <c r="C38" s="7413"/>
      <c r="D38" s="2447" t="s">
        <v>2697</v>
      </c>
      <c r="E38" s="1715"/>
      <c r="F38" s="1715"/>
      <c r="G38" s="1715"/>
      <c r="H38" s="1715"/>
      <c r="I38" s="1715"/>
      <c r="J38" s="1715"/>
      <c r="K38" s="1715"/>
      <c r="L38" s="1715"/>
      <c r="M38" s="1715"/>
      <c r="N38" s="1715"/>
      <c r="O38" s="1715"/>
      <c r="P38" s="1715"/>
      <c r="Q38" s="1715"/>
      <c r="R38" s="1715"/>
      <c r="S38" s="2760" t="s">
        <v>677</v>
      </c>
      <c r="T38" s="7479">
        <v>10</v>
      </c>
      <c r="U38" s="7480"/>
      <c r="V38" s="7502"/>
      <c r="W38" s="7502"/>
      <c r="X38" s="7502"/>
      <c r="Y38" s="7502"/>
      <c r="Z38" s="7502"/>
      <c r="AA38" s="7502"/>
      <c r="AB38" s="7502"/>
      <c r="AC38" s="7503"/>
      <c r="AD38" s="7504"/>
      <c r="AE38" s="7502"/>
      <c r="AF38" s="7502"/>
      <c r="AG38" s="7502"/>
      <c r="AH38" s="7502"/>
      <c r="AI38" s="7503"/>
      <c r="AJ38" s="7504"/>
      <c r="AK38" s="7502"/>
      <c r="AL38" s="7502"/>
      <c r="AM38" s="7502"/>
      <c r="AN38" s="7502"/>
      <c r="AO38" s="7502"/>
      <c r="AP38" s="2162"/>
      <c r="BG38" s="2396"/>
      <c r="BH38" s="2038"/>
      <c r="BI38" s="2038"/>
      <c r="BJ38" s="2038"/>
      <c r="BK38" s="2038"/>
      <c r="BL38" s="2038"/>
      <c r="BM38" s="2038"/>
      <c r="BN38" s="2038"/>
      <c r="BO38" s="2038"/>
      <c r="BP38" s="2038"/>
    </row>
    <row r="39" spans="1:68" ht="14.25" customHeight="1">
      <c r="A39" s="2162"/>
      <c r="B39" s="7474">
        <v>11</v>
      </c>
      <c r="C39" s="7413"/>
      <c r="D39" s="2447" t="s">
        <v>2698</v>
      </c>
      <c r="E39" s="1715"/>
      <c r="F39" s="1715"/>
      <c r="G39" s="1715"/>
      <c r="H39" s="1715"/>
      <c r="I39" s="1715"/>
      <c r="J39" s="1715"/>
      <c r="K39" s="1715"/>
      <c r="L39" s="1715"/>
      <c r="M39" s="1715"/>
      <c r="N39" s="1715"/>
      <c r="O39" s="1715"/>
      <c r="P39" s="1715"/>
      <c r="Q39" s="1715"/>
      <c r="R39" s="1715"/>
      <c r="S39" s="2760" t="s">
        <v>646</v>
      </c>
      <c r="T39" s="7479">
        <v>11</v>
      </c>
      <c r="U39" s="7480"/>
      <c r="V39" s="7502"/>
      <c r="W39" s="7502"/>
      <c r="X39" s="7502"/>
      <c r="Y39" s="7502"/>
      <c r="Z39" s="7502"/>
      <c r="AA39" s="7502"/>
      <c r="AB39" s="7502"/>
      <c r="AC39" s="7503"/>
      <c r="AD39" s="7504"/>
      <c r="AE39" s="7502"/>
      <c r="AF39" s="7502"/>
      <c r="AG39" s="7502"/>
      <c r="AH39" s="7502"/>
      <c r="AI39" s="7503"/>
      <c r="AJ39" s="7504"/>
      <c r="AK39" s="7502"/>
      <c r="AL39" s="7502"/>
      <c r="AM39" s="7502"/>
      <c r="AN39" s="7502"/>
      <c r="AO39" s="7502"/>
      <c r="AP39" s="2162"/>
      <c r="BG39" s="2396"/>
      <c r="BH39" s="2038"/>
      <c r="BI39" s="2038"/>
      <c r="BJ39" s="2038"/>
      <c r="BK39" s="2038"/>
      <c r="BL39" s="2038"/>
      <c r="BM39" s="2038"/>
      <c r="BN39" s="2038"/>
      <c r="BO39" s="2038"/>
      <c r="BP39" s="2038"/>
    </row>
    <row r="40" spans="1:68" ht="14.25" customHeight="1">
      <c r="A40" s="2162"/>
      <c r="B40" s="7474">
        <v>12</v>
      </c>
      <c r="C40" s="7413"/>
      <c r="D40" s="2447" t="s">
        <v>2699</v>
      </c>
      <c r="E40" s="1715"/>
      <c r="F40" s="1715"/>
      <c r="G40" s="1715"/>
      <c r="H40" s="1715"/>
      <c r="I40" s="1715"/>
      <c r="J40" s="1715"/>
      <c r="K40" s="1715"/>
      <c r="L40" s="1715"/>
      <c r="M40" s="1715"/>
      <c r="N40" s="1715"/>
      <c r="O40" s="1715"/>
      <c r="P40" s="1715"/>
      <c r="Q40" s="1715"/>
      <c r="R40" s="1715"/>
      <c r="S40" s="2341"/>
      <c r="T40" s="7479">
        <v>12</v>
      </c>
      <c r="U40" s="7480"/>
      <c r="V40" s="7502"/>
      <c r="W40" s="7502"/>
      <c r="X40" s="7502"/>
      <c r="Y40" s="7502"/>
      <c r="Z40" s="7502"/>
      <c r="AA40" s="7502"/>
      <c r="AB40" s="7502"/>
      <c r="AC40" s="7503"/>
      <c r="AD40" s="7504"/>
      <c r="AE40" s="7502"/>
      <c r="AF40" s="7502"/>
      <c r="AG40" s="7502"/>
      <c r="AH40" s="7502"/>
      <c r="AI40" s="7503"/>
      <c r="AJ40" s="7504"/>
      <c r="AK40" s="7502"/>
      <c r="AL40" s="7502"/>
      <c r="AM40" s="7502"/>
      <c r="AN40" s="7502"/>
      <c r="AO40" s="7502"/>
      <c r="AP40" s="2162"/>
      <c r="BG40" s="2396"/>
      <c r="BH40" s="2038"/>
      <c r="BI40" s="2038"/>
      <c r="BJ40" s="2038"/>
      <c r="BK40" s="2038"/>
      <c r="BL40" s="2038"/>
      <c r="BM40" s="2038"/>
      <c r="BN40" s="2038"/>
      <c r="BO40" s="2038"/>
      <c r="BP40" s="2038"/>
    </row>
    <row r="41" spans="1:68" ht="14.25" customHeight="1">
      <c r="A41" s="2162"/>
      <c r="B41" s="7474">
        <v>13</v>
      </c>
      <c r="C41" s="7413"/>
      <c r="D41" s="2447" t="s">
        <v>2700</v>
      </c>
      <c r="E41" s="1715"/>
      <c r="F41" s="1715"/>
      <c r="G41" s="1715"/>
      <c r="H41" s="1715"/>
      <c r="I41" s="1715"/>
      <c r="J41" s="1715"/>
      <c r="K41" s="1715"/>
      <c r="L41" s="1715"/>
      <c r="M41" s="1715"/>
      <c r="N41" s="1715"/>
      <c r="O41" s="1715"/>
      <c r="P41" s="1715"/>
      <c r="Q41" s="1715"/>
      <c r="R41" s="1715"/>
      <c r="S41" s="2760" t="s">
        <v>650</v>
      </c>
      <c r="T41" s="7479">
        <v>13</v>
      </c>
      <c r="U41" s="7480"/>
      <c r="V41" s="7502"/>
      <c r="W41" s="7502"/>
      <c r="X41" s="7502"/>
      <c r="Y41" s="7502"/>
      <c r="Z41" s="7502"/>
      <c r="AA41" s="7502"/>
      <c r="AB41" s="7502"/>
      <c r="AC41" s="7503"/>
      <c r="AD41" s="7504"/>
      <c r="AE41" s="7502"/>
      <c r="AF41" s="7502"/>
      <c r="AG41" s="7502"/>
      <c r="AH41" s="7502"/>
      <c r="AI41" s="7503"/>
      <c r="AJ41" s="7504"/>
      <c r="AK41" s="7502"/>
      <c r="AL41" s="7502"/>
      <c r="AM41" s="7502"/>
      <c r="AN41" s="7502"/>
      <c r="AO41" s="7502"/>
      <c r="AP41" s="2162"/>
      <c r="BG41" s="2396"/>
      <c r="BH41" s="2038"/>
      <c r="BI41" s="2038"/>
      <c r="BJ41" s="2038"/>
      <c r="BK41" s="2038"/>
      <c r="BL41" s="2038"/>
      <c r="BM41" s="2038"/>
      <c r="BN41" s="2038"/>
      <c r="BO41" s="2038"/>
      <c r="BP41" s="2038"/>
    </row>
    <row r="42" spans="1:68" ht="14.25" customHeight="1">
      <c r="A42" s="2162"/>
      <c r="B42" s="7474">
        <v>14</v>
      </c>
      <c r="C42" s="7413"/>
      <c r="D42" s="2447" t="s">
        <v>2701</v>
      </c>
      <c r="E42" s="1715"/>
      <c r="F42" s="1715"/>
      <c r="G42" s="1715"/>
      <c r="H42" s="1715"/>
      <c r="I42" s="1715"/>
      <c r="J42" s="1715"/>
      <c r="K42" s="1715"/>
      <c r="L42" s="1715"/>
      <c r="M42" s="1715"/>
      <c r="N42" s="1715"/>
      <c r="O42" s="1715"/>
      <c r="P42" s="1715"/>
      <c r="Q42" s="1715"/>
      <c r="R42" s="1715"/>
      <c r="S42" s="2760" t="s">
        <v>2521</v>
      </c>
      <c r="T42" s="7479">
        <v>14</v>
      </c>
      <c r="U42" s="7480"/>
      <c r="V42" s="7502"/>
      <c r="W42" s="7502"/>
      <c r="X42" s="7502"/>
      <c r="Y42" s="7502"/>
      <c r="Z42" s="7502"/>
      <c r="AA42" s="7502"/>
      <c r="AB42" s="7502"/>
      <c r="AC42" s="7503"/>
      <c r="AD42" s="7504"/>
      <c r="AE42" s="7502"/>
      <c r="AF42" s="7502"/>
      <c r="AG42" s="7502"/>
      <c r="AH42" s="7502"/>
      <c r="AI42" s="7503"/>
      <c r="AJ42" s="7504"/>
      <c r="AK42" s="7502"/>
      <c r="AL42" s="7502"/>
      <c r="AM42" s="7502"/>
      <c r="AN42" s="7502"/>
      <c r="AO42" s="7502"/>
      <c r="AP42" s="2162"/>
      <c r="BG42" s="2396"/>
      <c r="BH42" s="2038"/>
      <c r="BI42" s="2038"/>
      <c r="BJ42" s="2038"/>
      <c r="BK42" s="2038"/>
      <c r="BL42" s="2038"/>
      <c r="BM42" s="2038"/>
      <c r="BN42" s="2038"/>
      <c r="BO42" s="2038"/>
      <c r="BP42" s="2038"/>
    </row>
    <row r="43" spans="1:68" ht="14.25" customHeight="1">
      <c r="A43" s="2162"/>
      <c r="B43" s="7474">
        <v>15</v>
      </c>
      <c r="C43" s="7413"/>
      <c r="D43" s="2447" t="s">
        <v>2702</v>
      </c>
      <c r="E43" s="1715"/>
      <c r="F43" s="1715"/>
      <c r="G43" s="1715"/>
      <c r="H43" s="1715"/>
      <c r="I43" s="1715"/>
      <c r="J43" s="1715"/>
      <c r="K43" s="1715"/>
      <c r="L43" s="1715"/>
      <c r="M43" s="1715"/>
      <c r="N43" s="1715"/>
      <c r="O43" s="1715"/>
      <c r="P43" s="1715"/>
      <c r="Q43" s="1715"/>
      <c r="R43" s="1715"/>
      <c r="S43" s="2760" t="s">
        <v>2521</v>
      </c>
      <c r="T43" s="7479">
        <v>15</v>
      </c>
      <c r="U43" s="7480"/>
      <c r="V43" s="7502"/>
      <c r="W43" s="7502"/>
      <c r="X43" s="7502"/>
      <c r="Y43" s="7502"/>
      <c r="Z43" s="7502"/>
      <c r="AA43" s="7502"/>
      <c r="AB43" s="7502"/>
      <c r="AC43" s="7503"/>
      <c r="AD43" s="7504"/>
      <c r="AE43" s="7502"/>
      <c r="AF43" s="7502"/>
      <c r="AG43" s="7502"/>
      <c r="AH43" s="7502"/>
      <c r="AI43" s="7503"/>
      <c r="AJ43" s="7504"/>
      <c r="AK43" s="7502"/>
      <c r="AL43" s="7502"/>
      <c r="AM43" s="7502"/>
      <c r="AN43" s="7502"/>
      <c r="AO43" s="7502"/>
      <c r="AP43" s="2162"/>
      <c r="BG43" s="2396"/>
      <c r="BH43" s="2038"/>
      <c r="BI43" s="2038"/>
      <c r="BJ43" s="2038"/>
      <c r="BK43" s="2038"/>
      <c r="BL43" s="2038"/>
      <c r="BM43" s="2038"/>
      <c r="BN43" s="2038"/>
      <c r="BO43" s="2038"/>
      <c r="BP43" s="2038"/>
    </row>
    <row r="44" spans="1:68" ht="14.25" customHeight="1">
      <c r="A44" s="2162"/>
      <c r="B44" s="7474">
        <v>16</v>
      </c>
      <c r="C44" s="7413"/>
      <c r="D44" s="2447" t="s">
        <v>2703</v>
      </c>
      <c r="E44" s="1715"/>
      <c r="F44" s="1715"/>
      <c r="G44" s="1715"/>
      <c r="H44" s="1715"/>
      <c r="I44" s="1715"/>
      <c r="J44" s="1715"/>
      <c r="K44" s="1715"/>
      <c r="L44" s="1715"/>
      <c r="M44" s="1715"/>
      <c r="N44" s="1715"/>
      <c r="O44" s="1715"/>
      <c r="P44" s="1715"/>
      <c r="Q44" s="1715"/>
      <c r="R44" s="1715"/>
      <c r="S44" s="2760" t="s">
        <v>714</v>
      </c>
      <c r="T44" s="7479">
        <v>16</v>
      </c>
      <c r="U44" s="7480"/>
      <c r="V44" s="7502"/>
      <c r="W44" s="7502"/>
      <c r="X44" s="7502"/>
      <c r="Y44" s="7502"/>
      <c r="Z44" s="7502"/>
      <c r="AA44" s="7502"/>
      <c r="AB44" s="7502"/>
      <c r="AC44" s="7503"/>
      <c r="AD44" s="7504"/>
      <c r="AE44" s="7502"/>
      <c r="AF44" s="7502"/>
      <c r="AG44" s="7502"/>
      <c r="AH44" s="7502"/>
      <c r="AI44" s="7503"/>
      <c r="AJ44" s="7504"/>
      <c r="AK44" s="7502"/>
      <c r="AL44" s="7502"/>
      <c r="AM44" s="7502"/>
      <c r="AN44" s="7502"/>
      <c r="AO44" s="7502"/>
      <c r="AP44" s="2162"/>
      <c r="BG44" s="2396"/>
      <c r="BH44" s="2038"/>
      <c r="BI44" s="2038"/>
      <c r="BJ44" s="2038"/>
      <c r="BK44" s="2038"/>
      <c r="BL44" s="2038"/>
      <c r="BM44" s="2038"/>
      <c r="BN44" s="2038"/>
      <c r="BO44" s="2038"/>
      <c r="BP44" s="2038"/>
    </row>
    <row r="45" spans="1:68" ht="14.25" customHeight="1">
      <c r="A45" s="2162"/>
      <c r="B45" s="7474">
        <v>17</v>
      </c>
      <c r="C45" s="7413"/>
      <c r="D45" s="2447" t="s">
        <v>2333</v>
      </c>
      <c r="E45" s="1715"/>
      <c r="F45" s="1715"/>
      <c r="G45" s="1715"/>
      <c r="H45" s="1715"/>
      <c r="I45" s="1715"/>
      <c r="J45" s="1715"/>
      <c r="K45" s="1715"/>
      <c r="L45" s="1715"/>
      <c r="M45" s="1715"/>
      <c r="N45" s="1715"/>
      <c r="O45" s="1715"/>
      <c r="P45" s="1715"/>
      <c r="Q45" s="1715"/>
      <c r="R45" s="1715"/>
      <c r="S45" s="2760" t="s">
        <v>714</v>
      </c>
      <c r="T45" s="7479">
        <v>17</v>
      </c>
      <c r="U45" s="7480"/>
      <c r="V45" s="7502"/>
      <c r="W45" s="7502"/>
      <c r="X45" s="7502"/>
      <c r="Y45" s="7502"/>
      <c r="Z45" s="7502"/>
      <c r="AA45" s="7502"/>
      <c r="AB45" s="7502"/>
      <c r="AC45" s="7503"/>
      <c r="AD45" s="7504"/>
      <c r="AE45" s="7502"/>
      <c r="AF45" s="7502"/>
      <c r="AG45" s="7502"/>
      <c r="AH45" s="7502"/>
      <c r="AI45" s="7503"/>
      <c r="AJ45" s="7504"/>
      <c r="AK45" s="7502"/>
      <c r="AL45" s="7502"/>
      <c r="AM45" s="7502"/>
      <c r="AN45" s="7502"/>
      <c r="AO45" s="7502"/>
      <c r="AP45" s="2162"/>
      <c r="AQ45" s="260"/>
      <c r="AR45" s="260"/>
      <c r="AS45" s="260"/>
      <c r="AT45" s="260"/>
      <c r="AU45" s="260"/>
      <c r="BG45" s="2396"/>
      <c r="BH45" s="2038"/>
      <c r="BI45" s="2038"/>
      <c r="BJ45" s="2038"/>
      <c r="BK45" s="2038"/>
      <c r="BL45" s="2038"/>
      <c r="BM45" s="2038"/>
      <c r="BN45" s="2038"/>
      <c r="BO45" s="2038"/>
      <c r="BP45" s="2038"/>
    </row>
    <row r="46" spans="1:68" ht="14.25" customHeight="1">
      <c r="A46" s="2162"/>
      <c r="B46" s="7474">
        <v>18</v>
      </c>
      <c r="C46" s="7413"/>
      <c r="D46" s="2447" t="s">
        <v>2704</v>
      </c>
      <c r="E46" s="1715"/>
      <c r="F46" s="1715"/>
      <c r="G46" s="1715"/>
      <c r="H46" s="1715"/>
      <c r="I46" s="1715"/>
      <c r="J46" s="1715"/>
      <c r="K46" s="1715"/>
      <c r="L46" s="1715"/>
      <c r="M46" s="1715"/>
      <c r="N46" s="1715"/>
      <c r="O46" s="1715"/>
      <c r="P46" s="1715"/>
      <c r="Q46" s="1715"/>
      <c r="R46" s="1715"/>
      <c r="S46" s="2760" t="s">
        <v>677</v>
      </c>
      <c r="T46" s="7479">
        <v>18</v>
      </c>
      <c r="U46" s="7480"/>
      <c r="V46" s="7502"/>
      <c r="W46" s="7502"/>
      <c r="X46" s="7502"/>
      <c r="Y46" s="7502"/>
      <c r="Z46" s="7502"/>
      <c r="AA46" s="7502"/>
      <c r="AB46" s="7502"/>
      <c r="AC46" s="7503"/>
      <c r="AD46" s="7504"/>
      <c r="AE46" s="7502"/>
      <c r="AF46" s="7502"/>
      <c r="AG46" s="7502"/>
      <c r="AH46" s="7502"/>
      <c r="AI46" s="7503"/>
      <c r="AJ46" s="7504"/>
      <c r="AK46" s="7502"/>
      <c r="AL46" s="7502"/>
      <c r="AM46" s="7502"/>
      <c r="AN46" s="7502"/>
      <c r="AO46" s="7502"/>
      <c r="AP46" s="2162"/>
      <c r="AQ46" s="260"/>
      <c r="AR46" s="7328" t="s">
        <v>2705</v>
      </c>
      <c r="AS46" s="7367"/>
      <c r="AT46" s="7367"/>
      <c r="AU46" s="260"/>
      <c r="BG46" s="2396"/>
      <c r="BH46" s="2038"/>
      <c r="BI46" s="2038"/>
      <c r="BJ46" s="2038"/>
      <c r="BK46" s="2038"/>
      <c r="BL46" s="2038"/>
      <c r="BM46" s="2038"/>
      <c r="BN46" s="2038"/>
      <c r="BO46" s="2038"/>
      <c r="BP46" s="2038"/>
    </row>
    <row r="47" spans="1:68" ht="14.25" customHeight="1">
      <c r="A47" s="2162"/>
      <c r="B47" s="7474">
        <v>19</v>
      </c>
      <c r="C47" s="7413"/>
      <c r="D47" s="2447" t="s">
        <v>2706</v>
      </c>
      <c r="E47" s="1715"/>
      <c r="F47" s="1715"/>
      <c r="G47" s="1715"/>
      <c r="H47" s="7506"/>
      <c r="I47" s="7506"/>
      <c r="J47" s="7506"/>
      <c r="K47" s="7506"/>
      <c r="L47" s="7506"/>
      <c r="M47" s="7506"/>
      <c r="N47" s="7506"/>
      <c r="O47" s="7506"/>
      <c r="P47" s="7506"/>
      <c r="Q47" s="7506"/>
      <c r="R47" s="7506"/>
      <c r="S47" s="2341"/>
      <c r="T47" s="7479">
        <v>19</v>
      </c>
      <c r="U47" s="7480"/>
      <c r="V47" s="7502"/>
      <c r="W47" s="7502"/>
      <c r="X47" s="7502"/>
      <c r="Y47" s="7502"/>
      <c r="Z47" s="7502"/>
      <c r="AA47" s="7502"/>
      <c r="AB47" s="7502"/>
      <c r="AC47" s="7503"/>
      <c r="AD47" s="7504"/>
      <c r="AE47" s="7502"/>
      <c r="AF47" s="7502"/>
      <c r="AG47" s="7502"/>
      <c r="AH47" s="7502"/>
      <c r="AI47" s="7503"/>
      <c r="AJ47" s="7504"/>
      <c r="AK47" s="7502"/>
      <c r="AL47" s="7502"/>
      <c r="AM47" s="7502"/>
      <c r="AN47" s="7502"/>
      <c r="AO47" s="7502"/>
      <c r="AP47" s="2162"/>
      <c r="AQ47" s="260"/>
      <c r="AR47" s="260"/>
      <c r="AS47" s="260"/>
      <c r="AT47" s="260"/>
      <c r="AU47" s="260"/>
      <c r="BG47" s="2396"/>
      <c r="BH47" s="2038"/>
      <c r="BI47" s="2038"/>
      <c r="BJ47" s="2038"/>
      <c r="BK47" s="2038"/>
      <c r="BL47" s="2038"/>
      <c r="BM47" s="2038"/>
      <c r="BN47" s="2038"/>
      <c r="BO47" s="2038"/>
      <c r="BP47" s="2038"/>
    </row>
    <row r="48" spans="1:68" ht="14.25" customHeight="1">
      <c r="A48" s="2162"/>
      <c r="B48" s="7474">
        <v>20</v>
      </c>
      <c r="C48" s="7413"/>
      <c r="D48" s="2447" t="s">
        <v>2707</v>
      </c>
      <c r="E48" s="1715"/>
      <c r="F48" s="1715"/>
      <c r="G48" s="1715"/>
      <c r="H48" s="1715"/>
      <c r="I48" s="1715"/>
      <c r="J48" s="1715"/>
      <c r="K48" s="1715"/>
      <c r="L48" s="1715"/>
      <c r="M48" s="1715"/>
      <c r="N48" s="1715"/>
      <c r="O48" s="1715"/>
      <c r="P48" s="1715"/>
      <c r="Q48" s="1715"/>
      <c r="R48" s="1715"/>
      <c r="S48" s="2760" t="s">
        <v>699</v>
      </c>
      <c r="T48" s="7479">
        <v>20</v>
      </c>
      <c r="U48" s="7480"/>
      <c r="V48" s="7369">
        <f>IF(AR48&lt;&gt;"",ROUND(AR48,0),ROUND(SUM(V33:AC47),0))</f>
        <v>0</v>
      </c>
      <c r="W48" s="7369"/>
      <c r="X48" s="7369"/>
      <c r="Y48" s="7369"/>
      <c r="Z48" s="7369"/>
      <c r="AA48" s="7369"/>
      <c r="AB48" s="7369"/>
      <c r="AC48" s="7491"/>
      <c r="AD48" s="7490">
        <f>IF(AS48&lt;&gt;"",ROUND(AS48,0),ROUND(SUM(AD33:AI47),0))</f>
        <v>0</v>
      </c>
      <c r="AE48" s="7369"/>
      <c r="AF48" s="7369"/>
      <c r="AG48" s="7369"/>
      <c r="AH48" s="7369"/>
      <c r="AI48" s="7491"/>
      <c r="AJ48" s="7505">
        <f>IF(AT48&lt;&gt;"",ROUND(AT48,0),ROUND(SUM(AJ33:AO47),0))</f>
        <v>0</v>
      </c>
      <c r="AK48" s="7371"/>
      <c r="AL48" s="7371"/>
      <c r="AM48" s="7371"/>
      <c r="AN48" s="7371"/>
      <c r="AO48" s="7371"/>
      <c r="AP48" s="2162"/>
      <c r="AQ48" s="260"/>
      <c r="AR48" s="2499"/>
      <c r="AS48" s="2499"/>
      <c r="AT48" s="2499"/>
      <c r="AU48" s="260"/>
      <c r="BG48" s="2396"/>
      <c r="BH48" s="2038"/>
      <c r="BI48" s="2038"/>
      <c r="BJ48" s="2038"/>
      <c r="BK48" s="2038"/>
      <c r="BL48" s="2038"/>
      <c r="BM48" s="2038"/>
      <c r="BN48" s="2038"/>
      <c r="BO48" s="2038"/>
      <c r="BP48" s="2038"/>
    </row>
    <row r="49" spans="1:68" ht="14.25" customHeight="1">
      <c r="A49" s="2162"/>
      <c r="B49" s="7474">
        <v>21</v>
      </c>
      <c r="C49" s="7413"/>
      <c r="D49" s="2447" t="s">
        <v>2708</v>
      </c>
      <c r="E49" s="1715"/>
      <c r="F49" s="1715"/>
      <c r="G49" s="1715"/>
      <c r="H49" s="1715"/>
      <c r="I49" s="1715"/>
      <c r="J49" s="1715"/>
      <c r="K49" s="1715"/>
      <c r="L49" s="1715"/>
      <c r="M49" s="1715"/>
      <c r="N49" s="1715"/>
      <c r="O49" s="1715"/>
      <c r="P49" s="1715"/>
      <c r="Q49" s="1715"/>
      <c r="R49" s="1715"/>
      <c r="S49" s="2341"/>
      <c r="T49" s="7497"/>
      <c r="U49" s="7498"/>
      <c r="V49" s="7499"/>
      <c r="W49" s="7500"/>
      <c r="X49" s="7500"/>
      <c r="Y49" s="7500"/>
      <c r="Z49" s="7500"/>
      <c r="AA49" s="7500"/>
      <c r="AB49" s="7500"/>
      <c r="AC49" s="7501"/>
      <c r="AD49" s="7499"/>
      <c r="AE49" s="7500"/>
      <c r="AF49" s="7500"/>
      <c r="AG49" s="7500"/>
      <c r="AH49" s="7500"/>
      <c r="AI49" s="7501"/>
      <c r="AJ49" s="7499"/>
      <c r="AK49" s="7500"/>
      <c r="AL49" s="7500"/>
      <c r="AM49" s="7500"/>
      <c r="AN49" s="7500"/>
      <c r="AO49" s="7500"/>
      <c r="AP49" s="2162"/>
      <c r="AQ49" s="260"/>
      <c r="AR49" s="260"/>
      <c r="AS49" s="260"/>
      <c r="AT49" s="260"/>
      <c r="AU49" s="260"/>
      <c r="AX49" s="118"/>
      <c r="AY49" s="7365" t="s">
        <v>542</v>
      </c>
      <c r="AZ49" s="7366"/>
      <c r="BA49" s="7365" t="s">
        <v>548</v>
      </c>
      <c r="BB49" s="7366"/>
      <c r="BC49" s="7365" t="s">
        <v>550</v>
      </c>
      <c r="BD49" s="7366"/>
      <c r="BG49" s="2396"/>
      <c r="BH49" s="2038"/>
      <c r="BI49" s="2038"/>
      <c r="BJ49" s="2038"/>
      <c r="BK49" s="2038"/>
      <c r="BL49" s="2038"/>
      <c r="BM49" s="2038"/>
      <c r="BN49" s="2038"/>
      <c r="BO49" s="2038"/>
      <c r="BP49" s="2038"/>
    </row>
    <row r="50" spans="1:68" ht="14.25" customHeight="1">
      <c r="A50" s="2162"/>
      <c r="B50" s="7474"/>
      <c r="C50" s="7413"/>
      <c r="D50" s="2447" t="s">
        <v>2709</v>
      </c>
      <c r="E50" s="1715"/>
      <c r="F50" s="1715"/>
      <c r="G50" s="1715"/>
      <c r="H50" s="1715"/>
      <c r="I50" s="1715"/>
      <c r="J50" s="1715"/>
      <c r="K50" s="1715"/>
      <c r="L50" s="1715"/>
      <c r="M50" s="1715"/>
      <c r="N50" s="1715"/>
      <c r="O50" s="1715"/>
      <c r="P50" s="1715"/>
      <c r="Q50" s="1715"/>
      <c r="R50" s="1715"/>
      <c r="S50" s="2341"/>
      <c r="T50" s="7492"/>
      <c r="U50" s="7493"/>
      <c r="V50" s="7494"/>
      <c r="W50" s="7495"/>
      <c r="X50" s="7495"/>
      <c r="Y50" s="7495"/>
      <c r="Z50" s="7495"/>
      <c r="AA50" s="7495"/>
      <c r="AB50" s="7495"/>
      <c r="AC50" s="7496"/>
      <c r="AD50" s="7494"/>
      <c r="AE50" s="7495"/>
      <c r="AF50" s="7495"/>
      <c r="AG50" s="7495"/>
      <c r="AH50" s="7495"/>
      <c r="AI50" s="7496"/>
      <c r="AJ50" s="7494"/>
      <c r="AK50" s="7495"/>
      <c r="AL50" s="7495"/>
      <c r="AM50" s="7495"/>
      <c r="AN50" s="7495"/>
      <c r="AO50" s="7495"/>
      <c r="AP50" s="2162"/>
      <c r="AQ50" s="260"/>
      <c r="AR50" s="260"/>
      <c r="AS50" s="260"/>
      <c r="AT50" s="260"/>
      <c r="AU50" s="260"/>
      <c r="AX50" s="118"/>
      <c r="AY50" s="777" t="s">
        <v>2710</v>
      </c>
      <c r="AZ50" s="777" t="s">
        <v>2711</v>
      </c>
      <c r="BA50" s="777" t="s">
        <v>2710</v>
      </c>
      <c r="BB50" s="777" t="s">
        <v>2711</v>
      </c>
      <c r="BC50" s="777" t="s">
        <v>2710</v>
      </c>
      <c r="BD50" s="777" t="s">
        <v>2711</v>
      </c>
      <c r="BG50" s="2396"/>
      <c r="BH50" s="2038"/>
      <c r="BI50" s="2038"/>
      <c r="BJ50" s="2038"/>
      <c r="BK50" s="2038"/>
      <c r="BL50" s="2038"/>
      <c r="BM50" s="2038"/>
      <c r="BN50" s="2038"/>
      <c r="BO50" s="2038"/>
      <c r="BP50" s="2038"/>
    </row>
    <row r="51" spans="1:68" ht="14.25" customHeight="1">
      <c r="A51" s="2162"/>
      <c r="B51" s="7474"/>
      <c r="C51" s="7413"/>
      <c r="D51" s="2447" t="s">
        <v>2712</v>
      </c>
      <c r="E51" s="1715"/>
      <c r="F51" s="1715"/>
      <c r="G51" s="1715"/>
      <c r="H51" s="1715"/>
      <c r="I51" s="1715"/>
      <c r="J51" s="1715"/>
      <c r="K51" s="1715"/>
      <c r="L51" s="1715"/>
      <c r="M51" s="1715"/>
      <c r="N51" s="1715"/>
      <c r="O51" s="1715"/>
      <c r="P51" s="1715"/>
      <c r="Q51" s="1715"/>
      <c r="R51" s="1715"/>
      <c r="S51" s="2760" t="s">
        <v>661</v>
      </c>
      <c r="T51" s="7479">
        <v>21</v>
      </c>
      <c r="U51" s="7480"/>
      <c r="V51" s="7490">
        <f>IF(AR51&lt;&gt;"",ROUND(AR51,0),ROUND(SUM(V30,V31,-V48),0))</f>
        <v>0</v>
      </c>
      <c r="W51" s="7369"/>
      <c r="X51" s="7369"/>
      <c r="Y51" s="7369"/>
      <c r="Z51" s="7369"/>
      <c r="AA51" s="7369"/>
      <c r="AB51" s="7369"/>
      <c r="AC51" s="7491"/>
      <c r="AD51" s="7490">
        <f>IF(AS51&lt;&gt;"",ROUND(AS51,0),ROUND(SUM(AD30,AD31,-AD48),0))</f>
        <v>0</v>
      </c>
      <c r="AE51" s="7369"/>
      <c r="AF51" s="7369"/>
      <c r="AG51" s="7369"/>
      <c r="AH51" s="7369"/>
      <c r="AI51" s="7491"/>
      <c r="AJ51" s="7490">
        <f>IF(AT51&lt;&gt;"",ROUND(AT51,0),ROUND(SUM(AJ30,AJ31,-AJ48),0))</f>
        <v>0</v>
      </c>
      <c r="AK51" s="7369"/>
      <c r="AL51" s="7369"/>
      <c r="AM51" s="7369"/>
      <c r="AN51" s="7369"/>
      <c r="AO51" s="7369"/>
      <c r="AP51" s="2162"/>
      <c r="AQ51" s="260"/>
      <c r="AR51" s="2499"/>
      <c r="AS51" s="2499"/>
      <c r="AT51" s="2499"/>
      <c r="AU51" s="260"/>
      <c r="AX51" s="779" t="s">
        <v>2713</v>
      </c>
      <c r="AY51" s="776">
        <f>IF(V51&gt;0,V51,0)</f>
        <v>0</v>
      </c>
      <c r="AZ51" s="776">
        <f>IF(V51&lt;0,V51,0)</f>
        <v>0</v>
      </c>
      <c r="BA51" s="776">
        <f>IF(AD51&gt;0,AD51,0)</f>
        <v>0</v>
      </c>
      <c r="BB51" s="776">
        <f>IF(AD51&lt;0,AD51,0)</f>
        <v>0</v>
      </c>
      <c r="BC51" s="776">
        <f>IF(AJ51&gt;0,AJ51,0)</f>
        <v>0</v>
      </c>
      <c r="BD51" s="776">
        <f>IF(AJ51&lt;0,AJ51,0)</f>
        <v>0</v>
      </c>
      <c r="BG51" s="2396"/>
      <c r="BH51" s="2038"/>
      <c r="BI51" s="2038"/>
      <c r="BJ51" s="2038"/>
      <c r="BK51" s="2038"/>
      <c r="BL51" s="2038"/>
      <c r="BM51" s="2038"/>
      <c r="BN51" s="2038"/>
      <c r="BO51" s="2038"/>
      <c r="BP51" s="2038"/>
    </row>
    <row r="52" spans="1:68" ht="14.25" customHeight="1">
      <c r="A52" s="2162"/>
      <c r="B52" s="7474">
        <v>22</v>
      </c>
      <c r="C52" s="7413"/>
      <c r="D52" s="2447" t="s">
        <v>2714</v>
      </c>
      <c r="E52" s="1715"/>
      <c r="F52" s="1715"/>
      <c r="G52" s="1715"/>
      <c r="H52" s="1715"/>
      <c r="I52" s="1715"/>
      <c r="J52" s="1715"/>
      <c r="K52" s="1715"/>
      <c r="L52" s="1715"/>
      <c r="M52" s="1715"/>
      <c r="N52" s="1715"/>
      <c r="O52" s="1715"/>
      <c r="P52" s="1715"/>
      <c r="Q52" s="1715"/>
      <c r="R52" s="1715"/>
      <c r="S52" s="2341"/>
      <c r="T52" s="7492"/>
      <c r="U52" s="7493"/>
      <c r="V52" s="7494"/>
      <c r="W52" s="7495"/>
      <c r="X52" s="7495"/>
      <c r="Y52" s="7495"/>
      <c r="Z52" s="7495"/>
      <c r="AA52" s="7495"/>
      <c r="AB52" s="7495"/>
      <c r="AC52" s="7496"/>
      <c r="AD52" s="7494"/>
      <c r="AE52" s="7495"/>
      <c r="AF52" s="7495"/>
      <c r="AG52" s="7495"/>
      <c r="AH52" s="7495"/>
      <c r="AI52" s="7496"/>
      <c r="AJ52" s="7494"/>
      <c r="AK52" s="7495"/>
      <c r="AL52" s="7495"/>
      <c r="AM52" s="7495"/>
      <c r="AN52" s="7495"/>
      <c r="AO52" s="7495"/>
      <c r="AP52" s="2162"/>
      <c r="AQ52" s="260"/>
      <c r="AR52" s="260"/>
      <c r="AS52" s="260"/>
      <c r="AT52" s="260"/>
      <c r="AU52" s="260"/>
      <c r="AX52" s="779" t="s">
        <v>2715</v>
      </c>
      <c r="AY52" s="792" t="s">
        <v>399</v>
      </c>
      <c r="AZ52" s="776">
        <f>IF(W53&lt;&gt;"",-W53,0)</f>
        <v>0</v>
      </c>
      <c r="BA52" s="792" t="s">
        <v>399</v>
      </c>
      <c r="BB52" s="776">
        <f>IF(AE53&lt;&gt;"",-AE53,0)</f>
        <v>0</v>
      </c>
      <c r="BC52" s="792" t="s">
        <v>399</v>
      </c>
      <c r="BD52" s="776">
        <f>IF(AK53&lt;&gt;"",-AK53,0)</f>
        <v>0</v>
      </c>
      <c r="BG52" s="2396"/>
      <c r="BH52" s="2038"/>
      <c r="BI52" s="2038"/>
      <c r="BJ52" s="2038"/>
      <c r="BK52" s="2038"/>
      <c r="BL52" s="2038"/>
      <c r="BM52" s="2038"/>
      <c r="BN52" s="2038"/>
      <c r="BO52" s="2038"/>
      <c r="BP52" s="2038"/>
    </row>
    <row r="53" spans="1:68" ht="14.25" customHeight="1">
      <c r="A53" s="2162"/>
      <c r="B53" s="7474"/>
      <c r="C53" s="7413"/>
      <c r="D53" s="2447" t="s">
        <v>2716</v>
      </c>
      <c r="E53" s="1715"/>
      <c r="F53" s="1715"/>
      <c r="G53" s="1715"/>
      <c r="H53" s="1715"/>
      <c r="I53" s="1715"/>
      <c r="J53" s="1715"/>
      <c r="K53" s="1715"/>
      <c r="L53" s="1715"/>
      <c r="M53" s="1715"/>
      <c r="N53" s="1715"/>
      <c r="O53" s="1715"/>
      <c r="P53" s="1715"/>
      <c r="Q53" s="1715"/>
      <c r="R53" s="1715"/>
      <c r="S53" s="2760" t="s">
        <v>677</v>
      </c>
      <c r="T53" s="7479">
        <v>22</v>
      </c>
      <c r="U53" s="7480"/>
      <c r="V53" s="2501" t="s">
        <v>905</v>
      </c>
      <c r="W53" s="7369" t="str">
        <f>IF(AND(AR53&lt;0,AR53&lt;&gt;""),-ROUND(AR53,0),IF(AND(AR53&gt;=0,AR53&lt;&gt;""),ROUND(AR53,0),IF(AND(D21&lt;&gt;6,V51&lt;0),ROUND(-V51,0),"")))</f>
        <v/>
      </c>
      <c r="X53" s="7370"/>
      <c r="Y53" s="7370"/>
      <c r="Z53" s="7370"/>
      <c r="AA53" s="7370"/>
      <c r="AB53" s="7370"/>
      <c r="AC53" s="4714" t="s">
        <v>906</v>
      </c>
      <c r="AD53" s="2501" t="s">
        <v>905</v>
      </c>
      <c r="AE53" s="7369" t="str">
        <f>IF(AND(AS53&lt;0,AS53&lt;&gt;""),-ROUND(AS53,0),IF(AND(AS53&gt;=0,AS53&lt;&gt;""),ROUND(AS53,0),IF(AND(D22&lt;&gt;6,AD51&lt;0),ROUND(-AD51,0),"")))</f>
        <v/>
      </c>
      <c r="AF53" s="7370"/>
      <c r="AG53" s="7370"/>
      <c r="AH53" s="7370"/>
      <c r="AI53" s="4714" t="s">
        <v>906</v>
      </c>
      <c r="AJ53" s="2501" t="s">
        <v>905</v>
      </c>
      <c r="AK53" s="7369" t="str">
        <f>IF(AND(AT53&lt;0,AT53&lt;&gt;""),-ROUND(AT53,0),IF(AND(AT53&gt;=0,AT53&lt;&gt;""),ROUND(AT53,0),IF(AND(D23&lt;&gt;6,AJ51&lt;0),ROUND(-AJ51,0),"")))</f>
        <v/>
      </c>
      <c r="AL53" s="7370"/>
      <c r="AM53" s="7370"/>
      <c r="AN53" s="7370"/>
      <c r="AO53" s="4713" t="s">
        <v>906</v>
      </c>
      <c r="AP53" s="2162"/>
      <c r="AQ53" s="260"/>
      <c r="AR53" s="2499"/>
      <c r="AS53" s="2499"/>
      <c r="AT53" s="2499"/>
      <c r="AU53" s="260"/>
      <c r="AX53" s="779"/>
      <c r="AY53" s="778" t="s">
        <v>2717</v>
      </c>
      <c r="AZ53" s="776">
        <f>IF(D21=6,AZ51,0)</f>
        <v>0</v>
      </c>
      <c r="BA53"/>
      <c r="BB53" s="776">
        <f>IF(D22=6,BB51,0)</f>
        <v>0</v>
      </c>
      <c r="BC53"/>
      <c r="BD53" s="776">
        <f>IF(D23=6,BD51,0)</f>
        <v>0</v>
      </c>
      <c r="BG53" s="2396"/>
      <c r="BH53" s="2038"/>
      <c r="BI53" s="2038"/>
      <c r="BJ53" s="2038"/>
      <c r="BK53" s="2038"/>
      <c r="BL53" s="2038"/>
      <c r="BM53" s="2038"/>
      <c r="BN53" s="2038"/>
      <c r="BO53" s="2038"/>
      <c r="BP53" s="2038"/>
    </row>
    <row r="54" spans="1:68" ht="14.25" customHeight="1">
      <c r="A54" s="2162"/>
      <c r="B54" s="7474" t="s">
        <v>2718</v>
      </c>
      <c r="C54" s="7413"/>
      <c r="D54" s="2447" t="s">
        <v>2719</v>
      </c>
      <c r="E54" s="1715"/>
      <c r="F54" s="1715"/>
      <c r="G54" s="1715"/>
      <c r="H54" s="1715"/>
      <c r="I54" s="1715"/>
      <c r="J54" s="1715"/>
      <c r="K54" s="1715"/>
      <c r="L54" s="1715"/>
      <c r="M54" s="1715"/>
      <c r="N54" s="1715"/>
      <c r="O54" s="1715"/>
      <c r="P54" s="1715"/>
      <c r="Q54" s="1715"/>
      <c r="R54" s="1715"/>
      <c r="S54" s="1715"/>
      <c r="T54" s="1715"/>
      <c r="U54" s="1715"/>
      <c r="V54" s="1715"/>
      <c r="W54" s="1715"/>
      <c r="X54" s="1715"/>
      <c r="Y54" s="1715"/>
      <c r="Z54" s="1715"/>
      <c r="AA54" s="2760" t="s">
        <v>684</v>
      </c>
      <c r="AB54" s="7475" t="s">
        <v>2718</v>
      </c>
      <c r="AC54" s="7476"/>
      <c r="AD54" s="7490">
        <f>IF(AR54&lt;&gt;"",ROUND(AR54,0),ROUND(BC24,0))</f>
        <v>0</v>
      </c>
      <c r="AE54" s="7369"/>
      <c r="AF54" s="7369"/>
      <c r="AG54" s="7369"/>
      <c r="AH54" s="7369"/>
      <c r="AI54" s="7491"/>
      <c r="AJ54" s="2162"/>
      <c r="AK54" s="2162"/>
      <c r="AL54" s="2162"/>
      <c r="AM54" s="2162"/>
      <c r="AN54" s="2162"/>
      <c r="AO54" s="2162"/>
      <c r="AP54" s="2162"/>
      <c r="AQ54" s="260"/>
      <c r="AR54" s="2499"/>
      <c r="AS54" s="260"/>
      <c r="AT54" s="260"/>
      <c r="AU54" s="260"/>
      <c r="AX54" s="118"/>
      <c r="AY54" s="778" t="s">
        <v>2720</v>
      </c>
      <c r="AZ54" s="776">
        <f>IF(D21&lt;&gt;6,AZ51,0)</f>
        <v>0</v>
      </c>
      <c r="BA54"/>
      <c r="BB54" s="776">
        <f>IF(D22&lt;&gt;6,BB51,0)</f>
        <v>0</v>
      </c>
      <c r="BC54"/>
      <c r="BD54" s="776">
        <f>IF(D23&lt;&gt;6,BD51,0)</f>
        <v>0</v>
      </c>
      <c r="BG54" s="2396"/>
      <c r="BH54" s="2038"/>
      <c r="BI54" s="2038"/>
      <c r="BJ54" s="2038"/>
      <c r="BK54" s="2038"/>
      <c r="BL54" s="2038"/>
      <c r="BM54" s="2038"/>
      <c r="BN54" s="2038"/>
      <c r="BO54" s="2038"/>
      <c r="BP54" s="2038"/>
    </row>
    <row r="55" spans="1:68" ht="14.25" customHeight="1">
      <c r="A55" s="2162"/>
      <c r="B55" s="7488" t="s">
        <v>644</v>
      </c>
      <c r="C55" s="7489"/>
      <c r="D55" s="2447" t="s">
        <v>2721</v>
      </c>
      <c r="E55" s="1715"/>
      <c r="F55" s="1715"/>
      <c r="G55" s="1715"/>
      <c r="H55" s="1715"/>
      <c r="I55" s="1715"/>
      <c r="J55" s="1715"/>
      <c r="K55" s="1715"/>
      <c r="L55" s="1715"/>
      <c r="M55" s="1715"/>
      <c r="N55" s="1715"/>
      <c r="O55" s="1715"/>
      <c r="P55" s="1715"/>
      <c r="Q55" s="1715"/>
      <c r="R55" s="1715"/>
      <c r="S55" s="1715"/>
      <c r="T55" s="1715"/>
      <c r="U55" s="1715"/>
      <c r="V55" s="1715"/>
      <c r="W55" s="1715"/>
      <c r="X55" s="1715"/>
      <c r="Y55" s="1715"/>
      <c r="Z55" s="1715"/>
      <c r="AA55" s="2760" t="s">
        <v>699</v>
      </c>
      <c r="AB55" s="7475" t="s">
        <v>2722</v>
      </c>
      <c r="AC55" s="7476"/>
      <c r="AD55" s="7490">
        <f>IF(AR55&lt;&gt;"",ROUND(AR55,0),ROUND(BC25,0))</f>
        <v>0</v>
      </c>
      <c r="AE55" s="7369"/>
      <c r="AF55" s="7369"/>
      <c r="AG55" s="7369"/>
      <c r="AH55" s="7369"/>
      <c r="AI55" s="7491"/>
      <c r="AJ55" s="2162"/>
      <c r="AK55" s="2162"/>
      <c r="AL55" s="2162"/>
      <c r="AM55" s="2162"/>
      <c r="AN55" s="2162"/>
      <c r="AO55" s="2162"/>
      <c r="AP55" s="2162"/>
      <c r="AQ55" s="260"/>
      <c r="AR55" s="2499"/>
      <c r="AS55" s="260"/>
      <c r="AT55" s="260"/>
      <c r="AU55" s="260"/>
      <c r="BG55" s="2396"/>
      <c r="BH55" s="2038"/>
      <c r="BI55" s="2038"/>
      <c r="BJ55" s="2038"/>
      <c r="BK55" s="2038"/>
      <c r="BL55" s="2038"/>
      <c r="BM55" s="2038"/>
      <c r="BN55" s="2038"/>
      <c r="BO55" s="2038"/>
      <c r="BP55" s="2038"/>
    </row>
    <row r="56" spans="1:68" ht="14.25" customHeight="1">
      <c r="A56" s="2162"/>
      <c r="B56" s="7488" t="s">
        <v>648</v>
      </c>
      <c r="C56" s="7489"/>
      <c r="D56" s="2447" t="s">
        <v>2723</v>
      </c>
      <c r="E56" s="1715"/>
      <c r="F56" s="1715"/>
      <c r="G56" s="1715"/>
      <c r="H56" s="1715"/>
      <c r="I56" s="1715"/>
      <c r="J56" s="1715"/>
      <c r="K56" s="1715"/>
      <c r="L56" s="1715"/>
      <c r="M56" s="1715"/>
      <c r="N56" s="1715"/>
      <c r="O56" s="1715"/>
      <c r="P56" s="1715"/>
      <c r="Q56" s="1715"/>
      <c r="R56" s="1715"/>
      <c r="S56" s="1715"/>
      <c r="T56" s="1715"/>
      <c r="U56" s="1715"/>
      <c r="V56" s="1715"/>
      <c r="W56" s="1715"/>
      <c r="X56" s="1715"/>
      <c r="Y56" s="1715"/>
      <c r="Z56" s="1715"/>
      <c r="AA56" s="2760" t="s">
        <v>654</v>
      </c>
      <c r="AB56" s="7475" t="s">
        <v>2724</v>
      </c>
      <c r="AC56" s="7476"/>
      <c r="AD56" s="7490">
        <f>IF(AR56&lt;&gt;"",ROUND(AR56,0),ROUND(SUM(V40,AD40,AJ40),0))</f>
        <v>0</v>
      </c>
      <c r="AE56" s="7369"/>
      <c r="AF56" s="7369"/>
      <c r="AG56" s="7369"/>
      <c r="AH56" s="7369"/>
      <c r="AI56" s="7491"/>
      <c r="AJ56" s="2162"/>
      <c r="AK56" s="2162"/>
      <c r="AL56" s="2162"/>
      <c r="AM56" s="2162"/>
      <c r="AN56" s="2162"/>
      <c r="AO56" s="2162"/>
      <c r="AP56" s="2162"/>
      <c r="AQ56" s="260"/>
      <c r="AR56" s="2499"/>
      <c r="AS56" s="260"/>
      <c r="AT56" s="260"/>
      <c r="AU56" s="260"/>
      <c r="BG56" s="2396"/>
      <c r="BH56" s="2038"/>
      <c r="BI56" s="2038"/>
      <c r="BJ56" s="2038"/>
      <c r="BK56" s="2038"/>
      <c r="BL56" s="2038"/>
      <c r="BM56" s="2038"/>
      <c r="BN56" s="2038"/>
      <c r="BO56" s="2038"/>
      <c r="BP56" s="2038"/>
    </row>
    <row r="57" spans="1:68" ht="14.25" customHeight="1">
      <c r="A57" s="2162"/>
      <c r="B57" s="7488" t="s">
        <v>652</v>
      </c>
      <c r="C57" s="7489"/>
      <c r="D57" s="2447" t="s">
        <v>2725</v>
      </c>
      <c r="E57" s="1715"/>
      <c r="F57" s="1715"/>
      <c r="G57" s="1715"/>
      <c r="H57" s="1715"/>
      <c r="I57" s="1715"/>
      <c r="J57" s="1715"/>
      <c r="K57" s="1715"/>
      <c r="L57" s="1715"/>
      <c r="M57" s="1715"/>
      <c r="N57" s="1715"/>
      <c r="O57" s="1715"/>
      <c r="P57" s="1715"/>
      <c r="Q57" s="1715"/>
      <c r="R57" s="1715"/>
      <c r="S57" s="1715"/>
      <c r="T57" s="1715"/>
      <c r="U57" s="1715"/>
      <c r="V57" s="1715"/>
      <c r="W57" s="1715"/>
      <c r="X57" s="1715"/>
      <c r="Y57" s="1715"/>
      <c r="Z57" s="1715"/>
      <c r="AA57" s="2760" t="s">
        <v>654</v>
      </c>
      <c r="AB57" s="7475" t="s">
        <v>2726</v>
      </c>
      <c r="AC57" s="7476"/>
      <c r="AD57" s="7490">
        <f>IF(AR57&lt;&gt;"",ROUND(AR57,0),ROUND(SUM(V46,AD46,AJ46),0))</f>
        <v>0</v>
      </c>
      <c r="AE57" s="7369"/>
      <c r="AF57" s="7369"/>
      <c r="AG57" s="7369"/>
      <c r="AH57" s="7369"/>
      <c r="AI57" s="7491"/>
      <c r="AJ57" s="2162"/>
      <c r="AK57" s="2162"/>
      <c r="AL57" s="2162"/>
      <c r="AM57" s="2162"/>
      <c r="AN57" s="2162"/>
      <c r="AO57" s="2162"/>
      <c r="AP57" s="2162"/>
      <c r="AQ57" s="260"/>
      <c r="AR57" s="2499"/>
      <c r="AS57" s="260"/>
      <c r="AT57" s="260"/>
      <c r="AU57" s="260"/>
      <c r="BG57" s="2396"/>
      <c r="BH57" s="2038"/>
      <c r="BI57" s="2038"/>
      <c r="BJ57" s="2038"/>
      <c r="BK57" s="2038"/>
      <c r="BL57" s="2038"/>
      <c r="BM57" s="2038"/>
      <c r="BN57" s="2038"/>
      <c r="BO57" s="2038"/>
      <c r="BP57" s="2038"/>
    </row>
    <row r="58" spans="1:68" ht="14.25" customHeight="1">
      <c r="A58" s="2162"/>
      <c r="B58" s="7488" t="s">
        <v>656</v>
      </c>
      <c r="C58" s="7489"/>
      <c r="D58" s="2447" t="s">
        <v>2727</v>
      </c>
      <c r="E58" s="1715"/>
      <c r="F58" s="1715"/>
      <c r="G58" s="1715"/>
      <c r="H58" s="1715"/>
      <c r="I58" s="1715"/>
      <c r="J58" s="1715"/>
      <c r="K58" s="1715"/>
      <c r="L58" s="1715"/>
      <c r="M58" s="1715"/>
      <c r="N58" s="1715"/>
      <c r="O58" s="1715"/>
      <c r="P58" s="1715"/>
      <c r="Q58" s="1715"/>
      <c r="R58" s="1715"/>
      <c r="S58" s="1715"/>
      <c r="T58" s="1715"/>
      <c r="U58" s="1715"/>
      <c r="V58" s="1715"/>
      <c r="W58" s="1715"/>
      <c r="X58" s="1715"/>
      <c r="Y58" s="1715"/>
      <c r="Z58" s="1715"/>
      <c r="AA58" s="2760" t="s">
        <v>654</v>
      </c>
      <c r="AB58" s="7475" t="s">
        <v>2728</v>
      </c>
      <c r="AC58" s="7476"/>
      <c r="AD58" s="7490">
        <f>IF(AR58&lt;&gt;"",ROUND(AR58,0),ROUND(SUM(V48,AD48,AJ48),0))</f>
        <v>0</v>
      </c>
      <c r="AE58" s="7369"/>
      <c r="AF58" s="7369"/>
      <c r="AG58" s="7369"/>
      <c r="AH58" s="7369"/>
      <c r="AI58" s="7491"/>
      <c r="AJ58" s="2162"/>
      <c r="AK58" s="2162"/>
      <c r="AL58" s="2162"/>
      <c r="AM58" s="2162"/>
      <c r="AN58" s="2162"/>
      <c r="AO58" s="2162"/>
      <c r="AP58" s="2162"/>
      <c r="AQ58" s="260"/>
      <c r="AR58" s="2499"/>
      <c r="AS58" s="260"/>
      <c r="AT58" s="260"/>
      <c r="AU58" s="260"/>
      <c r="BG58" s="2396"/>
      <c r="BH58" s="2038"/>
      <c r="BI58" s="2038"/>
      <c r="BJ58" s="2038"/>
      <c r="BK58" s="2038"/>
      <c r="BL58" s="2038"/>
      <c r="BM58" s="2038"/>
      <c r="BN58" s="2038"/>
      <c r="BO58" s="2038"/>
      <c r="BP58" s="2038"/>
    </row>
    <row r="59" spans="1:68" ht="14.25" customHeight="1">
      <c r="A59" s="2162"/>
      <c r="B59" s="7474">
        <v>24</v>
      </c>
      <c r="C59" s="7413"/>
      <c r="D59" s="2447" t="s">
        <v>2729</v>
      </c>
      <c r="E59" s="1715"/>
      <c r="F59" s="1715"/>
      <c r="G59" s="1715"/>
      <c r="H59" s="1715"/>
      <c r="I59" s="1715"/>
      <c r="J59" s="1715"/>
      <c r="K59" s="1715"/>
      <c r="L59" s="1715"/>
      <c r="M59" s="1715"/>
      <c r="N59" s="1715"/>
      <c r="O59" s="1715"/>
      <c r="P59" s="1715"/>
      <c r="Q59" s="1715"/>
      <c r="R59" s="1715"/>
      <c r="S59" s="1715"/>
      <c r="T59" s="1715"/>
      <c r="U59" s="1715"/>
      <c r="V59" s="1715"/>
      <c r="W59" s="1715"/>
      <c r="X59" s="1715"/>
      <c r="Y59" s="1715"/>
      <c r="Z59" s="1715"/>
      <c r="AA59" s="1715"/>
      <c r="AB59" s="1715"/>
      <c r="AC59" s="1715"/>
      <c r="AD59" s="1715"/>
      <c r="AE59" s="1715"/>
      <c r="AF59" s="1715"/>
      <c r="AG59" s="2760" t="s">
        <v>746</v>
      </c>
      <c r="AH59" s="7479">
        <v>24</v>
      </c>
      <c r="AI59" s="7480"/>
      <c r="AJ59" s="7477">
        <f>IF(AR59&lt;&gt;"",ROUND(AR59,0),ROUND(SUM(AY51,BA51,BC51),0))</f>
        <v>0</v>
      </c>
      <c r="AK59" s="7478"/>
      <c r="AL59" s="7478"/>
      <c r="AM59" s="7478"/>
      <c r="AN59" s="7478"/>
      <c r="AO59" s="7478"/>
      <c r="AP59" s="2162"/>
      <c r="AQ59" s="260"/>
      <c r="AR59" s="2499"/>
      <c r="AS59" s="260"/>
      <c r="AT59" s="260"/>
      <c r="AU59" s="260"/>
      <c r="BG59" s="2396"/>
      <c r="BH59" s="2038"/>
      <c r="BI59" s="2038"/>
      <c r="BJ59" s="2038"/>
      <c r="BK59" s="2038"/>
      <c r="BL59" s="2038"/>
      <c r="BM59" s="2038"/>
      <c r="BN59" s="2038"/>
      <c r="BO59" s="2038"/>
      <c r="BP59" s="2038"/>
    </row>
    <row r="60" spans="1:68" ht="14.25" customHeight="1">
      <c r="A60" s="2162"/>
      <c r="B60" s="7474">
        <v>25</v>
      </c>
      <c r="C60" s="7413"/>
      <c r="D60" s="2461" t="s">
        <v>2730</v>
      </c>
      <c r="E60" s="1715"/>
      <c r="F60" s="1715"/>
      <c r="G60" s="1715"/>
      <c r="H60" s="1715"/>
      <c r="I60" s="1715"/>
      <c r="J60" s="1715"/>
      <c r="K60" s="1715"/>
      <c r="L60" s="1715"/>
      <c r="M60" s="1715"/>
      <c r="N60" s="1715"/>
      <c r="O60" s="1715"/>
      <c r="P60" s="1715"/>
      <c r="Q60" s="1715"/>
      <c r="R60" s="1715"/>
      <c r="S60" s="1715"/>
      <c r="T60" s="1715"/>
      <c r="U60" s="1715"/>
      <c r="V60" s="1715"/>
      <c r="W60" s="1715"/>
      <c r="X60" s="1715"/>
      <c r="Y60" s="1715"/>
      <c r="Z60" s="1715"/>
      <c r="AA60" s="1715"/>
      <c r="AB60" s="1715"/>
      <c r="AC60" s="1715"/>
      <c r="AD60" s="1715"/>
      <c r="AE60" s="1715"/>
      <c r="AF60" s="1715"/>
      <c r="AG60" s="1715"/>
      <c r="AH60" s="7475">
        <v>25</v>
      </c>
      <c r="AI60" s="7476"/>
      <c r="AJ60" s="4718" t="s">
        <v>905</v>
      </c>
      <c r="AK60" s="7371">
        <f>-AK61</f>
        <v>0</v>
      </c>
      <c r="AL60" s="7372"/>
      <c r="AM60" s="7372"/>
      <c r="AN60" s="7372"/>
      <c r="AO60" s="4712" t="s">
        <v>906</v>
      </c>
      <c r="AP60" s="2162"/>
      <c r="AQ60" s="260"/>
      <c r="AR60" s="2499"/>
      <c r="AS60" s="260"/>
      <c r="AT60" s="260"/>
      <c r="AU60" s="260"/>
      <c r="BG60" s="2396"/>
      <c r="BH60" s="2038"/>
      <c r="BI60" s="2038"/>
      <c r="BJ60" s="2038"/>
      <c r="BK60" s="2038"/>
      <c r="BL60" s="2038"/>
      <c r="BM60" s="2038"/>
      <c r="BN60" s="2038"/>
      <c r="BO60" s="2038"/>
      <c r="BP60" s="2038"/>
    </row>
    <row r="61" spans="1:68" ht="14.25" customHeight="1">
      <c r="A61" s="2162"/>
      <c r="B61" s="7474">
        <v>26</v>
      </c>
      <c r="C61" s="7413"/>
      <c r="D61" s="2447" t="s">
        <v>2731</v>
      </c>
      <c r="E61" s="1715"/>
      <c r="F61" s="1715"/>
      <c r="G61" s="1715"/>
      <c r="H61" s="1715"/>
      <c r="I61" s="1715"/>
      <c r="J61" s="1715"/>
      <c r="K61" s="1715"/>
      <c r="L61" s="1715"/>
      <c r="M61" s="1715"/>
      <c r="N61" s="1715"/>
      <c r="O61" s="1715"/>
      <c r="P61" s="1715"/>
      <c r="Q61" s="1715"/>
      <c r="R61" s="1715"/>
      <c r="S61" s="1715"/>
      <c r="T61" s="2358"/>
      <c r="U61" s="2460"/>
      <c r="V61" s="4716"/>
      <c r="W61" s="4716"/>
      <c r="X61" s="4716"/>
      <c r="Y61" s="4716"/>
      <c r="Z61" s="4716"/>
      <c r="AA61" s="4716"/>
      <c r="AB61" s="4716"/>
      <c r="AC61" s="4716"/>
      <c r="AD61" s="4716"/>
      <c r="AE61" s="4716"/>
      <c r="AF61" s="4716"/>
      <c r="AG61" s="4716"/>
      <c r="AH61" s="4719"/>
      <c r="AI61" s="4720"/>
      <c r="AJ61" s="4716"/>
      <c r="AK61" s="7485">
        <f>IF(AND(AR60&lt;&gt;"",AR60&gt;=0),-ROUND(AR60,0),IF(AND(AR60&lt;&gt;"",AR60&lt;0),ROUND(AR60,0),SUM(AZ52,AZ53,BB52,BB53,BD52,BD53)))</f>
        <v>0</v>
      </c>
      <c r="AL61" s="7485"/>
      <c r="AM61" s="7485"/>
      <c r="AN61" s="7485"/>
      <c r="AO61" s="4716"/>
      <c r="AP61" s="2162"/>
      <c r="AQ61" s="260"/>
      <c r="AR61" s="260"/>
      <c r="AS61" s="260"/>
      <c r="AT61" s="260"/>
      <c r="AU61" s="260"/>
      <c r="BG61" s="2396"/>
      <c r="BH61" s="2038"/>
      <c r="BI61" s="2038"/>
      <c r="BJ61" s="2038"/>
      <c r="BK61" s="2038"/>
      <c r="BL61" s="2038"/>
      <c r="BM61" s="2038"/>
      <c r="BN61" s="2038"/>
      <c r="BO61" s="2038"/>
      <c r="BP61" s="2038"/>
    </row>
    <row r="62" spans="1:68" ht="14.25" customHeight="1">
      <c r="A62" s="2162"/>
      <c r="B62" s="7474"/>
      <c r="C62" s="7413"/>
      <c r="D62" s="2447" t="s">
        <v>2732</v>
      </c>
      <c r="E62" s="1715"/>
      <c r="F62" s="1715"/>
      <c r="G62" s="1715"/>
      <c r="H62" s="1715"/>
      <c r="I62" s="1715"/>
      <c r="J62" s="1715"/>
      <c r="K62" s="1715"/>
      <c r="L62" s="1715"/>
      <c r="M62" s="1715"/>
      <c r="N62" s="1715"/>
      <c r="O62" s="1715"/>
      <c r="P62" s="1715"/>
      <c r="Q62" s="1715"/>
      <c r="R62" s="1715"/>
      <c r="S62" s="1715"/>
      <c r="T62" s="2358"/>
      <c r="U62" s="2460"/>
      <c r="V62" s="4716"/>
      <c r="W62" s="4716"/>
      <c r="X62" s="4716"/>
      <c r="Y62" s="4716"/>
      <c r="Z62" s="4716"/>
      <c r="AA62" s="4716"/>
      <c r="AB62" s="4716"/>
      <c r="AC62" s="4716"/>
      <c r="AD62" s="4716"/>
      <c r="AE62" s="4716"/>
      <c r="AF62" s="4716"/>
      <c r="AG62" s="4716"/>
      <c r="AH62" s="4715"/>
      <c r="AI62" s="4717"/>
      <c r="AJ62" s="4716"/>
      <c r="AK62" s="4716"/>
      <c r="AL62" s="4716"/>
      <c r="AM62" s="4716"/>
      <c r="AN62" s="4716"/>
      <c r="AO62" s="4716"/>
      <c r="AP62" s="2162"/>
      <c r="AQ62" s="260"/>
      <c r="AR62" s="260"/>
      <c r="AS62" s="260"/>
      <c r="AT62" s="260"/>
      <c r="AU62" s="260"/>
      <c r="BG62" s="2396"/>
      <c r="BH62" s="2038"/>
      <c r="BI62" s="2038"/>
      <c r="BJ62" s="2038"/>
      <c r="BK62" s="2038"/>
      <c r="BL62" s="2038"/>
      <c r="BM62" s="2038"/>
      <c r="BN62" s="2038"/>
      <c r="BO62" s="2038"/>
      <c r="BP62" s="2038"/>
    </row>
    <row r="63" spans="1:68" ht="14.25" customHeight="1" thickBot="1">
      <c r="A63" s="2162"/>
      <c r="B63" s="2462"/>
      <c r="C63" s="2463"/>
      <c r="D63" s="3759" t="s">
        <v>2733</v>
      </c>
      <c r="E63" s="2464"/>
      <c r="F63" s="2464"/>
      <c r="G63" s="2464"/>
      <c r="H63" s="2464"/>
      <c r="I63" s="2464"/>
      <c r="J63" s="2464"/>
      <c r="K63" s="2464"/>
      <c r="L63" s="2464"/>
      <c r="M63" s="2464"/>
      <c r="N63" s="2464"/>
      <c r="O63" s="2464"/>
      <c r="P63" s="2464"/>
      <c r="Q63" s="2464"/>
      <c r="R63" s="2464"/>
      <c r="S63" s="2464"/>
      <c r="T63" s="2464"/>
      <c r="U63" s="2464"/>
      <c r="V63" s="2464"/>
      <c r="W63" s="2464"/>
      <c r="X63" s="2464"/>
      <c r="Y63" s="2464"/>
      <c r="Z63" s="2464"/>
      <c r="AA63" s="2464"/>
      <c r="AB63" s="2465"/>
      <c r="AC63" s="2466"/>
      <c r="AD63" s="2467"/>
      <c r="AE63" s="2467"/>
      <c r="AF63" s="2467"/>
      <c r="AG63" s="2761" t="s">
        <v>2734</v>
      </c>
      <c r="AH63" s="7481">
        <v>26</v>
      </c>
      <c r="AI63" s="7482"/>
      <c r="AJ63" s="7483">
        <f>IF(AR63&lt;&gt;"",ROUND(AR63,0),SUM(AJ59,AK61))</f>
        <v>0</v>
      </c>
      <c r="AK63" s="7484"/>
      <c r="AL63" s="7484"/>
      <c r="AM63" s="7484"/>
      <c r="AN63" s="7484"/>
      <c r="AO63" s="7484"/>
      <c r="AP63" s="2162"/>
      <c r="AQ63" s="260"/>
      <c r="AR63" s="2492"/>
      <c r="AS63" s="260"/>
      <c r="AT63" s="260"/>
      <c r="AU63" s="260"/>
      <c r="BG63" s="2396"/>
      <c r="BH63" s="2038"/>
      <c r="BI63" s="2038"/>
      <c r="BJ63" s="2038"/>
      <c r="BK63" s="2038"/>
      <c r="BL63" s="2038"/>
      <c r="BM63" s="2038"/>
      <c r="BN63" s="2038"/>
      <c r="BO63" s="2038"/>
      <c r="BP63" s="2038"/>
    </row>
    <row r="64" spans="1:68" ht="14.25" customHeight="1">
      <c r="A64" s="2162"/>
      <c r="B64" s="2441" t="s">
        <v>2383</v>
      </c>
      <c r="C64" s="2459"/>
      <c r="D64" s="2447"/>
      <c r="E64" s="1715"/>
      <c r="F64" s="1715"/>
      <c r="G64" s="1715"/>
      <c r="H64" s="1715"/>
      <c r="I64" s="1715"/>
      <c r="J64" s="1715"/>
      <c r="K64" s="1715"/>
      <c r="L64" s="1715"/>
      <c r="M64" s="1715"/>
      <c r="N64" s="1715"/>
      <c r="O64" s="1715"/>
      <c r="P64" s="1715"/>
      <c r="Q64" s="1715"/>
      <c r="R64" s="1715"/>
      <c r="S64" s="1715"/>
      <c r="T64" s="1715"/>
      <c r="U64" s="1715"/>
      <c r="V64" s="1715"/>
      <c r="W64" s="1715"/>
      <c r="X64" s="1715"/>
      <c r="Y64" s="1715" t="s">
        <v>2735</v>
      </c>
      <c r="Z64" s="1715"/>
      <c r="AA64" s="1715"/>
      <c r="AB64" s="2358"/>
      <c r="AC64" s="2460"/>
      <c r="AD64" s="4716"/>
      <c r="AE64" s="4716"/>
      <c r="AF64" s="4716"/>
      <c r="AG64" s="4716"/>
      <c r="AH64" s="4716"/>
      <c r="AI64" s="4716"/>
      <c r="AJ64" s="808"/>
      <c r="AK64" s="808"/>
      <c r="AL64" s="808"/>
      <c r="AM64" s="808"/>
      <c r="AN64" s="808"/>
      <c r="AO64" s="1128" t="str">
        <f>"Schedule E (Form 1040) "&amp;TaxYear</f>
        <v>Schedule E (Form 1040) 2023</v>
      </c>
      <c r="AP64" s="2162"/>
      <c r="AQ64" s="260"/>
      <c r="AR64" s="260"/>
      <c r="AS64" s="260"/>
      <c r="AT64" s="260"/>
      <c r="AU64" s="260"/>
      <c r="BG64" s="2396"/>
      <c r="BH64" s="2038"/>
      <c r="BI64" s="2038"/>
      <c r="BJ64" s="2038"/>
      <c r="BK64" s="2038"/>
      <c r="BL64" s="2038"/>
      <c r="BM64" s="2038"/>
      <c r="BN64" s="2038"/>
      <c r="BO64" s="2038"/>
      <c r="BP64" s="2038"/>
    </row>
    <row r="65" spans="1:69" ht="21" customHeight="1">
      <c r="A65" s="2162"/>
      <c r="B65" s="2181" t="str">
        <f>"Schedule E (Form 1040) "&amp;TaxYear</f>
        <v>Schedule E (Form 1040) 2023</v>
      </c>
      <c r="C65" s="1121"/>
      <c r="D65" s="1121"/>
      <c r="E65" s="1121"/>
      <c r="F65" s="1121"/>
      <c r="G65" s="1121"/>
      <c r="H65" s="1121"/>
      <c r="I65" s="2486"/>
      <c r="J65" s="1121"/>
      <c r="K65" s="1121"/>
      <c r="L65" s="1121"/>
      <c r="M65" s="1121"/>
      <c r="N65" s="1121"/>
      <c r="O65" s="1121"/>
      <c r="P65" s="2487"/>
      <c r="Q65" s="1121"/>
      <c r="R65" s="1121"/>
      <c r="S65" s="1121"/>
      <c r="T65" s="1121"/>
      <c r="U65" s="1121"/>
      <c r="V65" s="1121"/>
      <c r="W65" s="1121"/>
      <c r="X65" s="1121"/>
      <c r="Y65" s="1121"/>
      <c r="Z65" s="1121"/>
      <c r="AA65" s="2181" t="s">
        <v>2428</v>
      </c>
      <c r="AB65" s="1121"/>
      <c r="AC65" s="1121"/>
      <c r="AD65" s="1121"/>
      <c r="AE65" s="1121"/>
      <c r="AF65" s="1121"/>
      <c r="AG65" s="7355">
        <v>13</v>
      </c>
      <c r="AH65" s="7355"/>
      <c r="AI65" s="1121"/>
      <c r="AJ65" s="1121"/>
      <c r="AK65" s="1121"/>
      <c r="AL65" s="1121"/>
      <c r="AM65" s="1121"/>
      <c r="AN65" s="1121"/>
      <c r="AO65" s="2473" t="s">
        <v>981</v>
      </c>
      <c r="AP65" s="2162"/>
      <c r="BG65" s="2396"/>
      <c r="BH65" s="2038"/>
      <c r="BI65" s="2038"/>
      <c r="BJ65" s="2038"/>
      <c r="BK65" s="2038"/>
      <c r="BL65" s="2038"/>
      <c r="BM65" s="2038"/>
      <c r="BN65" s="2038"/>
      <c r="BO65" s="2038"/>
      <c r="BP65" s="2038"/>
    </row>
    <row r="66" spans="1:69" ht="12.75" customHeight="1">
      <c r="A66" s="2162"/>
      <c r="B66" s="878" t="s">
        <v>2736</v>
      </c>
      <c r="C66" s="878"/>
      <c r="D66" s="878"/>
      <c r="E66" s="878"/>
      <c r="F66" s="878"/>
      <c r="G66" s="878"/>
      <c r="H66" s="878" t="s">
        <v>2737</v>
      </c>
      <c r="I66" s="878"/>
      <c r="J66" s="808"/>
      <c r="K66" s="808"/>
      <c r="L66" s="808"/>
      <c r="M66" s="808"/>
      <c r="N66" s="808"/>
      <c r="O66" s="808"/>
      <c r="P66" s="808"/>
      <c r="Q66" s="808"/>
      <c r="R66" s="808"/>
      <c r="S66" s="808"/>
      <c r="T66" s="808"/>
      <c r="U66" s="808"/>
      <c r="V66" s="808"/>
      <c r="W66" s="808"/>
      <c r="X66" s="808"/>
      <c r="Y66" s="808"/>
      <c r="Z66" s="808"/>
      <c r="AA66" s="808"/>
      <c r="AB66" s="808"/>
      <c r="AC66" s="808"/>
      <c r="AD66" s="808"/>
      <c r="AE66" s="808"/>
      <c r="AF66" s="7486" t="s">
        <v>586</v>
      </c>
      <c r="AG66" s="7487"/>
      <c r="AH66" s="7487"/>
      <c r="AI66" s="7487"/>
      <c r="AJ66" s="7487"/>
      <c r="AK66" s="7487"/>
      <c r="AL66" s="7487"/>
      <c r="AM66" s="7487"/>
      <c r="AN66" s="7487"/>
      <c r="AO66" s="7487"/>
      <c r="AP66" s="2162"/>
      <c r="AR66" s="902" t="b">
        <f>OR(AND(AF67&lt;&gt;"",AF67=AG8),AND(B8&lt;&gt;"",B67&lt;&gt;""))</f>
        <v>0</v>
      </c>
      <c r="BG66" s="2396"/>
      <c r="BH66" s="2038"/>
      <c r="BI66" s="2038"/>
      <c r="BJ66" s="2038"/>
      <c r="BK66" s="2038"/>
      <c r="BL66" s="2038"/>
      <c r="BM66" s="2038"/>
      <c r="BN66" s="2038"/>
      <c r="BO66" s="2038"/>
      <c r="BP66" s="2038"/>
    </row>
    <row r="67" spans="1:69" ht="16.5" customHeight="1">
      <c r="A67" s="2162"/>
      <c r="B67" s="7382"/>
      <c r="C67" s="7382"/>
      <c r="D67" s="7382"/>
      <c r="E67" s="7382"/>
      <c r="F67" s="7382"/>
      <c r="G67" s="7382"/>
      <c r="H67" s="7382"/>
      <c r="I67" s="7382"/>
      <c r="J67" s="7382"/>
      <c r="K67" s="7382"/>
      <c r="L67" s="7382"/>
      <c r="M67" s="7382"/>
      <c r="N67" s="7382"/>
      <c r="O67" s="7382"/>
      <c r="P67" s="7382"/>
      <c r="Q67" s="7382"/>
      <c r="R67" s="7382"/>
      <c r="S67" s="7382"/>
      <c r="T67" s="7382"/>
      <c r="U67" s="7382"/>
      <c r="V67" s="7382"/>
      <c r="W67" s="7382"/>
      <c r="X67" s="7382"/>
      <c r="Y67" s="7382"/>
      <c r="Z67" s="7382"/>
      <c r="AA67" s="7382"/>
      <c r="AB67" s="7382"/>
      <c r="AC67" s="7382"/>
      <c r="AD67" s="7382"/>
      <c r="AE67" s="7383"/>
      <c r="AF67" s="6498"/>
      <c r="AG67" s="7381"/>
      <c r="AH67" s="7381"/>
      <c r="AI67" s="7381"/>
      <c r="AJ67" s="7381"/>
      <c r="AK67" s="7381"/>
      <c r="AL67" s="7381"/>
      <c r="AM67" s="7381"/>
      <c r="AN67" s="7381"/>
      <c r="AO67" s="7381"/>
      <c r="AP67" s="2406"/>
      <c r="AQ67" s="1998" t="str">
        <f>IF($AR66,"Hide emphasis.","")</f>
        <v/>
      </c>
      <c r="AR67" s="1998"/>
      <c r="BG67" s="2396"/>
      <c r="BH67" s="2038"/>
      <c r="BI67" s="2038"/>
      <c r="BJ67" s="2038"/>
      <c r="BK67" s="2038"/>
      <c r="BL67" s="2038"/>
      <c r="BM67" s="2038"/>
      <c r="BN67" s="2038"/>
      <c r="BO67" s="2038"/>
      <c r="BP67" s="2038"/>
    </row>
    <row r="68" spans="1:69" ht="15" customHeight="1">
      <c r="A68" s="2162"/>
      <c r="B68" s="2112" t="s">
        <v>2799</v>
      </c>
      <c r="C68" s="808"/>
      <c r="D68" s="808"/>
      <c r="E68" s="808"/>
      <c r="F68" s="808"/>
      <c r="G68" s="808"/>
      <c r="H68" s="808"/>
      <c r="I68" s="808"/>
      <c r="J68" s="808"/>
      <c r="K68" s="808"/>
      <c r="L68" s="808"/>
      <c r="M68" s="808"/>
      <c r="N68" s="808"/>
      <c r="O68" s="808"/>
      <c r="P68" s="808"/>
      <c r="Q68" s="808"/>
      <c r="R68" s="808"/>
      <c r="S68" s="808"/>
      <c r="T68" s="808"/>
      <c r="U68" s="808"/>
      <c r="V68" s="808"/>
      <c r="W68" s="808"/>
      <c r="X68" s="808"/>
      <c r="Y68" s="808"/>
      <c r="Z68" s="808"/>
      <c r="AA68" s="808"/>
      <c r="AB68" s="808"/>
      <c r="AC68" s="808"/>
      <c r="AD68" s="808"/>
      <c r="AE68" s="808"/>
      <c r="AF68" s="808"/>
      <c r="AG68" s="808"/>
      <c r="AH68" s="808"/>
      <c r="AI68" s="808"/>
      <c r="AJ68" s="808"/>
      <c r="AK68" s="808"/>
      <c r="AL68" s="808"/>
      <c r="AM68" s="808"/>
      <c r="AN68" s="808"/>
      <c r="AO68" s="808"/>
      <c r="AP68" s="2162"/>
      <c r="BG68" s="2396"/>
      <c r="BH68" s="2038"/>
      <c r="BI68" s="2038"/>
      <c r="BJ68" s="2038"/>
      <c r="BK68" s="2038"/>
      <c r="BL68" s="2038"/>
      <c r="BM68" s="2038"/>
      <c r="BN68" s="2038"/>
      <c r="BO68" s="2038"/>
      <c r="BP68" s="2038"/>
    </row>
    <row r="69" spans="1:69" s="2114" customFormat="1" ht="17.25" customHeight="1">
      <c r="A69" s="2163"/>
      <c r="B69" s="7384" t="s">
        <v>982</v>
      </c>
      <c r="C69" s="7384"/>
      <c r="D69" s="7385"/>
      <c r="E69" s="997"/>
      <c r="F69" s="4968" t="s">
        <v>2739</v>
      </c>
      <c r="G69" s="997"/>
      <c r="H69" s="997"/>
      <c r="I69" s="997"/>
      <c r="J69" s="997"/>
      <c r="K69" s="997"/>
      <c r="L69" s="997"/>
      <c r="M69" s="997"/>
      <c r="N69" s="997"/>
      <c r="O69" s="997"/>
      <c r="P69" s="997"/>
      <c r="Q69" s="997"/>
      <c r="R69" s="997"/>
      <c r="S69" s="997"/>
      <c r="T69" s="997"/>
      <c r="U69" s="997"/>
      <c r="V69" s="997"/>
      <c r="W69" s="997"/>
      <c r="X69" s="2440"/>
      <c r="Y69" s="997"/>
      <c r="Z69" s="997"/>
      <c r="AA69" s="997"/>
      <c r="AB69" s="997"/>
      <c r="AC69" s="997"/>
      <c r="AD69" s="997"/>
      <c r="AE69" s="997"/>
      <c r="AF69" s="997"/>
      <c r="AG69" s="997"/>
      <c r="AH69" s="997"/>
      <c r="AI69" s="997"/>
      <c r="AJ69" s="997"/>
      <c r="AK69" s="997"/>
      <c r="AL69" s="997"/>
      <c r="AM69" s="997"/>
      <c r="AN69" s="997"/>
      <c r="AO69" s="997"/>
      <c r="AP69" s="2162"/>
      <c r="AX69" s="39"/>
      <c r="AY69" s="39"/>
      <c r="AZ69" s="39"/>
      <c r="BA69" s="39"/>
      <c r="BB69" s="39"/>
      <c r="BC69" s="39"/>
      <c r="BD69" s="39"/>
      <c r="BG69" s="2396"/>
      <c r="BH69" s="2038"/>
      <c r="BI69" s="2038"/>
      <c r="BJ69" s="2038"/>
      <c r="BK69" s="2038"/>
      <c r="BL69" s="2038"/>
      <c r="BM69" s="2038"/>
      <c r="BN69" s="2038"/>
      <c r="BO69" s="2038"/>
      <c r="BP69" s="2038"/>
      <c r="BQ69" s="2690"/>
    </row>
    <row r="70" spans="1:69" ht="12.75" customHeight="1">
      <c r="A70" s="2162"/>
      <c r="B70" s="808"/>
      <c r="C70" s="808"/>
      <c r="D70" s="808"/>
      <c r="E70" s="808"/>
      <c r="F70" s="892" t="s">
        <v>2740</v>
      </c>
      <c r="G70" s="808"/>
      <c r="H70" s="808"/>
      <c r="I70" s="808"/>
      <c r="J70" s="808"/>
      <c r="K70" s="808"/>
      <c r="L70" s="808"/>
      <c r="M70" s="808"/>
      <c r="N70" s="808"/>
      <c r="O70" s="808"/>
      <c r="P70" s="808"/>
      <c r="Q70" s="808"/>
      <c r="R70" s="808"/>
      <c r="S70" s="808"/>
      <c r="T70" s="808"/>
      <c r="U70" s="808"/>
      <c r="V70" s="808"/>
      <c r="W70" s="808"/>
      <c r="X70" s="808"/>
      <c r="Y70" s="808"/>
      <c r="Z70" s="808"/>
      <c r="AA70" s="808"/>
      <c r="AB70" s="808"/>
      <c r="AC70" s="808"/>
      <c r="AD70" s="808"/>
      <c r="AE70" s="808"/>
      <c r="AF70" s="808"/>
      <c r="AG70" s="808"/>
      <c r="AH70" s="808"/>
      <c r="AI70" s="808"/>
      <c r="AJ70" s="808"/>
      <c r="AK70" s="808"/>
      <c r="AL70" s="808"/>
      <c r="AM70" s="808"/>
      <c r="AN70" s="808"/>
      <c r="AO70" s="808"/>
      <c r="AP70" s="2162"/>
      <c r="BG70" s="2396"/>
      <c r="BH70" s="2038"/>
      <c r="BI70" s="2038"/>
      <c r="BJ70" s="2038"/>
      <c r="BK70" s="2038"/>
      <c r="BL70" s="2038"/>
      <c r="BM70" s="2038"/>
      <c r="BN70" s="2038"/>
      <c r="BO70" s="2038"/>
      <c r="BP70" s="2038"/>
    </row>
    <row r="71" spans="1:69" ht="12.75" customHeight="1">
      <c r="A71" s="2162"/>
      <c r="B71" s="808"/>
      <c r="C71" s="808"/>
      <c r="D71" s="808"/>
      <c r="E71" s="808"/>
      <c r="F71" s="892" t="s">
        <v>2741</v>
      </c>
      <c r="G71" s="808"/>
      <c r="H71" s="808"/>
      <c r="I71" s="808"/>
      <c r="J71" s="808"/>
      <c r="K71" s="808"/>
      <c r="L71" s="808"/>
      <c r="M71" s="808"/>
      <c r="N71" s="808"/>
      <c r="O71" s="808"/>
      <c r="P71" s="808"/>
      <c r="Q71" s="808"/>
      <c r="R71" s="808"/>
      <c r="S71" s="808"/>
      <c r="T71" s="808"/>
      <c r="U71" s="808"/>
      <c r="V71" s="808"/>
      <c r="W71" s="808"/>
      <c r="X71" s="808"/>
      <c r="Y71" s="808"/>
      <c r="Z71" s="808"/>
      <c r="AA71" s="808"/>
      <c r="AB71" s="808"/>
      <c r="AC71" s="808"/>
      <c r="AD71" s="808"/>
      <c r="AE71" s="808"/>
      <c r="AF71" s="808"/>
      <c r="AG71" s="808"/>
      <c r="AH71" s="808"/>
      <c r="AI71" s="808"/>
      <c r="AJ71" s="808"/>
      <c r="AK71" s="808"/>
      <c r="AL71" s="808"/>
      <c r="AM71" s="808"/>
      <c r="AN71" s="808"/>
      <c r="AO71" s="808"/>
      <c r="AP71" s="2162"/>
      <c r="AX71" s="2114"/>
      <c r="AY71" s="2114"/>
      <c r="AZ71" s="2114"/>
      <c r="BA71" s="2114"/>
      <c r="BB71" s="2114"/>
      <c r="BC71" s="2114"/>
      <c r="BD71" s="2114"/>
      <c r="BG71" s="2396"/>
      <c r="BH71" s="2038"/>
      <c r="BI71" s="2038"/>
      <c r="BJ71" s="2038"/>
      <c r="BK71" s="2038"/>
      <c r="BL71" s="2038"/>
      <c r="BM71" s="2038"/>
      <c r="BN71" s="2038"/>
      <c r="BO71" s="2038"/>
      <c r="BP71" s="2038"/>
    </row>
    <row r="72" spans="1:69" ht="12.75" customHeight="1">
      <c r="A72" s="2162"/>
      <c r="B72" s="1121"/>
      <c r="C72" s="1121"/>
      <c r="D72" s="1121"/>
      <c r="E72" s="1121"/>
      <c r="F72" s="1260" t="s">
        <v>2742</v>
      </c>
      <c r="G72" s="1121"/>
      <c r="H72" s="1121"/>
      <c r="I72" s="1121"/>
      <c r="J72" s="1121"/>
      <c r="K72" s="1121"/>
      <c r="L72" s="1121"/>
      <c r="M72" s="1121"/>
      <c r="N72" s="1121"/>
      <c r="O72" s="1121"/>
      <c r="P72" s="1121"/>
      <c r="Q72" s="1121"/>
      <c r="R72" s="1121"/>
      <c r="S72" s="1121"/>
      <c r="T72" s="1121"/>
      <c r="U72" s="1121"/>
      <c r="V72" s="1121"/>
      <c r="W72" s="1121"/>
      <c r="X72" s="1121"/>
      <c r="Y72" s="1121"/>
      <c r="Z72" s="1121"/>
      <c r="AA72" s="1121"/>
      <c r="AB72" s="1121"/>
      <c r="AC72" s="1121"/>
      <c r="AD72" s="1121"/>
      <c r="AE72" s="1121"/>
      <c r="AF72" s="1121"/>
      <c r="AG72" s="1121"/>
      <c r="AH72" s="1121"/>
      <c r="AI72" s="1121"/>
      <c r="AJ72" s="1121"/>
      <c r="AK72" s="1121"/>
      <c r="AL72" s="1121"/>
      <c r="AM72" s="1121"/>
      <c r="AN72" s="1121"/>
      <c r="AO72" s="1121"/>
      <c r="AP72" s="2162"/>
      <c r="BG72" s="2396"/>
      <c r="BH72" s="2038"/>
      <c r="BI72" s="2038"/>
      <c r="BJ72" s="2038"/>
      <c r="BK72" s="2038"/>
      <c r="BL72" s="2038"/>
      <c r="BM72" s="2038"/>
      <c r="BN72" s="2038"/>
      <c r="BO72" s="2038"/>
      <c r="BP72" s="2038"/>
    </row>
    <row r="73" spans="1:69" ht="18.75" customHeight="1">
      <c r="A73" s="2162"/>
      <c r="B73" s="7390">
        <v>27</v>
      </c>
      <c r="C73" s="6466"/>
      <c r="D73" s="808"/>
      <c r="E73" s="2112" t="s">
        <v>2743</v>
      </c>
      <c r="F73" s="892"/>
      <c r="G73" s="808"/>
      <c r="H73" s="808"/>
      <c r="I73" s="808"/>
      <c r="J73" s="808"/>
      <c r="K73" s="808"/>
      <c r="L73" s="808"/>
      <c r="M73" s="808"/>
      <c r="N73" s="808"/>
      <c r="O73" s="808"/>
      <c r="P73" s="808"/>
      <c r="Q73" s="808"/>
      <c r="R73" s="808"/>
      <c r="S73" s="808"/>
      <c r="T73" s="808"/>
      <c r="U73" s="808"/>
      <c r="V73" s="808"/>
      <c r="W73" s="808"/>
      <c r="X73" s="808"/>
      <c r="Y73" s="808"/>
      <c r="Z73" s="808"/>
      <c r="AA73" s="808"/>
      <c r="AB73" s="808"/>
      <c r="AC73" s="808"/>
      <c r="AD73" s="808"/>
      <c r="AE73" s="808"/>
      <c r="AF73" s="808"/>
      <c r="AG73" s="808"/>
      <c r="AH73" s="808"/>
      <c r="AI73" s="808"/>
      <c r="AJ73" s="808"/>
      <c r="AK73" s="808"/>
      <c r="AL73" s="808"/>
      <c r="AM73" s="808"/>
      <c r="AN73" s="808"/>
      <c r="AO73" s="808"/>
      <c r="AP73" s="2162"/>
      <c r="BG73" s="2396"/>
      <c r="BH73" s="2038"/>
      <c r="BI73" s="2038"/>
      <c r="BJ73" s="2038"/>
      <c r="BK73" s="2038"/>
      <c r="BL73" s="2038"/>
      <c r="BM73" s="2038"/>
      <c r="BN73" s="2038"/>
      <c r="BO73" s="2038"/>
      <c r="BP73" s="2038"/>
    </row>
    <row r="74" spans="1:69" ht="12.75" customHeight="1">
      <c r="A74" s="2162"/>
      <c r="B74" s="2358"/>
      <c r="C74" s="1252"/>
      <c r="D74" s="808"/>
      <c r="E74" s="2112" t="s">
        <v>2744</v>
      </c>
      <c r="F74" s="892"/>
      <c r="G74" s="808"/>
      <c r="H74" s="808"/>
      <c r="I74" s="808"/>
      <c r="J74" s="808"/>
      <c r="K74" s="808"/>
      <c r="L74" s="808"/>
      <c r="M74" s="808"/>
      <c r="N74" s="808"/>
      <c r="O74" s="808"/>
      <c r="P74" s="808"/>
      <c r="Q74" s="808"/>
      <c r="R74" s="808"/>
      <c r="S74" s="808"/>
      <c r="T74" s="808"/>
      <c r="U74" s="808"/>
      <c r="V74" s="808"/>
      <c r="W74" s="808"/>
      <c r="X74" s="808"/>
      <c r="Y74" s="808"/>
      <c r="Z74" s="808"/>
      <c r="AA74" s="808"/>
      <c r="AB74" s="808"/>
      <c r="AC74" s="808"/>
      <c r="AD74" s="808"/>
      <c r="AE74" s="808"/>
      <c r="AF74" s="808"/>
      <c r="AG74" s="808"/>
      <c r="AH74" s="808"/>
      <c r="AI74" s="808"/>
      <c r="AJ74" s="808"/>
      <c r="AK74" s="808"/>
      <c r="AL74" s="808"/>
      <c r="AM74" s="808"/>
      <c r="AN74" s="808"/>
      <c r="AO74" s="808"/>
      <c r="AP74" s="2162"/>
      <c r="BG74" s="2396"/>
      <c r="BH74" s="2038"/>
      <c r="BI74" s="2038"/>
      <c r="BJ74" s="2038"/>
      <c r="BK74" s="2038"/>
      <c r="BL74" s="2038"/>
      <c r="BM74" s="2038"/>
      <c r="BN74" s="2038"/>
      <c r="BO74" s="2038"/>
      <c r="BP74" s="2038"/>
    </row>
    <row r="75" spans="1:69" ht="12.75" customHeight="1">
      <c r="A75" s="2162"/>
      <c r="B75" s="808"/>
      <c r="C75" s="808"/>
      <c r="D75" s="808"/>
      <c r="E75" s="2112" t="s">
        <v>2745</v>
      </c>
      <c r="F75" s="892"/>
      <c r="G75" s="808"/>
      <c r="H75" s="808"/>
      <c r="I75" s="808"/>
      <c r="J75" s="808"/>
      <c r="K75" s="808"/>
      <c r="L75" s="808"/>
      <c r="M75" s="808"/>
      <c r="N75" s="808"/>
      <c r="O75" s="808"/>
      <c r="P75" s="808"/>
      <c r="Q75" s="808"/>
      <c r="R75" s="808"/>
      <c r="S75" s="808"/>
      <c r="T75" s="808"/>
      <c r="U75" s="808"/>
      <c r="V75" s="808"/>
      <c r="W75" s="808"/>
      <c r="X75" s="808"/>
      <c r="Y75" s="808"/>
      <c r="Z75" s="808"/>
      <c r="AA75" s="808"/>
      <c r="AB75" s="808"/>
      <c r="AC75" s="808"/>
      <c r="AD75" s="808"/>
      <c r="AE75" s="808"/>
      <c r="AF75" s="808"/>
      <c r="AG75" s="808"/>
      <c r="AH75" s="808"/>
      <c r="AI75" s="2760" t="s">
        <v>646</v>
      </c>
      <c r="AJ75" s="809"/>
      <c r="AK75" s="2185" t="s">
        <v>2668</v>
      </c>
      <c r="AL75" s="1823"/>
      <c r="AM75" s="809"/>
      <c r="AN75" s="2185" t="s">
        <v>2669</v>
      </c>
      <c r="AO75" s="1823"/>
      <c r="AP75" s="2162"/>
      <c r="BG75" s="2396"/>
      <c r="BH75" s="2038"/>
      <c r="BI75" s="2038"/>
      <c r="BJ75" s="2038"/>
      <c r="BK75" s="2038"/>
      <c r="BL75" s="2038"/>
      <c r="BM75" s="2038"/>
      <c r="BN75" s="2038"/>
      <c r="BO75" s="2038"/>
      <c r="BP75" s="2038"/>
    </row>
    <row r="76" spans="1:69" ht="4.5" customHeight="1">
      <c r="A76" s="2162"/>
      <c r="B76" s="1121"/>
      <c r="C76" s="1121"/>
      <c r="D76" s="1121"/>
      <c r="E76" s="1121"/>
      <c r="F76" s="1260"/>
      <c r="G76" s="1121"/>
      <c r="H76" s="1121"/>
      <c r="I76" s="1121"/>
      <c r="J76" s="1121"/>
      <c r="K76" s="1121"/>
      <c r="L76" s="1121"/>
      <c r="M76" s="1121"/>
      <c r="N76" s="1121"/>
      <c r="O76" s="1121"/>
      <c r="P76" s="1121"/>
      <c r="Q76" s="1121"/>
      <c r="R76" s="1121"/>
      <c r="S76" s="1121"/>
      <c r="T76" s="1121"/>
      <c r="U76" s="1121"/>
      <c r="V76" s="1121"/>
      <c r="W76" s="1121"/>
      <c r="X76" s="1121"/>
      <c r="Y76" s="1121"/>
      <c r="Z76" s="1121"/>
      <c r="AA76" s="1121"/>
      <c r="AB76" s="1121"/>
      <c r="AC76" s="1121"/>
      <c r="AD76" s="1121"/>
      <c r="AE76" s="1121"/>
      <c r="AF76" s="1121"/>
      <c r="AG76" s="1121"/>
      <c r="AH76" s="1121"/>
      <c r="AI76" s="1121"/>
      <c r="AJ76" s="1121"/>
      <c r="AK76" s="1121"/>
      <c r="AL76" s="1121"/>
      <c r="AM76" s="1121"/>
      <c r="AN76" s="1121"/>
      <c r="AO76" s="1121"/>
      <c r="AP76" s="2162"/>
      <c r="BG76" s="2396"/>
      <c r="BH76" s="2038"/>
      <c r="BI76" s="2038"/>
      <c r="BJ76" s="2038"/>
      <c r="BK76" s="2038"/>
      <c r="BL76" s="2038"/>
      <c r="BM76" s="2038"/>
      <c r="BN76" s="2038"/>
      <c r="BO76" s="2038"/>
      <c r="BP76" s="2038"/>
    </row>
    <row r="77" spans="1:69" ht="12.75" customHeight="1">
      <c r="A77" s="2162"/>
      <c r="B77" s="808"/>
      <c r="C77" s="808"/>
      <c r="D77" s="808"/>
      <c r="E77" s="808"/>
      <c r="F77" s="892"/>
      <c r="G77" s="808"/>
      <c r="H77" s="808"/>
      <c r="I77" s="808"/>
      <c r="J77" s="808"/>
      <c r="K77" s="808"/>
      <c r="L77" s="808"/>
      <c r="M77" s="808"/>
      <c r="N77" s="808"/>
      <c r="O77" s="7396" t="s">
        <v>2746</v>
      </c>
      <c r="P77" s="7397"/>
      <c r="Q77" s="7397"/>
      <c r="R77" s="7397"/>
      <c r="S77" s="7398"/>
      <c r="T77" s="7396" t="s">
        <v>2747</v>
      </c>
      <c r="U77" s="7397"/>
      <c r="V77" s="7397"/>
      <c r="W77" s="7397"/>
      <c r="X77" s="7398"/>
      <c r="Y77" s="7396" t="s">
        <v>2748</v>
      </c>
      <c r="Z77" s="7397"/>
      <c r="AA77" s="7397"/>
      <c r="AB77" s="7397"/>
      <c r="AC77" s="7397"/>
      <c r="AD77" s="7397"/>
      <c r="AE77" s="7398"/>
      <c r="AF77" s="7396" t="s">
        <v>2749</v>
      </c>
      <c r="AG77" s="7397"/>
      <c r="AH77" s="7397"/>
      <c r="AI77" s="7397"/>
      <c r="AJ77" s="7398"/>
      <c r="AK77" s="7396" t="s">
        <v>2750</v>
      </c>
      <c r="AL77" s="7397"/>
      <c r="AM77" s="7397"/>
      <c r="AN77" s="7397"/>
      <c r="AO77" s="7397"/>
      <c r="AP77" s="2162"/>
      <c r="BG77" s="2396"/>
      <c r="BH77" s="2038"/>
      <c r="BI77" s="2038"/>
      <c r="BJ77" s="2038"/>
      <c r="BK77" s="2038"/>
      <c r="BL77" s="2038"/>
      <c r="BM77" s="2038"/>
      <c r="BN77" s="2038"/>
      <c r="BO77" s="2038"/>
      <c r="BP77" s="2038"/>
    </row>
    <row r="78" spans="1:69" ht="12.75" customHeight="1">
      <c r="A78" s="2162"/>
      <c r="B78" s="7390">
        <v>28</v>
      </c>
      <c r="C78" s="6466"/>
      <c r="D78" s="808"/>
      <c r="E78" s="808"/>
      <c r="F78" s="808"/>
      <c r="G78" s="808"/>
      <c r="H78" s="892" t="s">
        <v>2751</v>
      </c>
      <c r="I78" s="808"/>
      <c r="J78" s="808"/>
      <c r="K78" s="808"/>
      <c r="L78" s="808"/>
      <c r="M78" s="808"/>
      <c r="N78" s="808"/>
      <c r="O78" s="7399"/>
      <c r="P78" s="7400"/>
      <c r="Q78" s="7400"/>
      <c r="R78" s="7400"/>
      <c r="S78" s="7401"/>
      <c r="T78" s="7399"/>
      <c r="U78" s="7400"/>
      <c r="V78" s="7400"/>
      <c r="W78" s="7400"/>
      <c r="X78" s="7401"/>
      <c r="Y78" s="7399"/>
      <c r="Z78" s="7400"/>
      <c r="AA78" s="7400"/>
      <c r="AB78" s="7400"/>
      <c r="AC78" s="7400"/>
      <c r="AD78" s="7400"/>
      <c r="AE78" s="7401"/>
      <c r="AF78" s="7399"/>
      <c r="AG78" s="7400"/>
      <c r="AH78" s="7400"/>
      <c r="AI78" s="7400"/>
      <c r="AJ78" s="7401"/>
      <c r="AK78" s="7399"/>
      <c r="AL78" s="7400"/>
      <c r="AM78" s="7400"/>
      <c r="AN78" s="7400"/>
      <c r="AO78" s="7400"/>
      <c r="AP78" s="2162"/>
      <c r="BG78" s="2396"/>
      <c r="BH78" s="2038"/>
      <c r="BI78" s="2038"/>
      <c r="BJ78" s="2038"/>
      <c r="BK78" s="2038"/>
      <c r="BL78" s="2038"/>
      <c r="BM78" s="2038"/>
      <c r="BN78" s="2038"/>
      <c r="BO78" s="2038"/>
      <c r="BP78" s="2038"/>
    </row>
    <row r="79" spans="1:69" ht="12.75" customHeight="1">
      <c r="A79" s="2162"/>
      <c r="B79" s="1121"/>
      <c r="C79" s="1121"/>
      <c r="D79" s="1121"/>
      <c r="E79" s="1121"/>
      <c r="F79" s="1121"/>
      <c r="G79" s="1121"/>
      <c r="H79" s="1121"/>
      <c r="I79" s="1121"/>
      <c r="J79" s="1121"/>
      <c r="K79" s="1121"/>
      <c r="L79" s="1121"/>
      <c r="M79" s="1121"/>
      <c r="N79" s="1121"/>
      <c r="O79" s="7402"/>
      <c r="P79" s="7403"/>
      <c r="Q79" s="7403"/>
      <c r="R79" s="7403"/>
      <c r="S79" s="7404"/>
      <c r="T79" s="7402"/>
      <c r="U79" s="7403"/>
      <c r="V79" s="7403"/>
      <c r="W79" s="7403"/>
      <c r="X79" s="7404"/>
      <c r="Y79" s="7402"/>
      <c r="Z79" s="7403"/>
      <c r="AA79" s="7403"/>
      <c r="AB79" s="7403"/>
      <c r="AC79" s="7403"/>
      <c r="AD79" s="7403"/>
      <c r="AE79" s="7404"/>
      <c r="AF79" s="7402"/>
      <c r="AG79" s="7403"/>
      <c r="AH79" s="7403"/>
      <c r="AI79" s="7403"/>
      <c r="AJ79" s="7404"/>
      <c r="AK79" s="7402"/>
      <c r="AL79" s="7403"/>
      <c r="AM79" s="7403"/>
      <c r="AN79" s="7403"/>
      <c r="AO79" s="7403"/>
      <c r="AP79" s="2162"/>
      <c r="BG79" s="2396"/>
      <c r="BH79" s="2038"/>
      <c r="BI79" s="2038"/>
      <c r="BJ79" s="2038"/>
      <c r="BK79" s="2038"/>
      <c r="BL79" s="2038"/>
      <c r="BM79" s="2038"/>
      <c r="BN79" s="2038"/>
      <c r="BO79" s="2038"/>
      <c r="BP79" s="2038"/>
    </row>
    <row r="80" spans="1:69" ht="13.5" customHeight="1">
      <c r="A80" s="2162"/>
      <c r="B80" s="2476" t="s">
        <v>542</v>
      </c>
      <c r="C80" s="7391"/>
      <c r="D80" s="7392"/>
      <c r="E80" s="7392"/>
      <c r="F80" s="7392"/>
      <c r="G80" s="7392"/>
      <c r="H80" s="7392"/>
      <c r="I80" s="7392"/>
      <c r="J80" s="7392"/>
      <c r="K80" s="7392"/>
      <c r="L80" s="7392"/>
      <c r="M80" s="7392"/>
      <c r="N80" s="7393"/>
      <c r="O80" s="6668"/>
      <c r="P80" s="7394"/>
      <c r="Q80" s="7394"/>
      <c r="R80" s="7394"/>
      <c r="S80" s="7395"/>
      <c r="T80" s="2474"/>
      <c r="U80" s="1122"/>
      <c r="V80" s="809"/>
      <c r="W80" s="1122"/>
      <c r="X80" s="2475"/>
      <c r="Y80" s="7360"/>
      <c r="Z80" s="7361"/>
      <c r="AA80" s="7361"/>
      <c r="AB80" s="7361"/>
      <c r="AC80" s="7361"/>
      <c r="AD80" s="7361"/>
      <c r="AE80" s="7362"/>
      <c r="AF80" s="2474"/>
      <c r="AG80" s="1122"/>
      <c r="AH80" s="809"/>
      <c r="AI80" s="1122"/>
      <c r="AJ80" s="2475"/>
      <c r="AK80" s="2474"/>
      <c r="AL80" s="1122"/>
      <c r="AM80" s="809"/>
      <c r="AN80" s="1122"/>
      <c r="AO80" s="1122"/>
      <c r="AP80" s="2162"/>
      <c r="BG80" s="2396"/>
      <c r="BH80" s="2038"/>
      <c r="BI80" s="2038"/>
      <c r="BJ80" s="2038"/>
      <c r="BK80" s="2038"/>
      <c r="BL80" s="2038"/>
      <c r="BM80" s="2038"/>
      <c r="BN80" s="2038"/>
      <c r="BO80" s="2038"/>
      <c r="BP80" s="2038"/>
    </row>
    <row r="81" spans="1:68" ht="13.5" customHeight="1">
      <c r="A81" s="2162"/>
      <c r="B81" s="2476" t="s">
        <v>548</v>
      </c>
      <c r="C81" s="7391"/>
      <c r="D81" s="7392"/>
      <c r="E81" s="7392"/>
      <c r="F81" s="7392"/>
      <c r="G81" s="7392"/>
      <c r="H81" s="7392"/>
      <c r="I81" s="7392"/>
      <c r="J81" s="7392"/>
      <c r="K81" s="7392"/>
      <c r="L81" s="7392"/>
      <c r="M81" s="7392"/>
      <c r="N81" s="7393"/>
      <c r="O81" s="6668"/>
      <c r="P81" s="7394"/>
      <c r="Q81" s="7394"/>
      <c r="R81" s="7394"/>
      <c r="S81" s="7395"/>
      <c r="T81" s="2474"/>
      <c r="U81" s="1122"/>
      <c r="V81" s="809"/>
      <c r="W81" s="1122"/>
      <c r="X81" s="2475"/>
      <c r="Y81" s="7360"/>
      <c r="Z81" s="7361"/>
      <c r="AA81" s="7361"/>
      <c r="AB81" s="7361"/>
      <c r="AC81" s="7361"/>
      <c r="AD81" s="7361"/>
      <c r="AE81" s="7362"/>
      <c r="AF81" s="2474"/>
      <c r="AG81" s="1122"/>
      <c r="AH81" s="809"/>
      <c r="AI81" s="1122"/>
      <c r="AJ81" s="2475"/>
      <c r="AK81" s="2474"/>
      <c r="AL81" s="1122"/>
      <c r="AM81" s="809"/>
      <c r="AN81" s="1122"/>
      <c r="AO81" s="1122"/>
      <c r="AP81" s="2162"/>
      <c r="BG81" s="2396"/>
      <c r="BH81" s="2038"/>
      <c r="BI81" s="2038"/>
      <c r="BJ81" s="2038"/>
      <c r="BK81" s="2038"/>
      <c r="BL81" s="2038"/>
      <c r="BM81" s="2038"/>
      <c r="BN81" s="2038"/>
      <c r="BO81" s="2038"/>
      <c r="BP81" s="2038"/>
    </row>
    <row r="82" spans="1:68" ht="13.5" customHeight="1">
      <c r="A82" s="2162"/>
      <c r="B82" s="2476" t="s">
        <v>550</v>
      </c>
      <c r="C82" s="7391"/>
      <c r="D82" s="7392"/>
      <c r="E82" s="7392"/>
      <c r="F82" s="7392"/>
      <c r="G82" s="7392"/>
      <c r="H82" s="7392"/>
      <c r="I82" s="7392"/>
      <c r="J82" s="7392"/>
      <c r="K82" s="7392"/>
      <c r="L82" s="7392"/>
      <c r="M82" s="7392"/>
      <c r="N82" s="7393"/>
      <c r="O82" s="6668"/>
      <c r="P82" s="7394"/>
      <c r="Q82" s="7394"/>
      <c r="R82" s="7394"/>
      <c r="S82" s="7395"/>
      <c r="T82" s="2474"/>
      <c r="U82" s="1122"/>
      <c r="V82" s="809"/>
      <c r="W82" s="1122"/>
      <c r="X82" s="2475"/>
      <c r="Y82" s="7360"/>
      <c r="Z82" s="7361"/>
      <c r="AA82" s="7361"/>
      <c r="AB82" s="7361"/>
      <c r="AC82" s="7361"/>
      <c r="AD82" s="7361"/>
      <c r="AE82" s="7362"/>
      <c r="AF82" s="2474"/>
      <c r="AG82" s="1122"/>
      <c r="AH82" s="809"/>
      <c r="AI82" s="1122"/>
      <c r="AJ82" s="2475"/>
      <c r="AK82" s="2474"/>
      <c r="AL82" s="1122"/>
      <c r="AM82" s="809"/>
      <c r="AN82" s="1122"/>
      <c r="AO82" s="1122"/>
      <c r="AP82" s="2162"/>
      <c r="BG82" s="2396"/>
      <c r="BH82" s="2038"/>
      <c r="BI82" s="2038"/>
      <c r="BJ82" s="2038"/>
      <c r="BK82" s="2038"/>
      <c r="BL82" s="2038"/>
      <c r="BM82" s="2038"/>
      <c r="BN82" s="2038"/>
      <c r="BO82" s="2038"/>
      <c r="BP82" s="2038"/>
    </row>
    <row r="83" spans="1:68" ht="13.5" customHeight="1">
      <c r="A83" s="2162"/>
      <c r="B83" s="2476" t="s">
        <v>553</v>
      </c>
      <c r="C83" s="7391"/>
      <c r="D83" s="7392"/>
      <c r="E83" s="7392"/>
      <c r="F83" s="7392"/>
      <c r="G83" s="7392"/>
      <c r="H83" s="7392"/>
      <c r="I83" s="7392"/>
      <c r="J83" s="7392"/>
      <c r="K83" s="7392"/>
      <c r="L83" s="7392"/>
      <c r="M83" s="7392"/>
      <c r="N83" s="7393"/>
      <c r="O83" s="6668"/>
      <c r="P83" s="7394"/>
      <c r="Q83" s="7394"/>
      <c r="R83" s="7394"/>
      <c r="S83" s="7395"/>
      <c r="T83" s="2474"/>
      <c r="U83" s="1122"/>
      <c r="V83" s="809"/>
      <c r="W83" s="1122"/>
      <c r="X83" s="2475"/>
      <c r="Y83" s="7360"/>
      <c r="Z83" s="7361"/>
      <c r="AA83" s="7361"/>
      <c r="AB83" s="7361"/>
      <c r="AC83" s="7361"/>
      <c r="AD83" s="7361"/>
      <c r="AE83" s="7362"/>
      <c r="AF83" s="2474"/>
      <c r="AG83" s="1122"/>
      <c r="AH83" s="809"/>
      <c r="AI83" s="1122"/>
      <c r="AJ83" s="2475"/>
      <c r="AK83" s="2474"/>
      <c r="AL83" s="1122"/>
      <c r="AM83" s="809"/>
      <c r="AN83" s="1122"/>
      <c r="AO83" s="1122"/>
      <c r="AP83" s="2162"/>
      <c r="BG83" s="2396"/>
      <c r="BH83" s="2038"/>
      <c r="BI83" s="2038"/>
      <c r="BJ83" s="2038"/>
      <c r="BK83" s="2038"/>
      <c r="BL83" s="2038"/>
      <c r="BM83" s="2038"/>
      <c r="BN83" s="2038"/>
      <c r="BO83" s="2038"/>
      <c r="BP83" s="2038"/>
    </row>
    <row r="84" spans="1:68" ht="17.25" customHeight="1">
      <c r="A84" s="2162"/>
      <c r="B84" s="7364" t="s">
        <v>2752</v>
      </c>
      <c r="C84" s="7461"/>
      <c r="D84" s="7461"/>
      <c r="E84" s="7461"/>
      <c r="F84" s="7461"/>
      <c r="G84" s="7461"/>
      <c r="H84" s="7461"/>
      <c r="I84" s="7461"/>
      <c r="J84" s="7461"/>
      <c r="K84" s="7461"/>
      <c r="L84" s="7461"/>
      <c r="M84" s="7461"/>
      <c r="N84" s="7461"/>
      <c r="O84" s="7461"/>
      <c r="P84" s="7461"/>
      <c r="Q84" s="7461"/>
      <c r="R84" s="6844"/>
      <c r="S84" s="7379" t="s">
        <v>2753</v>
      </c>
      <c r="T84" s="7380"/>
      <c r="U84" s="7380"/>
      <c r="V84" s="7380"/>
      <c r="W84" s="7380"/>
      <c r="X84" s="7380"/>
      <c r="Y84" s="7380"/>
      <c r="Z84" s="7380"/>
      <c r="AA84" s="7380"/>
      <c r="AB84" s="7380"/>
      <c r="AC84" s="7380"/>
      <c r="AD84" s="7380"/>
      <c r="AE84" s="7380"/>
      <c r="AF84" s="7380"/>
      <c r="AG84" s="7380"/>
      <c r="AH84" s="7380"/>
      <c r="AI84" s="7380"/>
      <c r="AJ84" s="7380"/>
      <c r="AK84" s="7380"/>
      <c r="AL84" s="7380"/>
      <c r="AM84" s="7380"/>
      <c r="AN84" s="7380"/>
      <c r="AO84" s="7380"/>
      <c r="AP84" s="2162"/>
      <c r="BG84" s="2396"/>
      <c r="BH84" s="2038"/>
      <c r="BI84" s="2038"/>
      <c r="BJ84" s="2038"/>
      <c r="BK84" s="2038"/>
      <c r="BL84" s="2038"/>
      <c r="BM84" s="2038"/>
      <c r="BN84" s="2038"/>
      <c r="BO84" s="2038"/>
      <c r="BP84" s="2038"/>
    </row>
    <row r="85" spans="1:68" ht="12.75" customHeight="1">
      <c r="A85" s="2162"/>
      <c r="B85" s="1142"/>
      <c r="C85" s="7467" t="s">
        <v>2754</v>
      </c>
      <c r="D85" s="7374"/>
      <c r="E85" s="7374"/>
      <c r="F85" s="7374"/>
      <c r="G85" s="7374"/>
      <c r="H85" s="7374"/>
      <c r="I85" s="7374"/>
      <c r="J85" s="7468"/>
      <c r="K85" s="7373" t="s">
        <v>2755</v>
      </c>
      <c r="L85" s="7374"/>
      <c r="M85" s="7374"/>
      <c r="N85" s="7374"/>
      <c r="O85" s="7374"/>
      <c r="P85" s="7374"/>
      <c r="Q85" s="7374"/>
      <c r="R85" s="7374"/>
      <c r="S85" s="7471" t="s">
        <v>2756</v>
      </c>
      <c r="T85" s="7374"/>
      <c r="U85" s="7374"/>
      <c r="V85" s="7374"/>
      <c r="W85" s="7374"/>
      <c r="X85" s="7374"/>
      <c r="Y85" s="7468"/>
      <c r="Z85" s="7373" t="s">
        <v>2757</v>
      </c>
      <c r="AA85" s="7374"/>
      <c r="AB85" s="7374"/>
      <c r="AC85" s="7374"/>
      <c r="AD85" s="7374"/>
      <c r="AE85" s="7374"/>
      <c r="AF85" s="7374"/>
      <c r="AG85" s="7468"/>
      <c r="AH85" s="7373" t="s">
        <v>2758</v>
      </c>
      <c r="AI85" s="7374"/>
      <c r="AJ85" s="7374"/>
      <c r="AK85" s="7374"/>
      <c r="AL85" s="7374"/>
      <c r="AM85" s="7374"/>
      <c r="AN85" s="7374"/>
      <c r="AO85" s="7374"/>
      <c r="AP85" s="2162"/>
      <c r="BG85" s="2396"/>
      <c r="BH85" s="2038"/>
      <c r="BI85" s="2038"/>
      <c r="BJ85" s="2038"/>
      <c r="BK85" s="2038"/>
      <c r="BL85" s="2038"/>
      <c r="BM85" s="2038"/>
      <c r="BN85" s="2038"/>
      <c r="BO85" s="2038"/>
      <c r="BP85" s="2038"/>
    </row>
    <row r="86" spans="1:68" ht="12.75" customHeight="1">
      <c r="A86" s="2162"/>
      <c r="B86" s="808"/>
      <c r="C86" s="7376"/>
      <c r="D86" s="7376"/>
      <c r="E86" s="7376"/>
      <c r="F86" s="7376"/>
      <c r="G86" s="7376"/>
      <c r="H86" s="7376"/>
      <c r="I86" s="7376"/>
      <c r="J86" s="7469"/>
      <c r="K86" s="7375"/>
      <c r="L86" s="7376"/>
      <c r="M86" s="7376"/>
      <c r="N86" s="7376"/>
      <c r="O86" s="7376"/>
      <c r="P86" s="7376"/>
      <c r="Q86" s="7376"/>
      <c r="R86" s="7376"/>
      <c r="S86" s="7472"/>
      <c r="T86" s="7376"/>
      <c r="U86" s="7376"/>
      <c r="V86" s="7376"/>
      <c r="W86" s="7376"/>
      <c r="X86" s="7376"/>
      <c r="Y86" s="7469"/>
      <c r="Z86" s="7375"/>
      <c r="AA86" s="7376"/>
      <c r="AB86" s="7376"/>
      <c r="AC86" s="7376"/>
      <c r="AD86" s="7376"/>
      <c r="AE86" s="7376"/>
      <c r="AF86" s="7376"/>
      <c r="AG86" s="7469"/>
      <c r="AH86" s="7375"/>
      <c r="AI86" s="7376"/>
      <c r="AJ86" s="7376"/>
      <c r="AK86" s="7376"/>
      <c r="AL86" s="7376"/>
      <c r="AM86" s="7376"/>
      <c r="AN86" s="7376"/>
      <c r="AO86" s="7376"/>
      <c r="AP86" s="2162"/>
      <c r="BG86" s="2396"/>
      <c r="BH86" s="2038"/>
      <c r="BI86" s="2038"/>
      <c r="BJ86" s="2038"/>
      <c r="BK86" s="2038"/>
      <c r="BL86" s="2038"/>
      <c r="BM86" s="2038"/>
      <c r="BN86" s="2038"/>
      <c r="BO86" s="2038"/>
      <c r="BP86" s="2038"/>
    </row>
    <row r="87" spans="1:68" ht="12.75" customHeight="1">
      <c r="A87" s="2162"/>
      <c r="B87" s="1121"/>
      <c r="C87" s="7378"/>
      <c r="D87" s="7378"/>
      <c r="E87" s="7378"/>
      <c r="F87" s="7378"/>
      <c r="G87" s="7378"/>
      <c r="H87" s="7378"/>
      <c r="I87" s="7378"/>
      <c r="J87" s="7470"/>
      <c r="K87" s="7377"/>
      <c r="L87" s="7378"/>
      <c r="M87" s="7378"/>
      <c r="N87" s="7378"/>
      <c r="O87" s="7378"/>
      <c r="P87" s="7378"/>
      <c r="Q87" s="7378"/>
      <c r="R87" s="7378"/>
      <c r="S87" s="7473"/>
      <c r="T87" s="7378"/>
      <c r="U87" s="7378"/>
      <c r="V87" s="7378"/>
      <c r="W87" s="7378"/>
      <c r="X87" s="7378"/>
      <c r="Y87" s="7470"/>
      <c r="Z87" s="7377"/>
      <c r="AA87" s="7378"/>
      <c r="AB87" s="7378"/>
      <c r="AC87" s="7378"/>
      <c r="AD87" s="7378"/>
      <c r="AE87" s="7378"/>
      <c r="AF87" s="7378"/>
      <c r="AG87" s="7470"/>
      <c r="AH87" s="7377"/>
      <c r="AI87" s="7378"/>
      <c r="AJ87" s="7378"/>
      <c r="AK87" s="7378"/>
      <c r="AL87" s="7378"/>
      <c r="AM87" s="7378"/>
      <c r="AN87" s="7378"/>
      <c r="AO87" s="7378"/>
      <c r="AP87" s="2162"/>
      <c r="BG87" s="2396"/>
      <c r="BH87" s="2038"/>
      <c r="BI87" s="2038"/>
      <c r="BJ87" s="2038"/>
      <c r="BK87" s="2038"/>
      <c r="BL87" s="2038"/>
      <c r="BM87" s="2038"/>
      <c r="BN87" s="2038"/>
      <c r="BO87" s="2038"/>
      <c r="BP87" s="2038"/>
    </row>
    <row r="88" spans="1:68" ht="13.5" customHeight="1">
      <c r="A88" s="2162"/>
      <c r="B88" s="2477" t="s">
        <v>542</v>
      </c>
      <c r="C88" s="7388"/>
      <c r="D88" s="7389"/>
      <c r="E88" s="7389"/>
      <c r="F88" s="7389"/>
      <c r="G88" s="7389"/>
      <c r="H88" s="7389"/>
      <c r="I88" s="7389"/>
      <c r="J88" s="7422"/>
      <c r="K88" s="7388"/>
      <c r="L88" s="7389"/>
      <c r="M88" s="7389"/>
      <c r="N88" s="7389"/>
      <c r="O88" s="7389"/>
      <c r="P88" s="7389"/>
      <c r="Q88" s="7389"/>
      <c r="R88" s="7432"/>
      <c r="S88" s="7388"/>
      <c r="T88" s="7389"/>
      <c r="U88" s="7389"/>
      <c r="V88" s="7389"/>
      <c r="W88" s="7389"/>
      <c r="X88" s="7389"/>
      <c r="Y88" s="7389"/>
      <c r="Z88" s="7388"/>
      <c r="AA88" s="7389"/>
      <c r="AB88" s="7389"/>
      <c r="AC88" s="7389"/>
      <c r="AD88" s="7389"/>
      <c r="AE88" s="7389"/>
      <c r="AF88" s="7389"/>
      <c r="AG88" s="7422"/>
      <c r="AH88" s="7388"/>
      <c r="AI88" s="7389"/>
      <c r="AJ88" s="7389"/>
      <c r="AK88" s="7389"/>
      <c r="AL88" s="7389"/>
      <c r="AM88" s="7389"/>
      <c r="AN88" s="7389"/>
      <c r="AO88" s="7389"/>
      <c r="AP88" s="2162"/>
      <c r="BG88" s="2396"/>
      <c r="BH88" s="2038"/>
      <c r="BI88" s="2038"/>
      <c r="BJ88" s="2038"/>
      <c r="BK88" s="2038"/>
      <c r="BL88" s="2038"/>
      <c r="BM88" s="2038"/>
      <c r="BN88" s="2038"/>
      <c r="BO88" s="2038"/>
      <c r="BP88" s="2038"/>
    </row>
    <row r="89" spans="1:68" ht="13.5" customHeight="1">
      <c r="A89" s="2162"/>
      <c r="B89" s="2476" t="s">
        <v>548</v>
      </c>
      <c r="C89" s="7388"/>
      <c r="D89" s="7389"/>
      <c r="E89" s="7389"/>
      <c r="F89" s="7389"/>
      <c r="G89" s="7389"/>
      <c r="H89" s="7389"/>
      <c r="I89" s="7389"/>
      <c r="J89" s="7422"/>
      <c r="K89" s="7388"/>
      <c r="L89" s="7389"/>
      <c r="M89" s="7389"/>
      <c r="N89" s="7389"/>
      <c r="O89" s="7389"/>
      <c r="P89" s="7389"/>
      <c r="Q89" s="7389"/>
      <c r="R89" s="7432"/>
      <c r="S89" s="7388"/>
      <c r="T89" s="7389"/>
      <c r="U89" s="7389"/>
      <c r="V89" s="7389"/>
      <c r="W89" s="7389"/>
      <c r="X89" s="7389"/>
      <c r="Y89" s="7389"/>
      <c r="Z89" s="7388"/>
      <c r="AA89" s="7389"/>
      <c r="AB89" s="7389"/>
      <c r="AC89" s="7389"/>
      <c r="AD89" s="7389"/>
      <c r="AE89" s="7389"/>
      <c r="AF89" s="7389"/>
      <c r="AG89" s="7422"/>
      <c r="AH89" s="7388"/>
      <c r="AI89" s="7389"/>
      <c r="AJ89" s="7389"/>
      <c r="AK89" s="7389"/>
      <c r="AL89" s="7389"/>
      <c r="AM89" s="7389"/>
      <c r="AN89" s="7389"/>
      <c r="AO89" s="7389"/>
      <c r="AP89" s="2162"/>
      <c r="BG89" s="2396"/>
      <c r="BH89" s="2038"/>
      <c r="BI89" s="2038"/>
      <c r="BJ89" s="2038"/>
      <c r="BK89" s="2038"/>
      <c r="BL89" s="2038"/>
      <c r="BM89" s="2038"/>
      <c r="BN89" s="2038"/>
      <c r="BO89" s="2038"/>
      <c r="BP89" s="2038"/>
    </row>
    <row r="90" spans="1:68" ht="13.5" customHeight="1">
      <c r="A90" s="2162"/>
      <c r="B90" s="2476" t="s">
        <v>550</v>
      </c>
      <c r="C90" s="7388"/>
      <c r="D90" s="7389"/>
      <c r="E90" s="7389"/>
      <c r="F90" s="7389"/>
      <c r="G90" s="7389"/>
      <c r="H90" s="7389"/>
      <c r="I90" s="7389"/>
      <c r="J90" s="7422"/>
      <c r="K90" s="7388"/>
      <c r="L90" s="7389"/>
      <c r="M90" s="7389"/>
      <c r="N90" s="7389"/>
      <c r="O90" s="7389"/>
      <c r="P90" s="7389"/>
      <c r="Q90" s="7389"/>
      <c r="R90" s="7432"/>
      <c r="S90" s="7388"/>
      <c r="T90" s="7389"/>
      <c r="U90" s="7389"/>
      <c r="V90" s="7389"/>
      <c r="W90" s="7389"/>
      <c r="X90" s="7389"/>
      <c r="Y90" s="7389"/>
      <c r="Z90" s="7388"/>
      <c r="AA90" s="7389"/>
      <c r="AB90" s="7389"/>
      <c r="AC90" s="7389"/>
      <c r="AD90" s="7389"/>
      <c r="AE90" s="7389"/>
      <c r="AF90" s="7389"/>
      <c r="AG90" s="7422"/>
      <c r="AH90" s="7388"/>
      <c r="AI90" s="7389"/>
      <c r="AJ90" s="7389"/>
      <c r="AK90" s="7389"/>
      <c r="AL90" s="7389"/>
      <c r="AM90" s="7389"/>
      <c r="AN90" s="7389"/>
      <c r="AO90" s="7389"/>
      <c r="AP90" s="2162"/>
      <c r="BG90" s="2396"/>
      <c r="BH90" s="2038"/>
      <c r="BI90" s="2038"/>
      <c r="BJ90" s="2038"/>
      <c r="BK90" s="2038"/>
      <c r="BL90" s="2038"/>
      <c r="BM90" s="2038"/>
      <c r="BN90" s="2038"/>
      <c r="BO90" s="2038"/>
      <c r="BP90" s="2038"/>
    </row>
    <row r="91" spans="1:68" ht="13.5" customHeight="1">
      <c r="A91" s="2162"/>
      <c r="B91" s="2476" t="s">
        <v>553</v>
      </c>
      <c r="C91" s="7388"/>
      <c r="D91" s="7389"/>
      <c r="E91" s="7389"/>
      <c r="F91" s="7389"/>
      <c r="G91" s="7389"/>
      <c r="H91" s="7389"/>
      <c r="I91" s="7389"/>
      <c r="J91" s="7422"/>
      <c r="K91" s="7388"/>
      <c r="L91" s="7389"/>
      <c r="M91" s="7389"/>
      <c r="N91" s="7389"/>
      <c r="O91" s="7389"/>
      <c r="P91" s="7389"/>
      <c r="Q91" s="7389"/>
      <c r="R91" s="7432"/>
      <c r="S91" s="7388"/>
      <c r="T91" s="7389"/>
      <c r="U91" s="7389"/>
      <c r="V91" s="7389"/>
      <c r="W91" s="7389"/>
      <c r="X91" s="7389"/>
      <c r="Y91" s="7389"/>
      <c r="Z91" s="7388"/>
      <c r="AA91" s="7389"/>
      <c r="AB91" s="7389"/>
      <c r="AC91" s="7389"/>
      <c r="AD91" s="7389"/>
      <c r="AE91" s="7389"/>
      <c r="AF91" s="7389"/>
      <c r="AG91" s="7422"/>
      <c r="AH91" s="7388"/>
      <c r="AI91" s="7389"/>
      <c r="AJ91" s="7389"/>
      <c r="AK91" s="7389"/>
      <c r="AL91" s="7389"/>
      <c r="AM91" s="7389"/>
      <c r="AN91" s="7389"/>
      <c r="AO91" s="7389"/>
      <c r="AP91" s="2162"/>
      <c r="BG91" s="2396"/>
      <c r="BH91" s="2038"/>
      <c r="BI91" s="2038"/>
      <c r="BJ91" s="2038"/>
      <c r="BK91" s="2038"/>
      <c r="BL91" s="2038"/>
      <c r="BM91" s="2038"/>
      <c r="BN91" s="2038"/>
      <c r="BO91" s="2038"/>
      <c r="BP91" s="2038"/>
    </row>
    <row r="92" spans="1:68" ht="13.5" customHeight="1">
      <c r="A92" s="2162"/>
      <c r="B92" s="7364" t="s">
        <v>2759</v>
      </c>
      <c r="C92" s="7364"/>
      <c r="D92" s="3604"/>
      <c r="E92" s="3604" t="s">
        <v>2760</v>
      </c>
      <c r="F92" s="818"/>
      <c r="G92" s="2403"/>
      <c r="H92" s="2403"/>
      <c r="I92" s="2403"/>
      <c r="J92" s="819"/>
      <c r="K92" s="7338">
        <f>ROUND(SUM(K88:K91),0)</f>
        <v>0</v>
      </c>
      <c r="L92" s="7339"/>
      <c r="M92" s="7339"/>
      <c r="N92" s="7339"/>
      <c r="O92" s="7339"/>
      <c r="P92" s="7339"/>
      <c r="Q92" s="7339"/>
      <c r="R92" s="7340"/>
      <c r="S92" s="7462"/>
      <c r="T92" s="7463"/>
      <c r="U92" s="7463"/>
      <c r="V92" s="7463"/>
      <c r="W92" s="7463"/>
      <c r="X92" s="7463"/>
      <c r="Y92" s="7463"/>
      <c r="Z92" s="2403"/>
      <c r="AA92" s="2403"/>
      <c r="AB92" s="2403"/>
      <c r="AC92" s="2403"/>
      <c r="AD92" s="2403"/>
      <c r="AE92" s="2403"/>
      <c r="AF92" s="2403"/>
      <c r="AG92" s="819"/>
      <c r="AH92" s="7335">
        <f>ROUND(SUM(AH88:AH91),0)</f>
        <v>0</v>
      </c>
      <c r="AI92" s="7458"/>
      <c r="AJ92" s="7458"/>
      <c r="AK92" s="7458"/>
      <c r="AL92" s="7458"/>
      <c r="AM92" s="7458"/>
      <c r="AN92" s="7458"/>
      <c r="AO92" s="7458"/>
      <c r="AP92" s="2162"/>
      <c r="BG92" s="2396"/>
      <c r="BH92" s="2038"/>
      <c r="BI92" s="2038"/>
      <c r="BJ92" s="2038"/>
      <c r="BK92" s="2038"/>
      <c r="BL92" s="2038"/>
      <c r="BM92" s="2038"/>
      <c r="BN92" s="2038"/>
      <c r="BO92" s="2038"/>
      <c r="BP92" s="2038"/>
    </row>
    <row r="93" spans="1:68" ht="13.5" customHeight="1">
      <c r="A93" s="2162"/>
      <c r="B93" s="7433" t="s">
        <v>644</v>
      </c>
      <c r="C93" s="7433"/>
      <c r="D93" s="2112"/>
      <c r="E93" s="3604" t="s">
        <v>2760</v>
      </c>
      <c r="F93" s="7335">
        <f>ROUND(SUM(C88:C91),0)</f>
        <v>0</v>
      </c>
      <c r="G93" s="7458"/>
      <c r="H93" s="7458"/>
      <c r="I93" s="7458"/>
      <c r="J93" s="7459"/>
      <c r="K93" s="7464"/>
      <c r="L93" s="7465"/>
      <c r="M93" s="7465"/>
      <c r="N93" s="7465"/>
      <c r="O93" s="7465"/>
      <c r="P93" s="7465"/>
      <c r="Q93" s="7465"/>
      <c r="R93" s="7466"/>
      <c r="S93" s="7356">
        <f>ROUND(SUM(S88:S91),0)</f>
        <v>0</v>
      </c>
      <c r="T93" s="7339"/>
      <c r="U93" s="7339"/>
      <c r="V93" s="7339"/>
      <c r="W93" s="7339"/>
      <c r="X93" s="7339"/>
      <c r="Y93" s="7357"/>
      <c r="Z93" s="7460">
        <f>ROUND(SUM(Z88:Z91),0)</f>
        <v>0</v>
      </c>
      <c r="AA93" s="7460"/>
      <c r="AB93" s="7460"/>
      <c r="AC93" s="7460"/>
      <c r="AD93" s="7460"/>
      <c r="AE93" s="7460"/>
      <c r="AF93" s="7460"/>
      <c r="AG93" s="7460"/>
      <c r="AH93" s="7456"/>
      <c r="AI93" s="7456"/>
      <c r="AJ93" s="7456"/>
      <c r="AK93" s="7456"/>
      <c r="AL93" s="7456"/>
      <c r="AM93" s="7456"/>
      <c r="AN93" s="7456"/>
      <c r="AO93" s="7457"/>
      <c r="AP93" s="2162"/>
      <c r="BG93" s="2396"/>
      <c r="BH93" s="2038"/>
      <c r="BI93" s="2038"/>
      <c r="BJ93" s="2038"/>
      <c r="BK93" s="2038"/>
      <c r="BL93" s="2038"/>
      <c r="BM93" s="2038"/>
      <c r="BN93" s="2038"/>
      <c r="BO93" s="2038"/>
      <c r="BP93" s="2038"/>
    </row>
    <row r="94" spans="1:68" ht="12.75" customHeight="1">
      <c r="A94" s="2162"/>
      <c r="B94" s="7328">
        <v>30</v>
      </c>
      <c r="C94" s="7328"/>
      <c r="D94" s="2112" t="s">
        <v>2761</v>
      </c>
      <c r="E94" s="808"/>
      <c r="F94" s="808"/>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08"/>
      <c r="AE94" s="2760" t="s">
        <v>740</v>
      </c>
      <c r="AF94" s="7341">
        <v>30</v>
      </c>
      <c r="AG94" s="7342"/>
      <c r="AH94" s="7386">
        <f>SUM(K92,AH92)</f>
        <v>0</v>
      </c>
      <c r="AI94" s="7387"/>
      <c r="AJ94" s="7387"/>
      <c r="AK94" s="7387"/>
      <c r="AL94" s="7387"/>
      <c r="AM94" s="7387"/>
      <c r="AN94" s="7387"/>
      <c r="AO94" s="7387"/>
      <c r="AP94" s="2162"/>
      <c r="AQ94" s="260"/>
      <c r="AR94" s="260"/>
      <c r="AS94" s="260"/>
      <c r="BG94" s="2396"/>
      <c r="BH94" s="2038"/>
      <c r="BI94" s="2038"/>
      <c r="BJ94" s="2038"/>
      <c r="BK94" s="2038"/>
      <c r="BL94" s="2038"/>
      <c r="BM94" s="2038"/>
      <c r="BN94" s="2038"/>
      <c r="BO94" s="2038"/>
      <c r="BP94" s="2038"/>
    </row>
    <row r="95" spans="1:68" ht="12.75" customHeight="1" thickBot="1">
      <c r="A95" s="2162"/>
      <c r="B95" s="7328">
        <v>31</v>
      </c>
      <c r="C95" s="7328"/>
      <c r="D95" s="2112" t="s">
        <v>2762</v>
      </c>
      <c r="E95" s="808"/>
      <c r="F95" s="808"/>
      <c r="G95" s="808"/>
      <c r="H95" s="808"/>
      <c r="I95" s="808"/>
      <c r="J95" s="808"/>
      <c r="K95" s="808"/>
      <c r="L95" s="808"/>
      <c r="M95" s="808"/>
      <c r="N95" s="808"/>
      <c r="O95" s="808"/>
      <c r="P95" s="808"/>
      <c r="Q95" s="808"/>
      <c r="R95" s="808"/>
      <c r="S95" s="808"/>
      <c r="T95" s="808"/>
      <c r="U95" s="808"/>
      <c r="V95" s="808"/>
      <c r="W95" s="808"/>
      <c r="X95" s="808"/>
      <c r="Y95" s="808"/>
      <c r="Z95" s="808"/>
      <c r="AA95" s="808"/>
      <c r="AB95" s="808"/>
      <c r="AC95" s="808"/>
      <c r="AD95" s="808"/>
      <c r="AE95" s="2760" t="s">
        <v>705</v>
      </c>
      <c r="AF95" s="7341">
        <v>31</v>
      </c>
      <c r="AG95" s="7342"/>
      <c r="AH95" s="2764" t="s">
        <v>905</v>
      </c>
      <c r="AI95" s="7368">
        <f>SUM(F93,S93,Z93)</f>
        <v>0</v>
      </c>
      <c r="AJ95" s="7253"/>
      <c r="AK95" s="7253"/>
      <c r="AL95" s="7253"/>
      <c r="AM95" s="7253"/>
      <c r="AN95" s="7253"/>
      <c r="AO95" s="2765" t="s">
        <v>906</v>
      </c>
      <c r="AP95" s="2162"/>
      <c r="AQ95" s="260"/>
      <c r="AR95" s="1896" t="s">
        <v>867</v>
      </c>
      <c r="AS95" s="260"/>
      <c r="BG95" s="2396"/>
      <c r="BH95" s="2038"/>
      <c r="BI95" s="2038"/>
      <c r="BJ95" s="2038"/>
      <c r="BK95" s="2038"/>
      <c r="BL95" s="2038"/>
      <c r="BM95" s="2038"/>
      <c r="BN95" s="2038"/>
      <c r="BO95" s="2038"/>
      <c r="BP95" s="2038"/>
    </row>
    <row r="96" spans="1:68" ht="12.75" customHeight="1" thickBot="1">
      <c r="A96" s="2162"/>
      <c r="B96" s="7581">
        <v>32</v>
      </c>
      <c r="C96" s="7581"/>
      <c r="D96" s="3388" t="s">
        <v>2763</v>
      </c>
      <c r="E96" s="896"/>
      <c r="F96" s="896"/>
      <c r="G96" s="896"/>
      <c r="H96" s="896"/>
      <c r="I96" s="896"/>
      <c r="J96" s="896"/>
      <c r="K96" s="896"/>
      <c r="L96" s="896"/>
      <c r="M96" s="896"/>
      <c r="N96" s="896"/>
      <c r="O96" s="896"/>
      <c r="P96" s="896"/>
      <c r="Q96" s="896"/>
      <c r="R96" s="896"/>
      <c r="S96" s="896"/>
      <c r="T96" s="896"/>
      <c r="U96" s="896"/>
      <c r="V96" s="896"/>
      <c r="W96" s="896"/>
      <c r="X96" s="896"/>
      <c r="Y96" s="896"/>
      <c r="Z96" s="896"/>
      <c r="AA96" s="896"/>
      <c r="AB96" s="896"/>
      <c r="AC96" s="896"/>
      <c r="AD96" s="896"/>
      <c r="AE96" s="2761" t="s">
        <v>680</v>
      </c>
      <c r="AF96" s="7343">
        <v>32</v>
      </c>
      <c r="AG96" s="7344"/>
      <c r="AH96" s="7567">
        <f>IF(AR96&lt;&gt;"",ROUND(AR96,0),SUM(AH94,-AI95))</f>
        <v>0</v>
      </c>
      <c r="AI96" s="7568"/>
      <c r="AJ96" s="7568"/>
      <c r="AK96" s="7568"/>
      <c r="AL96" s="7568"/>
      <c r="AM96" s="7568"/>
      <c r="AN96" s="7568"/>
      <c r="AO96" s="7568"/>
      <c r="AP96" s="2162"/>
      <c r="AQ96" s="260"/>
      <c r="AR96" s="2492"/>
      <c r="AS96" s="260"/>
      <c r="BG96" s="2396"/>
      <c r="BH96" s="2038"/>
      <c r="BI96" s="2038"/>
      <c r="BJ96" s="2038"/>
      <c r="BK96" s="2038"/>
      <c r="BL96" s="2038"/>
      <c r="BM96" s="2038"/>
      <c r="BN96" s="2038"/>
      <c r="BO96" s="2038"/>
      <c r="BP96" s="2038"/>
    </row>
    <row r="97" spans="1:69" s="2114" customFormat="1" ht="17.25" customHeight="1">
      <c r="A97" s="2163"/>
      <c r="B97" s="7438" t="s">
        <v>2243</v>
      </c>
      <c r="C97" s="7438"/>
      <c r="D97" s="7439"/>
      <c r="E97" s="998"/>
      <c r="F97" s="2763" t="s">
        <v>2764</v>
      </c>
      <c r="G97" s="998"/>
      <c r="H97" s="998"/>
      <c r="I97" s="998"/>
      <c r="J97" s="998"/>
      <c r="K97" s="998"/>
      <c r="L97" s="998"/>
      <c r="M97" s="998"/>
      <c r="N97" s="998"/>
      <c r="O97" s="998"/>
      <c r="P97" s="998"/>
      <c r="Q97" s="998"/>
      <c r="R97" s="998"/>
      <c r="S97" s="998"/>
      <c r="T97" s="998"/>
      <c r="U97" s="998"/>
      <c r="V97" s="998"/>
      <c r="W97" s="998"/>
      <c r="X97" s="2190"/>
      <c r="Y97" s="998"/>
      <c r="Z97" s="998"/>
      <c r="AA97" s="998"/>
      <c r="AB97" s="998"/>
      <c r="AC97" s="998"/>
      <c r="AD97" s="998"/>
      <c r="AE97" s="998"/>
      <c r="AF97" s="998"/>
      <c r="AG97" s="998"/>
      <c r="AH97" s="998"/>
      <c r="AI97" s="998"/>
      <c r="AJ97" s="998"/>
      <c r="AK97" s="998"/>
      <c r="AL97" s="998"/>
      <c r="AM97" s="998"/>
      <c r="AN97" s="998"/>
      <c r="AO97" s="998"/>
      <c r="AP97" s="2162"/>
      <c r="AQ97" s="260"/>
      <c r="AR97" s="260"/>
      <c r="AS97" s="260"/>
      <c r="AX97" s="39"/>
      <c r="AY97" s="39"/>
      <c r="AZ97" s="39"/>
      <c r="BA97" s="39"/>
      <c r="BB97" s="39"/>
      <c r="BC97" s="39"/>
      <c r="BD97" s="39"/>
      <c r="BG97" s="2396"/>
      <c r="BH97" s="2038"/>
      <c r="BI97" s="2038"/>
      <c r="BJ97" s="2038"/>
      <c r="BK97" s="2038"/>
      <c r="BL97" s="2038"/>
      <c r="BM97" s="2038"/>
      <c r="BN97" s="2038"/>
      <c r="BO97" s="2038"/>
      <c r="BP97" s="2038"/>
      <c r="BQ97" s="2690"/>
    </row>
    <row r="98" spans="1:69" ht="12.75" customHeight="1">
      <c r="A98" s="2162"/>
      <c r="B98" s="1142"/>
      <c r="C98" s="1142"/>
      <c r="D98" s="1142"/>
      <c r="E98" s="1142"/>
      <c r="F98" s="1142"/>
      <c r="G98" s="1142"/>
      <c r="H98" s="1142"/>
      <c r="I98" s="1142"/>
      <c r="J98" s="1142"/>
      <c r="K98" s="1142"/>
      <c r="L98" s="1142"/>
      <c r="M98" s="1142"/>
      <c r="N98" s="1142"/>
      <c r="O98" s="1142"/>
      <c r="P98" s="1142"/>
      <c r="Q98" s="1142"/>
      <c r="R98" s="1142"/>
      <c r="S98" s="1142"/>
      <c r="T98" s="1142"/>
      <c r="U98" s="1142"/>
      <c r="V98" s="1142"/>
      <c r="W98" s="1142"/>
      <c r="X98" s="1142"/>
      <c r="Y98" s="1142"/>
      <c r="Z98" s="1142"/>
      <c r="AA98" s="1142"/>
      <c r="AB98" s="1142"/>
      <c r="AC98" s="1142"/>
      <c r="AD98" s="1142"/>
      <c r="AE98" s="1142"/>
      <c r="AF98" s="1142"/>
      <c r="AG98" s="1143"/>
      <c r="AH98" s="7373" t="s">
        <v>2765</v>
      </c>
      <c r="AI98" s="7440"/>
      <c r="AJ98" s="7440"/>
      <c r="AK98" s="7440"/>
      <c r="AL98" s="7440"/>
      <c r="AM98" s="7440"/>
      <c r="AN98" s="7440"/>
      <c r="AO98" s="7440"/>
      <c r="AP98" s="2162"/>
      <c r="BG98" s="2396"/>
      <c r="BH98" s="2038"/>
      <c r="BI98" s="2038"/>
      <c r="BJ98" s="2038"/>
      <c r="BK98" s="2038"/>
      <c r="BL98" s="2038"/>
      <c r="BM98" s="2038"/>
      <c r="BN98" s="2038"/>
      <c r="BO98" s="2038"/>
      <c r="BP98" s="2038"/>
    </row>
    <row r="99" spans="1:69" ht="12.75" customHeight="1">
      <c r="A99" s="2162"/>
      <c r="B99" s="7390">
        <v>33</v>
      </c>
      <c r="C99" s="6466"/>
      <c r="D99" s="808"/>
      <c r="E99" s="808"/>
      <c r="F99" s="808"/>
      <c r="G99" s="808"/>
      <c r="H99" s="808"/>
      <c r="I99" s="808"/>
      <c r="J99" s="808"/>
      <c r="K99" s="808"/>
      <c r="L99" s="808"/>
      <c r="M99" s="808"/>
      <c r="N99" s="808"/>
      <c r="O99" s="808"/>
      <c r="P99" s="892" t="s">
        <v>2751</v>
      </c>
      <c r="Q99" s="808"/>
      <c r="R99" s="808"/>
      <c r="S99" s="808"/>
      <c r="T99" s="808"/>
      <c r="U99" s="808"/>
      <c r="V99" s="808"/>
      <c r="W99" s="808"/>
      <c r="X99" s="808"/>
      <c r="Y99" s="808"/>
      <c r="Z99" s="808"/>
      <c r="AA99" s="808"/>
      <c r="AB99" s="808"/>
      <c r="AC99" s="808"/>
      <c r="AD99" s="808"/>
      <c r="AE99" s="808"/>
      <c r="AF99" s="808"/>
      <c r="AG99" s="1151"/>
      <c r="AH99" s="7441"/>
      <c r="AI99" s="7232"/>
      <c r="AJ99" s="7232"/>
      <c r="AK99" s="7232"/>
      <c r="AL99" s="7232"/>
      <c r="AM99" s="7232"/>
      <c r="AN99" s="7232"/>
      <c r="AO99" s="7232"/>
      <c r="AP99" s="2162"/>
      <c r="AX99" s="2114"/>
      <c r="AY99" s="2114"/>
      <c r="AZ99" s="2114"/>
      <c r="BA99" s="2114"/>
      <c r="BB99" s="2114"/>
      <c r="BC99" s="2114"/>
      <c r="BD99" s="2114"/>
      <c r="BG99" s="2396"/>
      <c r="BH99" s="2038"/>
      <c r="BI99" s="2038"/>
      <c r="BJ99" s="2038"/>
      <c r="BK99" s="2038"/>
      <c r="BL99" s="2038"/>
      <c r="BM99" s="2038"/>
      <c r="BN99" s="2038"/>
      <c r="BO99" s="2038"/>
      <c r="BP99" s="2038"/>
    </row>
    <row r="100" spans="1:69" ht="12.75" customHeight="1">
      <c r="A100" s="2162"/>
      <c r="B100" s="1121"/>
      <c r="C100" s="1121"/>
      <c r="D100" s="1121"/>
      <c r="E100" s="1121"/>
      <c r="F100" s="1121"/>
      <c r="G100" s="1121"/>
      <c r="H100" s="1121"/>
      <c r="I100" s="1121"/>
      <c r="J100" s="1121"/>
      <c r="K100" s="1121"/>
      <c r="L100" s="1121"/>
      <c r="M100" s="1121"/>
      <c r="N100" s="1121"/>
      <c r="O100" s="1121"/>
      <c r="P100" s="1121"/>
      <c r="Q100" s="1121"/>
      <c r="R100" s="1121"/>
      <c r="S100" s="1121"/>
      <c r="T100" s="1121"/>
      <c r="U100" s="1121"/>
      <c r="V100" s="1121"/>
      <c r="W100" s="1121"/>
      <c r="X100" s="1121"/>
      <c r="Y100" s="1121"/>
      <c r="Z100" s="1121"/>
      <c r="AA100" s="1121"/>
      <c r="AB100" s="1121"/>
      <c r="AC100" s="1121"/>
      <c r="AD100" s="1121"/>
      <c r="AE100" s="1121"/>
      <c r="AF100" s="1121"/>
      <c r="AG100" s="2391"/>
      <c r="AH100" s="7442"/>
      <c r="AI100" s="6918"/>
      <c r="AJ100" s="6918"/>
      <c r="AK100" s="6918"/>
      <c r="AL100" s="6918"/>
      <c r="AM100" s="6918"/>
      <c r="AN100" s="6918"/>
      <c r="AO100" s="6918"/>
      <c r="AP100" s="2162"/>
      <c r="BG100" s="2396"/>
      <c r="BH100" s="2038"/>
      <c r="BI100" s="2038"/>
      <c r="BJ100" s="2038"/>
      <c r="BK100" s="2038"/>
      <c r="BL100" s="2038"/>
      <c r="BM100" s="2038"/>
      <c r="BN100" s="2038"/>
      <c r="BO100" s="2038"/>
      <c r="BP100" s="2038"/>
    </row>
    <row r="101" spans="1:69" ht="13.5" customHeight="1">
      <c r="A101" s="2162"/>
      <c r="B101" s="2477" t="s">
        <v>542</v>
      </c>
      <c r="C101" s="7434"/>
      <c r="D101" s="7435"/>
      <c r="E101" s="7435"/>
      <c r="F101" s="7435"/>
      <c r="G101" s="7435"/>
      <c r="H101" s="7435"/>
      <c r="I101" s="7435"/>
      <c r="J101" s="7435"/>
      <c r="K101" s="7436"/>
      <c r="L101" s="7436"/>
      <c r="M101" s="7436"/>
      <c r="N101" s="7436"/>
      <c r="O101" s="7436"/>
      <c r="P101" s="7436"/>
      <c r="Q101" s="7436"/>
      <c r="R101" s="7436"/>
      <c r="S101" s="7436"/>
      <c r="T101" s="7436"/>
      <c r="U101" s="7436"/>
      <c r="V101" s="7436"/>
      <c r="W101" s="7436"/>
      <c r="X101" s="7436"/>
      <c r="Y101" s="7436"/>
      <c r="Z101" s="7436"/>
      <c r="AA101" s="7436"/>
      <c r="AB101" s="7436"/>
      <c r="AC101" s="7436"/>
      <c r="AD101" s="7436"/>
      <c r="AE101" s="7436"/>
      <c r="AF101" s="7436"/>
      <c r="AG101" s="7437"/>
      <c r="AH101" s="7358"/>
      <c r="AI101" s="7359"/>
      <c r="AJ101" s="7359"/>
      <c r="AK101" s="7359"/>
      <c r="AL101" s="7359"/>
      <c r="AM101" s="7359"/>
      <c r="AN101" s="7359"/>
      <c r="AO101" s="7359"/>
      <c r="AP101" s="2162"/>
      <c r="BG101" s="2396"/>
      <c r="BH101" s="2038"/>
      <c r="BI101" s="2038"/>
      <c r="BJ101" s="2038"/>
      <c r="BK101" s="2038"/>
      <c r="BL101" s="2038"/>
      <c r="BM101" s="2038"/>
      <c r="BN101" s="2038"/>
      <c r="BO101" s="2038"/>
      <c r="BP101" s="2038"/>
    </row>
    <row r="102" spans="1:69" ht="13.5" customHeight="1">
      <c r="A102" s="2162"/>
      <c r="B102" s="2476" t="s">
        <v>548</v>
      </c>
      <c r="C102" s="7434"/>
      <c r="D102" s="7435"/>
      <c r="E102" s="7435"/>
      <c r="F102" s="7435"/>
      <c r="G102" s="7435"/>
      <c r="H102" s="7435"/>
      <c r="I102" s="7435"/>
      <c r="J102" s="7435"/>
      <c r="K102" s="7436"/>
      <c r="L102" s="7436"/>
      <c r="M102" s="7436"/>
      <c r="N102" s="7436"/>
      <c r="O102" s="7436"/>
      <c r="P102" s="7436"/>
      <c r="Q102" s="7436"/>
      <c r="R102" s="7436"/>
      <c r="S102" s="7436"/>
      <c r="T102" s="7436"/>
      <c r="U102" s="7436"/>
      <c r="V102" s="7436"/>
      <c r="W102" s="7436"/>
      <c r="X102" s="7436"/>
      <c r="Y102" s="7436"/>
      <c r="Z102" s="7436"/>
      <c r="AA102" s="7436"/>
      <c r="AB102" s="7436"/>
      <c r="AC102" s="7436"/>
      <c r="AD102" s="7436"/>
      <c r="AE102" s="7436"/>
      <c r="AF102" s="7436"/>
      <c r="AG102" s="7437"/>
      <c r="AH102" s="7358"/>
      <c r="AI102" s="7359"/>
      <c r="AJ102" s="7359"/>
      <c r="AK102" s="7359"/>
      <c r="AL102" s="7359"/>
      <c r="AM102" s="7359"/>
      <c r="AN102" s="7359"/>
      <c r="AO102" s="7359"/>
      <c r="AP102" s="2162"/>
      <c r="BG102" s="2396"/>
      <c r="BH102" s="2038"/>
      <c r="BI102" s="2038"/>
      <c r="BJ102" s="2038"/>
      <c r="BK102" s="2038"/>
      <c r="BL102" s="2038"/>
      <c r="BM102" s="2038"/>
      <c r="BN102" s="2038"/>
      <c r="BO102" s="2038"/>
      <c r="BP102" s="2038"/>
    </row>
    <row r="103" spans="1:69" ht="17.25" customHeight="1">
      <c r="A103" s="2162"/>
      <c r="B103" s="7448" t="s">
        <v>2752</v>
      </c>
      <c r="C103" s="6435"/>
      <c r="D103" s="6435"/>
      <c r="E103" s="6435"/>
      <c r="F103" s="6435"/>
      <c r="G103" s="6435"/>
      <c r="H103" s="6435"/>
      <c r="I103" s="6435"/>
      <c r="J103" s="6435"/>
      <c r="K103" s="6435"/>
      <c r="L103" s="6435"/>
      <c r="M103" s="6435"/>
      <c r="N103" s="6435"/>
      <c r="O103" s="6435"/>
      <c r="P103" s="6435"/>
      <c r="Q103" s="6435"/>
      <c r="R103" s="6435"/>
      <c r="S103" s="6435"/>
      <c r="T103" s="6435"/>
      <c r="U103" s="6435"/>
      <c r="V103" s="6435"/>
      <c r="W103" s="6435"/>
      <c r="X103" s="7449"/>
      <c r="Y103" s="7379" t="s">
        <v>2753</v>
      </c>
      <c r="Z103" s="6435"/>
      <c r="AA103" s="6435"/>
      <c r="AB103" s="6435"/>
      <c r="AC103" s="6435"/>
      <c r="AD103" s="6435"/>
      <c r="AE103" s="6435"/>
      <c r="AF103" s="6435"/>
      <c r="AG103" s="6435"/>
      <c r="AH103" s="6435"/>
      <c r="AI103" s="6435"/>
      <c r="AJ103" s="6435"/>
      <c r="AK103" s="6435"/>
      <c r="AL103" s="6435"/>
      <c r="AM103" s="6435"/>
      <c r="AN103" s="6435"/>
      <c r="AO103" s="6435"/>
      <c r="AP103" s="2162"/>
      <c r="BG103" s="2396"/>
      <c r="BH103" s="2038"/>
      <c r="BI103" s="2038"/>
      <c r="BJ103" s="2038"/>
      <c r="BK103" s="2038"/>
      <c r="BL103" s="2038"/>
      <c r="BM103" s="2038"/>
      <c r="BN103" s="2038"/>
      <c r="BO103" s="2038"/>
      <c r="BP103" s="2038"/>
    </row>
    <row r="104" spans="1:69" ht="12.75" customHeight="1">
      <c r="A104" s="2162"/>
      <c r="B104" s="7450" t="s">
        <v>2766</v>
      </c>
      <c r="C104" s="6864"/>
      <c r="D104" s="6864"/>
      <c r="E104" s="6864"/>
      <c r="F104" s="6864"/>
      <c r="G104" s="6864"/>
      <c r="H104" s="6864"/>
      <c r="I104" s="6864"/>
      <c r="J104" s="6864"/>
      <c r="K104" s="6864"/>
      <c r="L104" s="6864"/>
      <c r="M104" s="6864"/>
      <c r="N104" s="7451"/>
      <c r="O104" s="7410" t="s">
        <v>2767</v>
      </c>
      <c r="P104" s="7411"/>
      <c r="Q104" s="7411"/>
      <c r="R104" s="7411"/>
      <c r="S104" s="7411"/>
      <c r="T104" s="7411"/>
      <c r="U104" s="7411"/>
      <c r="V104" s="7411"/>
      <c r="W104" s="7411"/>
      <c r="X104" s="7411"/>
      <c r="Y104" s="7454" t="s">
        <v>2768</v>
      </c>
      <c r="Z104" s="6864"/>
      <c r="AA104" s="6864"/>
      <c r="AB104" s="6864"/>
      <c r="AC104" s="6864"/>
      <c r="AD104" s="6864"/>
      <c r="AE104" s="6864"/>
      <c r="AF104" s="6864"/>
      <c r="AG104" s="7451"/>
      <c r="AH104" s="7410" t="s">
        <v>2769</v>
      </c>
      <c r="AI104" s="7411"/>
      <c r="AJ104" s="7411"/>
      <c r="AK104" s="7411"/>
      <c r="AL104" s="7411"/>
      <c r="AM104" s="7411"/>
      <c r="AN104" s="7411"/>
      <c r="AO104" s="7411"/>
      <c r="AP104" s="2162"/>
      <c r="BG104" s="2396"/>
      <c r="BH104" s="2038"/>
      <c r="BI104" s="2038"/>
      <c r="BJ104" s="2038"/>
      <c r="BK104" s="2038"/>
      <c r="BL104" s="2038"/>
      <c r="BM104" s="2038"/>
      <c r="BN104" s="2038"/>
      <c r="BO104" s="2038"/>
      <c r="BP104" s="2038"/>
    </row>
    <row r="105" spans="1:69" ht="12.75" customHeight="1">
      <c r="A105" s="2162"/>
      <c r="B105" s="6733"/>
      <c r="C105" s="6733"/>
      <c r="D105" s="6733"/>
      <c r="E105" s="6733"/>
      <c r="F105" s="6733"/>
      <c r="G105" s="6733"/>
      <c r="H105" s="6733"/>
      <c r="I105" s="6733"/>
      <c r="J105" s="6733"/>
      <c r="K105" s="6733"/>
      <c r="L105" s="6733"/>
      <c r="M105" s="6733"/>
      <c r="N105" s="7452"/>
      <c r="O105" s="7412"/>
      <c r="P105" s="7413"/>
      <c r="Q105" s="7413"/>
      <c r="R105" s="7413"/>
      <c r="S105" s="7413"/>
      <c r="T105" s="7413"/>
      <c r="U105" s="7413"/>
      <c r="V105" s="7413"/>
      <c r="W105" s="7413"/>
      <c r="X105" s="7413"/>
      <c r="Y105" s="6865"/>
      <c r="Z105" s="6733"/>
      <c r="AA105" s="6733"/>
      <c r="AB105" s="6733"/>
      <c r="AC105" s="6733"/>
      <c r="AD105" s="6733"/>
      <c r="AE105" s="6733"/>
      <c r="AF105" s="6733"/>
      <c r="AG105" s="7452"/>
      <c r="AH105" s="7412"/>
      <c r="AI105" s="7413"/>
      <c r="AJ105" s="7413"/>
      <c r="AK105" s="7413"/>
      <c r="AL105" s="7413"/>
      <c r="AM105" s="7413"/>
      <c r="AN105" s="7413"/>
      <c r="AO105" s="7413"/>
      <c r="AP105" s="2162"/>
      <c r="BG105" s="2396"/>
      <c r="BH105" s="2038"/>
      <c r="BI105" s="2038"/>
      <c r="BJ105" s="2038"/>
      <c r="BK105" s="2038"/>
      <c r="BL105" s="2038"/>
      <c r="BM105" s="2038"/>
      <c r="BN105" s="2038"/>
      <c r="BO105" s="2038"/>
      <c r="BP105" s="2038"/>
    </row>
    <row r="106" spans="1:69" ht="12.75" customHeight="1">
      <c r="A106" s="2162"/>
      <c r="B106" s="6731"/>
      <c r="C106" s="6731"/>
      <c r="D106" s="6731"/>
      <c r="E106" s="6731"/>
      <c r="F106" s="6731"/>
      <c r="G106" s="6731"/>
      <c r="H106" s="6731"/>
      <c r="I106" s="6731"/>
      <c r="J106" s="6731"/>
      <c r="K106" s="6731"/>
      <c r="L106" s="6731"/>
      <c r="M106" s="6731"/>
      <c r="N106" s="7453"/>
      <c r="O106" s="7414"/>
      <c r="P106" s="7415"/>
      <c r="Q106" s="7415"/>
      <c r="R106" s="7415"/>
      <c r="S106" s="7415"/>
      <c r="T106" s="7415"/>
      <c r="U106" s="7415"/>
      <c r="V106" s="7415"/>
      <c r="W106" s="7415"/>
      <c r="X106" s="7415"/>
      <c r="Y106" s="7455"/>
      <c r="Z106" s="6731"/>
      <c r="AA106" s="6731"/>
      <c r="AB106" s="6731"/>
      <c r="AC106" s="6731"/>
      <c r="AD106" s="6731"/>
      <c r="AE106" s="6731"/>
      <c r="AF106" s="6731"/>
      <c r="AG106" s="7453"/>
      <c r="AH106" s="7414"/>
      <c r="AI106" s="7415"/>
      <c r="AJ106" s="7415"/>
      <c r="AK106" s="7415"/>
      <c r="AL106" s="7415"/>
      <c r="AM106" s="7415"/>
      <c r="AN106" s="7415"/>
      <c r="AO106" s="7415"/>
      <c r="AP106" s="2162"/>
      <c r="BG106" s="2396"/>
      <c r="BH106" s="2038"/>
      <c r="BI106" s="2038"/>
      <c r="BJ106" s="2038"/>
      <c r="BK106" s="2038"/>
      <c r="BL106" s="2038"/>
      <c r="BM106" s="2038"/>
      <c r="BN106" s="2038"/>
      <c r="BO106" s="2038"/>
      <c r="BP106" s="2038"/>
    </row>
    <row r="107" spans="1:69" ht="13.5" customHeight="1">
      <c r="A107" s="2162"/>
      <c r="B107" s="2477" t="s">
        <v>542</v>
      </c>
      <c r="C107" s="7407"/>
      <c r="D107" s="7408"/>
      <c r="E107" s="7408"/>
      <c r="F107" s="7408"/>
      <c r="G107" s="7408"/>
      <c r="H107" s="7408"/>
      <c r="I107" s="7408"/>
      <c r="J107" s="7408"/>
      <c r="K107" s="7408"/>
      <c r="L107" s="7408"/>
      <c r="M107" s="7408"/>
      <c r="N107" s="7409"/>
      <c r="O107" s="7443"/>
      <c r="P107" s="7444"/>
      <c r="Q107" s="7444"/>
      <c r="R107" s="7444"/>
      <c r="S107" s="7444"/>
      <c r="T107" s="7444"/>
      <c r="U107" s="7444"/>
      <c r="V107" s="7444"/>
      <c r="W107" s="7444"/>
      <c r="X107" s="7445"/>
      <c r="Y107" s="7446"/>
      <c r="Z107" s="7447"/>
      <c r="AA107" s="7447"/>
      <c r="AB107" s="7447"/>
      <c r="AC107" s="7447"/>
      <c r="AD107" s="7447"/>
      <c r="AE107" s="7447"/>
      <c r="AF107" s="7447"/>
      <c r="AG107" s="7447"/>
      <c r="AH107" s="7447"/>
      <c r="AI107" s="7447"/>
      <c r="AJ107" s="7447"/>
      <c r="AK107" s="7447"/>
      <c r="AL107" s="7447"/>
      <c r="AM107" s="7447"/>
      <c r="AN107" s="7447"/>
      <c r="AO107" s="7443"/>
      <c r="AP107" s="2162"/>
      <c r="BG107" s="2396"/>
      <c r="BH107" s="2038"/>
      <c r="BI107" s="2038"/>
      <c r="BJ107" s="2038"/>
      <c r="BK107" s="2038"/>
      <c r="BL107" s="2038"/>
      <c r="BM107" s="2038"/>
      <c r="BN107" s="2038"/>
      <c r="BO107" s="2038"/>
      <c r="BP107" s="2038"/>
    </row>
    <row r="108" spans="1:69" ht="13.5" customHeight="1">
      <c r="A108" s="2162"/>
      <c r="B108" s="2477" t="s">
        <v>548</v>
      </c>
      <c r="C108" s="7407"/>
      <c r="D108" s="7408"/>
      <c r="E108" s="7408"/>
      <c r="F108" s="7408"/>
      <c r="G108" s="7408"/>
      <c r="H108" s="7408"/>
      <c r="I108" s="7408"/>
      <c r="J108" s="7408"/>
      <c r="K108" s="7408"/>
      <c r="L108" s="7408"/>
      <c r="M108" s="7408"/>
      <c r="N108" s="7409"/>
      <c r="O108" s="7443"/>
      <c r="P108" s="7444"/>
      <c r="Q108" s="7444"/>
      <c r="R108" s="7444"/>
      <c r="S108" s="7444"/>
      <c r="T108" s="7444"/>
      <c r="U108" s="7444"/>
      <c r="V108" s="7444"/>
      <c r="W108" s="7444"/>
      <c r="X108" s="7445"/>
      <c r="Y108" s="7446"/>
      <c r="Z108" s="7447"/>
      <c r="AA108" s="7447"/>
      <c r="AB108" s="7447"/>
      <c r="AC108" s="7447"/>
      <c r="AD108" s="7447"/>
      <c r="AE108" s="7447"/>
      <c r="AF108" s="7447"/>
      <c r="AG108" s="7447"/>
      <c r="AH108" s="7447"/>
      <c r="AI108" s="7447"/>
      <c r="AJ108" s="7447"/>
      <c r="AK108" s="7447"/>
      <c r="AL108" s="7447"/>
      <c r="AM108" s="7447"/>
      <c r="AN108" s="7447"/>
      <c r="AO108" s="7443"/>
      <c r="AP108" s="2162"/>
      <c r="BG108" s="2396"/>
      <c r="BH108" s="2038"/>
      <c r="BI108" s="2038"/>
      <c r="BJ108" s="2038"/>
      <c r="BK108" s="2038"/>
      <c r="BL108" s="2038"/>
      <c r="BM108" s="2038"/>
      <c r="BN108" s="2038"/>
      <c r="BO108" s="2038"/>
      <c r="BP108" s="2038"/>
    </row>
    <row r="109" spans="1:69" ht="13.5" customHeight="1">
      <c r="A109" s="2162"/>
      <c r="B109" s="7364" t="s">
        <v>2770</v>
      </c>
      <c r="C109" s="7364"/>
      <c r="D109" s="2112"/>
      <c r="E109" s="3604" t="s">
        <v>2760</v>
      </c>
      <c r="F109" s="818"/>
      <c r="G109" s="2403"/>
      <c r="H109" s="2403"/>
      <c r="I109" s="2403"/>
      <c r="J109" s="2403"/>
      <c r="K109" s="2403"/>
      <c r="L109" s="2403"/>
      <c r="M109" s="2403"/>
      <c r="N109" s="819"/>
      <c r="O109" s="7338">
        <f>ROUND(SUM(O107:O108),0)</f>
        <v>0</v>
      </c>
      <c r="P109" s="7339"/>
      <c r="Q109" s="7339"/>
      <c r="R109" s="7339"/>
      <c r="S109" s="7339"/>
      <c r="T109" s="7339"/>
      <c r="U109" s="7339"/>
      <c r="V109" s="7339"/>
      <c r="W109" s="7339"/>
      <c r="X109" s="7340"/>
      <c r="Y109" s="2478"/>
      <c r="Z109" s="2403"/>
      <c r="AA109" s="2403"/>
      <c r="AB109" s="2403"/>
      <c r="AC109" s="2403"/>
      <c r="AD109" s="2403"/>
      <c r="AE109" s="2403"/>
      <c r="AF109" s="2403"/>
      <c r="AG109" s="819"/>
      <c r="AH109" s="7335">
        <f>ROUND(SUM(AH107:AH108),0)</f>
        <v>0</v>
      </c>
      <c r="AI109" s="7354"/>
      <c r="AJ109" s="7354"/>
      <c r="AK109" s="7354"/>
      <c r="AL109" s="7354"/>
      <c r="AM109" s="7354"/>
      <c r="AN109" s="7354"/>
      <c r="AO109" s="7354"/>
      <c r="AP109" s="2162"/>
      <c r="BG109" s="2396"/>
      <c r="BH109" s="2038"/>
      <c r="BI109" s="2038"/>
      <c r="BJ109" s="2038"/>
      <c r="BK109" s="2038"/>
      <c r="BL109" s="2038"/>
      <c r="BM109" s="2038"/>
      <c r="BN109" s="2038"/>
      <c r="BO109" s="2038"/>
      <c r="BP109" s="2038"/>
    </row>
    <row r="110" spans="1:69" ht="13.5" customHeight="1">
      <c r="A110" s="2162"/>
      <c r="B110" s="7433" t="s">
        <v>644</v>
      </c>
      <c r="C110" s="7433"/>
      <c r="D110" s="2112"/>
      <c r="E110" s="3604" t="s">
        <v>2760</v>
      </c>
      <c r="F110" s="7335">
        <f>ROUND(SUM(C107:C108),0)</f>
        <v>0</v>
      </c>
      <c r="G110" s="7336"/>
      <c r="H110" s="7336"/>
      <c r="I110" s="7336"/>
      <c r="J110" s="7336"/>
      <c r="K110" s="7336"/>
      <c r="L110" s="7336"/>
      <c r="M110" s="7336"/>
      <c r="N110" s="7337"/>
      <c r="O110" s="2479"/>
      <c r="P110" s="2388"/>
      <c r="Q110" s="2388"/>
      <c r="R110" s="2388"/>
      <c r="S110" s="2388"/>
      <c r="T110" s="2388"/>
      <c r="U110" s="2388"/>
      <c r="V110" s="2388"/>
      <c r="W110" s="2388"/>
      <c r="X110" s="2480"/>
      <c r="Y110" s="7335">
        <f>ROUND(SUM(Y107:Y108),0)</f>
        <v>0</v>
      </c>
      <c r="Z110" s="7336"/>
      <c r="AA110" s="7336"/>
      <c r="AB110" s="7336"/>
      <c r="AC110" s="7336"/>
      <c r="AD110" s="7336"/>
      <c r="AE110" s="7336"/>
      <c r="AF110" s="7336"/>
      <c r="AG110" s="7337"/>
      <c r="AH110" s="818"/>
      <c r="AI110" s="2403"/>
      <c r="AJ110" s="2403"/>
      <c r="AK110" s="2403"/>
      <c r="AL110" s="2403"/>
      <c r="AM110" s="2403"/>
      <c r="AN110" s="2403"/>
      <c r="AO110" s="2403"/>
      <c r="AP110" s="2162"/>
      <c r="BG110" s="2396"/>
      <c r="BH110" s="2038"/>
      <c r="BI110" s="2038"/>
      <c r="BJ110" s="2038"/>
      <c r="BK110" s="2038"/>
      <c r="BL110" s="2038"/>
      <c r="BM110" s="2038"/>
      <c r="BN110" s="2038"/>
      <c r="BO110" s="2038"/>
      <c r="BP110" s="2038"/>
    </row>
    <row r="111" spans="1:69" ht="13.5" customHeight="1">
      <c r="A111" s="2162"/>
      <c r="B111" s="7328">
        <v>35</v>
      </c>
      <c r="C111" s="7328"/>
      <c r="D111" s="2112" t="s">
        <v>2771</v>
      </c>
      <c r="E111" s="808"/>
      <c r="F111" s="808"/>
      <c r="G111" s="808"/>
      <c r="H111" s="808"/>
      <c r="I111" s="808"/>
      <c r="J111" s="808"/>
      <c r="K111" s="808"/>
      <c r="L111" s="808"/>
      <c r="M111" s="808"/>
      <c r="N111" s="808"/>
      <c r="O111" s="808"/>
      <c r="P111" s="808"/>
      <c r="Q111" s="808"/>
      <c r="R111" s="808"/>
      <c r="S111" s="808"/>
      <c r="T111" s="808"/>
      <c r="U111" s="808"/>
      <c r="V111" s="808"/>
      <c r="W111" s="808"/>
      <c r="X111" s="808"/>
      <c r="Y111" s="808"/>
      <c r="Z111" s="808"/>
      <c r="AA111" s="808"/>
      <c r="AB111" s="808"/>
      <c r="AC111" s="808"/>
      <c r="AD111" s="808"/>
      <c r="AE111" s="808"/>
      <c r="AF111" s="808"/>
      <c r="AG111" s="2760" t="s">
        <v>754</v>
      </c>
      <c r="AH111" s="7426">
        <v>35</v>
      </c>
      <c r="AI111" s="7569"/>
      <c r="AJ111" s="7386">
        <f>SUM(O109,AH109)</f>
        <v>0</v>
      </c>
      <c r="AK111" s="7576"/>
      <c r="AL111" s="7576"/>
      <c r="AM111" s="7576"/>
      <c r="AN111" s="7576"/>
      <c r="AO111" s="7576"/>
      <c r="AP111" s="2162"/>
      <c r="BG111" s="2396"/>
      <c r="BH111" s="2038"/>
      <c r="BI111" s="2038"/>
      <c r="BJ111" s="2038"/>
      <c r="BK111" s="2038"/>
      <c r="BL111" s="2038"/>
      <c r="BM111" s="2038"/>
      <c r="BN111" s="2038"/>
      <c r="BO111" s="2038"/>
      <c r="BP111" s="2038"/>
    </row>
    <row r="112" spans="1:69" ht="13.5" customHeight="1">
      <c r="A112" s="2162"/>
      <c r="B112" s="7328">
        <v>36</v>
      </c>
      <c r="C112" s="7328"/>
      <c r="D112" s="2112" t="s">
        <v>2772</v>
      </c>
      <c r="E112" s="808"/>
      <c r="F112" s="808"/>
      <c r="G112" s="808"/>
      <c r="H112" s="808"/>
      <c r="I112" s="808"/>
      <c r="J112" s="808"/>
      <c r="K112" s="808"/>
      <c r="L112" s="808"/>
      <c r="M112" s="808"/>
      <c r="N112" s="808"/>
      <c r="O112" s="808"/>
      <c r="P112" s="808"/>
      <c r="Q112" s="808"/>
      <c r="R112" s="808"/>
      <c r="S112" s="808"/>
      <c r="T112" s="808"/>
      <c r="U112" s="808"/>
      <c r="V112" s="808"/>
      <c r="W112" s="808"/>
      <c r="X112" s="808"/>
      <c r="Y112" s="808"/>
      <c r="Z112" s="808"/>
      <c r="AA112" s="808"/>
      <c r="AB112" s="808"/>
      <c r="AC112" s="808"/>
      <c r="AD112" s="808"/>
      <c r="AE112" s="808"/>
      <c r="AF112" s="808"/>
      <c r="AG112" s="2760" t="s">
        <v>754</v>
      </c>
      <c r="AH112" s="7426">
        <v>36</v>
      </c>
      <c r="AI112" s="7569"/>
      <c r="AJ112" s="4709" t="s">
        <v>905</v>
      </c>
      <c r="AK112" s="7352">
        <f>SUM(F110,Y110)</f>
        <v>0</v>
      </c>
      <c r="AL112" s="7353"/>
      <c r="AM112" s="7353"/>
      <c r="AN112" s="7353"/>
      <c r="AO112" s="2500" t="s">
        <v>906</v>
      </c>
      <c r="AP112" s="2162"/>
      <c r="BG112" s="2396"/>
      <c r="BH112" s="2038"/>
      <c r="BI112" s="2038"/>
      <c r="BJ112" s="2038"/>
      <c r="BK112" s="2038"/>
      <c r="BL112" s="2038"/>
      <c r="BM112" s="2038"/>
      <c r="BN112" s="2038"/>
      <c r="BO112" s="2038"/>
      <c r="BP112" s="2038"/>
    </row>
    <row r="113" spans="1:69" ht="13.5" customHeight="1">
      <c r="A113" s="2162"/>
      <c r="B113" s="7334">
        <v>37</v>
      </c>
      <c r="C113" s="7334"/>
      <c r="D113" s="2190" t="s">
        <v>2773</v>
      </c>
      <c r="E113" s="1121"/>
      <c r="F113" s="1121"/>
      <c r="G113" s="1121"/>
      <c r="H113" s="1121"/>
      <c r="I113" s="1121"/>
      <c r="J113" s="1121"/>
      <c r="K113" s="1121"/>
      <c r="L113" s="1121"/>
      <c r="M113" s="1121"/>
      <c r="N113" s="1121"/>
      <c r="O113" s="1121"/>
      <c r="P113" s="1121"/>
      <c r="Q113" s="1121"/>
      <c r="R113" s="1121"/>
      <c r="S113" s="1121"/>
      <c r="T113" s="1121"/>
      <c r="U113" s="1121"/>
      <c r="V113" s="1121"/>
      <c r="W113" s="1121"/>
      <c r="X113" s="1121"/>
      <c r="Y113" s="1121"/>
      <c r="Z113" s="1121"/>
      <c r="AA113" s="1121"/>
      <c r="AB113" s="1121"/>
      <c r="AC113" s="1121"/>
      <c r="AD113" s="1121"/>
      <c r="AE113" s="1121"/>
      <c r="AF113" s="1121"/>
      <c r="AG113" s="2762" t="s">
        <v>752</v>
      </c>
      <c r="AH113" s="7426">
        <v>37</v>
      </c>
      <c r="AI113" s="7569"/>
      <c r="AJ113" s="7386">
        <f>SUM(AJ111,-AK112)</f>
        <v>0</v>
      </c>
      <c r="AK113" s="7576"/>
      <c r="AL113" s="7576"/>
      <c r="AM113" s="7576"/>
      <c r="AN113" s="7576"/>
      <c r="AO113" s="7576"/>
      <c r="AP113" s="2162"/>
      <c r="BG113" s="2396"/>
      <c r="BH113" s="2038"/>
      <c r="BI113" s="2038"/>
      <c r="BJ113" s="2038"/>
      <c r="BK113" s="2038"/>
      <c r="BL113" s="2038"/>
      <c r="BM113" s="2038"/>
      <c r="BN113" s="2038"/>
      <c r="BO113" s="2038"/>
      <c r="BP113" s="2038"/>
    </row>
    <row r="114" spans="1:69" s="2114" customFormat="1" ht="17.25" customHeight="1">
      <c r="A114" s="2163"/>
      <c r="B114" s="7384" t="s">
        <v>2410</v>
      </c>
      <c r="C114" s="7384"/>
      <c r="D114" s="7385"/>
      <c r="E114" s="2115"/>
      <c r="F114" s="2179" t="s">
        <v>2774</v>
      </c>
      <c r="G114" s="2115"/>
      <c r="H114" s="2115"/>
      <c r="I114" s="2115"/>
      <c r="J114" s="2115"/>
      <c r="K114" s="2115"/>
      <c r="L114" s="2115"/>
      <c r="M114" s="2115"/>
      <c r="N114" s="2115"/>
      <c r="O114" s="2115"/>
      <c r="P114" s="2115"/>
      <c r="Q114" s="2115"/>
      <c r="R114" s="2115"/>
      <c r="S114" s="2115"/>
      <c r="T114" s="2115"/>
      <c r="U114" s="2115"/>
      <c r="V114" s="2115"/>
      <c r="W114" s="2115"/>
      <c r="X114" s="2113"/>
      <c r="Y114" s="2115"/>
      <c r="Z114" s="2115"/>
      <c r="AA114" s="2115"/>
      <c r="AB114" s="2115"/>
      <c r="AC114" s="2115"/>
      <c r="AD114" s="2115"/>
      <c r="AE114" s="2115"/>
      <c r="AF114" s="2115"/>
      <c r="AG114" s="998"/>
      <c r="AH114" s="2115"/>
      <c r="AI114" s="2115"/>
      <c r="AJ114" s="2115"/>
      <c r="AK114" s="2115"/>
      <c r="AL114" s="2115"/>
      <c r="AM114" s="2115"/>
      <c r="AN114" s="2115"/>
      <c r="AO114" s="2115"/>
      <c r="AP114" s="2162"/>
      <c r="AX114" s="39"/>
      <c r="AY114" s="39"/>
      <c r="AZ114" s="39"/>
      <c r="BA114" s="39"/>
      <c r="BB114" s="39"/>
      <c r="BC114" s="39"/>
      <c r="BD114" s="39"/>
      <c r="BG114" s="2396"/>
      <c r="BH114" s="2038"/>
      <c r="BI114" s="2038"/>
      <c r="BJ114" s="2038"/>
      <c r="BK114" s="2038"/>
      <c r="BL114" s="2038"/>
      <c r="BM114" s="2038"/>
      <c r="BN114" s="2038"/>
      <c r="BO114" s="2038"/>
      <c r="BP114" s="2038"/>
      <c r="BQ114" s="2690"/>
    </row>
    <row r="115" spans="1:69" ht="12.75" customHeight="1">
      <c r="A115" s="2162"/>
      <c r="B115" s="1142"/>
      <c r="C115" s="4711"/>
      <c r="D115" s="7345" t="s">
        <v>2775</v>
      </c>
      <c r="E115" s="7346"/>
      <c r="F115" s="7346"/>
      <c r="G115" s="7346"/>
      <c r="H115" s="7346"/>
      <c r="I115" s="7346"/>
      <c r="J115" s="7347"/>
      <c r="K115" s="7428" t="s">
        <v>2776</v>
      </c>
      <c r="L115" s="7429"/>
      <c r="M115" s="7429"/>
      <c r="N115" s="7429"/>
      <c r="O115" s="7429"/>
      <c r="P115" s="7429"/>
      <c r="Q115" s="7429"/>
      <c r="R115" s="7429"/>
      <c r="S115" s="7577" t="s">
        <v>2777</v>
      </c>
      <c r="T115" s="7578"/>
      <c r="U115" s="7578"/>
      <c r="V115" s="7578"/>
      <c r="W115" s="7578"/>
      <c r="X115" s="7578"/>
      <c r="Y115" s="7578"/>
      <c r="Z115" s="7373" t="s">
        <v>2778</v>
      </c>
      <c r="AA115" s="7374"/>
      <c r="AB115" s="7374"/>
      <c r="AC115" s="7374"/>
      <c r="AD115" s="7374"/>
      <c r="AE115" s="7374"/>
      <c r="AF115" s="7374"/>
      <c r="AG115" s="7468"/>
      <c r="AH115" s="7373" t="s">
        <v>2779</v>
      </c>
      <c r="AI115" s="7374"/>
      <c r="AJ115" s="7374"/>
      <c r="AK115" s="7374"/>
      <c r="AL115" s="7374"/>
      <c r="AM115" s="7374"/>
      <c r="AN115" s="7374"/>
      <c r="AO115" s="7374"/>
      <c r="AP115" s="2162"/>
      <c r="BG115" s="2396"/>
      <c r="BH115" s="2038"/>
      <c r="BI115" s="2038"/>
      <c r="BJ115" s="2038"/>
      <c r="BK115" s="2038"/>
      <c r="BL115" s="2038"/>
      <c r="BM115" s="2038"/>
      <c r="BN115" s="2038"/>
      <c r="BO115" s="2038"/>
      <c r="BP115" s="2038"/>
    </row>
    <row r="116" spans="1:69" ht="12.75" customHeight="1">
      <c r="A116" s="2162"/>
      <c r="B116" s="7390">
        <v>38</v>
      </c>
      <c r="C116" s="6466"/>
      <c r="D116" s="7348"/>
      <c r="E116" s="7348"/>
      <c r="F116" s="7348"/>
      <c r="G116" s="7348"/>
      <c r="H116" s="7348"/>
      <c r="I116" s="7348"/>
      <c r="J116" s="7349"/>
      <c r="K116" s="7430"/>
      <c r="L116" s="7430"/>
      <c r="M116" s="7430"/>
      <c r="N116" s="7430"/>
      <c r="O116" s="7430"/>
      <c r="P116" s="7430"/>
      <c r="Q116" s="7430"/>
      <c r="R116" s="7430"/>
      <c r="S116" s="7579"/>
      <c r="T116" s="7579"/>
      <c r="U116" s="7579"/>
      <c r="V116" s="7579"/>
      <c r="W116" s="7579"/>
      <c r="X116" s="7579"/>
      <c r="Y116" s="7579"/>
      <c r="Z116" s="7375"/>
      <c r="AA116" s="7376"/>
      <c r="AB116" s="7376"/>
      <c r="AC116" s="7376"/>
      <c r="AD116" s="7376"/>
      <c r="AE116" s="7376"/>
      <c r="AF116" s="7376"/>
      <c r="AG116" s="7469"/>
      <c r="AH116" s="7375"/>
      <c r="AI116" s="7376"/>
      <c r="AJ116" s="7376"/>
      <c r="AK116" s="7376"/>
      <c r="AL116" s="7376"/>
      <c r="AM116" s="7376"/>
      <c r="AN116" s="7376"/>
      <c r="AO116" s="7376"/>
      <c r="AP116" s="2162"/>
      <c r="AX116" s="2114"/>
      <c r="AY116" s="2114"/>
      <c r="AZ116" s="2114"/>
      <c r="BA116" s="2114"/>
      <c r="BB116" s="2114"/>
      <c r="BC116" s="2114"/>
      <c r="BD116" s="2114"/>
      <c r="BG116" s="2396"/>
      <c r="BH116" s="2038"/>
      <c r="BI116" s="2038"/>
      <c r="BJ116" s="2038"/>
      <c r="BK116" s="2038"/>
      <c r="BL116" s="2038"/>
      <c r="BM116" s="2038"/>
      <c r="BN116" s="2038"/>
      <c r="BO116" s="2038"/>
      <c r="BP116" s="2038"/>
    </row>
    <row r="117" spans="1:69" ht="12.75" customHeight="1">
      <c r="A117" s="2162"/>
      <c r="B117" s="1121"/>
      <c r="C117" s="4721"/>
      <c r="D117" s="7350"/>
      <c r="E117" s="7350"/>
      <c r="F117" s="7350"/>
      <c r="G117" s="7350"/>
      <c r="H117" s="7350"/>
      <c r="I117" s="7350"/>
      <c r="J117" s="7351"/>
      <c r="K117" s="7431"/>
      <c r="L117" s="7431"/>
      <c r="M117" s="7431"/>
      <c r="N117" s="7431"/>
      <c r="O117" s="7431"/>
      <c r="P117" s="7431"/>
      <c r="Q117" s="7431"/>
      <c r="R117" s="7431"/>
      <c r="S117" s="7580"/>
      <c r="T117" s="7580"/>
      <c r="U117" s="7580"/>
      <c r="V117" s="7580"/>
      <c r="W117" s="7580"/>
      <c r="X117" s="7580"/>
      <c r="Y117" s="7580"/>
      <c r="Z117" s="7377"/>
      <c r="AA117" s="7378"/>
      <c r="AB117" s="7378"/>
      <c r="AC117" s="7378"/>
      <c r="AD117" s="7378"/>
      <c r="AE117" s="7378"/>
      <c r="AF117" s="7378"/>
      <c r="AG117" s="7470"/>
      <c r="AH117" s="7377"/>
      <c r="AI117" s="7378"/>
      <c r="AJ117" s="7378"/>
      <c r="AK117" s="7378"/>
      <c r="AL117" s="7378"/>
      <c r="AM117" s="7378"/>
      <c r="AN117" s="7378"/>
      <c r="AO117" s="7378"/>
      <c r="AP117" s="2162"/>
      <c r="AQ117" s="260"/>
      <c r="AR117" s="260"/>
      <c r="AS117" s="260"/>
      <c r="BG117" s="2396"/>
      <c r="BH117" s="2038"/>
      <c r="BI117" s="2038"/>
      <c r="BJ117" s="2038"/>
      <c r="BK117" s="2038"/>
      <c r="BL117" s="2038"/>
      <c r="BM117" s="2038"/>
      <c r="BN117" s="2038"/>
      <c r="BO117" s="2038"/>
      <c r="BP117" s="2038"/>
    </row>
    <row r="118" spans="1:69" ht="12.75" customHeight="1">
      <c r="A118" s="2162"/>
      <c r="B118" s="7423"/>
      <c r="C118" s="7424"/>
      <c r="D118" s="7424"/>
      <c r="E118" s="7424"/>
      <c r="F118" s="7424"/>
      <c r="G118" s="7424"/>
      <c r="H118" s="7424"/>
      <c r="I118" s="7424"/>
      <c r="J118" s="7425"/>
      <c r="K118" s="7360"/>
      <c r="L118" s="7361"/>
      <c r="M118" s="7361"/>
      <c r="N118" s="7361"/>
      <c r="O118" s="7361"/>
      <c r="P118" s="7361"/>
      <c r="Q118" s="7361"/>
      <c r="R118" s="7362"/>
      <c r="S118" s="7363"/>
      <c r="T118" s="7363"/>
      <c r="U118" s="7363"/>
      <c r="V118" s="7363"/>
      <c r="W118" s="7363"/>
      <c r="X118" s="7363"/>
      <c r="Y118" s="7363"/>
      <c r="Z118" s="7388"/>
      <c r="AA118" s="7389"/>
      <c r="AB118" s="7389"/>
      <c r="AC118" s="7389"/>
      <c r="AD118" s="7389"/>
      <c r="AE118" s="7389"/>
      <c r="AF118" s="7389"/>
      <c r="AG118" s="7422"/>
      <c r="AH118" s="7388"/>
      <c r="AI118" s="7389"/>
      <c r="AJ118" s="7389"/>
      <c r="AK118" s="7389"/>
      <c r="AL118" s="7389"/>
      <c r="AM118" s="7389"/>
      <c r="AN118" s="7389"/>
      <c r="AO118" s="7389"/>
      <c r="AP118" s="2162"/>
      <c r="AQ118" s="260"/>
      <c r="AR118" s="1896" t="s">
        <v>867</v>
      </c>
      <c r="AS118" s="260"/>
      <c r="BG118" s="2396"/>
      <c r="BH118" s="2038"/>
      <c r="BI118" s="2038"/>
      <c r="BJ118" s="2038"/>
      <c r="BK118" s="2038"/>
      <c r="BL118" s="2038"/>
      <c r="BM118" s="2038"/>
      <c r="BN118" s="2038"/>
      <c r="BO118" s="2038"/>
      <c r="BP118" s="2038"/>
    </row>
    <row r="119" spans="1:69" ht="13.5" customHeight="1">
      <c r="A119" s="2162"/>
      <c r="B119" s="7334">
        <v>39</v>
      </c>
      <c r="C119" s="7334"/>
      <c r="D119" s="2190" t="s">
        <v>2780</v>
      </c>
      <c r="E119" s="1121"/>
      <c r="F119" s="1121"/>
      <c r="G119" s="1121"/>
      <c r="H119" s="1121"/>
      <c r="I119" s="1121"/>
      <c r="J119" s="1121"/>
      <c r="K119" s="1121"/>
      <c r="L119" s="1121"/>
      <c r="M119" s="1121"/>
      <c r="N119" s="1121"/>
      <c r="O119" s="1121"/>
      <c r="P119" s="1121"/>
      <c r="Q119" s="1121"/>
      <c r="R119" s="1121"/>
      <c r="S119" s="1121"/>
      <c r="T119" s="1121"/>
      <c r="U119" s="1121"/>
      <c r="V119" s="1121"/>
      <c r="W119" s="1121"/>
      <c r="X119" s="1121"/>
      <c r="Y119" s="1121"/>
      <c r="Z119" s="1121"/>
      <c r="AA119" s="1121"/>
      <c r="AB119" s="1121"/>
      <c r="AC119" s="1121"/>
      <c r="AD119" s="1121"/>
      <c r="AE119" s="1121"/>
      <c r="AF119" s="1121"/>
      <c r="AG119" s="2391"/>
      <c r="AH119" s="7426">
        <v>39</v>
      </c>
      <c r="AI119" s="7427"/>
      <c r="AJ119" s="7335">
        <f>IF(AR119&lt;&gt;"",ROUND(AR119,0),ROUND(SUM(Z118,AH118),0))</f>
        <v>0</v>
      </c>
      <c r="AK119" s="7354"/>
      <c r="AL119" s="7354"/>
      <c r="AM119" s="7354"/>
      <c r="AN119" s="7354"/>
      <c r="AO119" s="7354"/>
      <c r="AP119" s="2162"/>
      <c r="AQ119" s="260"/>
      <c r="AR119" s="2492"/>
      <c r="AS119" s="260"/>
      <c r="BG119" s="2396"/>
      <c r="BH119" s="2038"/>
      <c r="BI119" s="2038"/>
      <c r="BJ119" s="2038"/>
      <c r="BK119" s="2038"/>
      <c r="BL119" s="2038"/>
      <c r="BM119" s="2038"/>
      <c r="BN119" s="2038"/>
      <c r="BO119" s="2038"/>
      <c r="BP119" s="2038"/>
    </row>
    <row r="120" spans="1:69" s="2114" customFormat="1" ht="17.25" customHeight="1">
      <c r="A120" s="2163"/>
      <c r="B120" s="7384" t="s">
        <v>2425</v>
      </c>
      <c r="C120" s="7384"/>
      <c r="D120" s="7385"/>
      <c r="E120" s="2115"/>
      <c r="F120" s="3760" t="s">
        <v>2781</v>
      </c>
      <c r="G120" s="2115"/>
      <c r="H120" s="2115"/>
      <c r="I120" s="2115"/>
      <c r="J120" s="2115"/>
      <c r="K120" s="2115"/>
      <c r="L120" s="2115"/>
      <c r="M120" s="2115"/>
      <c r="N120" s="2115"/>
      <c r="O120" s="2115"/>
      <c r="P120" s="2115"/>
      <c r="Q120" s="2115"/>
      <c r="R120" s="2115"/>
      <c r="S120" s="2115"/>
      <c r="T120" s="2115"/>
      <c r="U120" s="2115"/>
      <c r="V120" s="2115"/>
      <c r="W120" s="2115"/>
      <c r="X120" s="2113"/>
      <c r="Y120" s="2115"/>
      <c r="Z120" s="2115"/>
      <c r="AA120" s="2115"/>
      <c r="AB120" s="2115"/>
      <c r="AC120" s="2115"/>
      <c r="AD120" s="2115"/>
      <c r="AE120" s="2115"/>
      <c r="AF120" s="2115"/>
      <c r="AG120" s="2115"/>
      <c r="AH120" s="2115"/>
      <c r="AI120" s="2115"/>
      <c r="AJ120" s="2115"/>
      <c r="AK120" s="2115"/>
      <c r="AL120" s="2115"/>
      <c r="AM120" s="2115"/>
      <c r="AN120" s="2115"/>
      <c r="AO120" s="2115"/>
      <c r="AP120" s="2162"/>
      <c r="AQ120" s="260"/>
      <c r="AR120" s="260"/>
      <c r="AS120" s="260"/>
      <c r="AX120" s="39"/>
      <c r="AY120" s="39"/>
      <c r="AZ120" s="39"/>
      <c r="BA120" s="39"/>
      <c r="BB120" s="39"/>
      <c r="BC120" s="39"/>
      <c r="BD120" s="39"/>
      <c r="BG120" s="2396"/>
      <c r="BH120" s="2038"/>
      <c r="BI120" s="2038"/>
      <c r="BJ120" s="2038"/>
      <c r="BK120" s="2038"/>
      <c r="BL120" s="2038"/>
      <c r="BM120" s="2038"/>
      <c r="BN120" s="2038"/>
      <c r="BO120" s="2038"/>
      <c r="BP120" s="2038"/>
      <c r="BQ120" s="2690"/>
    </row>
    <row r="121" spans="1:69" ht="15.75" customHeight="1" thickBot="1">
      <c r="A121" s="2162"/>
      <c r="B121" s="7364">
        <v>40</v>
      </c>
      <c r="C121" s="7364"/>
      <c r="D121" s="4996" t="s">
        <v>2782</v>
      </c>
      <c r="E121" s="1142"/>
      <c r="F121" s="1142"/>
      <c r="G121" s="1142"/>
      <c r="H121" s="1142"/>
      <c r="I121" s="1142"/>
      <c r="J121" s="1142"/>
      <c r="K121" s="1142"/>
      <c r="L121" s="1142"/>
      <c r="M121" s="1142"/>
      <c r="N121" s="1142"/>
      <c r="O121" s="1142"/>
      <c r="P121" s="1142"/>
      <c r="Q121" s="1142"/>
      <c r="R121" s="1142"/>
      <c r="S121" s="1142"/>
      <c r="T121" s="1142"/>
      <c r="U121" s="1142"/>
      <c r="V121" s="1142"/>
      <c r="W121" s="1142"/>
      <c r="X121" s="1142"/>
      <c r="Y121" s="1142"/>
      <c r="Z121" s="1142"/>
      <c r="AA121" s="1142"/>
      <c r="AB121" s="1142"/>
      <c r="AC121" s="1142"/>
      <c r="AD121" s="1142"/>
      <c r="AE121" s="1142"/>
      <c r="AF121" s="1142"/>
      <c r="AG121" s="2760" t="s">
        <v>654</v>
      </c>
      <c r="AH121" s="7418">
        <v>40</v>
      </c>
      <c r="AI121" s="7419"/>
      <c r="AJ121" s="7574"/>
      <c r="AK121" s="7575"/>
      <c r="AL121" s="7575"/>
      <c r="AM121" s="7575"/>
      <c r="AN121" s="7575"/>
      <c r="AO121" s="7575"/>
      <c r="AP121" s="2162"/>
      <c r="AQ121" s="260"/>
      <c r="AR121" s="260"/>
      <c r="AS121" s="260"/>
      <c r="BG121" s="2396"/>
      <c r="BH121" s="2038"/>
      <c r="BI121" s="2038"/>
      <c r="BJ121" s="2038"/>
      <c r="BK121" s="2038"/>
      <c r="BL121" s="2038"/>
      <c r="BM121" s="2038"/>
      <c r="BN121" s="2038"/>
      <c r="BO121" s="2038"/>
      <c r="BP121" s="2038"/>
    </row>
    <row r="122" spans="1:69" ht="13.5" customHeight="1">
      <c r="A122" s="2162"/>
      <c r="B122" s="7328">
        <v>41</v>
      </c>
      <c r="C122" s="7328"/>
      <c r="D122" s="2112" t="s">
        <v>2800</v>
      </c>
      <c r="E122" s="808"/>
      <c r="F122" s="808"/>
      <c r="G122" s="808"/>
      <c r="H122" s="808"/>
      <c r="I122" s="808"/>
      <c r="J122" s="808"/>
      <c r="K122" s="808"/>
      <c r="L122" s="808"/>
      <c r="M122" s="808"/>
      <c r="N122" s="808"/>
      <c r="O122" s="808"/>
      <c r="P122" s="808"/>
      <c r="Q122" s="808"/>
      <c r="R122" s="808"/>
      <c r="S122" s="808"/>
      <c r="T122" s="808"/>
      <c r="U122" s="808"/>
      <c r="V122" s="808"/>
      <c r="W122" s="808"/>
      <c r="X122" s="808"/>
      <c r="Y122" s="808"/>
      <c r="Z122" s="808"/>
      <c r="AA122" s="808"/>
      <c r="AB122" s="808"/>
      <c r="AC122" s="808"/>
      <c r="AD122" s="808"/>
      <c r="AE122" s="808"/>
      <c r="AF122" s="808"/>
      <c r="AG122" s="1151"/>
      <c r="AH122" s="1895"/>
      <c r="AI122" s="187"/>
      <c r="AJ122" s="4993"/>
      <c r="AK122" s="3340"/>
      <c r="AL122" s="3340"/>
      <c r="AM122" s="3340"/>
      <c r="AN122" s="3340"/>
      <c r="AO122" s="3340"/>
      <c r="AP122" s="2162"/>
      <c r="AQ122" s="260"/>
      <c r="AR122" s="260"/>
      <c r="AS122" s="260"/>
      <c r="AX122" s="2114"/>
      <c r="AY122" s="2114"/>
      <c r="AZ122" s="2114"/>
      <c r="BA122" s="2114"/>
      <c r="BB122" s="2114"/>
      <c r="BC122" s="2114"/>
      <c r="BD122" s="2114"/>
      <c r="BG122" s="2396"/>
      <c r="BH122" s="2038"/>
      <c r="BI122" s="2038"/>
      <c r="BJ122" s="2038"/>
      <c r="BK122" s="2038"/>
      <c r="BL122" s="2038"/>
      <c r="BM122" s="2038"/>
      <c r="BN122" s="2038"/>
      <c r="BO122" s="2038"/>
      <c r="BP122" s="2038"/>
    </row>
    <row r="123" spans="1:69" ht="13.5" customHeight="1">
      <c r="A123" s="2162"/>
      <c r="B123" s="7328"/>
      <c r="C123" s="7328"/>
      <c r="D123" s="2112" t="s">
        <v>2801</v>
      </c>
      <c r="E123" s="808"/>
      <c r="F123" s="808"/>
      <c r="G123" s="808"/>
      <c r="H123" s="808"/>
      <c r="I123" s="808"/>
      <c r="J123" s="808"/>
      <c r="K123" s="808"/>
      <c r="L123" s="808"/>
      <c r="M123" s="808"/>
      <c r="N123" s="808"/>
      <c r="O123" s="808"/>
      <c r="P123" s="808"/>
      <c r="Q123" s="808"/>
      <c r="R123" s="808"/>
      <c r="S123" s="808"/>
      <c r="T123" s="808"/>
      <c r="U123" s="808"/>
      <c r="V123" s="808"/>
      <c r="W123" s="808"/>
      <c r="X123" s="808"/>
      <c r="Y123" s="808"/>
      <c r="Z123" s="808"/>
      <c r="AA123" s="808"/>
      <c r="AB123" s="808"/>
      <c r="AC123" s="808"/>
      <c r="AD123" s="808"/>
      <c r="AE123" s="808"/>
      <c r="AF123" s="808"/>
      <c r="AG123" s="2760" t="s">
        <v>2170</v>
      </c>
      <c r="AH123" s="7420">
        <v>41</v>
      </c>
      <c r="AI123" s="7421"/>
      <c r="AJ123" s="6353">
        <f>IF(AR123&lt;&gt;"",ROUND(AR123,0),IF(SchE3_Completed,SUM(SchE3_Line26,SchE3_Line32,SchE3_Line37,SchE3_Line39,ROUND(SchE3_Line40,0)),0))</f>
        <v>0</v>
      </c>
      <c r="AK123" s="6354"/>
      <c r="AL123" s="6354"/>
      <c r="AM123" s="6354"/>
      <c r="AN123" s="6354"/>
      <c r="AO123" s="6354"/>
      <c r="AP123" s="2162"/>
      <c r="AQ123" s="260"/>
      <c r="AR123" s="2492"/>
      <c r="AS123" s="260"/>
      <c r="AV123" s="39" t="b">
        <f>OR(SchE3_Line26&lt;&gt;0,SchE3_Line32&lt;&gt;0,SchE3_Line37&lt;&gt;0,SchE3_Line39&lt;&gt;0,SchE3_Line40&lt;&gt;0)</f>
        <v>0</v>
      </c>
      <c r="AX123" s="2114"/>
      <c r="AY123" s="2114"/>
      <c r="AZ123" s="2114"/>
      <c r="BA123" s="2114"/>
      <c r="BB123" s="2114"/>
      <c r="BC123" s="2114"/>
      <c r="BD123" s="2114"/>
      <c r="BG123" s="2396"/>
      <c r="BH123" s="2038"/>
      <c r="BI123" s="2038"/>
      <c r="BJ123" s="2038"/>
      <c r="BK123" s="2038"/>
      <c r="BL123" s="2038"/>
      <c r="BM123" s="2038"/>
      <c r="BN123" s="2038"/>
      <c r="BO123" s="2038"/>
      <c r="BP123" s="2038"/>
    </row>
    <row r="124" spans="1:69" ht="12.75" customHeight="1">
      <c r="A124" s="2162"/>
      <c r="B124" s="7328">
        <v>42</v>
      </c>
      <c r="C124" s="7328"/>
      <c r="D124" s="1108" t="s">
        <v>2785</v>
      </c>
      <c r="E124" s="808"/>
      <c r="F124" s="808"/>
      <c r="G124" s="808"/>
      <c r="H124" s="808"/>
      <c r="I124" s="808"/>
      <c r="J124" s="808"/>
      <c r="K124" s="808"/>
      <c r="L124" s="808"/>
      <c r="M124" s="808"/>
      <c r="N124" s="808"/>
      <c r="O124" s="808"/>
      <c r="P124" s="808"/>
      <c r="Q124" s="808"/>
      <c r="R124" s="808"/>
      <c r="S124" s="808"/>
      <c r="T124" s="808"/>
      <c r="U124" s="808"/>
      <c r="V124" s="808"/>
      <c r="W124" s="808"/>
      <c r="X124" s="808"/>
      <c r="Y124" s="1377"/>
      <c r="Z124" s="2123"/>
      <c r="AA124" s="2123"/>
      <c r="AB124" s="2123"/>
      <c r="AC124" s="2123"/>
      <c r="AD124" s="2123"/>
      <c r="AE124" s="2123"/>
      <c r="AF124" s="2123"/>
      <c r="AG124" s="1378"/>
      <c r="AH124" s="1130"/>
      <c r="AI124" s="1130"/>
      <c r="AJ124" s="1130"/>
      <c r="AK124" s="1130"/>
      <c r="AL124" s="1130"/>
      <c r="AM124" s="1130"/>
      <c r="AN124" s="1130"/>
      <c r="AO124" s="1130"/>
      <c r="AP124" s="2162"/>
      <c r="AQ124" s="260"/>
      <c r="AR124" s="260"/>
      <c r="AS124" s="260"/>
      <c r="AV124" s="2502">
        <f>IF(SchE3_Completed,SchE3_Line41,SchE3_Line26)</f>
        <v>0</v>
      </c>
      <c r="BG124" s="2396"/>
      <c r="BH124" s="2038"/>
      <c r="BI124" s="2038"/>
      <c r="BJ124" s="2038"/>
      <c r="BK124" s="2038"/>
      <c r="BL124" s="2038"/>
      <c r="BM124" s="2038"/>
      <c r="BN124" s="2038"/>
      <c r="BO124" s="2038"/>
      <c r="BP124" s="2038"/>
    </row>
    <row r="125" spans="1:69" ht="12.75" customHeight="1">
      <c r="A125" s="2162"/>
      <c r="B125" s="2177"/>
      <c r="C125" s="808"/>
      <c r="D125" s="2112" t="s">
        <v>2786</v>
      </c>
      <c r="E125" s="808"/>
      <c r="F125" s="808"/>
      <c r="G125" s="808"/>
      <c r="H125" s="808"/>
      <c r="I125" s="808"/>
      <c r="J125" s="808"/>
      <c r="K125" s="808"/>
      <c r="L125" s="808"/>
      <c r="M125" s="808"/>
      <c r="N125" s="808"/>
      <c r="O125" s="808"/>
      <c r="P125" s="808"/>
      <c r="Q125" s="808"/>
      <c r="R125" s="808"/>
      <c r="S125" s="808"/>
      <c r="T125" s="808"/>
      <c r="U125" s="808"/>
      <c r="V125" s="808"/>
      <c r="W125" s="808"/>
      <c r="X125" s="808"/>
      <c r="Y125" s="1379"/>
      <c r="Z125" s="1130"/>
      <c r="AA125" s="1130"/>
      <c r="AB125" s="1130"/>
      <c r="AC125" s="1130"/>
      <c r="AD125" s="1130"/>
      <c r="AE125" s="1130"/>
      <c r="AF125" s="1130"/>
      <c r="AG125" s="1380"/>
      <c r="AH125" s="1130"/>
      <c r="AI125" s="1130"/>
      <c r="AJ125" s="1130"/>
      <c r="AK125" s="1130"/>
      <c r="AL125" s="1130"/>
      <c r="AM125" s="1130"/>
      <c r="AN125" s="1130"/>
      <c r="AO125" s="1130"/>
      <c r="AP125" s="2162"/>
      <c r="BG125" s="2396"/>
      <c r="BH125" s="2038"/>
      <c r="BI125" s="2038"/>
      <c r="BJ125" s="2038"/>
      <c r="BK125" s="2038"/>
      <c r="BL125" s="2038"/>
      <c r="BM125" s="2038"/>
      <c r="BN125" s="2038"/>
      <c r="BO125" s="2038"/>
      <c r="BP125" s="2038"/>
    </row>
    <row r="126" spans="1:69" ht="12.75" customHeight="1">
      <c r="A126" s="2162"/>
      <c r="B126" s="2177"/>
      <c r="C126" s="808"/>
      <c r="D126" s="2112" t="s">
        <v>2787</v>
      </c>
      <c r="E126" s="808"/>
      <c r="F126" s="808"/>
      <c r="G126" s="808"/>
      <c r="H126" s="808"/>
      <c r="I126" s="808"/>
      <c r="J126" s="808"/>
      <c r="K126" s="808"/>
      <c r="L126" s="808"/>
      <c r="M126" s="808"/>
      <c r="N126" s="808"/>
      <c r="O126" s="808"/>
      <c r="P126" s="808"/>
      <c r="Q126" s="808"/>
      <c r="R126" s="808"/>
      <c r="S126" s="808"/>
      <c r="T126" s="808"/>
      <c r="U126" s="808"/>
      <c r="V126" s="808"/>
      <c r="W126" s="808"/>
      <c r="X126" s="808"/>
      <c r="Y126" s="1379"/>
      <c r="Z126" s="1130"/>
      <c r="AA126" s="1130"/>
      <c r="AB126" s="1130"/>
      <c r="AC126" s="1130"/>
      <c r="AD126" s="1130"/>
      <c r="AE126" s="1130"/>
      <c r="AF126" s="1130"/>
      <c r="AG126" s="1380"/>
      <c r="AH126" s="1130"/>
      <c r="AI126" s="1130"/>
      <c r="AJ126" s="1130"/>
      <c r="AK126" s="1130"/>
      <c r="AL126" s="1130"/>
      <c r="AM126" s="1130"/>
      <c r="AN126" s="1130"/>
      <c r="AO126" s="1130"/>
      <c r="AP126" s="2162"/>
      <c r="BG126" s="2396"/>
      <c r="BH126" s="2038"/>
      <c r="BI126" s="2038"/>
      <c r="BJ126" s="2038"/>
      <c r="BK126" s="2038"/>
      <c r="BL126" s="2038"/>
      <c r="BM126" s="2038"/>
      <c r="BN126" s="2038"/>
      <c r="BO126" s="2038"/>
      <c r="BP126" s="2038"/>
    </row>
    <row r="127" spans="1:69" ht="13.5" customHeight="1">
      <c r="A127" s="2162"/>
      <c r="B127" s="2177"/>
      <c r="C127" s="808"/>
      <c r="D127" s="2112" t="s">
        <v>2788</v>
      </c>
      <c r="E127" s="808"/>
      <c r="F127" s="808"/>
      <c r="G127" s="808"/>
      <c r="H127" s="808"/>
      <c r="I127" s="808"/>
      <c r="J127" s="808"/>
      <c r="K127" s="808"/>
      <c r="L127" s="808"/>
      <c r="M127" s="808"/>
      <c r="N127" s="808"/>
      <c r="O127" s="808"/>
      <c r="P127" s="808"/>
      <c r="Q127" s="808"/>
      <c r="R127" s="808"/>
      <c r="S127" s="808"/>
      <c r="T127" s="808"/>
      <c r="U127" s="808"/>
      <c r="V127" s="808"/>
      <c r="W127" s="808"/>
      <c r="X127" s="1128" t="s">
        <v>1026</v>
      </c>
      <c r="Y127" s="7599">
        <v>42</v>
      </c>
      <c r="Z127" s="7600"/>
      <c r="AA127" s="7601"/>
      <c r="AB127" s="7602"/>
      <c r="AC127" s="7602"/>
      <c r="AD127" s="7602"/>
      <c r="AE127" s="7602"/>
      <c r="AF127" s="7602"/>
      <c r="AG127" s="7602"/>
      <c r="AH127" s="1130"/>
      <c r="AI127" s="1130"/>
      <c r="AJ127" s="1130"/>
      <c r="AK127" s="1130"/>
      <c r="AL127" s="1130"/>
      <c r="AM127" s="1130"/>
      <c r="AN127" s="1130"/>
      <c r="AO127" s="1130"/>
      <c r="AP127" s="2162"/>
      <c r="BG127" s="2396"/>
      <c r="BH127" s="2038"/>
      <c r="BI127" s="2038"/>
      <c r="BJ127" s="2038"/>
      <c r="BK127" s="2038"/>
      <c r="BL127" s="2038"/>
      <c r="BM127" s="2038"/>
      <c r="BN127" s="2038"/>
      <c r="BO127" s="2038"/>
      <c r="BP127" s="2038"/>
    </row>
    <row r="128" spans="1:69" ht="12.75" customHeight="1">
      <c r="A128" s="2162"/>
      <c r="B128" s="7328">
        <v>43</v>
      </c>
      <c r="C128" s="7328"/>
      <c r="D128" s="2112" t="s">
        <v>2790</v>
      </c>
      <c r="E128" s="808"/>
      <c r="F128" s="808"/>
      <c r="G128" s="808"/>
      <c r="H128" s="808"/>
      <c r="I128" s="808"/>
      <c r="J128" s="808"/>
      <c r="K128" s="808"/>
      <c r="L128" s="808"/>
      <c r="M128" s="808"/>
      <c r="N128" s="808"/>
      <c r="O128" s="808"/>
      <c r="P128" s="808"/>
      <c r="Q128" s="808"/>
      <c r="R128" s="808"/>
      <c r="S128" s="808"/>
      <c r="T128" s="808"/>
      <c r="U128" s="808"/>
      <c r="V128" s="808"/>
      <c r="W128" s="808"/>
      <c r="X128" s="808"/>
      <c r="Y128" s="1377"/>
      <c r="Z128" s="2123"/>
      <c r="AA128" s="2123"/>
      <c r="AB128" s="2123"/>
      <c r="AC128" s="2123"/>
      <c r="AD128" s="2123"/>
      <c r="AE128" s="2123"/>
      <c r="AF128" s="2123"/>
      <c r="AG128" s="1378"/>
      <c r="AH128" s="1130"/>
      <c r="AI128" s="1130"/>
      <c r="AJ128" s="1130"/>
      <c r="AK128" s="1130"/>
      <c r="AL128" s="1130"/>
      <c r="AM128" s="1130"/>
      <c r="AN128" s="1130"/>
      <c r="AO128" s="1130"/>
      <c r="AP128" s="2162"/>
      <c r="BG128" s="2396"/>
      <c r="BH128" s="2038"/>
      <c r="BI128" s="2038"/>
      <c r="BJ128" s="2038"/>
      <c r="BK128" s="2038"/>
      <c r="BL128" s="2038"/>
      <c r="BM128" s="2038"/>
      <c r="BN128" s="2038"/>
      <c r="BO128" s="2038"/>
      <c r="BP128" s="2038"/>
    </row>
    <row r="129" spans="1:69" ht="12.75" customHeight="1">
      <c r="A129" s="2162"/>
      <c r="B129" s="2177"/>
      <c r="C129" s="808"/>
      <c r="D129" s="2447" t="s">
        <v>2791</v>
      </c>
      <c r="E129" s="808"/>
      <c r="F129" s="808"/>
      <c r="G129" s="808"/>
      <c r="H129" s="808"/>
      <c r="I129" s="808"/>
      <c r="J129" s="808"/>
      <c r="K129" s="808"/>
      <c r="L129" s="808"/>
      <c r="M129" s="808"/>
      <c r="N129" s="808"/>
      <c r="O129" s="808"/>
      <c r="P129" s="808"/>
      <c r="Q129" s="808"/>
      <c r="R129" s="808"/>
      <c r="S129" s="808"/>
      <c r="T129" s="808"/>
      <c r="U129" s="808"/>
      <c r="V129" s="808"/>
      <c r="W129" s="808"/>
      <c r="X129" s="808"/>
      <c r="Y129" s="1379"/>
      <c r="Z129" s="1130"/>
      <c r="AA129" s="1130"/>
      <c r="AB129" s="1130"/>
      <c r="AC129" s="1130"/>
      <c r="AD129" s="1130"/>
      <c r="AE129" s="1130"/>
      <c r="AF129" s="1130"/>
      <c r="AG129" s="1380"/>
      <c r="AH129" s="1130"/>
      <c r="AI129" s="1130"/>
      <c r="AJ129" s="1130"/>
      <c r="AK129" s="1130"/>
      <c r="AL129" s="1130"/>
      <c r="AM129" s="1130"/>
      <c r="AN129" s="1130"/>
      <c r="AO129" s="1130"/>
      <c r="AP129" s="2162"/>
      <c r="BG129" s="2396"/>
      <c r="BH129" s="2038"/>
      <c r="BI129" s="2038"/>
      <c r="BJ129" s="2038"/>
      <c r="BK129" s="2038"/>
      <c r="BL129" s="2038"/>
      <c r="BM129" s="2038"/>
      <c r="BN129" s="2038"/>
      <c r="BO129" s="2038"/>
      <c r="BP129" s="2038"/>
    </row>
    <row r="130" spans="1:69" ht="12.75" customHeight="1">
      <c r="A130" s="2162"/>
      <c r="B130" s="2177"/>
      <c r="C130" s="808"/>
      <c r="D130" s="2447" t="s">
        <v>2792</v>
      </c>
      <c r="E130" s="808"/>
      <c r="F130" s="808"/>
      <c r="G130" s="808"/>
      <c r="H130" s="808"/>
      <c r="I130" s="808"/>
      <c r="J130" s="808"/>
      <c r="K130" s="808"/>
      <c r="L130" s="808"/>
      <c r="M130" s="808"/>
      <c r="N130" s="808"/>
      <c r="O130" s="808"/>
      <c r="P130" s="808"/>
      <c r="Q130" s="808"/>
      <c r="R130" s="808"/>
      <c r="S130" s="808"/>
      <c r="T130" s="808"/>
      <c r="U130" s="808"/>
      <c r="V130" s="808"/>
      <c r="W130" s="808"/>
      <c r="X130" s="808"/>
      <c r="Y130" s="1379"/>
      <c r="Z130" s="1130"/>
      <c r="AA130" s="1130"/>
      <c r="AB130" s="1130"/>
      <c r="AC130" s="1130"/>
      <c r="AD130" s="1130"/>
      <c r="AE130" s="1130"/>
      <c r="AF130" s="1130"/>
      <c r="AG130" s="1380"/>
      <c r="AH130" s="1130"/>
      <c r="AI130" s="1130"/>
      <c r="AJ130" s="1130"/>
      <c r="AK130" s="1130"/>
      <c r="AL130" s="1130"/>
      <c r="AM130" s="1130"/>
      <c r="AN130" s="1130"/>
      <c r="AO130" s="1130"/>
      <c r="AP130" s="2162"/>
      <c r="BG130" s="2396"/>
      <c r="BH130" s="2038"/>
      <c r="BI130" s="2038"/>
      <c r="BJ130" s="2038"/>
      <c r="BK130" s="2038"/>
      <c r="BL130" s="2038"/>
      <c r="BM130" s="2038"/>
      <c r="BN130" s="2038"/>
      <c r="BO130" s="2038"/>
      <c r="BP130" s="2038"/>
    </row>
    <row r="131" spans="1:69" ht="12.75" customHeight="1">
      <c r="A131" s="2162"/>
      <c r="B131" s="2177"/>
      <c r="C131" s="808"/>
      <c r="D131" s="2112" t="s">
        <v>2793</v>
      </c>
      <c r="E131" s="808"/>
      <c r="F131" s="808"/>
      <c r="G131" s="808"/>
      <c r="H131" s="808"/>
      <c r="I131" s="808"/>
      <c r="J131" s="808"/>
      <c r="K131" s="808"/>
      <c r="L131" s="808"/>
      <c r="M131" s="808"/>
      <c r="N131" s="808"/>
      <c r="O131" s="808"/>
      <c r="P131" s="808"/>
      <c r="Q131" s="808"/>
      <c r="R131" s="808"/>
      <c r="S131" s="808"/>
      <c r="T131" s="808"/>
      <c r="U131" s="808"/>
      <c r="V131" s="808"/>
      <c r="W131" s="808"/>
      <c r="X131" s="808"/>
      <c r="Y131" s="1379"/>
      <c r="Z131" s="1130"/>
      <c r="AA131" s="1130"/>
      <c r="AB131" s="1130"/>
      <c r="AC131" s="1130"/>
      <c r="AD131" s="1130"/>
      <c r="AE131" s="1130"/>
      <c r="AF131" s="1130"/>
      <c r="AG131" s="1380"/>
      <c r="AH131" s="1130"/>
      <c r="AI131" s="1130"/>
      <c r="AJ131" s="1130"/>
      <c r="AK131" s="1130"/>
      <c r="AL131" s="1130"/>
      <c r="AM131" s="1130"/>
      <c r="AN131" s="1130"/>
      <c r="AO131" s="1130"/>
      <c r="AP131" s="2162"/>
      <c r="BG131" s="2396"/>
      <c r="BH131" s="2038"/>
      <c r="BI131" s="2038"/>
      <c r="BJ131" s="2038"/>
      <c r="BK131" s="2038"/>
      <c r="BL131" s="2038"/>
      <c r="BM131" s="2038"/>
      <c r="BN131" s="2038"/>
      <c r="BO131" s="2038"/>
      <c r="BP131" s="2038"/>
    </row>
    <row r="132" spans="1:69" ht="13.5" customHeight="1" thickBot="1">
      <c r="A132" s="2162"/>
      <c r="B132" s="4710"/>
      <c r="C132" s="896"/>
      <c r="D132" s="2122" t="s">
        <v>2794</v>
      </c>
      <c r="E132" s="896"/>
      <c r="F132" s="896"/>
      <c r="G132" s="896"/>
      <c r="H132" s="896"/>
      <c r="I132" s="896"/>
      <c r="J132" s="896"/>
      <c r="K132" s="896"/>
      <c r="L132" s="896"/>
      <c r="M132" s="896"/>
      <c r="N132" s="896"/>
      <c r="O132" s="896"/>
      <c r="P132" s="896"/>
      <c r="Q132" s="896"/>
      <c r="R132" s="896"/>
      <c r="S132" s="896"/>
      <c r="T132" s="896"/>
      <c r="U132" s="896"/>
      <c r="V132" s="896"/>
      <c r="W132" s="896"/>
      <c r="X132" s="2629" t="s">
        <v>950</v>
      </c>
      <c r="Y132" s="7603">
        <v>43</v>
      </c>
      <c r="Z132" s="7604"/>
      <c r="AA132" s="7605"/>
      <c r="AB132" s="7606"/>
      <c r="AC132" s="7606"/>
      <c r="AD132" s="7606"/>
      <c r="AE132" s="7606"/>
      <c r="AF132" s="7606"/>
      <c r="AG132" s="7606"/>
      <c r="AH132" s="2482"/>
      <c r="AI132" s="2482"/>
      <c r="AJ132" s="2482"/>
      <c r="AK132" s="2482"/>
      <c r="AL132" s="2482"/>
      <c r="AM132" s="2482"/>
      <c r="AN132" s="2482"/>
      <c r="AO132" s="2482"/>
      <c r="AP132" s="2162"/>
      <c r="BG132" s="2396"/>
      <c r="BH132" s="2038"/>
      <c r="BI132" s="2038"/>
      <c r="BJ132" s="2038"/>
      <c r="BK132" s="2038"/>
      <c r="BL132" s="2038"/>
      <c r="BM132" s="2038"/>
      <c r="BN132" s="2038"/>
      <c r="BO132" s="2038"/>
      <c r="BP132" s="2038"/>
    </row>
    <row r="133" spans="1:69" ht="12.75" customHeight="1">
      <c r="A133" s="2162"/>
      <c r="B133" s="2177"/>
      <c r="C133" s="808"/>
      <c r="D133" s="808"/>
      <c r="E133" s="808"/>
      <c r="F133" s="808"/>
      <c r="G133" s="808"/>
      <c r="H133" s="808"/>
      <c r="I133" s="808"/>
      <c r="J133" s="808"/>
      <c r="K133" s="808"/>
      <c r="L133" s="808"/>
      <c r="M133" s="808"/>
      <c r="N133" s="808"/>
      <c r="O133" s="808"/>
      <c r="P133" s="808"/>
      <c r="Q133" s="808"/>
      <c r="R133" s="808"/>
      <c r="S133" s="808"/>
      <c r="T133" s="808"/>
      <c r="U133" s="808"/>
      <c r="V133" s="808"/>
      <c r="W133" s="808"/>
      <c r="X133" s="808"/>
      <c r="Y133" s="808"/>
      <c r="Z133" s="808"/>
      <c r="AA133" s="808"/>
      <c r="AB133" s="808"/>
      <c r="AC133" s="808"/>
      <c r="AD133" s="808"/>
      <c r="AE133" s="808"/>
      <c r="AF133" s="808"/>
      <c r="AG133" s="808"/>
      <c r="AH133" s="808"/>
      <c r="AI133" s="808"/>
      <c r="AJ133" s="808"/>
      <c r="AK133" s="808"/>
      <c r="AL133" s="808"/>
      <c r="AM133" s="808"/>
      <c r="AN133" s="808"/>
      <c r="AO133" s="2468" t="str">
        <f>"Schedule E (Form 1040) "&amp;TaxYear</f>
        <v>Schedule E (Form 1040) 2023</v>
      </c>
      <c r="AP133" s="2162"/>
      <c r="BG133" s="2396"/>
      <c r="BH133" s="2038"/>
      <c r="BI133" s="2038"/>
      <c r="BJ133" s="2038"/>
      <c r="BK133" s="2038"/>
      <c r="BL133" s="2038"/>
      <c r="BM133" s="2038"/>
      <c r="BN133" s="2038"/>
      <c r="BO133" s="2038"/>
      <c r="BP133" s="2038"/>
    </row>
    <row r="134" spans="1:69" ht="18" customHeight="1">
      <c r="A134" s="2162"/>
      <c r="B134" s="7584" t="s">
        <v>2659</v>
      </c>
      <c r="C134" s="7585"/>
      <c r="D134" s="7585"/>
      <c r="E134" s="7585"/>
      <c r="F134" s="7585"/>
      <c r="G134" s="7586"/>
      <c r="H134" s="2432"/>
      <c r="I134" s="808"/>
      <c r="J134" s="808"/>
      <c r="K134" s="808"/>
      <c r="L134" s="808"/>
      <c r="M134" s="2434"/>
      <c r="N134" s="808"/>
      <c r="O134" s="808"/>
      <c r="P134" s="808"/>
      <c r="Q134" s="808"/>
      <c r="R134" s="808"/>
      <c r="S134" s="808"/>
      <c r="T134" s="808"/>
      <c r="U134" s="808"/>
      <c r="V134" s="808"/>
      <c r="W134" s="808"/>
      <c r="X134" s="808"/>
      <c r="Y134" s="808"/>
      <c r="Z134" s="808"/>
      <c r="AA134" s="808"/>
      <c r="AB134" s="808"/>
      <c r="AC134" s="808"/>
      <c r="AD134" s="808"/>
      <c r="AE134" s="808"/>
      <c r="AF134" s="808"/>
      <c r="AG134" s="808"/>
      <c r="AH134" s="808"/>
      <c r="AI134" s="7540" t="s">
        <v>576</v>
      </c>
      <c r="AJ134" s="7541"/>
      <c r="AK134" s="7541"/>
      <c r="AL134" s="7541"/>
      <c r="AM134" s="7541"/>
      <c r="AN134" s="7541"/>
      <c r="AO134" s="7541"/>
      <c r="AP134" s="2162"/>
      <c r="BG134" s="2552" t="s">
        <v>319</v>
      </c>
      <c r="BH134" s="2038"/>
      <c r="BI134" s="2038"/>
      <c r="BJ134" s="2038"/>
      <c r="BK134" s="2038"/>
      <c r="BL134" s="2038"/>
      <c r="BM134" s="2038"/>
      <c r="BN134" s="2038"/>
      <c r="BO134" s="2038"/>
      <c r="BP134" s="2038"/>
    </row>
    <row r="135" spans="1:69" ht="30" customHeight="1">
      <c r="A135" s="2162"/>
      <c r="B135" s="7544" t="s">
        <v>2088</v>
      </c>
      <c r="C135" s="7545"/>
      <c r="D135" s="7545"/>
      <c r="E135" s="7545"/>
      <c r="F135" s="7545"/>
      <c r="G135" s="7546"/>
      <c r="H135" s="3931" t="s">
        <v>2660</v>
      </c>
      <c r="I135" s="2470"/>
      <c r="J135" s="2470"/>
      <c r="K135" s="2470"/>
      <c r="L135" s="2470"/>
      <c r="M135" s="2470"/>
      <c r="N135" s="2470"/>
      <c r="O135" s="2470"/>
      <c r="P135" s="2470"/>
      <c r="Q135" s="2470"/>
      <c r="R135" s="2470"/>
      <c r="S135" s="2470"/>
      <c r="T135" s="2470"/>
      <c r="U135" s="2470"/>
      <c r="V135" s="2470"/>
      <c r="W135" s="2470"/>
      <c r="X135" s="2470"/>
      <c r="Y135" s="2470"/>
      <c r="Z135" s="2470"/>
      <c r="AA135" s="2470"/>
      <c r="AB135" s="2470"/>
      <c r="AC135" s="2470"/>
      <c r="AD135" s="2470"/>
      <c r="AE135" s="2470"/>
      <c r="AF135" s="2470"/>
      <c r="AG135" s="2470"/>
      <c r="AH135" s="2471"/>
      <c r="AI135" s="7549">
        <f>TaxYear</f>
        <v>2023</v>
      </c>
      <c r="AJ135" s="7550"/>
      <c r="AK135" s="7550"/>
      <c r="AL135" s="7550"/>
      <c r="AM135" s="7550"/>
      <c r="AN135" s="7550"/>
      <c r="AO135" s="7550"/>
      <c r="AP135" s="2162"/>
      <c r="BG135" s="2396"/>
      <c r="BH135" s="2038"/>
      <c r="BI135" s="2038"/>
      <c r="BJ135" s="2038"/>
      <c r="BK135" s="2038"/>
      <c r="BL135" s="2038"/>
      <c r="BM135" s="2038"/>
      <c r="BN135" s="2038"/>
      <c r="BO135" s="2038"/>
      <c r="BP135" s="2038"/>
    </row>
    <row r="136" spans="1:69">
      <c r="A136" s="2162"/>
      <c r="B136" s="6763" t="s">
        <v>2661</v>
      </c>
      <c r="C136" s="6919"/>
      <c r="D136" s="6919"/>
      <c r="E136" s="6919"/>
      <c r="F136" s="6919"/>
      <c r="G136" s="7542"/>
      <c r="H136" s="2485" t="str">
        <f>"(From rental real estate, royalties, partnerships, S corporations, estates, trusts, REMICs, etc.)"</f>
        <v>(From rental real estate, royalties, partnerships, S corporations, estates, trusts, REMICs, etc.)</v>
      </c>
      <c r="I136" s="1364"/>
      <c r="J136" s="1364"/>
      <c r="K136" s="1364"/>
      <c r="L136" s="1364"/>
      <c r="M136" s="1364"/>
      <c r="N136" s="1364"/>
      <c r="O136" s="1364"/>
      <c r="P136" s="1364"/>
      <c r="Q136" s="1364"/>
      <c r="R136" s="1364"/>
      <c r="S136" s="1364"/>
      <c r="T136" s="2469"/>
      <c r="U136" s="1364"/>
      <c r="V136" s="1364"/>
      <c r="W136" s="1364"/>
      <c r="X136" s="1364"/>
      <c r="Y136" s="1364"/>
      <c r="Z136" s="1364"/>
      <c r="AA136" s="1364"/>
      <c r="AB136" s="1364"/>
      <c r="AC136" s="1364"/>
      <c r="AD136" s="1364"/>
      <c r="AE136" s="1364"/>
      <c r="AF136" s="1364"/>
      <c r="AG136" s="1364"/>
      <c r="AH136" s="1364"/>
      <c r="AI136" s="7551"/>
      <c r="AJ136" s="7552"/>
      <c r="AK136" s="7552"/>
      <c r="AL136" s="7552"/>
      <c r="AM136" s="7552"/>
      <c r="AN136" s="7552"/>
      <c r="AO136" s="7552"/>
      <c r="AP136" s="2162"/>
      <c r="BG136" s="2396"/>
      <c r="BH136" s="2038"/>
      <c r="BI136" s="2038"/>
      <c r="BJ136" s="2038"/>
      <c r="BK136" s="2038"/>
      <c r="BL136" s="2038"/>
      <c r="BM136" s="2038"/>
      <c r="BN136" s="2038"/>
      <c r="BO136" s="2038"/>
      <c r="BP136" s="2038"/>
    </row>
    <row r="137" spans="1:69">
      <c r="A137" s="2162"/>
      <c r="B137" s="6763"/>
      <c r="C137" s="6919"/>
      <c r="D137" s="6919"/>
      <c r="E137" s="6919"/>
      <c r="F137" s="6919"/>
      <c r="G137" s="7542"/>
      <c r="H137" s="894"/>
      <c r="I137" s="808"/>
      <c r="J137" s="808"/>
      <c r="K137" s="808"/>
      <c r="L137" s="808"/>
      <c r="M137" s="808"/>
      <c r="N137" s="808"/>
      <c r="O137" s="808"/>
      <c r="P137" s="808"/>
      <c r="Q137" s="808"/>
      <c r="R137" s="808"/>
      <c r="S137" s="808"/>
      <c r="T137" s="1040" t="s">
        <v>2662</v>
      </c>
      <c r="U137" s="808"/>
      <c r="V137" s="808"/>
      <c r="W137" s="808"/>
      <c r="X137" s="808"/>
      <c r="Y137" s="808"/>
      <c r="Z137" s="808"/>
      <c r="AA137" s="808"/>
      <c r="AB137" s="808"/>
      <c r="AC137" s="808"/>
      <c r="AD137" s="808"/>
      <c r="AE137" s="808"/>
      <c r="AF137" s="808"/>
      <c r="AG137" s="808"/>
      <c r="AH137" s="808"/>
      <c r="AI137" s="2483"/>
      <c r="AJ137" s="7547" t="s">
        <v>2663</v>
      </c>
      <c r="AK137" s="7324"/>
      <c r="AL137" s="7324"/>
      <c r="AM137" s="7324"/>
      <c r="AN137" s="2433"/>
      <c r="AO137" s="2433"/>
      <c r="AP137" s="2162"/>
      <c r="BG137" s="2396"/>
      <c r="BH137" s="2038"/>
      <c r="BI137" s="2038"/>
      <c r="BJ137" s="2038"/>
      <c r="BK137" s="2038"/>
      <c r="BL137" s="2038"/>
      <c r="BM137" s="2038"/>
      <c r="BN137" s="2038"/>
      <c r="BO137" s="2038"/>
      <c r="BP137" s="2038"/>
    </row>
    <row r="138" spans="1:69" ht="14.25" customHeight="1" thickBot="1">
      <c r="A138" s="2162"/>
      <c r="B138" s="6920"/>
      <c r="C138" s="6920"/>
      <c r="D138" s="6920"/>
      <c r="E138" s="6920"/>
      <c r="F138" s="6920"/>
      <c r="G138" s="7543"/>
      <c r="H138" s="2435" t="s">
        <v>2664</v>
      </c>
      <c r="I138" s="2399"/>
      <c r="J138" s="2399"/>
      <c r="K138" s="2399"/>
      <c r="L138" s="2399"/>
      <c r="M138" s="2399"/>
      <c r="N138" s="2399"/>
      <c r="O138" s="2399"/>
      <c r="P138" s="2399"/>
      <c r="Q138" s="2399"/>
      <c r="R138" s="2399"/>
      <c r="S138" s="2399"/>
      <c r="T138" s="2399"/>
      <c r="U138" s="2399"/>
      <c r="V138" s="2399"/>
      <c r="W138" s="2399"/>
      <c r="X138" s="2399"/>
      <c r="Y138" s="2399"/>
      <c r="Z138" s="2399"/>
      <c r="AA138" s="2399"/>
      <c r="AB138" s="2399"/>
      <c r="AC138" s="2399"/>
      <c r="AD138" s="2399"/>
      <c r="AE138" s="2399"/>
      <c r="AF138" s="2399"/>
      <c r="AG138" s="2399"/>
      <c r="AH138" s="2399"/>
      <c r="AI138" s="2484"/>
      <c r="AJ138" s="7548"/>
      <c r="AK138" s="7548"/>
      <c r="AL138" s="7548"/>
      <c r="AM138" s="7548"/>
      <c r="AN138" s="7582">
        <v>13</v>
      </c>
      <c r="AO138" s="7583"/>
      <c r="AP138" s="2162"/>
      <c r="BG138" s="2396"/>
      <c r="BH138" s="2038"/>
      <c r="BI138" s="2038"/>
      <c r="BJ138" s="2038"/>
      <c r="BK138" s="2038"/>
      <c r="BL138" s="2038"/>
      <c r="BM138" s="2038"/>
      <c r="BN138" s="2038"/>
      <c r="BO138" s="2038"/>
      <c r="BP138" s="2038"/>
    </row>
    <row r="139" spans="1:69">
      <c r="A139" s="2162"/>
      <c r="B139" s="892" t="s">
        <v>2208</v>
      </c>
      <c r="C139" s="808"/>
      <c r="D139" s="808"/>
      <c r="E139" s="808"/>
      <c r="F139" s="808"/>
      <c r="G139" s="808"/>
      <c r="H139" s="808"/>
      <c r="I139" s="808"/>
      <c r="J139" s="808"/>
      <c r="K139" s="808"/>
      <c r="L139" s="808"/>
      <c r="M139" s="808"/>
      <c r="N139" s="808"/>
      <c r="O139" s="808"/>
      <c r="P139" s="808"/>
      <c r="Q139" s="808"/>
      <c r="R139" s="808"/>
      <c r="S139" s="808"/>
      <c r="T139" s="808"/>
      <c r="U139" s="808"/>
      <c r="V139" s="808"/>
      <c r="W139" s="808"/>
      <c r="X139" s="808"/>
      <c r="Y139" s="808"/>
      <c r="Z139" s="808"/>
      <c r="AA139" s="808"/>
      <c r="AB139" s="808"/>
      <c r="AC139" s="808"/>
      <c r="AD139" s="808"/>
      <c r="AE139" s="808"/>
      <c r="AF139" s="808"/>
      <c r="AG139" s="7563" t="s">
        <v>586</v>
      </c>
      <c r="AH139" s="7564"/>
      <c r="AI139" s="7564"/>
      <c r="AJ139" s="7564"/>
      <c r="AK139" s="7564"/>
      <c r="AL139" s="7564"/>
      <c r="AM139" s="7564"/>
      <c r="AN139" s="7564"/>
      <c r="AO139" s="7564"/>
      <c r="AP139" s="2162"/>
      <c r="BG139" s="2396"/>
      <c r="BH139" s="2038"/>
      <c r="BI139" s="2038"/>
      <c r="BJ139" s="2038"/>
      <c r="BK139" s="2038"/>
      <c r="BL139" s="2038"/>
      <c r="BM139" s="2038"/>
      <c r="BN139" s="2038"/>
      <c r="BO139" s="2038"/>
      <c r="BP139" s="2038"/>
    </row>
    <row r="140" spans="1:69" ht="9.75" customHeight="1">
      <c r="A140" s="2162"/>
      <c r="B140" s="6750" t="str">
        <f>Names</f>
        <v/>
      </c>
      <c r="C140" s="6751"/>
      <c r="D140" s="6751"/>
      <c r="E140" s="6751"/>
      <c r="F140" s="6751"/>
      <c r="G140" s="6751"/>
      <c r="H140" s="6751"/>
      <c r="I140" s="6751"/>
      <c r="J140" s="6751"/>
      <c r="K140" s="6751"/>
      <c r="L140" s="6751"/>
      <c r="M140" s="6751"/>
      <c r="N140" s="6751"/>
      <c r="O140" s="6751"/>
      <c r="P140" s="6751"/>
      <c r="Q140" s="6751"/>
      <c r="R140" s="6751"/>
      <c r="S140" s="6751"/>
      <c r="T140" s="6751"/>
      <c r="U140" s="6751"/>
      <c r="V140" s="6751"/>
      <c r="W140" s="6751"/>
      <c r="X140" s="6751"/>
      <c r="Y140" s="6751"/>
      <c r="Z140" s="6751"/>
      <c r="AA140" s="6751"/>
      <c r="AB140" s="6751"/>
      <c r="AC140" s="6751"/>
      <c r="AD140" s="6751"/>
      <c r="AE140" s="6751"/>
      <c r="AF140" s="6752"/>
      <c r="AG140" s="7559">
        <f>IF(NoSSN,"",SS_Yours)</f>
        <v>1010001</v>
      </c>
      <c r="AH140" s="7560"/>
      <c r="AI140" s="7560"/>
      <c r="AJ140" s="7560"/>
      <c r="AK140" s="7560"/>
      <c r="AL140" s="7560"/>
      <c r="AM140" s="7560"/>
      <c r="AN140" s="7560"/>
      <c r="AO140" s="7560"/>
      <c r="AP140" s="2162"/>
      <c r="BG140" s="2396"/>
      <c r="BH140" s="2038"/>
      <c r="BI140" s="2038"/>
      <c r="BJ140" s="2038"/>
      <c r="BK140" s="2038"/>
      <c r="BL140" s="2038"/>
      <c r="BM140" s="2038"/>
      <c r="BN140" s="2038"/>
      <c r="BO140" s="2038"/>
      <c r="BP140" s="2038"/>
    </row>
    <row r="141" spans="1:69" ht="9.75" customHeight="1">
      <c r="A141" s="2162"/>
      <c r="B141" s="6339"/>
      <c r="C141" s="6339"/>
      <c r="D141" s="6339"/>
      <c r="E141" s="6339"/>
      <c r="F141" s="6339"/>
      <c r="G141" s="6339"/>
      <c r="H141" s="6339"/>
      <c r="I141" s="6339"/>
      <c r="J141" s="6339"/>
      <c r="K141" s="6339"/>
      <c r="L141" s="6339"/>
      <c r="M141" s="6339"/>
      <c r="N141" s="6339"/>
      <c r="O141" s="6339"/>
      <c r="P141" s="6339"/>
      <c r="Q141" s="6339"/>
      <c r="R141" s="6339"/>
      <c r="S141" s="6339"/>
      <c r="T141" s="6339"/>
      <c r="U141" s="6339"/>
      <c r="V141" s="6339"/>
      <c r="W141" s="6339"/>
      <c r="X141" s="6339"/>
      <c r="Y141" s="6339"/>
      <c r="Z141" s="6339"/>
      <c r="AA141" s="6339"/>
      <c r="AB141" s="6339"/>
      <c r="AC141" s="6339"/>
      <c r="AD141" s="6339"/>
      <c r="AE141" s="6339"/>
      <c r="AF141" s="6753"/>
      <c r="AG141" s="7561"/>
      <c r="AH141" s="7562"/>
      <c r="AI141" s="7562"/>
      <c r="AJ141" s="7562"/>
      <c r="AK141" s="7562"/>
      <c r="AL141" s="7562"/>
      <c r="AM141" s="7562"/>
      <c r="AN141" s="7562"/>
      <c r="AO141" s="7562"/>
      <c r="AP141" s="2162"/>
      <c r="BG141" s="2396"/>
      <c r="BH141" s="2038"/>
      <c r="BI141" s="2038"/>
      <c r="BJ141" s="2038"/>
      <c r="BK141" s="2038"/>
      <c r="BL141" s="2038"/>
      <c r="BM141" s="2038"/>
      <c r="BN141" s="2038"/>
      <c r="BO141" s="2038"/>
      <c r="BP141" s="2038"/>
    </row>
    <row r="142" spans="1:69" s="2114" customFormat="1" ht="17.25" customHeight="1">
      <c r="A142" s="2163"/>
      <c r="B142" s="7384" t="s">
        <v>884</v>
      </c>
      <c r="C142" s="7384"/>
      <c r="D142" s="7385"/>
      <c r="E142" s="997"/>
      <c r="F142" s="4968" t="s">
        <v>2665</v>
      </c>
      <c r="G142" s="997"/>
      <c r="H142" s="997"/>
      <c r="I142" s="997"/>
      <c r="J142" s="997"/>
      <c r="K142" s="997"/>
      <c r="L142" s="997"/>
      <c r="M142" s="997"/>
      <c r="N142" s="997"/>
      <c r="O142" s="997"/>
      <c r="P142" s="997"/>
      <c r="Q142" s="997"/>
      <c r="R142" s="997"/>
      <c r="S142" s="997"/>
      <c r="T142" s="997"/>
      <c r="U142" s="997"/>
      <c r="V142" s="997"/>
      <c r="W142" s="997"/>
      <c r="X142" s="2440"/>
      <c r="Y142" s="997"/>
      <c r="Z142" s="997"/>
      <c r="AA142" s="997"/>
      <c r="AB142" s="997"/>
      <c r="AC142" s="997"/>
      <c r="AD142" s="997"/>
      <c r="AE142" s="997"/>
      <c r="AF142" s="997"/>
      <c r="AG142" s="997"/>
      <c r="AH142" s="997"/>
      <c r="AI142" s="997"/>
      <c r="AJ142" s="997"/>
      <c r="AK142" s="997"/>
      <c r="AL142" s="997"/>
      <c r="AM142" s="997"/>
      <c r="AN142" s="997"/>
      <c r="AO142" s="997"/>
      <c r="AP142" s="2162"/>
      <c r="BG142" s="2396"/>
      <c r="BH142" s="2038"/>
      <c r="BI142" s="2038"/>
      <c r="BJ142" s="2038"/>
      <c r="BK142" s="2038"/>
      <c r="BL142" s="2038"/>
      <c r="BM142" s="2038"/>
      <c r="BN142" s="2038"/>
      <c r="BO142" s="2038"/>
      <c r="BP142" s="2038"/>
      <c r="BQ142" s="2690"/>
    </row>
    <row r="143" spans="1:69" ht="15.75">
      <c r="A143" s="2162"/>
      <c r="B143" s="4966"/>
      <c r="C143" s="4966"/>
      <c r="D143" s="4962"/>
      <c r="E143" s="1329"/>
      <c r="F143" s="2112" t="s">
        <v>2666</v>
      </c>
      <c r="G143" s="1823"/>
      <c r="H143" s="1823"/>
      <c r="I143" s="1823"/>
      <c r="J143" s="1823"/>
      <c r="K143" s="1823"/>
      <c r="L143" s="1823"/>
      <c r="M143" s="1329"/>
      <c r="N143" s="1823"/>
      <c r="O143" s="1823"/>
      <c r="P143" s="1823"/>
      <c r="Q143" s="1823"/>
      <c r="R143" s="1823"/>
      <c r="S143" s="1823"/>
      <c r="T143" s="1823"/>
      <c r="U143" s="1823"/>
      <c r="V143" s="1823"/>
      <c r="W143" s="1823"/>
      <c r="X143" s="1823"/>
      <c r="Y143" s="1823"/>
      <c r="Z143" s="1823"/>
      <c r="AA143" s="1823"/>
      <c r="AB143" s="1823"/>
      <c r="AC143" s="1823"/>
      <c r="AD143" s="1329"/>
      <c r="AE143" s="1823"/>
      <c r="AF143" s="1823"/>
      <c r="AG143" s="1823"/>
      <c r="AH143" s="1823"/>
      <c r="AI143" s="1823"/>
      <c r="AJ143" s="1823"/>
      <c r="AK143" s="1823"/>
      <c r="AL143" s="1823"/>
      <c r="AM143" s="1823"/>
      <c r="AN143" s="1823"/>
      <c r="AO143" s="1823"/>
      <c r="AP143" s="2162"/>
      <c r="BG143" s="2396"/>
      <c r="BH143" s="2038"/>
      <c r="BI143" s="2038"/>
      <c r="BJ143" s="2038"/>
      <c r="BK143" s="2038"/>
      <c r="BL143" s="2038"/>
      <c r="BM143" s="2038"/>
      <c r="BN143" s="2038"/>
      <c r="BO143" s="2038"/>
      <c r="BP143" s="2038"/>
    </row>
    <row r="144" spans="1:69" ht="15.75">
      <c r="A144" s="2162"/>
      <c r="B144" s="2442"/>
      <c r="C144" s="2442"/>
      <c r="D144" s="4967"/>
      <c r="E144" s="1330"/>
      <c r="F144" s="1719" t="s">
        <v>2667</v>
      </c>
      <c r="G144" s="2438"/>
      <c r="H144" s="2438"/>
      <c r="I144" s="2438"/>
      <c r="J144" s="2438"/>
      <c r="K144" s="2438"/>
      <c r="L144" s="2438"/>
      <c r="M144" s="1330"/>
      <c r="N144" s="2438"/>
      <c r="O144" s="2438"/>
      <c r="P144" s="2438"/>
      <c r="Q144" s="2438"/>
      <c r="R144" s="2438"/>
      <c r="S144" s="2438"/>
      <c r="T144" s="2438"/>
      <c r="U144" s="2438"/>
      <c r="V144" s="2438"/>
      <c r="W144" s="2438"/>
      <c r="X144" s="2438"/>
      <c r="Y144" s="2438"/>
      <c r="Z144" s="2438"/>
      <c r="AA144" s="2438"/>
      <c r="AB144" s="2438"/>
      <c r="AC144" s="2438"/>
      <c r="AD144" s="1330"/>
      <c r="AE144" s="2438"/>
      <c r="AF144" s="2438"/>
      <c r="AG144" s="2438"/>
      <c r="AH144" s="2438"/>
      <c r="AI144" s="2438"/>
      <c r="AJ144" s="2438"/>
      <c r="AK144" s="2438"/>
      <c r="AL144" s="2438"/>
      <c r="AM144" s="2438"/>
      <c r="AN144" s="2438"/>
      <c r="AO144" s="2438"/>
      <c r="AP144" s="2162"/>
      <c r="BG144" s="2396"/>
      <c r="BH144" s="2038"/>
      <c r="BI144" s="2038"/>
      <c r="BJ144" s="2038"/>
      <c r="BK144" s="2038"/>
      <c r="BL144" s="2038"/>
      <c r="BM144" s="2038"/>
      <c r="BN144" s="2038"/>
      <c r="BO144" s="2038"/>
      <c r="BP144" s="2038"/>
    </row>
    <row r="145" spans="1:68" ht="15.75">
      <c r="A145" s="2162"/>
      <c r="B145" s="7516" t="s">
        <v>542</v>
      </c>
      <c r="C145" s="7565"/>
      <c r="D145" s="4722" t="str">
        <f>"Did you make any payments in "&amp;TaxYear&amp;" that would require you to file Form(s) 1099?  See instructions"</f>
        <v>Did you make any payments in 2023 that would require you to file Form(s) 1099?  See instructions</v>
      </c>
      <c r="E145" s="1823"/>
      <c r="F145" s="1823"/>
      <c r="G145" s="1823"/>
      <c r="H145" s="1823"/>
      <c r="I145" s="1823"/>
      <c r="J145" s="1823"/>
      <c r="K145" s="1823"/>
      <c r="L145" s="1823"/>
      <c r="M145" s="1823"/>
      <c r="N145" s="1823"/>
      <c r="O145" s="1823"/>
      <c r="P145" s="1823"/>
      <c r="Q145" s="1823"/>
      <c r="R145" s="1823"/>
      <c r="S145" s="1823"/>
      <c r="T145" s="1823"/>
      <c r="U145" s="1823"/>
      <c r="V145" s="1823"/>
      <c r="W145" s="1823"/>
      <c r="X145" s="1823"/>
      <c r="Y145" s="1823"/>
      <c r="Z145" s="1823"/>
      <c r="AA145" s="1823"/>
      <c r="AB145" s="1823"/>
      <c r="AC145" s="1823"/>
      <c r="AD145" s="1823"/>
      <c r="AE145" s="1823"/>
      <c r="AF145" s="1823"/>
      <c r="AG145" s="1823"/>
      <c r="AH145" s="1823"/>
      <c r="AI145" s="1823"/>
      <c r="AJ145" s="809"/>
      <c r="AK145" s="2185" t="s">
        <v>2668</v>
      </c>
      <c r="AL145" s="1823"/>
      <c r="AM145" s="809"/>
      <c r="AN145" s="2185" t="s">
        <v>2669</v>
      </c>
      <c r="AO145" s="1823"/>
      <c r="AP145" s="2162"/>
      <c r="BG145" s="2396"/>
      <c r="BH145" s="2038"/>
      <c r="BI145" s="2038"/>
      <c r="BJ145" s="2038"/>
      <c r="BK145" s="2038"/>
      <c r="BL145" s="2038"/>
      <c r="BM145" s="2038"/>
      <c r="BN145" s="2038"/>
      <c r="BO145" s="2038"/>
      <c r="BP145" s="2038"/>
    </row>
    <row r="146" spans="1:68" ht="15.75">
      <c r="A146" s="2162"/>
      <c r="B146" s="7553" t="s">
        <v>548</v>
      </c>
      <c r="C146" s="7554"/>
      <c r="D146" s="2202" t="s">
        <v>5605</v>
      </c>
      <c r="E146" s="2438"/>
      <c r="F146" s="2438"/>
      <c r="G146" s="2438"/>
      <c r="H146" s="2438"/>
      <c r="I146" s="2438"/>
      <c r="J146" s="2438"/>
      <c r="K146" s="2438"/>
      <c r="L146" s="2438"/>
      <c r="M146" s="2438"/>
      <c r="N146" s="2438"/>
      <c r="O146" s="2438"/>
      <c r="P146" s="2438"/>
      <c r="Q146" s="2438"/>
      <c r="R146" s="2438"/>
      <c r="S146" s="2438"/>
      <c r="T146" s="2438"/>
      <c r="U146" s="2438"/>
      <c r="V146" s="2438"/>
      <c r="W146" s="2438"/>
      <c r="X146" s="2438"/>
      <c r="Y146" s="2438"/>
      <c r="Z146" s="2438"/>
      <c r="AA146" s="2438"/>
      <c r="AB146" s="2438"/>
      <c r="AC146" s="2438"/>
      <c r="AD146" s="2438"/>
      <c r="AE146" s="2438"/>
      <c r="AF146" s="2438"/>
      <c r="AG146" s="2438"/>
      <c r="AH146" s="2438"/>
      <c r="AI146" s="2438"/>
      <c r="AJ146" s="809"/>
      <c r="AK146" s="1140" t="s">
        <v>2668</v>
      </c>
      <c r="AL146" s="2438"/>
      <c r="AM146" s="809"/>
      <c r="AN146" s="1140" t="s">
        <v>2669</v>
      </c>
      <c r="AO146" s="2438"/>
      <c r="AP146" s="2162"/>
      <c r="BG146" s="2396"/>
      <c r="BH146" s="2038"/>
      <c r="BI146" s="2038"/>
      <c r="BJ146" s="2038"/>
      <c r="BK146" s="2038"/>
      <c r="BL146" s="2038"/>
      <c r="BM146" s="2038"/>
      <c r="BN146" s="2038"/>
      <c r="BO146" s="2038"/>
      <c r="BP146" s="2038"/>
    </row>
    <row r="147" spans="1:68" ht="18" customHeight="1">
      <c r="A147" s="2162"/>
      <c r="B147" s="7555" t="s">
        <v>363</v>
      </c>
      <c r="C147" s="7556"/>
      <c r="D147" s="4970" t="s">
        <v>2670</v>
      </c>
      <c r="E147" s="4723"/>
      <c r="F147" s="4723"/>
      <c r="G147" s="4723"/>
      <c r="H147" s="4723"/>
      <c r="I147" s="4723"/>
      <c r="J147" s="4723"/>
      <c r="K147" s="4723"/>
      <c r="L147" s="4723"/>
      <c r="M147" s="4723"/>
      <c r="N147" s="4723"/>
      <c r="O147" s="4723"/>
      <c r="P147" s="4723"/>
      <c r="Q147" s="4723"/>
      <c r="R147" s="4723"/>
      <c r="S147" s="4723"/>
      <c r="T147" s="4723"/>
      <c r="U147" s="4723"/>
      <c r="V147" s="4723"/>
      <c r="W147" s="4723"/>
      <c r="X147" s="4723"/>
      <c r="Y147" s="4723"/>
      <c r="Z147" s="4723"/>
      <c r="AA147" s="4723"/>
      <c r="AB147" s="4723"/>
      <c r="AC147" s="4723"/>
      <c r="AD147" s="4723"/>
      <c r="AE147" s="4723"/>
      <c r="AF147" s="4723"/>
      <c r="AG147" s="4723"/>
      <c r="AH147" s="4723"/>
      <c r="AI147" s="4723"/>
      <c r="AJ147" s="4723"/>
      <c r="AK147" s="4723"/>
      <c r="AL147" s="4723"/>
      <c r="AM147" s="4723"/>
      <c r="AN147" s="4723"/>
      <c r="AO147" s="4723"/>
      <c r="AP147" s="2162"/>
      <c r="BG147" s="2396"/>
      <c r="BH147" s="2038"/>
      <c r="BI147" s="2038"/>
      <c r="BJ147" s="2038"/>
      <c r="BK147" s="2038"/>
      <c r="BL147" s="2038"/>
      <c r="BM147" s="2038"/>
      <c r="BN147" s="2038"/>
      <c r="BO147" s="2038"/>
      <c r="BP147" s="2038"/>
    </row>
    <row r="148" spans="1:68" ht="15.75">
      <c r="A148" s="2162"/>
      <c r="B148" s="7515" t="s">
        <v>542</v>
      </c>
      <c r="C148" s="7427"/>
      <c r="D148" s="7518"/>
      <c r="E148" s="7013"/>
      <c r="F148" s="7013"/>
      <c r="G148" s="7013"/>
      <c r="H148" s="7013"/>
      <c r="I148" s="7013"/>
      <c r="J148" s="7013"/>
      <c r="K148" s="7013"/>
      <c r="L148" s="7013"/>
      <c r="M148" s="7013"/>
      <c r="N148" s="7013"/>
      <c r="O148" s="7013"/>
      <c r="P148" s="7013"/>
      <c r="Q148" s="7013"/>
      <c r="R148" s="7013"/>
      <c r="S148" s="7013"/>
      <c r="T148" s="7013"/>
      <c r="U148" s="7013"/>
      <c r="V148" s="7013"/>
      <c r="W148" s="7013"/>
      <c r="X148" s="7013"/>
      <c r="Y148" s="7013"/>
      <c r="Z148" s="7013"/>
      <c r="AA148" s="7013"/>
      <c r="AB148" s="7013"/>
      <c r="AC148" s="7013"/>
      <c r="AD148" s="7013"/>
      <c r="AE148" s="7013"/>
      <c r="AF148" s="7013"/>
      <c r="AG148" s="7013"/>
      <c r="AH148" s="7013"/>
      <c r="AI148" s="7013"/>
      <c r="AJ148" s="7013"/>
      <c r="AK148" s="7013"/>
      <c r="AL148" s="7013"/>
      <c r="AM148" s="7013"/>
      <c r="AN148" s="7013"/>
      <c r="AO148" s="7013"/>
      <c r="AP148" s="2162"/>
      <c r="BG148" s="2396"/>
      <c r="BH148" s="2038"/>
      <c r="BI148" s="2038"/>
      <c r="BJ148" s="2038"/>
      <c r="BK148" s="2038"/>
      <c r="BL148" s="2038"/>
      <c r="BM148" s="2038"/>
      <c r="BN148" s="2038"/>
      <c r="BO148" s="2038"/>
      <c r="BP148" s="2038"/>
    </row>
    <row r="149" spans="1:68" ht="15.75">
      <c r="A149" s="2162"/>
      <c r="B149" s="7515" t="s">
        <v>548</v>
      </c>
      <c r="C149" s="7427"/>
      <c r="D149" s="7518"/>
      <c r="E149" s="7013"/>
      <c r="F149" s="7013"/>
      <c r="G149" s="7013"/>
      <c r="H149" s="7013"/>
      <c r="I149" s="7013"/>
      <c r="J149" s="7013"/>
      <c r="K149" s="7013"/>
      <c r="L149" s="7013"/>
      <c r="M149" s="7013"/>
      <c r="N149" s="7013"/>
      <c r="O149" s="7013"/>
      <c r="P149" s="7013"/>
      <c r="Q149" s="7013"/>
      <c r="R149" s="7013"/>
      <c r="S149" s="7013"/>
      <c r="T149" s="7013"/>
      <c r="U149" s="7013"/>
      <c r="V149" s="7013"/>
      <c r="W149" s="7013"/>
      <c r="X149" s="7013"/>
      <c r="Y149" s="7013"/>
      <c r="Z149" s="7013"/>
      <c r="AA149" s="7013"/>
      <c r="AB149" s="7013"/>
      <c r="AC149" s="7013"/>
      <c r="AD149" s="7013"/>
      <c r="AE149" s="7013"/>
      <c r="AF149" s="7013"/>
      <c r="AG149" s="7013"/>
      <c r="AH149" s="7013"/>
      <c r="AI149" s="7013"/>
      <c r="AJ149" s="7013"/>
      <c r="AK149" s="7013"/>
      <c r="AL149" s="7013"/>
      <c r="AM149" s="7013"/>
      <c r="AN149" s="7013"/>
      <c r="AO149" s="7013"/>
      <c r="AP149" s="2162"/>
      <c r="BG149" s="2396"/>
      <c r="BH149" s="2038"/>
      <c r="BI149" s="2038"/>
      <c r="BJ149" s="2038"/>
      <c r="BK149" s="2038"/>
      <c r="BL149" s="2038"/>
      <c r="BM149" s="2038"/>
      <c r="BN149" s="2038"/>
      <c r="BO149" s="2038"/>
      <c r="BP149" s="2038"/>
    </row>
    <row r="150" spans="1:68" ht="15.75">
      <c r="A150" s="2162"/>
      <c r="B150" s="7515" t="s">
        <v>550</v>
      </c>
      <c r="C150" s="7427"/>
      <c r="D150" s="7518"/>
      <c r="E150" s="7013"/>
      <c r="F150" s="7013"/>
      <c r="G150" s="7013"/>
      <c r="H150" s="7013"/>
      <c r="I150" s="7013"/>
      <c r="J150" s="7013"/>
      <c r="K150" s="7013"/>
      <c r="L150" s="7013"/>
      <c r="M150" s="7013"/>
      <c r="N150" s="7013"/>
      <c r="O150" s="7013"/>
      <c r="P150" s="7013"/>
      <c r="Q150" s="7013"/>
      <c r="R150" s="7013"/>
      <c r="S150" s="7013"/>
      <c r="T150" s="7013"/>
      <c r="U150" s="7013"/>
      <c r="V150" s="7013"/>
      <c r="W150" s="7013"/>
      <c r="X150" s="7013"/>
      <c r="Y150" s="7013"/>
      <c r="Z150" s="7013"/>
      <c r="AA150" s="7013"/>
      <c r="AB150" s="7013"/>
      <c r="AC150" s="7013"/>
      <c r="AD150" s="7013"/>
      <c r="AE150" s="7013"/>
      <c r="AF150" s="7013"/>
      <c r="AG150" s="7013"/>
      <c r="AH150" s="7013"/>
      <c r="AI150" s="7013"/>
      <c r="AJ150" s="7013"/>
      <c r="AK150" s="7013"/>
      <c r="AL150" s="7013"/>
      <c r="AM150" s="7013"/>
      <c r="AN150" s="7013"/>
      <c r="AO150" s="7013"/>
      <c r="AP150" s="2162"/>
      <c r="AX150" s="39">
        <v>1</v>
      </c>
      <c r="AY150" s="39" t="s">
        <v>2671</v>
      </c>
      <c r="BG150" s="2396"/>
      <c r="BH150" s="2038"/>
      <c r="BI150" s="2038"/>
      <c r="BJ150" s="2038"/>
      <c r="BK150" s="2038"/>
      <c r="BL150" s="2038"/>
      <c r="BM150" s="2038"/>
      <c r="BN150" s="2038"/>
      <c r="BO150" s="2038"/>
      <c r="BP150" s="2038"/>
    </row>
    <row r="151" spans="1:68" ht="15.75" customHeight="1">
      <c r="A151" s="2162"/>
      <c r="B151" s="7516" t="s">
        <v>365</v>
      </c>
      <c r="C151" s="7596"/>
      <c r="D151" s="7410" t="s">
        <v>2795</v>
      </c>
      <c r="E151" s="7519"/>
      <c r="F151" s="7519"/>
      <c r="G151" s="7519"/>
      <c r="H151" s="7520"/>
      <c r="I151" s="7497">
        <v>2</v>
      </c>
      <c r="J151" s="7566"/>
      <c r="K151" s="7531" t="s">
        <v>2673</v>
      </c>
      <c r="L151" s="7531"/>
      <c r="M151" s="7531"/>
      <c r="N151" s="7531"/>
      <c r="O151" s="7531"/>
      <c r="P151" s="7531"/>
      <c r="Q151" s="7531"/>
      <c r="R151" s="7531"/>
      <c r="S151" s="7531"/>
      <c r="T151" s="7531"/>
      <c r="U151" s="7531"/>
      <c r="V151" s="7531"/>
      <c r="W151" s="7531"/>
      <c r="X151" s="2436"/>
      <c r="Y151" s="2436"/>
      <c r="Z151" s="2436"/>
      <c r="AA151" s="7523" t="s">
        <v>2796</v>
      </c>
      <c r="AB151" s="7524"/>
      <c r="AC151" s="7524"/>
      <c r="AD151" s="7524"/>
      <c r="AE151" s="7527"/>
      <c r="AF151" s="7523" t="s">
        <v>2797</v>
      </c>
      <c r="AG151" s="7524"/>
      <c r="AH151" s="7524"/>
      <c r="AI151" s="7524"/>
      <c r="AJ151" s="7527"/>
      <c r="AK151" s="7523" t="s">
        <v>2676</v>
      </c>
      <c r="AL151" s="7524"/>
      <c r="AM151" s="7524"/>
      <c r="AN151" s="7524"/>
      <c r="AO151" s="7524"/>
      <c r="AP151" s="2162"/>
      <c r="AX151" s="39">
        <v>2</v>
      </c>
      <c r="AY151" s="39" t="s">
        <v>2677</v>
      </c>
      <c r="BG151" s="2396"/>
      <c r="BH151" s="2038"/>
      <c r="BI151" s="2038"/>
      <c r="BJ151" s="2038"/>
      <c r="BK151" s="2038"/>
      <c r="BL151" s="2038"/>
      <c r="BM151" s="2038"/>
      <c r="BN151" s="2038"/>
      <c r="BO151" s="2038"/>
      <c r="BP151" s="2038"/>
    </row>
    <row r="152" spans="1:68" ht="14.25" customHeight="1">
      <c r="A152" s="2162"/>
      <c r="B152" s="2442"/>
      <c r="C152" s="2443"/>
      <c r="D152" s="7597"/>
      <c r="E152" s="7521"/>
      <c r="F152" s="7521"/>
      <c r="G152" s="7521"/>
      <c r="H152" s="7522"/>
      <c r="I152" s="2437"/>
      <c r="J152" s="1823"/>
      <c r="K152" s="7532"/>
      <c r="L152" s="7532"/>
      <c r="M152" s="7532"/>
      <c r="N152" s="7532"/>
      <c r="O152" s="7532"/>
      <c r="P152" s="7532"/>
      <c r="Q152" s="7532"/>
      <c r="R152" s="7532"/>
      <c r="S152" s="7532"/>
      <c r="T152" s="7532"/>
      <c r="U152" s="7532"/>
      <c r="V152" s="7532"/>
      <c r="W152" s="7532"/>
      <c r="X152" s="1823"/>
      <c r="Y152" s="1823"/>
      <c r="Z152" s="1823"/>
      <c r="AA152" s="7525"/>
      <c r="AB152" s="7526"/>
      <c r="AC152" s="7526"/>
      <c r="AD152" s="7526"/>
      <c r="AE152" s="7528"/>
      <c r="AF152" s="7525"/>
      <c r="AG152" s="7526"/>
      <c r="AH152" s="7526"/>
      <c r="AI152" s="7526"/>
      <c r="AJ152" s="7528"/>
      <c r="AK152" s="7525"/>
      <c r="AL152" s="7526"/>
      <c r="AM152" s="7526"/>
      <c r="AN152" s="7526"/>
      <c r="AO152" s="7526"/>
      <c r="AP152" s="2162"/>
      <c r="AV152" s="2493">
        <f>IF(LeapYear,366,365)</f>
        <v>365</v>
      </c>
      <c r="AW152" s="2494"/>
      <c r="AX152" s="39">
        <v>3</v>
      </c>
      <c r="AY152" s="39" t="s">
        <v>2678</v>
      </c>
      <c r="BE152" s="2243" t="s">
        <v>2679</v>
      </c>
      <c r="BG152" s="2396"/>
      <c r="BH152" s="2038"/>
      <c r="BI152" s="2038"/>
      <c r="BJ152" s="2038"/>
      <c r="BK152" s="2038"/>
      <c r="BL152" s="2038"/>
      <c r="BM152" s="2038"/>
      <c r="BN152" s="2038"/>
      <c r="BO152" s="2038"/>
      <c r="BP152" s="2038"/>
    </row>
    <row r="153" spans="1:68" ht="15.75">
      <c r="A153" s="2162"/>
      <c r="B153" s="7515" t="s">
        <v>542</v>
      </c>
      <c r="C153" s="7427"/>
      <c r="D153" s="7507"/>
      <c r="E153" s="7508"/>
      <c r="F153" s="7508"/>
      <c r="G153" s="7508"/>
      <c r="H153" s="7509"/>
      <c r="I153" s="1150"/>
      <c r="J153" s="808"/>
      <c r="K153" s="7532"/>
      <c r="L153" s="7532"/>
      <c r="M153" s="7532"/>
      <c r="N153" s="7532"/>
      <c r="O153" s="7532"/>
      <c r="P153" s="7532"/>
      <c r="Q153" s="7532"/>
      <c r="R153" s="7532"/>
      <c r="S153" s="7532"/>
      <c r="T153" s="7532"/>
      <c r="U153" s="7532"/>
      <c r="V153" s="7532"/>
      <c r="W153" s="7532"/>
      <c r="X153" s="7510" t="s">
        <v>542</v>
      </c>
      <c r="Y153" s="7511"/>
      <c r="Z153" s="7512"/>
      <c r="AA153" s="6668"/>
      <c r="AB153" s="7394"/>
      <c r="AC153" s="7394"/>
      <c r="AD153" s="7394"/>
      <c r="AE153" s="7395"/>
      <c r="AF153" s="6668"/>
      <c r="AG153" s="7394"/>
      <c r="AH153" s="7394"/>
      <c r="AI153" s="7394"/>
      <c r="AJ153" s="7395"/>
      <c r="AK153" s="2444"/>
      <c r="AL153" s="2445"/>
      <c r="AM153" s="809"/>
      <c r="AN153" s="2445"/>
      <c r="AO153" s="2445"/>
      <c r="AP153" s="2162"/>
      <c r="AR153" s="902" t="b">
        <f>D153=8</f>
        <v>0</v>
      </c>
      <c r="AV153" s="2495" t="b">
        <f>AA153&gt;$AV$20</f>
        <v>0</v>
      </c>
      <c r="AW153" s="2496" t="b">
        <f>AF153&gt;$AV$20</f>
        <v>0</v>
      </c>
      <c r="AX153" s="39">
        <v>4</v>
      </c>
      <c r="AY153" s="39" t="s">
        <v>2680</v>
      </c>
      <c r="BE153" s="2244" t="b">
        <f>IF(AND(D153&lt;&gt;"",OR(D153&lt;1,D153&gt;8,ISERROR(V164))),TRUE,FALSE)</f>
        <v>0</v>
      </c>
      <c r="BG153" s="2396"/>
      <c r="BH153" s="2038"/>
      <c r="BI153" s="2038"/>
      <c r="BJ153" s="2038"/>
      <c r="BK153" s="2038"/>
      <c r="BL153" s="2038"/>
      <c r="BM153" s="2038"/>
      <c r="BN153" s="2038"/>
      <c r="BO153" s="2038"/>
      <c r="BP153" s="2038"/>
    </row>
    <row r="154" spans="1:68" ht="15.75">
      <c r="A154" s="2162"/>
      <c r="B154" s="7515" t="s">
        <v>548</v>
      </c>
      <c r="C154" s="7427"/>
      <c r="D154" s="7507"/>
      <c r="E154" s="7508"/>
      <c r="F154" s="7508"/>
      <c r="G154" s="7508"/>
      <c r="H154" s="7509"/>
      <c r="I154" s="1150"/>
      <c r="J154" s="808"/>
      <c r="K154" s="7532"/>
      <c r="L154" s="7532"/>
      <c r="M154" s="7532"/>
      <c r="N154" s="7532"/>
      <c r="O154" s="7532"/>
      <c r="P154" s="7532"/>
      <c r="Q154" s="7532"/>
      <c r="R154" s="7532"/>
      <c r="S154" s="7532"/>
      <c r="T154" s="7532"/>
      <c r="U154" s="7532"/>
      <c r="V154" s="7532"/>
      <c r="W154" s="7532"/>
      <c r="X154" s="7510" t="s">
        <v>548</v>
      </c>
      <c r="Y154" s="7511"/>
      <c r="Z154" s="7512"/>
      <c r="AA154" s="6668"/>
      <c r="AB154" s="7394"/>
      <c r="AC154" s="7394"/>
      <c r="AD154" s="7394"/>
      <c r="AE154" s="7395"/>
      <c r="AF154" s="6668"/>
      <c r="AG154" s="7394"/>
      <c r="AH154" s="7394"/>
      <c r="AI154" s="7394"/>
      <c r="AJ154" s="7395"/>
      <c r="AK154" s="2444"/>
      <c r="AL154" s="2445"/>
      <c r="AM154" s="809"/>
      <c r="AN154" s="2445"/>
      <c r="AO154" s="2445"/>
      <c r="AP154" s="2162"/>
      <c r="AR154" s="902" t="b">
        <f>D154=8</f>
        <v>0</v>
      </c>
      <c r="AV154" s="2495" t="b">
        <f>AA154&gt;$AV$20</f>
        <v>0</v>
      </c>
      <c r="AW154" s="2496" t="b">
        <f>AF154&gt;$AV$20</f>
        <v>0</v>
      </c>
      <c r="AX154" s="39">
        <v>5</v>
      </c>
      <c r="AY154" s="39" t="s">
        <v>2681</v>
      </c>
      <c r="BE154" s="2244" t="b">
        <f>IF(AND(D154&lt;&gt;"",OR(D154&lt;1,D154&gt;8,ISERROR(AD164))),TRUE,FALSE)</f>
        <v>0</v>
      </c>
      <c r="BG154" s="2396"/>
      <c r="BH154" s="2038"/>
      <c r="BI154" s="2038"/>
      <c r="BJ154" s="2038"/>
      <c r="BK154" s="2038"/>
      <c r="BL154" s="2038"/>
      <c r="BM154" s="2038"/>
      <c r="BN154" s="2038"/>
      <c r="BO154" s="2038"/>
      <c r="BP154" s="2038"/>
    </row>
    <row r="155" spans="1:68" ht="15.75">
      <c r="A155" s="2162"/>
      <c r="B155" s="7515" t="s">
        <v>550</v>
      </c>
      <c r="C155" s="7427"/>
      <c r="D155" s="7507"/>
      <c r="E155" s="7508"/>
      <c r="F155" s="7508"/>
      <c r="G155" s="7508"/>
      <c r="H155" s="7509"/>
      <c r="I155" s="1154"/>
      <c r="J155" s="1121"/>
      <c r="K155" s="7533"/>
      <c r="L155" s="7533"/>
      <c r="M155" s="7533"/>
      <c r="N155" s="7533"/>
      <c r="O155" s="7533"/>
      <c r="P155" s="7533"/>
      <c r="Q155" s="7533"/>
      <c r="R155" s="7533"/>
      <c r="S155" s="7533"/>
      <c r="T155" s="7533"/>
      <c r="U155" s="7533"/>
      <c r="V155" s="7533"/>
      <c r="W155" s="7533"/>
      <c r="X155" s="7510" t="s">
        <v>550</v>
      </c>
      <c r="Y155" s="7511"/>
      <c r="Z155" s="7512"/>
      <c r="AA155" s="6668"/>
      <c r="AB155" s="7394"/>
      <c r="AC155" s="7394"/>
      <c r="AD155" s="7394"/>
      <c r="AE155" s="7395"/>
      <c r="AF155" s="6668"/>
      <c r="AG155" s="7394"/>
      <c r="AH155" s="7394"/>
      <c r="AI155" s="7394"/>
      <c r="AJ155" s="7395"/>
      <c r="AK155" s="2444"/>
      <c r="AL155" s="2445"/>
      <c r="AM155" s="809"/>
      <c r="AN155" s="2445"/>
      <c r="AO155" s="2445"/>
      <c r="AP155" s="2162"/>
      <c r="AR155" s="902" t="b">
        <f>D155=8</f>
        <v>0</v>
      </c>
      <c r="AV155" s="2497" t="b">
        <f>AA155&gt;$AV$20</f>
        <v>0</v>
      </c>
      <c r="AW155" s="2498" t="b">
        <f>AF155&gt;$AV$20</f>
        <v>0</v>
      </c>
      <c r="AX155" s="39">
        <v>6</v>
      </c>
      <c r="AY155" s="39" t="s">
        <v>2682</v>
      </c>
      <c r="AZ155" s="2489" t="s">
        <v>542</v>
      </c>
      <c r="BA155" s="2489" t="s">
        <v>548</v>
      </c>
      <c r="BB155" s="2489" t="s">
        <v>550</v>
      </c>
      <c r="BC155" s="2489" t="s">
        <v>248</v>
      </c>
      <c r="BE155" s="2244" t="b">
        <f>IF(AND(D155&lt;&gt;"",OR(D155&lt;1,D155&gt;8,ISERROR(AJ164))),TRUE,FALSE)</f>
        <v>0</v>
      </c>
      <c r="BG155" s="2396"/>
      <c r="BH155" s="2038"/>
      <c r="BI155" s="2038"/>
      <c r="BJ155" s="2038"/>
      <c r="BK155" s="2038"/>
      <c r="BL155" s="2038"/>
      <c r="BM155" s="2038"/>
      <c r="BN155" s="2038"/>
      <c r="BO155" s="2038"/>
      <c r="BP155" s="2038"/>
    </row>
    <row r="156" spans="1:68" ht="14.25" customHeight="1">
      <c r="A156" s="2162"/>
      <c r="B156" s="2448" t="s">
        <v>2683</v>
      </c>
      <c r="C156" s="2446"/>
      <c r="D156" s="1746"/>
      <c r="E156" s="1715"/>
      <c r="F156" s="1715"/>
      <c r="G156" s="1715"/>
      <c r="H156" s="1715"/>
      <c r="I156" s="2490" t="str">
        <f>IF(BE156,"The 'Type of Property' must be entered as a number (1 - 8).","")</f>
        <v/>
      </c>
      <c r="J156" s="1715"/>
      <c r="K156" s="1715"/>
      <c r="L156" s="1715"/>
      <c r="M156" s="1715"/>
      <c r="N156" s="1715"/>
      <c r="O156" s="1715"/>
      <c r="P156" s="1715"/>
      <c r="Q156" s="1715"/>
      <c r="R156" s="1715"/>
      <c r="S156" s="1715"/>
      <c r="T156" s="1715"/>
      <c r="U156" s="1715"/>
      <c r="V156" s="1715"/>
      <c r="W156" s="1715"/>
      <c r="X156" s="1715"/>
      <c r="Y156" s="1715"/>
      <c r="Z156" s="1715"/>
      <c r="AA156" s="1715"/>
      <c r="AB156" s="1715"/>
      <c r="AC156" s="1715"/>
      <c r="AD156" s="2490" t="str">
        <f>IF(OR(AV153,AV154,AV155,AW153,AW154,AW155),"Must be "&amp;AV152&amp;" or less.","")</f>
        <v/>
      </c>
      <c r="AE156" s="1715"/>
      <c r="AF156" s="1715"/>
      <c r="AG156" s="1715"/>
      <c r="AH156" s="1715"/>
      <c r="AI156" s="1715"/>
      <c r="AJ156" s="1715"/>
      <c r="AK156" s="1715"/>
      <c r="AL156" s="1715"/>
      <c r="AM156" s="1715"/>
      <c r="AN156" s="1715"/>
      <c r="AO156" s="1715"/>
      <c r="AP156" s="2162"/>
      <c r="AR156" s="902" t="b">
        <f>OR(AR153:AR155)</f>
        <v>0</v>
      </c>
      <c r="AX156" s="39">
        <v>7</v>
      </c>
      <c r="AY156" s="39" t="s">
        <v>2684</v>
      </c>
      <c r="AZ156" s="39">
        <f>IF(D153&lt;&gt;6,V162,0)</f>
        <v>0</v>
      </c>
      <c r="BA156" s="39">
        <f>IF(D154&lt;&gt;6,AD162,0)</f>
        <v>0</v>
      </c>
      <c r="BB156" s="39">
        <f>IF(D155&lt;&gt;6,AJ162,0)</f>
        <v>0</v>
      </c>
      <c r="BC156" s="39">
        <f>SUM(AZ156:BB156)</f>
        <v>0</v>
      </c>
      <c r="BE156" s="2244" t="b">
        <f>OR(BE153,BE154,BE155)</f>
        <v>0</v>
      </c>
      <c r="BG156" s="2396"/>
      <c r="BH156" s="2038"/>
      <c r="BI156" s="2038"/>
      <c r="BJ156" s="2038"/>
      <c r="BK156" s="2038"/>
      <c r="BL156" s="2038"/>
      <c r="BM156" s="2038"/>
      <c r="BN156" s="2038"/>
      <c r="BO156" s="2038"/>
      <c r="BP156" s="2038"/>
    </row>
    <row r="157" spans="1:68" ht="18.75" customHeight="1">
      <c r="A157" s="2162"/>
      <c r="B157" s="2446">
        <v>1</v>
      </c>
      <c r="C157" s="2447" t="s">
        <v>2671</v>
      </c>
      <c r="D157" s="1746"/>
      <c r="E157" s="1715"/>
      <c r="F157" s="1715"/>
      <c r="G157" s="1715"/>
      <c r="H157" s="1715"/>
      <c r="I157" s="1715"/>
      <c r="J157" s="1715"/>
      <c r="K157" s="2450">
        <v>3</v>
      </c>
      <c r="L157" s="2449" t="s">
        <v>2685</v>
      </c>
      <c r="M157" s="1715"/>
      <c r="N157" s="1715"/>
      <c r="O157" s="1715"/>
      <c r="P157" s="1715"/>
      <c r="Q157" s="1715"/>
      <c r="R157" s="1715"/>
      <c r="S157" s="1715"/>
      <c r="T157" s="1715"/>
      <c r="U157" s="2450">
        <v>5</v>
      </c>
      <c r="V157" s="2449" t="s">
        <v>2681</v>
      </c>
      <c r="W157" s="1715"/>
      <c r="X157" s="1715"/>
      <c r="Y157" s="1715"/>
      <c r="Z157" s="2450"/>
      <c r="AA157" s="2450">
        <v>7</v>
      </c>
      <c r="AB157" s="2449" t="s">
        <v>2684</v>
      </c>
      <c r="AC157" s="1715"/>
      <c r="AD157" s="1715"/>
      <c r="AE157" s="1715"/>
      <c r="AF157" s="1715"/>
      <c r="AG157" s="1715"/>
      <c r="AH157" s="1715"/>
      <c r="AI157" s="1715"/>
      <c r="AJ157" s="1715"/>
      <c r="AK157" s="1715"/>
      <c r="AL157" s="1715"/>
      <c r="AM157" s="1715"/>
      <c r="AN157" s="1715"/>
      <c r="AO157" s="1715"/>
      <c r="AP157" s="2162"/>
      <c r="AR157" s="7327" t="str">
        <f>IF($AR$156,"Attach a statement to your return describing the property.","")</f>
        <v/>
      </c>
      <c r="AS157" s="7327"/>
      <c r="AX157" s="39">
        <v>8</v>
      </c>
      <c r="AY157" s="39" t="s">
        <v>283</v>
      </c>
      <c r="AZ157" s="39">
        <f>IF(D153=6,V163,0)</f>
        <v>0</v>
      </c>
      <c r="BA157" s="39">
        <f>IF(D154=6,AD163,0)</f>
        <v>0</v>
      </c>
      <c r="BB157" s="39">
        <f>IF(D155=6,AJ163,0)</f>
        <v>0</v>
      </c>
      <c r="BC157" s="39">
        <f>SUM(AZ157:BB157)</f>
        <v>0</v>
      </c>
      <c r="BE157" s="2245"/>
      <c r="BG157" s="2396"/>
      <c r="BH157" s="2038"/>
      <c r="BI157" s="2038"/>
      <c r="BJ157" s="2038"/>
      <c r="BK157" s="2038"/>
      <c r="BL157" s="2038"/>
      <c r="BM157" s="2038"/>
      <c r="BN157" s="2038"/>
      <c r="BO157" s="2038"/>
      <c r="BP157" s="2038"/>
    </row>
    <row r="158" spans="1:68" ht="16.5" customHeight="1">
      <c r="A158" s="2162"/>
      <c r="B158" s="2446">
        <v>2</v>
      </c>
      <c r="C158" s="2447" t="s">
        <v>2677</v>
      </c>
      <c r="D158" s="1746"/>
      <c r="E158" s="1715"/>
      <c r="F158" s="1715"/>
      <c r="G158" s="1715"/>
      <c r="H158" s="1715"/>
      <c r="I158" s="1715"/>
      <c r="J158" s="1715"/>
      <c r="K158" s="2450">
        <v>4</v>
      </c>
      <c r="L158" s="2449" t="s">
        <v>2680</v>
      </c>
      <c r="M158" s="1715"/>
      <c r="N158" s="1715"/>
      <c r="O158" s="1715"/>
      <c r="P158" s="1715"/>
      <c r="Q158" s="1715"/>
      <c r="R158" s="1715"/>
      <c r="S158" s="1715"/>
      <c r="T158" s="1715"/>
      <c r="U158" s="2450">
        <v>6</v>
      </c>
      <c r="V158" s="2449" t="s">
        <v>2682</v>
      </c>
      <c r="W158" s="1715"/>
      <c r="X158" s="1715"/>
      <c r="Y158" s="1715"/>
      <c r="Z158" s="2450"/>
      <c r="AA158" s="2450">
        <v>8</v>
      </c>
      <c r="AB158" s="2449" t="s">
        <v>2798</v>
      </c>
      <c r="AC158" s="1715"/>
      <c r="AD158" s="1715"/>
      <c r="AE158" s="1715"/>
      <c r="AF158" s="1715"/>
      <c r="AG158" s="1715"/>
      <c r="AH158" s="7595"/>
      <c r="AI158" s="7595"/>
      <c r="AJ158" s="7595"/>
      <c r="AK158" s="7595"/>
      <c r="AL158" s="7595"/>
      <c r="AM158" s="7595"/>
      <c r="AN158" s="7595"/>
      <c r="AO158" s="7595"/>
      <c r="AP158" s="2162"/>
      <c r="AQ158" s="676"/>
      <c r="AR158" s="7327"/>
      <c r="AS158" s="7327"/>
      <c r="BG158" s="2396"/>
      <c r="BH158" s="2038"/>
      <c r="BI158" s="2038"/>
      <c r="BJ158" s="2038"/>
      <c r="BK158" s="2038"/>
      <c r="BL158" s="2038"/>
      <c r="BM158" s="2038"/>
      <c r="BN158" s="2038"/>
      <c r="BO158" s="2038"/>
      <c r="BP158" s="2038"/>
    </row>
    <row r="159" spans="1:68" ht="6.75" customHeight="1" thickBot="1">
      <c r="A159" s="2162"/>
      <c r="B159" s="2446"/>
      <c r="C159" s="2447"/>
      <c r="D159" s="1746"/>
      <c r="E159" s="1715"/>
      <c r="F159" s="1715"/>
      <c r="G159" s="1715"/>
      <c r="H159" s="1715"/>
      <c r="I159" s="1715"/>
      <c r="J159" s="1715"/>
      <c r="K159" s="2450"/>
      <c r="L159" s="2449"/>
      <c r="M159" s="1715"/>
      <c r="N159" s="1715"/>
      <c r="O159" s="1715"/>
      <c r="P159" s="1715"/>
      <c r="Q159" s="1715"/>
      <c r="R159" s="1715"/>
      <c r="S159" s="1715"/>
      <c r="T159" s="1715"/>
      <c r="U159" s="2450"/>
      <c r="V159" s="2449"/>
      <c r="W159" s="1715"/>
      <c r="X159" s="1715"/>
      <c r="Y159" s="1715"/>
      <c r="Z159" s="2450"/>
      <c r="AA159" s="2450"/>
      <c r="AB159" s="2450"/>
      <c r="AC159" s="2450"/>
      <c r="AD159" s="2450"/>
      <c r="AE159" s="2450"/>
      <c r="AF159" s="2450"/>
      <c r="AG159" s="2450"/>
      <c r="AH159" s="2450"/>
      <c r="AI159" s="2450"/>
      <c r="AJ159" s="2450"/>
      <c r="AK159" s="2450"/>
      <c r="AL159" s="2450"/>
      <c r="AM159" s="2450"/>
      <c r="AN159" s="2450"/>
      <c r="AO159" s="2450"/>
      <c r="AP159" s="2162"/>
      <c r="AQ159" s="676"/>
      <c r="AR159" s="7327"/>
      <c r="AS159" s="7327"/>
      <c r="BG159" s="2396"/>
      <c r="BH159" s="2038"/>
      <c r="BI159" s="2038"/>
      <c r="BJ159" s="2038"/>
      <c r="BK159" s="2038"/>
      <c r="BL159" s="2038"/>
      <c r="BM159" s="2038"/>
      <c r="BN159" s="2038"/>
      <c r="BO159" s="2038"/>
      <c r="BP159" s="2038"/>
    </row>
    <row r="160" spans="1:68" ht="14.25" customHeight="1">
      <c r="A160" s="2162"/>
      <c r="B160" s="4963"/>
      <c r="C160" s="4980"/>
      <c r="D160" s="4981"/>
      <c r="E160" s="4442"/>
      <c r="F160" s="4442"/>
      <c r="G160" s="4442"/>
      <c r="H160" s="4442"/>
      <c r="I160" s="4442"/>
      <c r="J160" s="4442"/>
      <c r="K160" s="4442"/>
      <c r="L160" s="4442"/>
      <c r="M160" s="4442"/>
      <c r="N160" s="4442"/>
      <c r="O160" s="4442"/>
      <c r="P160" s="4442"/>
      <c r="Q160" s="4442"/>
      <c r="R160" s="4982"/>
      <c r="S160" s="4442"/>
      <c r="T160" s="4982"/>
      <c r="U160" s="4983"/>
      <c r="V160" s="7538" t="s">
        <v>2687</v>
      </c>
      <c r="W160" s="7539"/>
      <c r="X160" s="7539"/>
      <c r="Y160" s="7539"/>
      <c r="Z160" s="7539"/>
      <c r="AA160" s="7539"/>
      <c r="AB160" s="7539"/>
      <c r="AC160" s="7539"/>
      <c r="AD160" s="7539"/>
      <c r="AE160" s="7539"/>
      <c r="AF160" s="7539"/>
      <c r="AG160" s="7539"/>
      <c r="AH160" s="7539"/>
      <c r="AI160" s="7539"/>
      <c r="AJ160" s="7539"/>
      <c r="AK160" s="7539"/>
      <c r="AL160" s="7539"/>
      <c r="AM160" s="7539"/>
      <c r="AN160" s="7539"/>
      <c r="AO160" s="7539"/>
      <c r="AP160" s="2162"/>
      <c r="AR160" s="4989"/>
      <c r="AS160" s="4989"/>
      <c r="AZ160" s="39" t="b">
        <f>IF(AND($D$21="",OR($V$30&gt;0,$V$31&gt;0)),TRUE,FALSE)</f>
        <v>0</v>
      </c>
      <c r="BA160" s="39" t="b">
        <f>IF(AND($D$22="",OR($AD$30&gt;0,$AD$31&gt;0)),TRUE,FALSE)</f>
        <v>0</v>
      </c>
      <c r="BB160" s="39" t="b">
        <f>IF(AND($D$23="",OR($AJ$30&gt;0,$AJ$31&gt;0)),TRUE,FALSE)</f>
        <v>0</v>
      </c>
      <c r="BG160" s="2396"/>
      <c r="BH160" s="2038"/>
      <c r="BI160" s="2038"/>
      <c r="BJ160" s="2038"/>
      <c r="BK160" s="2038"/>
      <c r="BL160" s="2038"/>
      <c r="BM160" s="2038"/>
      <c r="BN160" s="2038"/>
      <c r="BO160" s="2038"/>
      <c r="BP160" s="2038"/>
    </row>
    <row r="161" spans="1:68" ht="14.25" customHeight="1">
      <c r="A161" s="2162"/>
      <c r="B161" s="3243" t="s">
        <v>2688</v>
      </c>
      <c r="C161" s="2446"/>
      <c r="D161" s="1746"/>
      <c r="E161" s="1715"/>
      <c r="F161" s="1715"/>
      <c r="G161" s="1715"/>
      <c r="H161" s="1715"/>
      <c r="I161" s="1715"/>
      <c r="J161" s="1715"/>
      <c r="K161" s="1715"/>
      <c r="L161" s="1715"/>
      <c r="M161" s="1715"/>
      <c r="N161" s="1715"/>
      <c r="O161" s="1715"/>
      <c r="P161" s="1715"/>
      <c r="Q161" s="1715"/>
      <c r="R161" s="3173"/>
      <c r="S161" s="1715"/>
      <c r="T161" s="4984"/>
      <c r="U161" s="4985"/>
      <c r="V161" s="7475" t="s">
        <v>542</v>
      </c>
      <c r="W161" s="7534"/>
      <c r="X161" s="7534"/>
      <c r="Y161" s="7534"/>
      <c r="Z161" s="7534"/>
      <c r="AA161" s="7534"/>
      <c r="AB161" s="7534"/>
      <c r="AC161" s="7476"/>
      <c r="AD161" s="7535" t="s">
        <v>548</v>
      </c>
      <c r="AE161" s="7536"/>
      <c r="AF161" s="7536"/>
      <c r="AG161" s="7536"/>
      <c r="AH161" s="7536"/>
      <c r="AI161" s="7537"/>
      <c r="AJ161" s="7535" t="s">
        <v>550</v>
      </c>
      <c r="AK161" s="7536"/>
      <c r="AL161" s="7536"/>
      <c r="AM161" s="7536"/>
      <c r="AN161" s="7536"/>
      <c r="AO161" s="7536"/>
      <c r="AP161" s="2162"/>
      <c r="AR161" s="3201"/>
      <c r="AZ161" s="39" t="b">
        <f>IF(AND($D$21="",OR($V$30&gt;0,$V$31&gt;0)),TRUE,FALSE)</f>
        <v>0</v>
      </c>
      <c r="BA161" s="39" t="b">
        <f>IF(AND($D$22="",OR($AD$30&gt;0,$AD$31&gt;0)),TRUE,FALSE)</f>
        <v>0</v>
      </c>
      <c r="BB161" s="39" t="b">
        <f>IF(AND($D$23="",OR($AJ$30&gt;0,$AJ$31&gt;0)),TRUE,FALSE)</f>
        <v>0</v>
      </c>
      <c r="BG161" s="2396"/>
      <c r="BH161" s="2038"/>
      <c r="BI161" s="2038"/>
      <c r="BJ161" s="2038"/>
      <c r="BK161" s="2038"/>
      <c r="BL161" s="2038"/>
      <c r="BM161" s="2038"/>
      <c r="BN161" s="2038"/>
      <c r="BO161" s="2038"/>
      <c r="BP161" s="2038"/>
    </row>
    <row r="162" spans="1:68" ht="14.25" customHeight="1">
      <c r="A162" s="2162"/>
      <c r="B162" s="7474">
        <v>3</v>
      </c>
      <c r="C162" s="7413"/>
      <c r="D162" s="2447" t="s">
        <v>2689</v>
      </c>
      <c r="E162" s="1715"/>
      <c r="F162" s="1715"/>
      <c r="G162" s="1715"/>
      <c r="H162" s="1715"/>
      <c r="I162" s="1715"/>
      <c r="J162" s="1715"/>
      <c r="K162" s="1715"/>
      <c r="L162" s="1715"/>
      <c r="M162" s="1715"/>
      <c r="N162" s="1715"/>
      <c r="O162" s="1715"/>
      <c r="P162" s="1715"/>
      <c r="Q162" s="1715"/>
      <c r="R162" s="1715"/>
      <c r="S162" s="2335" t="s">
        <v>642</v>
      </c>
      <c r="T162" s="7475">
        <v>3</v>
      </c>
      <c r="U162" s="7476"/>
      <c r="V162" s="7513"/>
      <c r="W162" s="7514"/>
      <c r="X162" s="7514"/>
      <c r="Y162" s="7514"/>
      <c r="Z162" s="7514"/>
      <c r="AA162" s="7514"/>
      <c r="AB162" s="7514"/>
      <c r="AC162" s="7530"/>
      <c r="AD162" s="7513"/>
      <c r="AE162" s="7514"/>
      <c r="AF162" s="7514"/>
      <c r="AG162" s="7514"/>
      <c r="AH162" s="7514"/>
      <c r="AI162" s="7530"/>
      <c r="AJ162" s="7513"/>
      <c r="AK162" s="7514"/>
      <c r="AL162" s="7514"/>
      <c r="AM162" s="7514"/>
      <c r="AN162" s="7514"/>
      <c r="AO162" s="7514"/>
      <c r="AP162" s="2162"/>
      <c r="BG162" s="2396"/>
      <c r="BH162" s="2038"/>
      <c r="BI162" s="2038"/>
      <c r="BJ162" s="2038"/>
      <c r="BK162" s="2038"/>
      <c r="BL162" s="2038"/>
      <c r="BM162" s="2038"/>
      <c r="BN162" s="2038"/>
      <c r="BO162" s="2038"/>
      <c r="BP162" s="2038"/>
    </row>
    <row r="163" spans="1:68" ht="14.25" customHeight="1">
      <c r="A163" s="2162"/>
      <c r="B163" s="7529">
        <v>4</v>
      </c>
      <c r="C163" s="7415"/>
      <c r="D163" s="2453" t="s">
        <v>2690</v>
      </c>
      <c r="E163" s="1719"/>
      <c r="F163" s="1719"/>
      <c r="G163" s="1719"/>
      <c r="H163" s="1719"/>
      <c r="I163" s="1719"/>
      <c r="J163" s="1719"/>
      <c r="K163" s="1719"/>
      <c r="L163" s="1719"/>
      <c r="M163" s="1719"/>
      <c r="N163" s="1719"/>
      <c r="O163" s="1719"/>
      <c r="P163" s="1719"/>
      <c r="Q163" s="1719"/>
      <c r="R163" s="1719"/>
      <c r="S163" s="2762" t="s">
        <v>646</v>
      </c>
      <c r="T163" s="7475">
        <v>4</v>
      </c>
      <c r="U163" s="7476"/>
      <c r="V163" s="7513"/>
      <c r="W163" s="7514"/>
      <c r="X163" s="7514"/>
      <c r="Y163" s="7514"/>
      <c r="Z163" s="7514"/>
      <c r="AA163" s="7514"/>
      <c r="AB163" s="7514"/>
      <c r="AC163" s="7530"/>
      <c r="AD163" s="7513"/>
      <c r="AE163" s="7514"/>
      <c r="AF163" s="7514"/>
      <c r="AG163" s="7514"/>
      <c r="AH163" s="7514"/>
      <c r="AI163" s="7530"/>
      <c r="AJ163" s="7513"/>
      <c r="AK163" s="7514"/>
      <c r="AL163" s="7514"/>
      <c r="AM163" s="7514"/>
      <c r="AN163" s="7514"/>
      <c r="AO163" s="7514"/>
      <c r="AP163" s="2162"/>
      <c r="BG163" s="2396"/>
      <c r="BH163" s="2038"/>
      <c r="BI163" s="2038"/>
      <c r="BJ163" s="2038"/>
      <c r="BK163" s="2038"/>
      <c r="BL163" s="2038"/>
      <c r="BM163" s="2038"/>
      <c r="BN163" s="2038"/>
      <c r="BO163" s="2038"/>
      <c r="BP163" s="2038"/>
    </row>
    <row r="164" spans="1:68" ht="14.25" customHeight="1">
      <c r="A164" s="2162"/>
      <c r="B164" s="2458" t="s">
        <v>2691</v>
      </c>
      <c r="C164" s="2454"/>
      <c r="D164" s="4722"/>
      <c r="E164" s="2455"/>
      <c r="F164" s="2491"/>
      <c r="G164" s="2491" t="str">
        <f>IF(OR($AZ$29,$BA$29,$BB$29),"Please enter property type in Line 1b.","")</f>
        <v/>
      </c>
      <c r="H164" s="2455"/>
      <c r="I164" s="2455"/>
      <c r="J164" s="2455"/>
      <c r="K164" s="2455"/>
      <c r="L164" s="2455"/>
      <c r="M164" s="2455"/>
      <c r="N164" s="2455"/>
      <c r="O164" s="2455"/>
      <c r="P164" s="2455"/>
      <c r="Q164" s="2455"/>
      <c r="R164" s="2455"/>
      <c r="S164" s="2455"/>
      <c r="T164" s="2456"/>
      <c r="U164" s="2457"/>
      <c r="V164" s="7416" t="str">
        <f>IF(D153="","",LOOKUP(D153,$AX$18:$AX$25,$AY$18:$AY$25))</f>
        <v/>
      </c>
      <c r="W164" s="7417"/>
      <c r="X164" s="7417"/>
      <c r="Y164" s="7417"/>
      <c r="Z164" s="7417"/>
      <c r="AA164" s="7417"/>
      <c r="AB164" s="7417"/>
      <c r="AC164" s="7278"/>
      <c r="AD164" s="7416" t="str">
        <f>IF(D154="","",LOOKUP(D154,$AX$18:$AX$25,$AY$18:$AY$25))</f>
        <v/>
      </c>
      <c r="AE164" s="7417"/>
      <c r="AF164" s="7417"/>
      <c r="AG164" s="7417"/>
      <c r="AH164" s="7417"/>
      <c r="AI164" s="7278"/>
      <c r="AJ164" s="7416" t="str">
        <f>IF(D155="","",LOOKUP(D155,$AX$18:$AX$25,$AY$18:$AY$25))</f>
        <v/>
      </c>
      <c r="AK164" s="7417"/>
      <c r="AL164" s="7417"/>
      <c r="AM164" s="7417"/>
      <c r="AN164" s="7417"/>
      <c r="AO164" s="7417"/>
      <c r="AP164" s="2162"/>
      <c r="BG164" s="2396"/>
      <c r="BH164" s="2038"/>
      <c r="BI164" s="2038"/>
      <c r="BJ164" s="2038"/>
      <c r="BK164" s="2038"/>
      <c r="BL164" s="2038"/>
      <c r="BM164" s="2038"/>
      <c r="BN164" s="2038"/>
      <c r="BO164" s="2038"/>
      <c r="BP164" s="2038"/>
    </row>
    <row r="165" spans="1:68" ht="14.25" customHeight="1">
      <c r="A165" s="2162"/>
      <c r="B165" s="7474">
        <v>5</v>
      </c>
      <c r="C165" s="7413"/>
      <c r="D165" s="2447" t="s">
        <v>2692</v>
      </c>
      <c r="E165" s="1715"/>
      <c r="F165" s="1715"/>
      <c r="G165" s="1715"/>
      <c r="H165" s="1715"/>
      <c r="I165" s="1715"/>
      <c r="J165" s="1715"/>
      <c r="K165" s="1715"/>
      <c r="L165" s="1715"/>
      <c r="M165" s="1715"/>
      <c r="N165" s="1715"/>
      <c r="O165" s="1715"/>
      <c r="P165" s="1715"/>
      <c r="Q165" s="1715"/>
      <c r="R165" s="1715"/>
      <c r="S165" s="2760" t="s">
        <v>2162</v>
      </c>
      <c r="T165" s="7479">
        <v>5</v>
      </c>
      <c r="U165" s="7480"/>
      <c r="V165" s="7502"/>
      <c r="W165" s="7502"/>
      <c r="X165" s="7502"/>
      <c r="Y165" s="7502"/>
      <c r="Z165" s="7502"/>
      <c r="AA165" s="7502"/>
      <c r="AB165" s="7502"/>
      <c r="AC165" s="7503"/>
      <c r="AD165" s="7504"/>
      <c r="AE165" s="7502"/>
      <c r="AF165" s="7502"/>
      <c r="AG165" s="7502"/>
      <c r="AH165" s="7502"/>
      <c r="AI165" s="7503"/>
      <c r="AJ165" s="7504"/>
      <c r="AK165" s="7502"/>
      <c r="AL165" s="7502"/>
      <c r="AM165" s="7502"/>
      <c r="AN165" s="7502"/>
      <c r="AO165" s="7502"/>
      <c r="AP165" s="2162"/>
      <c r="BG165" s="2396"/>
      <c r="BH165" s="2038"/>
      <c r="BI165" s="2038"/>
      <c r="BJ165" s="2038"/>
      <c r="BK165" s="2038"/>
      <c r="BL165" s="2038"/>
      <c r="BM165" s="2038"/>
      <c r="BN165" s="2038"/>
      <c r="BO165" s="2038"/>
      <c r="BP165" s="2038"/>
    </row>
    <row r="166" spans="1:68" ht="14.25" customHeight="1">
      <c r="A166" s="2162"/>
      <c r="B166" s="7474">
        <v>6</v>
      </c>
      <c r="C166" s="7413"/>
      <c r="D166" s="2447" t="s">
        <v>2693</v>
      </c>
      <c r="E166" s="1715"/>
      <c r="F166" s="1715"/>
      <c r="G166" s="1715"/>
      <c r="H166" s="1715"/>
      <c r="I166" s="1715"/>
      <c r="J166" s="1715"/>
      <c r="K166" s="1715"/>
      <c r="L166" s="1715"/>
      <c r="M166" s="1715"/>
      <c r="N166" s="1715"/>
      <c r="O166" s="1715"/>
      <c r="P166" s="1715"/>
      <c r="Q166" s="1715"/>
      <c r="R166" s="1715"/>
      <c r="S166" s="2760" t="s">
        <v>654</v>
      </c>
      <c r="T166" s="7479">
        <v>6</v>
      </c>
      <c r="U166" s="7480"/>
      <c r="V166" s="7502"/>
      <c r="W166" s="7502"/>
      <c r="X166" s="7502"/>
      <c r="Y166" s="7502"/>
      <c r="Z166" s="7502"/>
      <c r="AA166" s="7502"/>
      <c r="AB166" s="7502"/>
      <c r="AC166" s="7503"/>
      <c r="AD166" s="7504"/>
      <c r="AE166" s="7502"/>
      <c r="AF166" s="7502"/>
      <c r="AG166" s="7502"/>
      <c r="AH166" s="7502"/>
      <c r="AI166" s="7503"/>
      <c r="AJ166" s="7504"/>
      <c r="AK166" s="7502"/>
      <c r="AL166" s="7502"/>
      <c r="AM166" s="7502"/>
      <c r="AN166" s="7502"/>
      <c r="AO166" s="7502"/>
      <c r="AP166" s="2162"/>
      <c r="BG166" s="2396"/>
      <c r="BH166" s="2038"/>
      <c r="BI166" s="2038"/>
      <c r="BJ166" s="2038"/>
      <c r="BK166" s="2038"/>
      <c r="BL166" s="2038"/>
      <c r="BM166" s="2038"/>
      <c r="BN166" s="2038"/>
      <c r="BO166" s="2038"/>
      <c r="BP166" s="2038"/>
    </row>
    <row r="167" spans="1:68" ht="14.25" customHeight="1">
      <c r="A167" s="2162"/>
      <c r="B167" s="7474">
        <v>7</v>
      </c>
      <c r="C167" s="7413"/>
      <c r="D167" s="2447" t="s">
        <v>2694</v>
      </c>
      <c r="E167" s="1715"/>
      <c r="F167" s="1715"/>
      <c r="G167" s="1715"/>
      <c r="H167" s="1715"/>
      <c r="I167" s="1715"/>
      <c r="J167" s="1715"/>
      <c r="K167" s="1715"/>
      <c r="L167" s="1715"/>
      <c r="M167" s="1715"/>
      <c r="N167" s="1715"/>
      <c r="O167" s="1715"/>
      <c r="P167" s="1715"/>
      <c r="Q167" s="1715"/>
      <c r="R167" s="1715"/>
      <c r="S167" s="2760" t="s">
        <v>752</v>
      </c>
      <c r="T167" s="7479">
        <v>7</v>
      </c>
      <c r="U167" s="7480"/>
      <c r="V167" s="7502"/>
      <c r="W167" s="7502"/>
      <c r="X167" s="7502"/>
      <c r="Y167" s="7502"/>
      <c r="Z167" s="7502"/>
      <c r="AA167" s="7502"/>
      <c r="AB167" s="7502"/>
      <c r="AC167" s="7503"/>
      <c r="AD167" s="7504"/>
      <c r="AE167" s="7502"/>
      <c r="AF167" s="7502"/>
      <c r="AG167" s="7502"/>
      <c r="AH167" s="7502"/>
      <c r="AI167" s="7503"/>
      <c r="AJ167" s="7504"/>
      <c r="AK167" s="7502"/>
      <c r="AL167" s="7502"/>
      <c r="AM167" s="7502"/>
      <c r="AN167" s="7502"/>
      <c r="AO167" s="7502"/>
      <c r="AP167" s="2162"/>
      <c r="BG167" s="2396"/>
      <c r="BH167" s="2038"/>
      <c r="BI167" s="2038"/>
      <c r="BJ167" s="2038"/>
      <c r="BK167" s="2038"/>
      <c r="BL167" s="2038"/>
      <c r="BM167" s="2038"/>
      <c r="BN167" s="2038"/>
      <c r="BO167" s="2038"/>
      <c r="BP167" s="2038"/>
    </row>
    <row r="168" spans="1:68" ht="14.25" customHeight="1">
      <c r="A168" s="2162"/>
      <c r="B168" s="7474">
        <v>8</v>
      </c>
      <c r="C168" s="7413"/>
      <c r="D168" s="2447" t="s">
        <v>2695</v>
      </c>
      <c r="E168" s="1715"/>
      <c r="F168" s="1715"/>
      <c r="G168" s="1715"/>
      <c r="H168" s="1715"/>
      <c r="I168" s="1715"/>
      <c r="J168" s="1715"/>
      <c r="K168" s="1715"/>
      <c r="L168" s="1715"/>
      <c r="M168" s="1715"/>
      <c r="N168" s="1715"/>
      <c r="O168" s="1715"/>
      <c r="P168" s="1715"/>
      <c r="Q168" s="1715"/>
      <c r="R168" s="1715"/>
      <c r="S168" s="2760" t="s">
        <v>650</v>
      </c>
      <c r="T168" s="7479">
        <v>8</v>
      </c>
      <c r="U168" s="7480"/>
      <c r="V168" s="7502"/>
      <c r="W168" s="7502"/>
      <c r="X168" s="7502"/>
      <c r="Y168" s="7502"/>
      <c r="Z168" s="7502"/>
      <c r="AA168" s="7502"/>
      <c r="AB168" s="7502"/>
      <c r="AC168" s="7503"/>
      <c r="AD168" s="7504"/>
      <c r="AE168" s="7502"/>
      <c r="AF168" s="7502"/>
      <c r="AG168" s="7502"/>
      <c r="AH168" s="7502"/>
      <c r="AI168" s="7503"/>
      <c r="AJ168" s="7504"/>
      <c r="AK168" s="7502"/>
      <c r="AL168" s="7502"/>
      <c r="AM168" s="7502"/>
      <c r="AN168" s="7502"/>
      <c r="AO168" s="7502"/>
      <c r="AP168" s="2162"/>
      <c r="BG168" s="2396"/>
      <c r="BH168" s="2038"/>
      <c r="BI168" s="2038"/>
      <c r="BJ168" s="2038"/>
      <c r="BK168" s="2038"/>
      <c r="BL168" s="2038"/>
      <c r="BM168" s="2038"/>
      <c r="BN168" s="2038"/>
      <c r="BO168" s="2038"/>
      <c r="BP168" s="2038"/>
    </row>
    <row r="169" spans="1:68" ht="14.25" customHeight="1">
      <c r="A169" s="2162"/>
      <c r="B169" s="7474">
        <v>9</v>
      </c>
      <c r="C169" s="7413"/>
      <c r="D169" s="2447" t="s">
        <v>2696</v>
      </c>
      <c r="E169" s="1715"/>
      <c r="F169" s="1715"/>
      <c r="G169" s="1715"/>
      <c r="H169" s="1715"/>
      <c r="I169" s="1715"/>
      <c r="J169" s="1715"/>
      <c r="K169" s="1715"/>
      <c r="L169" s="1715"/>
      <c r="M169" s="1715"/>
      <c r="N169" s="1715"/>
      <c r="O169" s="1715"/>
      <c r="P169" s="1715"/>
      <c r="Q169" s="1715"/>
      <c r="R169" s="1715"/>
      <c r="S169" s="2760" t="s">
        <v>2521</v>
      </c>
      <c r="T169" s="7479">
        <v>9</v>
      </c>
      <c r="U169" s="7480"/>
      <c r="V169" s="7502"/>
      <c r="W169" s="7502"/>
      <c r="X169" s="7502"/>
      <c r="Y169" s="7502"/>
      <c r="Z169" s="7502"/>
      <c r="AA169" s="7502"/>
      <c r="AB169" s="7502"/>
      <c r="AC169" s="7503"/>
      <c r="AD169" s="7504"/>
      <c r="AE169" s="7502"/>
      <c r="AF169" s="7502"/>
      <c r="AG169" s="7502"/>
      <c r="AH169" s="7502"/>
      <c r="AI169" s="7503"/>
      <c r="AJ169" s="7504"/>
      <c r="AK169" s="7502"/>
      <c r="AL169" s="7502"/>
      <c r="AM169" s="7502"/>
      <c r="AN169" s="7502"/>
      <c r="AO169" s="7502"/>
      <c r="AP169" s="2162"/>
      <c r="BG169" s="2396"/>
      <c r="BH169" s="2038"/>
      <c r="BI169" s="2038"/>
      <c r="BJ169" s="2038"/>
      <c r="BK169" s="2038"/>
      <c r="BL169" s="2038"/>
      <c r="BM169" s="2038"/>
      <c r="BN169" s="2038"/>
      <c r="BO169" s="2038"/>
      <c r="BP169" s="2038"/>
    </row>
    <row r="170" spans="1:68" ht="14.25" customHeight="1">
      <c r="A170" s="2162"/>
      <c r="B170" s="7474">
        <v>10</v>
      </c>
      <c r="C170" s="7413"/>
      <c r="D170" s="2447" t="s">
        <v>2697</v>
      </c>
      <c r="E170" s="1715"/>
      <c r="F170" s="1715"/>
      <c r="G170" s="1715"/>
      <c r="H170" s="1715"/>
      <c r="I170" s="1715"/>
      <c r="J170" s="1715"/>
      <c r="K170" s="1715"/>
      <c r="L170" s="1715"/>
      <c r="M170" s="1715"/>
      <c r="N170" s="1715"/>
      <c r="O170" s="1715"/>
      <c r="P170" s="1715"/>
      <c r="Q170" s="1715"/>
      <c r="R170" s="1715"/>
      <c r="S170" s="2760" t="s">
        <v>677</v>
      </c>
      <c r="T170" s="7479">
        <v>10</v>
      </c>
      <c r="U170" s="7480"/>
      <c r="V170" s="7502"/>
      <c r="W170" s="7502"/>
      <c r="X170" s="7502"/>
      <c r="Y170" s="7502"/>
      <c r="Z170" s="7502"/>
      <c r="AA170" s="7502"/>
      <c r="AB170" s="7502"/>
      <c r="AC170" s="7503"/>
      <c r="AD170" s="7504"/>
      <c r="AE170" s="7502"/>
      <c r="AF170" s="7502"/>
      <c r="AG170" s="7502"/>
      <c r="AH170" s="7502"/>
      <c r="AI170" s="7503"/>
      <c r="AJ170" s="7504"/>
      <c r="AK170" s="7502"/>
      <c r="AL170" s="7502"/>
      <c r="AM170" s="7502"/>
      <c r="AN170" s="7502"/>
      <c r="AO170" s="7502"/>
      <c r="AP170" s="2162"/>
      <c r="BG170" s="2396"/>
      <c r="BH170" s="2038"/>
      <c r="BI170" s="2038"/>
      <c r="BJ170" s="2038"/>
      <c r="BK170" s="2038"/>
      <c r="BL170" s="2038"/>
      <c r="BM170" s="2038"/>
      <c r="BN170" s="2038"/>
      <c r="BO170" s="2038"/>
      <c r="BP170" s="2038"/>
    </row>
    <row r="171" spans="1:68" ht="14.25" customHeight="1">
      <c r="A171" s="2162"/>
      <c r="B171" s="7474">
        <v>11</v>
      </c>
      <c r="C171" s="7413"/>
      <c r="D171" s="2447" t="s">
        <v>2698</v>
      </c>
      <c r="E171" s="1715"/>
      <c r="F171" s="1715"/>
      <c r="G171" s="1715"/>
      <c r="H171" s="1715"/>
      <c r="I171" s="1715"/>
      <c r="J171" s="1715"/>
      <c r="K171" s="1715"/>
      <c r="L171" s="1715"/>
      <c r="M171" s="1715"/>
      <c r="N171" s="1715"/>
      <c r="O171" s="1715"/>
      <c r="P171" s="1715"/>
      <c r="Q171" s="1715"/>
      <c r="R171" s="1715"/>
      <c r="S171" s="2760" t="s">
        <v>646</v>
      </c>
      <c r="T171" s="7479">
        <v>11</v>
      </c>
      <c r="U171" s="7480"/>
      <c r="V171" s="7502"/>
      <c r="W171" s="7502"/>
      <c r="X171" s="7502"/>
      <c r="Y171" s="7502"/>
      <c r="Z171" s="7502"/>
      <c r="AA171" s="7502"/>
      <c r="AB171" s="7502"/>
      <c r="AC171" s="7503"/>
      <c r="AD171" s="7504"/>
      <c r="AE171" s="7502"/>
      <c r="AF171" s="7502"/>
      <c r="AG171" s="7502"/>
      <c r="AH171" s="7502"/>
      <c r="AI171" s="7503"/>
      <c r="AJ171" s="7504"/>
      <c r="AK171" s="7502"/>
      <c r="AL171" s="7502"/>
      <c r="AM171" s="7502"/>
      <c r="AN171" s="7502"/>
      <c r="AO171" s="7502"/>
      <c r="AP171" s="2162"/>
      <c r="BG171" s="2396"/>
      <c r="BH171" s="2038"/>
      <c r="BI171" s="2038"/>
      <c r="BJ171" s="2038"/>
      <c r="BK171" s="2038"/>
      <c r="BL171" s="2038"/>
      <c r="BM171" s="2038"/>
      <c r="BN171" s="2038"/>
      <c r="BO171" s="2038"/>
      <c r="BP171" s="2038"/>
    </row>
    <row r="172" spans="1:68" ht="14.25" customHeight="1">
      <c r="A172" s="2162"/>
      <c r="B172" s="7474">
        <v>12</v>
      </c>
      <c r="C172" s="7413"/>
      <c r="D172" s="2447" t="s">
        <v>2699</v>
      </c>
      <c r="E172" s="1715"/>
      <c r="F172" s="1715"/>
      <c r="G172" s="1715"/>
      <c r="H172" s="1715"/>
      <c r="I172" s="1715"/>
      <c r="J172" s="1715"/>
      <c r="K172" s="1715"/>
      <c r="L172" s="1715"/>
      <c r="M172" s="1715"/>
      <c r="N172" s="1715"/>
      <c r="O172" s="1715"/>
      <c r="P172" s="1715"/>
      <c r="Q172" s="1715"/>
      <c r="R172" s="1715"/>
      <c r="S172" s="2341"/>
      <c r="T172" s="7479">
        <v>12</v>
      </c>
      <c r="U172" s="7480"/>
      <c r="V172" s="7502"/>
      <c r="W172" s="7502"/>
      <c r="X172" s="7502"/>
      <c r="Y172" s="7502"/>
      <c r="Z172" s="7502"/>
      <c r="AA172" s="7502"/>
      <c r="AB172" s="7502"/>
      <c r="AC172" s="7503"/>
      <c r="AD172" s="7504"/>
      <c r="AE172" s="7502"/>
      <c r="AF172" s="7502"/>
      <c r="AG172" s="7502"/>
      <c r="AH172" s="7502"/>
      <c r="AI172" s="7503"/>
      <c r="AJ172" s="7504"/>
      <c r="AK172" s="7502"/>
      <c r="AL172" s="7502"/>
      <c r="AM172" s="7502"/>
      <c r="AN172" s="7502"/>
      <c r="AO172" s="7502"/>
      <c r="AP172" s="2162"/>
      <c r="BG172" s="2396"/>
      <c r="BH172" s="2038"/>
      <c r="BI172" s="2038"/>
      <c r="BJ172" s="2038"/>
      <c r="BK172" s="2038"/>
      <c r="BL172" s="2038"/>
      <c r="BM172" s="2038"/>
      <c r="BN172" s="2038"/>
      <c r="BO172" s="2038"/>
      <c r="BP172" s="2038"/>
    </row>
    <row r="173" spans="1:68" ht="14.25" customHeight="1">
      <c r="A173" s="2162"/>
      <c r="B173" s="7474">
        <v>13</v>
      </c>
      <c r="C173" s="7413"/>
      <c r="D173" s="2447" t="s">
        <v>2700</v>
      </c>
      <c r="E173" s="1715"/>
      <c r="F173" s="1715"/>
      <c r="G173" s="1715"/>
      <c r="H173" s="1715"/>
      <c r="I173" s="1715"/>
      <c r="J173" s="1715"/>
      <c r="K173" s="1715"/>
      <c r="L173" s="1715"/>
      <c r="M173" s="1715"/>
      <c r="N173" s="1715"/>
      <c r="O173" s="1715"/>
      <c r="P173" s="1715"/>
      <c r="Q173" s="1715"/>
      <c r="R173" s="1715"/>
      <c r="S173" s="2760" t="s">
        <v>650</v>
      </c>
      <c r="T173" s="7479">
        <v>13</v>
      </c>
      <c r="U173" s="7480"/>
      <c r="V173" s="7502"/>
      <c r="W173" s="7502"/>
      <c r="X173" s="7502"/>
      <c r="Y173" s="7502"/>
      <c r="Z173" s="7502"/>
      <c r="AA173" s="7502"/>
      <c r="AB173" s="7502"/>
      <c r="AC173" s="7503"/>
      <c r="AD173" s="7504"/>
      <c r="AE173" s="7502"/>
      <c r="AF173" s="7502"/>
      <c r="AG173" s="7502"/>
      <c r="AH173" s="7502"/>
      <c r="AI173" s="7503"/>
      <c r="AJ173" s="7504"/>
      <c r="AK173" s="7502"/>
      <c r="AL173" s="7502"/>
      <c r="AM173" s="7502"/>
      <c r="AN173" s="7502"/>
      <c r="AO173" s="7502"/>
      <c r="AP173" s="2162"/>
      <c r="BG173" s="2396"/>
      <c r="BH173" s="2038"/>
      <c r="BI173" s="2038"/>
      <c r="BJ173" s="2038"/>
      <c r="BK173" s="2038"/>
      <c r="BL173" s="2038"/>
      <c r="BM173" s="2038"/>
      <c r="BN173" s="2038"/>
      <c r="BO173" s="2038"/>
      <c r="BP173" s="2038"/>
    </row>
    <row r="174" spans="1:68" ht="14.25" customHeight="1">
      <c r="A174" s="2162"/>
      <c r="B174" s="7474">
        <v>14</v>
      </c>
      <c r="C174" s="7413"/>
      <c r="D174" s="2447" t="s">
        <v>2701</v>
      </c>
      <c r="E174" s="1715"/>
      <c r="F174" s="1715"/>
      <c r="G174" s="1715"/>
      <c r="H174" s="1715"/>
      <c r="I174" s="1715"/>
      <c r="J174" s="1715"/>
      <c r="K174" s="1715"/>
      <c r="L174" s="1715"/>
      <c r="M174" s="1715"/>
      <c r="N174" s="1715"/>
      <c r="O174" s="1715"/>
      <c r="P174" s="1715"/>
      <c r="Q174" s="1715"/>
      <c r="R174" s="1715"/>
      <c r="S174" s="2760" t="s">
        <v>2521</v>
      </c>
      <c r="T174" s="7479">
        <v>14</v>
      </c>
      <c r="U174" s="7480"/>
      <c r="V174" s="7502"/>
      <c r="W174" s="7502"/>
      <c r="X174" s="7502"/>
      <c r="Y174" s="7502"/>
      <c r="Z174" s="7502"/>
      <c r="AA174" s="7502"/>
      <c r="AB174" s="7502"/>
      <c r="AC174" s="7503"/>
      <c r="AD174" s="7504"/>
      <c r="AE174" s="7502"/>
      <c r="AF174" s="7502"/>
      <c r="AG174" s="7502"/>
      <c r="AH174" s="7502"/>
      <c r="AI174" s="7503"/>
      <c r="AJ174" s="7504"/>
      <c r="AK174" s="7502"/>
      <c r="AL174" s="7502"/>
      <c r="AM174" s="7502"/>
      <c r="AN174" s="7502"/>
      <c r="AO174" s="7502"/>
      <c r="AP174" s="2162"/>
      <c r="BG174" s="2396"/>
      <c r="BH174" s="2038"/>
      <c r="BI174" s="2038"/>
      <c r="BJ174" s="2038"/>
      <c r="BK174" s="2038"/>
      <c r="BL174" s="2038"/>
      <c r="BM174" s="2038"/>
      <c r="BN174" s="2038"/>
      <c r="BO174" s="2038"/>
      <c r="BP174" s="2038"/>
    </row>
    <row r="175" spans="1:68" ht="14.25" customHeight="1">
      <c r="A175" s="2162"/>
      <c r="B175" s="7474">
        <v>15</v>
      </c>
      <c r="C175" s="7413"/>
      <c r="D175" s="2447" t="s">
        <v>2702</v>
      </c>
      <c r="E175" s="1715"/>
      <c r="F175" s="1715"/>
      <c r="G175" s="1715"/>
      <c r="H175" s="1715"/>
      <c r="I175" s="1715"/>
      <c r="J175" s="1715"/>
      <c r="K175" s="1715"/>
      <c r="L175" s="1715"/>
      <c r="M175" s="1715"/>
      <c r="N175" s="1715"/>
      <c r="O175" s="1715"/>
      <c r="P175" s="1715"/>
      <c r="Q175" s="1715"/>
      <c r="R175" s="1715"/>
      <c r="S175" s="2760" t="s">
        <v>2521</v>
      </c>
      <c r="T175" s="7479">
        <v>15</v>
      </c>
      <c r="U175" s="7480"/>
      <c r="V175" s="7502"/>
      <c r="W175" s="7502"/>
      <c r="X175" s="7502"/>
      <c r="Y175" s="7502"/>
      <c r="Z175" s="7502"/>
      <c r="AA175" s="7502"/>
      <c r="AB175" s="7502"/>
      <c r="AC175" s="7503"/>
      <c r="AD175" s="7504"/>
      <c r="AE175" s="7502"/>
      <c r="AF175" s="7502"/>
      <c r="AG175" s="7502"/>
      <c r="AH175" s="7502"/>
      <c r="AI175" s="7503"/>
      <c r="AJ175" s="7504"/>
      <c r="AK175" s="7502"/>
      <c r="AL175" s="7502"/>
      <c r="AM175" s="7502"/>
      <c r="AN175" s="7502"/>
      <c r="AO175" s="7502"/>
      <c r="AP175" s="2162"/>
      <c r="BG175" s="2396"/>
      <c r="BH175" s="2038"/>
      <c r="BI175" s="2038"/>
      <c r="BJ175" s="2038"/>
      <c r="BK175" s="2038"/>
      <c r="BL175" s="2038"/>
      <c r="BM175" s="2038"/>
      <c r="BN175" s="2038"/>
      <c r="BO175" s="2038"/>
      <c r="BP175" s="2038"/>
    </row>
    <row r="176" spans="1:68" ht="14.25" customHeight="1">
      <c r="A176" s="2162"/>
      <c r="B176" s="7474">
        <v>16</v>
      </c>
      <c r="C176" s="7413"/>
      <c r="D176" s="2447" t="s">
        <v>2703</v>
      </c>
      <c r="E176" s="1715"/>
      <c r="F176" s="1715"/>
      <c r="G176" s="1715"/>
      <c r="H176" s="1715"/>
      <c r="I176" s="1715"/>
      <c r="J176" s="1715"/>
      <c r="K176" s="1715"/>
      <c r="L176" s="1715"/>
      <c r="M176" s="1715"/>
      <c r="N176" s="1715"/>
      <c r="O176" s="1715"/>
      <c r="P176" s="1715"/>
      <c r="Q176" s="1715"/>
      <c r="R176" s="1715"/>
      <c r="S176" s="2760" t="s">
        <v>714</v>
      </c>
      <c r="T176" s="7479">
        <v>16</v>
      </c>
      <c r="U176" s="7480"/>
      <c r="V176" s="7502"/>
      <c r="W176" s="7502"/>
      <c r="X176" s="7502"/>
      <c r="Y176" s="7502"/>
      <c r="Z176" s="7502"/>
      <c r="AA176" s="7502"/>
      <c r="AB176" s="7502"/>
      <c r="AC176" s="7503"/>
      <c r="AD176" s="7504"/>
      <c r="AE176" s="7502"/>
      <c r="AF176" s="7502"/>
      <c r="AG176" s="7502"/>
      <c r="AH176" s="7502"/>
      <c r="AI176" s="7503"/>
      <c r="AJ176" s="7504"/>
      <c r="AK176" s="7502"/>
      <c r="AL176" s="7502"/>
      <c r="AM176" s="7502"/>
      <c r="AN176" s="7502"/>
      <c r="AO176" s="7502"/>
      <c r="AP176" s="2162"/>
      <c r="BG176" s="2396"/>
      <c r="BH176" s="2038"/>
      <c r="BI176" s="2038"/>
      <c r="BJ176" s="2038"/>
      <c r="BK176" s="2038"/>
      <c r="BL176" s="2038"/>
      <c r="BM176" s="2038"/>
      <c r="BN176" s="2038"/>
      <c r="BO176" s="2038"/>
      <c r="BP176" s="2038"/>
    </row>
    <row r="177" spans="1:68" ht="14.25" customHeight="1">
      <c r="A177" s="2162"/>
      <c r="B177" s="7474">
        <v>17</v>
      </c>
      <c r="C177" s="7413"/>
      <c r="D177" s="2447" t="s">
        <v>2333</v>
      </c>
      <c r="E177" s="1715"/>
      <c r="F177" s="1715"/>
      <c r="G177" s="1715"/>
      <c r="H177" s="1715"/>
      <c r="I177" s="1715"/>
      <c r="J177" s="1715"/>
      <c r="K177" s="1715"/>
      <c r="L177" s="1715"/>
      <c r="M177" s="1715"/>
      <c r="N177" s="1715"/>
      <c r="O177" s="1715"/>
      <c r="P177" s="1715"/>
      <c r="Q177" s="1715"/>
      <c r="R177" s="1715"/>
      <c r="S177" s="2760" t="s">
        <v>714</v>
      </c>
      <c r="T177" s="7479">
        <v>17</v>
      </c>
      <c r="U177" s="7480"/>
      <c r="V177" s="7502"/>
      <c r="W177" s="7502"/>
      <c r="X177" s="7502"/>
      <c r="Y177" s="7502"/>
      <c r="Z177" s="7502"/>
      <c r="AA177" s="7502"/>
      <c r="AB177" s="7502"/>
      <c r="AC177" s="7503"/>
      <c r="AD177" s="7504"/>
      <c r="AE177" s="7502"/>
      <c r="AF177" s="7502"/>
      <c r="AG177" s="7502"/>
      <c r="AH177" s="7502"/>
      <c r="AI177" s="7503"/>
      <c r="AJ177" s="7504"/>
      <c r="AK177" s="7502"/>
      <c r="AL177" s="7502"/>
      <c r="AM177" s="7502"/>
      <c r="AN177" s="7502"/>
      <c r="AO177" s="7502"/>
      <c r="AP177" s="2162"/>
      <c r="AQ177" s="260"/>
      <c r="AR177" s="260"/>
      <c r="AS177" s="260"/>
      <c r="AT177" s="260"/>
      <c r="AU177" s="260"/>
      <c r="BG177" s="2396"/>
      <c r="BH177" s="2038"/>
      <c r="BI177" s="2038"/>
      <c r="BJ177" s="2038"/>
      <c r="BK177" s="2038"/>
      <c r="BL177" s="2038"/>
      <c r="BM177" s="2038"/>
      <c r="BN177" s="2038"/>
      <c r="BO177" s="2038"/>
      <c r="BP177" s="2038"/>
    </row>
    <row r="178" spans="1:68" ht="14.25" customHeight="1">
      <c r="A178" s="2162"/>
      <c r="B178" s="7474">
        <v>18</v>
      </c>
      <c r="C178" s="7413"/>
      <c r="D178" s="2447" t="s">
        <v>2704</v>
      </c>
      <c r="E178" s="1715"/>
      <c r="F178" s="1715"/>
      <c r="G178" s="1715"/>
      <c r="H178" s="1715"/>
      <c r="I178" s="1715"/>
      <c r="J178" s="1715"/>
      <c r="K178" s="1715"/>
      <c r="L178" s="1715"/>
      <c r="M178" s="1715"/>
      <c r="N178" s="1715"/>
      <c r="O178" s="1715"/>
      <c r="P178" s="1715"/>
      <c r="Q178" s="1715"/>
      <c r="R178" s="1715"/>
      <c r="S178" s="2760" t="s">
        <v>677</v>
      </c>
      <c r="T178" s="7479">
        <v>18</v>
      </c>
      <c r="U178" s="7480"/>
      <c r="V178" s="7502"/>
      <c r="W178" s="7502"/>
      <c r="X178" s="7502"/>
      <c r="Y178" s="7502"/>
      <c r="Z178" s="7502"/>
      <c r="AA178" s="7502"/>
      <c r="AB178" s="7502"/>
      <c r="AC178" s="7503"/>
      <c r="AD178" s="7504"/>
      <c r="AE178" s="7502"/>
      <c r="AF178" s="7502"/>
      <c r="AG178" s="7502"/>
      <c r="AH178" s="7502"/>
      <c r="AI178" s="7503"/>
      <c r="AJ178" s="7504"/>
      <c r="AK178" s="7502"/>
      <c r="AL178" s="7502"/>
      <c r="AM178" s="7502"/>
      <c r="AN178" s="7502"/>
      <c r="AO178" s="7502"/>
      <c r="AP178" s="2162"/>
      <c r="AQ178" s="260"/>
      <c r="AR178" s="7328" t="s">
        <v>2705</v>
      </c>
      <c r="AS178" s="7367"/>
      <c r="AT178" s="7367"/>
      <c r="AU178" s="260"/>
      <c r="BG178" s="2396"/>
      <c r="BH178" s="2038"/>
      <c r="BI178" s="2038"/>
      <c r="BJ178" s="2038"/>
      <c r="BK178" s="2038"/>
      <c r="BL178" s="2038"/>
      <c r="BM178" s="2038"/>
      <c r="BN178" s="2038"/>
      <c r="BO178" s="2038"/>
      <c r="BP178" s="2038"/>
    </row>
    <row r="179" spans="1:68" ht="14.25" customHeight="1">
      <c r="A179" s="2162"/>
      <c r="B179" s="7474">
        <v>19</v>
      </c>
      <c r="C179" s="7413"/>
      <c r="D179" s="2447" t="s">
        <v>2706</v>
      </c>
      <c r="E179" s="1715"/>
      <c r="F179" s="1715"/>
      <c r="G179" s="1715"/>
      <c r="H179" s="7506"/>
      <c r="I179" s="7506"/>
      <c r="J179" s="7506"/>
      <c r="K179" s="7506"/>
      <c r="L179" s="7506"/>
      <c r="M179" s="7506"/>
      <c r="N179" s="7506"/>
      <c r="O179" s="7506"/>
      <c r="P179" s="7506"/>
      <c r="Q179" s="7506"/>
      <c r="R179" s="7506"/>
      <c r="S179" s="2341"/>
      <c r="T179" s="7479">
        <v>19</v>
      </c>
      <c r="U179" s="7480"/>
      <c r="V179" s="7502"/>
      <c r="W179" s="7502"/>
      <c r="X179" s="7502"/>
      <c r="Y179" s="7502"/>
      <c r="Z179" s="7502"/>
      <c r="AA179" s="7502"/>
      <c r="AB179" s="7502"/>
      <c r="AC179" s="7503"/>
      <c r="AD179" s="7504"/>
      <c r="AE179" s="7502"/>
      <c r="AF179" s="7502"/>
      <c r="AG179" s="7502"/>
      <c r="AH179" s="7502"/>
      <c r="AI179" s="7503"/>
      <c r="AJ179" s="7504"/>
      <c r="AK179" s="7502"/>
      <c r="AL179" s="7502"/>
      <c r="AM179" s="7502"/>
      <c r="AN179" s="7502"/>
      <c r="AO179" s="7502"/>
      <c r="AP179" s="2162"/>
      <c r="AQ179" s="260"/>
      <c r="AR179" s="260"/>
      <c r="AS179" s="260"/>
      <c r="AT179" s="260"/>
      <c r="AU179" s="260"/>
      <c r="BG179" s="2396"/>
      <c r="BH179" s="2038"/>
      <c r="BI179" s="2038"/>
      <c r="BJ179" s="2038"/>
      <c r="BK179" s="2038"/>
      <c r="BL179" s="2038"/>
      <c r="BM179" s="2038"/>
      <c r="BN179" s="2038"/>
      <c r="BO179" s="2038"/>
      <c r="BP179" s="2038"/>
    </row>
    <row r="180" spans="1:68" ht="14.25" customHeight="1">
      <c r="A180" s="2162"/>
      <c r="B180" s="7474">
        <v>20</v>
      </c>
      <c r="C180" s="7413"/>
      <c r="D180" s="2447" t="s">
        <v>2707</v>
      </c>
      <c r="E180" s="1715"/>
      <c r="F180" s="1715"/>
      <c r="G180" s="1715"/>
      <c r="H180" s="1715"/>
      <c r="I180" s="1715"/>
      <c r="J180" s="1715"/>
      <c r="K180" s="1715"/>
      <c r="L180" s="1715"/>
      <c r="M180" s="1715"/>
      <c r="N180" s="1715"/>
      <c r="O180" s="1715"/>
      <c r="P180" s="1715"/>
      <c r="Q180" s="1715"/>
      <c r="R180" s="1715"/>
      <c r="S180" s="2760" t="s">
        <v>699</v>
      </c>
      <c r="T180" s="7479">
        <v>20</v>
      </c>
      <c r="U180" s="7480"/>
      <c r="V180" s="7369">
        <f>IF(AR180&lt;&gt;"",ROUND(AR180,0),ROUND(SUM(V165:AC179),0))</f>
        <v>0</v>
      </c>
      <c r="W180" s="7369"/>
      <c r="X180" s="7369"/>
      <c r="Y180" s="7369"/>
      <c r="Z180" s="7369"/>
      <c r="AA180" s="7369"/>
      <c r="AB180" s="7369"/>
      <c r="AC180" s="7491"/>
      <c r="AD180" s="7490">
        <f>IF(AS180&lt;&gt;"",ROUND(AS180,0),ROUND(SUM(AD165:AI179),0))</f>
        <v>0</v>
      </c>
      <c r="AE180" s="7369"/>
      <c r="AF180" s="7369"/>
      <c r="AG180" s="7369"/>
      <c r="AH180" s="7369"/>
      <c r="AI180" s="7491"/>
      <c r="AJ180" s="7505">
        <f>IF(AT180&lt;&gt;"",ROUND(AT180,0),ROUND(SUM(AJ165:AO179),0))</f>
        <v>0</v>
      </c>
      <c r="AK180" s="7371"/>
      <c r="AL180" s="7371"/>
      <c r="AM180" s="7371"/>
      <c r="AN180" s="7371"/>
      <c r="AO180" s="7371"/>
      <c r="AP180" s="2162"/>
      <c r="AQ180" s="260"/>
      <c r="AR180" s="2499"/>
      <c r="AS180" s="2499"/>
      <c r="AT180" s="2499"/>
      <c r="AU180" s="260"/>
      <c r="BG180" s="2396"/>
      <c r="BH180" s="2038"/>
      <c r="BI180" s="2038"/>
      <c r="BJ180" s="2038"/>
      <c r="BK180" s="2038"/>
      <c r="BL180" s="2038"/>
      <c r="BM180" s="2038"/>
      <c r="BN180" s="2038"/>
      <c r="BO180" s="2038"/>
      <c r="BP180" s="2038"/>
    </row>
    <row r="181" spans="1:68" ht="14.25" customHeight="1">
      <c r="A181" s="2162"/>
      <c r="B181" s="7474">
        <v>21</v>
      </c>
      <c r="C181" s="7413"/>
      <c r="D181" s="2447" t="s">
        <v>2708</v>
      </c>
      <c r="E181" s="1715"/>
      <c r="F181" s="1715"/>
      <c r="G181" s="1715"/>
      <c r="H181" s="1715"/>
      <c r="I181" s="1715"/>
      <c r="J181" s="1715"/>
      <c r="K181" s="1715"/>
      <c r="L181" s="1715"/>
      <c r="M181" s="1715"/>
      <c r="N181" s="1715"/>
      <c r="O181" s="1715"/>
      <c r="P181" s="1715"/>
      <c r="Q181" s="1715"/>
      <c r="R181" s="1715"/>
      <c r="S181" s="2341"/>
      <c r="T181" s="7497"/>
      <c r="U181" s="7498"/>
      <c r="V181" s="7499"/>
      <c r="W181" s="7500"/>
      <c r="X181" s="7500"/>
      <c r="Y181" s="7500"/>
      <c r="Z181" s="7500"/>
      <c r="AA181" s="7500"/>
      <c r="AB181" s="7500"/>
      <c r="AC181" s="7501"/>
      <c r="AD181" s="7499"/>
      <c r="AE181" s="7500"/>
      <c r="AF181" s="7500"/>
      <c r="AG181" s="7500"/>
      <c r="AH181" s="7500"/>
      <c r="AI181" s="7501"/>
      <c r="AJ181" s="7499"/>
      <c r="AK181" s="7500"/>
      <c r="AL181" s="7500"/>
      <c r="AM181" s="7500"/>
      <c r="AN181" s="7500"/>
      <c r="AO181" s="7500"/>
      <c r="AP181" s="2162"/>
      <c r="AQ181" s="260"/>
      <c r="AR181" s="260"/>
      <c r="AS181" s="260"/>
      <c r="AT181" s="260"/>
      <c r="AU181" s="260"/>
      <c r="AX181" s="118"/>
      <c r="AY181" s="7365" t="s">
        <v>542</v>
      </c>
      <c r="AZ181" s="7366"/>
      <c r="BA181" s="7365" t="s">
        <v>548</v>
      </c>
      <c r="BB181" s="7366"/>
      <c r="BC181" s="7365" t="s">
        <v>550</v>
      </c>
      <c r="BD181" s="7366"/>
      <c r="BG181" s="2396"/>
      <c r="BH181" s="2038"/>
      <c r="BI181" s="2038"/>
      <c r="BJ181" s="2038"/>
      <c r="BK181" s="2038"/>
      <c r="BL181" s="2038"/>
      <c r="BM181" s="2038"/>
      <c r="BN181" s="2038"/>
      <c r="BO181" s="2038"/>
      <c r="BP181" s="2038"/>
    </row>
    <row r="182" spans="1:68" ht="14.25" customHeight="1">
      <c r="A182" s="2162"/>
      <c r="B182" s="7474"/>
      <c r="C182" s="7413"/>
      <c r="D182" s="2447" t="s">
        <v>2709</v>
      </c>
      <c r="E182" s="1715"/>
      <c r="F182" s="1715"/>
      <c r="G182" s="1715"/>
      <c r="H182" s="1715"/>
      <c r="I182" s="1715"/>
      <c r="J182" s="1715"/>
      <c r="K182" s="1715"/>
      <c r="L182" s="1715"/>
      <c r="M182" s="1715"/>
      <c r="N182" s="1715"/>
      <c r="O182" s="1715"/>
      <c r="P182" s="1715"/>
      <c r="Q182" s="1715"/>
      <c r="R182" s="1715"/>
      <c r="S182" s="2341"/>
      <c r="T182" s="7492"/>
      <c r="U182" s="7493"/>
      <c r="V182" s="7494"/>
      <c r="W182" s="7495"/>
      <c r="X182" s="7495"/>
      <c r="Y182" s="7495"/>
      <c r="Z182" s="7495"/>
      <c r="AA182" s="7495"/>
      <c r="AB182" s="7495"/>
      <c r="AC182" s="7496"/>
      <c r="AD182" s="7494"/>
      <c r="AE182" s="7495"/>
      <c r="AF182" s="7495"/>
      <c r="AG182" s="7495"/>
      <c r="AH182" s="7495"/>
      <c r="AI182" s="7496"/>
      <c r="AJ182" s="7494"/>
      <c r="AK182" s="7495"/>
      <c r="AL182" s="7495"/>
      <c r="AM182" s="7495"/>
      <c r="AN182" s="7495"/>
      <c r="AO182" s="7495"/>
      <c r="AP182" s="2162"/>
      <c r="AQ182" s="260"/>
      <c r="AR182" s="260"/>
      <c r="AS182" s="260"/>
      <c r="AT182" s="260"/>
      <c r="AU182" s="260"/>
      <c r="AX182" s="118"/>
      <c r="AY182" s="777" t="s">
        <v>2710</v>
      </c>
      <c r="AZ182" s="777" t="s">
        <v>2711</v>
      </c>
      <c r="BA182" s="777" t="s">
        <v>2710</v>
      </c>
      <c r="BB182" s="777" t="s">
        <v>2711</v>
      </c>
      <c r="BC182" s="777" t="s">
        <v>2710</v>
      </c>
      <c r="BD182" s="777" t="s">
        <v>2711</v>
      </c>
      <c r="BG182" s="2396"/>
      <c r="BH182" s="2038"/>
      <c r="BI182" s="2038"/>
      <c r="BJ182" s="2038"/>
      <c r="BK182" s="2038"/>
      <c r="BL182" s="2038"/>
      <c r="BM182" s="2038"/>
      <c r="BN182" s="2038"/>
      <c r="BO182" s="2038"/>
      <c r="BP182" s="2038"/>
    </row>
    <row r="183" spans="1:68" ht="14.25" customHeight="1">
      <c r="A183" s="2162"/>
      <c r="B183" s="7474"/>
      <c r="C183" s="7413"/>
      <c r="D183" s="2447" t="s">
        <v>2712</v>
      </c>
      <c r="E183" s="1715"/>
      <c r="F183" s="1715"/>
      <c r="G183" s="1715"/>
      <c r="H183" s="1715"/>
      <c r="I183" s="1715"/>
      <c r="J183" s="1715"/>
      <c r="K183" s="1715"/>
      <c r="L183" s="1715"/>
      <c r="M183" s="1715"/>
      <c r="N183" s="1715"/>
      <c r="O183" s="1715"/>
      <c r="P183" s="1715"/>
      <c r="Q183" s="1715"/>
      <c r="R183" s="1715"/>
      <c r="S183" s="2760" t="s">
        <v>661</v>
      </c>
      <c r="T183" s="7479">
        <v>21</v>
      </c>
      <c r="U183" s="7480"/>
      <c r="V183" s="7490">
        <f>IF(AR183&lt;&gt;"",ROUND(AR183,0),ROUND(SUM(V162,V163,-V180),0))</f>
        <v>0</v>
      </c>
      <c r="W183" s="7369"/>
      <c r="X183" s="7369"/>
      <c r="Y183" s="7369"/>
      <c r="Z183" s="7369"/>
      <c r="AA183" s="7369"/>
      <c r="AB183" s="7369"/>
      <c r="AC183" s="7491"/>
      <c r="AD183" s="7490">
        <f>IF(AS183&lt;&gt;"",ROUND(AS183,0),ROUND(SUM(AD162,AD163,-AD180),0))</f>
        <v>0</v>
      </c>
      <c r="AE183" s="7369"/>
      <c r="AF183" s="7369"/>
      <c r="AG183" s="7369"/>
      <c r="AH183" s="7369"/>
      <c r="AI183" s="7491"/>
      <c r="AJ183" s="7490">
        <f>IF(AT183&lt;&gt;"",ROUND(AT183,0),ROUND(SUM(AJ162,AJ163,-AJ180),0))</f>
        <v>0</v>
      </c>
      <c r="AK183" s="7369"/>
      <c r="AL183" s="7369"/>
      <c r="AM183" s="7369"/>
      <c r="AN183" s="7369"/>
      <c r="AO183" s="7369"/>
      <c r="AP183" s="2162"/>
      <c r="AQ183" s="260"/>
      <c r="AR183" s="2499"/>
      <c r="AS183" s="2499"/>
      <c r="AT183" s="2499"/>
      <c r="AU183" s="260"/>
      <c r="AX183" s="779" t="s">
        <v>2713</v>
      </c>
      <c r="AY183" s="776">
        <f>IF(V183&gt;0,V183,0)</f>
        <v>0</v>
      </c>
      <c r="AZ183" s="776">
        <f>IF(V183&lt;0,V183,0)</f>
        <v>0</v>
      </c>
      <c r="BA183" s="776">
        <f>IF(AD183&gt;0,AD183,0)</f>
        <v>0</v>
      </c>
      <c r="BB183" s="776">
        <f>IF(AD183&lt;0,AD183,0)</f>
        <v>0</v>
      </c>
      <c r="BC183" s="776">
        <f>IF(AJ183&gt;0,AJ183,0)</f>
        <v>0</v>
      </c>
      <c r="BD183" s="776">
        <f>IF(AJ183&lt;0,AJ183,0)</f>
        <v>0</v>
      </c>
      <c r="BG183" s="2396"/>
      <c r="BH183" s="2038"/>
      <c r="BI183" s="2038"/>
      <c r="BJ183" s="2038"/>
      <c r="BK183" s="2038"/>
      <c r="BL183" s="2038"/>
      <c r="BM183" s="2038"/>
      <c r="BN183" s="2038"/>
      <c r="BO183" s="2038"/>
      <c r="BP183" s="2038"/>
    </row>
    <row r="184" spans="1:68" ht="14.25" customHeight="1">
      <c r="A184" s="2162"/>
      <c r="B184" s="7474">
        <v>22</v>
      </c>
      <c r="C184" s="7413"/>
      <c r="D184" s="2447" t="s">
        <v>2714</v>
      </c>
      <c r="E184" s="1715"/>
      <c r="F184" s="1715"/>
      <c r="G184" s="1715"/>
      <c r="H184" s="1715"/>
      <c r="I184" s="1715"/>
      <c r="J184" s="1715"/>
      <c r="K184" s="1715"/>
      <c r="L184" s="1715"/>
      <c r="M184" s="1715"/>
      <c r="N184" s="1715"/>
      <c r="O184" s="1715"/>
      <c r="P184" s="1715"/>
      <c r="Q184" s="1715"/>
      <c r="R184" s="1715"/>
      <c r="S184" s="2341"/>
      <c r="T184" s="7492"/>
      <c r="U184" s="7493"/>
      <c r="V184" s="7494"/>
      <c r="W184" s="7495"/>
      <c r="X184" s="7495"/>
      <c r="Y184" s="7495"/>
      <c r="Z184" s="7495"/>
      <c r="AA184" s="7495"/>
      <c r="AB184" s="7495"/>
      <c r="AC184" s="7496"/>
      <c r="AD184" s="7494"/>
      <c r="AE184" s="7495"/>
      <c r="AF184" s="7495"/>
      <c r="AG184" s="7495"/>
      <c r="AH184" s="7495"/>
      <c r="AI184" s="7496"/>
      <c r="AJ184" s="7494"/>
      <c r="AK184" s="7495"/>
      <c r="AL184" s="7495"/>
      <c r="AM184" s="7495"/>
      <c r="AN184" s="7495"/>
      <c r="AO184" s="7495"/>
      <c r="AP184" s="2162"/>
      <c r="AQ184" s="260"/>
      <c r="AR184" s="260"/>
      <c r="AS184" s="260"/>
      <c r="AT184" s="260"/>
      <c r="AU184" s="260"/>
      <c r="AX184" s="779" t="s">
        <v>2715</v>
      </c>
      <c r="AY184" s="792" t="s">
        <v>399</v>
      </c>
      <c r="AZ184" s="776">
        <f>IF(W185&lt;&gt;"",-W185,0)</f>
        <v>0</v>
      </c>
      <c r="BA184" s="792" t="s">
        <v>399</v>
      </c>
      <c r="BB184" s="776">
        <f>IF(AE185&lt;&gt;"",-AE185,0)</f>
        <v>0</v>
      </c>
      <c r="BC184" s="792" t="s">
        <v>399</v>
      </c>
      <c r="BD184" s="776">
        <f>IF(AK185&lt;&gt;"",-AK185,0)</f>
        <v>0</v>
      </c>
      <c r="BG184" s="2396"/>
      <c r="BH184" s="2038"/>
      <c r="BI184" s="2038"/>
      <c r="BJ184" s="2038"/>
      <c r="BK184" s="2038"/>
      <c r="BL184" s="2038"/>
      <c r="BM184" s="2038"/>
      <c r="BN184" s="2038"/>
      <c r="BO184" s="2038"/>
      <c r="BP184" s="2038"/>
    </row>
    <row r="185" spans="1:68" ht="14.25" customHeight="1">
      <c r="A185" s="2162"/>
      <c r="B185" s="7474"/>
      <c r="C185" s="7413"/>
      <c r="D185" s="2447" t="s">
        <v>2716</v>
      </c>
      <c r="E185" s="1715"/>
      <c r="F185" s="1715"/>
      <c r="G185" s="1715"/>
      <c r="H185" s="1715"/>
      <c r="I185" s="1715"/>
      <c r="J185" s="1715"/>
      <c r="K185" s="1715"/>
      <c r="L185" s="1715"/>
      <c r="M185" s="1715"/>
      <c r="N185" s="1715"/>
      <c r="O185" s="1715"/>
      <c r="P185" s="1715"/>
      <c r="Q185" s="1715"/>
      <c r="R185" s="1715"/>
      <c r="S185" s="2760" t="s">
        <v>654</v>
      </c>
      <c r="T185" s="7479">
        <v>22</v>
      </c>
      <c r="U185" s="7480"/>
      <c r="V185" s="2501" t="s">
        <v>905</v>
      </c>
      <c r="W185" s="7369" t="str">
        <f>IF(AND(AR185&lt;0,AR185&lt;&gt;""),-ROUND(AR185,0),IF(AND(AR185&gt;=0,AR185&lt;&gt;""),ROUND(AR185,0),IF(AND(D153&lt;&gt;6,V183&lt;0),ROUND(-V183,0),"")))</f>
        <v/>
      </c>
      <c r="X185" s="7370"/>
      <c r="Y185" s="7370"/>
      <c r="Z185" s="7370"/>
      <c r="AA185" s="7370"/>
      <c r="AB185" s="7370"/>
      <c r="AC185" s="4714" t="s">
        <v>906</v>
      </c>
      <c r="AD185" s="2501" t="s">
        <v>905</v>
      </c>
      <c r="AE185" s="7369" t="str">
        <f>IF(AND(AS185&lt;0,AS185&lt;&gt;""),-ROUND(AS185,0),IF(AND(AS185&gt;=0,AS185&lt;&gt;""),ROUND(AS185,0),IF(AND(D154&lt;&gt;6,AD183&lt;0),ROUND(-AD183,0),"")))</f>
        <v/>
      </c>
      <c r="AF185" s="7370"/>
      <c r="AG185" s="7370"/>
      <c r="AH185" s="7370"/>
      <c r="AI185" s="4714" t="s">
        <v>906</v>
      </c>
      <c r="AJ185" s="2501" t="s">
        <v>905</v>
      </c>
      <c r="AK185" s="7369" t="str">
        <f>IF(AND(AT185&lt;0,AT185&lt;&gt;""),-ROUND(AT185,0),IF(AND(AT185&gt;=0,AT185&lt;&gt;""),ROUND(AT185,0),IF(AND(D155&lt;&gt;6,AJ183&lt;0),ROUND(-AJ183,0),"")))</f>
        <v/>
      </c>
      <c r="AL185" s="7370"/>
      <c r="AM185" s="7370"/>
      <c r="AN185" s="7370"/>
      <c r="AO185" s="4713" t="s">
        <v>906</v>
      </c>
      <c r="AP185" s="2162"/>
      <c r="AQ185" s="260"/>
      <c r="AR185" s="2499"/>
      <c r="AS185" s="2499"/>
      <c r="AT185" s="2499"/>
      <c r="AU185" s="260"/>
      <c r="AX185" s="779"/>
      <c r="AY185" s="778" t="s">
        <v>2717</v>
      </c>
      <c r="AZ185" s="776">
        <f>IF(D153=6,AZ183,0)</f>
        <v>0</v>
      </c>
      <c r="BA185"/>
      <c r="BB185" s="776">
        <f>IF(D154=6,BB183,0)</f>
        <v>0</v>
      </c>
      <c r="BC185"/>
      <c r="BD185" s="776">
        <f>IF(D155=6,BD183,0)</f>
        <v>0</v>
      </c>
      <c r="BG185" s="2396"/>
      <c r="BH185" s="2038"/>
      <c r="BI185" s="2038"/>
      <c r="BJ185" s="2038"/>
      <c r="BK185" s="2038"/>
      <c r="BL185" s="2038"/>
      <c r="BM185" s="2038"/>
      <c r="BN185" s="2038"/>
      <c r="BO185" s="2038"/>
      <c r="BP185" s="2038"/>
    </row>
    <row r="186" spans="1:68" ht="14.25" customHeight="1">
      <c r="A186" s="2162"/>
      <c r="B186" s="7474" t="s">
        <v>2718</v>
      </c>
      <c r="C186" s="7413"/>
      <c r="D186" s="2447" t="s">
        <v>2719</v>
      </c>
      <c r="E186" s="1715"/>
      <c r="F186" s="1715"/>
      <c r="G186" s="1715"/>
      <c r="H186" s="1715"/>
      <c r="I186" s="1715"/>
      <c r="J186" s="1715"/>
      <c r="K186" s="1715"/>
      <c r="L186" s="1715"/>
      <c r="M186" s="1715"/>
      <c r="N186" s="1715"/>
      <c r="O186" s="1715"/>
      <c r="P186" s="1715"/>
      <c r="Q186" s="1715"/>
      <c r="R186" s="1715"/>
      <c r="S186" s="1715"/>
      <c r="T186" s="1715"/>
      <c r="U186" s="1715"/>
      <c r="V186" s="1715"/>
      <c r="W186" s="1715"/>
      <c r="X186" s="1715"/>
      <c r="Y186" s="1715"/>
      <c r="Z186" s="1715"/>
      <c r="AA186" s="2760" t="s">
        <v>684</v>
      </c>
      <c r="AB186" s="7475" t="s">
        <v>2718</v>
      </c>
      <c r="AC186" s="7476"/>
      <c r="AD186" s="7490">
        <f>IF(AR186&lt;&gt;"",ROUND(AR186,0),ROUND(BC156,0))</f>
        <v>0</v>
      </c>
      <c r="AE186" s="7369"/>
      <c r="AF186" s="7369"/>
      <c r="AG186" s="7369"/>
      <c r="AH186" s="7369"/>
      <c r="AI186" s="7491"/>
      <c r="AJ186" s="2162"/>
      <c r="AK186" s="2162"/>
      <c r="AL186" s="2162"/>
      <c r="AM186" s="2162"/>
      <c r="AN186" s="2162"/>
      <c r="AO186" s="2162"/>
      <c r="AP186" s="2162"/>
      <c r="AQ186" s="260"/>
      <c r="AR186" s="2499"/>
      <c r="AS186" s="260"/>
      <c r="AT186" s="260"/>
      <c r="AU186" s="260"/>
      <c r="AX186" s="118"/>
      <c r="AY186" s="778" t="s">
        <v>2720</v>
      </c>
      <c r="AZ186" s="776">
        <f>IF(D153&lt;&gt;6,AZ183,0)</f>
        <v>0</v>
      </c>
      <c r="BA186"/>
      <c r="BB186" s="776">
        <f>IF(D154&lt;&gt;6,BB183,0)</f>
        <v>0</v>
      </c>
      <c r="BC186"/>
      <c r="BD186" s="776">
        <f>IF(D155&lt;&gt;6,BD183,0)</f>
        <v>0</v>
      </c>
      <c r="BG186" s="2396"/>
      <c r="BH186" s="2038"/>
      <c r="BI186" s="2038"/>
      <c r="BJ186" s="2038"/>
      <c r="BK186" s="2038"/>
      <c r="BL186" s="2038"/>
      <c r="BM186" s="2038"/>
      <c r="BN186" s="2038"/>
      <c r="BO186" s="2038"/>
      <c r="BP186" s="2038"/>
    </row>
    <row r="187" spans="1:68" ht="14.25" customHeight="1">
      <c r="A187" s="2162"/>
      <c r="B187" s="7488" t="s">
        <v>644</v>
      </c>
      <c r="C187" s="7489"/>
      <c r="D187" s="2447" t="s">
        <v>2721</v>
      </c>
      <c r="E187" s="1715"/>
      <c r="F187" s="1715"/>
      <c r="G187" s="1715"/>
      <c r="H187" s="1715"/>
      <c r="I187" s="1715"/>
      <c r="J187" s="1715"/>
      <c r="K187" s="1715"/>
      <c r="L187" s="1715"/>
      <c r="M187" s="1715"/>
      <c r="N187" s="1715"/>
      <c r="O187" s="1715"/>
      <c r="P187" s="1715"/>
      <c r="Q187" s="1715"/>
      <c r="R187" s="1715"/>
      <c r="S187" s="1715"/>
      <c r="T187" s="1715"/>
      <c r="U187" s="1715"/>
      <c r="V187" s="1715"/>
      <c r="W187" s="1715"/>
      <c r="X187" s="1715"/>
      <c r="Y187" s="1715"/>
      <c r="Z187" s="1715"/>
      <c r="AA187" s="2760" t="s">
        <v>699</v>
      </c>
      <c r="AB187" s="7475" t="s">
        <v>2722</v>
      </c>
      <c r="AC187" s="7476"/>
      <c r="AD187" s="7490">
        <f>IF(AR187&lt;&gt;"",ROUND(AR187,0),ROUND(BC157,0))</f>
        <v>0</v>
      </c>
      <c r="AE187" s="7369"/>
      <c r="AF187" s="7369"/>
      <c r="AG187" s="7369"/>
      <c r="AH187" s="7369"/>
      <c r="AI187" s="7491"/>
      <c r="AJ187" s="2162"/>
      <c r="AK187" s="2162"/>
      <c r="AL187" s="2162"/>
      <c r="AM187" s="2162"/>
      <c r="AN187" s="2162"/>
      <c r="AO187" s="2162"/>
      <c r="AP187" s="2162"/>
      <c r="AQ187" s="260"/>
      <c r="AR187" s="2499"/>
      <c r="AS187" s="260"/>
      <c r="AT187" s="260"/>
      <c r="AU187" s="260"/>
      <c r="BG187" s="2396"/>
      <c r="BH187" s="2038"/>
      <c r="BI187" s="2038"/>
      <c r="BJ187" s="2038"/>
      <c r="BK187" s="2038"/>
      <c r="BL187" s="2038"/>
      <c r="BM187" s="2038"/>
      <c r="BN187" s="2038"/>
      <c r="BO187" s="2038"/>
      <c r="BP187" s="2038"/>
    </row>
    <row r="188" spans="1:68" ht="14.25" customHeight="1">
      <c r="A188" s="2162"/>
      <c r="B188" s="7488" t="s">
        <v>648</v>
      </c>
      <c r="C188" s="7489"/>
      <c r="D188" s="2447" t="s">
        <v>2723</v>
      </c>
      <c r="E188" s="1715"/>
      <c r="F188" s="1715"/>
      <c r="G188" s="1715"/>
      <c r="H188" s="1715"/>
      <c r="I188" s="1715"/>
      <c r="J188" s="1715"/>
      <c r="K188" s="1715"/>
      <c r="L188" s="1715"/>
      <c r="M188" s="1715"/>
      <c r="N188" s="1715"/>
      <c r="O188" s="1715"/>
      <c r="P188" s="1715"/>
      <c r="Q188" s="1715"/>
      <c r="R188" s="1715"/>
      <c r="S188" s="1715"/>
      <c r="T188" s="1715"/>
      <c r="U188" s="1715"/>
      <c r="V188" s="1715"/>
      <c r="W188" s="1715"/>
      <c r="X188" s="1715"/>
      <c r="Y188" s="1715"/>
      <c r="Z188" s="1715"/>
      <c r="AA188" s="2760" t="s">
        <v>654</v>
      </c>
      <c r="AB188" s="7475" t="s">
        <v>2724</v>
      </c>
      <c r="AC188" s="7476"/>
      <c r="AD188" s="7490">
        <f>IF(AR188&lt;&gt;"",ROUND(AR188,0),ROUND(SUM(V172,AD172,AJ172),0))</f>
        <v>0</v>
      </c>
      <c r="AE188" s="7369"/>
      <c r="AF188" s="7369"/>
      <c r="AG188" s="7369"/>
      <c r="AH188" s="7369"/>
      <c r="AI188" s="7491"/>
      <c r="AJ188" s="2162"/>
      <c r="AK188" s="2162"/>
      <c r="AL188" s="2162"/>
      <c r="AM188" s="2162"/>
      <c r="AN188" s="2162"/>
      <c r="AO188" s="2162"/>
      <c r="AP188" s="2162"/>
      <c r="AQ188" s="260"/>
      <c r="AR188" s="2499"/>
      <c r="AS188" s="260"/>
      <c r="AT188" s="260"/>
      <c r="AU188" s="260"/>
      <c r="BG188" s="2396"/>
      <c r="BH188" s="2038"/>
      <c r="BI188" s="2038"/>
      <c r="BJ188" s="2038"/>
      <c r="BK188" s="2038"/>
      <c r="BL188" s="2038"/>
      <c r="BM188" s="2038"/>
      <c r="BN188" s="2038"/>
      <c r="BO188" s="2038"/>
      <c r="BP188" s="2038"/>
    </row>
    <row r="189" spans="1:68" ht="14.25" customHeight="1">
      <c r="A189" s="2162"/>
      <c r="B189" s="7488" t="s">
        <v>652</v>
      </c>
      <c r="C189" s="7489"/>
      <c r="D189" s="2447" t="s">
        <v>2725</v>
      </c>
      <c r="E189" s="1715"/>
      <c r="F189" s="1715"/>
      <c r="G189" s="1715"/>
      <c r="H189" s="1715"/>
      <c r="I189" s="1715"/>
      <c r="J189" s="1715"/>
      <c r="K189" s="1715"/>
      <c r="L189" s="1715"/>
      <c r="M189" s="1715"/>
      <c r="N189" s="1715"/>
      <c r="O189" s="1715"/>
      <c r="P189" s="1715"/>
      <c r="Q189" s="1715"/>
      <c r="R189" s="1715"/>
      <c r="S189" s="1715"/>
      <c r="T189" s="1715"/>
      <c r="U189" s="1715"/>
      <c r="V189" s="1715"/>
      <c r="W189" s="1715"/>
      <c r="X189" s="1715"/>
      <c r="Y189" s="1715"/>
      <c r="Z189" s="1715"/>
      <c r="AA189" s="2760" t="s">
        <v>654</v>
      </c>
      <c r="AB189" s="7475" t="s">
        <v>2726</v>
      </c>
      <c r="AC189" s="7476"/>
      <c r="AD189" s="7490">
        <f>IF(AR189&lt;&gt;"",ROUND(AR189,0),ROUND(SUM(V178,AD178,AJ178),0))</f>
        <v>0</v>
      </c>
      <c r="AE189" s="7369"/>
      <c r="AF189" s="7369"/>
      <c r="AG189" s="7369"/>
      <c r="AH189" s="7369"/>
      <c r="AI189" s="7491"/>
      <c r="AJ189" s="2162"/>
      <c r="AK189" s="2162"/>
      <c r="AL189" s="2162"/>
      <c r="AM189" s="2162"/>
      <c r="AN189" s="2162"/>
      <c r="AO189" s="2162"/>
      <c r="AP189" s="2162"/>
      <c r="AQ189" s="260"/>
      <c r="AR189" s="2499"/>
      <c r="AS189" s="260"/>
      <c r="AT189" s="260"/>
      <c r="AU189" s="260"/>
      <c r="BG189" s="2396"/>
      <c r="BH189" s="2038"/>
      <c r="BI189" s="2038"/>
      <c r="BJ189" s="2038"/>
      <c r="BK189" s="2038"/>
      <c r="BL189" s="2038"/>
      <c r="BM189" s="2038"/>
      <c r="BN189" s="2038"/>
      <c r="BO189" s="2038"/>
      <c r="BP189" s="2038"/>
    </row>
    <row r="190" spans="1:68" ht="14.25" customHeight="1">
      <c r="A190" s="2162"/>
      <c r="B190" s="7488" t="s">
        <v>656</v>
      </c>
      <c r="C190" s="7489"/>
      <c r="D190" s="2447" t="s">
        <v>2727</v>
      </c>
      <c r="E190" s="1715"/>
      <c r="F190" s="1715"/>
      <c r="G190" s="1715"/>
      <c r="H190" s="1715"/>
      <c r="I190" s="1715"/>
      <c r="J190" s="1715"/>
      <c r="K190" s="1715"/>
      <c r="L190" s="1715"/>
      <c r="M190" s="1715"/>
      <c r="N190" s="1715"/>
      <c r="O190" s="1715"/>
      <c r="P190" s="1715"/>
      <c r="Q190" s="1715"/>
      <c r="R190" s="1715"/>
      <c r="S190" s="1715"/>
      <c r="T190" s="1715"/>
      <c r="U190" s="1715"/>
      <c r="V190" s="1715"/>
      <c r="W190" s="1715"/>
      <c r="X190" s="1715"/>
      <c r="Y190" s="1715"/>
      <c r="Z190" s="1715"/>
      <c r="AA190" s="2760" t="s">
        <v>654</v>
      </c>
      <c r="AB190" s="7475" t="s">
        <v>2728</v>
      </c>
      <c r="AC190" s="7476"/>
      <c r="AD190" s="7490">
        <f>IF(AR190&lt;&gt;"",ROUND(AR190,0),ROUND(SUM(V180,AD180,AJ180),0))</f>
        <v>0</v>
      </c>
      <c r="AE190" s="7369"/>
      <c r="AF190" s="7369"/>
      <c r="AG190" s="7369"/>
      <c r="AH190" s="7369"/>
      <c r="AI190" s="7491"/>
      <c r="AJ190" s="2162"/>
      <c r="AK190" s="2162"/>
      <c r="AL190" s="2162"/>
      <c r="AM190" s="2162"/>
      <c r="AN190" s="2162"/>
      <c r="AO190" s="2162"/>
      <c r="AP190" s="2162"/>
      <c r="AQ190" s="260"/>
      <c r="AR190" s="2499"/>
      <c r="AS190" s="260"/>
      <c r="AT190" s="260"/>
      <c r="AU190" s="260"/>
      <c r="BG190" s="2396"/>
      <c r="BH190" s="2038"/>
      <c r="BI190" s="2038"/>
      <c r="BJ190" s="2038"/>
      <c r="BK190" s="2038"/>
      <c r="BL190" s="2038"/>
      <c r="BM190" s="2038"/>
      <c r="BN190" s="2038"/>
      <c r="BO190" s="2038"/>
      <c r="BP190" s="2038"/>
    </row>
    <row r="191" spans="1:68" ht="14.25" customHeight="1">
      <c r="A191" s="2162"/>
      <c r="B191" s="7474">
        <v>24</v>
      </c>
      <c r="C191" s="7413"/>
      <c r="D191" s="2447" t="s">
        <v>2729</v>
      </c>
      <c r="E191" s="1715"/>
      <c r="F191" s="1715"/>
      <c r="G191" s="1715"/>
      <c r="H191" s="1715"/>
      <c r="I191" s="1715"/>
      <c r="J191" s="1715"/>
      <c r="K191" s="1715"/>
      <c r="L191" s="1715"/>
      <c r="M191" s="1715"/>
      <c r="N191" s="1715"/>
      <c r="O191" s="1715"/>
      <c r="P191" s="1715"/>
      <c r="Q191" s="1715"/>
      <c r="R191" s="1715"/>
      <c r="S191" s="1715"/>
      <c r="T191" s="1715"/>
      <c r="U191" s="1715"/>
      <c r="V191" s="1715"/>
      <c r="W191" s="1715"/>
      <c r="X191" s="1715"/>
      <c r="Y191" s="1715"/>
      <c r="Z191" s="1715"/>
      <c r="AA191" s="1715"/>
      <c r="AB191" s="1715"/>
      <c r="AC191" s="1715"/>
      <c r="AD191" s="1715"/>
      <c r="AE191" s="1715"/>
      <c r="AF191" s="1715"/>
      <c r="AG191" s="2760" t="s">
        <v>746</v>
      </c>
      <c r="AH191" s="7479">
        <v>24</v>
      </c>
      <c r="AI191" s="7480"/>
      <c r="AJ191" s="7477">
        <f>IF(AR191&lt;&gt;"",ROUND(AR191,0),ROUND(SUM(AY183,BA183,BC183),0))</f>
        <v>0</v>
      </c>
      <c r="AK191" s="7478"/>
      <c r="AL191" s="7478"/>
      <c r="AM191" s="7478"/>
      <c r="AN191" s="7478"/>
      <c r="AO191" s="7478"/>
      <c r="AP191" s="2162"/>
      <c r="AQ191" s="260"/>
      <c r="AR191" s="2499"/>
      <c r="AS191" s="260"/>
      <c r="AT191" s="260"/>
      <c r="AU191" s="260"/>
      <c r="BG191" s="2396"/>
      <c r="BH191" s="2038"/>
      <c r="BI191" s="2038"/>
      <c r="BJ191" s="2038"/>
      <c r="BK191" s="2038"/>
      <c r="BL191" s="2038"/>
      <c r="BM191" s="2038"/>
      <c r="BN191" s="2038"/>
      <c r="BO191" s="2038"/>
      <c r="BP191" s="2038"/>
    </row>
    <row r="192" spans="1:68" ht="14.25" customHeight="1">
      <c r="A192" s="2162"/>
      <c r="B192" s="7474">
        <v>25</v>
      </c>
      <c r="C192" s="7413"/>
      <c r="D192" s="2461" t="s">
        <v>2730</v>
      </c>
      <c r="E192" s="1715"/>
      <c r="F192" s="1715"/>
      <c r="G192" s="1715"/>
      <c r="H192" s="1715"/>
      <c r="I192" s="1715"/>
      <c r="J192" s="1715"/>
      <c r="K192" s="1715"/>
      <c r="L192" s="1715"/>
      <c r="M192" s="1715"/>
      <c r="N192" s="1715"/>
      <c r="O192" s="1715"/>
      <c r="P192" s="1715"/>
      <c r="Q192" s="1715"/>
      <c r="R192" s="1715"/>
      <c r="S192" s="1715"/>
      <c r="T192" s="1715"/>
      <c r="U192" s="1715"/>
      <c r="V192" s="1715"/>
      <c r="W192" s="1715"/>
      <c r="X192" s="1715"/>
      <c r="Y192" s="1715"/>
      <c r="Z192" s="1715"/>
      <c r="AA192" s="1715"/>
      <c r="AB192" s="1715"/>
      <c r="AC192" s="1715"/>
      <c r="AD192" s="1715"/>
      <c r="AE192" s="1715"/>
      <c r="AF192" s="1715"/>
      <c r="AG192" s="1715"/>
      <c r="AH192" s="7475">
        <v>25</v>
      </c>
      <c r="AI192" s="7476"/>
      <c r="AJ192" s="4718" t="s">
        <v>905</v>
      </c>
      <c r="AK192" s="7371">
        <f>-AK193</f>
        <v>0</v>
      </c>
      <c r="AL192" s="7372"/>
      <c r="AM192" s="7372"/>
      <c r="AN192" s="7372"/>
      <c r="AO192" s="4712" t="s">
        <v>906</v>
      </c>
      <c r="AP192" s="2162"/>
      <c r="AQ192" s="260"/>
      <c r="AR192" s="2499"/>
      <c r="AS192" s="260"/>
      <c r="AT192" s="260"/>
      <c r="AU192" s="260"/>
      <c r="BG192" s="2396"/>
      <c r="BH192" s="2038"/>
      <c r="BI192" s="2038"/>
      <c r="BJ192" s="2038"/>
      <c r="BK192" s="2038"/>
      <c r="BL192" s="2038"/>
      <c r="BM192" s="2038"/>
      <c r="BN192" s="2038"/>
      <c r="BO192" s="2038"/>
      <c r="BP192" s="2038"/>
    </row>
    <row r="193" spans="1:69" ht="14.25" customHeight="1">
      <c r="A193" s="2162"/>
      <c r="B193" s="7474">
        <v>26</v>
      </c>
      <c r="C193" s="7413"/>
      <c r="D193" s="2447" t="s">
        <v>2731</v>
      </c>
      <c r="E193" s="1715"/>
      <c r="F193" s="1715"/>
      <c r="G193" s="1715"/>
      <c r="H193" s="1715"/>
      <c r="I193" s="1715"/>
      <c r="J193" s="1715"/>
      <c r="K193" s="1715"/>
      <c r="L193" s="1715"/>
      <c r="M193" s="1715"/>
      <c r="N193" s="1715"/>
      <c r="O193" s="1715"/>
      <c r="P193" s="1715"/>
      <c r="Q193" s="1715"/>
      <c r="R193" s="1715"/>
      <c r="S193" s="1715"/>
      <c r="T193" s="2358"/>
      <c r="U193" s="2460"/>
      <c r="V193" s="4716"/>
      <c r="W193" s="4716"/>
      <c r="X193" s="4716"/>
      <c r="Y193" s="4716"/>
      <c r="Z193" s="4716"/>
      <c r="AA193" s="4716"/>
      <c r="AB193" s="4716"/>
      <c r="AC193" s="4716"/>
      <c r="AD193" s="4716"/>
      <c r="AE193" s="4716"/>
      <c r="AF193" s="4716"/>
      <c r="AG193" s="4716"/>
      <c r="AH193" s="4719"/>
      <c r="AI193" s="4720"/>
      <c r="AJ193" s="4716"/>
      <c r="AK193" s="7485">
        <f>IF(AND(AR192&lt;&gt;"",AR192&gt;=0),-ROUND(AR192,0),IF(AND(AR192&lt;&gt;"",AR192&lt;0),ROUND(AR192,0),SUM(AZ184,AZ185,BB184,BB185,BD184,BD185)))</f>
        <v>0</v>
      </c>
      <c r="AL193" s="7485"/>
      <c r="AM193" s="7485"/>
      <c r="AN193" s="7485"/>
      <c r="AO193" s="4716"/>
      <c r="AP193" s="2162"/>
      <c r="AQ193" s="260"/>
      <c r="AR193" s="260"/>
      <c r="AS193" s="260"/>
      <c r="AT193" s="260"/>
      <c r="AU193" s="260"/>
      <c r="BG193" s="2396"/>
      <c r="BH193" s="2038"/>
      <c r="BI193" s="2038"/>
      <c r="BJ193" s="2038"/>
      <c r="BK193" s="2038"/>
      <c r="BL193" s="2038"/>
      <c r="BM193" s="2038"/>
      <c r="BN193" s="2038"/>
      <c r="BO193" s="2038"/>
      <c r="BP193" s="2038"/>
    </row>
    <row r="194" spans="1:69" ht="14.25" customHeight="1">
      <c r="A194" s="2162"/>
      <c r="B194" s="7474"/>
      <c r="C194" s="7413"/>
      <c r="D194" s="2447" t="s">
        <v>2732</v>
      </c>
      <c r="E194" s="1715"/>
      <c r="F194" s="1715"/>
      <c r="G194" s="1715"/>
      <c r="H194" s="1715"/>
      <c r="I194" s="1715"/>
      <c r="J194" s="1715"/>
      <c r="K194" s="1715"/>
      <c r="L194" s="1715"/>
      <c r="M194" s="1715"/>
      <c r="N194" s="1715"/>
      <c r="O194" s="1715"/>
      <c r="P194" s="1715"/>
      <c r="Q194" s="1715"/>
      <c r="R194" s="1715"/>
      <c r="S194" s="1715"/>
      <c r="T194" s="2358"/>
      <c r="U194" s="2460"/>
      <c r="V194" s="4716"/>
      <c r="W194" s="4716"/>
      <c r="X194" s="4716"/>
      <c r="Y194" s="4716"/>
      <c r="Z194" s="4716"/>
      <c r="AA194" s="4716"/>
      <c r="AB194" s="4716"/>
      <c r="AC194" s="4716"/>
      <c r="AD194" s="4716"/>
      <c r="AE194" s="4716"/>
      <c r="AF194" s="4716"/>
      <c r="AG194" s="4716"/>
      <c r="AH194" s="4715"/>
      <c r="AI194" s="4717"/>
      <c r="AJ194" s="4716"/>
      <c r="AK194" s="4716"/>
      <c r="AL194" s="4716"/>
      <c r="AM194" s="4716"/>
      <c r="AN194" s="4716"/>
      <c r="AO194" s="4716"/>
      <c r="AP194" s="2162"/>
      <c r="AQ194" s="260"/>
      <c r="AR194" s="260"/>
      <c r="AS194" s="260"/>
      <c r="AT194" s="260"/>
      <c r="AU194" s="260"/>
      <c r="BG194" s="2396"/>
      <c r="BH194" s="2038"/>
      <c r="BI194" s="2038"/>
      <c r="BJ194" s="2038"/>
      <c r="BK194" s="2038"/>
      <c r="BL194" s="2038"/>
      <c r="BM194" s="2038"/>
      <c r="BN194" s="2038"/>
      <c r="BO194" s="2038"/>
      <c r="BP194" s="2038"/>
    </row>
    <row r="195" spans="1:69" ht="14.25" customHeight="1" thickBot="1">
      <c r="A195" s="2162"/>
      <c r="B195" s="2462"/>
      <c r="C195" s="2463"/>
      <c r="D195" s="3759" t="s">
        <v>2733</v>
      </c>
      <c r="E195" s="2464"/>
      <c r="F195" s="2464"/>
      <c r="G195" s="2464"/>
      <c r="H195" s="2464"/>
      <c r="I195" s="2464"/>
      <c r="J195" s="2464"/>
      <c r="K195" s="2464"/>
      <c r="L195" s="2464"/>
      <c r="M195" s="2464"/>
      <c r="N195" s="2464"/>
      <c r="O195" s="2464"/>
      <c r="P195" s="2464"/>
      <c r="Q195" s="2464"/>
      <c r="R195" s="2464"/>
      <c r="S195" s="2464"/>
      <c r="T195" s="2464"/>
      <c r="U195" s="2464"/>
      <c r="V195" s="2464"/>
      <c r="W195" s="2464"/>
      <c r="X195" s="2464"/>
      <c r="Y195" s="2464"/>
      <c r="Z195" s="2464"/>
      <c r="AA195" s="2464"/>
      <c r="AB195" s="2465"/>
      <c r="AC195" s="2466"/>
      <c r="AD195" s="2467"/>
      <c r="AE195" s="2467"/>
      <c r="AF195" s="2467"/>
      <c r="AG195" s="2761" t="s">
        <v>2734</v>
      </c>
      <c r="AH195" s="7481">
        <v>26</v>
      </c>
      <c r="AI195" s="7482"/>
      <c r="AJ195" s="7483">
        <f>IF(AR195&lt;&gt;"",ROUND(AR195,0),SUM(AJ191,AK193))</f>
        <v>0</v>
      </c>
      <c r="AK195" s="7484"/>
      <c r="AL195" s="7484"/>
      <c r="AM195" s="7484"/>
      <c r="AN195" s="7484"/>
      <c r="AO195" s="7484"/>
      <c r="AP195" s="2162"/>
      <c r="AQ195" s="260"/>
      <c r="AR195" s="2492"/>
      <c r="AS195" s="260"/>
      <c r="AT195" s="260"/>
      <c r="AU195" s="260"/>
      <c r="BG195" s="2396"/>
      <c r="BH195" s="2038"/>
      <c r="BI195" s="2038"/>
      <c r="BJ195" s="2038"/>
      <c r="BK195" s="2038"/>
      <c r="BL195" s="2038"/>
      <c r="BM195" s="2038"/>
      <c r="BN195" s="2038"/>
      <c r="BO195" s="2038"/>
      <c r="BP195" s="2038"/>
    </row>
    <row r="196" spans="1:69" ht="14.25" customHeight="1">
      <c r="A196" s="2162"/>
      <c r="B196" s="2441" t="s">
        <v>2383</v>
      </c>
      <c r="C196" s="2459"/>
      <c r="D196" s="2447"/>
      <c r="E196" s="1715"/>
      <c r="F196" s="1715"/>
      <c r="G196" s="1715"/>
      <c r="H196" s="1715"/>
      <c r="I196" s="1715"/>
      <c r="J196" s="1715"/>
      <c r="K196" s="1715"/>
      <c r="L196" s="1715"/>
      <c r="M196" s="1715"/>
      <c r="N196" s="1715"/>
      <c r="O196" s="1715"/>
      <c r="P196" s="1715"/>
      <c r="Q196" s="1715"/>
      <c r="R196" s="1715"/>
      <c r="S196" s="1715"/>
      <c r="T196" s="1715"/>
      <c r="U196" s="1715"/>
      <c r="V196" s="1715"/>
      <c r="W196" s="1715"/>
      <c r="X196" s="1715"/>
      <c r="Y196" s="1715" t="s">
        <v>2735</v>
      </c>
      <c r="Z196" s="1715"/>
      <c r="AA196" s="1715"/>
      <c r="AB196" s="2358"/>
      <c r="AC196" s="2460"/>
      <c r="AD196" s="4716"/>
      <c r="AE196" s="4716"/>
      <c r="AF196" s="4716"/>
      <c r="AG196" s="4716"/>
      <c r="AH196" s="4716"/>
      <c r="AI196" s="4716"/>
      <c r="AJ196" s="808"/>
      <c r="AK196" s="808"/>
      <c r="AL196" s="808"/>
      <c r="AM196" s="808"/>
      <c r="AN196" s="808"/>
      <c r="AO196" s="1128" t="str">
        <f>"Schedule E (Form 1040) "&amp;TaxYear</f>
        <v>Schedule E (Form 1040) 2023</v>
      </c>
      <c r="AP196" s="2162"/>
      <c r="AQ196" s="260"/>
      <c r="AR196" s="260"/>
      <c r="AS196" s="260"/>
      <c r="AT196" s="260"/>
      <c r="AU196" s="260"/>
      <c r="BG196" s="2396"/>
      <c r="BH196" s="2038"/>
      <c r="BI196" s="2038"/>
      <c r="BJ196" s="2038"/>
      <c r="BK196" s="2038"/>
      <c r="BL196" s="2038"/>
      <c r="BM196" s="2038"/>
      <c r="BN196" s="2038"/>
      <c r="BO196" s="2038"/>
      <c r="BP196" s="2038"/>
    </row>
    <row r="197" spans="1:69" ht="21" customHeight="1">
      <c r="A197" s="2162"/>
      <c r="B197" s="2181" t="str">
        <f>"Schedule E (Form 1040) "&amp;TaxYear</f>
        <v>Schedule E (Form 1040) 2023</v>
      </c>
      <c r="C197" s="1121"/>
      <c r="D197" s="1121"/>
      <c r="E197" s="1121"/>
      <c r="F197" s="1121"/>
      <c r="G197" s="1121"/>
      <c r="H197" s="1121"/>
      <c r="I197" s="2486"/>
      <c r="J197" s="1121"/>
      <c r="K197" s="1121"/>
      <c r="L197" s="1121"/>
      <c r="M197" s="1121"/>
      <c r="N197" s="1121"/>
      <c r="O197" s="1121"/>
      <c r="P197" s="2487"/>
      <c r="Q197" s="1121"/>
      <c r="R197" s="1121"/>
      <c r="S197" s="1121"/>
      <c r="T197" s="1121"/>
      <c r="U197" s="1121"/>
      <c r="V197" s="1121"/>
      <c r="W197" s="1121"/>
      <c r="X197" s="1121"/>
      <c r="Y197" s="1121"/>
      <c r="Z197" s="1121"/>
      <c r="AA197" s="2181" t="s">
        <v>2428</v>
      </c>
      <c r="AB197" s="1121"/>
      <c r="AC197" s="1121"/>
      <c r="AD197" s="1121"/>
      <c r="AE197" s="1121"/>
      <c r="AF197" s="1121"/>
      <c r="AG197" s="2472">
        <v>13</v>
      </c>
      <c r="AH197" s="1121"/>
      <c r="AI197" s="1121"/>
      <c r="AJ197" s="1121"/>
      <c r="AK197" s="1121"/>
      <c r="AL197" s="1121"/>
      <c r="AM197" s="1121"/>
      <c r="AN197" s="1121"/>
      <c r="AO197" s="2473" t="s">
        <v>981</v>
      </c>
      <c r="AP197" s="2162"/>
      <c r="BG197" s="2396"/>
      <c r="BH197" s="2038"/>
      <c r="BI197" s="2038"/>
      <c r="BJ197" s="2038"/>
      <c r="BK197" s="2038"/>
      <c r="BL197" s="2038"/>
      <c r="BM197" s="2038"/>
      <c r="BN197" s="2038"/>
      <c r="BO197" s="2038"/>
      <c r="BP197" s="2038"/>
    </row>
    <row r="198" spans="1:69" ht="12.75" customHeight="1">
      <c r="A198" s="2162"/>
      <c r="B198" s="878" t="s">
        <v>2736</v>
      </c>
      <c r="C198" s="878"/>
      <c r="D198" s="878"/>
      <c r="E198" s="878"/>
      <c r="F198" s="878"/>
      <c r="G198" s="878"/>
      <c r="H198" s="878" t="s">
        <v>2737</v>
      </c>
      <c r="I198" s="808"/>
      <c r="J198" s="808"/>
      <c r="K198" s="808"/>
      <c r="L198" s="808"/>
      <c r="M198" s="808"/>
      <c r="N198" s="808"/>
      <c r="O198" s="808"/>
      <c r="P198" s="808"/>
      <c r="Q198" s="808"/>
      <c r="R198" s="808"/>
      <c r="S198" s="808"/>
      <c r="T198" s="808"/>
      <c r="U198" s="808"/>
      <c r="V198" s="808"/>
      <c r="W198" s="808"/>
      <c r="X198" s="808"/>
      <c r="Y198" s="808"/>
      <c r="Z198" s="808"/>
      <c r="AA198" s="808"/>
      <c r="AB198" s="808"/>
      <c r="AC198" s="808"/>
      <c r="AD198" s="808"/>
      <c r="AE198" s="808"/>
      <c r="AF198" s="7486" t="s">
        <v>586</v>
      </c>
      <c r="AG198" s="7487"/>
      <c r="AH198" s="7487"/>
      <c r="AI198" s="7487"/>
      <c r="AJ198" s="7487"/>
      <c r="AK198" s="7487"/>
      <c r="AL198" s="7487"/>
      <c r="AM198" s="7487"/>
      <c r="AN198" s="7487"/>
      <c r="AO198" s="7487"/>
      <c r="AP198" s="2162"/>
      <c r="AR198" s="902" t="b">
        <f>OR(AND(AF199&lt;&gt;"",AF199=AG140),AND(B140&lt;&gt;"",B199&lt;&gt;""))</f>
        <v>0</v>
      </c>
      <c r="BG198" s="2396"/>
      <c r="BH198" s="2038"/>
      <c r="BI198" s="2038"/>
      <c r="BJ198" s="2038"/>
      <c r="BK198" s="2038"/>
      <c r="BL198" s="2038"/>
      <c r="BM198" s="2038"/>
      <c r="BN198" s="2038"/>
      <c r="BO198" s="2038"/>
      <c r="BP198" s="2038"/>
    </row>
    <row r="199" spans="1:69" ht="16.5" customHeight="1">
      <c r="A199" s="2162"/>
      <c r="B199" s="7382"/>
      <c r="C199" s="7382"/>
      <c r="D199" s="7382"/>
      <c r="E199" s="7382"/>
      <c r="F199" s="7382"/>
      <c r="G199" s="7382"/>
      <c r="H199" s="7382"/>
      <c r="I199" s="7382"/>
      <c r="J199" s="7382"/>
      <c r="K199" s="7382"/>
      <c r="L199" s="7382"/>
      <c r="M199" s="7382"/>
      <c r="N199" s="7382"/>
      <c r="O199" s="7382"/>
      <c r="P199" s="7382"/>
      <c r="Q199" s="7382"/>
      <c r="R199" s="7382"/>
      <c r="S199" s="7382"/>
      <c r="T199" s="7382"/>
      <c r="U199" s="7382"/>
      <c r="V199" s="7382"/>
      <c r="W199" s="7382"/>
      <c r="X199" s="7382"/>
      <c r="Y199" s="7382"/>
      <c r="Z199" s="7382"/>
      <c r="AA199" s="7382"/>
      <c r="AB199" s="7382"/>
      <c r="AC199" s="7382"/>
      <c r="AD199" s="7382"/>
      <c r="AE199" s="7383"/>
      <c r="AF199" s="6498"/>
      <c r="AG199" s="7381"/>
      <c r="AH199" s="7381"/>
      <c r="AI199" s="7381"/>
      <c r="AJ199" s="7381"/>
      <c r="AK199" s="7381"/>
      <c r="AL199" s="7381"/>
      <c r="AM199" s="7381"/>
      <c r="AN199" s="7381"/>
      <c r="AO199" s="7381"/>
      <c r="AP199" s="2406"/>
      <c r="AQ199" s="1998" t="str">
        <f>IF($AR198,"Hide emphasis.","")</f>
        <v/>
      </c>
      <c r="AR199" s="1998"/>
      <c r="BG199" s="2396"/>
      <c r="BH199" s="2038"/>
      <c r="BI199" s="2038"/>
      <c r="BJ199" s="2038"/>
      <c r="BK199" s="2038"/>
      <c r="BL199" s="2038"/>
      <c r="BM199" s="2038"/>
      <c r="BN199" s="2038"/>
      <c r="BO199" s="2038"/>
      <c r="BP199" s="2038"/>
    </row>
    <row r="200" spans="1:69" ht="15" customHeight="1">
      <c r="A200" s="2162"/>
      <c r="B200" s="2112" t="s">
        <v>2738</v>
      </c>
      <c r="C200" s="808"/>
      <c r="D200" s="808"/>
      <c r="E200" s="808"/>
      <c r="F200" s="808"/>
      <c r="G200" s="808"/>
      <c r="H200" s="808"/>
      <c r="I200" s="808"/>
      <c r="J200" s="808"/>
      <c r="K200" s="808"/>
      <c r="L200" s="808"/>
      <c r="M200" s="808"/>
      <c r="N200" s="808"/>
      <c r="O200" s="808"/>
      <c r="P200" s="808"/>
      <c r="Q200" s="808"/>
      <c r="R200" s="808"/>
      <c r="S200" s="808"/>
      <c r="T200" s="808"/>
      <c r="U200" s="808"/>
      <c r="V200" s="808"/>
      <c r="W200" s="808"/>
      <c r="X200" s="808"/>
      <c r="Y200" s="808"/>
      <c r="Z200" s="808"/>
      <c r="AA200" s="808"/>
      <c r="AB200" s="808"/>
      <c r="AC200" s="808"/>
      <c r="AD200" s="808"/>
      <c r="AE200" s="808"/>
      <c r="AF200" s="808"/>
      <c r="AG200" s="808"/>
      <c r="AH200" s="808"/>
      <c r="AI200" s="808"/>
      <c r="AJ200" s="808"/>
      <c r="AK200" s="808"/>
      <c r="AL200" s="808"/>
      <c r="AM200" s="808"/>
      <c r="AN200" s="808"/>
      <c r="AO200" s="808"/>
      <c r="AP200" s="2162"/>
      <c r="BG200" s="2396"/>
      <c r="BH200" s="2038"/>
      <c r="BI200" s="2038"/>
      <c r="BJ200" s="2038"/>
      <c r="BK200" s="2038"/>
      <c r="BL200" s="2038"/>
      <c r="BM200" s="2038"/>
      <c r="BN200" s="2038"/>
      <c r="BO200" s="2038"/>
      <c r="BP200" s="2038"/>
    </row>
    <row r="201" spans="1:69" s="2114" customFormat="1" ht="17.25" customHeight="1">
      <c r="A201" s="2163"/>
      <c r="B201" s="7384" t="s">
        <v>982</v>
      </c>
      <c r="C201" s="7384"/>
      <c r="D201" s="7385"/>
      <c r="E201" s="997"/>
      <c r="F201" s="4968" t="s">
        <v>2739</v>
      </c>
      <c r="G201" s="997"/>
      <c r="H201" s="997"/>
      <c r="I201" s="997"/>
      <c r="J201" s="997"/>
      <c r="K201" s="997"/>
      <c r="L201" s="997"/>
      <c r="M201" s="997"/>
      <c r="N201" s="997"/>
      <c r="O201" s="997"/>
      <c r="P201" s="997"/>
      <c r="Q201" s="997"/>
      <c r="R201" s="997"/>
      <c r="S201" s="997"/>
      <c r="T201" s="997"/>
      <c r="U201" s="997"/>
      <c r="V201" s="997"/>
      <c r="W201" s="997"/>
      <c r="X201" s="2440"/>
      <c r="Y201" s="997"/>
      <c r="Z201" s="997"/>
      <c r="AA201" s="997"/>
      <c r="AB201" s="997"/>
      <c r="AC201" s="997"/>
      <c r="AD201" s="997"/>
      <c r="AE201" s="997"/>
      <c r="AF201" s="997"/>
      <c r="AG201" s="997"/>
      <c r="AH201" s="997"/>
      <c r="AI201" s="997"/>
      <c r="AJ201" s="997"/>
      <c r="AK201" s="997"/>
      <c r="AL201" s="997"/>
      <c r="AM201" s="997"/>
      <c r="AN201" s="997"/>
      <c r="AO201" s="997"/>
      <c r="AP201" s="2162"/>
      <c r="AX201" s="39"/>
      <c r="AY201" s="39"/>
      <c r="AZ201" s="39"/>
      <c r="BA201" s="39"/>
      <c r="BB201" s="39"/>
      <c r="BC201" s="39"/>
      <c r="BD201" s="39"/>
      <c r="BG201" s="2396"/>
      <c r="BH201" s="2038"/>
      <c r="BI201" s="2038"/>
      <c r="BJ201" s="2038"/>
      <c r="BK201" s="2038"/>
      <c r="BL201" s="2038"/>
      <c r="BM201" s="2038"/>
      <c r="BN201" s="2038"/>
      <c r="BO201" s="2038"/>
      <c r="BP201" s="2038"/>
      <c r="BQ201" s="2690"/>
    </row>
    <row r="202" spans="1:69" ht="12.75" customHeight="1">
      <c r="A202" s="2162"/>
      <c r="B202" s="808"/>
      <c r="C202" s="808"/>
      <c r="D202" s="808"/>
      <c r="E202" s="808"/>
      <c r="F202" s="892" t="s">
        <v>2740</v>
      </c>
      <c r="G202" s="808"/>
      <c r="H202" s="808"/>
      <c r="I202" s="808"/>
      <c r="J202" s="808"/>
      <c r="K202" s="808"/>
      <c r="L202" s="808"/>
      <c r="M202" s="808"/>
      <c r="N202" s="808"/>
      <c r="O202" s="808"/>
      <c r="P202" s="808"/>
      <c r="Q202" s="808"/>
      <c r="R202" s="808"/>
      <c r="S202" s="808"/>
      <c r="T202" s="808"/>
      <c r="U202" s="808"/>
      <c r="V202" s="808"/>
      <c r="W202" s="808"/>
      <c r="X202" s="808"/>
      <c r="Y202" s="808"/>
      <c r="Z202" s="808"/>
      <c r="AA202" s="808"/>
      <c r="AB202" s="808"/>
      <c r="AC202" s="808"/>
      <c r="AD202" s="808"/>
      <c r="AE202" s="808"/>
      <c r="AF202" s="808"/>
      <c r="AG202" s="808"/>
      <c r="AH202" s="808"/>
      <c r="AI202" s="808"/>
      <c r="AJ202" s="808"/>
      <c r="AK202" s="808"/>
      <c r="AL202" s="808"/>
      <c r="AM202" s="808"/>
      <c r="AN202" s="808"/>
      <c r="AO202" s="808"/>
      <c r="AP202" s="2162"/>
      <c r="BG202" s="2396"/>
      <c r="BH202" s="2038"/>
      <c r="BI202" s="2038"/>
      <c r="BJ202" s="2038"/>
      <c r="BK202" s="2038"/>
      <c r="BL202" s="2038"/>
      <c r="BM202" s="2038"/>
      <c r="BN202" s="2038"/>
      <c r="BO202" s="2038"/>
      <c r="BP202" s="2038"/>
    </row>
    <row r="203" spans="1:69" ht="12.75" customHeight="1">
      <c r="A203" s="2162"/>
      <c r="B203" s="808"/>
      <c r="C203" s="808"/>
      <c r="D203" s="808"/>
      <c r="E203" s="808"/>
      <c r="F203" s="892" t="s">
        <v>2741</v>
      </c>
      <c r="G203" s="808"/>
      <c r="H203" s="808"/>
      <c r="I203" s="808"/>
      <c r="J203" s="808"/>
      <c r="K203" s="808"/>
      <c r="L203" s="808"/>
      <c r="M203" s="808"/>
      <c r="N203" s="808"/>
      <c r="O203" s="808"/>
      <c r="P203" s="808"/>
      <c r="Q203" s="808"/>
      <c r="R203" s="808"/>
      <c r="S203" s="808"/>
      <c r="T203" s="808"/>
      <c r="U203" s="808"/>
      <c r="V203" s="808"/>
      <c r="W203" s="808"/>
      <c r="X203" s="808"/>
      <c r="Y203" s="808"/>
      <c r="Z203" s="808"/>
      <c r="AA203" s="808"/>
      <c r="AB203" s="808"/>
      <c r="AC203" s="808"/>
      <c r="AD203" s="808"/>
      <c r="AE203" s="808"/>
      <c r="AF203" s="808"/>
      <c r="AG203" s="808"/>
      <c r="AH203" s="808"/>
      <c r="AI203" s="808"/>
      <c r="AJ203" s="808"/>
      <c r="AK203" s="808"/>
      <c r="AL203" s="808"/>
      <c r="AM203" s="808"/>
      <c r="AN203" s="808"/>
      <c r="AO203" s="808"/>
      <c r="AP203" s="2162"/>
      <c r="AX203" s="2114"/>
      <c r="AY203" s="2114"/>
      <c r="AZ203" s="2114"/>
      <c r="BA203" s="2114"/>
      <c r="BB203" s="2114"/>
      <c r="BC203" s="2114"/>
      <c r="BD203" s="2114"/>
      <c r="BG203" s="2396"/>
      <c r="BH203" s="2038"/>
      <c r="BI203" s="2038"/>
      <c r="BJ203" s="2038"/>
      <c r="BK203" s="2038"/>
      <c r="BL203" s="2038"/>
      <c r="BM203" s="2038"/>
      <c r="BN203" s="2038"/>
      <c r="BO203" s="2038"/>
      <c r="BP203" s="2038"/>
    </row>
    <row r="204" spans="1:69" ht="12.75" customHeight="1">
      <c r="A204" s="2162"/>
      <c r="B204" s="1121"/>
      <c r="C204" s="1121"/>
      <c r="D204" s="1121"/>
      <c r="E204" s="1121"/>
      <c r="F204" s="1260" t="s">
        <v>2742</v>
      </c>
      <c r="G204" s="1121"/>
      <c r="H204" s="1121"/>
      <c r="I204" s="1121"/>
      <c r="J204" s="1121"/>
      <c r="K204" s="1121"/>
      <c r="L204" s="1121"/>
      <c r="M204" s="1121"/>
      <c r="N204" s="1121"/>
      <c r="O204" s="1121"/>
      <c r="P204" s="1121"/>
      <c r="Q204" s="1121"/>
      <c r="R204" s="1121"/>
      <c r="S204" s="1121"/>
      <c r="T204" s="1121"/>
      <c r="U204" s="1121"/>
      <c r="V204" s="1121"/>
      <c r="W204" s="1121"/>
      <c r="X204" s="1121"/>
      <c r="Y204" s="1121"/>
      <c r="Z204" s="1121"/>
      <c r="AA204" s="1121"/>
      <c r="AB204" s="1121"/>
      <c r="AC204" s="1121"/>
      <c r="AD204" s="1121"/>
      <c r="AE204" s="1121"/>
      <c r="AF204" s="1121"/>
      <c r="AG204" s="1121"/>
      <c r="AH204" s="1121"/>
      <c r="AI204" s="1121"/>
      <c r="AJ204" s="1121"/>
      <c r="AK204" s="1121"/>
      <c r="AL204" s="1121"/>
      <c r="AM204" s="1121"/>
      <c r="AN204" s="1121"/>
      <c r="AO204" s="1121"/>
      <c r="AP204" s="2162"/>
      <c r="BG204" s="2396"/>
      <c r="BH204" s="2038"/>
      <c r="BI204" s="2038"/>
      <c r="BJ204" s="2038"/>
      <c r="BK204" s="2038"/>
      <c r="BL204" s="2038"/>
      <c r="BM204" s="2038"/>
      <c r="BN204" s="2038"/>
      <c r="BO204" s="2038"/>
      <c r="BP204" s="2038"/>
    </row>
    <row r="205" spans="1:69" ht="18.75" customHeight="1">
      <c r="A205" s="2162"/>
      <c r="B205" s="7390">
        <v>27</v>
      </c>
      <c r="C205" s="6466"/>
      <c r="D205" s="808"/>
      <c r="E205" s="2112" t="s">
        <v>2743</v>
      </c>
      <c r="F205" s="892"/>
      <c r="G205" s="808"/>
      <c r="H205" s="808"/>
      <c r="I205" s="808"/>
      <c r="J205" s="808"/>
      <c r="K205" s="808"/>
      <c r="L205" s="808"/>
      <c r="M205" s="808"/>
      <c r="N205" s="808"/>
      <c r="O205" s="808"/>
      <c r="P205" s="808"/>
      <c r="Q205" s="808"/>
      <c r="R205" s="808"/>
      <c r="S205" s="808"/>
      <c r="T205" s="808"/>
      <c r="U205" s="808"/>
      <c r="V205" s="808"/>
      <c r="W205" s="808"/>
      <c r="X205" s="808"/>
      <c r="Y205" s="808"/>
      <c r="Z205" s="808"/>
      <c r="AA205" s="808"/>
      <c r="AB205" s="808"/>
      <c r="AC205" s="808"/>
      <c r="AD205" s="808"/>
      <c r="AE205" s="808"/>
      <c r="AF205" s="808"/>
      <c r="AG205" s="808"/>
      <c r="AH205" s="808"/>
      <c r="AI205" s="808"/>
      <c r="AJ205" s="808"/>
      <c r="AK205" s="808"/>
      <c r="AL205" s="808"/>
      <c r="AM205" s="808"/>
      <c r="AN205" s="808"/>
      <c r="AO205" s="808"/>
      <c r="AP205" s="2162"/>
      <c r="BG205" s="2396"/>
      <c r="BH205" s="2038"/>
      <c r="BI205" s="2038"/>
      <c r="BJ205" s="2038"/>
      <c r="BK205" s="2038"/>
      <c r="BL205" s="2038"/>
      <c r="BM205" s="2038"/>
      <c r="BN205" s="2038"/>
      <c r="BO205" s="2038"/>
      <c r="BP205" s="2038"/>
    </row>
    <row r="206" spans="1:69" ht="12.75" customHeight="1">
      <c r="A206" s="2162"/>
      <c r="B206" s="2358"/>
      <c r="C206" s="1252"/>
      <c r="D206" s="808"/>
      <c r="E206" s="2112" t="s">
        <v>2744</v>
      </c>
      <c r="F206" s="892"/>
      <c r="G206" s="808"/>
      <c r="H206" s="808"/>
      <c r="I206" s="808"/>
      <c r="J206" s="808"/>
      <c r="K206" s="808"/>
      <c r="L206" s="808"/>
      <c r="M206" s="808"/>
      <c r="N206" s="808"/>
      <c r="O206" s="808"/>
      <c r="P206" s="808"/>
      <c r="Q206" s="808"/>
      <c r="R206" s="808"/>
      <c r="S206" s="808"/>
      <c r="T206" s="808"/>
      <c r="U206" s="808"/>
      <c r="V206" s="808"/>
      <c r="W206" s="808"/>
      <c r="X206" s="808"/>
      <c r="Y206" s="808"/>
      <c r="Z206" s="808"/>
      <c r="AA206" s="808"/>
      <c r="AB206" s="808"/>
      <c r="AC206" s="808"/>
      <c r="AD206" s="808"/>
      <c r="AE206" s="808"/>
      <c r="AF206" s="808"/>
      <c r="AG206" s="808"/>
      <c r="AH206" s="808"/>
      <c r="AI206" s="808"/>
      <c r="AJ206" s="808"/>
      <c r="AK206" s="808"/>
      <c r="AL206" s="808"/>
      <c r="AM206" s="808"/>
      <c r="AN206" s="808"/>
      <c r="AO206" s="808"/>
      <c r="AP206" s="2162"/>
      <c r="BG206" s="2396"/>
      <c r="BH206" s="2038"/>
      <c r="BI206" s="2038"/>
      <c r="BJ206" s="2038"/>
      <c r="BK206" s="2038"/>
      <c r="BL206" s="2038"/>
      <c r="BM206" s="2038"/>
      <c r="BN206" s="2038"/>
      <c r="BO206" s="2038"/>
      <c r="BP206" s="2038"/>
    </row>
    <row r="207" spans="1:69" ht="12.75" customHeight="1">
      <c r="A207" s="2162"/>
      <c r="B207" s="808"/>
      <c r="C207" s="808"/>
      <c r="D207" s="808"/>
      <c r="E207" s="2112" t="s">
        <v>2745</v>
      </c>
      <c r="F207" s="892"/>
      <c r="G207" s="808"/>
      <c r="H207" s="808"/>
      <c r="I207" s="808"/>
      <c r="J207" s="808"/>
      <c r="K207" s="808"/>
      <c r="L207" s="808"/>
      <c r="M207" s="808"/>
      <c r="N207" s="808"/>
      <c r="O207" s="808"/>
      <c r="P207" s="808"/>
      <c r="Q207" s="808"/>
      <c r="R207" s="808"/>
      <c r="S207" s="808"/>
      <c r="T207" s="808"/>
      <c r="U207" s="808"/>
      <c r="V207" s="808"/>
      <c r="W207" s="808"/>
      <c r="X207" s="808"/>
      <c r="Y207" s="808"/>
      <c r="Z207" s="808"/>
      <c r="AA207" s="808"/>
      <c r="AB207" s="808"/>
      <c r="AC207" s="808"/>
      <c r="AD207" s="808"/>
      <c r="AE207" s="808"/>
      <c r="AF207" s="808"/>
      <c r="AG207" s="808"/>
      <c r="AH207" s="808"/>
      <c r="AI207" s="808"/>
      <c r="AJ207" s="809"/>
      <c r="AK207" s="2185" t="s">
        <v>2668</v>
      </c>
      <c r="AL207" s="1823"/>
      <c r="AM207" s="809"/>
      <c r="AN207" s="2185" t="s">
        <v>2669</v>
      </c>
      <c r="AO207" s="1823"/>
      <c r="AP207" s="2162"/>
      <c r="BG207" s="2396"/>
      <c r="BH207" s="2038"/>
      <c r="BI207" s="2038"/>
      <c r="BJ207" s="2038"/>
      <c r="BK207" s="2038"/>
      <c r="BL207" s="2038"/>
      <c r="BM207" s="2038"/>
      <c r="BN207" s="2038"/>
      <c r="BO207" s="2038"/>
      <c r="BP207" s="2038"/>
    </row>
    <row r="208" spans="1:69" ht="4.5" customHeight="1">
      <c r="A208" s="2162"/>
      <c r="B208" s="1121"/>
      <c r="C208" s="1121"/>
      <c r="D208" s="1121"/>
      <c r="E208" s="1121"/>
      <c r="F208" s="1260"/>
      <c r="G208" s="1121"/>
      <c r="H208" s="1121"/>
      <c r="I208" s="1121"/>
      <c r="J208" s="1121"/>
      <c r="K208" s="1121"/>
      <c r="L208" s="1121"/>
      <c r="M208" s="1121"/>
      <c r="N208" s="1121"/>
      <c r="O208" s="1121"/>
      <c r="P208" s="1121"/>
      <c r="Q208" s="1121"/>
      <c r="R208" s="1121"/>
      <c r="S208" s="1121"/>
      <c r="T208" s="1121"/>
      <c r="U208" s="1121"/>
      <c r="V208" s="1121"/>
      <c r="W208" s="1121"/>
      <c r="X208" s="1121"/>
      <c r="Y208" s="1121"/>
      <c r="Z208" s="1121"/>
      <c r="AA208" s="1121"/>
      <c r="AB208" s="1121"/>
      <c r="AC208" s="1121"/>
      <c r="AD208" s="1121"/>
      <c r="AE208" s="1121"/>
      <c r="AF208" s="1121"/>
      <c r="AG208" s="1121"/>
      <c r="AH208" s="1121"/>
      <c r="AI208" s="1121"/>
      <c r="AJ208" s="1121"/>
      <c r="AK208" s="1121"/>
      <c r="AL208" s="1121"/>
      <c r="AM208" s="1121"/>
      <c r="AN208" s="1121"/>
      <c r="AO208" s="1121"/>
      <c r="AP208" s="2162"/>
      <c r="BG208" s="2396"/>
      <c r="BH208" s="2038"/>
      <c r="BI208" s="2038"/>
      <c r="BJ208" s="2038"/>
      <c r="BK208" s="2038"/>
      <c r="BL208" s="2038"/>
      <c r="BM208" s="2038"/>
      <c r="BN208" s="2038"/>
      <c r="BO208" s="2038"/>
      <c r="BP208" s="2038"/>
    </row>
    <row r="209" spans="1:68" ht="12.75" customHeight="1">
      <c r="A209" s="2162"/>
      <c r="B209" s="808"/>
      <c r="C209" s="808"/>
      <c r="D209" s="808"/>
      <c r="E209" s="808"/>
      <c r="F209" s="892"/>
      <c r="G209" s="808"/>
      <c r="H209" s="808"/>
      <c r="I209" s="808"/>
      <c r="J209" s="808"/>
      <c r="K209" s="808"/>
      <c r="L209" s="808"/>
      <c r="M209" s="808"/>
      <c r="N209" s="808"/>
      <c r="O209" s="7396" t="s">
        <v>2746</v>
      </c>
      <c r="P209" s="7397"/>
      <c r="Q209" s="7397"/>
      <c r="R209" s="7397"/>
      <c r="S209" s="7398"/>
      <c r="T209" s="7396" t="s">
        <v>2747</v>
      </c>
      <c r="U209" s="7397"/>
      <c r="V209" s="7397"/>
      <c r="W209" s="7397"/>
      <c r="X209" s="7398"/>
      <c r="Y209" s="7396" t="s">
        <v>2748</v>
      </c>
      <c r="Z209" s="7397"/>
      <c r="AA209" s="7397"/>
      <c r="AB209" s="7397"/>
      <c r="AC209" s="7397"/>
      <c r="AD209" s="7397"/>
      <c r="AE209" s="7398"/>
      <c r="AF209" s="7396" t="s">
        <v>2749</v>
      </c>
      <c r="AG209" s="7397"/>
      <c r="AH209" s="7397"/>
      <c r="AI209" s="7397"/>
      <c r="AJ209" s="7398"/>
      <c r="AK209" s="7396" t="s">
        <v>2750</v>
      </c>
      <c r="AL209" s="7397"/>
      <c r="AM209" s="7397"/>
      <c r="AN209" s="7397"/>
      <c r="AO209" s="7397"/>
      <c r="AP209" s="2162"/>
      <c r="BG209" s="2396"/>
      <c r="BH209" s="2038"/>
      <c r="BI209" s="2038"/>
      <c r="BJ209" s="2038"/>
      <c r="BK209" s="2038"/>
      <c r="BL209" s="2038"/>
      <c r="BM209" s="2038"/>
      <c r="BN209" s="2038"/>
      <c r="BO209" s="2038"/>
      <c r="BP209" s="2038"/>
    </row>
    <row r="210" spans="1:68" ht="12.75" customHeight="1">
      <c r="A210" s="2162"/>
      <c r="B210" s="7390">
        <v>28</v>
      </c>
      <c r="C210" s="6466"/>
      <c r="D210" s="808"/>
      <c r="E210" s="808"/>
      <c r="F210" s="808"/>
      <c r="G210" s="808"/>
      <c r="H210" s="892" t="s">
        <v>2751</v>
      </c>
      <c r="I210" s="808"/>
      <c r="J210" s="808"/>
      <c r="K210" s="808"/>
      <c r="L210" s="808"/>
      <c r="M210" s="808"/>
      <c r="N210" s="808"/>
      <c r="O210" s="7399"/>
      <c r="P210" s="7400"/>
      <c r="Q210" s="7400"/>
      <c r="R210" s="7400"/>
      <c r="S210" s="7401"/>
      <c r="T210" s="7399"/>
      <c r="U210" s="7400"/>
      <c r="V210" s="7400"/>
      <c r="W210" s="7400"/>
      <c r="X210" s="7401"/>
      <c r="Y210" s="7399"/>
      <c r="Z210" s="7400"/>
      <c r="AA210" s="7400"/>
      <c r="AB210" s="7400"/>
      <c r="AC210" s="7400"/>
      <c r="AD210" s="7400"/>
      <c r="AE210" s="7401"/>
      <c r="AF210" s="7399"/>
      <c r="AG210" s="7400"/>
      <c r="AH210" s="7400"/>
      <c r="AI210" s="7400"/>
      <c r="AJ210" s="7401"/>
      <c r="AK210" s="7399"/>
      <c r="AL210" s="7400"/>
      <c r="AM210" s="7400"/>
      <c r="AN210" s="7400"/>
      <c r="AO210" s="7400"/>
      <c r="AP210" s="2162"/>
      <c r="BG210" s="2396"/>
      <c r="BH210" s="2038"/>
      <c r="BI210" s="2038"/>
      <c r="BJ210" s="2038"/>
      <c r="BK210" s="2038"/>
      <c r="BL210" s="2038"/>
      <c r="BM210" s="2038"/>
      <c r="BN210" s="2038"/>
      <c r="BO210" s="2038"/>
      <c r="BP210" s="2038"/>
    </row>
    <row r="211" spans="1:68" ht="12.75" customHeight="1">
      <c r="A211" s="2162"/>
      <c r="B211" s="1121"/>
      <c r="C211" s="1121"/>
      <c r="D211" s="1121"/>
      <c r="E211" s="1121"/>
      <c r="F211" s="1121"/>
      <c r="G211" s="1121"/>
      <c r="H211" s="1121"/>
      <c r="I211" s="1121"/>
      <c r="J211" s="1121"/>
      <c r="K211" s="1121"/>
      <c r="L211" s="1121"/>
      <c r="M211" s="1121"/>
      <c r="N211" s="1121"/>
      <c r="O211" s="7402"/>
      <c r="P211" s="7403"/>
      <c r="Q211" s="7403"/>
      <c r="R211" s="7403"/>
      <c r="S211" s="7404"/>
      <c r="T211" s="7402"/>
      <c r="U211" s="7403"/>
      <c r="V211" s="7403"/>
      <c r="W211" s="7403"/>
      <c r="X211" s="7404"/>
      <c r="Y211" s="7402"/>
      <c r="Z211" s="7403"/>
      <c r="AA211" s="7403"/>
      <c r="AB211" s="7403"/>
      <c r="AC211" s="7403"/>
      <c r="AD211" s="7403"/>
      <c r="AE211" s="7404"/>
      <c r="AF211" s="7402"/>
      <c r="AG211" s="7403"/>
      <c r="AH211" s="7403"/>
      <c r="AI211" s="7403"/>
      <c r="AJ211" s="7404"/>
      <c r="AK211" s="7402"/>
      <c r="AL211" s="7403"/>
      <c r="AM211" s="7403"/>
      <c r="AN211" s="7403"/>
      <c r="AO211" s="7403"/>
      <c r="AP211" s="2162"/>
      <c r="BG211" s="2396"/>
      <c r="BH211" s="2038"/>
      <c r="BI211" s="2038"/>
      <c r="BJ211" s="2038"/>
      <c r="BK211" s="2038"/>
      <c r="BL211" s="2038"/>
      <c r="BM211" s="2038"/>
      <c r="BN211" s="2038"/>
      <c r="BO211" s="2038"/>
      <c r="BP211" s="2038"/>
    </row>
    <row r="212" spans="1:68" ht="13.5" customHeight="1">
      <c r="A212" s="2162"/>
      <c r="B212" s="2476" t="s">
        <v>542</v>
      </c>
      <c r="C212" s="7391"/>
      <c r="D212" s="7392"/>
      <c r="E212" s="7392"/>
      <c r="F212" s="7392"/>
      <c r="G212" s="7392"/>
      <c r="H212" s="7392"/>
      <c r="I212" s="7392"/>
      <c r="J212" s="7392"/>
      <c r="K212" s="7392"/>
      <c r="L212" s="7392"/>
      <c r="M212" s="7392"/>
      <c r="N212" s="7393"/>
      <c r="O212" s="6668"/>
      <c r="P212" s="7394"/>
      <c r="Q212" s="7394"/>
      <c r="R212" s="7394"/>
      <c r="S212" s="7395"/>
      <c r="T212" s="2474"/>
      <c r="U212" s="1122"/>
      <c r="V212" s="809"/>
      <c r="W212" s="1122"/>
      <c r="X212" s="2475"/>
      <c r="Y212" s="7360"/>
      <c r="Z212" s="7361"/>
      <c r="AA212" s="7361"/>
      <c r="AB212" s="7361"/>
      <c r="AC212" s="7361"/>
      <c r="AD212" s="7361"/>
      <c r="AE212" s="7362"/>
      <c r="AF212" s="2474"/>
      <c r="AG212" s="1122"/>
      <c r="AH212" s="809"/>
      <c r="AI212" s="1122"/>
      <c r="AJ212" s="2475"/>
      <c r="AK212" s="2474"/>
      <c r="AL212" s="1122"/>
      <c r="AM212" s="809"/>
      <c r="AN212" s="1122"/>
      <c r="AO212" s="1122"/>
      <c r="AP212" s="2162"/>
      <c r="BG212" s="2396"/>
      <c r="BH212" s="2038"/>
      <c r="BI212" s="2038"/>
      <c r="BJ212" s="2038"/>
      <c r="BK212" s="2038"/>
      <c r="BL212" s="2038"/>
      <c r="BM212" s="2038"/>
      <c r="BN212" s="2038"/>
      <c r="BO212" s="2038"/>
      <c r="BP212" s="2038"/>
    </row>
    <row r="213" spans="1:68" ht="13.5" customHeight="1">
      <c r="A213" s="2162"/>
      <c r="B213" s="2476" t="s">
        <v>548</v>
      </c>
      <c r="C213" s="7391"/>
      <c r="D213" s="7392"/>
      <c r="E213" s="7392"/>
      <c r="F213" s="7392"/>
      <c r="G213" s="7392"/>
      <c r="H213" s="7392"/>
      <c r="I213" s="7392"/>
      <c r="J213" s="7392"/>
      <c r="K213" s="7392"/>
      <c r="L213" s="7392"/>
      <c r="M213" s="7392"/>
      <c r="N213" s="7393"/>
      <c r="O213" s="6668"/>
      <c r="P213" s="7394"/>
      <c r="Q213" s="7394"/>
      <c r="R213" s="7394"/>
      <c r="S213" s="7395"/>
      <c r="T213" s="2474"/>
      <c r="U213" s="1122"/>
      <c r="V213" s="809"/>
      <c r="W213" s="1122"/>
      <c r="X213" s="2475"/>
      <c r="Y213" s="7360"/>
      <c r="Z213" s="7361"/>
      <c r="AA213" s="7361"/>
      <c r="AB213" s="7361"/>
      <c r="AC213" s="7361"/>
      <c r="AD213" s="7361"/>
      <c r="AE213" s="7362"/>
      <c r="AF213" s="2474"/>
      <c r="AG213" s="1122"/>
      <c r="AH213" s="809"/>
      <c r="AI213" s="1122"/>
      <c r="AJ213" s="2475"/>
      <c r="AK213" s="2474"/>
      <c r="AL213" s="1122"/>
      <c r="AM213" s="809"/>
      <c r="AN213" s="1122"/>
      <c r="AO213" s="1122"/>
      <c r="AP213" s="2162"/>
      <c r="BG213" s="2396"/>
      <c r="BH213" s="2038"/>
      <c r="BI213" s="2038"/>
      <c r="BJ213" s="2038"/>
      <c r="BK213" s="2038"/>
      <c r="BL213" s="2038"/>
      <c r="BM213" s="2038"/>
      <c r="BN213" s="2038"/>
      <c r="BO213" s="2038"/>
      <c r="BP213" s="2038"/>
    </row>
    <row r="214" spans="1:68" ht="13.5" customHeight="1">
      <c r="A214" s="2162"/>
      <c r="B214" s="2476" t="s">
        <v>550</v>
      </c>
      <c r="C214" s="7391"/>
      <c r="D214" s="7392"/>
      <c r="E214" s="7392"/>
      <c r="F214" s="7392"/>
      <c r="G214" s="7392"/>
      <c r="H214" s="7392"/>
      <c r="I214" s="7392"/>
      <c r="J214" s="7392"/>
      <c r="K214" s="7392"/>
      <c r="L214" s="7392"/>
      <c r="M214" s="7392"/>
      <c r="N214" s="7393"/>
      <c r="O214" s="6668"/>
      <c r="P214" s="7394"/>
      <c r="Q214" s="7394"/>
      <c r="R214" s="7394"/>
      <c r="S214" s="7395"/>
      <c r="T214" s="2474"/>
      <c r="U214" s="1122"/>
      <c r="V214" s="809"/>
      <c r="W214" s="1122"/>
      <c r="X214" s="2475"/>
      <c r="Y214" s="7360"/>
      <c r="Z214" s="7361"/>
      <c r="AA214" s="7361"/>
      <c r="AB214" s="7361"/>
      <c r="AC214" s="7361"/>
      <c r="AD214" s="7361"/>
      <c r="AE214" s="7362"/>
      <c r="AF214" s="2474"/>
      <c r="AG214" s="1122"/>
      <c r="AH214" s="809"/>
      <c r="AI214" s="1122"/>
      <c r="AJ214" s="2475"/>
      <c r="AK214" s="2474"/>
      <c r="AL214" s="1122"/>
      <c r="AM214" s="809"/>
      <c r="AN214" s="1122"/>
      <c r="AO214" s="1122"/>
      <c r="AP214" s="2162"/>
      <c r="BG214" s="2396"/>
      <c r="BH214" s="2038"/>
      <c r="BI214" s="2038"/>
      <c r="BJ214" s="2038"/>
      <c r="BK214" s="2038"/>
      <c r="BL214" s="2038"/>
      <c r="BM214" s="2038"/>
      <c r="BN214" s="2038"/>
      <c r="BO214" s="2038"/>
      <c r="BP214" s="2038"/>
    </row>
    <row r="215" spans="1:68" ht="13.5" customHeight="1">
      <c r="A215" s="2162"/>
      <c r="B215" s="2476" t="s">
        <v>553</v>
      </c>
      <c r="C215" s="7391"/>
      <c r="D215" s="7392"/>
      <c r="E215" s="7392"/>
      <c r="F215" s="7392"/>
      <c r="G215" s="7392"/>
      <c r="H215" s="7392"/>
      <c r="I215" s="7392"/>
      <c r="J215" s="7392"/>
      <c r="K215" s="7392"/>
      <c r="L215" s="7392"/>
      <c r="M215" s="7392"/>
      <c r="N215" s="7393"/>
      <c r="O215" s="6668"/>
      <c r="P215" s="7394"/>
      <c r="Q215" s="7394"/>
      <c r="R215" s="7394"/>
      <c r="S215" s="7395"/>
      <c r="T215" s="2474"/>
      <c r="U215" s="1122"/>
      <c r="V215" s="809"/>
      <c r="W215" s="1122"/>
      <c r="X215" s="2475"/>
      <c r="Y215" s="7360"/>
      <c r="Z215" s="7361"/>
      <c r="AA215" s="7361"/>
      <c r="AB215" s="7361"/>
      <c r="AC215" s="7361"/>
      <c r="AD215" s="7361"/>
      <c r="AE215" s="7362"/>
      <c r="AF215" s="2474"/>
      <c r="AG215" s="1122"/>
      <c r="AH215" s="809"/>
      <c r="AI215" s="1122"/>
      <c r="AJ215" s="2475"/>
      <c r="AK215" s="2474"/>
      <c r="AL215" s="1122"/>
      <c r="AM215" s="809"/>
      <c r="AN215" s="1122"/>
      <c r="AO215" s="1122"/>
      <c r="AP215" s="2162"/>
      <c r="BG215" s="2396"/>
      <c r="BH215" s="2038"/>
      <c r="BI215" s="2038"/>
      <c r="BJ215" s="2038"/>
      <c r="BK215" s="2038"/>
      <c r="BL215" s="2038"/>
      <c r="BM215" s="2038"/>
      <c r="BN215" s="2038"/>
      <c r="BO215" s="2038"/>
      <c r="BP215" s="2038"/>
    </row>
    <row r="216" spans="1:68" ht="17.25" customHeight="1">
      <c r="A216" s="2162"/>
      <c r="B216" s="7364" t="s">
        <v>2752</v>
      </c>
      <c r="C216" s="7461"/>
      <c r="D216" s="7461"/>
      <c r="E216" s="7461"/>
      <c r="F216" s="7461"/>
      <c r="G216" s="7461"/>
      <c r="H216" s="7461"/>
      <c r="I216" s="7461"/>
      <c r="J216" s="7461"/>
      <c r="K216" s="7461"/>
      <c r="L216" s="7461"/>
      <c r="M216" s="7461"/>
      <c r="N216" s="7461"/>
      <c r="O216" s="7461"/>
      <c r="P216" s="7461"/>
      <c r="Q216" s="7461"/>
      <c r="R216" s="6844"/>
      <c r="S216" s="7379" t="s">
        <v>2753</v>
      </c>
      <c r="T216" s="7380"/>
      <c r="U216" s="7380"/>
      <c r="V216" s="7380"/>
      <c r="W216" s="7380"/>
      <c r="X216" s="7380"/>
      <c r="Y216" s="7380"/>
      <c r="Z216" s="7380"/>
      <c r="AA216" s="7380"/>
      <c r="AB216" s="7380"/>
      <c r="AC216" s="7380"/>
      <c r="AD216" s="7380"/>
      <c r="AE216" s="7380"/>
      <c r="AF216" s="7380"/>
      <c r="AG216" s="7380"/>
      <c r="AH216" s="7380"/>
      <c r="AI216" s="7380"/>
      <c r="AJ216" s="7380"/>
      <c r="AK216" s="7380"/>
      <c r="AL216" s="7380"/>
      <c r="AM216" s="7380"/>
      <c r="AN216" s="7380"/>
      <c r="AO216" s="7380"/>
      <c r="AP216" s="2162"/>
      <c r="BG216" s="2396"/>
      <c r="BH216" s="2038"/>
      <c r="BI216" s="2038"/>
      <c r="BJ216" s="2038"/>
      <c r="BK216" s="2038"/>
      <c r="BL216" s="2038"/>
      <c r="BM216" s="2038"/>
      <c r="BN216" s="2038"/>
      <c r="BO216" s="2038"/>
      <c r="BP216" s="2038"/>
    </row>
    <row r="217" spans="1:68" ht="12.75" customHeight="1">
      <c r="A217" s="2162"/>
      <c r="B217" s="1142"/>
      <c r="C217" s="7467" t="s">
        <v>2754</v>
      </c>
      <c r="D217" s="7374"/>
      <c r="E217" s="7374"/>
      <c r="F217" s="7374"/>
      <c r="G217" s="7374"/>
      <c r="H217" s="7374"/>
      <c r="I217" s="7374"/>
      <c r="J217" s="7468"/>
      <c r="K217" s="7373" t="s">
        <v>2755</v>
      </c>
      <c r="L217" s="7374"/>
      <c r="M217" s="7374"/>
      <c r="N217" s="7374"/>
      <c r="O217" s="7374"/>
      <c r="P217" s="7374"/>
      <c r="Q217" s="7374"/>
      <c r="R217" s="7374"/>
      <c r="S217" s="7471" t="s">
        <v>2756</v>
      </c>
      <c r="T217" s="7374"/>
      <c r="U217" s="7374"/>
      <c r="V217" s="7374"/>
      <c r="W217" s="7374"/>
      <c r="X217" s="7374"/>
      <c r="Y217" s="7468"/>
      <c r="Z217" s="7373" t="s">
        <v>2757</v>
      </c>
      <c r="AA217" s="7374"/>
      <c r="AB217" s="7374"/>
      <c r="AC217" s="7374"/>
      <c r="AD217" s="7374"/>
      <c r="AE217" s="7374"/>
      <c r="AF217" s="7374"/>
      <c r="AG217" s="7468"/>
      <c r="AH217" s="7373" t="s">
        <v>2758</v>
      </c>
      <c r="AI217" s="7374"/>
      <c r="AJ217" s="7374"/>
      <c r="AK217" s="7374"/>
      <c r="AL217" s="7374"/>
      <c r="AM217" s="7374"/>
      <c r="AN217" s="7374"/>
      <c r="AO217" s="7374"/>
      <c r="AP217" s="2162"/>
      <c r="BG217" s="2396"/>
      <c r="BH217" s="2038"/>
      <c r="BI217" s="2038"/>
      <c r="BJ217" s="2038"/>
      <c r="BK217" s="2038"/>
      <c r="BL217" s="2038"/>
      <c r="BM217" s="2038"/>
      <c r="BN217" s="2038"/>
      <c r="BO217" s="2038"/>
      <c r="BP217" s="2038"/>
    </row>
    <row r="218" spans="1:68" ht="12.75" customHeight="1">
      <c r="A218" s="2162"/>
      <c r="B218" s="808"/>
      <c r="C218" s="7376"/>
      <c r="D218" s="7376"/>
      <c r="E218" s="7376"/>
      <c r="F218" s="7376"/>
      <c r="G218" s="7376"/>
      <c r="H218" s="7376"/>
      <c r="I218" s="7376"/>
      <c r="J218" s="7469"/>
      <c r="K218" s="7375"/>
      <c r="L218" s="7376"/>
      <c r="M218" s="7376"/>
      <c r="N218" s="7376"/>
      <c r="O218" s="7376"/>
      <c r="P218" s="7376"/>
      <c r="Q218" s="7376"/>
      <c r="R218" s="7376"/>
      <c r="S218" s="7472"/>
      <c r="T218" s="7376"/>
      <c r="U218" s="7376"/>
      <c r="V218" s="7376"/>
      <c r="W218" s="7376"/>
      <c r="X218" s="7376"/>
      <c r="Y218" s="7469"/>
      <c r="Z218" s="7375"/>
      <c r="AA218" s="7376"/>
      <c r="AB218" s="7376"/>
      <c r="AC218" s="7376"/>
      <c r="AD218" s="7376"/>
      <c r="AE218" s="7376"/>
      <c r="AF218" s="7376"/>
      <c r="AG218" s="7469"/>
      <c r="AH218" s="7375"/>
      <c r="AI218" s="7376"/>
      <c r="AJ218" s="7376"/>
      <c r="AK218" s="7376"/>
      <c r="AL218" s="7376"/>
      <c r="AM218" s="7376"/>
      <c r="AN218" s="7376"/>
      <c r="AO218" s="7376"/>
      <c r="AP218" s="2162"/>
      <c r="BG218" s="2396"/>
      <c r="BH218" s="2038"/>
      <c r="BI218" s="2038"/>
      <c r="BJ218" s="2038"/>
      <c r="BK218" s="2038"/>
      <c r="BL218" s="2038"/>
      <c r="BM218" s="2038"/>
      <c r="BN218" s="2038"/>
      <c r="BO218" s="2038"/>
      <c r="BP218" s="2038"/>
    </row>
    <row r="219" spans="1:68" ht="12.75" customHeight="1">
      <c r="A219" s="2162"/>
      <c r="B219" s="1121"/>
      <c r="C219" s="7378"/>
      <c r="D219" s="7378"/>
      <c r="E219" s="7378"/>
      <c r="F219" s="7378"/>
      <c r="G219" s="7378"/>
      <c r="H219" s="7378"/>
      <c r="I219" s="7378"/>
      <c r="J219" s="7470"/>
      <c r="K219" s="7377"/>
      <c r="L219" s="7378"/>
      <c r="M219" s="7378"/>
      <c r="N219" s="7378"/>
      <c r="O219" s="7378"/>
      <c r="P219" s="7378"/>
      <c r="Q219" s="7378"/>
      <c r="R219" s="7378"/>
      <c r="S219" s="7473"/>
      <c r="T219" s="7378"/>
      <c r="U219" s="7378"/>
      <c r="V219" s="7378"/>
      <c r="W219" s="7378"/>
      <c r="X219" s="7378"/>
      <c r="Y219" s="7470"/>
      <c r="Z219" s="7377"/>
      <c r="AA219" s="7378"/>
      <c r="AB219" s="7378"/>
      <c r="AC219" s="7378"/>
      <c r="AD219" s="7378"/>
      <c r="AE219" s="7378"/>
      <c r="AF219" s="7378"/>
      <c r="AG219" s="7470"/>
      <c r="AH219" s="7377"/>
      <c r="AI219" s="7378"/>
      <c r="AJ219" s="7378"/>
      <c r="AK219" s="7378"/>
      <c r="AL219" s="7378"/>
      <c r="AM219" s="7378"/>
      <c r="AN219" s="7378"/>
      <c r="AO219" s="7378"/>
      <c r="AP219" s="2162"/>
      <c r="BG219" s="2396"/>
      <c r="BH219" s="2038"/>
      <c r="BI219" s="2038"/>
      <c r="BJ219" s="2038"/>
      <c r="BK219" s="2038"/>
      <c r="BL219" s="2038"/>
      <c r="BM219" s="2038"/>
      <c r="BN219" s="2038"/>
      <c r="BO219" s="2038"/>
      <c r="BP219" s="2038"/>
    </row>
    <row r="220" spans="1:68" ht="13.5" customHeight="1">
      <c r="A220" s="2162"/>
      <c r="B220" s="2477" t="s">
        <v>542</v>
      </c>
      <c r="C220" s="7388"/>
      <c r="D220" s="7389"/>
      <c r="E220" s="7389"/>
      <c r="F220" s="7389"/>
      <c r="G220" s="7389"/>
      <c r="H220" s="7389"/>
      <c r="I220" s="7389"/>
      <c r="J220" s="7422"/>
      <c r="K220" s="7388"/>
      <c r="L220" s="7389"/>
      <c r="M220" s="7389"/>
      <c r="N220" s="7389"/>
      <c r="O220" s="7389"/>
      <c r="P220" s="7389"/>
      <c r="Q220" s="7389"/>
      <c r="R220" s="7432"/>
      <c r="S220" s="7388"/>
      <c r="T220" s="7389"/>
      <c r="U220" s="7389"/>
      <c r="V220" s="7389"/>
      <c r="W220" s="7389"/>
      <c r="X220" s="7389"/>
      <c r="Y220" s="7389"/>
      <c r="Z220" s="7388"/>
      <c r="AA220" s="7389"/>
      <c r="AB220" s="7389"/>
      <c r="AC220" s="7389"/>
      <c r="AD220" s="7389"/>
      <c r="AE220" s="7389"/>
      <c r="AF220" s="7389"/>
      <c r="AG220" s="7422"/>
      <c r="AH220" s="7388"/>
      <c r="AI220" s="7389"/>
      <c r="AJ220" s="7389"/>
      <c r="AK220" s="7389"/>
      <c r="AL220" s="7389"/>
      <c r="AM220" s="7389"/>
      <c r="AN220" s="7389"/>
      <c r="AO220" s="7389"/>
      <c r="AP220" s="2162"/>
      <c r="BG220" s="2396"/>
      <c r="BH220" s="2038"/>
      <c r="BI220" s="2038"/>
      <c r="BJ220" s="2038"/>
      <c r="BK220" s="2038"/>
      <c r="BL220" s="2038"/>
      <c r="BM220" s="2038"/>
      <c r="BN220" s="2038"/>
      <c r="BO220" s="2038"/>
      <c r="BP220" s="2038"/>
    </row>
    <row r="221" spans="1:68" ht="13.5" customHeight="1">
      <c r="A221" s="2162"/>
      <c r="B221" s="2476" t="s">
        <v>548</v>
      </c>
      <c r="C221" s="7388"/>
      <c r="D221" s="7389"/>
      <c r="E221" s="7389"/>
      <c r="F221" s="7389"/>
      <c r="G221" s="7389"/>
      <c r="H221" s="7389"/>
      <c r="I221" s="7389"/>
      <c r="J221" s="7422"/>
      <c r="K221" s="7388"/>
      <c r="L221" s="7389"/>
      <c r="M221" s="7389"/>
      <c r="N221" s="7389"/>
      <c r="O221" s="7389"/>
      <c r="P221" s="7389"/>
      <c r="Q221" s="7389"/>
      <c r="R221" s="7432"/>
      <c r="S221" s="7388"/>
      <c r="T221" s="7389"/>
      <c r="U221" s="7389"/>
      <c r="V221" s="7389"/>
      <c r="W221" s="7389"/>
      <c r="X221" s="7389"/>
      <c r="Y221" s="7389"/>
      <c r="Z221" s="7388"/>
      <c r="AA221" s="7389"/>
      <c r="AB221" s="7389"/>
      <c r="AC221" s="7389"/>
      <c r="AD221" s="7389"/>
      <c r="AE221" s="7389"/>
      <c r="AF221" s="7389"/>
      <c r="AG221" s="7422"/>
      <c r="AH221" s="7388"/>
      <c r="AI221" s="7389"/>
      <c r="AJ221" s="7389"/>
      <c r="AK221" s="7389"/>
      <c r="AL221" s="7389"/>
      <c r="AM221" s="7389"/>
      <c r="AN221" s="7389"/>
      <c r="AO221" s="7389"/>
      <c r="AP221" s="2162"/>
      <c r="BG221" s="2396"/>
      <c r="BH221" s="2038"/>
      <c r="BI221" s="2038"/>
      <c r="BJ221" s="2038"/>
      <c r="BK221" s="2038"/>
      <c r="BL221" s="2038"/>
      <c r="BM221" s="2038"/>
      <c r="BN221" s="2038"/>
      <c r="BO221" s="2038"/>
      <c r="BP221" s="2038"/>
    </row>
    <row r="222" spans="1:68" ht="13.5" customHeight="1">
      <c r="A222" s="2162"/>
      <c r="B222" s="2476" t="s">
        <v>550</v>
      </c>
      <c r="C222" s="7388"/>
      <c r="D222" s="7389"/>
      <c r="E222" s="7389"/>
      <c r="F222" s="7389"/>
      <c r="G222" s="7389"/>
      <c r="H222" s="7389"/>
      <c r="I222" s="7389"/>
      <c r="J222" s="7422"/>
      <c r="K222" s="7388"/>
      <c r="L222" s="7389"/>
      <c r="M222" s="7389"/>
      <c r="N222" s="7389"/>
      <c r="O222" s="7389"/>
      <c r="P222" s="7389"/>
      <c r="Q222" s="7389"/>
      <c r="R222" s="7432"/>
      <c r="S222" s="7388"/>
      <c r="T222" s="7389"/>
      <c r="U222" s="7389"/>
      <c r="V222" s="7389"/>
      <c r="W222" s="7389"/>
      <c r="X222" s="7389"/>
      <c r="Y222" s="7389"/>
      <c r="Z222" s="7388"/>
      <c r="AA222" s="7389"/>
      <c r="AB222" s="7389"/>
      <c r="AC222" s="7389"/>
      <c r="AD222" s="7389"/>
      <c r="AE222" s="7389"/>
      <c r="AF222" s="7389"/>
      <c r="AG222" s="7422"/>
      <c r="AH222" s="7388"/>
      <c r="AI222" s="7389"/>
      <c r="AJ222" s="7389"/>
      <c r="AK222" s="7389"/>
      <c r="AL222" s="7389"/>
      <c r="AM222" s="7389"/>
      <c r="AN222" s="7389"/>
      <c r="AO222" s="7389"/>
      <c r="AP222" s="2162"/>
      <c r="BG222" s="2396"/>
      <c r="BH222" s="2038"/>
      <c r="BI222" s="2038"/>
      <c r="BJ222" s="2038"/>
      <c r="BK222" s="2038"/>
      <c r="BL222" s="2038"/>
      <c r="BM222" s="2038"/>
      <c r="BN222" s="2038"/>
      <c r="BO222" s="2038"/>
      <c r="BP222" s="2038"/>
    </row>
    <row r="223" spans="1:68" ht="13.5" customHeight="1">
      <c r="A223" s="2162"/>
      <c r="B223" s="2476" t="s">
        <v>553</v>
      </c>
      <c r="C223" s="7388"/>
      <c r="D223" s="7389"/>
      <c r="E223" s="7389"/>
      <c r="F223" s="7389"/>
      <c r="G223" s="7389"/>
      <c r="H223" s="7389"/>
      <c r="I223" s="7389"/>
      <c r="J223" s="7422"/>
      <c r="K223" s="7388"/>
      <c r="L223" s="7389"/>
      <c r="M223" s="7389"/>
      <c r="N223" s="7389"/>
      <c r="O223" s="7389"/>
      <c r="P223" s="7389"/>
      <c r="Q223" s="7389"/>
      <c r="R223" s="7432"/>
      <c r="S223" s="7388"/>
      <c r="T223" s="7389"/>
      <c r="U223" s="7389"/>
      <c r="V223" s="7389"/>
      <c r="W223" s="7389"/>
      <c r="X223" s="7389"/>
      <c r="Y223" s="7389"/>
      <c r="Z223" s="7388"/>
      <c r="AA223" s="7389"/>
      <c r="AB223" s="7389"/>
      <c r="AC223" s="7389"/>
      <c r="AD223" s="7389"/>
      <c r="AE223" s="7389"/>
      <c r="AF223" s="7389"/>
      <c r="AG223" s="7422"/>
      <c r="AH223" s="7388"/>
      <c r="AI223" s="7389"/>
      <c r="AJ223" s="7389"/>
      <c r="AK223" s="7389"/>
      <c r="AL223" s="7389"/>
      <c r="AM223" s="7389"/>
      <c r="AN223" s="7389"/>
      <c r="AO223" s="7389"/>
      <c r="AP223" s="2162"/>
      <c r="BG223" s="2396"/>
      <c r="BH223" s="2038"/>
      <c r="BI223" s="2038"/>
      <c r="BJ223" s="2038"/>
      <c r="BK223" s="2038"/>
      <c r="BL223" s="2038"/>
      <c r="BM223" s="2038"/>
      <c r="BN223" s="2038"/>
      <c r="BO223" s="2038"/>
      <c r="BP223" s="2038"/>
    </row>
    <row r="224" spans="1:68" ht="13.5" customHeight="1">
      <c r="A224" s="2162"/>
      <c r="B224" s="7364" t="s">
        <v>2759</v>
      </c>
      <c r="C224" s="7364"/>
      <c r="D224" s="3604"/>
      <c r="E224" s="3604" t="s">
        <v>2760</v>
      </c>
      <c r="F224" s="818"/>
      <c r="G224" s="2403"/>
      <c r="H224" s="2403"/>
      <c r="I224" s="2403"/>
      <c r="J224" s="819"/>
      <c r="K224" s="7338">
        <f>ROUND(SUM(K220:K223),0)</f>
        <v>0</v>
      </c>
      <c r="L224" s="7339"/>
      <c r="M224" s="7339"/>
      <c r="N224" s="7339"/>
      <c r="O224" s="7339"/>
      <c r="P224" s="7339"/>
      <c r="Q224" s="7339"/>
      <c r="R224" s="7340"/>
      <c r="S224" s="7462"/>
      <c r="T224" s="7463"/>
      <c r="U224" s="7463"/>
      <c r="V224" s="7463"/>
      <c r="W224" s="7463"/>
      <c r="X224" s="7463"/>
      <c r="Y224" s="7463"/>
      <c r="Z224" s="2403"/>
      <c r="AA224" s="2403"/>
      <c r="AB224" s="2403"/>
      <c r="AC224" s="2403"/>
      <c r="AD224" s="2403"/>
      <c r="AE224" s="2403"/>
      <c r="AF224" s="2403"/>
      <c r="AG224" s="819"/>
      <c r="AH224" s="7335">
        <f>ROUND(SUM(AH220:AH223),0)</f>
        <v>0</v>
      </c>
      <c r="AI224" s="7458"/>
      <c r="AJ224" s="7458"/>
      <c r="AK224" s="7458"/>
      <c r="AL224" s="7458"/>
      <c r="AM224" s="7458"/>
      <c r="AN224" s="7458"/>
      <c r="AO224" s="7458"/>
      <c r="AP224" s="2162"/>
      <c r="BG224" s="2396"/>
      <c r="BH224" s="2038"/>
      <c r="BI224" s="2038"/>
      <c r="BJ224" s="2038"/>
      <c r="BK224" s="2038"/>
      <c r="BL224" s="2038"/>
      <c r="BM224" s="2038"/>
      <c r="BN224" s="2038"/>
      <c r="BO224" s="2038"/>
      <c r="BP224" s="2038"/>
    </row>
    <row r="225" spans="1:69" ht="13.5" customHeight="1">
      <c r="A225" s="2162"/>
      <c r="B225" s="7433" t="s">
        <v>644</v>
      </c>
      <c r="C225" s="7433"/>
      <c r="D225" s="2112"/>
      <c r="E225" s="3604" t="s">
        <v>2760</v>
      </c>
      <c r="F225" s="7335">
        <f>ROUND(SUM(C220:C223),0)</f>
        <v>0</v>
      </c>
      <c r="G225" s="7458"/>
      <c r="H225" s="7458"/>
      <c r="I225" s="7458"/>
      <c r="J225" s="7459"/>
      <c r="K225" s="7464"/>
      <c r="L225" s="7465"/>
      <c r="M225" s="7465"/>
      <c r="N225" s="7465"/>
      <c r="O225" s="7465"/>
      <c r="P225" s="7465"/>
      <c r="Q225" s="7465"/>
      <c r="R225" s="7466"/>
      <c r="S225" s="7356">
        <f>ROUND(SUM(S220:S223),0)</f>
        <v>0</v>
      </c>
      <c r="T225" s="7339"/>
      <c r="U225" s="7339"/>
      <c r="V225" s="7339"/>
      <c r="W225" s="7339"/>
      <c r="X225" s="7339"/>
      <c r="Y225" s="7357"/>
      <c r="Z225" s="7460">
        <f>ROUND(SUM(Z220:Z223),0)</f>
        <v>0</v>
      </c>
      <c r="AA225" s="7460"/>
      <c r="AB225" s="7460"/>
      <c r="AC225" s="7460"/>
      <c r="AD225" s="7460"/>
      <c r="AE225" s="7460"/>
      <c r="AF225" s="7460"/>
      <c r="AG225" s="7460"/>
      <c r="AH225" s="7456"/>
      <c r="AI225" s="7456"/>
      <c r="AJ225" s="7456"/>
      <c r="AK225" s="7456"/>
      <c r="AL225" s="7456"/>
      <c r="AM225" s="7456"/>
      <c r="AN225" s="7456"/>
      <c r="AO225" s="7457"/>
      <c r="AP225" s="2162"/>
      <c r="BG225" s="2396"/>
      <c r="BH225" s="2038"/>
      <c r="BI225" s="2038"/>
      <c r="BJ225" s="2038"/>
      <c r="BK225" s="2038"/>
      <c r="BL225" s="2038"/>
      <c r="BM225" s="2038"/>
      <c r="BN225" s="2038"/>
      <c r="BO225" s="2038"/>
      <c r="BP225" s="2038"/>
    </row>
    <row r="226" spans="1:69" ht="12.75" customHeight="1">
      <c r="A226" s="2162"/>
      <c r="B226" s="7328">
        <v>30</v>
      </c>
      <c r="C226" s="7328"/>
      <c r="D226" s="2112" t="s">
        <v>2761</v>
      </c>
      <c r="E226" s="808"/>
      <c r="F226" s="808"/>
      <c r="G226" s="808"/>
      <c r="H226" s="808"/>
      <c r="I226" s="808"/>
      <c r="J226" s="808"/>
      <c r="K226" s="808"/>
      <c r="L226" s="808"/>
      <c r="M226" s="808"/>
      <c r="N226" s="808"/>
      <c r="O226" s="808"/>
      <c r="P226" s="808"/>
      <c r="Q226" s="808"/>
      <c r="R226" s="808"/>
      <c r="S226" s="808"/>
      <c r="T226" s="808"/>
      <c r="U226" s="808"/>
      <c r="V226" s="808"/>
      <c r="W226" s="808"/>
      <c r="X226" s="808"/>
      <c r="Y226" s="808"/>
      <c r="Z226" s="808"/>
      <c r="AA226" s="808"/>
      <c r="AB226" s="808"/>
      <c r="AC226" s="808"/>
      <c r="AD226" s="808"/>
      <c r="AE226" s="2760" t="s">
        <v>740</v>
      </c>
      <c r="AF226" s="7341">
        <v>30</v>
      </c>
      <c r="AG226" s="7342"/>
      <c r="AH226" s="7386">
        <f>SUM(K224,AH224)</f>
        <v>0</v>
      </c>
      <c r="AI226" s="7387"/>
      <c r="AJ226" s="7387"/>
      <c r="AK226" s="7387"/>
      <c r="AL226" s="7387"/>
      <c r="AM226" s="7387"/>
      <c r="AN226" s="7387"/>
      <c r="AO226" s="7387"/>
      <c r="AP226" s="2162"/>
      <c r="AQ226" s="260"/>
      <c r="AR226" s="260"/>
      <c r="AS226" s="260"/>
      <c r="BG226" s="2396"/>
      <c r="BH226" s="2038"/>
      <c r="BI226" s="2038"/>
      <c r="BJ226" s="2038"/>
      <c r="BK226" s="2038"/>
      <c r="BL226" s="2038"/>
      <c r="BM226" s="2038"/>
      <c r="BN226" s="2038"/>
      <c r="BO226" s="2038"/>
      <c r="BP226" s="2038"/>
    </row>
    <row r="227" spans="1:69" ht="12.75" customHeight="1" thickBot="1">
      <c r="A227" s="2162"/>
      <c r="B227" s="7328">
        <v>31</v>
      </c>
      <c r="C227" s="7328"/>
      <c r="D227" s="2112" t="s">
        <v>2762</v>
      </c>
      <c r="E227" s="808"/>
      <c r="F227" s="808"/>
      <c r="G227" s="808"/>
      <c r="H227" s="808"/>
      <c r="I227" s="808"/>
      <c r="J227" s="808"/>
      <c r="K227" s="808"/>
      <c r="L227" s="808"/>
      <c r="M227" s="808"/>
      <c r="N227" s="808"/>
      <c r="O227" s="808"/>
      <c r="P227" s="808"/>
      <c r="Q227" s="808"/>
      <c r="R227" s="808"/>
      <c r="S227" s="808"/>
      <c r="T227" s="808"/>
      <c r="U227" s="808"/>
      <c r="V227" s="808"/>
      <c r="W227" s="808"/>
      <c r="X227" s="808"/>
      <c r="Y227" s="808"/>
      <c r="Z227" s="808"/>
      <c r="AA227" s="808"/>
      <c r="AB227" s="808"/>
      <c r="AC227" s="808"/>
      <c r="AD227" s="808"/>
      <c r="AE227" s="2760" t="s">
        <v>705</v>
      </c>
      <c r="AF227" s="7341">
        <v>31</v>
      </c>
      <c r="AG227" s="7342"/>
      <c r="AH227" s="2764" t="s">
        <v>905</v>
      </c>
      <c r="AI227" s="7368">
        <f>SUM(F225,S225,Z225)</f>
        <v>0</v>
      </c>
      <c r="AJ227" s="7253"/>
      <c r="AK227" s="7253"/>
      <c r="AL227" s="7253"/>
      <c r="AM227" s="7253"/>
      <c r="AN227" s="7253"/>
      <c r="AO227" s="2765" t="s">
        <v>906</v>
      </c>
      <c r="AP227" s="2162"/>
      <c r="AQ227" s="260"/>
      <c r="AR227" s="1896" t="s">
        <v>867</v>
      </c>
      <c r="AS227" s="260"/>
      <c r="BG227" s="2396"/>
      <c r="BH227" s="2038"/>
      <c r="BI227" s="2038"/>
      <c r="BJ227" s="2038"/>
      <c r="BK227" s="2038"/>
      <c r="BL227" s="2038"/>
      <c r="BM227" s="2038"/>
      <c r="BN227" s="2038"/>
      <c r="BO227" s="2038"/>
      <c r="BP227" s="2038"/>
    </row>
    <row r="228" spans="1:69" ht="12.75" customHeight="1" thickBot="1">
      <c r="A228" s="2162"/>
      <c r="B228" s="7581">
        <v>32</v>
      </c>
      <c r="C228" s="7581"/>
      <c r="D228" s="3388" t="s">
        <v>2763</v>
      </c>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c r="AA228" s="896"/>
      <c r="AB228" s="896"/>
      <c r="AC228" s="896"/>
      <c r="AD228" s="896"/>
      <c r="AE228" s="2761" t="s">
        <v>680</v>
      </c>
      <c r="AF228" s="7343">
        <v>32</v>
      </c>
      <c r="AG228" s="7344"/>
      <c r="AH228" s="7567">
        <f>IF(AR228&lt;&gt;"",ROUND(AR228,0),SUM(AH226,-AI227))</f>
        <v>0</v>
      </c>
      <c r="AI228" s="7568"/>
      <c r="AJ228" s="7568"/>
      <c r="AK228" s="7568"/>
      <c r="AL228" s="7568"/>
      <c r="AM228" s="7568"/>
      <c r="AN228" s="7568"/>
      <c r="AO228" s="7568"/>
      <c r="AP228" s="2162"/>
      <c r="AQ228" s="260"/>
      <c r="AR228" s="2492"/>
      <c r="AS228" s="260"/>
      <c r="BG228" s="2396"/>
      <c r="BH228" s="2038"/>
      <c r="BI228" s="2038"/>
      <c r="BJ228" s="2038"/>
      <c r="BK228" s="2038"/>
      <c r="BL228" s="2038"/>
      <c r="BM228" s="2038"/>
      <c r="BN228" s="2038"/>
      <c r="BO228" s="2038"/>
      <c r="BP228" s="2038"/>
    </row>
    <row r="229" spans="1:69" s="2114" customFormat="1" ht="17.25" customHeight="1">
      <c r="A229" s="2163"/>
      <c r="B229" s="7438" t="s">
        <v>2243</v>
      </c>
      <c r="C229" s="7438"/>
      <c r="D229" s="7439"/>
      <c r="E229" s="998"/>
      <c r="F229" s="2763" t="s">
        <v>2764</v>
      </c>
      <c r="G229" s="998"/>
      <c r="H229" s="998"/>
      <c r="I229" s="998"/>
      <c r="J229" s="998"/>
      <c r="K229" s="998"/>
      <c r="L229" s="998"/>
      <c r="M229" s="998"/>
      <c r="N229" s="998"/>
      <c r="O229" s="998"/>
      <c r="P229" s="998"/>
      <c r="Q229" s="998"/>
      <c r="R229" s="998"/>
      <c r="S229" s="998"/>
      <c r="T229" s="998"/>
      <c r="U229" s="998"/>
      <c r="V229" s="998"/>
      <c r="W229" s="998"/>
      <c r="X229" s="2190"/>
      <c r="Y229" s="998"/>
      <c r="Z229" s="998"/>
      <c r="AA229" s="998"/>
      <c r="AB229" s="998"/>
      <c r="AC229" s="998"/>
      <c r="AD229" s="998"/>
      <c r="AE229" s="998"/>
      <c r="AF229" s="998"/>
      <c r="AG229" s="998"/>
      <c r="AH229" s="998"/>
      <c r="AI229" s="998"/>
      <c r="AJ229" s="998"/>
      <c r="AK229" s="998"/>
      <c r="AL229" s="998"/>
      <c r="AM229" s="998"/>
      <c r="AN229" s="998"/>
      <c r="AO229" s="998"/>
      <c r="AP229" s="2162"/>
      <c r="AQ229" s="260"/>
      <c r="AR229" s="260"/>
      <c r="AS229" s="260"/>
      <c r="AX229" s="39"/>
      <c r="AY229" s="39"/>
      <c r="AZ229" s="39"/>
      <c r="BA229" s="39"/>
      <c r="BB229" s="39"/>
      <c r="BC229" s="39"/>
      <c r="BD229" s="39"/>
      <c r="BG229" s="2396"/>
      <c r="BH229" s="2038"/>
      <c r="BI229" s="2038"/>
      <c r="BJ229" s="2038"/>
      <c r="BK229" s="2038"/>
      <c r="BL229" s="2038"/>
      <c r="BM229" s="2038"/>
      <c r="BN229" s="2038"/>
      <c r="BO229" s="2038"/>
      <c r="BP229" s="2038"/>
      <c r="BQ229" s="2690"/>
    </row>
    <row r="230" spans="1:69" ht="12.75" customHeight="1">
      <c r="A230" s="2162"/>
      <c r="B230" s="1142"/>
      <c r="C230" s="1142"/>
      <c r="D230" s="1142"/>
      <c r="E230" s="1142"/>
      <c r="F230" s="1142"/>
      <c r="G230" s="1142"/>
      <c r="H230" s="1142"/>
      <c r="I230" s="1142"/>
      <c r="J230" s="1142"/>
      <c r="K230" s="1142"/>
      <c r="L230" s="1142"/>
      <c r="M230" s="1142"/>
      <c r="N230" s="1142"/>
      <c r="O230" s="1142"/>
      <c r="P230" s="1142"/>
      <c r="Q230" s="1142"/>
      <c r="R230" s="1142"/>
      <c r="S230" s="1142"/>
      <c r="T230" s="1142"/>
      <c r="U230" s="1142"/>
      <c r="V230" s="1142"/>
      <c r="W230" s="1142"/>
      <c r="X230" s="1142"/>
      <c r="Y230" s="1142"/>
      <c r="Z230" s="1142"/>
      <c r="AA230" s="1142"/>
      <c r="AB230" s="1142"/>
      <c r="AC230" s="1142"/>
      <c r="AD230" s="1142"/>
      <c r="AE230" s="1142"/>
      <c r="AF230" s="1142"/>
      <c r="AG230" s="1143"/>
      <c r="AH230" s="7373" t="s">
        <v>2765</v>
      </c>
      <c r="AI230" s="7440"/>
      <c r="AJ230" s="7440"/>
      <c r="AK230" s="7440"/>
      <c r="AL230" s="7440"/>
      <c r="AM230" s="7440"/>
      <c r="AN230" s="7440"/>
      <c r="AO230" s="7440"/>
      <c r="AP230" s="2162"/>
      <c r="BG230" s="2396"/>
      <c r="BH230" s="2038"/>
      <c r="BI230" s="2038"/>
      <c r="BJ230" s="2038"/>
      <c r="BK230" s="2038"/>
      <c r="BL230" s="2038"/>
      <c r="BM230" s="2038"/>
      <c r="BN230" s="2038"/>
      <c r="BO230" s="2038"/>
      <c r="BP230" s="2038"/>
    </row>
    <row r="231" spans="1:69" ht="12.75" customHeight="1">
      <c r="A231" s="2162"/>
      <c r="B231" s="7390">
        <v>33</v>
      </c>
      <c r="C231" s="6466"/>
      <c r="D231" s="808"/>
      <c r="E231" s="808"/>
      <c r="F231" s="808"/>
      <c r="G231" s="808"/>
      <c r="H231" s="808"/>
      <c r="I231" s="808"/>
      <c r="J231" s="808"/>
      <c r="K231" s="808"/>
      <c r="L231" s="808"/>
      <c r="M231" s="808"/>
      <c r="N231" s="808"/>
      <c r="O231" s="808"/>
      <c r="P231" s="892" t="s">
        <v>2751</v>
      </c>
      <c r="Q231" s="808"/>
      <c r="R231" s="808"/>
      <c r="S231" s="808"/>
      <c r="T231" s="808"/>
      <c r="U231" s="808"/>
      <c r="V231" s="808"/>
      <c r="W231" s="808"/>
      <c r="X231" s="808"/>
      <c r="Y231" s="808"/>
      <c r="Z231" s="808"/>
      <c r="AA231" s="808"/>
      <c r="AB231" s="808"/>
      <c r="AC231" s="808"/>
      <c r="AD231" s="808"/>
      <c r="AE231" s="808"/>
      <c r="AF231" s="808"/>
      <c r="AG231" s="1151"/>
      <c r="AH231" s="7441"/>
      <c r="AI231" s="7232"/>
      <c r="AJ231" s="7232"/>
      <c r="AK231" s="7232"/>
      <c r="AL231" s="7232"/>
      <c r="AM231" s="7232"/>
      <c r="AN231" s="7232"/>
      <c r="AO231" s="7232"/>
      <c r="AP231" s="2162"/>
      <c r="AX231" s="2114"/>
      <c r="AY231" s="2114"/>
      <c r="AZ231" s="2114"/>
      <c r="BA231" s="2114"/>
      <c r="BB231" s="2114"/>
      <c r="BC231" s="2114"/>
      <c r="BD231" s="2114"/>
      <c r="BG231" s="2396"/>
      <c r="BH231" s="2038"/>
      <c r="BI231" s="2038"/>
      <c r="BJ231" s="2038"/>
      <c r="BK231" s="2038"/>
      <c r="BL231" s="2038"/>
      <c r="BM231" s="2038"/>
      <c r="BN231" s="2038"/>
      <c r="BO231" s="2038"/>
      <c r="BP231" s="2038"/>
    </row>
    <row r="232" spans="1:69" ht="12.75" customHeight="1">
      <c r="A232" s="2162"/>
      <c r="B232" s="1121"/>
      <c r="C232" s="1121"/>
      <c r="D232" s="1121"/>
      <c r="E232" s="1121"/>
      <c r="F232" s="1121"/>
      <c r="G232" s="1121"/>
      <c r="H232" s="1121"/>
      <c r="I232" s="1121"/>
      <c r="J232" s="1121"/>
      <c r="K232" s="1121"/>
      <c r="L232" s="1121"/>
      <c r="M232" s="1121"/>
      <c r="N232" s="1121"/>
      <c r="O232" s="1121"/>
      <c r="P232" s="1121"/>
      <c r="Q232" s="1121"/>
      <c r="R232" s="1121"/>
      <c r="S232" s="1121"/>
      <c r="T232" s="1121"/>
      <c r="U232" s="1121"/>
      <c r="V232" s="1121"/>
      <c r="W232" s="1121"/>
      <c r="X232" s="1121"/>
      <c r="Y232" s="1121"/>
      <c r="Z232" s="1121"/>
      <c r="AA232" s="1121"/>
      <c r="AB232" s="1121"/>
      <c r="AC232" s="1121"/>
      <c r="AD232" s="1121"/>
      <c r="AE232" s="1121"/>
      <c r="AF232" s="1121"/>
      <c r="AG232" s="2391"/>
      <c r="AH232" s="7442"/>
      <c r="AI232" s="6918"/>
      <c r="AJ232" s="6918"/>
      <c r="AK232" s="6918"/>
      <c r="AL232" s="6918"/>
      <c r="AM232" s="6918"/>
      <c r="AN232" s="6918"/>
      <c r="AO232" s="6918"/>
      <c r="AP232" s="2162"/>
      <c r="BG232" s="2396"/>
      <c r="BH232" s="2038"/>
      <c r="BI232" s="2038"/>
      <c r="BJ232" s="2038"/>
      <c r="BK232" s="2038"/>
      <c r="BL232" s="2038"/>
      <c r="BM232" s="2038"/>
      <c r="BN232" s="2038"/>
      <c r="BO232" s="2038"/>
      <c r="BP232" s="2038"/>
    </row>
    <row r="233" spans="1:69" ht="13.5" customHeight="1">
      <c r="A233" s="2162"/>
      <c r="B233" s="2477" t="s">
        <v>542</v>
      </c>
      <c r="C233" s="7434"/>
      <c r="D233" s="7435"/>
      <c r="E233" s="7435"/>
      <c r="F233" s="7435"/>
      <c r="G233" s="7435"/>
      <c r="H233" s="7435"/>
      <c r="I233" s="7435"/>
      <c r="J233" s="7435"/>
      <c r="K233" s="7436"/>
      <c r="L233" s="7436"/>
      <c r="M233" s="7436"/>
      <c r="N233" s="7436"/>
      <c r="O233" s="7436"/>
      <c r="P233" s="7436"/>
      <c r="Q233" s="7436"/>
      <c r="R233" s="7436"/>
      <c r="S233" s="7436"/>
      <c r="T233" s="7436"/>
      <c r="U233" s="7436"/>
      <c r="V233" s="7436"/>
      <c r="W233" s="7436"/>
      <c r="X233" s="7436"/>
      <c r="Y233" s="7436"/>
      <c r="Z233" s="7436"/>
      <c r="AA233" s="7436"/>
      <c r="AB233" s="7436"/>
      <c r="AC233" s="7436"/>
      <c r="AD233" s="7436"/>
      <c r="AE233" s="7436"/>
      <c r="AF233" s="7436"/>
      <c r="AG233" s="7437"/>
      <c r="AH233" s="7358"/>
      <c r="AI233" s="7359"/>
      <c r="AJ233" s="7359"/>
      <c r="AK233" s="7359"/>
      <c r="AL233" s="7359"/>
      <c r="AM233" s="7359"/>
      <c r="AN233" s="7359"/>
      <c r="AO233" s="7359"/>
      <c r="AP233" s="2162"/>
      <c r="BG233" s="2396"/>
      <c r="BH233" s="2038"/>
      <c r="BI233" s="2038"/>
      <c r="BJ233" s="2038"/>
      <c r="BK233" s="2038"/>
      <c r="BL233" s="2038"/>
      <c r="BM233" s="2038"/>
      <c r="BN233" s="2038"/>
      <c r="BO233" s="2038"/>
      <c r="BP233" s="2038"/>
    </row>
    <row r="234" spans="1:69" ht="13.5" customHeight="1">
      <c r="A234" s="2162"/>
      <c r="B234" s="2476" t="s">
        <v>548</v>
      </c>
      <c r="C234" s="7434"/>
      <c r="D234" s="7435"/>
      <c r="E234" s="7435"/>
      <c r="F234" s="7435"/>
      <c r="G234" s="7435"/>
      <c r="H234" s="7435"/>
      <c r="I234" s="7435"/>
      <c r="J234" s="7435"/>
      <c r="K234" s="7436"/>
      <c r="L234" s="7436"/>
      <c r="M234" s="7436"/>
      <c r="N234" s="7436"/>
      <c r="O234" s="7436"/>
      <c r="P234" s="7436"/>
      <c r="Q234" s="7436"/>
      <c r="R234" s="7436"/>
      <c r="S234" s="7436"/>
      <c r="T234" s="7436"/>
      <c r="U234" s="7436"/>
      <c r="V234" s="7436"/>
      <c r="W234" s="7436"/>
      <c r="X234" s="7436"/>
      <c r="Y234" s="7436"/>
      <c r="Z234" s="7436"/>
      <c r="AA234" s="7436"/>
      <c r="AB234" s="7436"/>
      <c r="AC234" s="7436"/>
      <c r="AD234" s="7436"/>
      <c r="AE234" s="7436"/>
      <c r="AF234" s="7436"/>
      <c r="AG234" s="7437"/>
      <c r="AH234" s="7358"/>
      <c r="AI234" s="7359"/>
      <c r="AJ234" s="7359"/>
      <c r="AK234" s="7359"/>
      <c r="AL234" s="7359"/>
      <c r="AM234" s="7359"/>
      <c r="AN234" s="7359"/>
      <c r="AO234" s="7359"/>
      <c r="AP234" s="2162"/>
      <c r="BG234" s="2396"/>
      <c r="BH234" s="2038"/>
      <c r="BI234" s="2038"/>
      <c r="BJ234" s="2038"/>
      <c r="BK234" s="2038"/>
      <c r="BL234" s="2038"/>
      <c r="BM234" s="2038"/>
      <c r="BN234" s="2038"/>
      <c r="BO234" s="2038"/>
      <c r="BP234" s="2038"/>
    </row>
    <row r="235" spans="1:69" ht="17.25" customHeight="1">
      <c r="A235" s="2162"/>
      <c r="B235" s="7448" t="s">
        <v>2752</v>
      </c>
      <c r="C235" s="6435"/>
      <c r="D235" s="6435"/>
      <c r="E235" s="6435"/>
      <c r="F235" s="6435"/>
      <c r="G235" s="6435"/>
      <c r="H235" s="6435"/>
      <c r="I235" s="6435"/>
      <c r="J235" s="6435"/>
      <c r="K235" s="6435"/>
      <c r="L235" s="6435"/>
      <c r="M235" s="6435"/>
      <c r="N235" s="6435"/>
      <c r="O235" s="6435"/>
      <c r="P235" s="6435"/>
      <c r="Q235" s="6435"/>
      <c r="R235" s="6435"/>
      <c r="S235" s="6435"/>
      <c r="T235" s="6435"/>
      <c r="U235" s="6435"/>
      <c r="V235" s="6435"/>
      <c r="W235" s="6435"/>
      <c r="X235" s="7449"/>
      <c r="Y235" s="7379" t="s">
        <v>2753</v>
      </c>
      <c r="Z235" s="6435"/>
      <c r="AA235" s="6435"/>
      <c r="AB235" s="6435"/>
      <c r="AC235" s="6435"/>
      <c r="AD235" s="6435"/>
      <c r="AE235" s="6435"/>
      <c r="AF235" s="6435"/>
      <c r="AG235" s="6435"/>
      <c r="AH235" s="6435"/>
      <c r="AI235" s="6435"/>
      <c r="AJ235" s="6435"/>
      <c r="AK235" s="6435"/>
      <c r="AL235" s="6435"/>
      <c r="AM235" s="6435"/>
      <c r="AN235" s="6435"/>
      <c r="AO235" s="6435"/>
      <c r="AP235" s="2162"/>
      <c r="BG235" s="2396"/>
      <c r="BH235" s="2038"/>
      <c r="BI235" s="2038"/>
      <c r="BJ235" s="2038"/>
      <c r="BK235" s="2038"/>
      <c r="BL235" s="2038"/>
      <c r="BM235" s="2038"/>
      <c r="BN235" s="2038"/>
      <c r="BO235" s="2038"/>
      <c r="BP235" s="2038"/>
    </row>
    <row r="236" spans="1:69" ht="12.75" customHeight="1">
      <c r="A236" s="2162"/>
      <c r="B236" s="7450" t="s">
        <v>2766</v>
      </c>
      <c r="C236" s="6864"/>
      <c r="D236" s="6864"/>
      <c r="E236" s="6864"/>
      <c r="F236" s="6864"/>
      <c r="G236" s="6864"/>
      <c r="H236" s="6864"/>
      <c r="I236" s="6864"/>
      <c r="J236" s="6864"/>
      <c r="K236" s="6864"/>
      <c r="L236" s="6864"/>
      <c r="M236" s="6864"/>
      <c r="N236" s="7451"/>
      <c r="O236" s="7410" t="s">
        <v>2767</v>
      </c>
      <c r="P236" s="7411"/>
      <c r="Q236" s="7411"/>
      <c r="R236" s="7411"/>
      <c r="S236" s="7411"/>
      <c r="T236" s="7411"/>
      <c r="U236" s="7411"/>
      <c r="V236" s="7411"/>
      <c r="W236" s="7411"/>
      <c r="X236" s="7411"/>
      <c r="Y236" s="7454" t="s">
        <v>2768</v>
      </c>
      <c r="Z236" s="6864"/>
      <c r="AA236" s="6864"/>
      <c r="AB236" s="6864"/>
      <c r="AC236" s="6864"/>
      <c r="AD236" s="6864"/>
      <c r="AE236" s="6864"/>
      <c r="AF236" s="6864"/>
      <c r="AG236" s="7451"/>
      <c r="AH236" s="7410" t="s">
        <v>2769</v>
      </c>
      <c r="AI236" s="7411"/>
      <c r="AJ236" s="7411"/>
      <c r="AK236" s="7411"/>
      <c r="AL236" s="7411"/>
      <c r="AM236" s="7411"/>
      <c r="AN236" s="7411"/>
      <c r="AO236" s="7411"/>
      <c r="AP236" s="2162"/>
      <c r="BG236" s="2396"/>
      <c r="BH236" s="2038"/>
      <c r="BI236" s="2038"/>
      <c r="BJ236" s="2038"/>
      <c r="BK236" s="2038"/>
      <c r="BL236" s="2038"/>
      <c r="BM236" s="2038"/>
      <c r="BN236" s="2038"/>
      <c r="BO236" s="2038"/>
      <c r="BP236" s="2038"/>
    </row>
    <row r="237" spans="1:69" ht="12.75" customHeight="1">
      <c r="A237" s="2162"/>
      <c r="B237" s="6733"/>
      <c r="C237" s="6733"/>
      <c r="D237" s="6733"/>
      <c r="E237" s="6733"/>
      <c r="F237" s="6733"/>
      <c r="G237" s="6733"/>
      <c r="H237" s="6733"/>
      <c r="I237" s="6733"/>
      <c r="J237" s="6733"/>
      <c r="K237" s="6733"/>
      <c r="L237" s="6733"/>
      <c r="M237" s="6733"/>
      <c r="N237" s="7452"/>
      <c r="O237" s="7412"/>
      <c r="P237" s="7413"/>
      <c r="Q237" s="7413"/>
      <c r="R237" s="7413"/>
      <c r="S237" s="7413"/>
      <c r="T237" s="7413"/>
      <c r="U237" s="7413"/>
      <c r="V237" s="7413"/>
      <c r="W237" s="7413"/>
      <c r="X237" s="7413"/>
      <c r="Y237" s="6865"/>
      <c r="Z237" s="6733"/>
      <c r="AA237" s="6733"/>
      <c r="AB237" s="6733"/>
      <c r="AC237" s="6733"/>
      <c r="AD237" s="6733"/>
      <c r="AE237" s="6733"/>
      <c r="AF237" s="6733"/>
      <c r="AG237" s="7452"/>
      <c r="AH237" s="7412"/>
      <c r="AI237" s="7413"/>
      <c r="AJ237" s="7413"/>
      <c r="AK237" s="7413"/>
      <c r="AL237" s="7413"/>
      <c r="AM237" s="7413"/>
      <c r="AN237" s="7413"/>
      <c r="AO237" s="7413"/>
      <c r="AP237" s="2162"/>
      <c r="BG237" s="2396"/>
      <c r="BH237" s="2038"/>
      <c r="BI237" s="2038"/>
      <c r="BJ237" s="2038"/>
      <c r="BK237" s="2038"/>
      <c r="BL237" s="2038"/>
      <c r="BM237" s="2038"/>
      <c r="BN237" s="2038"/>
      <c r="BO237" s="2038"/>
      <c r="BP237" s="2038"/>
    </row>
    <row r="238" spans="1:69" ht="12.75" customHeight="1">
      <c r="A238" s="2162"/>
      <c r="B238" s="6731"/>
      <c r="C238" s="6731"/>
      <c r="D238" s="6731"/>
      <c r="E238" s="6731"/>
      <c r="F238" s="6731"/>
      <c r="G238" s="6731"/>
      <c r="H238" s="6731"/>
      <c r="I238" s="6731"/>
      <c r="J238" s="6731"/>
      <c r="K238" s="6731"/>
      <c r="L238" s="6731"/>
      <c r="M238" s="6731"/>
      <c r="N238" s="7453"/>
      <c r="O238" s="7414"/>
      <c r="P238" s="7415"/>
      <c r="Q238" s="7415"/>
      <c r="R238" s="7415"/>
      <c r="S238" s="7415"/>
      <c r="T238" s="7415"/>
      <c r="U238" s="7415"/>
      <c r="V238" s="7415"/>
      <c r="W238" s="7415"/>
      <c r="X238" s="7415"/>
      <c r="Y238" s="7455"/>
      <c r="Z238" s="6731"/>
      <c r="AA238" s="6731"/>
      <c r="AB238" s="6731"/>
      <c r="AC238" s="6731"/>
      <c r="AD238" s="6731"/>
      <c r="AE238" s="6731"/>
      <c r="AF238" s="6731"/>
      <c r="AG238" s="7453"/>
      <c r="AH238" s="7414"/>
      <c r="AI238" s="7415"/>
      <c r="AJ238" s="7415"/>
      <c r="AK238" s="7415"/>
      <c r="AL238" s="7415"/>
      <c r="AM238" s="7415"/>
      <c r="AN238" s="7415"/>
      <c r="AO238" s="7415"/>
      <c r="AP238" s="2162"/>
      <c r="BG238" s="2396"/>
      <c r="BH238" s="2038"/>
      <c r="BI238" s="2038"/>
      <c r="BJ238" s="2038"/>
      <c r="BK238" s="2038"/>
      <c r="BL238" s="2038"/>
      <c r="BM238" s="2038"/>
      <c r="BN238" s="2038"/>
      <c r="BO238" s="2038"/>
      <c r="BP238" s="2038"/>
    </row>
    <row r="239" spans="1:69" ht="13.5" customHeight="1">
      <c r="A239" s="2162"/>
      <c r="B239" s="2477" t="s">
        <v>542</v>
      </c>
      <c r="C239" s="7407"/>
      <c r="D239" s="7408"/>
      <c r="E239" s="7408"/>
      <c r="F239" s="7408"/>
      <c r="G239" s="7408"/>
      <c r="H239" s="7408"/>
      <c r="I239" s="7408"/>
      <c r="J239" s="7408"/>
      <c r="K239" s="7408"/>
      <c r="L239" s="7408"/>
      <c r="M239" s="7408"/>
      <c r="N239" s="7409"/>
      <c r="O239" s="7443"/>
      <c r="P239" s="7444"/>
      <c r="Q239" s="7444"/>
      <c r="R239" s="7444"/>
      <c r="S239" s="7444"/>
      <c r="T239" s="7444"/>
      <c r="U239" s="7444"/>
      <c r="V239" s="7444"/>
      <c r="W239" s="7444"/>
      <c r="X239" s="7445"/>
      <c r="Y239" s="7446"/>
      <c r="Z239" s="7447"/>
      <c r="AA239" s="7447"/>
      <c r="AB239" s="7447"/>
      <c r="AC239" s="7447"/>
      <c r="AD239" s="7447"/>
      <c r="AE239" s="7447"/>
      <c r="AF239" s="7447"/>
      <c r="AG239" s="7447"/>
      <c r="AH239" s="7447"/>
      <c r="AI239" s="7447"/>
      <c r="AJ239" s="7447"/>
      <c r="AK239" s="7447"/>
      <c r="AL239" s="7447"/>
      <c r="AM239" s="7447"/>
      <c r="AN239" s="7447"/>
      <c r="AO239" s="7443"/>
      <c r="AP239" s="2162"/>
      <c r="BG239" s="2396"/>
      <c r="BH239" s="2038"/>
      <c r="BI239" s="2038"/>
      <c r="BJ239" s="2038"/>
      <c r="BK239" s="2038"/>
      <c r="BL239" s="2038"/>
      <c r="BM239" s="2038"/>
      <c r="BN239" s="2038"/>
      <c r="BO239" s="2038"/>
      <c r="BP239" s="2038"/>
    </row>
    <row r="240" spans="1:69" ht="13.5" customHeight="1">
      <c r="A240" s="2162"/>
      <c r="B240" s="2477" t="s">
        <v>548</v>
      </c>
      <c r="C240" s="7407"/>
      <c r="D240" s="7408"/>
      <c r="E240" s="7408"/>
      <c r="F240" s="7408"/>
      <c r="G240" s="7408"/>
      <c r="H240" s="7408"/>
      <c r="I240" s="7408"/>
      <c r="J240" s="7408"/>
      <c r="K240" s="7408"/>
      <c r="L240" s="7408"/>
      <c r="M240" s="7408"/>
      <c r="N240" s="7409"/>
      <c r="O240" s="7443"/>
      <c r="P240" s="7444"/>
      <c r="Q240" s="7444"/>
      <c r="R240" s="7444"/>
      <c r="S240" s="7444"/>
      <c r="T240" s="7444"/>
      <c r="U240" s="7444"/>
      <c r="V240" s="7444"/>
      <c r="W240" s="7444"/>
      <c r="X240" s="7445"/>
      <c r="Y240" s="7446"/>
      <c r="Z240" s="7447"/>
      <c r="AA240" s="7447"/>
      <c r="AB240" s="7447"/>
      <c r="AC240" s="7447"/>
      <c r="AD240" s="7447"/>
      <c r="AE240" s="7447"/>
      <c r="AF240" s="7447"/>
      <c r="AG240" s="7447"/>
      <c r="AH240" s="7447"/>
      <c r="AI240" s="7447"/>
      <c r="AJ240" s="7447"/>
      <c r="AK240" s="7447"/>
      <c r="AL240" s="7447"/>
      <c r="AM240" s="7447"/>
      <c r="AN240" s="7447"/>
      <c r="AO240" s="7443"/>
      <c r="AP240" s="2162"/>
      <c r="BG240" s="2396"/>
      <c r="BH240" s="2038"/>
      <c r="BI240" s="2038"/>
      <c r="BJ240" s="2038"/>
      <c r="BK240" s="2038"/>
      <c r="BL240" s="2038"/>
      <c r="BM240" s="2038"/>
      <c r="BN240" s="2038"/>
      <c r="BO240" s="2038"/>
      <c r="BP240" s="2038"/>
    </row>
    <row r="241" spans="1:69" ht="13.5" customHeight="1">
      <c r="A241" s="2162"/>
      <c r="B241" s="7364" t="s">
        <v>2770</v>
      </c>
      <c r="C241" s="7364"/>
      <c r="D241" s="2112"/>
      <c r="E241" s="3604" t="s">
        <v>2760</v>
      </c>
      <c r="F241" s="818"/>
      <c r="G241" s="2403"/>
      <c r="H241" s="2403"/>
      <c r="I241" s="2403"/>
      <c r="J241" s="2403"/>
      <c r="K241" s="2403"/>
      <c r="L241" s="2403"/>
      <c r="M241" s="2403"/>
      <c r="N241" s="819"/>
      <c r="O241" s="7338">
        <f>ROUND(SUM(O239:O240),0)</f>
        <v>0</v>
      </c>
      <c r="P241" s="7339"/>
      <c r="Q241" s="7339"/>
      <c r="R241" s="7339"/>
      <c r="S241" s="7339"/>
      <c r="T241" s="7339"/>
      <c r="U241" s="7339"/>
      <c r="V241" s="7339"/>
      <c r="W241" s="7339"/>
      <c r="X241" s="7340"/>
      <c r="Y241" s="2478"/>
      <c r="Z241" s="2403"/>
      <c r="AA241" s="2403"/>
      <c r="AB241" s="2403"/>
      <c r="AC241" s="2403"/>
      <c r="AD241" s="2403"/>
      <c r="AE241" s="2403"/>
      <c r="AF241" s="2403"/>
      <c r="AG241" s="819"/>
      <c r="AH241" s="7335">
        <f>ROUND(SUM(AH239:AH240),0)</f>
        <v>0</v>
      </c>
      <c r="AI241" s="7354"/>
      <c r="AJ241" s="7354"/>
      <c r="AK241" s="7354"/>
      <c r="AL241" s="7354"/>
      <c r="AM241" s="7354"/>
      <c r="AN241" s="7354"/>
      <c r="AO241" s="7354"/>
      <c r="AP241" s="2162"/>
      <c r="BG241" s="2396"/>
      <c r="BH241" s="2038"/>
      <c r="BI241" s="2038"/>
      <c r="BJ241" s="2038"/>
      <c r="BK241" s="2038"/>
      <c r="BL241" s="2038"/>
      <c r="BM241" s="2038"/>
      <c r="BN241" s="2038"/>
      <c r="BO241" s="2038"/>
      <c r="BP241" s="2038"/>
    </row>
    <row r="242" spans="1:69" ht="13.5" customHeight="1">
      <c r="A242" s="2162"/>
      <c r="B242" s="7433" t="s">
        <v>644</v>
      </c>
      <c r="C242" s="7433"/>
      <c r="D242" s="2112"/>
      <c r="E242" s="3604" t="s">
        <v>2760</v>
      </c>
      <c r="F242" s="7335">
        <f>ROUND(SUM(C239:C240),0)</f>
        <v>0</v>
      </c>
      <c r="G242" s="7336"/>
      <c r="H242" s="7336"/>
      <c r="I242" s="7336"/>
      <c r="J242" s="7336"/>
      <c r="K242" s="7336"/>
      <c r="L242" s="7336"/>
      <c r="M242" s="7336"/>
      <c r="N242" s="7337"/>
      <c r="O242" s="2479"/>
      <c r="P242" s="2388"/>
      <c r="Q242" s="2388"/>
      <c r="R242" s="2388"/>
      <c r="S242" s="2388"/>
      <c r="T242" s="2388"/>
      <c r="U242" s="2388"/>
      <c r="V242" s="2388"/>
      <c r="W242" s="2388"/>
      <c r="X242" s="2480"/>
      <c r="Y242" s="7335">
        <f>ROUND(SUM(Y239:Y240),0)</f>
        <v>0</v>
      </c>
      <c r="Z242" s="7336"/>
      <c r="AA242" s="7336"/>
      <c r="AB242" s="7336"/>
      <c r="AC242" s="7336"/>
      <c r="AD242" s="7336"/>
      <c r="AE242" s="7336"/>
      <c r="AF242" s="7336"/>
      <c r="AG242" s="7337"/>
      <c r="AH242" s="818"/>
      <c r="AI242" s="2403"/>
      <c r="AJ242" s="2403"/>
      <c r="AK242" s="2403"/>
      <c r="AL242" s="2403"/>
      <c r="AM242" s="2403"/>
      <c r="AN242" s="2403"/>
      <c r="AO242" s="2403"/>
      <c r="AP242" s="2162"/>
      <c r="BG242" s="2396"/>
      <c r="BH242" s="2038"/>
      <c r="BI242" s="2038"/>
      <c r="BJ242" s="2038"/>
      <c r="BK242" s="2038"/>
      <c r="BL242" s="2038"/>
      <c r="BM242" s="2038"/>
      <c r="BN242" s="2038"/>
      <c r="BO242" s="2038"/>
      <c r="BP242" s="2038"/>
    </row>
    <row r="243" spans="1:69" ht="13.5" customHeight="1">
      <c r="A243" s="2162"/>
      <c r="B243" s="7328">
        <v>35</v>
      </c>
      <c r="C243" s="7328"/>
      <c r="D243" s="2112" t="s">
        <v>2771</v>
      </c>
      <c r="E243" s="808"/>
      <c r="F243" s="808"/>
      <c r="G243" s="808"/>
      <c r="H243" s="808"/>
      <c r="I243" s="808"/>
      <c r="J243" s="808"/>
      <c r="K243" s="808"/>
      <c r="L243" s="808"/>
      <c r="M243" s="808"/>
      <c r="N243" s="808"/>
      <c r="O243" s="808"/>
      <c r="P243" s="808"/>
      <c r="Q243" s="808"/>
      <c r="R243" s="808"/>
      <c r="S243" s="808"/>
      <c r="T243" s="808"/>
      <c r="U243" s="808"/>
      <c r="V243" s="808"/>
      <c r="W243" s="808"/>
      <c r="X243" s="808"/>
      <c r="Y243" s="808"/>
      <c r="Z243" s="808"/>
      <c r="AA243" s="808"/>
      <c r="AB243" s="808"/>
      <c r="AC243" s="808"/>
      <c r="AD243" s="808"/>
      <c r="AE243" s="808"/>
      <c r="AF243" s="808"/>
      <c r="AG243" s="2760" t="s">
        <v>754</v>
      </c>
      <c r="AH243" s="7426">
        <v>35</v>
      </c>
      <c r="AI243" s="7569"/>
      <c r="AJ243" s="7386">
        <f>SUM(O241,AH241)</f>
        <v>0</v>
      </c>
      <c r="AK243" s="7576"/>
      <c r="AL243" s="7576"/>
      <c r="AM243" s="7576"/>
      <c r="AN243" s="7576"/>
      <c r="AO243" s="7576"/>
      <c r="AP243" s="2162"/>
      <c r="BG243" s="2396"/>
      <c r="BH243" s="2038"/>
      <c r="BI243" s="2038"/>
      <c r="BJ243" s="2038"/>
      <c r="BK243" s="2038"/>
      <c r="BL243" s="2038"/>
      <c r="BM243" s="2038"/>
      <c r="BN243" s="2038"/>
      <c r="BO243" s="2038"/>
      <c r="BP243" s="2038"/>
    </row>
    <row r="244" spans="1:69" ht="13.5" customHeight="1">
      <c r="A244" s="2162"/>
      <c r="B244" s="7328">
        <v>36</v>
      </c>
      <c r="C244" s="7328"/>
      <c r="D244" s="2112" t="s">
        <v>2772</v>
      </c>
      <c r="E244" s="808"/>
      <c r="F244" s="808"/>
      <c r="G244" s="808"/>
      <c r="H244" s="808"/>
      <c r="I244" s="808"/>
      <c r="J244" s="808"/>
      <c r="K244" s="808"/>
      <c r="L244" s="808"/>
      <c r="M244" s="808"/>
      <c r="N244" s="808"/>
      <c r="O244" s="808"/>
      <c r="P244" s="808"/>
      <c r="Q244" s="808"/>
      <c r="R244" s="808"/>
      <c r="S244" s="808"/>
      <c r="T244" s="808"/>
      <c r="U244" s="808"/>
      <c r="V244" s="808"/>
      <c r="W244" s="808"/>
      <c r="X244" s="808"/>
      <c r="Y244" s="808"/>
      <c r="Z244" s="808"/>
      <c r="AA244" s="808"/>
      <c r="AB244" s="808"/>
      <c r="AC244" s="808"/>
      <c r="AD244" s="808"/>
      <c r="AE244" s="808"/>
      <c r="AF244" s="808"/>
      <c r="AG244" s="2760" t="s">
        <v>754</v>
      </c>
      <c r="AH244" s="7426">
        <v>36</v>
      </c>
      <c r="AI244" s="7569"/>
      <c r="AJ244" s="4709" t="s">
        <v>905</v>
      </c>
      <c r="AK244" s="7352">
        <f>SUM(F242,Y242)</f>
        <v>0</v>
      </c>
      <c r="AL244" s="7353"/>
      <c r="AM244" s="7353"/>
      <c r="AN244" s="7353"/>
      <c r="AO244" s="2500" t="s">
        <v>906</v>
      </c>
      <c r="AP244" s="2162"/>
      <c r="BG244" s="2396"/>
      <c r="BH244" s="2038"/>
      <c r="BI244" s="2038"/>
      <c r="BJ244" s="2038"/>
      <c r="BK244" s="2038"/>
      <c r="BL244" s="2038"/>
      <c r="BM244" s="2038"/>
      <c r="BN244" s="2038"/>
      <c r="BO244" s="2038"/>
      <c r="BP244" s="2038"/>
    </row>
    <row r="245" spans="1:69" ht="13.5" customHeight="1">
      <c r="A245" s="2162"/>
      <c r="B245" s="7334">
        <v>37</v>
      </c>
      <c r="C245" s="7334"/>
      <c r="D245" s="2190" t="s">
        <v>2773</v>
      </c>
      <c r="E245" s="1121"/>
      <c r="F245" s="1121"/>
      <c r="G245" s="1121"/>
      <c r="H245" s="1121"/>
      <c r="I245" s="1121"/>
      <c r="J245" s="1121"/>
      <c r="K245" s="1121"/>
      <c r="L245" s="1121"/>
      <c r="M245" s="1121"/>
      <c r="N245" s="1121"/>
      <c r="O245" s="1121"/>
      <c r="P245" s="1121"/>
      <c r="Q245" s="1121"/>
      <c r="R245" s="1121"/>
      <c r="S245" s="1121"/>
      <c r="T245" s="1121"/>
      <c r="U245" s="1121"/>
      <c r="V245" s="1121"/>
      <c r="W245" s="1121"/>
      <c r="X245" s="1121"/>
      <c r="Y245" s="1121"/>
      <c r="Z245" s="1121"/>
      <c r="AA245" s="1121"/>
      <c r="AB245" s="1121"/>
      <c r="AC245" s="1121"/>
      <c r="AD245" s="1121"/>
      <c r="AE245" s="1121"/>
      <c r="AF245" s="1121"/>
      <c r="AG245" s="2762" t="s">
        <v>752</v>
      </c>
      <c r="AH245" s="7426">
        <v>37</v>
      </c>
      <c r="AI245" s="7569"/>
      <c r="AJ245" s="7386">
        <f>SUM(AJ243,-AK244)</f>
        <v>0</v>
      </c>
      <c r="AK245" s="7576"/>
      <c r="AL245" s="7576"/>
      <c r="AM245" s="7576"/>
      <c r="AN245" s="7576"/>
      <c r="AO245" s="7576"/>
      <c r="AP245" s="2162"/>
      <c r="BG245" s="2396"/>
      <c r="BH245" s="2038"/>
      <c r="BI245" s="2038"/>
      <c r="BJ245" s="2038"/>
      <c r="BK245" s="2038"/>
      <c r="BL245" s="2038"/>
      <c r="BM245" s="2038"/>
      <c r="BN245" s="2038"/>
      <c r="BO245" s="2038"/>
      <c r="BP245" s="2038"/>
    </row>
    <row r="246" spans="1:69" s="2114" customFormat="1" ht="17.25" customHeight="1">
      <c r="A246" s="2163"/>
      <c r="B246" s="7384" t="s">
        <v>2410</v>
      </c>
      <c r="C246" s="7384"/>
      <c r="D246" s="7385"/>
      <c r="E246" s="2115"/>
      <c r="F246" s="2179" t="s">
        <v>2774</v>
      </c>
      <c r="G246" s="2115"/>
      <c r="H246" s="2115"/>
      <c r="I246" s="2115"/>
      <c r="J246" s="2115"/>
      <c r="K246" s="2115"/>
      <c r="L246" s="2115"/>
      <c r="M246" s="2115"/>
      <c r="N246" s="2115"/>
      <c r="O246" s="2115"/>
      <c r="P246" s="2115"/>
      <c r="Q246" s="2115"/>
      <c r="R246" s="2115"/>
      <c r="S246" s="2115"/>
      <c r="T246" s="2115"/>
      <c r="U246" s="2115"/>
      <c r="V246" s="2115"/>
      <c r="W246" s="2115"/>
      <c r="X246" s="2113"/>
      <c r="Y246" s="2115"/>
      <c r="Z246" s="2115"/>
      <c r="AA246" s="2115"/>
      <c r="AB246" s="2115"/>
      <c r="AC246" s="2115"/>
      <c r="AD246" s="2115"/>
      <c r="AE246" s="2115"/>
      <c r="AF246" s="2115"/>
      <c r="AG246" s="998"/>
      <c r="AH246" s="2115"/>
      <c r="AI246" s="2115"/>
      <c r="AJ246" s="2115"/>
      <c r="AK246" s="2115"/>
      <c r="AL246" s="2115"/>
      <c r="AM246" s="2115"/>
      <c r="AN246" s="2115"/>
      <c r="AO246" s="2115"/>
      <c r="AP246" s="2162"/>
      <c r="AX246" s="39"/>
      <c r="AY246" s="39"/>
      <c r="AZ246" s="39"/>
      <c r="BA246" s="39"/>
      <c r="BB246" s="39"/>
      <c r="BC246" s="39"/>
      <c r="BD246" s="39"/>
      <c r="BG246" s="2396"/>
      <c r="BH246" s="2038"/>
      <c r="BI246" s="2038"/>
      <c r="BJ246" s="2038"/>
      <c r="BK246" s="2038"/>
      <c r="BL246" s="2038"/>
      <c r="BM246" s="2038"/>
      <c r="BN246" s="2038"/>
      <c r="BO246" s="2038"/>
      <c r="BP246" s="2038"/>
      <c r="BQ246" s="2690"/>
    </row>
    <row r="247" spans="1:69" ht="12.75" customHeight="1">
      <c r="A247" s="2162"/>
      <c r="B247" s="1142"/>
      <c r="C247" s="4711"/>
      <c r="D247" s="7345" t="s">
        <v>2775</v>
      </c>
      <c r="E247" s="7346"/>
      <c r="F247" s="7346"/>
      <c r="G247" s="7346"/>
      <c r="H247" s="7346"/>
      <c r="I247" s="7346"/>
      <c r="J247" s="7347"/>
      <c r="K247" s="7428" t="s">
        <v>2776</v>
      </c>
      <c r="L247" s="7429"/>
      <c r="M247" s="7429"/>
      <c r="N247" s="7429"/>
      <c r="O247" s="7429"/>
      <c r="P247" s="7429"/>
      <c r="Q247" s="7429"/>
      <c r="R247" s="7429"/>
      <c r="S247" s="7577" t="s">
        <v>2777</v>
      </c>
      <c r="T247" s="7578"/>
      <c r="U247" s="7578"/>
      <c r="V247" s="7578"/>
      <c r="W247" s="7578"/>
      <c r="X247" s="7578"/>
      <c r="Y247" s="7578"/>
      <c r="Z247" s="7373" t="s">
        <v>2778</v>
      </c>
      <c r="AA247" s="7374"/>
      <c r="AB247" s="7374"/>
      <c r="AC247" s="7374"/>
      <c r="AD247" s="7374"/>
      <c r="AE247" s="7374"/>
      <c r="AF247" s="7374"/>
      <c r="AG247" s="7468"/>
      <c r="AH247" s="7373" t="s">
        <v>2779</v>
      </c>
      <c r="AI247" s="7374"/>
      <c r="AJ247" s="7374"/>
      <c r="AK247" s="7374"/>
      <c r="AL247" s="7374"/>
      <c r="AM247" s="7374"/>
      <c r="AN247" s="7374"/>
      <c r="AO247" s="7374"/>
      <c r="AP247" s="2162"/>
      <c r="BG247" s="2396"/>
      <c r="BH247" s="2038"/>
      <c r="BI247" s="2038"/>
      <c r="BJ247" s="2038"/>
      <c r="BK247" s="2038"/>
      <c r="BL247" s="2038"/>
      <c r="BM247" s="2038"/>
      <c r="BN247" s="2038"/>
      <c r="BO247" s="2038"/>
      <c r="BP247" s="2038"/>
    </row>
    <row r="248" spans="1:69" ht="12.75" customHeight="1">
      <c r="A248" s="2162"/>
      <c r="B248" s="7390">
        <v>38</v>
      </c>
      <c r="C248" s="6466"/>
      <c r="D248" s="7348"/>
      <c r="E248" s="7348"/>
      <c r="F248" s="7348"/>
      <c r="G248" s="7348"/>
      <c r="H248" s="7348"/>
      <c r="I248" s="7348"/>
      <c r="J248" s="7349"/>
      <c r="K248" s="7430"/>
      <c r="L248" s="7430"/>
      <c r="M248" s="7430"/>
      <c r="N248" s="7430"/>
      <c r="O248" s="7430"/>
      <c r="P248" s="7430"/>
      <c r="Q248" s="7430"/>
      <c r="R248" s="7430"/>
      <c r="S248" s="7579"/>
      <c r="T248" s="7579"/>
      <c r="U248" s="7579"/>
      <c r="V248" s="7579"/>
      <c r="W248" s="7579"/>
      <c r="X248" s="7579"/>
      <c r="Y248" s="7579"/>
      <c r="Z248" s="7375"/>
      <c r="AA248" s="7376"/>
      <c r="AB248" s="7376"/>
      <c r="AC248" s="7376"/>
      <c r="AD248" s="7376"/>
      <c r="AE248" s="7376"/>
      <c r="AF248" s="7376"/>
      <c r="AG248" s="7469"/>
      <c r="AH248" s="7375"/>
      <c r="AI248" s="7376"/>
      <c r="AJ248" s="7376"/>
      <c r="AK248" s="7376"/>
      <c r="AL248" s="7376"/>
      <c r="AM248" s="7376"/>
      <c r="AN248" s="7376"/>
      <c r="AO248" s="7376"/>
      <c r="AP248" s="2162"/>
      <c r="AX248" s="2114"/>
      <c r="AY248" s="2114"/>
      <c r="AZ248" s="2114"/>
      <c r="BA248" s="2114"/>
      <c r="BB248" s="2114"/>
      <c r="BC248" s="2114"/>
      <c r="BD248" s="2114"/>
      <c r="BG248" s="2396"/>
      <c r="BH248" s="2038"/>
      <c r="BI248" s="2038"/>
      <c r="BJ248" s="2038"/>
      <c r="BK248" s="2038"/>
      <c r="BL248" s="2038"/>
      <c r="BM248" s="2038"/>
      <c r="BN248" s="2038"/>
      <c r="BO248" s="2038"/>
      <c r="BP248" s="2038"/>
    </row>
    <row r="249" spans="1:69" ht="12.75" customHeight="1">
      <c r="A249" s="2162"/>
      <c r="B249" s="1121"/>
      <c r="C249" s="4721"/>
      <c r="D249" s="7350"/>
      <c r="E249" s="7350"/>
      <c r="F249" s="7350"/>
      <c r="G249" s="7350"/>
      <c r="H249" s="7350"/>
      <c r="I249" s="7350"/>
      <c r="J249" s="7351"/>
      <c r="K249" s="7431"/>
      <c r="L249" s="7431"/>
      <c r="M249" s="7431"/>
      <c r="N249" s="7431"/>
      <c r="O249" s="7431"/>
      <c r="P249" s="7431"/>
      <c r="Q249" s="7431"/>
      <c r="R249" s="7431"/>
      <c r="S249" s="7580"/>
      <c r="T249" s="7580"/>
      <c r="U249" s="7580"/>
      <c r="V249" s="7580"/>
      <c r="W249" s="7580"/>
      <c r="X249" s="7580"/>
      <c r="Y249" s="7580"/>
      <c r="Z249" s="7377"/>
      <c r="AA249" s="7378"/>
      <c r="AB249" s="7378"/>
      <c r="AC249" s="7378"/>
      <c r="AD249" s="7378"/>
      <c r="AE249" s="7378"/>
      <c r="AF249" s="7378"/>
      <c r="AG249" s="7470"/>
      <c r="AH249" s="7377"/>
      <c r="AI249" s="7378"/>
      <c r="AJ249" s="7378"/>
      <c r="AK249" s="7378"/>
      <c r="AL249" s="7378"/>
      <c r="AM249" s="7378"/>
      <c r="AN249" s="7378"/>
      <c r="AO249" s="7378"/>
      <c r="AP249" s="2162"/>
      <c r="AQ249" s="260"/>
      <c r="AR249" s="260"/>
      <c r="AS249" s="260"/>
      <c r="BG249" s="2396"/>
      <c r="BH249" s="2038"/>
      <c r="BI249" s="2038"/>
      <c r="BJ249" s="2038"/>
      <c r="BK249" s="2038"/>
      <c r="BL249" s="2038"/>
      <c r="BM249" s="2038"/>
      <c r="BN249" s="2038"/>
      <c r="BO249" s="2038"/>
      <c r="BP249" s="2038"/>
    </row>
    <row r="250" spans="1:69" ht="12.75" customHeight="1">
      <c r="A250" s="2162"/>
      <c r="B250" s="7423"/>
      <c r="C250" s="7424"/>
      <c r="D250" s="7424"/>
      <c r="E250" s="7424"/>
      <c r="F250" s="7424"/>
      <c r="G250" s="7424"/>
      <c r="H250" s="7424"/>
      <c r="I250" s="7424"/>
      <c r="J250" s="7425"/>
      <c r="K250" s="7360"/>
      <c r="L250" s="7361"/>
      <c r="M250" s="7361"/>
      <c r="N250" s="7361"/>
      <c r="O250" s="7361"/>
      <c r="P250" s="7361"/>
      <c r="Q250" s="7361"/>
      <c r="R250" s="7362"/>
      <c r="S250" s="7363"/>
      <c r="T250" s="7363"/>
      <c r="U250" s="7363"/>
      <c r="V250" s="7363"/>
      <c r="W250" s="7363"/>
      <c r="X250" s="7363"/>
      <c r="Y250" s="7363"/>
      <c r="Z250" s="7388"/>
      <c r="AA250" s="7389"/>
      <c r="AB250" s="7389"/>
      <c r="AC250" s="7389"/>
      <c r="AD250" s="7389"/>
      <c r="AE250" s="7389"/>
      <c r="AF250" s="7389"/>
      <c r="AG250" s="7422"/>
      <c r="AH250" s="7388"/>
      <c r="AI250" s="7389"/>
      <c r="AJ250" s="7389"/>
      <c r="AK250" s="7389"/>
      <c r="AL250" s="7389"/>
      <c r="AM250" s="7389"/>
      <c r="AN250" s="7389"/>
      <c r="AO250" s="7389"/>
      <c r="AP250" s="2162"/>
      <c r="AQ250" s="260"/>
      <c r="AR250" s="1896" t="s">
        <v>867</v>
      </c>
      <c r="AS250" s="260"/>
      <c r="BG250" s="2396"/>
      <c r="BH250" s="2038"/>
      <c r="BI250" s="2038"/>
      <c r="BJ250" s="2038"/>
      <c r="BK250" s="2038"/>
      <c r="BL250" s="2038"/>
      <c r="BM250" s="2038"/>
      <c r="BN250" s="2038"/>
      <c r="BO250" s="2038"/>
      <c r="BP250" s="2038"/>
    </row>
    <row r="251" spans="1:69" ht="13.5" customHeight="1">
      <c r="A251" s="2162"/>
      <c r="B251" s="7334">
        <v>39</v>
      </c>
      <c r="C251" s="7334"/>
      <c r="D251" s="2190" t="s">
        <v>2780</v>
      </c>
      <c r="E251" s="1121"/>
      <c r="F251" s="1121"/>
      <c r="G251" s="1121"/>
      <c r="H251" s="1121"/>
      <c r="I251" s="1121"/>
      <c r="J251" s="1121"/>
      <c r="K251" s="1121"/>
      <c r="L251" s="1121"/>
      <c r="M251" s="1121"/>
      <c r="N251" s="1121"/>
      <c r="O251" s="1121"/>
      <c r="P251" s="1121"/>
      <c r="Q251" s="1121"/>
      <c r="R251" s="1121"/>
      <c r="S251" s="1121"/>
      <c r="T251" s="1121"/>
      <c r="U251" s="1121"/>
      <c r="V251" s="1121"/>
      <c r="W251" s="1121"/>
      <c r="X251" s="1121"/>
      <c r="Y251" s="1121"/>
      <c r="Z251" s="1121"/>
      <c r="AA251" s="1121"/>
      <c r="AB251" s="1121"/>
      <c r="AC251" s="1121"/>
      <c r="AD251" s="1121"/>
      <c r="AE251" s="1121"/>
      <c r="AF251" s="1121"/>
      <c r="AG251" s="2391"/>
      <c r="AH251" s="7426">
        <v>39</v>
      </c>
      <c r="AI251" s="7427"/>
      <c r="AJ251" s="7335">
        <f>IF(AR251&lt;&gt;"",ROUND(AR251,0),ROUND(SUM(Z250,AH250),0))</f>
        <v>0</v>
      </c>
      <c r="AK251" s="7354"/>
      <c r="AL251" s="7354"/>
      <c r="AM251" s="7354"/>
      <c r="AN251" s="7354"/>
      <c r="AO251" s="7354"/>
      <c r="AP251" s="2162"/>
      <c r="AQ251" s="260"/>
      <c r="AR251" s="2492"/>
      <c r="AS251" s="260"/>
      <c r="BG251" s="2396"/>
      <c r="BH251" s="2038"/>
      <c r="BI251" s="2038"/>
      <c r="BJ251" s="2038"/>
      <c r="BK251" s="2038"/>
      <c r="BL251" s="2038"/>
      <c r="BM251" s="2038"/>
      <c r="BN251" s="2038"/>
      <c r="BO251" s="2038"/>
      <c r="BP251" s="2038"/>
    </row>
    <row r="252" spans="1:69" s="2114" customFormat="1" ht="17.25" customHeight="1">
      <c r="A252" s="2163"/>
      <c r="B252" s="7384" t="s">
        <v>2425</v>
      </c>
      <c r="C252" s="7384"/>
      <c r="D252" s="7385"/>
      <c r="E252" s="2115"/>
      <c r="F252" s="3760" t="s">
        <v>2781</v>
      </c>
      <c r="G252" s="2115"/>
      <c r="H252" s="2115"/>
      <c r="I252" s="2115"/>
      <c r="J252" s="2115"/>
      <c r="K252" s="2115"/>
      <c r="L252" s="2115"/>
      <c r="M252" s="2115"/>
      <c r="N252" s="2115"/>
      <c r="O252" s="2115"/>
      <c r="P252" s="2115"/>
      <c r="Q252" s="2115"/>
      <c r="R252" s="2115"/>
      <c r="S252" s="2115"/>
      <c r="T252" s="2115"/>
      <c r="U252" s="2115"/>
      <c r="V252" s="2115"/>
      <c r="W252" s="2115"/>
      <c r="X252" s="2113"/>
      <c r="Y252" s="2115"/>
      <c r="Z252" s="2115"/>
      <c r="AA252" s="2115"/>
      <c r="AB252" s="2115"/>
      <c r="AC252" s="2115"/>
      <c r="AD252" s="2115"/>
      <c r="AE252" s="2115"/>
      <c r="AF252" s="2115"/>
      <c r="AG252" s="2115"/>
      <c r="AH252" s="2115"/>
      <c r="AI252" s="2115"/>
      <c r="AJ252" s="2115"/>
      <c r="AK252" s="2115"/>
      <c r="AL252" s="2115"/>
      <c r="AM252" s="2115"/>
      <c r="AN252" s="2115"/>
      <c r="AO252" s="2115"/>
      <c r="AP252" s="2162"/>
      <c r="AQ252" s="260"/>
      <c r="AR252" s="260"/>
      <c r="AS252" s="260"/>
      <c r="AX252" s="39"/>
      <c r="AY252" s="39"/>
      <c r="AZ252" s="39"/>
      <c r="BA252" s="39"/>
      <c r="BB252" s="39"/>
      <c r="BC252" s="39"/>
      <c r="BD252" s="39"/>
      <c r="BG252" s="2396"/>
      <c r="BH252" s="2038"/>
      <c r="BI252" s="2038"/>
      <c r="BJ252" s="2038"/>
      <c r="BK252" s="2038"/>
      <c r="BL252" s="2038"/>
      <c r="BM252" s="2038"/>
      <c r="BN252" s="2038"/>
      <c r="BO252" s="2038"/>
      <c r="BP252" s="2038"/>
      <c r="BQ252" s="2690"/>
    </row>
    <row r="253" spans="1:69" ht="13.5" customHeight="1">
      <c r="A253" s="2162"/>
      <c r="B253" s="7364">
        <v>40</v>
      </c>
      <c r="C253" s="7364"/>
      <c r="D253" s="2440" t="s">
        <v>2782</v>
      </c>
      <c r="E253" s="1142"/>
      <c r="F253" s="1142"/>
      <c r="G253" s="1142"/>
      <c r="H253" s="1142"/>
      <c r="I253" s="1142"/>
      <c r="J253" s="1142"/>
      <c r="K253" s="1142"/>
      <c r="L253" s="1142"/>
      <c r="M253" s="1142"/>
      <c r="N253" s="1142"/>
      <c r="O253" s="1142"/>
      <c r="P253" s="1142"/>
      <c r="Q253" s="1142"/>
      <c r="R253" s="1142"/>
      <c r="S253" s="1142"/>
      <c r="T253" s="1142"/>
      <c r="U253" s="1142"/>
      <c r="V253" s="1142"/>
      <c r="W253" s="1142"/>
      <c r="X253" s="1142"/>
      <c r="Y253" s="1142"/>
      <c r="Z253" s="1142"/>
      <c r="AA253" s="1142"/>
      <c r="AB253" s="1142"/>
      <c r="AC253" s="1142"/>
      <c r="AD253" s="1142"/>
      <c r="AE253" s="1142"/>
      <c r="AF253" s="1142"/>
      <c r="AG253" s="2760" t="s">
        <v>654</v>
      </c>
      <c r="AH253" s="7426">
        <v>40</v>
      </c>
      <c r="AI253" s="7427"/>
      <c r="AJ253" s="7407"/>
      <c r="AK253" s="7408"/>
      <c r="AL253" s="7408"/>
      <c r="AM253" s="7408"/>
      <c r="AN253" s="7408"/>
      <c r="AO253" s="7408"/>
      <c r="AP253" s="2162"/>
      <c r="AQ253" s="260"/>
      <c r="AR253" s="260"/>
      <c r="AS253" s="260"/>
      <c r="BG253" s="2396"/>
      <c r="BH253" s="2038"/>
      <c r="BI253" s="2038"/>
      <c r="BJ253" s="2038"/>
      <c r="BK253" s="2038"/>
      <c r="BL253" s="2038"/>
      <c r="BM253" s="2038"/>
      <c r="BN253" s="2038"/>
      <c r="BO253" s="2038"/>
      <c r="BP253" s="2038"/>
    </row>
    <row r="254" spans="1:69" ht="13.5" customHeight="1">
      <c r="A254" s="2162"/>
      <c r="B254" s="7328">
        <v>41</v>
      </c>
      <c r="C254" s="7328"/>
      <c r="D254" s="2112" t="s">
        <v>2800</v>
      </c>
      <c r="E254" s="808"/>
      <c r="F254" s="808"/>
      <c r="G254" s="808"/>
      <c r="H254" s="808"/>
      <c r="I254" s="808"/>
      <c r="J254" s="808"/>
      <c r="K254" s="808"/>
      <c r="L254" s="808"/>
      <c r="M254" s="808"/>
      <c r="N254" s="808"/>
      <c r="O254" s="808"/>
      <c r="P254" s="808"/>
      <c r="Q254" s="808"/>
      <c r="R254" s="808"/>
      <c r="S254" s="808"/>
      <c r="T254" s="808"/>
      <c r="U254" s="808"/>
      <c r="V254" s="808"/>
      <c r="W254" s="808"/>
      <c r="X254" s="808"/>
      <c r="Y254" s="808"/>
      <c r="Z254" s="808"/>
      <c r="AA254" s="808"/>
      <c r="AB254" s="808"/>
      <c r="AC254" s="808"/>
      <c r="AD254" s="808"/>
      <c r="AE254" s="808"/>
      <c r="AF254" s="808"/>
      <c r="AG254" s="1151"/>
      <c r="AH254" s="4050"/>
      <c r="AI254" s="4997"/>
      <c r="AJ254" s="4990"/>
      <c r="AK254" s="3861"/>
      <c r="AL254" s="3861"/>
      <c r="AM254" s="3861"/>
      <c r="AN254" s="3861"/>
      <c r="AO254" s="3861"/>
      <c r="AP254" s="2162"/>
      <c r="AQ254" s="260"/>
      <c r="AR254" s="260"/>
      <c r="AS254" s="260"/>
      <c r="AX254" s="2114"/>
      <c r="AY254" s="2114"/>
      <c r="AZ254" s="2114"/>
      <c r="BA254" s="2114"/>
      <c r="BB254" s="2114"/>
      <c r="BC254" s="2114"/>
      <c r="BD254" s="2114"/>
      <c r="BG254" s="2396"/>
      <c r="BH254" s="2038"/>
      <c r="BI254" s="2038"/>
      <c r="BJ254" s="2038"/>
      <c r="BK254" s="2038"/>
      <c r="BL254" s="2038"/>
      <c r="BM254" s="2038"/>
      <c r="BN254" s="2038"/>
      <c r="BO254" s="2038"/>
      <c r="BP254" s="2038"/>
    </row>
    <row r="255" spans="1:69" ht="13.5" customHeight="1">
      <c r="A255" s="2162"/>
      <c r="B255" s="7328"/>
      <c r="C255" s="7328"/>
      <c r="D255" s="2112" t="s">
        <v>2801</v>
      </c>
      <c r="E255" s="808"/>
      <c r="F255" s="808"/>
      <c r="G255" s="808"/>
      <c r="H255" s="808"/>
      <c r="I255" s="808"/>
      <c r="J255" s="808"/>
      <c r="K255" s="808"/>
      <c r="L255" s="808"/>
      <c r="M255" s="808"/>
      <c r="N255" s="808"/>
      <c r="O255" s="808"/>
      <c r="P255" s="808"/>
      <c r="Q255" s="808"/>
      <c r="R255" s="808"/>
      <c r="S255" s="808"/>
      <c r="T255" s="808"/>
      <c r="U255" s="808"/>
      <c r="V255" s="808"/>
      <c r="W255" s="808"/>
      <c r="X255" s="808"/>
      <c r="Y255" s="808"/>
      <c r="Z255" s="808"/>
      <c r="AA255" s="808"/>
      <c r="AB255" s="808"/>
      <c r="AC255" s="808"/>
      <c r="AD255" s="808"/>
      <c r="AE255" s="808"/>
      <c r="AF255" s="808"/>
      <c r="AG255" s="2760" t="s">
        <v>2170</v>
      </c>
      <c r="AH255" s="7420">
        <v>41</v>
      </c>
      <c r="AI255" s="7607"/>
      <c r="AJ255" s="6354">
        <f>IF(AR255&lt;&gt;"",ROUND(AR255,0),IF(SchE4_Completed,SUM(SchE4_Line26,SchE4_Line32,SchE4_Line37,SchE4_Line39,ROUND(SchE4_Line40,0)),0))</f>
        <v>0</v>
      </c>
      <c r="AK255" s="6354"/>
      <c r="AL255" s="6354"/>
      <c r="AM255" s="6354"/>
      <c r="AN255" s="6354"/>
      <c r="AO255" s="6354"/>
      <c r="AP255" s="2162"/>
      <c r="AQ255" s="260"/>
      <c r="AR255" s="2492"/>
      <c r="AS255" s="260"/>
      <c r="AV255" s="39" t="b">
        <f>OR(SchE4_Line26&lt;&gt;0,SchE4_Line32&lt;&gt;0,SchE4_Line37&lt;&gt;0,SchE4_Line39&lt;&gt;0,SchE4_Line40&lt;&gt;0)</f>
        <v>0</v>
      </c>
      <c r="AX255" s="2114"/>
      <c r="AY255" s="2114"/>
      <c r="AZ255" s="2114"/>
      <c r="BA255" s="2114"/>
      <c r="BB255" s="2114"/>
      <c r="BC255" s="2114"/>
      <c r="BD255" s="2114"/>
      <c r="BG255" s="2396"/>
      <c r="BH255" s="2038"/>
      <c r="BI255" s="2038"/>
      <c r="BJ255" s="2038"/>
      <c r="BK255" s="2038"/>
      <c r="BL255" s="2038"/>
      <c r="BM255" s="2038"/>
      <c r="BN255" s="2038"/>
      <c r="BO255" s="2038"/>
      <c r="BP255" s="2038"/>
    </row>
    <row r="256" spans="1:69" ht="12.75" customHeight="1">
      <c r="A256" s="2162"/>
      <c r="B256" s="7328">
        <v>42</v>
      </c>
      <c r="C256" s="7328"/>
      <c r="D256" s="1108" t="s">
        <v>2785</v>
      </c>
      <c r="E256" s="808"/>
      <c r="F256" s="808"/>
      <c r="G256" s="808"/>
      <c r="H256" s="808"/>
      <c r="I256" s="808"/>
      <c r="J256" s="808"/>
      <c r="K256" s="808"/>
      <c r="L256" s="808"/>
      <c r="M256" s="808"/>
      <c r="N256" s="808"/>
      <c r="O256" s="808"/>
      <c r="P256" s="808"/>
      <c r="Q256" s="808"/>
      <c r="R256" s="808"/>
      <c r="S256" s="808"/>
      <c r="T256" s="808"/>
      <c r="U256" s="808"/>
      <c r="V256" s="808"/>
      <c r="W256" s="808"/>
      <c r="X256" s="808"/>
      <c r="Y256" s="1377"/>
      <c r="Z256" s="2123"/>
      <c r="AA256" s="2123"/>
      <c r="AB256" s="2123"/>
      <c r="AC256" s="2123"/>
      <c r="AD256" s="2123"/>
      <c r="AE256" s="2123"/>
      <c r="AF256" s="2123"/>
      <c r="AG256" s="1378"/>
      <c r="AH256" s="1130"/>
      <c r="AI256" s="1130"/>
      <c r="AJ256" s="1130"/>
      <c r="AK256" s="1130"/>
      <c r="AL256" s="1130"/>
      <c r="AM256" s="1130"/>
      <c r="AN256" s="1130"/>
      <c r="AO256" s="1130"/>
      <c r="AP256" s="2162"/>
      <c r="AQ256" s="260"/>
      <c r="AR256" s="260"/>
      <c r="AS256" s="260"/>
      <c r="AV256" s="2502">
        <f>IF(SchE4_Completed,SchE4_Line41,SchE4_Line26)</f>
        <v>0</v>
      </c>
      <c r="BG256" s="2396"/>
      <c r="BH256" s="2038"/>
      <c r="BI256" s="2038"/>
      <c r="BJ256" s="2038"/>
      <c r="BK256" s="2038"/>
      <c r="BL256" s="2038"/>
      <c r="BM256" s="2038"/>
      <c r="BN256" s="2038"/>
      <c r="BO256" s="2038"/>
      <c r="BP256" s="2038"/>
    </row>
    <row r="257" spans="1:68" ht="12.75" customHeight="1">
      <c r="A257" s="2162"/>
      <c r="B257" s="2177"/>
      <c r="C257" s="808"/>
      <c r="D257" s="2112" t="s">
        <v>2786</v>
      </c>
      <c r="E257" s="808"/>
      <c r="F257" s="808"/>
      <c r="G257" s="808"/>
      <c r="H257" s="808"/>
      <c r="I257" s="808"/>
      <c r="J257" s="808"/>
      <c r="K257" s="808"/>
      <c r="L257" s="808"/>
      <c r="M257" s="808"/>
      <c r="N257" s="808"/>
      <c r="O257" s="808"/>
      <c r="P257" s="808"/>
      <c r="Q257" s="808"/>
      <c r="R257" s="808"/>
      <c r="S257" s="808"/>
      <c r="T257" s="808"/>
      <c r="U257" s="808"/>
      <c r="V257" s="808"/>
      <c r="W257" s="808"/>
      <c r="X257" s="808"/>
      <c r="Y257" s="1379"/>
      <c r="Z257" s="1130"/>
      <c r="AA257" s="1130"/>
      <c r="AB257" s="1130"/>
      <c r="AC257" s="1130"/>
      <c r="AD257" s="1130"/>
      <c r="AE257" s="1130"/>
      <c r="AF257" s="1130"/>
      <c r="AG257" s="1380"/>
      <c r="AH257" s="1130"/>
      <c r="AI257" s="1130"/>
      <c r="AJ257" s="1130"/>
      <c r="AK257" s="1130"/>
      <c r="AL257" s="1130"/>
      <c r="AM257" s="1130"/>
      <c r="AN257" s="1130"/>
      <c r="AO257" s="1130"/>
      <c r="AP257" s="2162"/>
      <c r="BG257" s="2396"/>
      <c r="BH257" s="2038"/>
      <c r="BI257" s="2038"/>
      <c r="BJ257" s="2038"/>
      <c r="BK257" s="2038"/>
      <c r="BL257" s="2038"/>
      <c r="BM257" s="2038"/>
      <c r="BN257" s="2038"/>
      <c r="BO257" s="2038"/>
      <c r="BP257" s="2038"/>
    </row>
    <row r="258" spans="1:68" ht="12.75" customHeight="1">
      <c r="A258" s="2162"/>
      <c r="B258" s="2177"/>
      <c r="C258" s="808"/>
      <c r="D258" s="2112" t="s">
        <v>2787</v>
      </c>
      <c r="E258" s="808"/>
      <c r="F258" s="808"/>
      <c r="G258" s="808"/>
      <c r="H258" s="808"/>
      <c r="I258" s="808"/>
      <c r="J258" s="808"/>
      <c r="K258" s="808"/>
      <c r="L258" s="808"/>
      <c r="M258" s="808"/>
      <c r="N258" s="808"/>
      <c r="O258" s="808"/>
      <c r="P258" s="808"/>
      <c r="Q258" s="808"/>
      <c r="R258" s="808"/>
      <c r="S258" s="808"/>
      <c r="T258" s="808"/>
      <c r="U258" s="808"/>
      <c r="V258" s="808"/>
      <c r="W258" s="808"/>
      <c r="X258" s="808"/>
      <c r="Y258" s="1379"/>
      <c r="Z258" s="1130"/>
      <c r="AA258" s="1130"/>
      <c r="AB258" s="1130"/>
      <c r="AC258" s="1130"/>
      <c r="AD258" s="1130"/>
      <c r="AE258" s="1130"/>
      <c r="AF258" s="1130"/>
      <c r="AG258" s="1380"/>
      <c r="AH258" s="1130"/>
      <c r="AI258" s="1130"/>
      <c r="AJ258" s="1130"/>
      <c r="AK258" s="1130"/>
      <c r="AL258" s="1130"/>
      <c r="AM258" s="1130"/>
      <c r="AN258" s="1130"/>
      <c r="AO258" s="1130"/>
      <c r="AP258" s="2162"/>
      <c r="BG258" s="2396"/>
      <c r="BH258" s="2038"/>
      <c r="BI258" s="2038"/>
      <c r="BJ258" s="2038"/>
      <c r="BK258" s="2038"/>
      <c r="BL258" s="2038"/>
      <c r="BM258" s="2038"/>
      <c r="BN258" s="2038"/>
      <c r="BO258" s="2038"/>
      <c r="BP258" s="2038"/>
    </row>
    <row r="259" spans="1:68" ht="13.5" customHeight="1">
      <c r="A259" s="2162"/>
      <c r="B259" s="2177"/>
      <c r="C259" s="808"/>
      <c r="D259" s="2112" t="s">
        <v>2788</v>
      </c>
      <c r="E259" s="808"/>
      <c r="F259" s="808"/>
      <c r="G259" s="808"/>
      <c r="H259" s="808"/>
      <c r="I259" s="808"/>
      <c r="J259" s="808"/>
      <c r="K259" s="808"/>
      <c r="L259" s="808"/>
      <c r="M259" s="808"/>
      <c r="N259" s="808"/>
      <c r="O259" s="808"/>
      <c r="P259" s="808"/>
      <c r="Q259" s="808"/>
      <c r="R259" s="808"/>
      <c r="S259" s="808"/>
      <c r="T259" s="808"/>
      <c r="U259" s="808"/>
      <c r="V259" s="808"/>
      <c r="W259" s="808"/>
      <c r="X259" s="1128" t="s">
        <v>1026</v>
      </c>
      <c r="Y259" s="7599">
        <v>42</v>
      </c>
      <c r="Z259" s="7600"/>
      <c r="AA259" s="7601"/>
      <c r="AB259" s="7602"/>
      <c r="AC259" s="7602"/>
      <c r="AD259" s="7602"/>
      <c r="AE259" s="7602"/>
      <c r="AF259" s="7602"/>
      <c r="AG259" s="7602"/>
      <c r="AH259" s="1130"/>
      <c r="AI259" s="1130"/>
      <c r="AJ259" s="1130"/>
      <c r="AK259" s="1130"/>
      <c r="AL259" s="1130"/>
      <c r="AM259" s="1130"/>
      <c r="AN259" s="1130"/>
      <c r="AO259" s="1130"/>
      <c r="AP259" s="2162"/>
      <c r="BG259" s="2396"/>
      <c r="BH259" s="2038"/>
      <c r="BI259" s="2038"/>
      <c r="BJ259" s="2038"/>
      <c r="BK259" s="2038"/>
      <c r="BL259" s="2038"/>
      <c r="BM259" s="2038"/>
      <c r="BN259" s="2038"/>
      <c r="BO259" s="2038"/>
      <c r="BP259" s="2038"/>
    </row>
    <row r="260" spans="1:68" ht="12.75" customHeight="1">
      <c r="A260" s="2162"/>
      <c r="B260" s="7328">
        <v>43</v>
      </c>
      <c r="C260" s="7328"/>
      <c r="D260" s="2112" t="s">
        <v>2790</v>
      </c>
      <c r="E260" s="808"/>
      <c r="F260" s="808"/>
      <c r="G260" s="808"/>
      <c r="H260" s="808"/>
      <c r="I260" s="808"/>
      <c r="J260" s="808"/>
      <c r="K260" s="808"/>
      <c r="L260" s="808"/>
      <c r="M260" s="808"/>
      <c r="N260" s="808"/>
      <c r="O260" s="808"/>
      <c r="P260" s="808"/>
      <c r="Q260" s="808"/>
      <c r="R260" s="808"/>
      <c r="S260" s="808"/>
      <c r="T260" s="808"/>
      <c r="U260" s="808"/>
      <c r="V260" s="808"/>
      <c r="W260" s="808"/>
      <c r="X260" s="808"/>
      <c r="Y260" s="1377"/>
      <c r="Z260" s="2123"/>
      <c r="AA260" s="2123"/>
      <c r="AB260" s="2123"/>
      <c r="AC260" s="2123"/>
      <c r="AD260" s="2123"/>
      <c r="AE260" s="2123"/>
      <c r="AF260" s="2123"/>
      <c r="AG260" s="1378"/>
      <c r="AH260" s="1130"/>
      <c r="AI260" s="1130"/>
      <c r="AJ260" s="1130"/>
      <c r="AK260" s="1130"/>
      <c r="AL260" s="1130"/>
      <c r="AM260" s="1130"/>
      <c r="AN260" s="1130"/>
      <c r="AO260" s="1130"/>
      <c r="AP260" s="2162"/>
      <c r="BG260" s="2396"/>
      <c r="BH260" s="2038"/>
      <c r="BI260" s="2038"/>
      <c r="BJ260" s="2038"/>
      <c r="BK260" s="2038"/>
      <c r="BL260" s="2038"/>
      <c r="BM260" s="2038"/>
      <c r="BN260" s="2038"/>
      <c r="BO260" s="2038"/>
      <c r="BP260" s="2038"/>
    </row>
    <row r="261" spans="1:68" ht="12.75" customHeight="1">
      <c r="A261" s="2162"/>
      <c r="B261" s="2177"/>
      <c r="C261" s="808"/>
      <c r="D261" s="2447" t="s">
        <v>2791</v>
      </c>
      <c r="E261" s="808"/>
      <c r="F261" s="808"/>
      <c r="G261" s="808"/>
      <c r="H261" s="808"/>
      <c r="I261" s="808"/>
      <c r="J261" s="808"/>
      <c r="K261" s="808"/>
      <c r="L261" s="808"/>
      <c r="M261" s="808"/>
      <c r="N261" s="808"/>
      <c r="O261" s="808"/>
      <c r="P261" s="808"/>
      <c r="Q261" s="808"/>
      <c r="R261" s="808"/>
      <c r="S261" s="808"/>
      <c r="T261" s="808"/>
      <c r="U261" s="808"/>
      <c r="V261" s="808"/>
      <c r="W261" s="808"/>
      <c r="X261" s="808"/>
      <c r="Y261" s="1379"/>
      <c r="Z261" s="1130"/>
      <c r="AA261" s="1130"/>
      <c r="AB261" s="1130"/>
      <c r="AC261" s="1130"/>
      <c r="AD261" s="1130"/>
      <c r="AE261" s="1130"/>
      <c r="AF261" s="1130"/>
      <c r="AG261" s="1380"/>
      <c r="AH261" s="1130"/>
      <c r="AI261" s="1130"/>
      <c r="AJ261" s="1130"/>
      <c r="AK261" s="1130"/>
      <c r="AL261" s="1130"/>
      <c r="AM261" s="1130"/>
      <c r="AN261" s="1130"/>
      <c r="AO261" s="1130"/>
      <c r="AP261" s="2162"/>
      <c r="BG261" s="2396"/>
      <c r="BH261" s="2038"/>
      <c r="BI261" s="2038"/>
      <c r="BJ261" s="2038"/>
      <c r="BK261" s="2038"/>
      <c r="BL261" s="2038"/>
      <c r="BM261" s="2038"/>
      <c r="BN261" s="2038"/>
      <c r="BO261" s="2038"/>
      <c r="BP261" s="2038"/>
    </row>
    <row r="262" spans="1:68" ht="12.75" customHeight="1">
      <c r="A262" s="2162"/>
      <c r="B262" s="2177"/>
      <c r="C262" s="808"/>
      <c r="D262" s="2447" t="s">
        <v>2792</v>
      </c>
      <c r="E262" s="808"/>
      <c r="F262" s="808"/>
      <c r="G262" s="808"/>
      <c r="H262" s="808"/>
      <c r="I262" s="808"/>
      <c r="J262" s="808"/>
      <c r="K262" s="808"/>
      <c r="L262" s="808"/>
      <c r="M262" s="808"/>
      <c r="N262" s="808"/>
      <c r="O262" s="808"/>
      <c r="P262" s="808"/>
      <c r="Q262" s="808"/>
      <c r="R262" s="808"/>
      <c r="S262" s="808"/>
      <c r="T262" s="808"/>
      <c r="U262" s="808"/>
      <c r="V262" s="808"/>
      <c r="W262" s="808"/>
      <c r="X262" s="808"/>
      <c r="Y262" s="1379"/>
      <c r="Z262" s="1130"/>
      <c r="AA262" s="1130"/>
      <c r="AB262" s="1130"/>
      <c r="AC262" s="1130"/>
      <c r="AD262" s="1130"/>
      <c r="AE262" s="1130"/>
      <c r="AF262" s="1130"/>
      <c r="AG262" s="1380"/>
      <c r="AH262" s="1130"/>
      <c r="AI262" s="1130"/>
      <c r="AJ262" s="1130"/>
      <c r="AK262" s="1130"/>
      <c r="AL262" s="1130"/>
      <c r="AM262" s="1130"/>
      <c r="AN262" s="1130"/>
      <c r="AO262" s="1130"/>
      <c r="AP262" s="2162"/>
      <c r="BG262" s="2396"/>
      <c r="BH262" s="2038"/>
      <c r="BI262" s="2038"/>
      <c r="BJ262" s="2038"/>
      <c r="BK262" s="2038"/>
      <c r="BL262" s="2038"/>
      <c r="BM262" s="2038"/>
      <c r="BN262" s="2038"/>
      <c r="BO262" s="2038"/>
      <c r="BP262" s="2038"/>
    </row>
    <row r="263" spans="1:68" ht="12.75" customHeight="1">
      <c r="A263" s="2162"/>
      <c r="B263" s="2177"/>
      <c r="C263" s="808"/>
      <c r="D263" s="2112" t="s">
        <v>2793</v>
      </c>
      <c r="E263" s="808"/>
      <c r="F263" s="808"/>
      <c r="G263" s="808"/>
      <c r="H263" s="808"/>
      <c r="I263" s="808"/>
      <c r="J263" s="808"/>
      <c r="K263" s="808"/>
      <c r="L263" s="808"/>
      <c r="M263" s="808"/>
      <c r="N263" s="808"/>
      <c r="O263" s="808"/>
      <c r="P263" s="808"/>
      <c r="Q263" s="808"/>
      <c r="R263" s="808"/>
      <c r="S263" s="808"/>
      <c r="T263" s="808"/>
      <c r="U263" s="808"/>
      <c r="V263" s="808"/>
      <c r="W263" s="808"/>
      <c r="X263" s="808"/>
      <c r="Y263" s="1379"/>
      <c r="Z263" s="1130"/>
      <c r="AA263" s="1130"/>
      <c r="AB263" s="1130"/>
      <c r="AC263" s="1130"/>
      <c r="AD263" s="1130"/>
      <c r="AE263" s="1130"/>
      <c r="AF263" s="1130"/>
      <c r="AG263" s="1380"/>
      <c r="AH263" s="1130"/>
      <c r="AI263" s="1130"/>
      <c r="AJ263" s="1130"/>
      <c r="AK263" s="1130"/>
      <c r="AL263" s="1130"/>
      <c r="AM263" s="1130"/>
      <c r="AN263" s="1130"/>
      <c r="AO263" s="1130"/>
      <c r="AP263" s="2162"/>
      <c r="BG263" s="2396"/>
      <c r="BH263" s="2038"/>
      <c r="BI263" s="2038"/>
      <c r="BJ263" s="2038"/>
      <c r="BK263" s="2038"/>
      <c r="BL263" s="2038"/>
      <c r="BM263" s="2038"/>
      <c r="BN263" s="2038"/>
      <c r="BO263" s="2038"/>
      <c r="BP263" s="2038"/>
    </row>
    <row r="264" spans="1:68" ht="13.5" customHeight="1" thickBot="1">
      <c r="A264" s="2162"/>
      <c r="B264" s="4710"/>
      <c r="C264" s="896"/>
      <c r="D264" s="2122" t="s">
        <v>2794</v>
      </c>
      <c r="E264" s="896"/>
      <c r="F264" s="896"/>
      <c r="G264" s="896"/>
      <c r="H264" s="896"/>
      <c r="I264" s="896"/>
      <c r="J264" s="896"/>
      <c r="K264" s="896"/>
      <c r="L264" s="896"/>
      <c r="M264" s="896"/>
      <c r="N264" s="896"/>
      <c r="O264" s="896"/>
      <c r="P264" s="896"/>
      <c r="Q264" s="896"/>
      <c r="R264" s="896"/>
      <c r="S264" s="896"/>
      <c r="T264" s="896"/>
      <c r="U264" s="896"/>
      <c r="V264" s="896"/>
      <c r="W264" s="896"/>
      <c r="X264" s="2629" t="s">
        <v>950</v>
      </c>
      <c r="Y264" s="7603">
        <v>43</v>
      </c>
      <c r="Z264" s="7604"/>
      <c r="AA264" s="7605"/>
      <c r="AB264" s="7606"/>
      <c r="AC264" s="7606"/>
      <c r="AD264" s="7606"/>
      <c r="AE264" s="7606"/>
      <c r="AF264" s="7606"/>
      <c r="AG264" s="7606"/>
      <c r="AH264" s="2482"/>
      <c r="AI264" s="2482"/>
      <c r="AJ264" s="2482"/>
      <c r="AK264" s="2482"/>
      <c r="AL264" s="2482"/>
      <c r="AM264" s="2482"/>
      <c r="AN264" s="2482"/>
      <c r="AO264" s="2482"/>
      <c r="AP264" s="2162"/>
      <c r="BG264" s="2396"/>
      <c r="BH264" s="2038"/>
      <c r="BI264" s="2038"/>
      <c r="BJ264" s="2038"/>
      <c r="BK264" s="2038"/>
      <c r="BL264" s="2038"/>
      <c r="BM264" s="2038"/>
      <c r="BN264" s="2038"/>
      <c r="BO264" s="2038"/>
      <c r="BP264" s="2038"/>
    </row>
    <row r="265" spans="1:68" ht="12.75" customHeight="1">
      <c r="A265" s="2162"/>
      <c r="B265" s="2177"/>
      <c r="C265" s="808"/>
      <c r="D265" s="808"/>
      <c r="E265" s="808"/>
      <c r="F265" s="808"/>
      <c r="G265" s="808"/>
      <c r="H265" s="808"/>
      <c r="I265" s="808"/>
      <c r="J265" s="808"/>
      <c r="K265" s="808"/>
      <c r="L265" s="808"/>
      <c r="M265" s="808"/>
      <c r="N265" s="808"/>
      <c r="O265" s="808"/>
      <c r="P265" s="808"/>
      <c r="Q265" s="808"/>
      <c r="R265" s="808"/>
      <c r="S265" s="808"/>
      <c r="T265" s="808"/>
      <c r="U265" s="808"/>
      <c r="V265" s="808"/>
      <c r="W265" s="808"/>
      <c r="X265" s="808"/>
      <c r="Y265" s="808"/>
      <c r="Z265" s="808"/>
      <c r="AA265" s="808"/>
      <c r="AB265" s="808"/>
      <c r="AC265" s="808"/>
      <c r="AD265" s="808"/>
      <c r="AE265" s="808"/>
      <c r="AF265" s="808"/>
      <c r="AG265" s="808"/>
      <c r="AH265" s="808"/>
      <c r="AI265" s="808"/>
      <c r="AJ265" s="808"/>
      <c r="AK265" s="808"/>
      <c r="AL265" s="808"/>
      <c r="AM265" s="808"/>
      <c r="AN265" s="808"/>
      <c r="AO265" s="2468" t="str">
        <f>"Schedule E (Form 1040) "&amp;TaxYear</f>
        <v>Schedule E (Form 1040) 2023</v>
      </c>
      <c r="AP265" s="2162"/>
      <c r="BG265" s="2396"/>
      <c r="BH265" s="2038"/>
      <c r="BI265" s="2038"/>
      <c r="BJ265" s="2038"/>
      <c r="BK265" s="2038"/>
      <c r="BL265" s="2038"/>
      <c r="BM265" s="2038"/>
      <c r="BN265" s="2038"/>
      <c r="BO265" s="2038"/>
      <c r="BP265" s="2038"/>
    </row>
    <row r="266" spans="1:68">
      <c r="A266" s="2162"/>
      <c r="B266" s="2162"/>
      <c r="C266" s="2162"/>
      <c r="D266" s="2162"/>
      <c r="E266" s="2162"/>
      <c r="F266" s="2162"/>
      <c r="G266" s="2162"/>
      <c r="H266" s="2162"/>
      <c r="I266" s="2162"/>
      <c r="J266" s="2162"/>
      <c r="K266" s="2162"/>
      <c r="L266" s="2162"/>
      <c r="M266" s="2162"/>
      <c r="N266" s="2162"/>
      <c r="O266" s="2162"/>
      <c r="P266" s="2162"/>
      <c r="Q266" s="2162"/>
      <c r="R266" s="2162"/>
      <c r="S266" s="2162"/>
      <c r="T266" s="2162"/>
      <c r="U266" s="2162"/>
      <c r="V266" s="2162"/>
      <c r="W266" s="2162"/>
      <c r="X266" s="2162"/>
      <c r="Y266" s="2162"/>
      <c r="Z266" s="2162"/>
      <c r="AA266" s="2162"/>
      <c r="AB266" s="2162"/>
      <c r="AC266" s="2162"/>
      <c r="AD266" s="2162"/>
      <c r="AE266" s="2162"/>
      <c r="AF266" s="2162"/>
      <c r="AG266" s="2162"/>
      <c r="AH266" s="2162"/>
      <c r="AI266" s="2162"/>
      <c r="AJ266" s="2162"/>
      <c r="AK266" s="2162"/>
      <c r="AL266" s="2162"/>
      <c r="AM266" s="2162"/>
      <c r="AN266" s="2162"/>
      <c r="AO266" s="2162"/>
      <c r="AP266" s="2162"/>
      <c r="BG266" s="2396"/>
      <c r="BH266" s="2038"/>
      <c r="BI266" s="2038"/>
      <c r="BJ266" s="2038"/>
      <c r="BK266" s="2038"/>
      <c r="BL266" s="2038"/>
      <c r="BM266" s="2038"/>
      <c r="BN266" s="2038"/>
      <c r="BO266" s="2038"/>
      <c r="BP266" s="2038"/>
    </row>
  </sheetData>
  <sheetProtection algorithmName="SHA-512" hashValue="YY/q28sQb6cHSmAXtEnxEJU+2fanyY7i3RtsCMvdKpnwkRkCF7z9H31/NN3kjHnJzFQPM+1hcDhc4UGLkIHF+A==" saltValue="xCESlP/4uE50ayMmy9VL0A==" spinCount="100000" sheet="1" objects="1" scenarios="1"/>
  <mergeCells count="663">
    <mergeCell ref="B256:C256"/>
    <mergeCell ref="Y259:Z259"/>
    <mergeCell ref="AA259:AG259"/>
    <mergeCell ref="B260:C260"/>
    <mergeCell ref="Y264:Z264"/>
    <mergeCell ref="AA264:AG264"/>
    <mergeCell ref="B252:D252"/>
    <mergeCell ref="B253:C253"/>
    <mergeCell ref="AH253:AI253"/>
    <mergeCell ref="B254:C254"/>
    <mergeCell ref="AJ253:AO253"/>
    <mergeCell ref="B255:C255"/>
    <mergeCell ref="AH255:AI255"/>
    <mergeCell ref="AJ255:AO255"/>
    <mergeCell ref="B250:J250"/>
    <mergeCell ref="K250:R250"/>
    <mergeCell ref="S250:Y250"/>
    <mergeCell ref="Z250:AG250"/>
    <mergeCell ref="AH250:AO250"/>
    <mergeCell ref="B251:C251"/>
    <mergeCell ref="AH251:AI251"/>
    <mergeCell ref="AJ251:AO251"/>
    <mergeCell ref="B246:D246"/>
    <mergeCell ref="D247:J249"/>
    <mergeCell ref="K247:R249"/>
    <mergeCell ref="S247:Y249"/>
    <mergeCell ref="Z247:AG249"/>
    <mergeCell ref="AH247:AO249"/>
    <mergeCell ref="B248:C248"/>
    <mergeCell ref="B244:C244"/>
    <mergeCell ref="AH244:AI244"/>
    <mergeCell ref="AK244:AN244"/>
    <mergeCell ref="B245:C245"/>
    <mergeCell ref="AH245:AI245"/>
    <mergeCell ref="AJ245:AO245"/>
    <mergeCell ref="B242:C242"/>
    <mergeCell ref="F242:N242"/>
    <mergeCell ref="Y242:AG242"/>
    <mergeCell ref="B243:C243"/>
    <mergeCell ref="AH243:AI243"/>
    <mergeCell ref="AJ243:AO243"/>
    <mergeCell ref="C240:N240"/>
    <mergeCell ref="O240:X240"/>
    <mergeCell ref="Y240:AG240"/>
    <mergeCell ref="AH240:AO240"/>
    <mergeCell ref="B241:C241"/>
    <mergeCell ref="O241:X241"/>
    <mergeCell ref="AH241:AO241"/>
    <mergeCell ref="B236:N238"/>
    <mergeCell ref="O236:X238"/>
    <mergeCell ref="Y236:AG238"/>
    <mergeCell ref="AH236:AO238"/>
    <mergeCell ref="C239:N239"/>
    <mergeCell ref="O239:X239"/>
    <mergeCell ref="Y239:AG239"/>
    <mergeCell ref="AH239:AO239"/>
    <mergeCell ref="C233:AG233"/>
    <mergeCell ref="AH233:AO233"/>
    <mergeCell ref="C234:AG234"/>
    <mergeCell ref="AH234:AO234"/>
    <mergeCell ref="B235:X235"/>
    <mergeCell ref="Y235:AO235"/>
    <mergeCell ref="B228:C228"/>
    <mergeCell ref="AF228:AG228"/>
    <mergeCell ref="AH228:AO228"/>
    <mergeCell ref="B229:D229"/>
    <mergeCell ref="AH230:AO232"/>
    <mergeCell ref="B231:C231"/>
    <mergeCell ref="B226:C226"/>
    <mergeCell ref="AF226:AG226"/>
    <mergeCell ref="AH226:AO226"/>
    <mergeCell ref="B227:C227"/>
    <mergeCell ref="AF227:AG227"/>
    <mergeCell ref="AI227:AN227"/>
    <mergeCell ref="B224:C224"/>
    <mergeCell ref="K224:R224"/>
    <mergeCell ref="S224:Y224"/>
    <mergeCell ref="AH224:AO224"/>
    <mergeCell ref="B225:C225"/>
    <mergeCell ref="F225:J225"/>
    <mergeCell ref="K225:R225"/>
    <mergeCell ref="S225:Y225"/>
    <mergeCell ref="Z225:AG225"/>
    <mergeCell ref="AH225:AO225"/>
    <mergeCell ref="C222:J222"/>
    <mergeCell ref="K222:R222"/>
    <mergeCell ref="S222:Y222"/>
    <mergeCell ref="Z222:AG222"/>
    <mergeCell ref="AH222:AO222"/>
    <mergeCell ref="C223:J223"/>
    <mergeCell ref="K223:R223"/>
    <mergeCell ref="S223:Y223"/>
    <mergeCell ref="Z223:AG223"/>
    <mergeCell ref="AH223:AO223"/>
    <mergeCell ref="C220:J220"/>
    <mergeCell ref="K220:R220"/>
    <mergeCell ref="S220:Y220"/>
    <mergeCell ref="Z220:AG220"/>
    <mergeCell ref="AH220:AO220"/>
    <mergeCell ref="C221:J221"/>
    <mergeCell ref="K221:R221"/>
    <mergeCell ref="S221:Y221"/>
    <mergeCell ref="Z221:AG221"/>
    <mergeCell ref="AH221:AO221"/>
    <mergeCell ref="B216:R216"/>
    <mergeCell ref="S216:AO216"/>
    <mergeCell ref="C217:J219"/>
    <mergeCell ref="K217:R219"/>
    <mergeCell ref="S217:Y219"/>
    <mergeCell ref="Z217:AG219"/>
    <mergeCell ref="AH217:AO219"/>
    <mergeCell ref="C214:N214"/>
    <mergeCell ref="O214:S214"/>
    <mergeCell ref="Y214:AE214"/>
    <mergeCell ref="C215:N215"/>
    <mergeCell ref="O215:S215"/>
    <mergeCell ref="Y215:AE215"/>
    <mergeCell ref="C212:N212"/>
    <mergeCell ref="O212:S212"/>
    <mergeCell ref="Y212:AE212"/>
    <mergeCell ref="C213:N213"/>
    <mergeCell ref="O213:S213"/>
    <mergeCell ref="Y213:AE213"/>
    <mergeCell ref="B199:AE199"/>
    <mergeCell ref="AF199:AO199"/>
    <mergeCell ref="B201:D201"/>
    <mergeCell ref="B205:C205"/>
    <mergeCell ref="O209:S211"/>
    <mergeCell ref="T209:X211"/>
    <mergeCell ref="Y209:AE211"/>
    <mergeCell ref="AF209:AJ211"/>
    <mergeCell ref="AK209:AO211"/>
    <mergeCell ref="B210:C210"/>
    <mergeCell ref="B193:C193"/>
    <mergeCell ref="AK193:AN193"/>
    <mergeCell ref="B194:C194"/>
    <mergeCell ref="AH195:AI195"/>
    <mergeCell ref="AJ195:AO195"/>
    <mergeCell ref="AF198:AO198"/>
    <mergeCell ref="B191:C191"/>
    <mergeCell ref="AH191:AI191"/>
    <mergeCell ref="AJ191:AO191"/>
    <mergeCell ref="B192:C192"/>
    <mergeCell ref="AH192:AI192"/>
    <mergeCell ref="AK192:AN192"/>
    <mergeCell ref="B189:C189"/>
    <mergeCell ref="AB189:AC189"/>
    <mergeCell ref="AD189:AI189"/>
    <mergeCell ref="B190:C190"/>
    <mergeCell ref="AB190:AC190"/>
    <mergeCell ref="AD190:AI190"/>
    <mergeCell ref="B187:C187"/>
    <mergeCell ref="AB187:AC187"/>
    <mergeCell ref="AD187:AI187"/>
    <mergeCell ref="B188:C188"/>
    <mergeCell ref="AB188:AC188"/>
    <mergeCell ref="AD188:AI188"/>
    <mergeCell ref="B185:C185"/>
    <mergeCell ref="T185:U185"/>
    <mergeCell ref="W185:AB185"/>
    <mergeCell ref="AE185:AH185"/>
    <mergeCell ref="AK185:AN185"/>
    <mergeCell ref="B186:C186"/>
    <mergeCell ref="AB186:AC186"/>
    <mergeCell ref="AD186:AI186"/>
    <mergeCell ref="B183:C183"/>
    <mergeCell ref="T183:U183"/>
    <mergeCell ref="V183:AC183"/>
    <mergeCell ref="AD183:AI183"/>
    <mergeCell ref="AJ183:AO183"/>
    <mergeCell ref="B184:C184"/>
    <mergeCell ref="T184:U184"/>
    <mergeCell ref="V184:AC184"/>
    <mergeCell ref="AD184:AI184"/>
    <mergeCell ref="AJ184:AO184"/>
    <mergeCell ref="AY181:AZ181"/>
    <mergeCell ref="BA181:BB181"/>
    <mergeCell ref="BC181:BD181"/>
    <mergeCell ref="B182:C182"/>
    <mergeCell ref="T182:U182"/>
    <mergeCell ref="V182:AC182"/>
    <mergeCell ref="AD182:AI182"/>
    <mergeCell ref="AJ182:AO182"/>
    <mergeCell ref="B180:C180"/>
    <mergeCell ref="T180:U180"/>
    <mergeCell ref="V180:AC180"/>
    <mergeCell ref="AD180:AI180"/>
    <mergeCell ref="AJ180:AO180"/>
    <mergeCell ref="B181:C181"/>
    <mergeCell ref="T181:U181"/>
    <mergeCell ref="V181:AC181"/>
    <mergeCell ref="AD181:AI181"/>
    <mergeCell ref="AJ181:AO181"/>
    <mergeCell ref="AR178:AT178"/>
    <mergeCell ref="B179:C179"/>
    <mergeCell ref="H179:R179"/>
    <mergeCell ref="T179:U179"/>
    <mergeCell ref="V179:AC179"/>
    <mergeCell ref="AD179:AI179"/>
    <mergeCell ref="AJ179:AO179"/>
    <mergeCell ref="B177:C177"/>
    <mergeCell ref="T177:U177"/>
    <mergeCell ref="V177:AC177"/>
    <mergeCell ref="AD177:AI177"/>
    <mergeCell ref="AJ177:AO177"/>
    <mergeCell ref="B178:C178"/>
    <mergeCell ref="T178:U178"/>
    <mergeCell ref="V178:AC178"/>
    <mergeCell ref="AD178:AI178"/>
    <mergeCell ref="AJ178:AO178"/>
    <mergeCell ref="B175:C175"/>
    <mergeCell ref="T175:U175"/>
    <mergeCell ref="V175:AC175"/>
    <mergeCell ref="AD175:AI175"/>
    <mergeCell ref="AJ175:AO175"/>
    <mergeCell ref="B176:C176"/>
    <mergeCell ref="T176:U176"/>
    <mergeCell ref="V176:AC176"/>
    <mergeCell ref="AD176:AI176"/>
    <mergeCell ref="AJ176:AO176"/>
    <mergeCell ref="B173:C173"/>
    <mergeCell ref="T173:U173"/>
    <mergeCell ref="V173:AC173"/>
    <mergeCell ref="AD173:AI173"/>
    <mergeCell ref="AJ173:AO173"/>
    <mergeCell ref="B174:C174"/>
    <mergeCell ref="T174:U174"/>
    <mergeCell ref="V174:AC174"/>
    <mergeCell ref="AD174:AI174"/>
    <mergeCell ref="AJ174:AO174"/>
    <mergeCell ref="B171:C171"/>
    <mergeCell ref="T171:U171"/>
    <mergeCell ref="V171:AC171"/>
    <mergeCell ref="AD171:AI171"/>
    <mergeCell ref="AJ171:AO171"/>
    <mergeCell ref="B172:C172"/>
    <mergeCell ref="T172:U172"/>
    <mergeCell ref="V172:AC172"/>
    <mergeCell ref="AD172:AI172"/>
    <mergeCell ref="AJ172:AO172"/>
    <mergeCell ref="B169:C169"/>
    <mergeCell ref="T169:U169"/>
    <mergeCell ref="V169:AC169"/>
    <mergeCell ref="AD169:AI169"/>
    <mergeCell ref="AJ169:AO169"/>
    <mergeCell ref="B170:C170"/>
    <mergeCell ref="T170:U170"/>
    <mergeCell ref="V170:AC170"/>
    <mergeCell ref="AD170:AI170"/>
    <mergeCell ref="AJ170:AO170"/>
    <mergeCell ref="B167:C167"/>
    <mergeCell ref="T167:U167"/>
    <mergeCell ref="V167:AC167"/>
    <mergeCell ref="AD167:AI167"/>
    <mergeCell ref="AJ167:AO167"/>
    <mergeCell ref="B168:C168"/>
    <mergeCell ref="T168:U168"/>
    <mergeCell ref="V168:AC168"/>
    <mergeCell ref="AD168:AI168"/>
    <mergeCell ref="AJ168:AO168"/>
    <mergeCell ref="B165:C165"/>
    <mergeCell ref="T165:U165"/>
    <mergeCell ref="V165:AC165"/>
    <mergeCell ref="AD165:AI165"/>
    <mergeCell ref="AJ165:AO165"/>
    <mergeCell ref="B166:C166"/>
    <mergeCell ref="T166:U166"/>
    <mergeCell ref="V166:AC166"/>
    <mergeCell ref="AD166:AI166"/>
    <mergeCell ref="AJ166:AO166"/>
    <mergeCell ref="B163:C163"/>
    <mergeCell ref="T163:U163"/>
    <mergeCell ref="V163:AC163"/>
    <mergeCell ref="AD163:AI163"/>
    <mergeCell ref="AJ163:AO163"/>
    <mergeCell ref="V164:AC164"/>
    <mergeCell ref="AD164:AI164"/>
    <mergeCell ref="AJ164:AO164"/>
    <mergeCell ref="V161:AC161"/>
    <mergeCell ref="AD161:AI161"/>
    <mergeCell ref="AJ161:AO161"/>
    <mergeCell ref="B162:C162"/>
    <mergeCell ref="T162:U162"/>
    <mergeCell ref="V162:AC162"/>
    <mergeCell ref="AD162:AI162"/>
    <mergeCell ref="AJ162:AO162"/>
    <mergeCell ref="AF154:AJ154"/>
    <mergeCell ref="B155:C155"/>
    <mergeCell ref="D155:H155"/>
    <mergeCell ref="X155:Z155"/>
    <mergeCell ref="AA155:AE155"/>
    <mergeCell ref="AF155:AJ155"/>
    <mergeCell ref="AK151:AO152"/>
    <mergeCell ref="B153:C153"/>
    <mergeCell ref="D153:H153"/>
    <mergeCell ref="X153:Z153"/>
    <mergeCell ref="AA153:AE153"/>
    <mergeCell ref="AF153:AJ153"/>
    <mergeCell ref="B151:C151"/>
    <mergeCell ref="D151:H152"/>
    <mergeCell ref="I151:J151"/>
    <mergeCell ref="AA151:AE152"/>
    <mergeCell ref="AF151:AJ152"/>
    <mergeCell ref="B154:C154"/>
    <mergeCell ref="D154:H154"/>
    <mergeCell ref="X154:Z154"/>
    <mergeCell ref="AA154:AE154"/>
    <mergeCell ref="B147:C147"/>
    <mergeCell ref="B148:C148"/>
    <mergeCell ref="D148:AO148"/>
    <mergeCell ref="B149:C149"/>
    <mergeCell ref="D149:AO149"/>
    <mergeCell ref="B150:C150"/>
    <mergeCell ref="D150:AO150"/>
    <mergeCell ref="AG139:AO139"/>
    <mergeCell ref="B140:AF141"/>
    <mergeCell ref="AG140:AO141"/>
    <mergeCell ref="B142:D142"/>
    <mergeCell ref="B145:C145"/>
    <mergeCell ref="B146:C146"/>
    <mergeCell ref="B134:G134"/>
    <mergeCell ref="AI134:AO134"/>
    <mergeCell ref="B135:G135"/>
    <mergeCell ref="AI135:AO136"/>
    <mergeCell ref="B136:G138"/>
    <mergeCell ref="AJ137:AM138"/>
    <mergeCell ref="AN138:AO138"/>
    <mergeCell ref="B124:C124"/>
    <mergeCell ref="Y127:Z127"/>
    <mergeCell ref="AA127:AG127"/>
    <mergeCell ref="B128:C128"/>
    <mergeCell ref="Y132:Z132"/>
    <mergeCell ref="AA132:AG132"/>
    <mergeCell ref="B120:D120"/>
    <mergeCell ref="B121:C121"/>
    <mergeCell ref="AH121:AI121"/>
    <mergeCell ref="AJ121:AO121"/>
    <mergeCell ref="B123:C123"/>
    <mergeCell ref="AH123:AI123"/>
    <mergeCell ref="AJ123:AO123"/>
    <mergeCell ref="B118:J118"/>
    <mergeCell ref="K118:R118"/>
    <mergeCell ref="S118:Y118"/>
    <mergeCell ref="Z118:AG118"/>
    <mergeCell ref="AH118:AO118"/>
    <mergeCell ref="B119:C119"/>
    <mergeCell ref="AH119:AI119"/>
    <mergeCell ref="AJ119:AO119"/>
    <mergeCell ref="B122:C122"/>
    <mergeCell ref="B114:D114"/>
    <mergeCell ref="D115:J117"/>
    <mergeCell ref="K115:R117"/>
    <mergeCell ref="S115:Y117"/>
    <mergeCell ref="Z115:AG117"/>
    <mergeCell ref="AH115:AO117"/>
    <mergeCell ref="B116:C116"/>
    <mergeCell ref="B112:C112"/>
    <mergeCell ref="AH112:AI112"/>
    <mergeCell ref="AK112:AN112"/>
    <mergeCell ref="B113:C113"/>
    <mergeCell ref="AH113:AI113"/>
    <mergeCell ref="AJ113:AO113"/>
    <mergeCell ref="B110:C110"/>
    <mergeCell ref="F110:N110"/>
    <mergeCell ref="Y110:AG110"/>
    <mergeCell ref="B111:C111"/>
    <mergeCell ref="AH111:AI111"/>
    <mergeCell ref="AJ111:AO111"/>
    <mergeCell ref="C108:N108"/>
    <mergeCell ref="O108:X108"/>
    <mergeCell ref="Y108:AG108"/>
    <mergeCell ref="AH108:AO108"/>
    <mergeCell ref="B109:C109"/>
    <mergeCell ref="O109:X109"/>
    <mergeCell ref="AH109:AO109"/>
    <mergeCell ref="B104:N106"/>
    <mergeCell ref="O104:X106"/>
    <mergeCell ref="Y104:AG106"/>
    <mergeCell ref="AH104:AO106"/>
    <mergeCell ref="C107:N107"/>
    <mergeCell ref="O107:X107"/>
    <mergeCell ref="Y107:AG107"/>
    <mergeCell ref="AH107:AO107"/>
    <mergeCell ref="C101:AG101"/>
    <mergeCell ref="AH101:AO101"/>
    <mergeCell ref="C102:AG102"/>
    <mergeCell ref="AH102:AO102"/>
    <mergeCell ref="B103:X103"/>
    <mergeCell ref="Y103:AO103"/>
    <mergeCell ref="B96:C96"/>
    <mergeCell ref="AF96:AG96"/>
    <mergeCell ref="AH96:AO96"/>
    <mergeCell ref="B97:D97"/>
    <mergeCell ref="AH98:AO100"/>
    <mergeCell ref="B99:C99"/>
    <mergeCell ref="B94:C94"/>
    <mergeCell ref="AF94:AG94"/>
    <mergeCell ref="AH94:AO94"/>
    <mergeCell ref="B95:C95"/>
    <mergeCell ref="AF95:AG95"/>
    <mergeCell ref="AI95:AN95"/>
    <mergeCell ref="B92:C92"/>
    <mergeCell ref="K92:R92"/>
    <mergeCell ref="S92:Y92"/>
    <mergeCell ref="AH92:AO92"/>
    <mergeCell ref="B93:C93"/>
    <mergeCell ref="F93:J93"/>
    <mergeCell ref="K93:R93"/>
    <mergeCell ref="S93:Y93"/>
    <mergeCell ref="Z93:AG93"/>
    <mergeCell ref="AH93:AO93"/>
    <mergeCell ref="C90:J90"/>
    <mergeCell ref="K90:R90"/>
    <mergeCell ref="S90:Y90"/>
    <mergeCell ref="Z90:AG90"/>
    <mergeCell ref="AH90:AO90"/>
    <mergeCell ref="C91:J91"/>
    <mergeCell ref="K91:R91"/>
    <mergeCell ref="S91:Y91"/>
    <mergeCell ref="Z91:AG91"/>
    <mergeCell ref="AH91:AO91"/>
    <mergeCell ref="C88:J88"/>
    <mergeCell ref="K88:R88"/>
    <mergeCell ref="S88:Y88"/>
    <mergeCell ref="Z88:AG88"/>
    <mergeCell ref="AH88:AO88"/>
    <mergeCell ref="C89:J89"/>
    <mergeCell ref="K89:R89"/>
    <mergeCell ref="S89:Y89"/>
    <mergeCell ref="Z89:AG89"/>
    <mergeCell ref="AH89:AO89"/>
    <mergeCell ref="B84:R84"/>
    <mergeCell ref="S84:AO84"/>
    <mergeCell ref="C85:J87"/>
    <mergeCell ref="K85:R87"/>
    <mergeCell ref="S85:Y87"/>
    <mergeCell ref="Z85:AG87"/>
    <mergeCell ref="AH85:AO87"/>
    <mergeCell ref="C82:N82"/>
    <mergeCell ref="O82:S82"/>
    <mergeCell ref="Y82:AE82"/>
    <mergeCell ref="C83:N83"/>
    <mergeCell ref="O83:S83"/>
    <mergeCell ref="Y83:AE83"/>
    <mergeCell ref="B78:C78"/>
    <mergeCell ref="C80:N80"/>
    <mergeCell ref="O80:S80"/>
    <mergeCell ref="Y80:AE80"/>
    <mergeCell ref="C81:N81"/>
    <mergeCell ref="O81:S81"/>
    <mergeCell ref="Y81:AE81"/>
    <mergeCell ref="AF66:AO66"/>
    <mergeCell ref="B67:AE67"/>
    <mergeCell ref="AF67:AO67"/>
    <mergeCell ref="B69:D69"/>
    <mergeCell ref="B73:C73"/>
    <mergeCell ref="O77:S79"/>
    <mergeCell ref="T77:X79"/>
    <mergeCell ref="Y77:AE79"/>
    <mergeCell ref="AF77:AJ79"/>
    <mergeCell ref="AK77:AO79"/>
    <mergeCell ref="B61:C61"/>
    <mergeCell ref="AK61:AN61"/>
    <mergeCell ref="B62:C62"/>
    <mergeCell ref="AH63:AI63"/>
    <mergeCell ref="AJ63:AO63"/>
    <mergeCell ref="AG65:AH65"/>
    <mergeCell ref="B59:C59"/>
    <mergeCell ref="AH59:AI59"/>
    <mergeCell ref="AJ59:AO59"/>
    <mergeCell ref="B60:C60"/>
    <mergeCell ref="AH60:AI60"/>
    <mergeCell ref="AK60:AN60"/>
    <mergeCell ref="B57:C57"/>
    <mergeCell ref="AB57:AC57"/>
    <mergeCell ref="AD57:AI57"/>
    <mergeCell ref="B58:C58"/>
    <mergeCell ref="AB58:AC58"/>
    <mergeCell ref="AD58:AI58"/>
    <mergeCell ref="B55:C55"/>
    <mergeCell ref="AB55:AC55"/>
    <mergeCell ref="AD55:AI55"/>
    <mergeCell ref="B56:C56"/>
    <mergeCell ref="AB56:AC56"/>
    <mergeCell ref="AD56:AI56"/>
    <mergeCell ref="B53:C53"/>
    <mergeCell ref="T53:U53"/>
    <mergeCell ref="W53:AB53"/>
    <mergeCell ref="AE53:AH53"/>
    <mergeCell ref="AK53:AN53"/>
    <mergeCell ref="B54:C54"/>
    <mergeCell ref="AB54:AC54"/>
    <mergeCell ref="AD54:AI54"/>
    <mergeCell ref="B51:C51"/>
    <mergeCell ref="T51:U51"/>
    <mergeCell ref="V51:AC51"/>
    <mergeCell ref="AD51:AI51"/>
    <mergeCell ref="AJ51:AO51"/>
    <mergeCell ref="B52:C52"/>
    <mergeCell ref="T52:U52"/>
    <mergeCell ref="V52:AC52"/>
    <mergeCell ref="AD52:AI52"/>
    <mergeCell ref="AJ52:AO52"/>
    <mergeCell ref="AY49:AZ49"/>
    <mergeCell ref="BA49:BB49"/>
    <mergeCell ref="BC49:BD49"/>
    <mergeCell ref="B50:C50"/>
    <mergeCell ref="T50:U50"/>
    <mergeCell ref="V50:AC50"/>
    <mergeCell ref="AD50:AI50"/>
    <mergeCell ref="AJ50:AO50"/>
    <mergeCell ref="B48:C48"/>
    <mergeCell ref="T48:U48"/>
    <mergeCell ref="V48:AC48"/>
    <mergeCell ref="AD48:AI48"/>
    <mergeCell ref="AJ48:AO48"/>
    <mergeCell ref="B49:C49"/>
    <mergeCell ref="T49:U49"/>
    <mergeCell ref="V49:AC49"/>
    <mergeCell ref="AD49:AI49"/>
    <mergeCell ref="AJ49:AO49"/>
    <mergeCell ref="AR46:AT46"/>
    <mergeCell ref="B47:C47"/>
    <mergeCell ref="H47:R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B43:C43"/>
    <mergeCell ref="T43:U43"/>
    <mergeCell ref="V43:AC43"/>
    <mergeCell ref="AD43:AI43"/>
    <mergeCell ref="AJ43:AO43"/>
    <mergeCell ref="B44:C44"/>
    <mergeCell ref="T44:U44"/>
    <mergeCell ref="V44:AC44"/>
    <mergeCell ref="AD44:AI44"/>
    <mergeCell ref="AJ44:AO44"/>
    <mergeCell ref="B41:C41"/>
    <mergeCell ref="T41:U41"/>
    <mergeCell ref="V41:AC41"/>
    <mergeCell ref="AD41:AI41"/>
    <mergeCell ref="AJ41:AO41"/>
    <mergeCell ref="B42:C42"/>
    <mergeCell ref="T42:U42"/>
    <mergeCell ref="V42:AC42"/>
    <mergeCell ref="AD42:AI42"/>
    <mergeCell ref="AJ42:AO42"/>
    <mergeCell ref="B39:C39"/>
    <mergeCell ref="T39:U39"/>
    <mergeCell ref="V39:AC39"/>
    <mergeCell ref="AD39:AI39"/>
    <mergeCell ref="AJ39:AO39"/>
    <mergeCell ref="B40:C40"/>
    <mergeCell ref="T40:U40"/>
    <mergeCell ref="V40:AC40"/>
    <mergeCell ref="AD40:AI40"/>
    <mergeCell ref="AJ40:AO40"/>
    <mergeCell ref="B37:C37"/>
    <mergeCell ref="T37:U37"/>
    <mergeCell ref="V37:AC37"/>
    <mergeCell ref="AD37:AI37"/>
    <mergeCell ref="AJ37:AO37"/>
    <mergeCell ref="B38:C38"/>
    <mergeCell ref="T38:U38"/>
    <mergeCell ref="V38:AC38"/>
    <mergeCell ref="AD38:AI38"/>
    <mergeCell ref="AJ38:AO38"/>
    <mergeCell ref="B35:C35"/>
    <mergeCell ref="T35:U35"/>
    <mergeCell ref="V35:AC35"/>
    <mergeCell ref="AD35:AI35"/>
    <mergeCell ref="AJ35:AO35"/>
    <mergeCell ref="B36:C36"/>
    <mergeCell ref="T36:U36"/>
    <mergeCell ref="V36:AC36"/>
    <mergeCell ref="AD36:AI36"/>
    <mergeCell ref="AJ36:AO36"/>
    <mergeCell ref="B33:C33"/>
    <mergeCell ref="T33:U33"/>
    <mergeCell ref="V33:AC33"/>
    <mergeCell ref="AD33:AI33"/>
    <mergeCell ref="AJ33:AO33"/>
    <mergeCell ref="B34:C34"/>
    <mergeCell ref="T34:U34"/>
    <mergeCell ref="V34:AC34"/>
    <mergeCell ref="AD34:AI34"/>
    <mergeCell ref="AJ34:AO34"/>
    <mergeCell ref="B31:C31"/>
    <mergeCell ref="T31:U31"/>
    <mergeCell ref="V31:AC31"/>
    <mergeCell ref="AD31:AI31"/>
    <mergeCell ref="AJ31:AO31"/>
    <mergeCell ref="V32:AC32"/>
    <mergeCell ref="AD32:AI32"/>
    <mergeCell ref="AJ32:AO32"/>
    <mergeCell ref="AH26:AO26"/>
    <mergeCell ref="V29:AC29"/>
    <mergeCell ref="AD29:AI29"/>
    <mergeCell ref="AJ29:AO29"/>
    <mergeCell ref="B30:C30"/>
    <mergeCell ref="T30:U30"/>
    <mergeCell ref="V30:AC30"/>
    <mergeCell ref="AD30:AI30"/>
    <mergeCell ref="AJ30:AO30"/>
    <mergeCell ref="V28:AO28"/>
    <mergeCell ref="B14:C14"/>
    <mergeCell ref="AF22:AJ22"/>
    <mergeCell ref="B23:C23"/>
    <mergeCell ref="D23:H23"/>
    <mergeCell ref="X23:Z23"/>
    <mergeCell ref="AA23:AE23"/>
    <mergeCell ref="AF23:AJ23"/>
    <mergeCell ref="AK19:AO20"/>
    <mergeCell ref="B21:C21"/>
    <mergeCell ref="D21:H21"/>
    <mergeCell ref="X21:Z21"/>
    <mergeCell ref="AA21:AE21"/>
    <mergeCell ref="AF21:AJ21"/>
    <mergeCell ref="B19:C19"/>
    <mergeCell ref="D19:H20"/>
    <mergeCell ref="I19:J19"/>
    <mergeCell ref="AA19:AE20"/>
    <mergeCell ref="AF19:AJ20"/>
    <mergeCell ref="B22:C22"/>
    <mergeCell ref="D22:H22"/>
    <mergeCell ref="X22:Z22"/>
    <mergeCell ref="AA22:AE22"/>
    <mergeCell ref="K19:W23"/>
    <mergeCell ref="AR25:AS27"/>
    <mergeCell ref="V160:AO160"/>
    <mergeCell ref="AR157:AS159"/>
    <mergeCell ref="AH158:AO158"/>
    <mergeCell ref="K151:W155"/>
    <mergeCell ref="B2:G2"/>
    <mergeCell ref="AI2:AO2"/>
    <mergeCell ref="B3:G3"/>
    <mergeCell ref="AI3:AO4"/>
    <mergeCell ref="B4:G6"/>
    <mergeCell ref="AJ5:AM6"/>
    <mergeCell ref="AN6:AO6"/>
    <mergeCell ref="B15:C15"/>
    <mergeCell ref="B16:C16"/>
    <mergeCell ref="D16:AO16"/>
    <mergeCell ref="B17:C17"/>
    <mergeCell ref="D17:AO17"/>
    <mergeCell ref="B18:C18"/>
    <mergeCell ref="D18:AO18"/>
    <mergeCell ref="AG7:AO7"/>
    <mergeCell ref="B8:AF9"/>
    <mergeCell ref="AG8:AO9"/>
    <mergeCell ref="B10:D10"/>
    <mergeCell ref="B13:C13"/>
  </mergeCells>
  <conditionalFormatting sqref="B8 AG8">
    <cfRule type="expression" dxfId="2075" priority="113">
      <formula>NoColor</formula>
    </cfRule>
  </conditionalFormatting>
  <conditionalFormatting sqref="B140 AG140">
    <cfRule type="expression" dxfId="2074" priority="61">
      <formula>NoColor</formula>
    </cfRule>
  </conditionalFormatting>
  <conditionalFormatting sqref="B67:AO67">
    <cfRule type="expression" dxfId="2073" priority="92">
      <formula>NoColor</formula>
    </cfRule>
  </conditionalFormatting>
  <conditionalFormatting sqref="B118:AO118">
    <cfRule type="expression" dxfId="2072" priority="62">
      <formula>NoColor</formula>
    </cfRule>
  </conditionalFormatting>
  <conditionalFormatting sqref="B199:AO199">
    <cfRule type="expression" dxfId="2071" priority="7">
      <formula>NoColor</formula>
    </cfRule>
  </conditionalFormatting>
  <conditionalFormatting sqref="B250:AO250">
    <cfRule type="expression" dxfId="2070" priority="11">
      <formula>NoColor</formula>
    </cfRule>
  </conditionalFormatting>
  <conditionalFormatting sqref="C101:J102">
    <cfRule type="expression" dxfId="2069" priority="82">
      <formula>NoColor</formula>
    </cfRule>
  </conditionalFormatting>
  <conditionalFormatting sqref="C233:J234">
    <cfRule type="expression" dxfId="2068" priority="31">
      <formula>NoColor</formula>
    </cfRule>
  </conditionalFormatting>
  <conditionalFormatting sqref="C80:AO83">
    <cfRule type="expression" dxfId="2067" priority="91">
      <formula>NoColor</formula>
    </cfRule>
  </conditionalFormatting>
  <conditionalFormatting sqref="C88:AO91">
    <cfRule type="expression" dxfId="2066" priority="90">
      <formula>NoColor</formula>
    </cfRule>
  </conditionalFormatting>
  <conditionalFormatting sqref="C107:AO108">
    <cfRule type="expression" dxfId="2065" priority="80">
      <formula>NoColor</formula>
    </cfRule>
  </conditionalFormatting>
  <conditionalFormatting sqref="C212:AO215">
    <cfRule type="expression" dxfId="2064" priority="40">
      <formula>NoColor</formula>
    </cfRule>
  </conditionalFormatting>
  <conditionalFormatting sqref="C220:AO223">
    <cfRule type="expression" dxfId="2063" priority="39">
      <formula>NoColor</formula>
    </cfRule>
  </conditionalFormatting>
  <conditionalFormatting sqref="C239:AO240">
    <cfRule type="expression" dxfId="2062" priority="29">
      <formula>NoColor</formula>
    </cfRule>
  </conditionalFormatting>
  <conditionalFormatting sqref="D21:H23">
    <cfRule type="expression" dxfId="2061" priority="111">
      <formula>NoColor</formula>
    </cfRule>
  </conditionalFormatting>
  <conditionalFormatting sqref="D153:H155">
    <cfRule type="expression" dxfId="2060" priority="59">
      <formula>NoColor</formula>
    </cfRule>
  </conditionalFormatting>
  <conditionalFormatting sqref="D16:AO18">
    <cfRule type="expression" dxfId="2059" priority="112">
      <formula>NoColor</formula>
    </cfRule>
  </conditionalFormatting>
  <conditionalFormatting sqref="D148:AO150">
    <cfRule type="expression" dxfId="2058" priority="60">
      <formula>NoColor</formula>
    </cfRule>
  </conditionalFormatting>
  <conditionalFormatting sqref="F93:J93">
    <cfRule type="expression" dxfId="2057" priority="89">
      <formula>NoColor</formula>
    </cfRule>
  </conditionalFormatting>
  <conditionalFormatting sqref="F225:J225">
    <cfRule type="expression" dxfId="2056" priority="38">
      <formula>NoColor</formula>
    </cfRule>
  </conditionalFormatting>
  <conditionalFormatting sqref="F110:N110">
    <cfRule type="expression" dxfId="2055" priority="79">
      <formula>NoColor</formula>
    </cfRule>
  </conditionalFormatting>
  <conditionalFormatting sqref="F242:N242">
    <cfRule type="expression" dxfId="2054" priority="28">
      <formula>NoColor</formula>
    </cfRule>
  </conditionalFormatting>
  <conditionalFormatting sqref="H2">
    <cfRule type="expression" dxfId="2053" priority="63">
      <formula>NOT(Draft)</formula>
    </cfRule>
  </conditionalFormatting>
  <conditionalFormatting sqref="H134">
    <cfRule type="expression" dxfId="2052" priority="12">
      <formula>NOT(Draft)</formula>
    </cfRule>
  </conditionalFormatting>
  <conditionalFormatting sqref="H198">
    <cfRule type="expression" dxfId="2051" priority="2">
      <formula>AND($AR198,$AP199="",NOT(NoColor))</formula>
    </cfRule>
  </conditionalFormatting>
  <conditionalFormatting sqref="H66:I66">
    <cfRule type="expression" dxfId="2050" priority="3">
      <formula>AND($AR66,$AP67="",NOT(NoColor))</formula>
    </cfRule>
  </conditionalFormatting>
  <conditionalFormatting sqref="H47:R48">
    <cfRule type="expression" dxfId="2049" priority="100">
      <formula>NoColor</formula>
    </cfRule>
  </conditionalFormatting>
  <conditionalFormatting sqref="H179:R180">
    <cfRule type="expression" dxfId="2048" priority="48">
      <formula>NoColor</formula>
    </cfRule>
  </conditionalFormatting>
  <conditionalFormatting sqref="H59:AF59">
    <cfRule type="expression" dxfId="2047" priority="98">
      <formula>NoColor</formula>
    </cfRule>
  </conditionalFormatting>
  <conditionalFormatting sqref="H191:AF191">
    <cfRule type="expression" dxfId="2046" priority="46">
      <formula>NoColor</formula>
    </cfRule>
  </conditionalFormatting>
  <conditionalFormatting sqref="H60:AG60">
    <cfRule type="expression" dxfId="2045" priority="96">
      <formula>NoColor</formula>
    </cfRule>
  </conditionalFormatting>
  <conditionalFormatting sqref="H192:AG192">
    <cfRule type="expression" dxfId="2044" priority="44">
      <formula>NoColor</formula>
    </cfRule>
  </conditionalFormatting>
  <conditionalFormatting sqref="K92:R92">
    <cfRule type="expression" dxfId="2043" priority="88">
      <formula>NoColor</formula>
    </cfRule>
  </conditionalFormatting>
  <conditionalFormatting sqref="K224:R224">
    <cfRule type="expression" dxfId="2042" priority="37">
      <formula>NoColor</formula>
    </cfRule>
  </conditionalFormatting>
  <conditionalFormatting sqref="O109:X109">
    <cfRule type="expression" dxfId="2041" priority="78">
      <formula>NoColor</formula>
    </cfRule>
  </conditionalFormatting>
  <conditionalFormatting sqref="O241:X241">
    <cfRule type="expression" dxfId="2040" priority="27">
      <formula>NoColor</formula>
    </cfRule>
  </conditionalFormatting>
  <conditionalFormatting sqref="S93:AG93">
    <cfRule type="expression" dxfId="2039" priority="85">
      <formula>NoColor</formula>
    </cfRule>
  </conditionalFormatting>
  <conditionalFormatting sqref="S225:AG225">
    <cfRule type="expression" dxfId="2038" priority="34">
      <formula>NoColor</formula>
    </cfRule>
  </conditionalFormatting>
  <conditionalFormatting sqref="V53:W53 AC53:AE53 AI53:AK53 AO53">
    <cfRule type="expression" dxfId="2037" priority="102">
      <formula>NoColor</formula>
    </cfRule>
  </conditionalFormatting>
  <conditionalFormatting sqref="V185:W185 AC185:AE185 AI185:AK185 AO185">
    <cfRule type="expression" dxfId="2036" priority="50">
      <formula>NoColor</formula>
    </cfRule>
  </conditionalFormatting>
  <conditionalFormatting sqref="V32:AC32">
    <cfRule type="expression" dxfId="2035" priority="69">
      <formula>$BE$21</formula>
    </cfRule>
  </conditionalFormatting>
  <conditionalFormatting sqref="V164:AC164">
    <cfRule type="expression" dxfId="2034" priority="18">
      <formula>$BE$21</formula>
    </cfRule>
  </conditionalFormatting>
  <conditionalFormatting sqref="V30:AO31">
    <cfRule type="expression" dxfId="2033" priority="106">
      <formula>NoColor</formula>
    </cfRule>
  </conditionalFormatting>
  <conditionalFormatting sqref="V33:AO48">
    <cfRule type="expression" dxfId="2032" priority="104">
      <formula>NoColor</formula>
    </cfRule>
  </conditionalFormatting>
  <conditionalFormatting sqref="V51:AO51">
    <cfRule type="expression" dxfId="2031" priority="103">
      <formula>NoColor</formula>
    </cfRule>
  </conditionalFormatting>
  <conditionalFormatting sqref="V162:AO163">
    <cfRule type="expression" dxfId="2030" priority="54">
      <formula>NoColor</formula>
    </cfRule>
  </conditionalFormatting>
  <conditionalFormatting sqref="V165:AO180">
    <cfRule type="expression" dxfId="2029" priority="52">
      <formula>NoColor</formula>
    </cfRule>
  </conditionalFormatting>
  <conditionalFormatting sqref="V183:AO183">
    <cfRule type="expression" dxfId="2028" priority="51">
      <formula>NoColor</formula>
    </cfRule>
  </conditionalFormatting>
  <conditionalFormatting sqref="Y110:AG110">
    <cfRule type="expression" dxfId="2027" priority="77">
      <formula>NoColor</formula>
    </cfRule>
  </conditionalFormatting>
  <conditionalFormatting sqref="Y242:AG242">
    <cfRule type="expression" dxfId="2026" priority="26">
      <formula>NoColor</formula>
    </cfRule>
  </conditionalFormatting>
  <conditionalFormatting sqref="AA21:AE23">
    <cfRule type="expression" dxfId="2025" priority="65">
      <formula>AV21</formula>
    </cfRule>
  </conditionalFormatting>
  <conditionalFormatting sqref="AA153:AE155">
    <cfRule type="expression" dxfId="2024" priority="14">
      <formula>AV153</formula>
    </cfRule>
  </conditionalFormatting>
  <conditionalFormatting sqref="AA127:AG127">
    <cfRule type="expression" dxfId="2023" priority="71">
      <formula>NoColor</formula>
    </cfRule>
  </conditionalFormatting>
  <conditionalFormatting sqref="AA132:AG132">
    <cfRule type="expression" dxfId="2022" priority="70">
      <formula>NoColor</formula>
    </cfRule>
  </conditionalFormatting>
  <conditionalFormatting sqref="AA259:AG259">
    <cfRule type="expression" dxfId="2021" priority="20">
      <formula>NoColor</formula>
    </cfRule>
  </conditionalFormatting>
  <conditionalFormatting sqref="AA264:AG264">
    <cfRule type="expression" dxfId="2020" priority="19">
      <formula>NoColor</formula>
    </cfRule>
  </conditionalFormatting>
  <conditionalFormatting sqref="AA21:AJ23">
    <cfRule type="expression" dxfId="2019" priority="110">
      <formula>NoColor</formula>
    </cfRule>
  </conditionalFormatting>
  <conditionalFormatting sqref="AA153:AJ155">
    <cfRule type="expression" dxfId="2018" priority="58">
      <formula>NoColor</formula>
    </cfRule>
  </conditionalFormatting>
  <conditionalFormatting sqref="AD32:AI32">
    <cfRule type="expression" dxfId="2017" priority="68">
      <formula>$BE$22</formula>
    </cfRule>
  </conditionalFormatting>
  <conditionalFormatting sqref="AD54:AI58 AD63:AF63 AD64:AI64">
    <cfRule type="expression" dxfId="2016" priority="101">
      <formula>NoColor</formula>
    </cfRule>
  </conditionalFormatting>
  <conditionalFormatting sqref="AD164:AI164">
    <cfRule type="expression" dxfId="2015" priority="17">
      <formula>$BE$22</formula>
    </cfRule>
  </conditionalFormatting>
  <conditionalFormatting sqref="AD186:AI190 AD195:AF195 AD196:AI196">
    <cfRule type="expression" dxfId="2014" priority="49">
      <formula>NoColor</formula>
    </cfRule>
  </conditionalFormatting>
  <conditionalFormatting sqref="AF21:AJ23">
    <cfRule type="expression" dxfId="2013" priority="66">
      <formula>AW21</formula>
    </cfRule>
  </conditionalFormatting>
  <conditionalFormatting sqref="AF153:AJ155">
    <cfRule type="expression" dxfId="2012" priority="15">
      <formula>AW153</formula>
    </cfRule>
  </conditionalFormatting>
  <conditionalFormatting sqref="AH158">
    <cfRule type="expression" dxfId="2011" priority="8">
      <formula>AND($AR$156,NOT(NoColor))</formula>
    </cfRule>
  </conditionalFormatting>
  <conditionalFormatting sqref="AH26:AO26">
    <cfRule type="expression" dxfId="2010" priority="1">
      <formula>AND(AR24,NOT(NoColor))</formula>
    </cfRule>
  </conditionalFormatting>
  <conditionalFormatting sqref="AH92:AO92">
    <cfRule type="expression" dxfId="2009" priority="86">
      <formula>NoColor</formula>
    </cfRule>
  </conditionalFormatting>
  <conditionalFormatting sqref="AH94:AO94 AH95:AI95 AO95 AH96:AO96">
    <cfRule type="expression" dxfId="2008" priority="84">
      <formula>NoColor</formula>
    </cfRule>
  </conditionalFormatting>
  <conditionalFormatting sqref="AH101:AO102">
    <cfRule type="expression" dxfId="2007" priority="83">
      <formula>NoColor</formula>
    </cfRule>
  </conditionalFormatting>
  <conditionalFormatting sqref="AH109:AO109">
    <cfRule type="expression" dxfId="2006" priority="76">
      <formula>NoColor</formula>
    </cfRule>
  </conditionalFormatting>
  <conditionalFormatting sqref="AH224:AO224">
    <cfRule type="expression" dxfId="2005" priority="35">
      <formula>NoColor</formula>
    </cfRule>
  </conditionalFormatting>
  <conditionalFormatting sqref="AH226:AO226 AH227:AI227 AO227 AH228:AO228">
    <cfRule type="expression" dxfId="2004" priority="33">
      <formula>NoColor</formula>
    </cfRule>
  </conditionalFormatting>
  <conditionalFormatting sqref="AH233:AO234">
    <cfRule type="expression" dxfId="2003" priority="32">
      <formula>NoColor</formula>
    </cfRule>
  </conditionalFormatting>
  <conditionalFormatting sqref="AH241:AO241">
    <cfRule type="expression" dxfId="2002" priority="25">
      <formula>NoColor</formula>
    </cfRule>
  </conditionalFormatting>
  <conditionalFormatting sqref="AJ13">
    <cfRule type="expression" dxfId="2001" priority="64">
      <formula>NOT(Draft)</formula>
    </cfRule>
  </conditionalFormatting>
  <conditionalFormatting sqref="AJ13:AJ14">
    <cfRule type="expression" dxfId="2000" priority="108">
      <formula>NoColor</formula>
    </cfRule>
  </conditionalFormatting>
  <conditionalFormatting sqref="AJ75">
    <cfRule type="expression" dxfId="1999" priority="94">
      <formula>NoColor</formula>
    </cfRule>
  </conditionalFormatting>
  <conditionalFormatting sqref="AJ145">
    <cfRule type="expression" dxfId="1998" priority="13">
      <formula>NOT(Draft)</formula>
    </cfRule>
  </conditionalFormatting>
  <conditionalFormatting sqref="AJ145:AJ146">
    <cfRule type="expression" dxfId="1997" priority="56">
      <formula>NoColor</formula>
    </cfRule>
  </conditionalFormatting>
  <conditionalFormatting sqref="AJ207">
    <cfRule type="expression" dxfId="1996" priority="42">
      <formula>NoColor</formula>
    </cfRule>
  </conditionalFormatting>
  <conditionalFormatting sqref="AJ60:AK60">
    <cfRule type="expression" dxfId="1995" priority="10">
      <formula>NoColor</formula>
    </cfRule>
  </conditionalFormatting>
  <conditionalFormatting sqref="AJ192:AK192 AO192">
    <cfRule type="expression" dxfId="1994" priority="45">
      <formula>NoColor</formula>
    </cfRule>
  </conditionalFormatting>
  <conditionalFormatting sqref="AJ32:AO32">
    <cfRule type="expression" dxfId="1993" priority="67">
      <formula>$BE$23</formula>
    </cfRule>
  </conditionalFormatting>
  <conditionalFormatting sqref="AJ59:AO59">
    <cfRule type="expression" dxfId="1992" priority="99">
      <formula>NoColor</formula>
    </cfRule>
  </conditionalFormatting>
  <conditionalFormatting sqref="AJ63:AO63">
    <cfRule type="expression" dxfId="1991" priority="95">
      <formula>NoColor</formula>
    </cfRule>
  </conditionalFormatting>
  <conditionalFormatting sqref="AJ111:AO111 AJ112:AK112 AO112 AJ113:AO113">
    <cfRule type="expression" dxfId="1990" priority="75">
      <formula>NoColor</formula>
    </cfRule>
  </conditionalFormatting>
  <conditionalFormatting sqref="AJ119:AO119">
    <cfRule type="expression" dxfId="1989" priority="74">
      <formula>NoColor</formula>
    </cfRule>
  </conditionalFormatting>
  <conditionalFormatting sqref="AJ121:AO123">
    <cfRule type="expression" dxfId="1988" priority="73">
      <formula>NoColor</formula>
    </cfRule>
  </conditionalFormatting>
  <conditionalFormatting sqref="AJ164:AO164">
    <cfRule type="expression" dxfId="1987" priority="16">
      <formula>$BE$23</formula>
    </cfRule>
  </conditionalFormatting>
  <conditionalFormatting sqref="AJ191:AO191">
    <cfRule type="expression" dxfId="1986" priority="47">
      <formula>NoColor</formula>
    </cfRule>
  </conditionalFormatting>
  <conditionalFormatting sqref="AJ195:AO195">
    <cfRule type="expression" dxfId="1985" priority="43">
      <formula>NoColor</formula>
    </cfRule>
  </conditionalFormatting>
  <conditionalFormatting sqref="AJ243:AO243 AJ244:AK244 AO244 AJ245:AO245">
    <cfRule type="expression" dxfId="1984" priority="24">
      <formula>NoColor</formula>
    </cfRule>
  </conditionalFormatting>
  <conditionalFormatting sqref="AJ251:AO251">
    <cfRule type="expression" dxfId="1983" priority="23">
      <formula>NoColor</formula>
    </cfRule>
  </conditionalFormatting>
  <conditionalFormatting sqref="AJ253:AO255">
    <cfRule type="expression" dxfId="1982" priority="22">
      <formula>NoColor</formula>
    </cfRule>
  </conditionalFormatting>
  <conditionalFormatting sqref="AM13:AM14">
    <cfRule type="expression" dxfId="1981" priority="107">
      <formula>NoColor</formula>
    </cfRule>
  </conditionalFormatting>
  <conditionalFormatting sqref="AM21:AM23">
    <cfRule type="expression" dxfId="1980" priority="109">
      <formula>NoColor</formula>
    </cfRule>
  </conditionalFormatting>
  <conditionalFormatting sqref="AM75">
    <cfRule type="expression" dxfId="1979" priority="93">
      <formula>NoColor</formula>
    </cfRule>
  </conditionalFormatting>
  <conditionalFormatting sqref="AM145:AM146">
    <cfRule type="expression" dxfId="1978" priority="55">
      <formula>NoColor</formula>
    </cfRule>
  </conditionalFormatting>
  <conditionalFormatting sqref="AM153:AM155">
    <cfRule type="expression" dxfId="1977" priority="57">
      <formula>NoColor</formula>
    </cfRule>
  </conditionalFormatting>
  <conditionalFormatting sqref="AM207">
    <cfRule type="expression" dxfId="1976" priority="41">
      <formula>NoColor</formula>
    </cfRule>
  </conditionalFormatting>
  <conditionalFormatting sqref="AO60">
    <cfRule type="expression" dxfId="1975" priority="97">
      <formula>NoColor</formula>
    </cfRule>
  </conditionalFormatting>
  <conditionalFormatting sqref="AP67">
    <cfRule type="expression" dxfId="1974" priority="5">
      <formula>$AR66</formula>
    </cfRule>
  </conditionalFormatting>
  <conditionalFormatting sqref="AP199">
    <cfRule type="expression" dxfId="1973" priority="6">
      <formula>$AR198</formula>
    </cfRule>
  </conditionalFormatting>
  <pageMargins left="0.75" right="0.25" top="0.36" bottom="0.28999999999999998" header="0.36" footer="0.21"/>
  <pageSetup scale="74" fitToHeight="0" orientation="portrait" r:id="rId1"/>
  <rowBreaks count="3" manualBreakCount="3">
    <brk id="64" min="1" max="40" man="1"/>
    <brk id="133" min="1" max="40" man="1"/>
    <brk id="196" min="1" max="40"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S129"/>
  <sheetViews>
    <sheetView zoomScaleNormal="100" zoomScaleSheetLayoutView="145" workbookViewId="0"/>
  </sheetViews>
  <sheetFormatPr defaultRowHeight="12.75"/>
  <cols>
    <col min="1" max="1" width="2" customWidth="1"/>
    <col min="2" max="2" width="3.85546875" customWidth="1"/>
    <col min="3" max="3" width="4" customWidth="1"/>
    <col min="4" max="4" width="12" customWidth="1"/>
    <col min="5" max="5" width="11.7109375" customWidth="1"/>
    <col min="6" max="6" width="3" customWidth="1"/>
    <col min="7" max="7" width="6.28515625" customWidth="1"/>
    <col min="8" max="8" width="3.28515625" customWidth="1"/>
    <col min="9" max="9" width="3.85546875" customWidth="1"/>
    <col min="10" max="13" width="3.28515625" customWidth="1"/>
    <col min="14" max="14" width="3.7109375" customWidth="1"/>
    <col min="15" max="15" width="2.140625" customWidth="1"/>
    <col min="16" max="16" width="4.85546875" customWidth="1"/>
    <col min="17" max="17" width="3.5703125" customWidth="1"/>
    <col min="18" max="18" width="3.28515625" customWidth="1"/>
    <col min="19" max="21" width="3.5703125" customWidth="1"/>
    <col min="22" max="22" width="3.7109375" customWidth="1"/>
    <col min="23" max="26" width="3.42578125" customWidth="1"/>
    <col min="27" max="27" width="4" customWidth="1"/>
    <col min="28" max="31" width="3.42578125" customWidth="1"/>
    <col min="32" max="32" width="1.7109375" customWidth="1"/>
    <col min="33" max="33" width="13.85546875" style="39" customWidth="1"/>
    <col min="34" max="34" width="2.5703125" customWidth="1"/>
    <col min="35" max="35" width="15.42578125" customWidth="1"/>
    <col min="36" max="45" width="10.7109375" style="2038" customWidth="1"/>
  </cols>
  <sheetData>
    <row r="1" spans="1:36" ht="15.75" customHeight="1">
      <c r="A1" s="66"/>
      <c r="B1" s="66"/>
      <c r="C1" s="66"/>
      <c r="D1" s="66"/>
      <c r="E1" s="691"/>
      <c r="F1" s="66"/>
      <c r="G1" s="66"/>
      <c r="H1" s="66"/>
      <c r="I1" s="66"/>
      <c r="J1" s="66"/>
      <c r="K1" s="66"/>
      <c r="L1" s="66"/>
      <c r="M1" s="66"/>
      <c r="N1" s="66"/>
      <c r="O1" s="66"/>
      <c r="P1" s="66"/>
      <c r="Q1" s="66"/>
      <c r="R1" s="66"/>
      <c r="S1" s="66"/>
      <c r="T1" s="66"/>
      <c r="U1" s="66"/>
      <c r="V1" s="66"/>
      <c r="W1" s="66"/>
      <c r="X1" s="66"/>
      <c r="Y1" s="66"/>
      <c r="Z1" s="66"/>
      <c r="AA1" s="66"/>
      <c r="AB1" s="66"/>
      <c r="AC1" s="66"/>
      <c r="AD1" s="66"/>
      <c r="AE1" s="66"/>
      <c r="AF1" s="394"/>
      <c r="AG1" s="260"/>
      <c r="AH1" s="394"/>
      <c r="AJ1" s="2037" t="s">
        <v>241</v>
      </c>
    </row>
    <row r="2" spans="1:36" ht="15.75" customHeight="1">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394"/>
      <c r="AG2" s="260"/>
      <c r="AH2" s="394"/>
    </row>
    <row r="3" spans="1:36" ht="15" customHeight="1">
      <c r="A3" s="66"/>
      <c r="B3" s="7664" t="s">
        <v>2802</v>
      </c>
      <c r="C3" s="7664"/>
      <c r="D3" s="7665"/>
      <c r="E3" s="5103"/>
      <c r="F3" s="808"/>
      <c r="G3" s="808"/>
      <c r="H3" s="808"/>
      <c r="I3" s="808"/>
      <c r="J3" s="808"/>
      <c r="K3" s="808"/>
      <c r="L3" s="808"/>
      <c r="M3" s="808"/>
      <c r="N3" s="808"/>
      <c r="O3" s="808"/>
      <c r="P3" s="808"/>
      <c r="Q3" s="808"/>
      <c r="R3" s="808"/>
      <c r="S3" s="808"/>
      <c r="T3" s="808"/>
      <c r="U3" s="808"/>
      <c r="V3" s="808"/>
      <c r="W3" s="808"/>
      <c r="X3" s="808"/>
      <c r="Y3" s="2548"/>
      <c r="Z3" s="808"/>
      <c r="AA3" s="5105" t="s">
        <v>576</v>
      </c>
      <c r="AB3" s="1053"/>
      <c r="AC3" s="1054"/>
      <c r="AD3" s="1054"/>
      <c r="AE3" s="1054"/>
      <c r="AF3" s="394"/>
      <c r="AG3" s="7645" t="s">
        <v>2803</v>
      </c>
      <c r="AH3" s="394"/>
    </row>
    <row r="4" spans="1:36" ht="21" customHeight="1">
      <c r="A4" s="394"/>
      <c r="B4" s="7666"/>
      <c r="C4" s="7666"/>
      <c r="D4" s="7665"/>
      <c r="E4" s="7036" t="s">
        <v>2804</v>
      </c>
      <c r="F4" s="7036"/>
      <c r="G4" s="7036"/>
      <c r="H4" s="7036"/>
      <c r="I4" s="7036"/>
      <c r="J4" s="7036"/>
      <c r="K4" s="7036"/>
      <c r="L4" s="7036"/>
      <c r="M4" s="7036"/>
      <c r="N4" s="7036"/>
      <c r="O4" s="7036"/>
      <c r="P4" s="7036"/>
      <c r="Q4" s="7036"/>
      <c r="R4" s="7036"/>
      <c r="S4" s="7036"/>
      <c r="T4" s="7036"/>
      <c r="U4" s="7036"/>
      <c r="V4" s="7036"/>
      <c r="W4" s="7036"/>
      <c r="X4" s="7036"/>
      <c r="Y4" s="7036"/>
      <c r="Z4" s="7036"/>
      <c r="AA4" s="7650">
        <f>TaxYear</f>
        <v>2023</v>
      </c>
      <c r="AB4" s="7651"/>
      <c r="AC4" s="7651"/>
      <c r="AD4" s="7651"/>
      <c r="AE4" s="7651"/>
      <c r="AF4" s="394"/>
      <c r="AG4" s="7645"/>
      <c r="AH4" s="394"/>
    </row>
    <row r="5" spans="1:36" ht="9.75" customHeight="1" thickBot="1">
      <c r="A5" s="394"/>
      <c r="B5" s="7673" t="s">
        <v>2661</v>
      </c>
      <c r="C5" s="7673"/>
      <c r="D5" s="7674"/>
      <c r="E5" s="5104" t="s">
        <v>2805</v>
      </c>
      <c r="F5" s="1055"/>
      <c r="G5" s="1055"/>
      <c r="H5" s="1055"/>
      <c r="I5" s="1055"/>
      <c r="J5" s="1055"/>
      <c r="K5" s="1055"/>
      <c r="L5" s="1055"/>
      <c r="M5" s="1055"/>
      <c r="N5" s="1055"/>
      <c r="O5" s="1055"/>
      <c r="P5" s="1055"/>
      <c r="Q5" s="1055"/>
      <c r="R5" s="1055"/>
      <c r="S5" s="1055"/>
      <c r="T5" s="1055"/>
      <c r="U5" s="1055"/>
      <c r="V5" s="1055"/>
      <c r="W5" s="1055"/>
      <c r="X5" s="1055"/>
      <c r="Y5" s="1055"/>
      <c r="Z5" s="1055"/>
      <c r="AA5" s="7652" t="s">
        <v>2806</v>
      </c>
      <c r="AB5" s="7653"/>
      <c r="AC5" s="7653"/>
      <c r="AD5" s="7653"/>
      <c r="AE5" s="7653"/>
      <c r="AF5" s="394"/>
      <c r="AG5" s="260"/>
      <c r="AH5" s="394"/>
    </row>
    <row r="6" spans="1:36" ht="12" customHeight="1" thickBot="1">
      <c r="A6" s="394"/>
      <c r="B6" s="7673"/>
      <c r="C6" s="7673"/>
      <c r="D6" s="7674"/>
      <c r="E6" s="7646" t="s">
        <v>2807</v>
      </c>
      <c r="F6" s="7647"/>
      <c r="G6" s="7647"/>
      <c r="H6" s="7647"/>
      <c r="I6" s="7647"/>
      <c r="J6" s="7647"/>
      <c r="K6" s="7647"/>
      <c r="L6" s="7647"/>
      <c r="M6" s="7647"/>
      <c r="N6" s="7647"/>
      <c r="O6" s="7647"/>
      <c r="P6" s="7647"/>
      <c r="Q6" s="7647"/>
      <c r="R6" s="7647"/>
      <c r="S6" s="7647"/>
      <c r="T6" s="7647"/>
      <c r="U6" s="7647"/>
      <c r="V6" s="7647"/>
      <c r="W6" s="7647"/>
      <c r="X6" s="7647"/>
      <c r="Y6" s="7647"/>
      <c r="Z6" s="7647"/>
      <c r="AA6" s="7654"/>
      <c r="AB6" s="7653"/>
      <c r="AC6" s="7653"/>
      <c r="AD6" s="7653"/>
      <c r="AE6" s="7653"/>
      <c r="AF6" s="394"/>
      <c r="AG6" s="3877" t="s">
        <v>2808</v>
      </c>
      <c r="AH6" s="1413" t="str">
        <f>IF(AH8="","X","")</f>
        <v>X</v>
      </c>
    </row>
    <row r="7" spans="1:36" ht="6.75" customHeight="1" thickBot="1">
      <c r="A7" s="394"/>
      <c r="B7" s="7675"/>
      <c r="C7" s="7675"/>
      <c r="D7" s="7676"/>
      <c r="E7" s="7648"/>
      <c r="F7" s="7649"/>
      <c r="G7" s="7649"/>
      <c r="H7" s="7649"/>
      <c r="I7" s="7649"/>
      <c r="J7" s="7649"/>
      <c r="K7" s="7649"/>
      <c r="L7" s="7649"/>
      <c r="M7" s="7649"/>
      <c r="N7" s="7649"/>
      <c r="O7" s="7649"/>
      <c r="P7" s="7649"/>
      <c r="Q7" s="7649"/>
      <c r="R7" s="7649"/>
      <c r="S7" s="7649"/>
      <c r="T7" s="7649"/>
      <c r="U7" s="7649"/>
      <c r="V7" s="7649"/>
      <c r="W7" s="7649"/>
      <c r="X7" s="7649"/>
      <c r="Y7" s="7649"/>
      <c r="Z7" s="7649"/>
      <c r="AA7" s="7655"/>
      <c r="AB7" s="7656"/>
      <c r="AC7" s="7656"/>
      <c r="AD7" s="7656"/>
      <c r="AE7" s="7656"/>
      <c r="AF7" s="394"/>
      <c r="AG7" s="260"/>
      <c r="AH7" s="394"/>
    </row>
    <row r="8" spans="1:36" ht="12" customHeight="1" thickTop="1" thickBot="1">
      <c r="A8" s="394"/>
      <c r="B8" s="133" t="s">
        <v>2809</v>
      </c>
      <c r="C8" s="133"/>
      <c r="D8" s="130"/>
      <c r="E8" s="130"/>
      <c r="F8" s="130"/>
      <c r="G8" s="111"/>
      <c r="H8" s="111"/>
      <c r="I8" s="112"/>
      <c r="J8" s="112"/>
      <c r="K8" s="112"/>
      <c r="L8" s="112"/>
      <c r="M8" s="112"/>
      <c r="N8" s="20"/>
      <c r="O8" s="20"/>
      <c r="P8" s="20"/>
      <c r="Q8" s="20"/>
      <c r="R8" s="112"/>
      <c r="S8" s="112"/>
      <c r="T8" s="112"/>
      <c r="U8" s="112"/>
      <c r="V8" s="137"/>
      <c r="W8" s="138" t="s">
        <v>2810</v>
      </c>
      <c r="X8" s="112"/>
      <c r="Y8" s="112"/>
      <c r="Z8" s="112"/>
      <c r="AA8" s="111"/>
      <c r="AB8" s="111"/>
      <c r="AC8" s="111"/>
      <c r="AD8" s="111"/>
      <c r="AE8" s="111"/>
      <c r="AF8" s="394"/>
      <c r="AG8" s="3877" t="s">
        <v>2811</v>
      </c>
      <c r="AH8" s="810"/>
    </row>
    <row r="9" spans="1:36" ht="14.25" customHeight="1" thickBot="1">
      <c r="A9" s="394"/>
      <c r="B9" s="7657"/>
      <c r="C9" s="7657"/>
      <c r="D9" s="7658"/>
      <c r="E9" s="7658"/>
      <c r="F9" s="7658"/>
      <c r="G9" s="7659"/>
      <c r="H9" s="7659"/>
      <c r="I9" s="7659"/>
      <c r="J9" s="7659"/>
      <c r="K9" s="7659"/>
      <c r="L9" s="7659"/>
      <c r="M9" s="7659"/>
      <c r="N9" s="7658"/>
      <c r="O9" s="7658"/>
      <c r="P9" s="7658"/>
      <c r="Q9" s="7658"/>
      <c r="R9" s="7658"/>
      <c r="S9" s="7658"/>
      <c r="T9" s="7658"/>
      <c r="U9" s="7658"/>
      <c r="V9" s="7660"/>
      <c r="W9" s="7661">
        <f>IF(AH6&lt;&gt;"",SS_Yours,SS_Spouse)</f>
        <v>1010001</v>
      </c>
      <c r="X9" s="7662"/>
      <c r="Y9" s="7662"/>
      <c r="Z9" s="7662"/>
      <c r="AA9" s="7662"/>
      <c r="AB9" s="7662"/>
      <c r="AC9" s="7662"/>
      <c r="AD9" s="7662"/>
      <c r="AE9" s="7663"/>
      <c r="AF9" s="394"/>
      <c r="AG9" s="260"/>
      <c r="AH9" s="394"/>
    </row>
    <row r="10" spans="1:36" ht="12.75" customHeight="1" thickTop="1">
      <c r="A10" s="394"/>
      <c r="B10" s="168" t="s">
        <v>542</v>
      </c>
      <c r="C10" s="133" t="s">
        <v>2812</v>
      </c>
      <c r="D10" s="133"/>
      <c r="E10" s="133"/>
      <c r="F10" s="133"/>
      <c r="G10" s="822"/>
      <c r="H10" s="5655"/>
      <c r="I10" s="678" t="s">
        <v>2813</v>
      </c>
      <c r="J10" s="53"/>
      <c r="K10" s="52"/>
      <c r="L10" s="52"/>
      <c r="M10" s="52"/>
      <c r="N10" s="52"/>
      <c r="O10" s="2946"/>
      <c r="P10" s="130" t="s">
        <v>2814</v>
      </c>
      <c r="T10" s="780"/>
      <c r="U10" s="780"/>
      <c r="V10" s="780"/>
      <c r="W10" s="3781" t="s">
        <v>2815</v>
      </c>
      <c r="X10" s="123"/>
      <c r="Y10" s="123"/>
      <c r="Z10" s="123"/>
      <c r="AA10" s="1041"/>
      <c r="AB10" s="1041"/>
      <c r="AC10" s="1041"/>
      <c r="AD10" s="1041"/>
      <c r="AE10" s="1041"/>
      <c r="AF10" s="394"/>
      <c r="AG10" s="260"/>
      <c r="AH10" s="394"/>
    </row>
    <row r="11" spans="1:36" ht="12.75" customHeight="1">
      <c r="A11" s="394"/>
      <c r="B11" s="7670"/>
      <c r="C11" s="7670"/>
      <c r="D11" s="7670"/>
      <c r="E11" s="7670"/>
      <c r="F11" s="7670"/>
      <c r="G11" s="7670"/>
      <c r="H11" s="7671"/>
      <c r="I11" s="7668"/>
      <c r="J11" s="7624"/>
      <c r="K11" s="7624"/>
      <c r="L11" s="7624"/>
      <c r="M11" s="7624"/>
      <c r="N11" s="7624"/>
      <c r="O11" s="7680"/>
      <c r="P11" s="1042"/>
      <c r="Q11" s="1039"/>
      <c r="R11" s="1042" t="s">
        <v>2282</v>
      </c>
      <c r="S11" s="1042"/>
      <c r="T11" s="1039"/>
      <c r="U11" s="1042" t="s">
        <v>2283</v>
      </c>
      <c r="V11" s="1042"/>
      <c r="W11" s="7624"/>
      <c r="X11" s="7682"/>
      <c r="Y11" s="7684"/>
      <c r="Z11" s="7624"/>
      <c r="AA11" s="7624"/>
      <c r="AB11" s="7624"/>
      <c r="AC11" s="7624"/>
      <c r="AD11" s="7624"/>
      <c r="AE11" s="7624"/>
      <c r="AF11" s="394"/>
      <c r="AG11" s="260"/>
      <c r="AH11" s="394"/>
    </row>
    <row r="12" spans="1:36" ht="4.5" customHeight="1" thickBot="1">
      <c r="A12" s="394"/>
      <c r="B12" s="7165"/>
      <c r="C12" s="7165"/>
      <c r="D12" s="7165"/>
      <c r="E12" s="7165"/>
      <c r="F12" s="7165"/>
      <c r="G12" s="7165"/>
      <c r="H12" s="7672"/>
      <c r="I12" s="7669"/>
      <c r="J12" s="7625"/>
      <c r="K12" s="7625"/>
      <c r="L12" s="7625"/>
      <c r="M12" s="7625"/>
      <c r="N12" s="7625"/>
      <c r="O12" s="7681"/>
      <c r="P12" s="1044"/>
      <c r="Q12" s="1043"/>
      <c r="R12" s="1043"/>
      <c r="S12" s="1043"/>
      <c r="T12" s="1043"/>
      <c r="U12" s="1043"/>
      <c r="V12" s="1043"/>
      <c r="W12" s="7667"/>
      <c r="X12" s="7683"/>
      <c r="Y12" s="7685"/>
      <c r="Z12" s="7667"/>
      <c r="AA12" s="7667"/>
      <c r="AB12" s="7667"/>
      <c r="AC12" s="7667"/>
      <c r="AD12" s="7667"/>
      <c r="AE12" s="7667"/>
      <c r="AF12" s="394"/>
      <c r="AG12" s="260"/>
      <c r="AH12" s="394"/>
    </row>
    <row r="13" spans="1:36" ht="3.75" customHeight="1" thickTop="1">
      <c r="A13" s="394"/>
      <c r="B13" s="132"/>
      <c r="C13" s="132"/>
      <c r="D13" s="133"/>
      <c r="E13" s="133"/>
      <c r="F13" s="5576"/>
      <c r="G13" s="111"/>
      <c r="H13" s="124"/>
      <c r="I13" s="5577"/>
      <c r="J13" s="5577"/>
      <c r="K13" s="5577"/>
      <c r="L13" s="5577"/>
      <c r="M13" s="5577"/>
      <c r="N13" s="133"/>
      <c r="O13" s="379"/>
      <c r="P13" s="379"/>
      <c r="Q13" s="5577"/>
      <c r="R13" s="133"/>
      <c r="S13" s="133"/>
      <c r="T13" s="133"/>
      <c r="U13" s="133"/>
      <c r="V13" s="133"/>
      <c r="W13" s="133"/>
      <c r="X13" s="399"/>
      <c r="Y13" s="5578"/>
      <c r="Z13" s="5578"/>
      <c r="AA13" s="5578"/>
      <c r="AB13" s="5578"/>
      <c r="AC13" s="5578"/>
      <c r="AD13" s="5578"/>
      <c r="AE13" s="5578"/>
      <c r="AF13" s="394"/>
      <c r="AG13" s="260"/>
      <c r="AH13" s="394"/>
    </row>
    <row r="14" spans="1:36" ht="12.75" customHeight="1">
      <c r="A14" s="394"/>
      <c r="B14" s="131" t="s">
        <v>556</v>
      </c>
      <c r="C14" s="133" t="str">
        <f>"Did you “materially participate” in operation of this business during "&amp;TaxYear&amp;"?  If “No,” see instructions for limit on passive losses"</f>
        <v>Did you “materially participate” in operation of this business during 2023?  If “No,” see instructions for limit on passive losses</v>
      </c>
      <c r="D14" s="20"/>
      <c r="E14" s="20"/>
      <c r="F14" s="111"/>
      <c r="G14" s="111"/>
      <c r="H14" s="124"/>
      <c r="I14" s="111"/>
      <c r="J14" s="111"/>
      <c r="K14" s="111"/>
      <c r="L14" s="111"/>
      <c r="M14" s="111"/>
      <c r="N14" s="133"/>
      <c r="O14" s="379"/>
      <c r="P14" s="379"/>
      <c r="Q14" s="379"/>
      <c r="R14" s="111"/>
      <c r="S14" s="111"/>
      <c r="T14" s="111"/>
      <c r="U14" s="111"/>
      <c r="V14" s="111"/>
      <c r="W14" s="133"/>
      <c r="X14" s="111"/>
      <c r="Y14" s="111"/>
      <c r="Z14" s="111"/>
      <c r="AA14" s="1856"/>
      <c r="AB14" s="190" t="s">
        <v>608</v>
      </c>
      <c r="AC14" s="132"/>
      <c r="AD14" s="1856"/>
      <c r="AE14" s="190" t="s">
        <v>609</v>
      </c>
      <c r="AF14" s="394"/>
      <c r="AG14" s="260"/>
      <c r="AH14" s="394"/>
    </row>
    <row r="15" spans="1:36" ht="12.75" customHeight="1">
      <c r="A15" s="394"/>
      <c r="B15" s="131" t="s">
        <v>2280</v>
      </c>
      <c r="C15" s="133" t="str">
        <f>"Did you make any payments in "&amp;TaxYear&amp;" that would require you to file Form(s) 1099 (see instructions)?"</f>
        <v>Did you make any payments in 2023 that would require you to file Form(s) 1099 (see instructions)?</v>
      </c>
      <c r="D15" s="133"/>
      <c r="E15" s="20"/>
      <c r="F15" s="111"/>
      <c r="G15" s="111"/>
      <c r="H15" s="124"/>
      <c r="I15" s="111"/>
      <c r="J15" s="111"/>
      <c r="K15" s="111"/>
      <c r="L15" s="111"/>
      <c r="M15" s="111"/>
      <c r="N15" s="133"/>
      <c r="O15" s="379"/>
      <c r="P15" s="379"/>
      <c r="Q15" s="379"/>
      <c r="R15" s="111"/>
      <c r="S15" s="111"/>
      <c r="T15" s="111"/>
      <c r="U15" s="111"/>
      <c r="V15" s="111"/>
      <c r="W15" s="133"/>
      <c r="X15" s="111"/>
      <c r="Y15" s="111"/>
      <c r="Z15" s="400" t="s">
        <v>1308</v>
      </c>
      <c r="AA15" s="1856"/>
      <c r="AB15" s="190" t="s">
        <v>608</v>
      </c>
      <c r="AC15" s="132"/>
      <c r="AD15" s="1856"/>
      <c r="AE15" s="190" t="s">
        <v>609</v>
      </c>
      <c r="AF15" s="394"/>
      <c r="AG15" s="260"/>
      <c r="AH15" s="394"/>
    </row>
    <row r="16" spans="1:36" ht="12.75" customHeight="1">
      <c r="A16" s="394"/>
      <c r="B16" s="131" t="s">
        <v>2285</v>
      </c>
      <c r="C16" s="133" t="s">
        <v>5606</v>
      </c>
      <c r="D16" s="133"/>
      <c r="E16" s="20"/>
      <c r="F16" s="111"/>
      <c r="G16" s="111"/>
      <c r="H16" s="124"/>
      <c r="I16" s="111"/>
      <c r="J16" s="111"/>
      <c r="K16" s="111"/>
      <c r="L16" s="111"/>
      <c r="M16" s="111"/>
      <c r="N16" s="133"/>
      <c r="O16" s="379"/>
      <c r="P16" s="379"/>
      <c r="Q16" s="379"/>
      <c r="R16" s="111"/>
      <c r="S16" s="111"/>
      <c r="T16" s="111"/>
      <c r="U16" s="111"/>
      <c r="V16" s="111"/>
      <c r="W16" s="133"/>
      <c r="X16" s="111"/>
      <c r="Y16" s="111"/>
      <c r="Z16" s="400" t="s">
        <v>2816</v>
      </c>
      <c r="AA16" s="1856"/>
      <c r="AB16" s="190" t="s">
        <v>608</v>
      </c>
      <c r="AC16" s="132"/>
      <c r="AD16" s="1856"/>
      <c r="AE16" s="190" t="s">
        <v>609</v>
      </c>
      <c r="AF16" s="394"/>
      <c r="AG16" s="899" t="s">
        <v>1113</v>
      </c>
      <c r="AH16" s="394"/>
    </row>
    <row r="17" spans="1:35" ht="3.75" customHeight="1">
      <c r="A17" s="394"/>
      <c r="B17" s="1062"/>
      <c r="C17" s="172"/>
      <c r="D17" s="172"/>
      <c r="E17" s="115"/>
      <c r="F17" s="16"/>
      <c r="G17" s="16"/>
      <c r="H17" s="1063"/>
      <c r="I17" s="16"/>
      <c r="J17" s="16"/>
      <c r="K17" s="16"/>
      <c r="L17" s="16"/>
      <c r="M17" s="16"/>
      <c r="N17" s="172"/>
      <c r="O17" s="5656"/>
      <c r="P17" s="5656"/>
      <c r="Q17" s="5656"/>
      <c r="R17" s="16"/>
      <c r="S17" s="16"/>
      <c r="T17" s="16"/>
      <c r="U17" s="16"/>
      <c r="V17" s="16"/>
      <c r="W17" s="172"/>
      <c r="X17" s="16"/>
      <c r="Y17" s="16"/>
      <c r="Z17" s="16"/>
      <c r="AA17" s="5657"/>
      <c r="AB17" s="416"/>
      <c r="AC17" s="1064"/>
      <c r="AD17" s="5657"/>
      <c r="AE17" s="416"/>
      <c r="AF17" s="394"/>
      <c r="AG17" s="899"/>
      <c r="AH17" s="394"/>
    </row>
    <row r="18" spans="1:35" ht="15" customHeight="1">
      <c r="A18" s="394"/>
      <c r="B18" s="7632" t="s">
        <v>884</v>
      </c>
      <c r="C18" s="7633"/>
      <c r="D18" s="1045" t="s">
        <v>2817</v>
      </c>
      <c r="E18" s="1045"/>
      <c r="F18" s="139"/>
      <c r="G18" s="140"/>
      <c r="H18" s="674"/>
      <c r="I18" s="1046" t="s">
        <v>2818</v>
      </c>
      <c r="J18" s="674"/>
      <c r="K18" s="140"/>
      <c r="L18" s="140"/>
      <c r="M18" s="140"/>
      <c r="N18" s="141"/>
      <c r="O18" s="141"/>
      <c r="P18" s="141"/>
      <c r="Q18" s="141"/>
      <c r="R18" s="141"/>
      <c r="S18" s="141"/>
      <c r="T18" s="141"/>
      <c r="U18" s="141"/>
      <c r="V18" s="141"/>
      <c r="W18" s="141"/>
      <c r="X18" s="140"/>
      <c r="Y18" s="140"/>
      <c r="Z18" s="142"/>
      <c r="AA18" s="223"/>
      <c r="AB18" s="140"/>
      <c r="AC18" s="140"/>
      <c r="AD18" s="223"/>
      <c r="AE18" s="140"/>
      <c r="AF18" s="394"/>
      <c r="AG18" s="899" t="s">
        <v>1062</v>
      </c>
      <c r="AH18" s="394"/>
    </row>
    <row r="19" spans="1:35" ht="14.25" customHeight="1">
      <c r="A19" s="3031"/>
      <c r="B19" s="124" t="s">
        <v>363</v>
      </c>
      <c r="C19" s="267" t="s">
        <v>2819</v>
      </c>
      <c r="D19" s="190"/>
      <c r="E19" s="190"/>
      <c r="F19" s="5366"/>
      <c r="G19" s="5366"/>
      <c r="H19" s="5366"/>
      <c r="I19" s="5366"/>
      <c r="J19" s="5366"/>
      <c r="K19" s="5366"/>
      <c r="L19" s="5366"/>
      <c r="M19" s="5366"/>
      <c r="N19" s="5579"/>
      <c r="O19" s="5579"/>
      <c r="P19" s="5579"/>
      <c r="Q19" s="5579"/>
      <c r="R19" s="400"/>
      <c r="S19" s="400"/>
      <c r="T19" s="400"/>
      <c r="U19" s="400" t="s">
        <v>2820</v>
      </c>
      <c r="V19" s="954" t="s">
        <v>363</v>
      </c>
      <c r="W19" s="7612"/>
      <c r="X19" s="7613"/>
      <c r="Y19" s="7613"/>
      <c r="Z19" s="7614"/>
      <c r="AA19" s="5584"/>
      <c r="AB19" s="5582"/>
      <c r="AC19" s="5582"/>
      <c r="AD19" s="5582"/>
      <c r="AE19" s="5582"/>
      <c r="AF19" s="394"/>
      <c r="AG19" s="260"/>
      <c r="AH19" s="394"/>
    </row>
    <row r="20" spans="1:35" ht="14.25" customHeight="1">
      <c r="A20" s="3031"/>
      <c r="B20" s="124" t="s">
        <v>644</v>
      </c>
      <c r="C20" s="267" t="s">
        <v>2821</v>
      </c>
      <c r="D20" s="190"/>
      <c r="E20" s="190"/>
      <c r="F20" s="5366"/>
      <c r="G20" s="5366"/>
      <c r="H20" s="5366"/>
      <c r="I20" s="5366"/>
      <c r="J20" s="5366"/>
      <c r="K20" s="5366"/>
      <c r="L20" s="5366"/>
      <c r="M20" s="5366"/>
      <c r="N20" s="5579"/>
      <c r="O20" s="5579"/>
      <c r="P20" s="5579"/>
      <c r="Q20" s="5579"/>
      <c r="R20" s="400"/>
      <c r="S20" s="400"/>
      <c r="T20" s="400"/>
      <c r="U20" s="400" t="s">
        <v>2820</v>
      </c>
      <c r="V20" s="954" t="s">
        <v>365</v>
      </c>
      <c r="W20" s="7612"/>
      <c r="X20" s="7613"/>
      <c r="Y20" s="7613"/>
      <c r="Z20" s="7614"/>
      <c r="AA20" s="5584"/>
      <c r="AB20" s="5658"/>
      <c r="AC20" s="7677"/>
      <c r="AD20" s="6466"/>
      <c r="AE20" s="6466"/>
      <c r="AF20" s="394"/>
      <c r="AG20" s="260"/>
      <c r="AH20" s="394"/>
    </row>
    <row r="21" spans="1:35" ht="14.25" customHeight="1">
      <c r="A21" s="3031"/>
      <c r="B21" s="124" t="s">
        <v>648</v>
      </c>
      <c r="C21" s="267" t="s">
        <v>2822</v>
      </c>
      <c r="D21" s="190"/>
      <c r="E21" s="190"/>
      <c r="F21" s="5366"/>
      <c r="G21" s="5366"/>
      <c r="H21" s="5366"/>
      <c r="I21" s="5366"/>
      <c r="J21" s="5366"/>
      <c r="K21" s="5366"/>
      <c r="L21" s="5366"/>
      <c r="M21" s="5366"/>
      <c r="N21" s="5579"/>
      <c r="O21" s="5579"/>
      <c r="P21" s="5579"/>
      <c r="Q21" s="5579"/>
      <c r="R21" s="5579"/>
      <c r="S21" s="5579"/>
      <c r="T21" s="5579"/>
      <c r="U21" s="5579"/>
      <c r="V21" s="5579"/>
      <c r="W21" s="379"/>
      <c r="X21" s="5366"/>
      <c r="Y21" s="379"/>
      <c r="Z21" s="400" t="s">
        <v>2823</v>
      </c>
      <c r="AA21" s="228" t="s">
        <v>651</v>
      </c>
      <c r="AB21" s="7615">
        <f>IF(AG21&lt;&gt;"",ROUND(AG21,0),SUM(W19,-W20))</f>
        <v>0</v>
      </c>
      <c r="AC21" s="7616"/>
      <c r="AD21" s="6833"/>
      <c r="AE21" s="6833"/>
      <c r="AF21" s="394"/>
      <c r="AG21" s="384"/>
      <c r="AH21" s="394"/>
    </row>
    <row r="22" spans="1:35" ht="14.25" customHeight="1">
      <c r="A22" s="3031"/>
      <c r="B22" s="124" t="str">
        <f>"2  "</f>
        <v xml:space="preserve">2  </v>
      </c>
      <c r="C22" s="267" t="s">
        <v>2824</v>
      </c>
      <c r="D22" s="190"/>
      <c r="E22" s="190"/>
      <c r="F22" s="5366"/>
      <c r="G22" s="5366"/>
      <c r="H22" s="5366"/>
      <c r="I22" s="5366"/>
      <c r="J22" s="5366"/>
      <c r="K22" s="5366"/>
      <c r="L22" s="5366"/>
      <c r="M22" s="5366"/>
      <c r="N22" s="5579"/>
      <c r="O22" s="5579"/>
      <c r="P22" s="5579"/>
      <c r="Q22" s="5579"/>
      <c r="R22" s="5579"/>
      <c r="S22" s="5579"/>
      <c r="T22" s="5579"/>
      <c r="U22" s="5579"/>
      <c r="V22" s="5579"/>
      <c r="W22" s="5579"/>
      <c r="X22" s="5366"/>
      <c r="Y22" s="5366"/>
      <c r="Z22" s="400" t="s">
        <v>2825</v>
      </c>
      <c r="AA22" s="228">
        <v>2</v>
      </c>
      <c r="AB22" s="7154"/>
      <c r="AC22" s="7240"/>
      <c r="AD22" s="7246"/>
      <c r="AE22" s="7246"/>
      <c r="AF22" s="394"/>
      <c r="AG22" s="260"/>
      <c r="AH22" s="394"/>
    </row>
    <row r="23" spans="1:35" ht="14.25" customHeight="1">
      <c r="A23" s="3031"/>
      <c r="B23" s="124" t="s">
        <v>2826</v>
      </c>
      <c r="C23" s="936" t="s">
        <v>2827</v>
      </c>
      <c r="D23" s="680"/>
      <c r="E23" s="680"/>
      <c r="F23" s="680"/>
      <c r="G23" s="5363"/>
      <c r="H23" s="5363"/>
      <c r="I23" s="5363"/>
      <c r="J23" s="5363"/>
      <c r="K23" s="5363"/>
      <c r="L23" s="5363"/>
      <c r="M23" s="5363"/>
      <c r="N23" s="680"/>
      <c r="O23" s="400" t="s">
        <v>1298</v>
      </c>
      <c r="P23" s="3767" t="s">
        <v>2826</v>
      </c>
      <c r="Q23" s="7686"/>
      <c r="R23" s="7687"/>
      <c r="S23" s="7687"/>
      <c r="T23" s="7687"/>
      <c r="U23" s="7688"/>
      <c r="V23" s="3768" t="s">
        <v>2828</v>
      </c>
      <c r="W23" s="7689" t="s">
        <v>433</v>
      </c>
      <c r="X23" s="7690"/>
      <c r="Y23" s="7690"/>
      <c r="Z23" s="7691"/>
      <c r="AA23" s="227" t="s">
        <v>2828</v>
      </c>
      <c r="AB23" s="7154"/>
      <c r="AC23" s="7240"/>
      <c r="AD23" s="7246"/>
      <c r="AE23" s="7246"/>
      <c r="AF23" s="394"/>
      <c r="AG23" s="260"/>
      <c r="AH23" s="394"/>
    </row>
    <row r="24" spans="1:35" ht="14.25" customHeight="1">
      <c r="A24" s="3031"/>
      <c r="B24" s="124" t="s">
        <v>643</v>
      </c>
      <c r="C24" s="936" t="s">
        <v>2829</v>
      </c>
      <c r="D24" s="680"/>
      <c r="E24" s="680"/>
      <c r="F24" s="680"/>
      <c r="G24" s="5363"/>
      <c r="H24" s="5363"/>
      <c r="I24" s="5363"/>
      <c r="J24" s="5363"/>
      <c r="K24" s="5363"/>
      <c r="L24" s="5363"/>
      <c r="M24" s="5363"/>
      <c r="N24" s="680"/>
      <c r="O24" s="400" t="s">
        <v>1298</v>
      </c>
      <c r="P24" s="3767" t="s">
        <v>643</v>
      </c>
      <c r="Q24" s="7615">
        <f>IF(AG24&lt;&gt;"",ROUND(AG24,0),IF(AND(AgPMT_Other="",F1099G_MktGain=""),"",SUM(AgPMT_Other,F1099G_MktGain)))</f>
        <v>0</v>
      </c>
      <c r="R24" s="7616"/>
      <c r="S24" s="7616"/>
      <c r="T24" s="7616"/>
      <c r="U24" s="7617"/>
      <c r="V24" s="3768" t="s">
        <v>2830</v>
      </c>
      <c r="W24" s="7689" t="s">
        <v>433</v>
      </c>
      <c r="X24" s="7690"/>
      <c r="Y24" s="7690"/>
      <c r="Z24" s="7691"/>
      <c r="AA24" s="227" t="s">
        <v>2830</v>
      </c>
      <c r="AB24" s="7154"/>
      <c r="AC24" s="7240"/>
      <c r="AD24" s="7246"/>
      <c r="AE24" s="7246"/>
      <c r="AF24" s="394"/>
      <c r="AG24" s="384"/>
      <c r="AH24" s="2606" t="str">
        <f>IF(AH26="","X","")</f>
        <v>X</v>
      </c>
    </row>
    <row r="25" spans="1:35" ht="14.25" customHeight="1">
      <c r="A25" s="3031"/>
      <c r="B25" s="124" t="s">
        <v>682</v>
      </c>
      <c r="C25" s="267" t="s">
        <v>2831</v>
      </c>
      <c r="D25" s="190"/>
      <c r="E25" s="190"/>
      <c r="F25" s="5366"/>
      <c r="G25" s="5366"/>
      <c r="H25" s="5366"/>
      <c r="I25" s="5366"/>
      <c r="J25" s="5366"/>
      <c r="K25" s="5366"/>
      <c r="L25" s="5366"/>
      <c r="M25" s="5366"/>
      <c r="N25" s="5579"/>
      <c r="O25" s="5579"/>
      <c r="P25" s="5579"/>
      <c r="Q25" s="5579"/>
      <c r="R25" s="5579"/>
      <c r="S25" s="5579"/>
      <c r="T25" s="5579"/>
      <c r="U25" s="5579"/>
      <c r="V25" s="5579"/>
      <c r="W25" s="5579"/>
      <c r="X25" s="5366"/>
      <c r="Y25" s="5366"/>
      <c r="Z25" s="400" t="s">
        <v>2832</v>
      </c>
      <c r="AA25" s="228" t="s">
        <v>682</v>
      </c>
      <c r="AB25" s="7154"/>
      <c r="AC25" s="7240"/>
      <c r="AD25" s="7246"/>
      <c r="AE25" s="7246"/>
      <c r="AF25" s="394"/>
      <c r="AG25" s="3878"/>
      <c r="AH25" s="394"/>
      <c r="AI25" s="3"/>
    </row>
    <row r="26" spans="1:35" ht="14.25" customHeight="1">
      <c r="A26" s="3031"/>
      <c r="B26" s="124" t="s">
        <v>644</v>
      </c>
      <c r="C26" s="936" t="s">
        <v>2833</v>
      </c>
      <c r="D26" s="680"/>
      <c r="E26" s="680"/>
      <c r="F26" s="680"/>
      <c r="G26" s="5363"/>
      <c r="H26" s="5363"/>
      <c r="I26" s="5363"/>
      <c r="J26" s="5363"/>
      <c r="K26" s="5363"/>
      <c r="L26" s="5363"/>
      <c r="M26" s="5363"/>
      <c r="N26" s="680"/>
      <c r="O26" s="400" t="s">
        <v>2825</v>
      </c>
      <c r="P26" s="3767" t="s">
        <v>1119</v>
      </c>
      <c r="Q26" s="7154"/>
      <c r="R26" s="7240"/>
      <c r="S26" s="7240"/>
      <c r="T26" s="7240"/>
      <c r="U26" s="7265"/>
      <c r="V26" s="3768" t="s">
        <v>2117</v>
      </c>
      <c r="W26" s="1047" t="s">
        <v>433</v>
      </c>
      <c r="X26" s="1047"/>
      <c r="Y26" s="1048"/>
      <c r="Z26" s="1048"/>
      <c r="AA26" s="227" t="s">
        <v>2117</v>
      </c>
      <c r="AB26" s="7154"/>
      <c r="AC26" s="7240"/>
      <c r="AD26" s="7246"/>
      <c r="AE26" s="7246"/>
      <c r="AF26" s="394"/>
      <c r="AG26" s="3878"/>
      <c r="AH26" s="2605"/>
    </row>
    <row r="27" spans="1:35" ht="14.25" customHeight="1">
      <c r="A27" s="3031"/>
      <c r="B27" s="124" t="str">
        <f>"6  "</f>
        <v xml:space="preserve">6  </v>
      </c>
      <c r="C27" s="267" t="s">
        <v>2834</v>
      </c>
      <c r="D27" s="190"/>
      <c r="E27" s="190"/>
      <c r="F27" s="5366"/>
      <c r="G27" s="5366"/>
      <c r="H27" s="5366"/>
      <c r="I27" s="5366"/>
      <c r="J27" s="5366"/>
      <c r="K27" s="5366"/>
      <c r="L27" s="5366"/>
      <c r="M27" s="5366"/>
      <c r="N27" s="5579"/>
      <c r="O27" s="5579"/>
      <c r="P27" s="5579"/>
      <c r="Q27" s="5579"/>
      <c r="R27" s="5579"/>
      <c r="S27" s="5579"/>
      <c r="T27" s="5579"/>
      <c r="U27" s="5579"/>
      <c r="V27" s="5579"/>
      <c r="W27" s="5579"/>
      <c r="X27" s="5366"/>
      <c r="Y27" s="5366"/>
      <c r="Z27" s="5363"/>
      <c r="AA27" s="5584"/>
      <c r="AB27" s="7644"/>
      <c r="AC27" s="7704"/>
      <c r="AD27" s="7704"/>
      <c r="AE27" s="7704"/>
      <c r="AF27" s="394"/>
      <c r="AG27" s="3878"/>
      <c r="AH27" s="394"/>
      <c r="AI27" s="3"/>
    </row>
    <row r="28" spans="1:35" ht="14.25" customHeight="1">
      <c r="A28" s="3031"/>
      <c r="B28" s="124" t="s">
        <v>640</v>
      </c>
      <c r="C28" s="936" t="str">
        <f>"Amount received in "&amp;TaxYear</f>
        <v>Amount received in 2023</v>
      </c>
      <c r="D28" s="680"/>
      <c r="E28" s="680"/>
      <c r="F28" s="680"/>
      <c r="G28" s="5363"/>
      <c r="H28" s="5363"/>
      <c r="I28" s="5363"/>
      <c r="J28" s="5363"/>
      <c r="K28" s="5363"/>
      <c r="L28" s="5363"/>
      <c r="M28" s="5363"/>
      <c r="N28" s="680"/>
      <c r="O28" s="400" t="s">
        <v>1347</v>
      </c>
      <c r="P28" s="3767" t="s">
        <v>1129</v>
      </c>
      <c r="Q28" s="7615">
        <f>IF(AG28&lt;&gt;"",ROUND(AG28,0),AgPMT_Disaster)</f>
        <v>0</v>
      </c>
      <c r="R28" s="7616"/>
      <c r="S28" s="7616"/>
      <c r="T28" s="7616"/>
      <c r="U28" s="7617"/>
      <c r="V28" s="3768" t="s">
        <v>1130</v>
      </c>
      <c r="W28" s="1047" t="s">
        <v>433</v>
      </c>
      <c r="X28" s="1047"/>
      <c r="Y28" s="1048"/>
      <c r="Z28" s="1048"/>
      <c r="AA28" s="227" t="s">
        <v>1130</v>
      </c>
      <c r="AB28" s="7154"/>
      <c r="AC28" s="7240"/>
      <c r="AD28" s="7246"/>
      <c r="AE28" s="7246"/>
      <c r="AF28" s="394"/>
      <c r="AG28" s="384"/>
      <c r="AH28" s="394"/>
    </row>
    <row r="29" spans="1:35" ht="4.5" customHeight="1">
      <c r="A29" s="3031"/>
      <c r="B29" s="124"/>
      <c r="C29" s="936"/>
      <c r="D29" s="680"/>
      <c r="E29" s="680"/>
      <c r="F29" s="680"/>
      <c r="G29" s="5363"/>
      <c r="H29" s="5363"/>
      <c r="I29" s="5363"/>
      <c r="J29" s="5363"/>
      <c r="K29" s="5363"/>
      <c r="L29" s="5363"/>
      <c r="M29" s="5363"/>
      <c r="N29" s="680"/>
      <c r="O29" s="400"/>
      <c r="P29" s="5106"/>
      <c r="Q29" s="5106"/>
      <c r="R29" s="5106"/>
      <c r="S29" s="5106"/>
      <c r="T29" s="5106"/>
      <c r="U29" s="5106"/>
      <c r="V29" s="5106"/>
      <c r="W29" s="1047"/>
      <c r="X29" s="1047"/>
      <c r="Y29" s="1048"/>
      <c r="Z29" s="1048"/>
      <c r="AA29" s="230"/>
      <c r="AB29" s="7702"/>
      <c r="AC29" s="7703"/>
      <c r="AD29" s="7703"/>
      <c r="AE29" s="7703"/>
      <c r="AF29" s="394"/>
      <c r="AG29" s="5108"/>
      <c r="AH29" s="394"/>
    </row>
    <row r="30" spans="1:35" ht="14.25" customHeight="1">
      <c r="A30" s="3031"/>
      <c r="B30" s="748" t="s">
        <v>648</v>
      </c>
      <c r="C30" s="5107" t="str">
        <f>"If election to defer to "&amp;TaxYear+1&amp;" is attached, check here"</f>
        <v>If election to defer to 2024 is attached, check here</v>
      </c>
      <c r="D30" s="680"/>
      <c r="E30" s="680"/>
      <c r="F30" s="680"/>
      <c r="G30" s="5363"/>
      <c r="H30" s="5363"/>
      <c r="I30" s="5363"/>
      <c r="J30" s="680"/>
      <c r="K30" s="680"/>
      <c r="L30" s="5363"/>
      <c r="M30" s="680"/>
      <c r="N30" s="680"/>
      <c r="O30" s="5363"/>
      <c r="P30" s="400" t="s">
        <v>1298</v>
      </c>
      <c r="Q30" s="1050"/>
      <c r="R30" s="5106" t="s">
        <v>5607</v>
      </c>
      <c r="S30" s="5908"/>
      <c r="T30" s="962"/>
      <c r="U30" s="3744"/>
      <c r="V30" s="3744"/>
      <c r="W30" s="3744"/>
      <c r="X30" s="3744"/>
      <c r="Y30" s="936"/>
      <c r="Z30" s="5960" t="str">
        <f>"Amount deferred from "&amp;TaxYear-1</f>
        <v>Amount deferred from 2022</v>
      </c>
      <c r="AA30" s="227" t="s">
        <v>1305</v>
      </c>
      <c r="AB30" s="7154"/>
      <c r="AC30" s="7240"/>
      <c r="AD30" s="7240"/>
      <c r="AE30" s="7240"/>
      <c r="AF30" s="394"/>
      <c r="AG30" s="260"/>
      <c r="AH30" s="394"/>
    </row>
    <row r="31" spans="1:35" ht="14.25" customHeight="1">
      <c r="A31" s="3031"/>
      <c r="B31" s="124" t="str">
        <f>"7  "</f>
        <v xml:space="preserve">7  </v>
      </c>
      <c r="C31" s="936" t="s">
        <v>2836</v>
      </c>
      <c r="D31" s="680"/>
      <c r="E31" s="735"/>
      <c r="F31" s="680"/>
      <c r="G31" s="5363"/>
      <c r="H31" s="5363"/>
      <c r="I31" s="5363"/>
      <c r="J31" s="5363"/>
      <c r="K31" s="5363"/>
      <c r="L31" s="5363"/>
      <c r="M31" s="5363"/>
      <c r="N31" s="680"/>
      <c r="O31" s="680"/>
      <c r="P31" s="680"/>
      <c r="Q31" s="680"/>
      <c r="R31" s="680"/>
      <c r="S31" s="680"/>
      <c r="T31" s="680"/>
      <c r="U31" s="680"/>
      <c r="V31" s="680"/>
      <c r="W31" s="680"/>
      <c r="X31" s="5363"/>
      <c r="Y31" s="5363"/>
      <c r="Z31" s="400" t="s">
        <v>2837</v>
      </c>
      <c r="AA31" s="227">
        <v>7</v>
      </c>
      <c r="AB31" s="7154"/>
      <c r="AC31" s="7240"/>
      <c r="AD31" s="7246"/>
      <c r="AE31" s="7246"/>
      <c r="AF31" s="394"/>
      <c r="AG31" s="260"/>
      <c r="AH31" s="394"/>
    </row>
    <row r="32" spans="1:35" ht="14.25" customHeight="1">
      <c r="A32" s="3031"/>
      <c r="B32" s="124" t="str">
        <f>"8  "</f>
        <v xml:space="preserve">8  </v>
      </c>
      <c r="C32" s="936" t="s">
        <v>2838</v>
      </c>
      <c r="D32" s="680"/>
      <c r="E32" s="680"/>
      <c r="F32" s="680"/>
      <c r="G32" s="5363"/>
      <c r="H32" s="5363"/>
      <c r="I32" s="5363"/>
      <c r="J32" s="5363"/>
      <c r="K32" s="5363"/>
      <c r="L32" s="5363"/>
      <c r="M32" s="5363"/>
      <c r="N32" s="680"/>
      <c r="O32" s="680"/>
      <c r="P32" s="680"/>
      <c r="Q32" s="680"/>
      <c r="R32" s="680"/>
      <c r="S32" s="680"/>
      <c r="T32" s="680"/>
      <c r="U32" s="680"/>
      <c r="V32" s="680"/>
      <c r="W32" s="680"/>
      <c r="X32" s="5363"/>
      <c r="Y32" s="5363"/>
      <c r="Z32" s="400" t="s">
        <v>1322</v>
      </c>
      <c r="AA32" s="227">
        <v>8</v>
      </c>
      <c r="AB32" s="7154"/>
      <c r="AC32" s="7240"/>
      <c r="AD32" s="7246"/>
      <c r="AE32" s="7246"/>
      <c r="AF32" s="394"/>
      <c r="AG32" s="260"/>
      <c r="AH32" s="394"/>
    </row>
    <row r="33" spans="1:34" ht="14.25" customHeight="1">
      <c r="A33" s="3031"/>
      <c r="B33" s="124" t="str">
        <f>"9  "</f>
        <v xml:space="preserve">9  </v>
      </c>
      <c r="C33" s="936" t="s">
        <v>2839</v>
      </c>
      <c r="D33" s="680"/>
      <c r="E33" s="680"/>
      <c r="F33" s="680"/>
      <c r="G33" s="5363"/>
      <c r="H33" s="5363"/>
      <c r="I33" s="5363"/>
      <c r="J33" s="5363"/>
      <c r="K33" s="5363"/>
      <c r="L33" s="5363"/>
      <c r="M33" s="5363"/>
      <c r="N33" s="680"/>
      <c r="O33" s="680"/>
      <c r="P33" s="680"/>
      <c r="Q33" s="680"/>
      <c r="R33" s="680"/>
      <c r="S33" s="680"/>
      <c r="T33" s="680"/>
      <c r="U33" s="680"/>
      <c r="V33" s="680"/>
      <c r="W33" s="680"/>
      <c r="X33" s="5363"/>
      <c r="Y33" s="5363"/>
      <c r="Z33" s="680"/>
      <c r="AA33" s="7678">
        <v>9</v>
      </c>
      <c r="AB33" s="7644"/>
      <c r="AC33" s="7704"/>
      <c r="AD33" s="7704"/>
      <c r="AE33" s="7704"/>
      <c r="AF33" s="394"/>
      <c r="AG33" s="260"/>
      <c r="AH33" s="394"/>
    </row>
    <row r="34" spans="1:34" ht="14.25" customHeight="1" thickBot="1">
      <c r="A34" s="3031"/>
      <c r="B34" s="124"/>
      <c r="C34" s="699" t="s">
        <v>2840</v>
      </c>
      <c r="D34" s="133"/>
      <c r="E34" s="130"/>
      <c r="F34" s="133"/>
      <c r="G34" s="5366"/>
      <c r="H34" s="5366"/>
      <c r="I34" s="3662"/>
      <c r="J34" s="3662"/>
      <c r="K34" s="3662"/>
      <c r="L34" s="3662"/>
      <c r="M34" s="3662"/>
      <c r="N34" s="680"/>
      <c r="O34" s="680"/>
      <c r="P34" s="680"/>
      <c r="Q34" s="680"/>
      <c r="R34" s="116"/>
      <c r="S34" s="116"/>
      <c r="T34" s="116"/>
      <c r="U34" s="116"/>
      <c r="V34" s="116"/>
      <c r="W34" s="680"/>
      <c r="X34" s="3662"/>
      <c r="Y34" s="3662"/>
      <c r="Z34" s="400" t="s">
        <v>1340</v>
      </c>
      <c r="AA34" s="7679"/>
      <c r="AB34" s="7705">
        <f>IF(AG34&lt;&gt;"",ROUND(AG34,0),IF(ScheduleF_PartIII,AB95,ROUND(SUM(AB21,AB22,AB23,AB24,AB25,AB26,AB28,AB29,AB31,AB32),0)))</f>
        <v>0</v>
      </c>
      <c r="AC34" s="7706"/>
      <c r="AD34" s="7707"/>
      <c r="AE34" s="7707"/>
      <c r="AF34" s="394"/>
      <c r="AG34" s="384"/>
      <c r="AH34" s="394"/>
    </row>
    <row r="35" spans="1:34" ht="14.25" customHeight="1">
      <c r="A35" s="394"/>
      <c r="B35" s="7630" t="s">
        <v>982</v>
      </c>
      <c r="C35" s="7631"/>
      <c r="D35" s="4998" t="s">
        <v>2841</v>
      </c>
      <c r="E35" s="148"/>
      <c r="F35" s="148"/>
      <c r="G35" s="148"/>
      <c r="H35" s="148"/>
      <c r="I35" s="4999"/>
      <c r="J35" s="4999"/>
      <c r="K35" s="4999"/>
      <c r="L35" s="5000"/>
      <c r="M35" s="5000"/>
      <c r="N35" s="5000" t="s">
        <v>2842</v>
      </c>
      <c r="O35" s="5000"/>
      <c r="P35" s="148"/>
      <c r="Q35" s="148"/>
      <c r="R35" s="148"/>
      <c r="S35" s="148"/>
      <c r="T35" s="148"/>
      <c r="U35" s="148"/>
      <c r="V35" s="148"/>
      <c r="W35" s="148"/>
      <c r="X35" s="148"/>
      <c r="Y35" s="148"/>
      <c r="Z35" s="148"/>
      <c r="AA35" s="148"/>
      <c r="AB35" s="148"/>
      <c r="AC35" s="148"/>
      <c r="AD35" s="5001"/>
      <c r="AE35" s="5001"/>
      <c r="AF35" s="394"/>
      <c r="AG35" s="260"/>
      <c r="AH35" s="394"/>
    </row>
    <row r="36" spans="1:34" ht="14.25" customHeight="1">
      <c r="A36" s="394"/>
      <c r="B36" s="168">
        <v>10</v>
      </c>
      <c r="C36" s="699" t="s">
        <v>2843</v>
      </c>
      <c r="D36" s="699"/>
      <c r="E36" s="699"/>
      <c r="F36" s="5366"/>
      <c r="G36" s="5366"/>
      <c r="H36" s="3662"/>
      <c r="I36" s="5659"/>
      <c r="J36" s="7634"/>
      <c r="K36" s="7635"/>
      <c r="L36" s="7635"/>
      <c r="M36" s="7635"/>
      <c r="N36" s="7622">
        <v>23</v>
      </c>
      <c r="O36" s="7623"/>
      <c r="P36" s="267" t="s">
        <v>2307</v>
      </c>
      <c r="Q36" s="222"/>
      <c r="R36" s="267"/>
      <c r="S36" s="267"/>
      <c r="T36" s="267"/>
      <c r="U36" s="267"/>
      <c r="V36" s="267"/>
      <c r="W36" s="222"/>
      <c r="X36" s="222"/>
      <c r="Y36" s="222"/>
      <c r="Z36" s="222"/>
      <c r="AA36" s="738">
        <v>23</v>
      </c>
      <c r="AB36" s="7154"/>
      <c r="AC36" s="7240"/>
      <c r="AD36" s="7246"/>
      <c r="AE36" s="7246"/>
      <c r="AF36" s="394"/>
      <c r="AG36" s="260"/>
      <c r="AH36" s="394"/>
    </row>
    <row r="37" spans="1:34" ht="14.25" customHeight="1">
      <c r="A37" s="394"/>
      <c r="B37" s="168"/>
      <c r="C37" s="699" t="s">
        <v>2844</v>
      </c>
      <c r="D37" s="699"/>
      <c r="E37" s="699"/>
      <c r="F37" s="5366"/>
      <c r="G37" s="5366"/>
      <c r="H37" s="3662"/>
      <c r="I37" s="228">
        <f>B36</f>
        <v>10</v>
      </c>
      <c r="J37" s="7154"/>
      <c r="K37" s="7240"/>
      <c r="L37" s="7246"/>
      <c r="M37" s="7246"/>
      <c r="N37" s="7620">
        <v>24</v>
      </c>
      <c r="O37" s="7621"/>
      <c r="P37" s="267" t="s">
        <v>2309</v>
      </c>
      <c r="Q37" s="190"/>
      <c r="R37" s="737"/>
      <c r="S37" s="737"/>
      <c r="T37" s="737"/>
      <c r="U37" s="737"/>
      <c r="V37" s="737"/>
      <c r="W37" s="1199"/>
      <c r="X37" s="699"/>
      <c r="Y37" s="699"/>
      <c r="Z37" s="936"/>
      <c r="AA37" s="5584"/>
      <c r="AB37" s="7644"/>
      <c r="AC37" s="7635"/>
      <c r="AD37" s="7635"/>
      <c r="AE37" s="7635"/>
      <c r="AF37" s="394"/>
      <c r="AG37" s="260"/>
      <c r="AH37" s="394"/>
    </row>
    <row r="38" spans="1:34" ht="14.25" customHeight="1">
      <c r="A38" s="394"/>
      <c r="B38" s="168">
        <v>11</v>
      </c>
      <c r="C38" s="699" t="s">
        <v>2845</v>
      </c>
      <c r="D38" s="699"/>
      <c r="E38" s="699"/>
      <c r="F38" s="5366"/>
      <c r="G38" s="5366"/>
      <c r="H38" s="379" t="s">
        <v>709</v>
      </c>
      <c r="I38" s="228">
        <v>11</v>
      </c>
      <c r="J38" s="7154"/>
      <c r="K38" s="7240"/>
      <c r="L38" s="7246"/>
      <c r="M38" s="7246"/>
      <c r="N38" s="7620" t="s">
        <v>640</v>
      </c>
      <c r="O38" s="7621"/>
      <c r="P38" s="267" t="s">
        <v>2846</v>
      </c>
      <c r="Q38" s="737"/>
      <c r="R38" s="737"/>
      <c r="S38" s="737"/>
      <c r="T38" s="737"/>
      <c r="U38" s="737"/>
      <c r="V38" s="737"/>
      <c r="W38" s="1199"/>
      <c r="X38" s="1865"/>
      <c r="Y38" s="1865"/>
      <c r="Z38" s="379" t="s">
        <v>680</v>
      </c>
      <c r="AA38" s="3766" t="s">
        <v>1013</v>
      </c>
      <c r="AB38" s="7154"/>
      <c r="AC38" s="7240"/>
      <c r="AD38" s="7246"/>
      <c r="AE38" s="7246"/>
      <c r="AF38" s="394"/>
      <c r="AG38" s="260"/>
      <c r="AH38" s="394"/>
    </row>
    <row r="39" spans="1:34" ht="14.25" customHeight="1">
      <c r="A39" s="394"/>
      <c r="B39" s="168">
        <v>12</v>
      </c>
      <c r="C39" s="699" t="s">
        <v>2847</v>
      </c>
      <c r="D39" s="699"/>
      <c r="E39" s="699"/>
      <c r="F39" s="5366"/>
      <c r="G39" s="5366"/>
      <c r="H39" s="3662"/>
      <c r="I39" s="232">
        <f>B39</f>
        <v>12</v>
      </c>
      <c r="J39" s="7154"/>
      <c r="K39" s="7240"/>
      <c r="L39" s="7246"/>
      <c r="M39" s="7246"/>
      <c r="N39" s="7620" t="s">
        <v>644</v>
      </c>
      <c r="O39" s="7621"/>
      <c r="P39" s="267" t="s">
        <v>2848</v>
      </c>
      <c r="Q39" s="190"/>
      <c r="R39" s="737"/>
      <c r="S39" s="737"/>
      <c r="T39" s="737"/>
      <c r="U39" s="737"/>
      <c r="V39" s="737"/>
      <c r="W39" s="1199"/>
      <c r="X39" s="699"/>
      <c r="Y39" s="699"/>
      <c r="Z39" s="379" t="s">
        <v>789</v>
      </c>
      <c r="AA39" s="3766" t="s">
        <v>1017</v>
      </c>
      <c r="AB39" s="7154"/>
      <c r="AC39" s="7240"/>
      <c r="AD39" s="7246"/>
      <c r="AE39" s="7246"/>
      <c r="AF39" s="394"/>
      <c r="AG39" s="260"/>
      <c r="AH39" s="394"/>
    </row>
    <row r="40" spans="1:34" ht="14.25" customHeight="1">
      <c r="A40" s="394"/>
      <c r="B40" s="168">
        <v>13</v>
      </c>
      <c r="C40" s="699" t="s">
        <v>2849</v>
      </c>
      <c r="D40" s="699"/>
      <c r="E40" s="699"/>
      <c r="F40" s="5366"/>
      <c r="G40" s="5366"/>
      <c r="H40" s="379" t="s">
        <v>2850</v>
      </c>
      <c r="I40" s="228">
        <f>B40</f>
        <v>13</v>
      </c>
      <c r="J40" s="7154"/>
      <c r="K40" s="7240"/>
      <c r="L40" s="7246"/>
      <c r="M40" s="7246"/>
      <c r="N40" s="7620">
        <v>25</v>
      </c>
      <c r="O40" s="7621"/>
      <c r="P40" s="267" t="s">
        <v>2320</v>
      </c>
      <c r="Q40" s="190"/>
      <c r="R40" s="267"/>
      <c r="S40" s="267"/>
      <c r="T40" s="267"/>
      <c r="U40" s="267"/>
      <c r="V40" s="267"/>
      <c r="W40" s="936"/>
      <c r="X40" s="699"/>
      <c r="Y40" s="699"/>
      <c r="Z40" s="379" t="s">
        <v>789</v>
      </c>
      <c r="AA40" s="227">
        <v>25</v>
      </c>
      <c r="AB40" s="7154"/>
      <c r="AC40" s="7240"/>
      <c r="AD40" s="7246"/>
      <c r="AE40" s="7246"/>
      <c r="AF40" s="394"/>
      <c r="AG40" s="260"/>
      <c r="AH40" s="394"/>
    </row>
    <row r="41" spans="1:34" ht="14.25" customHeight="1">
      <c r="A41" s="394"/>
      <c r="B41" s="168">
        <v>14</v>
      </c>
      <c r="C41" s="699" t="s">
        <v>2851</v>
      </c>
      <c r="D41" s="699"/>
      <c r="E41" s="699"/>
      <c r="F41" s="5366"/>
      <c r="G41" s="5366"/>
      <c r="H41" s="3662"/>
      <c r="I41" s="230"/>
      <c r="J41" s="7634"/>
      <c r="K41" s="7635"/>
      <c r="L41" s="7635"/>
      <c r="M41" s="7638"/>
      <c r="N41" s="7620">
        <v>26</v>
      </c>
      <c r="O41" s="7621"/>
      <c r="P41" s="267" t="s">
        <v>2852</v>
      </c>
      <c r="Q41" s="190"/>
      <c r="R41" s="267"/>
      <c r="S41" s="267"/>
      <c r="T41" s="267"/>
      <c r="U41" s="267"/>
      <c r="V41" s="267"/>
      <c r="W41" s="267"/>
      <c r="X41" s="267"/>
      <c r="Y41" s="267"/>
      <c r="Z41" s="379" t="s">
        <v>654</v>
      </c>
      <c r="AA41" s="227">
        <v>26</v>
      </c>
      <c r="AB41" s="7154"/>
      <c r="AC41" s="7240"/>
      <c r="AD41" s="7246"/>
      <c r="AE41" s="7246"/>
      <c r="AF41" s="394"/>
      <c r="AG41" s="260"/>
      <c r="AH41" s="394"/>
    </row>
    <row r="42" spans="1:34" ht="14.25" customHeight="1">
      <c r="A42" s="394"/>
      <c r="B42" s="168"/>
      <c r="C42" s="699" t="s">
        <v>2853</v>
      </c>
      <c r="D42" s="699"/>
      <c r="E42" s="699"/>
      <c r="F42" s="5366"/>
      <c r="G42" s="5366"/>
      <c r="H42" s="379" t="s">
        <v>2854</v>
      </c>
      <c r="I42" s="228">
        <f>B41</f>
        <v>14</v>
      </c>
      <c r="J42" s="7154"/>
      <c r="K42" s="7240"/>
      <c r="L42" s="7246"/>
      <c r="M42" s="7246"/>
      <c r="N42" s="7620">
        <v>27</v>
      </c>
      <c r="O42" s="7621"/>
      <c r="P42" s="267" t="s">
        <v>2855</v>
      </c>
      <c r="Q42" s="190"/>
      <c r="R42" s="267"/>
      <c r="S42" s="267"/>
      <c r="T42" s="267"/>
      <c r="U42" s="267"/>
      <c r="V42" s="267"/>
      <c r="W42" s="267"/>
      <c r="X42" s="267"/>
      <c r="Y42" s="267"/>
      <c r="Z42" s="379" t="s">
        <v>789</v>
      </c>
      <c r="AA42" s="227">
        <v>27</v>
      </c>
      <c r="AB42" s="7154"/>
      <c r="AC42" s="7240"/>
      <c r="AD42" s="7246"/>
      <c r="AE42" s="7246"/>
      <c r="AF42" s="394"/>
      <c r="AG42" s="260"/>
      <c r="AH42" s="394"/>
    </row>
    <row r="43" spans="1:34" ht="14.25" customHeight="1">
      <c r="A43" s="394"/>
      <c r="B43" s="168">
        <v>15</v>
      </c>
      <c r="C43" s="699" t="s">
        <v>2856</v>
      </c>
      <c r="D43" s="699"/>
      <c r="E43" s="699"/>
      <c r="F43" s="5366"/>
      <c r="G43" s="5366"/>
      <c r="H43" s="3662"/>
      <c r="I43" s="230"/>
      <c r="J43" s="7634"/>
      <c r="K43" s="7635"/>
      <c r="L43" s="7635"/>
      <c r="M43" s="7638"/>
      <c r="N43" s="7620">
        <v>28</v>
      </c>
      <c r="O43" s="7621"/>
      <c r="P43" s="267" t="s">
        <v>2702</v>
      </c>
      <c r="Q43" s="190"/>
      <c r="R43" s="267"/>
      <c r="S43" s="267"/>
      <c r="T43" s="267"/>
      <c r="U43" s="267"/>
      <c r="V43" s="267"/>
      <c r="W43" s="267"/>
      <c r="X43" s="267"/>
      <c r="Y43" s="267"/>
      <c r="Z43" s="379" t="s">
        <v>752</v>
      </c>
      <c r="AA43" s="227">
        <v>28</v>
      </c>
      <c r="AB43" s="7154"/>
      <c r="AC43" s="7240"/>
      <c r="AD43" s="7246"/>
      <c r="AE43" s="7246"/>
      <c r="AF43" s="394"/>
      <c r="AG43" s="260"/>
      <c r="AH43" s="394"/>
    </row>
    <row r="44" spans="1:34" ht="14.25" customHeight="1">
      <c r="A44" s="394"/>
      <c r="B44" s="168"/>
      <c r="C44" s="699" t="s">
        <v>2857</v>
      </c>
      <c r="D44" s="699"/>
      <c r="E44" s="699"/>
      <c r="F44" s="5366"/>
      <c r="G44" s="5366"/>
      <c r="H44" s="379" t="s">
        <v>709</v>
      </c>
      <c r="I44" s="228">
        <f>B43</f>
        <v>15</v>
      </c>
      <c r="J44" s="7154"/>
      <c r="K44" s="7240"/>
      <c r="L44" s="7246"/>
      <c r="M44" s="7246"/>
      <c r="N44" s="7620">
        <v>29</v>
      </c>
      <c r="O44" s="7621"/>
      <c r="P44" s="267" t="s">
        <v>2703</v>
      </c>
      <c r="Q44" s="190"/>
      <c r="R44" s="267"/>
      <c r="S44" s="267"/>
      <c r="T44" s="267"/>
      <c r="U44" s="267"/>
      <c r="V44" s="267"/>
      <c r="W44" s="267"/>
      <c r="X44" s="267"/>
      <c r="Y44" s="267"/>
      <c r="Z44" s="379" t="s">
        <v>2858</v>
      </c>
      <c r="AA44" s="227">
        <v>29</v>
      </c>
      <c r="AB44" s="7154"/>
      <c r="AC44" s="7240"/>
      <c r="AD44" s="7246"/>
      <c r="AE44" s="7246"/>
      <c r="AF44" s="394"/>
      <c r="AG44" s="260"/>
      <c r="AH44" s="394"/>
    </row>
    <row r="45" spans="1:34" ht="14.25" customHeight="1">
      <c r="A45" s="394"/>
      <c r="B45" s="168">
        <v>16</v>
      </c>
      <c r="C45" s="699" t="s">
        <v>2859</v>
      </c>
      <c r="D45" s="699"/>
      <c r="E45" s="699"/>
      <c r="F45" s="5366"/>
      <c r="G45" s="5366"/>
      <c r="H45" s="379" t="s">
        <v>2860</v>
      </c>
      <c r="I45" s="228">
        <f>B45</f>
        <v>16</v>
      </c>
      <c r="J45" s="7154"/>
      <c r="K45" s="7240"/>
      <c r="L45" s="7246"/>
      <c r="M45" s="7246"/>
      <c r="N45" s="7620">
        <v>30</v>
      </c>
      <c r="O45" s="7621"/>
      <c r="P45" s="267" t="s">
        <v>2333</v>
      </c>
      <c r="Q45" s="190"/>
      <c r="R45" s="267"/>
      <c r="S45" s="267"/>
      <c r="T45" s="267"/>
      <c r="U45" s="267"/>
      <c r="V45" s="267"/>
      <c r="W45" s="267"/>
      <c r="X45" s="267"/>
      <c r="Y45" s="267"/>
      <c r="Z45" s="379" t="s">
        <v>2858</v>
      </c>
      <c r="AA45" s="227">
        <v>30</v>
      </c>
      <c r="AB45" s="7154"/>
      <c r="AC45" s="7240"/>
      <c r="AD45" s="7246"/>
      <c r="AE45" s="7246"/>
      <c r="AF45" s="394"/>
      <c r="AG45" s="260"/>
      <c r="AH45" s="394"/>
    </row>
    <row r="46" spans="1:34" ht="14.25" customHeight="1">
      <c r="A46" s="394"/>
      <c r="B46" s="168">
        <v>17</v>
      </c>
      <c r="C46" s="699" t="s">
        <v>2861</v>
      </c>
      <c r="D46" s="699"/>
      <c r="E46" s="699"/>
      <c r="F46" s="5366"/>
      <c r="G46" s="5366"/>
      <c r="H46" s="379" t="s">
        <v>2862</v>
      </c>
      <c r="I46" s="228">
        <f>B46</f>
        <v>17</v>
      </c>
      <c r="J46" s="7154"/>
      <c r="K46" s="7240"/>
      <c r="L46" s="7246"/>
      <c r="M46" s="7246"/>
      <c r="N46" s="7620">
        <v>31</v>
      </c>
      <c r="O46" s="7621"/>
      <c r="P46" s="267" t="s">
        <v>2863</v>
      </c>
      <c r="Q46" s="190"/>
      <c r="R46" s="267"/>
      <c r="S46" s="267"/>
      <c r="T46" s="267"/>
      <c r="U46" s="267"/>
      <c r="V46" s="267"/>
      <c r="W46" s="267"/>
      <c r="X46" s="267"/>
      <c r="Y46" s="267"/>
      <c r="Z46" s="267"/>
      <c r="AA46" s="227">
        <v>31</v>
      </c>
      <c r="AB46" s="7154"/>
      <c r="AC46" s="7240"/>
      <c r="AD46" s="7246"/>
      <c r="AE46" s="7246"/>
      <c r="AF46" s="394"/>
      <c r="AG46" s="260"/>
      <c r="AH46" s="394"/>
    </row>
    <row r="47" spans="1:34" ht="14.25" customHeight="1">
      <c r="A47" s="394"/>
      <c r="B47" s="168">
        <v>18</v>
      </c>
      <c r="C47" s="699" t="s">
        <v>2864</v>
      </c>
      <c r="D47" s="699"/>
      <c r="E47" s="699"/>
      <c r="F47" s="5366"/>
      <c r="G47" s="5366"/>
      <c r="H47" s="379" t="s">
        <v>654</v>
      </c>
      <c r="I47" s="228">
        <f>B47</f>
        <v>18</v>
      </c>
      <c r="J47" s="7154"/>
      <c r="K47" s="7240"/>
      <c r="L47" s="7246"/>
      <c r="M47" s="7246"/>
      <c r="N47" s="7620">
        <v>32</v>
      </c>
      <c r="O47" s="7621"/>
      <c r="P47" s="267" t="s">
        <v>2865</v>
      </c>
      <c r="Q47" s="190"/>
      <c r="R47" s="267"/>
      <c r="S47" s="267"/>
      <c r="T47" s="267"/>
      <c r="U47" s="267"/>
      <c r="V47" s="5370"/>
      <c r="W47" s="780"/>
      <c r="X47" s="780"/>
      <c r="Y47" s="780"/>
      <c r="Z47" s="780"/>
      <c r="AA47" s="5584"/>
      <c r="AB47" s="7644"/>
      <c r="AC47" s="7635"/>
      <c r="AD47" s="7635"/>
      <c r="AE47" s="7635"/>
      <c r="AF47" s="394"/>
      <c r="AG47" s="260"/>
      <c r="AH47" s="394"/>
    </row>
    <row r="48" spans="1:34" ht="14.25" customHeight="1">
      <c r="A48" s="394"/>
      <c r="B48" s="168">
        <v>19</v>
      </c>
      <c r="C48" s="699" t="s">
        <v>2866</v>
      </c>
      <c r="D48" s="699"/>
      <c r="E48" s="699"/>
      <c r="F48" s="5366"/>
      <c r="G48" s="5366"/>
      <c r="H48" s="379" t="s">
        <v>2182</v>
      </c>
      <c r="I48" s="228">
        <f>B48</f>
        <v>19</v>
      </c>
      <c r="J48" s="7154"/>
      <c r="K48" s="7240"/>
      <c r="L48" s="7246"/>
      <c r="M48" s="7246"/>
      <c r="N48" s="7620" t="s">
        <v>640</v>
      </c>
      <c r="O48" s="7621"/>
      <c r="P48" s="7709"/>
      <c r="Q48" s="7710"/>
      <c r="R48" s="7710"/>
      <c r="S48" s="7710"/>
      <c r="T48" s="7710"/>
      <c r="U48" s="7710"/>
      <c r="V48" s="7710"/>
      <c r="W48" s="7710"/>
      <c r="X48" s="7710"/>
      <c r="Y48" s="7710"/>
      <c r="Z48" s="7711"/>
      <c r="AA48" s="227" t="s">
        <v>2441</v>
      </c>
      <c r="AB48" s="7154"/>
      <c r="AC48" s="7240"/>
      <c r="AD48" s="7246"/>
      <c r="AE48" s="7246"/>
      <c r="AF48" s="394"/>
      <c r="AG48" s="260"/>
      <c r="AH48" s="394"/>
    </row>
    <row r="49" spans="1:35" ht="14.25" customHeight="1">
      <c r="A49" s="394"/>
      <c r="B49" s="168">
        <v>20</v>
      </c>
      <c r="C49" s="699" t="s">
        <v>2331</v>
      </c>
      <c r="D49" s="699"/>
      <c r="E49" s="699"/>
      <c r="F49" s="5366"/>
      <c r="G49" s="5366"/>
      <c r="H49" s="379" t="s">
        <v>2867</v>
      </c>
      <c r="I49" s="228">
        <f>B49</f>
        <v>20</v>
      </c>
      <c r="J49" s="7154"/>
      <c r="K49" s="7240"/>
      <c r="L49" s="7246"/>
      <c r="M49" s="7246"/>
      <c r="N49" s="7620" t="s">
        <v>644</v>
      </c>
      <c r="O49" s="7621"/>
      <c r="P49" s="7709"/>
      <c r="Q49" s="7710"/>
      <c r="R49" s="7710"/>
      <c r="S49" s="7710"/>
      <c r="T49" s="7710"/>
      <c r="U49" s="7710"/>
      <c r="V49" s="7710"/>
      <c r="W49" s="7710"/>
      <c r="X49" s="7710"/>
      <c r="Y49" s="7710"/>
      <c r="Z49" s="7711"/>
      <c r="AA49" s="227" t="s">
        <v>2442</v>
      </c>
      <c r="AB49" s="7154"/>
      <c r="AC49" s="7240"/>
      <c r="AD49" s="7246"/>
      <c r="AE49" s="7246"/>
      <c r="AF49" s="394"/>
      <c r="AG49" s="260"/>
      <c r="AH49" s="394"/>
    </row>
    <row r="50" spans="1:35" ht="14.25" customHeight="1">
      <c r="A50" s="394"/>
      <c r="B50" s="168">
        <v>21</v>
      </c>
      <c r="C50" s="699" t="s">
        <v>2332</v>
      </c>
      <c r="D50" s="699"/>
      <c r="E50" s="699"/>
      <c r="F50" s="5366"/>
      <c r="G50" s="5366"/>
      <c r="H50" s="3662"/>
      <c r="I50" s="5584"/>
      <c r="J50" s="7634"/>
      <c r="K50" s="7635"/>
      <c r="L50" s="7635"/>
      <c r="M50" s="7638"/>
      <c r="N50" s="7620" t="s">
        <v>648</v>
      </c>
      <c r="O50" s="7621"/>
      <c r="P50" s="7709"/>
      <c r="Q50" s="7710"/>
      <c r="R50" s="7710"/>
      <c r="S50" s="7710"/>
      <c r="T50" s="7710"/>
      <c r="U50" s="7710"/>
      <c r="V50" s="7710"/>
      <c r="W50" s="7710"/>
      <c r="X50" s="7710"/>
      <c r="Y50" s="7710"/>
      <c r="Z50" s="7711"/>
      <c r="AA50" s="227" t="s">
        <v>2868</v>
      </c>
      <c r="AB50" s="7154"/>
      <c r="AC50" s="7240"/>
      <c r="AD50" s="7246"/>
      <c r="AE50" s="7246"/>
      <c r="AF50" s="394"/>
      <c r="AG50" s="260"/>
      <c r="AH50" s="394"/>
    </row>
    <row r="51" spans="1:35" ht="14.25" customHeight="1">
      <c r="A51" s="394"/>
      <c r="B51" s="124" t="s">
        <v>640</v>
      </c>
      <c r="C51" s="699" t="s">
        <v>2334</v>
      </c>
      <c r="D51" s="699"/>
      <c r="E51" s="699"/>
      <c r="F51" s="5366"/>
      <c r="G51" s="5366"/>
      <c r="H51" s="3662"/>
      <c r="I51" s="171" t="s">
        <v>2869</v>
      </c>
      <c r="J51" s="7154"/>
      <c r="K51" s="7240"/>
      <c r="L51" s="7246"/>
      <c r="M51" s="7246"/>
      <c r="N51" s="7620" t="s">
        <v>652</v>
      </c>
      <c r="O51" s="7621"/>
      <c r="P51" s="7709"/>
      <c r="Q51" s="7710"/>
      <c r="R51" s="7710"/>
      <c r="S51" s="7710"/>
      <c r="T51" s="7710"/>
      <c r="U51" s="7710"/>
      <c r="V51" s="7710"/>
      <c r="W51" s="7710"/>
      <c r="X51" s="7710"/>
      <c r="Y51" s="7710"/>
      <c r="Z51" s="7711"/>
      <c r="AA51" s="227" t="s">
        <v>2870</v>
      </c>
      <c r="AB51" s="7154"/>
      <c r="AC51" s="7240"/>
      <c r="AD51" s="7246"/>
      <c r="AE51" s="7246"/>
      <c r="AF51" s="394"/>
      <c r="AG51" s="260"/>
      <c r="AH51" s="394"/>
    </row>
    <row r="52" spans="1:35" ht="14.25" customHeight="1">
      <c r="A52" s="394"/>
      <c r="B52" s="124" t="s">
        <v>644</v>
      </c>
      <c r="C52" s="699" t="s">
        <v>283</v>
      </c>
      <c r="D52" s="699"/>
      <c r="E52" s="699"/>
      <c r="F52" s="5366"/>
      <c r="G52" s="5366"/>
      <c r="H52" s="379" t="s">
        <v>1089</v>
      </c>
      <c r="I52" s="171" t="s">
        <v>2871</v>
      </c>
      <c r="J52" s="7154"/>
      <c r="K52" s="7240"/>
      <c r="L52" s="7246"/>
      <c r="M52" s="7246"/>
      <c r="N52" s="7620" t="s">
        <v>656</v>
      </c>
      <c r="O52" s="7621"/>
      <c r="P52" s="7709"/>
      <c r="Q52" s="7710"/>
      <c r="R52" s="7710"/>
      <c r="S52" s="7710"/>
      <c r="T52" s="7710"/>
      <c r="U52" s="7710"/>
      <c r="V52" s="7710"/>
      <c r="W52" s="7710"/>
      <c r="X52" s="7710"/>
      <c r="Y52" s="7710"/>
      <c r="Z52" s="7711"/>
      <c r="AA52" s="227" t="s">
        <v>2872</v>
      </c>
      <c r="AB52" s="7154"/>
      <c r="AC52" s="7240"/>
      <c r="AD52" s="7246"/>
      <c r="AE52" s="7246"/>
      <c r="AF52" s="394"/>
      <c r="AG52" s="260"/>
      <c r="AH52" s="394"/>
    </row>
    <row r="53" spans="1:35" ht="14.25" customHeight="1" thickBot="1">
      <c r="A53" s="394"/>
      <c r="B53" s="3028">
        <v>22</v>
      </c>
      <c r="C53" s="739" t="s">
        <v>2873</v>
      </c>
      <c r="D53" s="739"/>
      <c r="E53" s="739"/>
      <c r="F53" s="5586"/>
      <c r="G53" s="5586"/>
      <c r="H53" s="5587"/>
      <c r="I53" s="3746">
        <v>22</v>
      </c>
      <c r="J53" s="7695"/>
      <c r="K53" s="7696"/>
      <c r="L53" s="7697"/>
      <c r="M53" s="7697"/>
      <c r="N53" s="7642" t="s">
        <v>659</v>
      </c>
      <c r="O53" s="7643"/>
      <c r="P53" s="7639"/>
      <c r="Q53" s="7640"/>
      <c r="R53" s="7640"/>
      <c r="S53" s="7640"/>
      <c r="T53" s="7640"/>
      <c r="U53" s="7640"/>
      <c r="V53" s="7640"/>
      <c r="W53" s="7640"/>
      <c r="X53" s="7640"/>
      <c r="Y53" s="7640"/>
      <c r="Z53" s="7641"/>
      <c r="AA53" s="3747" t="s">
        <v>2874</v>
      </c>
      <c r="AB53" s="7695"/>
      <c r="AC53" s="7696"/>
      <c r="AD53" s="7697"/>
      <c r="AE53" s="7697"/>
      <c r="AF53" s="394"/>
      <c r="AG53" s="260"/>
      <c r="AH53" s="394"/>
    </row>
    <row r="54" spans="1:35" ht="15" customHeight="1">
      <c r="A54" s="394"/>
      <c r="B54" s="3867">
        <v>33</v>
      </c>
      <c r="C54" s="3868" t="s">
        <v>2875</v>
      </c>
      <c r="D54" s="3869"/>
      <c r="E54" s="3869"/>
      <c r="F54" s="5660"/>
      <c r="G54" s="5661"/>
      <c r="H54" s="5661"/>
      <c r="I54" s="5661"/>
      <c r="J54" s="5661"/>
      <c r="K54" s="5661"/>
      <c r="L54" s="5661"/>
      <c r="M54" s="5661"/>
      <c r="N54" s="5660"/>
      <c r="O54" s="5660"/>
      <c r="P54" s="5660"/>
      <c r="Q54" s="5660"/>
      <c r="R54" s="5660"/>
      <c r="S54" s="5660"/>
      <c r="T54" s="5660"/>
      <c r="U54" s="5660"/>
      <c r="V54" s="5660"/>
      <c r="W54" s="5660"/>
      <c r="X54" s="5661"/>
      <c r="Y54" s="5661"/>
      <c r="Z54" s="3870" t="s">
        <v>2876</v>
      </c>
      <c r="AA54" s="3871">
        <v>33</v>
      </c>
      <c r="AB54" s="7698">
        <f>IF(AG54&lt;&gt;"",ROUND(AG54,0),ROUND(SUM(J37:M53,AB36:AE53),0))</f>
        <v>0</v>
      </c>
      <c r="AC54" s="7699"/>
      <c r="AD54" s="7700"/>
      <c r="AE54" s="7700"/>
      <c r="AF54" s="394"/>
      <c r="AG54" s="384"/>
      <c r="AH54" s="394"/>
    </row>
    <row r="55" spans="1:35" ht="15" customHeight="1">
      <c r="A55" s="394"/>
      <c r="B55" s="168">
        <v>34</v>
      </c>
      <c r="C55" s="936" t="s">
        <v>2877</v>
      </c>
      <c r="D55" s="680"/>
      <c r="E55" s="680"/>
      <c r="F55" s="680"/>
      <c r="G55" s="5363"/>
      <c r="H55" s="5363"/>
      <c r="I55" s="5363"/>
      <c r="J55" s="5363"/>
      <c r="K55" s="5363"/>
      <c r="L55" s="5363"/>
      <c r="M55" s="5363"/>
      <c r="N55" s="680"/>
      <c r="O55" s="680"/>
      <c r="P55" s="680"/>
      <c r="Q55" s="680"/>
      <c r="R55" s="680"/>
      <c r="S55" s="680"/>
      <c r="T55" s="680"/>
      <c r="U55" s="680"/>
      <c r="V55" s="680"/>
      <c r="W55" s="680"/>
      <c r="X55" s="5363"/>
      <c r="Y55" s="5363"/>
      <c r="Z55" s="400" t="s">
        <v>1337</v>
      </c>
      <c r="AA55" s="738">
        <v>34</v>
      </c>
      <c r="AB55" s="7615">
        <f>IF(AG55&lt;&gt;"",ROUND(AG55,0),SUM(AB34,-AB54))</f>
        <v>0</v>
      </c>
      <c r="AC55" s="7616"/>
      <c r="AD55" s="6833"/>
      <c r="AE55" s="6833"/>
      <c r="AF55" s="394"/>
      <c r="AG55" s="384"/>
      <c r="AH55" s="394"/>
    </row>
    <row r="56" spans="1:35" ht="14.25" customHeight="1">
      <c r="A56" s="394"/>
      <c r="B56" s="168"/>
      <c r="C56" s="151" t="s">
        <v>2878</v>
      </c>
      <c r="D56" s="936"/>
      <c r="E56" s="680"/>
      <c r="F56" s="680"/>
      <c r="G56" s="5363"/>
      <c r="H56" s="5363"/>
      <c r="I56" s="5363"/>
      <c r="J56" s="5363"/>
      <c r="K56" s="5363"/>
      <c r="L56" s="5363"/>
      <c r="M56" s="5363"/>
      <c r="N56" s="680"/>
      <c r="O56" s="680"/>
      <c r="P56" s="680"/>
      <c r="Q56" s="680"/>
      <c r="R56" s="680"/>
      <c r="S56" s="680"/>
      <c r="T56" s="680"/>
      <c r="U56" s="680"/>
      <c r="V56" s="680"/>
      <c r="W56" s="680"/>
      <c r="X56" s="5363"/>
      <c r="Y56" s="5363"/>
      <c r="Z56" s="5363"/>
      <c r="AA56" s="2135">
        <f>IF(AA57&lt;&gt;"",1,0)</f>
        <v>0</v>
      </c>
      <c r="AB56" s="2136"/>
      <c r="AC56" s="2136"/>
      <c r="AD56" s="2135">
        <f>IF(AD57&lt;&gt;"",1,0)</f>
        <v>0</v>
      </c>
      <c r="AE56" s="2135">
        <f>SUM(AA56,AD56)</f>
        <v>0</v>
      </c>
      <c r="AF56" s="394"/>
      <c r="AG56" s="260"/>
      <c r="AH56" s="394"/>
    </row>
    <row r="57" spans="1:35" ht="14.25" customHeight="1">
      <c r="A57" s="394"/>
      <c r="B57" s="168">
        <v>35</v>
      </c>
      <c r="C57" s="936" t="s">
        <v>2879</v>
      </c>
      <c r="D57" s="936"/>
      <c r="E57" s="680"/>
      <c r="F57" s="680"/>
      <c r="G57" s="5363"/>
      <c r="H57" s="5363"/>
      <c r="I57" s="5363"/>
      <c r="J57" s="5363"/>
      <c r="K57" s="5363"/>
      <c r="L57" s="5363"/>
      <c r="M57" s="5363"/>
      <c r="N57" s="680"/>
      <c r="O57" s="680"/>
      <c r="P57" s="680"/>
      <c r="Q57" s="680"/>
      <c r="R57" s="680"/>
      <c r="S57" s="680"/>
      <c r="T57" s="680"/>
      <c r="U57" s="680"/>
      <c r="V57" s="680"/>
      <c r="W57" s="680"/>
      <c r="X57" s="5363"/>
      <c r="Y57" s="5363"/>
      <c r="Z57" s="5363"/>
      <c r="AA57" s="5363"/>
      <c r="AB57" s="5363"/>
      <c r="AC57" s="5363"/>
      <c r="AD57" s="5363"/>
      <c r="AE57" s="5363"/>
      <c r="AF57" s="394"/>
      <c r="AG57" s="3878"/>
      <c r="AH57" s="394"/>
    </row>
    <row r="58" spans="1:35" ht="14.25" customHeight="1">
      <c r="A58" s="394"/>
      <c r="B58" s="168">
        <v>36</v>
      </c>
      <c r="C58" s="936" t="s">
        <v>2880</v>
      </c>
      <c r="D58" s="936"/>
      <c r="E58" s="680"/>
      <c r="F58" s="680"/>
      <c r="G58" s="5363"/>
      <c r="H58" s="5363"/>
      <c r="I58" s="5363"/>
      <c r="J58" s="5363"/>
      <c r="K58" s="5363"/>
      <c r="L58" s="5363"/>
      <c r="M58" s="5363"/>
      <c r="N58" s="680"/>
      <c r="O58" s="680"/>
      <c r="P58" s="680"/>
      <c r="Q58" s="680"/>
      <c r="R58" s="680"/>
      <c r="S58" s="680"/>
      <c r="T58" s="680"/>
      <c r="U58" s="680"/>
      <c r="V58" s="680"/>
      <c r="W58" s="680"/>
      <c r="X58" s="5363"/>
      <c r="Y58" s="5363"/>
      <c r="Z58" s="5364"/>
      <c r="AA58" s="2549"/>
      <c r="AB58" s="2550"/>
      <c r="AC58" s="2550"/>
      <c r="AD58" s="2550"/>
      <c r="AE58" s="2550"/>
      <c r="AF58" s="394"/>
      <c r="AG58" s="3878"/>
      <c r="AH58" s="394"/>
      <c r="AI58" s="3"/>
    </row>
    <row r="59" spans="1:35" ht="12.75" customHeight="1">
      <c r="A59" s="394"/>
      <c r="B59" s="124" t="s">
        <v>640</v>
      </c>
      <c r="C59" s="1050"/>
      <c r="D59" s="267" t="s">
        <v>2881</v>
      </c>
      <c r="E59" s="379"/>
      <c r="F59" s="190"/>
      <c r="G59" s="190"/>
      <c r="H59" s="379" t="s">
        <v>644</v>
      </c>
      <c r="I59" s="1050"/>
      <c r="J59" s="699" t="s">
        <v>2882</v>
      </c>
      <c r="K59" s="5366"/>
      <c r="L59" s="379"/>
      <c r="M59" s="133"/>
      <c r="N59" s="133"/>
      <c r="O59" s="133"/>
      <c r="P59" s="133"/>
      <c r="Q59" s="133"/>
      <c r="R59" s="116"/>
      <c r="S59" s="116"/>
      <c r="T59" s="116"/>
      <c r="U59" s="116"/>
      <c r="V59" s="116"/>
      <c r="W59" s="133"/>
      <c r="X59" s="5366"/>
      <c r="Y59" s="5366"/>
      <c r="Z59" s="680"/>
      <c r="AA59" s="18"/>
      <c r="AB59" s="18"/>
      <c r="AC59" s="460"/>
      <c r="AD59" s="18"/>
      <c r="AE59" s="18"/>
      <c r="AF59" s="394"/>
      <c r="AG59" s="3878"/>
      <c r="AH59" s="394"/>
    </row>
    <row r="60" spans="1:35" ht="3.75" customHeight="1" thickBot="1">
      <c r="A60" s="394"/>
      <c r="B60" s="379"/>
      <c r="C60" s="379"/>
      <c r="D60" s="133"/>
      <c r="E60" s="133"/>
      <c r="F60" s="133"/>
      <c r="G60" s="5366"/>
      <c r="H60" s="5366"/>
      <c r="I60" s="5366"/>
      <c r="J60" s="5366"/>
      <c r="K60" s="5366"/>
      <c r="L60" s="5366"/>
      <c r="M60" s="5366"/>
      <c r="N60" s="133"/>
      <c r="O60" s="133"/>
      <c r="P60" s="133"/>
      <c r="Q60" s="133"/>
      <c r="R60" s="116"/>
      <c r="S60" s="116"/>
      <c r="T60" s="116"/>
      <c r="U60" s="116"/>
      <c r="V60" s="116"/>
      <c r="W60" s="133"/>
      <c r="X60" s="5366"/>
      <c r="Y60" s="5366"/>
      <c r="Z60" s="680"/>
      <c r="AA60" s="18"/>
      <c r="AB60" s="18"/>
      <c r="AC60" s="460"/>
      <c r="AD60" s="18"/>
      <c r="AE60" s="18"/>
      <c r="AF60" s="394"/>
      <c r="AG60" s="3878"/>
      <c r="AH60" s="394"/>
    </row>
    <row r="61" spans="1:35" ht="22.5" customHeight="1">
      <c r="A61" s="394"/>
      <c r="B61" s="1445" t="s">
        <v>2383</v>
      </c>
      <c r="C61" s="1445"/>
      <c r="D61" s="5073"/>
      <c r="E61" s="5073"/>
      <c r="F61" s="5073"/>
      <c r="G61" s="5592"/>
      <c r="H61" s="5592"/>
      <c r="I61" s="5592"/>
      <c r="J61" s="5592"/>
      <c r="K61" s="5592"/>
      <c r="L61" s="5592"/>
      <c r="M61" s="5592"/>
      <c r="N61" s="5073"/>
      <c r="O61" s="5073"/>
      <c r="P61" s="3769"/>
      <c r="Q61" s="3770"/>
      <c r="R61" s="3770" t="s">
        <v>2883</v>
      </c>
      <c r="S61" s="3770"/>
      <c r="T61" s="3770"/>
      <c r="U61" s="3770"/>
      <c r="V61" s="741"/>
      <c r="W61" s="5073"/>
      <c r="X61" s="741"/>
      <c r="Y61" s="5592"/>
      <c r="Z61" s="5593"/>
      <c r="AA61" s="5592"/>
      <c r="AB61" s="5592"/>
      <c r="AC61" s="5594"/>
      <c r="AD61" s="338"/>
      <c r="AE61" s="338" t="str">
        <f>"Schedule F (Form 1040)  "&amp;TaxYear</f>
        <v>Schedule F (Form 1040)  2023</v>
      </c>
      <c r="AF61" s="394"/>
      <c r="AG61" s="3878"/>
      <c r="AH61" s="394"/>
      <c r="AI61" s="880"/>
    </row>
    <row r="62" spans="1:35" ht="19.5" customHeight="1" thickBot="1">
      <c r="A62" s="394"/>
      <c r="B62" s="2947" t="str">
        <f>"Schedule F (Form 1040) "&amp;TaxYear</f>
        <v>Schedule F (Form 1040) 2023</v>
      </c>
      <c r="C62" s="5662"/>
      <c r="D62" s="5662"/>
      <c r="E62" s="5662"/>
      <c r="F62" s="5662"/>
      <c r="G62" s="5662"/>
      <c r="H62" s="5662"/>
      <c r="I62" s="5662"/>
      <c r="J62" s="5662"/>
      <c r="K62" s="5662"/>
      <c r="L62" s="5662"/>
      <c r="M62" s="5662"/>
      <c r="N62" s="5662"/>
      <c r="O62" s="5662"/>
      <c r="P62" s="5662"/>
      <c r="Q62" s="5662"/>
      <c r="R62" s="5662"/>
      <c r="S62" s="5662"/>
      <c r="T62" s="5662"/>
      <c r="U62" s="5662"/>
      <c r="V62" s="5662"/>
      <c r="W62" s="5662"/>
      <c r="X62" s="5662"/>
      <c r="Y62" s="5662"/>
      <c r="Z62" s="5662"/>
      <c r="AA62" s="5662"/>
      <c r="AB62" s="1065"/>
      <c r="AC62" s="1065"/>
      <c r="AD62" s="1065" t="s">
        <v>2387</v>
      </c>
      <c r="AE62" s="1066" t="str">
        <f>"2"</f>
        <v>2</v>
      </c>
      <c r="AF62" s="394"/>
      <c r="AG62" s="260"/>
      <c r="AH62" s="394"/>
    </row>
    <row r="63" spans="1:35" ht="15.75" thickTop="1">
      <c r="A63" s="394"/>
      <c r="B63" s="7628" t="s">
        <v>2243</v>
      </c>
      <c r="C63" s="7629"/>
      <c r="D63" s="1071" t="s">
        <v>5608</v>
      </c>
      <c r="E63" s="1067"/>
      <c r="F63" s="1067"/>
      <c r="G63" s="1067"/>
      <c r="H63" s="1067"/>
      <c r="I63" s="1067"/>
      <c r="J63" s="1067"/>
      <c r="K63" s="1067"/>
      <c r="L63" s="1067"/>
      <c r="M63" s="1067"/>
      <c r="N63" s="1067"/>
      <c r="O63" s="1067"/>
      <c r="P63" s="1067"/>
      <c r="Q63" s="1067"/>
      <c r="R63" s="1067"/>
      <c r="S63" s="1067"/>
      <c r="T63" s="1067"/>
      <c r="U63" s="1067"/>
      <c r="V63" s="1067"/>
      <c r="W63" s="1067"/>
      <c r="X63" s="1067"/>
      <c r="Y63" s="1067"/>
      <c r="Z63" s="1067"/>
      <c r="AA63" s="1067"/>
      <c r="AB63" s="1067"/>
      <c r="AC63" s="1067"/>
      <c r="AD63" s="1067"/>
      <c r="AE63" s="1067"/>
      <c r="AF63" s="394"/>
      <c r="AG63" s="260"/>
      <c r="AH63" s="394"/>
    </row>
    <row r="64" spans="1:35" ht="9.75" customHeight="1">
      <c r="A64" s="394"/>
      <c r="B64" s="699"/>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c r="AA64" s="3772"/>
      <c r="AB64" s="222"/>
      <c r="AC64" s="222"/>
      <c r="AD64" s="222"/>
      <c r="AE64" s="222"/>
      <c r="AF64" s="394"/>
      <c r="AG64" s="260"/>
      <c r="AH64" s="394"/>
    </row>
    <row r="65" spans="1:34" ht="14.25" customHeight="1">
      <c r="A65" s="394"/>
      <c r="B65" s="168">
        <v>37</v>
      </c>
      <c r="C65" s="699" t="s">
        <v>2884</v>
      </c>
      <c r="D65" s="133"/>
      <c r="E65" s="133"/>
      <c r="F65" s="133"/>
      <c r="G65" s="133"/>
      <c r="H65" s="133"/>
      <c r="I65" s="133"/>
      <c r="J65" s="133"/>
      <c r="K65" s="133"/>
      <c r="L65" s="133"/>
      <c r="M65" s="133"/>
      <c r="N65" s="133"/>
      <c r="O65" s="133"/>
      <c r="P65" s="133"/>
      <c r="Q65" s="133"/>
      <c r="R65" s="133"/>
      <c r="S65" s="133"/>
      <c r="T65" s="133"/>
      <c r="U65" s="133"/>
      <c r="V65" s="133"/>
      <c r="W65" s="133"/>
      <c r="X65" s="133"/>
      <c r="Y65" s="133"/>
      <c r="Z65" s="400" t="s">
        <v>1340</v>
      </c>
      <c r="AA65" s="227">
        <v>37</v>
      </c>
      <c r="AB65" s="7154"/>
      <c r="AC65" s="7240"/>
      <c r="AD65" s="7246"/>
      <c r="AE65" s="7246"/>
      <c r="AF65" s="394"/>
      <c r="AG65" s="260"/>
      <c r="AH65" s="394"/>
    </row>
    <row r="66" spans="1:34" ht="12" customHeight="1">
      <c r="A66" s="394"/>
      <c r="B66" s="168"/>
      <c r="C66" s="131"/>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3772"/>
      <c r="AB66" s="133"/>
      <c r="AC66" s="133"/>
      <c r="AD66" s="133"/>
      <c r="AE66" s="133"/>
      <c r="AF66" s="394"/>
      <c r="AG66" s="260"/>
      <c r="AH66" s="394"/>
    </row>
    <row r="67" spans="1:34" ht="15" customHeight="1">
      <c r="A67" s="394"/>
      <c r="B67" s="168" t="s">
        <v>2885</v>
      </c>
      <c r="C67" s="936" t="s">
        <v>2827</v>
      </c>
      <c r="D67" s="680"/>
      <c r="E67" s="680"/>
      <c r="F67" s="680"/>
      <c r="G67" s="680"/>
      <c r="H67" s="680"/>
      <c r="I67" s="680"/>
      <c r="J67" s="1059" t="s">
        <v>939</v>
      </c>
      <c r="K67" s="7626" t="s">
        <v>2885</v>
      </c>
      <c r="L67" s="7627"/>
      <c r="M67" s="7154"/>
      <c r="N67" s="7240"/>
      <c r="O67" s="7246"/>
      <c r="P67" s="7637"/>
      <c r="Q67" s="133"/>
      <c r="R67" s="2757"/>
      <c r="S67" s="5109" t="s">
        <v>2885</v>
      </c>
      <c r="T67" s="1047" t="s">
        <v>433</v>
      </c>
      <c r="U67" s="2757"/>
      <c r="V67" s="1047"/>
      <c r="W67" s="1047"/>
      <c r="X67" s="1047"/>
      <c r="Y67" s="1048"/>
      <c r="Z67" s="1059" t="s">
        <v>2886</v>
      </c>
      <c r="AA67" s="227" t="s">
        <v>2887</v>
      </c>
      <c r="AB67" s="7154"/>
      <c r="AC67" s="7240"/>
      <c r="AD67" s="7246"/>
      <c r="AE67" s="7246"/>
      <c r="AF67" s="394"/>
      <c r="AG67" s="260"/>
      <c r="AH67" s="394"/>
    </row>
    <row r="68" spans="1:34" ht="12.75" customHeight="1">
      <c r="A68" s="394"/>
      <c r="B68" s="168"/>
      <c r="C68" s="131"/>
      <c r="D68" s="680"/>
      <c r="E68" s="680"/>
      <c r="F68" s="680"/>
      <c r="G68" s="680"/>
      <c r="H68" s="680"/>
      <c r="I68" s="680"/>
      <c r="J68" s="680"/>
      <c r="K68" s="680"/>
      <c r="L68" s="680"/>
      <c r="M68" s="680"/>
      <c r="N68" s="680"/>
      <c r="O68" s="680"/>
      <c r="P68" s="133"/>
      <c r="Q68" s="133"/>
      <c r="R68" s="133"/>
      <c r="S68" s="133"/>
      <c r="T68" s="133"/>
      <c r="U68" s="133"/>
      <c r="V68" s="680"/>
      <c r="W68" s="680"/>
      <c r="X68" s="680"/>
      <c r="Y68" s="680"/>
      <c r="Z68" s="680"/>
      <c r="AA68" s="3772"/>
      <c r="AB68" s="680"/>
      <c r="AC68" s="149" t="str">
        <f>IF(AND(X68&lt;&gt;"",AA68&lt;&gt;""),"Check ONLY one.","")</f>
        <v/>
      </c>
      <c r="AD68" s="680"/>
      <c r="AE68" s="680"/>
      <c r="AF68" s="394"/>
      <c r="AG68" s="260"/>
      <c r="AH68" s="394"/>
    </row>
    <row r="69" spans="1:34" ht="15" customHeight="1">
      <c r="A69" s="394"/>
      <c r="B69" s="168" t="s">
        <v>2888</v>
      </c>
      <c r="C69" s="936" t="s">
        <v>2889</v>
      </c>
      <c r="D69" s="680"/>
      <c r="E69" s="680"/>
      <c r="F69" s="680"/>
      <c r="G69" s="680"/>
      <c r="H69" s="680"/>
      <c r="I69" s="680"/>
      <c r="J69" s="400" t="s">
        <v>994</v>
      </c>
      <c r="K69" s="7626" t="s">
        <v>2888</v>
      </c>
      <c r="L69" s="7627"/>
      <c r="M69" s="7154"/>
      <c r="N69" s="7240"/>
      <c r="O69" s="7246"/>
      <c r="P69" s="7637"/>
      <c r="Q69" s="133"/>
      <c r="R69" s="2757"/>
      <c r="S69" s="5109" t="s">
        <v>2890</v>
      </c>
      <c r="T69" s="1047" t="s">
        <v>433</v>
      </c>
      <c r="U69" s="2757"/>
      <c r="V69" s="1047"/>
      <c r="W69" s="1047"/>
      <c r="X69" s="1047"/>
      <c r="Y69" s="1048"/>
      <c r="Z69" s="1059" t="s">
        <v>2886</v>
      </c>
      <c r="AA69" s="227" t="s">
        <v>2890</v>
      </c>
      <c r="AB69" s="7154"/>
      <c r="AC69" s="7240"/>
      <c r="AD69" s="7246"/>
      <c r="AE69" s="7246"/>
      <c r="AF69" s="394"/>
      <c r="AG69" s="260"/>
      <c r="AH69" s="394"/>
    </row>
    <row r="70" spans="1:34" ht="12.75" customHeight="1">
      <c r="A70" s="394"/>
      <c r="B70" s="168"/>
      <c r="C70" s="131"/>
      <c r="D70" s="680"/>
      <c r="E70" s="680"/>
      <c r="F70" s="680"/>
      <c r="G70" s="680"/>
      <c r="H70" s="680"/>
      <c r="I70" s="680"/>
      <c r="J70" s="680"/>
      <c r="K70" s="680"/>
      <c r="L70" s="680"/>
      <c r="M70" s="680"/>
      <c r="N70" s="680"/>
      <c r="O70" s="680"/>
      <c r="P70" s="133"/>
      <c r="Q70" s="133"/>
      <c r="R70" s="133"/>
      <c r="S70" s="133"/>
      <c r="T70" s="133"/>
      <c r="U70" s="133"/>
      <c r="V70" s="680"/>
      <c r="W70" s="680"/>
      <c r="X70" s="680"/>
      <c r="Y70" s="680"/>
      <c r="Z70" s="680"/>
      <c r="AA70" s="3773"/>
      <c r="AB70" s="680"/>
      <c r="AC70" s="149" t="str">
        <f>IF(AND(X70&lt;&gt;"",AA70&lt;&gt;""),"Check ONLY one.","")</f>
        <v/>
      </c>
      <c r="AD70" s="680"/>
      <c r="AE70" s="680"/>
      <c r="AF70" s="394"/>
      <c r="AG70" s="260"/>
      <c r="AH70" s="394"/>
    </row>
    <row r="71" spans="1:34" ht="12.75" customHeight="1">
      <c r="A71" s="394"/>
      <c r="B71" s="168">
        <v>40</v>
      </c>
      <c r="C71" s="936" t="s">
        <v>2891</v>
      </c>
      <c r="D71" s="680"/>
      <c r="E71" s="680"/>
      <c r="F71" s="680"/>
      <c r="G71" s="680"/>
      <c r="H71" s="680"/>
      <c r="I71" s="680"/>
      <c r="J71" s="680"/>
      <c r="K71" s="680"/>
      <c r="L71" s="680"/>
      <c r="M71" s="680"/>
      <c r="N71" s="680"/>
      <c r="O71" s="680"/>
      <c r="P71" s="133"/>
      <c r="Q71" s="133"/>
      <c r="R71" s="133"/>
      <c r="S71" s="133"/>
      <c r="T71" s="133"/>
      <c r="U71" s="133"/>
      <c r="V71" s="680"/>
      <c r="W71" s="680"/>
      <c r="X71" s="680"/>
      <c r="Y71" s="680"/>
      <c r="Z71" s="680"/>
      <c r="AA71" s="3774"/>
      <c r="AB71" s="680"/>
      <c r="AC71" s="149"/>
      <c r="AD71" s="680"/>
      <c r="AE71" s="680"/>
      <c r="AF71" s="394"/>
      <c r="AG71" s="260"/>
      <c r="AH71" s="394"/>
    </row>
    <row r="72" spans="1:34" ht="15" customHeight="1">
      <c r="A72" s="394"/>
      <c r="B72" s="124" t="s">
        <v>640</v>
      </c>
      <c r="C72" s="936" t="s">
        <v>2892</v>
      </c>
      <c r="D72" s="680"/>
      <c r="E72" s="680"/>
      <c r="F72" s="680"/>
      <c r="G72" s="680"/>
      <c r="H72" s="680"/>
      <c r="I72" s="680"/>
      <c r="J72" s="680"/>
      <c r="K72" s="680"/>
      <c r="L72" s="680"/>
      <c r="M72" s="680"/>
      <c r="N72" s="680"/>
      <c r="O72" s="680"/>
      <c r="P72" s="680"/>
      <c r="Q72" s="680"/>
      <c r="R72" s="133"/>
      <c r="S72" s="133"/>
      <c r="T72" s="133"/>
      <c r="U72" s="133"/>
      <c r="V72" s="400"/>
      <c r="W72" s="1047"/>
      <c r="X72" s="1047"/>
      <c r="Y72" s="1048"/>
      <c r="Z72" s="400" t="s">
        <v>2823</v>
      </c>
      <c r="AA72" s="227" t="s">
        <v>2893</v>
      </c>
      <c r="AB72" s="7154"/>
      <c r="AC72" s="7240"/>
      <c r="AD72" s="7246"/>
      <c r="AE72" s="7246"/>
      <c r="AF72" s="394"/>
      <c r="AG72" s="260"/>
      <c r="AH72" s="394"/>
    </row>
    <row r="73" spans="1:34" ht="12" customHeight="1">
      <c r="A73" s="394"/>
      <c r="B73" s="124"/>
      <c r="C73" s="131"/>
      <c r="D73" s="680"/>
      <c r="E73" s="680"/>
      <c r="F73" s="680"/>
      <c r="G73" s="680"/>
      <c r="H73" s="680"/>
      <c r="I73" s="680"/>
      <c r="J73" s="680"/>
      <c r="K73" s="680"/>
      <c r="L73" s="680"/>
      <c r="M73" s="680"/>
      <c r="N73" s="680"/>
      <c r="O73" s="680"/>
      <c r="P73" s="133"/>
      <c r="Q73" s="133"/>
      <c r="R73" s="133"/>
      <c r="S73" s="133"/>
      <c r="T73" s="133"/>
      <c r="U73" s="133"/>
      <c r="V73" s="680"/>
      <c r="W73" s="680"/>
      <c r="X73" s="680"/>
      <c r="Y73" s="680"/>
      <c r="Z73" s="5663"/>
      <c r="AA73" s="3772"/>
      <c r="AB73" s="680"/>
      <c r="AC73" s="680"/>
      <c r="AD73" s="680"/>
      <c r="AE73" s="680"/>
      <c r="AF73" s="394"/>
      <c r="AG73" s="260"/>
      <c r="AH73" s="394"/>
    </row>
    <row r="74" spans="1:34" ht="15" customHeight="1">
      <c r="A74" s="394"/>
      <c r="B74" s="124" t="s">
        <v>644</v>
      </c>
      <c r="C74" s="936" t="s">
        <v>2833</v>
      </c>
      <c r="D74" s="680"/>
      <c r="E74" s="680"/>
      <c r="F74" s="680"/>
      <c r="G74" s="680"/>
      <c r="H74" s="680"/>
      <c r="I74" s="680"/>
      <c r="J74" s="5110" t="s">
        <v>1012</v>
      </c>
      <c r="K74" s="7626" t="s">
        <v>2894</v>
      </c>
      <c r="L74" s="7627"/>
      <c r="M74" s="7179"/>
      <c r="N74" s="7180"/>
      <c r="O74" s="7254"/>
      <c r="P74" s="7708"/>
      <c r="Q74" s="133"/>
      <c r="R74" s="2757" t="s">
        <v>2895</v>
      </c>
      <c r="S74" s="2757"/>
      <c r="T74" s="1047" t="s">
        <v>433</v>
      </c>
      <c r="U74" s="2757"/>
      <c r="V74" s="1047"/>
      <c r="W74" s="1047"/>
      <c r="X74" s="1047"/>
      <c r="Y74" s="1048"/>
      <c r="Z74" s="1059" t="s">
        <v>2886</v>
      </c>
      <c r="AA74" s="227" t="s">
        <v>2895</v>
      </c>
      <c r="AB74" s="7154"/>
      <c r="AC74" s="7240"/>
      <c r="AD74" s="7246"/>
      <c r="AE74" s="7246"/>
      <c r="AF74" s="394"/>
      <c r="AG74" s="260"/>
      <c r="AH74" s="394"/>
    </row>
    <row r="75" spans="1:34" ht="9.75" customHeight="1">
      <c r="A75" s="394"/>
      <c r="B75" s="699"/>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1069"/>
      <c r="AA75" s="3772"/>
      <c r="AB75" s="222"/>
      <c r="AC75" s="222"/>
      <c r="AD75" s="222"/>
      <c r="AE75" s="222"/>
      <c r="AF75" s="394"/>
      <c r="AG75" s="260"/>
      <c r="AH75" s="394"/>
    </row>
    <row r="76" spans="1:34" ht="14.25" customHeight="1">
      <c r="A76" s="394"/>
      <c r="B76" s="168">
        <v>41</v>
      </c>
      <c r="C76" s="699" t="s">
        <v>2896</v>
      </c>
      <c r="D76" s="133"/>
      <c r="E76" s="133"/>
      <c r="F76" s="133"/>
      <c r="G76" s="133"/>
      <c r="H76" s="133"/>
      <c r="I76" s="133"/>
      <c r="J76" s="133"/>
      <c r="K76" s="133"/>
      <c r="L76" s="133"/>
      <c r="M76" s="133"/>
      <c r="N76" s="133"/>
      <c r="O76" s="133"/>
      <c r="P76" s="133"/>
      <c r="Q76" s="133"/>
      <c r="R76" s="133"/>
      <c r="S76" s="133"/>
      <c r="T76" s="133"/>
      <c r="U76" s="133"/>
      <c r="V76" s="133"/>
      <c r="W76" s="133"/>
      <c r="X76" s="133"/>
      <c r="Y76" s="133"/>
      <c r="Z76" s="400" t="s">
        <v>2897</v>
      </c>
      <c r="AA76" s="227">
        <v>41</v>
      </c>
      <c r="AB76" s="7154"/>
      <c r="AC76" s="7240"/>
      <c r="AD76" s="7246"/>
      <c r="AE76" s="7246"/>
      <c r="AF76" s="394"/>
      <c r="AG76" s="260"/>
      <c r="AH76" s="394"/>
    </row>
    <row r="77" spans="1:34" ht="9.75" customHeight="1">
      <c r="A77" s="394"/>
      <c r="B77" s="699"/>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c r="AA77" s="3772"/>
      <c r="AB77" s="222"/>
      <c r="AC77" s="222"/>
      <c r="AD77" s="222"/>
      <c r="AE77" s="222"/>
      <c r="AF77" s="394"/>
      <c r="AG77" s="260"/>
      <c r="AH77" s="394"/>
    </row>
    <row r="78" spans="1:34" ht="14.25" customHeight="1">
      <c r="A78" s="394"/>
      <c r="B78" s="168">
        <v>42</v>
      </c>
      <c r="C78" s="699" t="s">
        <v>2836</v>
      </c>
      <c r="D78" s="133"/>
      <c r="E78" s="133"/>
      <c r="F78" s="133"/>
      <c r="G78" s="133"/>
      <c r="H78" s="133"/>
      <c r="I78" s="133"/>
      <c r="J78" s="133"/>
      <c r="K78" s="133"/>
      <c r="L78" s="133"/>
      <c r="M78" s="133"/>
      <c r="N78" s="133"/>
      <c r="O78" s="133"/>
      <c r="P78" s="133"/>
      <c r="Q78" s="133"/>
      <c r="R78" s="133"/>
      <c r="S78" s="133"/>
      <c r="T78" s="133"/>
      <c r="U78" s="133"/>
      <c r="V78" s="133"/>
      <c r="W78" s="133"/>
      <c r="X78" s="133"/>
      <c r="Y78" s="133"/>
      <c r="Z78" s="400" t="s">
        <v>2823</v>
      </c>
      <c r="AA78" s="227">
        <v>42</v>
      </c>
      <c r="AB78" s="7154"/>
      <c r="AC78" s="7240"/>
      <c r="AD78" s="7246"/>
      <c r="AE78" s="7246"/>
      <c r="AF78" s="394"/>
      <c r="AG78" s="260"/>
      <c r="AH78" s="394"/>
    </row>
    <row r="79" spans="1:34" ht="9.75" customHeight="1">
      <c r="A79" s="394"/>
      <c r="B79" s="699"/>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3772"/>
      <c r="AB79" s="222"/>
      <c r="AC79" s="222"/>
      <c r="AD79" s="222"/>
      <c r="AE79" s="222"/>
      <c r="AF79" s="394"/>
      <c r="AG79" s="260"/>
      <c r="AH79" s="394"/>
    </row>
    <row r="80" spans="1:34" ht="14.25" customHeight="1">
      <c r="A80" s="394"/>
      <c r="B80" s="168">
        <v>43</v>
      </c>
      <c r="C80" s="699" t="s">
        <v>2898</v>
      </c>
      <c r="D80" s="133"/>
      <c r="E80" s="133"/>
      <c r="F80" s="133"/>
      <c r="G80" s="133"/>
      <c r="H80" s="133"/>
      <c r="I80" s="133"/>
      <c r="J80" s="133"/>
      <c r="K80" s="133"/>
      <c r="L80" s="133"/>
      <c r="M80" s="133"/>
      <c r="N80" s="133"/>
      <c r="O80" s="133"/>
      <c r="P80" s="133"/>
      <c r="Q80" s="133"/>
      <c r="R80" s="133"/>
      <c r="S80" s="133"/>
      <c r="T80" s="133"/>
      <c r="U80" s="133"/>
      <c r="V80" s="133"/>
      <c r="W80" s="133"/>
      <c r="X80" s="133"/>
      <c r="Y80" s="133"/>
      <c r="Z80" s="400" t="s">
        <v>2899</v>
      </c>
      <c r="AA80" s="227">
        <v>43</v>
      </c>
      <c r="AB80" s="7154"/>
      <c r="AC80" s="7240"/>
      <c r="AD80" s="7246"/>
      <c r="AE80" s="7246"/>
      <c r="AF80" s="394"/>
      <c r="AG80" s="260"/>
      <c r="AH80" s="394"/>
    </row>
    <row r="81" spans="1:34" ht="9.75" customHeight="1">
      <c r="A81" s="394"/>
      <c r="B81" s="699"/>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3772"/>
      <c r="AB81" s="1058"/>
      <c r="AC81" s="1052"/>
      <c r="AD81" s="1052"/>
      <c r="AE81" s="1052"/>
      <c r="AF81" s="394"/>
      <c r="AG81" s="260"/>
      <c r="AH81" s="394"/>
    </row>
    <row r="82" spans="1:34" ht="14.25" customHeight="1">
      <c r="A82" s="394"/>
      <c r="B82" s="168">
        <v>44</v>
      </c>
      <c r="C82" s="699" t="s">
        <v>2900</v>
      </c>
      <c r="D82" s="133"/>
      <c r="E82" s="133"/>
      <c r="F82" s="133"/>
      <c r="G82" s="133"/>
      <c r="H82" s="133"/>
      <c r="I82" s="133"/>
      <c r="J82" s="133"/>
      <c r="K82" s="133"/>
      <c r="L82" s="133"/>
      <c r="M82" s="133"/>
      <c r="N82" s="133"/>
      <c r="O82" s="133"/>
      <c r="P82" s="133"/>
      <c r="Q82" s="133"/>
      <c r="R82" s="133"/>
      <c r="S82" s="133"/>
      <c r="T82" s="133"/>
      <c r="U82" s="133"/>
      <c r="V82" s="133"/>
      <c r="W82" s="133"/>
      <c r="X82" s="133"/>
      <c r="Y82" s="133"/>
      <c r="Z82" s="400" t="s">
        <v>5609</v>
      </c>
      <c r="AA82" s="227">
        <v>44</v>
      </c>
      <c r="AB82" s="7149">
        <f>IF(AG82&lt;&gt;"",ROUND(AG82,0),ROUND(SUM(AB65,AB67,AB69,AB72,AB74,AB76,AB78,AB80),0))</f>
        <v>0</v>
      </c>
      <c r="AC82" s="7636"/>
      <c r="AD82" s="7316"/>
      <c r="AE82" s="7316"/>
      <c r="AF82" s="394"/>
      <c r="AG82" s="384"/>
      <c r="AH82" s="394"/>
    </row>
    <row r="83" spans="1:34" ht="9.75" customHeight="1">
      <c r="A83" s="394"/>
      <c r="B83" s="699"/>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c r="AA83" s="3773"/>
      <c r="AB83" s="222"/>
      <c r="AC83" s="222"/>
      <c r="AD83" s="222"/>
      <c r="AE83" s="222"/>
      <c r="AF83" s="394"/>
      <c r="AG83" s="260"/>
      <c r="AH83" s="394"/>
    </row>
    <row r="84" spans="1:34" ht="14.25" customHeight="1">
      <c r="A84" s="394"/>
      <c r="B84" s="168">
        <v>45</v>
      </c>
      <c r="C84" s="699" t="s">
        <v>5610</v>
      </c>
      <c r="D84" s="133"/>
      <c r="E84" s="133"/>
      <c r="F84" s="133"/>
      <c r="G84" s="133"/>
      <c r="H84" s="133"/>
      <c r="I84" s="133"/>
      <c r="J84" s="133"/>
      <c r="K84" s="133"/>
      <c r="L84" s="133"/>
      <c r="M84" s="133"/>
      <c r="N84" s="133"/>
      <c r="O84" s="133"/>
      <c r="P84" s="133"/>
      <c r="Q84" s="133"/>
      <c r="R84" s="133"/>
      <c r="S84" s="133"/>
      <c r="T84" s="133"/>
      <c r="U84" s="133"/>
      <c r="V84" s="400"/>
      <c r="W84" s="1047"/>
      <c r="X84" s="1047"/>
      <c r="Y84" s="1048"/>
      <c r="Z84" s="1048"/>
      <c r="AA84" s="3774"/>
      <c r="AB84" s="222"/>
      <c r="AC84" s="222"/>
      <c r="AD84" s="222"/>
      <c r="AE84" s="222"/>
      <c r="AF84" s="394"/>
      <c r="AG84" s="260"/>
      <c r="AH84" s="394"/>
    </row>
    <row r="85" spans="1:34" ht="12.75" customHeight="1">
      <c r="A85" s="394"/>
      <c r="B85" s="168"/>
      <c r="C85" s="936" t="s">
        <v>5611</v>
      </c>
      <c r="D85" s="680"/>
      <c r="E85" s="680"/>
      <c r="F85" s="680"/>
      <c r="G85" s="680"/>
      <c r="H85" s="680"/>
      <c r="I85" s="680"/>
      <c r="J85" s="680"/>
      <c r="K85" s="680"/>
      <c r="L85" s="680"/>
      <c r="M85" s="680"/>
      <c r="N85" s="680"/>
      <c r="O85" s="680"/>
      <c r="P85" s="680"/>
      <c r="Q85" s="680"/>
      <c r="R85" s="1059"/>
      <c r="S85" s="1059"/>
      <c r="T85" s="1059"/>
      <c r="U85" s="1059" t="s">
        <v>2143</v>
      </c>
      <c r="V85" s="3775">
        <v>45</v>
      </c>
      <c r="W85" s="7240"/>
      <c r="X85" s="7240"/>
      <c r="Y85" s="7246"/>
      <c r="Z85" s="7246"/>
      <c r="AA85" s="3774"/>
      <c r="AB85" s="222"/>
      <c r="AC85" s="222"/>
      <c r="AD85" s="222"/>
      <c r="AE85" s="222"/>
      <c r="AF85" s="394"/>
      <c r="AG85" s="260"/>
      <c r="AH85" s="394"/>
    </row>
    <row r="86" spans="1:34" ht="21" customHeight="1">
      <c r="A86" s="394"/>
      <c r="B86" s="168">
        <v>46</v>
      </c>
      <c r="C86" s="699" t="s">
        <v>2901</v>
      </c>
      <c r="D86" s="133"/>
      <c r="E86" s="133"/>
      <c r="F86" s="133"/>
      <c r="G86" s="133"/>
      <c r="H86" s="133"/>
      <c r="I86" s="133"/>
      <c r="J86" s="133"/>
      <c r="K86" s="133"/>
      <c r="L86" s="133"/>
      <c r="M86" s="133"/>
      <c r="N86" s="133"/>
      <c r="O86" s="133"/>
      <c r="P86" s="133"/>
      <c r="Q86" s="133"/>
      <c r="R86" s="133"/>
      <c r="S86" s="133"/>
      <c r="T86" s="133"/>
      <c r="U86" s="133"/>
      <c r="V86" s="3776"/>
      <c r="W86" s="1047"/>
      <c r="X86" s="1047"/>
      <c r="Y86" s="1048"/>
      <c r="Z86" s="1048"/>
      <c r="AA86" s="3774"/>
      <c r="AB86" s="222"/>
      <c r="AC86" s="222"/>
      <c r="AD86" s="222"/>
      <c r="AE86" s="222"/>
      <c r="AF86" s="394"/>
      <c r="AG86" s="260"/>
      <c r="AH86" s="394"/>
    </row>
    <row r="87" spans="1:34" ht="12.75" customHeight="1">
      <c r="A87" s="394"/>
      <c r="B87" s="168"/>
      <c r="C87" s="936" t="s">
        <v>2902</v>
      </c>
      <c r="D87" s="680"/>
      <c r="E87" s="680"/>
      <c r="F87" s="680"/>
      <c r="G87" s="680"/>
      <c r="H87" s="680"/>
      <c r="I87" s="680"/>
      <c r="J87" s="680"/>
      <c r="K87" s="680"/>
      <c r="L87" s="680"/>
      <c r="M87" s="680"/>
      <c r="N87" s="680"/>
      <c r="O87" s="680"/>
      <c r="P87" s="680"/>
      <c r="Q87" s="680"/>
      <c r="R87" s="1059"/>
      <c r="S87" s="1059"/>
      <c r="T87" s="1059"/>
      <c r="U87" s="1059" t="s">
        <v>2903</v>
      </c>
      <c r="V87" s="3775">
        <v>46</v>
      </c>
      <c r="W87" s="7240"/>
      <c r="X87" s="7240"/>
      <c r="Y87" s="7246"/>
      <c r="Z87" s="7246"/>
      <c r="AA87" s="3774"/>
      <c r="AB87" s="222"/>
      <c r="AC87" s="222"/>
      <c r="AD87" s="222"/>
      <c r="AE87" s="222"/>
      <c r="AF87" s="394"/>
      <c r="AG87" s="260"/>
      <c r="AH87" s="394"/>
    </row>
    <row r="88" spans="1:34" ht="11.25" customHeight="1">
      <c r="A88" s="394"/>
      <c r="B88" s="168"/>
      <c r="C88" s="131"/>
      <c r="D88" s="133"/>
      <c r="E88" s="133"/>
      <c r="F88" s="133"/>
      <c r="G88" s="133"/>
      <c r="H88" s="133"/>
      <c r="I88" s="133"/>
      <c r="J88" s="133"/>
      <c r="K88" s="133"/>
      <c r="L88" s="133"/>
      <c r="M88" s="133"/>
      <c r="N88" s="133"/>
      <c r="O88" s="133"/>
      <c r="P88" s="133"/>
      <c r="Q88" s="133"/>
      <c r="R88" s="133"/>
      <c r="S88" s="133"/>
      <c r="T88" s="133"/>
      <c r="U88" s="133"/>
      <c r="V88" s="3776"/>
      <c r="W88" s="1047"/>
      <c r="X88" s="1047"/>
      <c r="Y88" s="1048"/>
      <c r="Z88" s="1048"/>
      <c r="AA88" s="3774"/>
      <c r="AB88" s="222"/>
      <c r="AC88" s="222"/>
      <c r="AD88" s="222"/>
      <c r="AE88" s="222"/>
      <c r="AF88" s="394"/>
      <c r="AG88" s="260"/>
      <c r="AH88" s="394"/>
    </row>
    <row r="89" spans="1:34" ht="12.75" customHeight="1">
      <c r="A89" s="394"/>
      <c r="B89" s="168">
        <v>47</v>
      </c>
      <c r="C89" s="936" t="s">
        <v>2904</v>
      </c>
      <c r="D89" s="680"/>
      <c r="E89" s="680"/>
      <c r="F89" s="680"/>
      <c r="G89" s="680"/>
      <c r="H89" s="680"/>
      <c r="I89" s="680"/>
      <c r="J89" s="680"/>
      <c r="K89" s="680"/>
      <c r="L89" s="680"/>
      <c r="M89" s="680"/>
      <c r="N89" s="680"/>
      <c r="O89" s="680"/>
      <c r="P89" s="680"/>
      <c r="Q89" s="680"/>
      <c r="R89" s="1059"/>
      <c r="S89" s="1059"/>
      <c r="T89" s="1059"/>
      <c r="U89" s="1059" t="s">
        <v>2298</v>
      </c>
      <c r="V89" s="3775">
        <v>47</v>
      </c>
      <c r="W89" s="7149">
        <f>ROUND(SUM(W85,W87),0)</f>
        <v>0</v>
      </c>
      <c r="X89" s="7636"/>
      <c r="Y89" s="7316"/>
      <c r="Z89" s="7316"/>
      <c r="AA89" s="3774"/>
      <c r="AB89" s="222"/>
      <c r="AC89" s="222"/>
      <c r="AD89" s="222"/>
      <c r="AE89" s="222"/>
      <c r="AF89" s="394"/>
      <c r="AG89" s="260"/>
      <c r="AH89" s="394"/>
    </row>
    <row r="90" spans="1:34" ht="14.25" customHeight="1">
      <c r="A90" s="394"/>
      <c r="B90" s="168"/>
      <c r="C90" s="131"/>
      <c r="D90" s="133"/>
      <c r="E90" s="133"/>
      <c r="F90" s="133"/>
      <c r="G90" s="133"/>
      <c r="H90" s="133"/>
      <c r="I90" s="133"/>
      <c r="J90" s="133"/>
      <c r="K90" s="133"/>
      <c r="L90" s="133"/>
      <c r="M90" s="133"/>
      <c r="N90" s="133"/>
      <c r="O90" s="133"/>
      <c r="P90" s="133"/>
      <c r="Q90" s="133"/>
      <c r="R90" s="133"/>
      <c r="S90" s="133"/>
      <c r="T90" s="133"/>
      <c r="U90" s="133"/>
      <c r="V90" s="3776"/>
      <c r="W90" s="1047"/>
      <c r="X90" s="1047"/>
      <c r="Y90" s="1048"/>
      <c r="Z90" s="1048"/>
      <c r="AA90" s="3774"/>
      <c r="AB90" s="222"/>
      <c r="AC90" s="222"/>
      <c r="AD90" s="222"/>
      <c r="AE90" s="222"/>
      <c r="AF90" s="394"/>
      <c r="AG90" s="260"/>
      <c r="AH90" s="394"/>
    </row>
    <row r="91" spans="1:34" ht="12.75" customHeight="1">
      <c r="A91" s="394"/>
      <c r="B91" s="168">
        <v>48</v>
      </c>
      <c r="C91" s="936" t="s">
        <v>2905</v>
      </c>
      <c r="D91" s="680"/>
      <c r="E91" s="680"/>
      <c r="F91" s="680"/>
      <c r="G91" s="680"/>
      <c r="H91" s="680"/>
      <c r="I91" s="680"/>
      <c r="J91" s="680"/>
      <c r="K91" s="680"/>
      <c r="L91" s="680"/>
      <c r="M91" s="680"/>
      <c r="N91" s="680"/>
      <c r="O91" s="680"/>
      <c r="P91" s="680"/>
      <c r="Q91" s="680"/>
      <c r="R91" s="1059"/>
      <c r="S91" s="1059"/>
      <c r="T91" s="1059"/>
      <c r="U91" s="1059" t="s">
        <v>1298</v>
      </c>
      <c r="V91" s="3775">
        <v>48</v>
      </c>
      <c r="W91" s="7240"/>
      <c r="X91" s="7240"/>
      <c r="Y91" s="7246"/>
      <c r="Z91" s="7246"/>
      <c r="AA91" s="3774"/>
      <c r="AB91" s="222"/>
      <c r="AC91" s="222"/>
      <c r="AD91" s="222"/>
      <c r="AE91" s="222"/>
      <c r="AF91" s="394"/>
      <c r="AG91" s="260"/>
      <c r="AH91" s="394"/>
    </row>
    <row r="92" spans="1:34" ht="9.75" customHeight="1">
      <c r="A92" s="394"/>
      <c r="B92" s="699"/>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3772"/>
      <c r="AB92" s="222"/>
      <c r="AC92" s="222"/>
      <c r="AD92" s="222"/>
      <c r="AE92" s="222"/>
      <c r="AF92" s="394"/>
      <c r="AG92" s="260"/>
      <c r="AH92" s="394"/>
    </row>
    <row r="93" spans="1:34" ht="14.25" customHeight="1">
      <c r="A93" s="394"/>
      <c r="B93" s="168">
        <v>49</v>
      </c>
      <c r="C93" s="699" t="s">
        <v>2906</v>
      </c>
      <c r="D93" s="133"/>
      <c r="E93" s="133"/>
      <c r="F93" s="133"/>
      <c r="G93" s="133"/>
      <c r="H93" s="133"/>
      <c r="I93" s="133"/>
      <c r="J93" s="133"/>
      <c r="K93" s="133"/>
      <c r="L93" s="133"/>
      <c r="M93" s="133"/>
      <c r="N93" s="133"/>
      <c r="O93" s="133"/>
      <c r="P93" s="133"/>
      <c r="Q93" s="133"/>
      <c r="R93" s="133"/>
      <c r="S93" s="133"/>
      <c r="T93" s="133"/>
      <c r="U93" s="133"/>
      <c r="V93" s="133"/>
      <c r="W93" s="133"/>
      <c r="X93" s="133"/>
      <c r="Y93" s="133"/>
      <c r="Z93" s="1059" t="s">
        <v>922</v>
      </c>
      <c r="AA93" s="227">
        <v>49</v>
      </c>
      <c r="AB93" s="7149">
        <f>SUM(W89,-W91)</f>
        <v>0</v>
      </c>
      <c r="AC93" s="7636"/>
      <c r="AD93" s="7316"/>
      <c r="AE93" s="7316"/>
      <c r="AF93" s="394"/>
      <c r="AG93" s="260"/>
      <c r="AH93" s="394"/>
    </row>
    <row r="94" spans="1:34" ht="9.75" customHeight="1">
      <c r="A94" s="394"/>
      <c r="B94" s="699"/>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c r="AA94" s="3772"/>
      <c r="AB94" s="7693" t="b">
        <f>IF(OR(AB82&lt;&gt;0,W89&lt;&gt;0,AB93&lt;&gt;0),TRUE,FALSE)</f>
        <v>0</v>
      </c>
      <c r="AC94" s="7694"/>
      <c r="AD94" s="7694"/>
      <c r="AE94" s="7694"/>
      <c r="AF94" s="394"/>
      <c r="AG94" s="260"/>
      <c r="AH94" s="394"/>
    </row>
    <row r="95" spans="1:34" ht="14.25" customHeight="1">
      <c r="A95" s="394"/>
      <c r="B95" s="3771">
        <v>50</v>
      </c>
      <c r="C95" s="1186" t="s">
        <v>5612</v>
      </c>
      <c r="D95" s="172"/>
      <c r="E95" s="172"/>
      <c r="F95" s="172"/>
      <c r="G95" s="172"/>
      <c r="H95" s="172"/>
      <c r="I95" s="172"/>
      <c r="J95" s="172"/>
      <c r="K95" s="172"/>
      <c r="L95" s="172"/>
      <c r="M95" s="172"/>
      <c r="N95" s="172"/>
      <c r="O95" s="172"/>
      <c r="P95" s="172"/>
      <c r="Q95" s="172"/>
      <c r="R95" s="172"/>
      <c r="S95" s="172"/>
      <c r="T95" s="172"/>
      <c r="U95" s="172"/>
      <c r="V95" s="172"/>
      <c r="W95" s="172"/>
      <c r="X95" s="172"/>
      <c r="Y95" s="172"/>
      <c r="Z95" s="1072" t="s">
        <v>1012</v>
      </c>
      <c r="AA95" s="227">
        <v>50</v>
      </c>
      <c r="AB95" s="7149">
        <f>IF(AG95&lt;&gt;"",ROUND(AG95,0),SUM(AB82,-AB93))</f>
        <v>0</v>
      </c>
      <c r="AC95" s="7636"/>
      <c r="AD95" s="7316"/>
      <c r="AE95" s="7316"/>
      <c r="AF95" s="394"/>
      <c r="AG95" s="384"/>
      <c r="AH95" s="394"/>
    </row>
    <row r="96" spans="1:34">
      <c r="A96" s="394"/>
      <c r="B96" s="267" t="s">
        <v>2907</v>
      </c>
      <c r="C96" s="190"/>
      <c r="D96" s="680"/>
      <c r="E96" s="680"/>
      <c r="F96" s="680"/>
      <c r="G96" s="680"/>
      <c r="H96" s="680"/>
      <c r="I96" s="680"/>
      <c r="J96" s="680"/>
      <c r="K96" s="680"/>
      <c r="L96" s="680"/>
      <c r="M96" s="680"/>
      <c r="N96" s="680"/>
      <c r="O96" s="680"/>
      <c r="P96" s="680"/>
      <c r="Q96" s="680"/>
      <c r="R96" s="680"/>
      <c r="S96" s="680"/>
      <c r="T96" s="680"/>
      <c r="U96" s="680"/>
      <c r="V96" s="680"/>
      <c r="W96" s="680"/>
      <c r="X96" s="680"/>
      <c r="Y96" s="680"/>
      <c r="Z96" s="680"/>
      <c r="AA96" s="680"/>
      <c r="AB96" s="680"/>
      <c r="AC96" s="680"/>
      <c r="AD96" s="680"/>
      <c r="AE96" s="680"/>
      <c r="AF96" s="394"/>
      <c r="AG96" s="260"/>
      <c r="AH96" s="394"/>
    </row>
    <row r="97" spans="1:34" ht="12.75" customHeight="1" thickBot="1">
      <c r="A97" s="394"/>
      <c r="B97" s="5111" t="s">
        <v>2908</v>
      </c>
      <c r="C97" s="1070"/>
      <c r="D97" s="5662"/>
      <c r="E97" s="5662"/>
      <c r="F97" s="5662"/>
      <c r="G97" s="5662"/>
      <c r="H97" s="5662"/>
      <c r="I97" s="5662"/>
      <c r="J97" s="5662"/>
      <c r="K97" s="5662"/>
      <c r="L97" s="5662"/>
      <c r="M97" s="5662"/>
      <c r="N97" s="5662"/>
      <c r="O97" s="5662"/>
      <c r="P97" s="5662"/>
      <c r="Q97" s="5662"/>
      <c r="R97" s="5662"/>
      <c r="S97" s="5662"/>
      <c r="T97" s="5662"/>
      <c r="U97" s="5662"/>
      <c r="V97" s="5662"/>
      <c r="W97" s="5662"/>
      <c r="X97" s="5662"/>
      <c r="Y97" s="5662"/>
      <c r="Z97" s="5662"/>
      <c r="AA97" s="5662"/>
      <c r="AB97" s="5662"/>
      <c r="AC97" s="5662"/>
      <c r="AD97" s="5662"/>
      <c r="AE97" s="5662"/>
      <c r="AF97" s="394"/>
      <c r="AG97" s="260"/>
      <c r="AH97" s="394"/>
    </row>
    <row r="98" spans="1:34" ht="15" customHeight="1" thickTop="1">
      <c r="A98" s="394"/>
      <c r="B98" s="7628" t="s">
        <v>2410</v>
      </c>
      <c r="C98" s="7629"/>
      <c r="D98" s="1071" t="s">
        <v>2909</v>
      </c>
      <c r="E98" s="1067"/>
      <c r="F98" s="1067"/>
      <c r="G98" s="1067"/>
      <c r="H98" s="1067"/>
      <c r="I98" s="1067"/>
      <c r="J98" s="1067"/>
      <c r="K98" s="1067"/>
      <c r="L98" s="1067"/>
      <c r="M98" s="1067"/>
      <c r="N98" s="1067"/>
      <c r="O98" s="1067"/>
      <c r="P98" s="1067"/>
      <c r="Q98" s="1067"/>
      <c r="R98" s="1067"/>
      <c r="S98" s="1067"/>
      <c r="T98" s="1067"/>
      <c r="U98" s="1067"/>
      <c r="V98" s="1067"/>
      <c r="W98" s="1067"/>
      <c r="X98" s="1067"/>
      <c r="Y98" s="1067"/>
      <c r="Z98" s="1067"/>
      <c r="AA98" s="1067"/>
      <c r="AB98" s="1067"/>
      <c r="AC98" s="1067"/>
      <c r="AD98" s="1067"/>
      <c r="AE98" s="1067"/>
      <c r="AF98" s="394"/>
      <c r="AG98" s="260"/>
      <c r="AH98" s="394"/>
    </row>
    <row r="99" spans="1:34" ht="12.75" customHeight="1">
      <c r="A99" s="394"/>
      <c r="B99" s="168"/>
      <c r="C99" s="168"/>
      <c r="D99" s="3389" t="s">
        <v>5613</v>
      </c>
      <c r="E99" s="1060"/>
      <c r="F99" s="222"/>
      <c r="G99" s="222"/>
      <c r="H99" s="222"/>
      <c r="I99" s="222"/>
      <c r="J99" s="222"/>
      <c r="K99" s="222"/>
      <c r="L99" s="222"/>
      <c r="M99" s="222"/>
      <c r="N99" s="222"/>
      <c r="O99" s="7608">
        <v>111300</v>
      </c>
      <c r="P99" s="7609"/>
      <c r="Q99" s="7609"/>
      <c r="R99" s="699" t="s">
        <v>2910</v>
      </c>
      <c r="S99" s="133"/>
      <c r="T99" s="133"/>
      <c r="U99" s="133"/>
      <c r="V99" s="222"/>
      <c r="W99" s="222"/>
      <c r="X99" s="222"/>
      <c r="Y99" s="222"/>
      <c r="Z99" s="222"/>
      <c r="AA99" s="222"/>
      <c r="AB99" s="222"/>
      <c r="AC99" s="222"/>
      <c r="AD99" s="222"/>
      <c r="AE99" s="222"/>
      <c r="AF99" s="394"/>
      <c r="AG99" s="260"/>
      <c r="AH99" s="394"/>
    </row>
    <row r="100" spans="1:34" ht="12.75" customHeight="1">
      <c r="A100" s="394"/>
      <c r="B100" s="168"/>
      <c r="C100" s="168"/>
      <c r="D100" s="3389" t="s">
        <v>5614</v>
      </c>
      <c r="E100" s="1060"/>
      <c r="F100" s="222"/>
      <c r="G100" s="222"/>
      <c r="H100" s="222"/>
      <c r="I100" s="222"/>
      <c r="J100" s="222"/>
      <c r="K100" s="222"/>
      <c r="L100" s="222"/>
      <c r="M100" s="222"/>
      <c r="N100" s="222"/>
      <c r="O100" s="7608">
        <v>111400</v>
      </c>
      <c r="P100" s="7609"/>
      <c r="Q100" s="7609"/>
      <c r="R100" s="699" t="s">
        <v>2911</v>
      </c>
      <c r="S100" s="133"/>
      <c r="T100" s="133"/>
      <c r="U100" s="133"/>
      <c r="V100" s="222"/>
      <c r="W100" s="222"/>
      <c r="X100" s="222"/>
      <c r="Y100" s="222"/>
      <c r="Z100" s="222"/>
      <c r="AA100" s="222"/>
      <c r="AB100" s="222"/>
      <c r="AC100" s="222"/>
      <c r="AD100" s="222"/>
      <c r="AE100" s="222"/>
      <c r="AF100" s="394"/>
      <c r="AG100" s="260"/>
      <c r="AH100" s="394"/>
    </row>
    <row r="101" spans="1:34" ht="12.75" customHeight="1">
      <c r="A101" s="394"/>
      <c r="B101" s="168"/>
      <c r="C101" s="168"/>
      <c r="D101" s="3389" t="s">
        <v>2912</v>
      </c>
      <c r="E101" s="1060"/>
      <c r="F101" s="222"/>
      <c r="G101" s="222"/>
      <c r="H101" s="222"/>
      <c r="I101" s="222"/>
      <c r="J101" s="222"/>
      <c r="K101" s="222"/>
      <c r="L101" s="222"/>
      <c r="M101" s="222"/>
      <c r="N101" s="222"/>
      <c r="O101" s="7608">
        <v>111900</v>
      </c>
      <c r="P101" s="7609"/>
      <c r="Q101" s="7609"/>
      <c r="R101" s="699" t="s">
        <v>2913</v>
      </c>
      <c r="S101" s="133"/>
      <c r="T101" s="133"/>
      <c r="U101" s="133"/>
      <c r="V101" s="222"/>
      <c r="W101" s="222"/>
      <c r="X101" s="222"/>
      <c r="Y101" s="222"/>
      <c r="Z101" s="222"/>
      <c r="AA101" s="222"/>
      <c r="AB101" s="222"/>
      <c r="AC101" s="222"/>
      <c r="AD101" s="222"/>
      <c r="AE101" s="222"/>
      <c r="AF101" s="394"/>
      <c r="AG101" s="260"/>
      <c r="AH101" s="394"/>
    </row>
    <row r="102" spans="1:34" ht="12.75" customHeight="1">
      <c r="A102" s="394"/>
      <c r="B102" s="168"/>
      <c r="C102" s="168"/>
      <c r="D102" s="3389" t="s">
        <v>5615</v>
      </c>
      <c r="E102" s="1060"/>
      <c r="F102" s="222"/>
      <c r="G102" s="222"/>
      <c r="H102" s="222"/>
      <c r="I102" s="222"/>
      <c r="J102" s="222"/>
      <c r="K102" s="222"/>
      <c r="L102" s="222"/>
      <c r="M102" s="222"/>
      <c r="N102" s="222"/>
      <c r="O102" s="5113" t="s">
        <v>2914</v>
      </c>
      <c r="P102" s="3015"/>
      <c r="Q102" s="222"/>
      <c r="R102" s="222"/>
      <c r="S102" s="222"/>
      <c r="T102" s="222"/>
      <c r="U102" s="222"/>
      <c r="V102" s="222"/>
      <c r="W102" s="222"/>
      <c r="X102" s="222"/>
      <c r="Y102" s="222"/>
      <c r="Z102" s="222"/>
      <c r="AA102" s="222"/>
      <c r="AB102" s="222"/>
      <c r="AC102" s="222"/>
      <c r="AD102" s="222"/>
      <c r="AE102" s="222"/>
      <c r="AF102" s="394"/>
      <c r="AG102" s="260"/>
      <c r="AH102" s="394"/>
    </row>
    <row r="103" spans="1:34" ht="12.75" customHeight="1">
      <c r="A103" s="394"/>
      <c r="B103" s="3778" t="s">
        <v>5616</v>
      </c>
      <c r="C103" s="3777"/>
      <c r="D103" s="2948"/>
      <c r="E103" s="222"/>
      <c r="F103" s="222"/>
      <c r="G103" s="222"/>
      <c r="H103" s="222"/>
      <c r="I103" s="222"/>
      <c r="J103" s="222"/>
      <c r="K103" s="222"/>
      <c r="L103" s="222"/>
      <c r="M103" s="222"/>
      <c r="N103" s="222"/>
      <c r="O103" s="7608">
        <v>112111</v>
      </c>
      <c r="P103" s="7609"/>
      <c r="Q103" s="7609"/>
      <c r="R103" s="699" t="s">
        <v>2915</v>
      </c>
      <c r="S103" s="133"/>
      <c r="T103" s="133"/>
      <c r="U103" s="133"/>
      <c r="V103" s="222"/>
      <c r="W103" s="222"/>
      <c r="X103" s="222"/>
      <c r="Y103" s="222"/>
      <c r="Z103" s="222"/>
      <c r="AA103" s="222"/>
      <c r="AB103" s="222"/>
      <c r="AC103" s="222"/>
      <c r="AD103" s="222"/>
      <c r="AE103" s="222"/>
      <c r="AF103" s="394"/>
      <c r="AG103" s="260"/>
      <c r="AH103" s="394"/>
    </row>
    <row r="104" spans="1:34" ht="12.75" customHeight="1">
      <c r="A104" s="394"/>
      <c r="B104" s="3778" t="s">
        <v>5617</v>
      </c>
      <c r="C104" s="2948"/>
      <c r="D104" s="2948"/>
      <c r="E104" s="222"/>
      <c r="F104" s="222"/>
      <c r="G104" s="222"/>
      <c r="H104" s="222"/>
      <c r="I104" s="222"/>
      <c r="J104" s="222"/>
      <c r="K104" s="222"/>
      <c r="L104" s="222"/>
      <c r="M104" s="222"/>
      <c r="N104" s="222"/>
      <c r="O104" s="7608">
        <v>112112</v>
      </c>
      <c r="P104" s="7609"/>
      <c r="Q104" s="7609"/>
      <c r="R104" s="699" t="s">
        <v>2916</v>
      </c>
      <c r="S104" s="133"/>
      <c r="T104" s="133"/>
      <c r="U104" s="133"/>
      <c r="V104" s="222"/>
      <c r="W104" s="222"/>
      <c r="X104" s="222"/>
      <c r="Y104" s="222"/>
      <c r="Z104" s="222"/>
      <c r="AA104" s="222"/>
      <c r="AB104" s="222"/>
      <c r="AC104" s="222"/>
      <c r="AD104" s="222"/>
      <c r="AE104" s="222"/>
      <c r="AF104" s="394"/>
      <c r="AG104" s="260"/>
      <c r="AH104" s="394"/>
    </row>
    <row r="105" spans="1:34" ht="12.75" customHeight="1">
      <c r="A105" s="394"/>
      <c r="B105" s="2948" t="s">
        <v>2917</v>
      </c>
      <c r="C105" s="2948"/>
      <c r="D105" s="2948"/>
      <c r="E105" s="936"/>
      <c r="F105" s="151"/>
      <c r="G105" s="151"/>
      <c r="H105" s="151"/>
      <c r="I105" s="151"/>
      <c r="J105" s="151"/>
      <c r="K105" s="151"/>
      <c r="L105" s="151"/>
      <c r="M105" s="151"/>
      <c r="N105" s="5961"/>
      <c r="O105" s="7618">
        <v>112120</v>
      </c>
      <c r="P105" s="7619"/>
      <c r="Q105" s="7619"/>
      <c r="R105" s="2543" t="s">
        <v>2918</v>
      </c>
      <c r="S105" s="2859"/>
      <c r="T105" s="2859"/>
      <c r="U105" s="2859"/>
      <c r="V105" s="5961"/>
      <c r="W105" s="5961"/>
      <c r="X105" s="5961"/>
      <c r="Y105" s="5961"/>
      <c r="Z105" s="5961"/>
      <c r="AA105" s="5961"/>
      <c r="AB105" s="5961"/>
      <c r="AC105" s="5961"/>
      <c r="AD105" s="5961"/>
      <c r="AE105" s="151"/>
      <c r="AF105" s="394"/>
      <c r="AG105" s="260"/>
      <c r="AH105" s="394"/>
    </row>
    <row r="106" spans="1:34" ht="12.75" customHeight="1">
      <c r="A106" s="394"/>
      <c r="B106" s="3778" t="s">
        <v>5619</v>
      </c>
      <c r="C106" s="2948"/>
      <c r="D106" s="2948"/>
      <c r="E106" s="936"/>
      <c r="F106" s="151"/>
      <c r="G106" s="151"/>
      <c r="H106" s="151"/>
      <c r="I106" s="151"/>
      <c r="J106" s="151"/>
      <c r="K106" s="151"/>
      <c r="L106" s="151"/>
      <c r="M106" s="151"/>
      <c r="N106" s="5961"/>
      <c r="O106" s="7618">
        <v>112210</v>
      </c>
      <c r="P106" s="7619"/>
      <c r="Q106" s="7619"/>
      <c r="R106" s="2543" t="s">
        <v>2919</v>
      </c>
      <c r="S106" s="2859"/>
      <c r="T106" s="2859"/>
      <c r="U106" s="2859"/>
      <c r="V106" s="5961"/>
      <c r="W106" s="5961"/>
      <c r="X106" s="5961"/>
      <c r="Y106" s="5961"/>
      <c r="Z106" s="5961"/>
      <c r="AA106" s="5961"/>
      <c r="AB106" s="5961"/>
      <c r="AC106" s="5961"/>
      <c r="AD106" s="5961"/>
      <c r="AE106" s="151"/>
      <c r="AF106" s="394"/>
      <c r="AG106" s="260"/>
      <c r="AH106" s="394"/>
    </row>
    <row r="107" spans="1:34" ht="12.75" customHeight="1">
      <c r="A107" s="394"/>
      <c r="B107" s="3778" t="s">
        <v>5618</v>
      </c>
      <c r="C107" s="2948"/>
      <c r="D107" s="2948"/>
      <c r="E107" s="936"/>
      <c r="F107" s="151"/>
      <c r="G107" s="151"/>
      <c r="H107" s="151"/>
      <c r="I107" s="151"/>
      <c r="J107" s="151"/>
      <c r="K107" s="151"/>
      <c r="L107" s="151"/>
      <c r="M107" s="151"/>
      <c r="N107" s="5961"/>
      <c r="O107" s="7610">
        <v>112300</v>
      </c>
      <c r="P107" s="7610"/>
      <c r="Q107" s="7610"/>
      <c r="R107" s="2543" t="s">
        <v>2921</v>
      </c>
      <c r="S107" s="2859"/>
      <c r="T107" s="2859"/>
      <c r="U107" s="2859"/>
      <c r="V107" s="5961"/>
      <c r="W107" s="5961"/>
      <c r="X107" s="5961"/>
      <c r="Y107" s="5961"/>
      <c r="Z107" s="5961"/>
      <c r="AA107" s="5961"/>
      <c r="AB107" s="5961"/>
      <c r="AC107" s="5961"/>
      <c r="AD107" s="5961"/>
      <c r="AE107" s="151"/>
      <c r="AF107" s="394"/>
      <c r="AG107" s="260"/>
      <c r="AH107" s="394"/>
    </row>
    <row r="108" spans="1:34" ht="12.75" customHeight="1">
      <c r="A108" s="394"/>
      <c r="B108" s="2948" t="s">
        <v>5620</v>
      </c>
      <c r="C108" s="2948"/>
      <c r="D108" s="2948"/>
      <c r="E108" s="936"/>
      <c r="F108" s="151"/>
      <c r="G108" s="151"/>
      <c r="H108" s="151"/>
      <c r="I108" s="151"/>
      <c r="J108" s="151"/>
      <c r="K108" s="151"/>
      <c r="L108" s="151"/>
      <c r="M108" s="151"/>
      <c r="N108" s="5961"/>
      <c r="O108" s="7610">
        <v>112400</v>
      </c>
      <c r="P108" s="7610"/>
      <c r="Q108" s="7610"/>
      <c r="R108" s="2543" t="s">
        <v>2922</v>
      </c>
      <c r="S108" s="2859"/>
      <c r="T108" s="2859"/>
      <c r="U108" s="2859"/>
      <c r="V108" s="5961"/>
      <c r="W108" s="5961"/>
      <c r="X108" s="5961"/>
      <c r="Y108" s="5961"/>
      <c r="Z108" s="5961"/>
      <c r="AA108" s="5961"/>
      <c r="AB108" s="5961"/>
      <c r="AC108" s="5961"/>
      <c r="AD108" s="5961"/>
      <c r="AE108" s="151"/>
      <c r="AF108" s="394"/>
      <c r="AG108" s="260"/>
      <c r="AH108" s="394"/>
    </row>
    <row r="109" spans="1:34" ht="12.75" customHeight="1">
      <c r="A109" s="394"/>
      <c r="B109" s="3778" t="s">
        <v>5617</v>
      </c>
      <c r="C109" s="2948"/>
      <c r="D109" s="2948"/>
      <c r="E109" s="936"/>
      <c r="F109" s="151"/>
      <c r="G109" s="151"/>
      <c r="H109" s="151"/>
      <c r="I109" s="151"/>
      <c r="J109" s="151"/>
      <c r="K109" s="151"/>
      <c r="L109" s="151"/>
      <c r="M109" s="151"/>
      <c r="N109" s="5961"/>
      <c r="O109" s="7611">
        <v>112510</v>
      </c>
      <c r="P109" s="7611"/>
      <c r="Q109" s="7611"/>
      <c r="R109" s="2849" t="s">
        <v>2924</v>
      </c>
      <c r="S109" s="2859"/>
      <c r="T109" s="2859"/>
      <c r="U109" s="2859"/>
      <c r="V109" s="5961"/>
      <c r="W109" s="5961"/>
      <c r="X109" s="5961"/>
      <c r="Y109" s="5961"/>
      <c r="Z109" s="5961"/>
      <c r="AA109" s="5961"/>
      <c r="AB109" s="5961"/>
      <c r="AC109" s="5961"/>
      <c r="AD109" s="5961"/>
      <c r="AE109" s="151"/>
      <c r="AF109" s="394"/>
      <c r="AG109" s="260"/>
      <c r="AH109" s="394"/>
    </row>
    <row r="110" spans="1:34" ht="12.75" customHeight="1">
      <c r="A110" s="394"/>
      <c r="B110" s="2948" t="s">
        <v>2920</v>
      </c>
      <c r="C110" s="2948"/>
      <c r="D110" s="2948"/>
      <c r="E110" s="936"/>
      <c r="F110" s="151"/>
      <c r="G110" s="151"/>
      <c r="H110" s="151"/>
      <c r="I110" s="151"/>
      <c r="J110" s="151"/>
      <c r="K110" s="151"/>
      <c r="L110" s="151"/>
      <c r="M110" s="151"/>
      <c r="N110" s="5961"/>
      <c r="O110" s="7610">
        <v>112900</v>
      </c>
      <c r="P110" s="7610"/>
      <c r="Q110" s="7610"/>
      <c r="R110" s="2543" t="s">
        <v>2926</v>
      </c>
      <c r="S110" s="2859"/>
      <c r="T110" s="2859"/>
      <c r="U110" s="2859"/>
      <c r="V110" s="5961"/>
      <c r="W110" s="5961"/>
      <c r="X110" s="5961"/>
      <c r="Y110" s="5961"/>
      <c r="Z110" s="5961"/>
      <c r="AA110" s="5961"/>
      <c r="AB110" s="5961"/>
      <c r="AC110" s="5961"/>
      <c r="AD110" s="5961"/>
      <c r="AE110" s="151"/>
      <c r="AF110" s="394"/>
      <c r="AG110" s="260"/>
      <c r="AH110" s="394"/>
    </row>
    <row r="111" spans="1:34" ht="15.75" thickBot="1">
      <c r="A111" s="394"/>
      <c r="B111" s="5962" t="s">
        <v>5621</v>
      </c>
      <c r="C111" s="3779"/>
      <c r="D111" s="3779"/>
      <c r="E111" s="5010"/>
      <c r="F111" s="3780"/>
      <c r="G111" s="3780"/>
      <c r="H111" s="3780"/>
      <c r="I111" s="3780"/>
      <c r="J111" s="3780"/>
      <c r="K111" s="3780"/>
      <c r="L111" s="3780"/>
      <c r="M111" s="3780"/>
      <c r="N111" s="5961"/>
      <c r="O111" s="5114" t="s">
        <v>2928</v>
      </c>
      <c r="P111" s="936"/>
      <c r="Q111" s="151"/>
      <c r="R111" s="151"/>
      <c r="S111" s="151"/>
      <c r="T111" s="2859"/>
      <c r="U111" s="2859"/>
      <c r="V111" s="5961"/>
      <c r="W111" s="5961"/>
      <c r="X111" s="5961"/>
      <c r="Y111" s="5961"/>
      <c r="Z111" s="5961"/>
      <c r="AA111" s="5961"/>
      <c r="AB111" s="5961"/>
      <c r="AC111" s="5961"/>
      <c r="AD111" s="5961"/>
      <c r="AE111" s="151"/>
      <c r="AF111" s="394"/>
      <c r="AG111" s="260"/>
      <c r="AH111" s="394"/>
    </row>
    <row r="112" spans="1:34" ht="15" thickTop="1">
      <c r="A112" s="394"/>
      <c r="B112" s="5112" t="s">
        <v>2923</v>
      </c>
      <c r="C112" s="1391"/>
      <c r="D112" s="1060"/>
      <c r="E112" s="680"/>
      <c r="F112" s="680"/>
      <c r="G112" s="680"/>
      <c r="H112" s="680"/>
      <c r="I112" s="680"/>
      <c r="J112" s="680"/>
      <c r="K112" s="680"/>
      <c r="L112" s="151"/>
      <c r="M112" s="151"/>
      <c r="N112" s="5961"/>
      <c r="O112" s="7701">
        <v>113000</v>
      </c>
      <c r="P112" s="7701"/>
      <c r="Q112" s="7701"/>
      <c r="R112" s="699" t="s">
        <v>2930</v>
      </c>
      <c r="S112" s="133"/>
      <c r="T112" s="2859"/>
      <c r="U112" s="2859"/>
      <c r="V112" s="5961"/>
      <c r="W112" s="5961"/>
      <c r="X112" s="5961"/>
      <c r="Y112" s="5961"/>
      <c r="Z112" s="5961"/>
      <c r="AA112" s="5961"/>
      <c r="AB112" s="5961"/>
      <c r="AC112" s="5961"/>
      <c r="AD112" s="5961"/>
      <c r="AE112" s="151"/>
      <c r="AF112" s="394"/>
      <c r="AG112" s="260"/>
      <c r="AH112" s="394"/>
    </row>
    <row r="113" spans="1:34" ht="12.75" customHeight="1">
      <c r="A113" s="394"/>
      <c r="B113" s="222" t="s">
        <v>2925</v>
      </c>
      <c r="C113" s="133"/>
      <c r="D113" s="1060"/>
      <c r="E113" s="680"/>
      <c r="F113" s="680"/>
      <c r="G113" s="680"/>
      <c r="H113" s="680"/>
      <c r="I113" s="680"/>
      <c r="J113" s="680"/>
      <c r="K113" s="680"/>
      <c r="L113" s="151"/>
      <c r="M113" s="151"/>
      <c r="N113" s="5961"/>
      <c r="O113" s="936"/>
      <c r="P113" s="936"/>
      <c r="Q113" s="936"/>
      <c r="R113" s="699" t="s">
        <v>2932</v>
      </c>
      <c r="S113" s="133"/>
      <c r="T113" s="2859"/>
      <c r="U113" s="2859"/>
      <c r="V113" s="5961"/>
      <c r="W113" s="5961"/>
      <c r="X113" s="5961"/>
      <c r="Y113" s="5961"/>
      <c r="Z113" s="5961"/>
      <c r="AA113" s="5961"/>
      <c r="AB113" s="5961"/>
      <c r="AC113" s="5961"/>
      <c r="AD113" s="5961"/>
      <c r="AE113" s="151"/>
      <c r="AF113" s="394"/>
      <c r="AG113" s="260"/>
      <c r="AH113" s="394"/>
    </row>
    <row r="114" spans="1:34" ht="12.75" customHeight="1">
      <c r="A114" s="394"/>
      <c r="B114" s="222" t="s">
        <v>2927</v>
      </c>
      <c r="C114" s="133"/>
      <c r="D114" s="1060"/>
      <c r="E114" s="680"/>
      <c r="F114" s="680"/>
      <c r="G114" s="680"/>
      <c r="H114" s="680"/>
      <c r="I114" s="680"/>
      <c r="J114" s="680"/>
      <c r="K114" s="680"/>
      <c r="L114" s="151"/>
      <c r="M114" s="151"/>
      <c r="N114" s="151"/>
      <c r="O114" s="7608">
        <v>113110</v>
      </c>
      <c r="P114" s="7609"/>
      <c r="Q114" s="7609"/>
      <c r="R114" s="699" t="s">
        <v>2934</v>
      </c>
      <c r="S114" s="133"/>
      <c r="T114" s="151"/>
      <c r="U114" s="151"/>
      <c r="V114" s="151"/>
      <c r="W114" s="151"/>
      <c r="X114" s="151"/>
      <c r="Y114" s="151"/>
      <c r="Z114" s="151"/>
      <c r="AA114" s="151"/>
      <c r="AB114" s="151"/>
      <c r="AC114" s="151"/>
      <c r="AD114" s="151"/>
      <c r="AE114" s="151"/>
      <c r="AF114" s="394"/>
      <c r="AG114" s="260"/>
      <c r="AH114" s="394"/>
    </row>
    <row r="115" spans="1:34" ht="12.75" customHeight="1">
      <c r="A115" s="394"/>
      <c r="B115" s="222" t="s">
        <v>2929</v>
      </c>
      <c r="C115" s="133"/>
      <c r="D115" s="1060"/>
      <c r="E115" s="680"/>
      <c r="F115" s="680"/>
      <c r="G115" s="680"/>
      <c r="H115" s="680"/>
      <c r="I115" s="680"/>
      <c r="J115" s="680"/>
      <c r="K115" s="680"/>
      <c r="L115" s="151"/>
      <c r="M115" s="151"/>
      <c r="N115" s="151"/>
      <c r="O115" s="7608">
        <v>113210</v>
      </c>
      <c r="P115" s="7609"/>
      <c r="Q115" s="7609"/>
      <c r="R115" s="699" t="s">
        <v>2936</v>
      </c>
      <c r="S115" s="133"/>
      <c r="T115" s="133"/>
      <c r="U115" s="133"/>
      <c r="V115" s="151"/>
      <c r="W115" s="151"/>
      <c r="X115" s="151"/>
      <c r="Y115" s="151"/>
      <c r="Z115" s="151"/>
      <c r="AA115" s="151"/>
      <c r="AB115" s="151"/>
      <c r="AC115" s="151"/>
      <c r="AD115" s="151"/>
      <c r="AE115" s="151"/>
      <c r="AF115" s="394"/>
      <c r="AG115" s="260"/>
      <c r="AH115" s="394"/>
    </row>
    <row r="116" spans="1:34" ht="12.75" customHeight="1">
      <c r="A116" s="394"/>
      <c r="B116" s="5112" t="s">
        <v>2931</v>
      </c>
      <c r="C116" s="1391"/>
      <c r="D116" s="1060"/>
      <c r="E116" s="680"/>
      <c r="F116" s="680"/>
      <c r="G116" s="680"/>
      <c r="H116" s="680"/>
      <c r="I116" s="680"/>
      <c r="J116" s="680"/>
      <c r="K116" s="680"/>
      <c r="L116" s="151"/>
      <c r="M116" s="151"/>
      <c r="N116" s="151"/>
      <c r="O116" s="7608">
        <v>113310</v>
      </c>
      <c r="P116" s="7609"/>
      <c r="Q116" s="7609"/>
      <c r="R116" s="699" t="s">
        <v>2938</v>
      </c>
      <c r="S116" s="133"/>
      <c r="T116" s="133"/>
      <c r="U116" s="133"/>
      <c r="V116" s="151"/>
      <c r="W116" s="151"/>
      <c r="X116" s="151"/>
      <c r="Y116" s="151"/>
      <c r="Z116" s="151"/>
      <c r="AA116" s="151"/>
      <c r="AB116" s="151"/>
      <c r="AC116" s="151"/>
      <c r="AD116" s="151"/>
      <c r="AE116" s="151"/>
      <c r="AF116" s="394"/>
      <c r="AG116" s="260"/>
      <c r="AH116" s="394"/>
    </row>
    <row r="117" spans="1:34" ht="12.75" customHeight="1">
      <c r="A117" s="394"/>
      <c r="B117" s="222" t="s">
        <v>2933</v>
      </c>
      <c r="C117" s="133"/>
      <c r="D117" s="1060"/>
      <c r="E117" s="680"/>
      <c r="F117" s="680"/>
      <c r="G117" s="680"/>
      <c r="H117" s="680"/>
      <c r="I117" s="680"/>
      <c r="J117" s="680"/>
      <c r="K117" s="680"/>
      <c r="L117" s="151"/>
      <c r="M117" s="151"/>
      <c r="N117" s="151"/>
      <c r="O117" s="7608"/>
      <c r="P117" s="7609"/>
      <c r="Q117" s="7609"/>
      <c r="R117" s="699"/>
      <c r="S117" s="133"/>
      <c r="T117" s="133"/>
      <c r="U117" s="133"/>
      <c r="V117" s="151"/>
      <c r="W117" s="151"/>
      <c r="X117" s="151"/>
      <c r="Y117" s="151"/>
      <c r="Z117" s="151"/>
      <c r="AA117" s="151"/>
      <c r="AB117" s="151"/>
      <c r="AC117" s="151"/>
      <c r="AD117" s="151"/>
      <c r="AE117" s="151"/>
      <c r="AF117" s="394"/>
      <c r="AG117" s="260"/>
      <c r="AH117" s="394"/>
    </row>
    <row r="118" spans="1:34" ht="12.75" customHeight="1">
      <c r="A118" s="394"/>
      <c r="B118" s="3390" t="s">
        <v>2935</v>
      </c>
      <c r="C118" s="130"/>
      <c r="D118" s="1060"/>
      <c r="E118" s="680"/>
      <c r="F118" s="680"/>
      <c r="G118" s="680"/>
      <c r="H118" s="680"/>
      <c r="I118" s="680"/>
      <c r="J118" s="680"/>
      <c r="K118" s="680"/>
      <c r="L118" s="151"/>
      <c r="M118" s="151"/>
      <c r="N118" s="151"/>
      <c r="O118" s="7608"/>
      <c r="P118" s="7609"/>
      <c r="Q118" s="7609"/>
      <c r="R118" s="699"/>
      <c r="S118" s="133"/>
      <c r="T118" s="133"/>
      <c r="U118" s="133"/>
      <c r="V118" s="151"/>
      <c r="W118" s="151"/>
      <c r="X118" s="151"/>
      <c r="Y118" s="151"/>
      <c r="Z118" s="151"/>
      <c r="AA118" s="151"/>
      <c r="AB118" s="151"/>
      <c r="AC118" s="151"/>
      <c r="AD118" s="151"/>
      <c r="AE118" s="151"/>
      <c r="AF118" s="394"/>
      <c r="AG118" s="260"/>
      <c r="AH118" s="394"/>
    </row>
    <row r="119" spans="1:34" ht="12.75" customHeight="1">
      <c r="A119" s="394"/>
      <c r="B119" s="7692">
        <v>111100</v>
      </c>
      <c r="C119" s="7152"/>
      <c r="D119" s="699" t="s">
        <v>2937</v>
      </c>
      <c r="E119" s="936"/>
      <c r="F119" s="151"/>
      <c r="G119" s="151"/>
      <c r="H119" s="151"/>
      <c r="I119" s="151"/>
      <c r="J119" s="151"/>
      <c r="K119" s="151"/>
      <c r="L119" s="151"/>
      <c r="M119" s="151"/>
      <c r="N119" s="151"/>
      <c r="O119" s="7608"/>
      <c r="P119" s="7609"/>
      <c r="Q119" s="7609"/>
      <c r="R119" s="699"/>
      <c r="S119" s="133"/>
      <c r="T119" s="133"/>
      <c r="U119" s="133"/>
      <c r="V119" s="151"/>
      <c r="W119" s="151"/>
      <c r="X119" s="151"/>
      <c r="Y119" s="151"/>
      <c r="Z119" s="151"/>
      <c r="AA119" s="151"/>
      <c r="AB119" s="151"/>
      <c r="AC119" s="151"/>
      <c r="AD119" s="151"/>
      <c r="AE119" s="151"/>
      <c r="AF119" s="394"/>
      <c r="AG119" s="260"/>
      <c r="AH119" s="394"/>
    </row>
    <row r="120" spans="1:34" ht="12.75" customHeight="1">
      <c r="A120" s="394"/>
      <c r="B120" s="7692">
        <v>111210</v>
      </c>
      <c r="C120" s="7152"/>
      <c r="D120" s="699" t="s">
        <v>2939</v>
      </c>
      <c r="E120" s="936"/>
      <c r="F120" s="151"/>
      <c r="G120" s="151"/>
      <c r="H120" s="151"/>
      <c r="I120" s="151"/>
      <c r="J120" s="151"/>
      <c r="K120" s="151"/>
      <c r="L120" s="151"/>
      <c r="M120" s="151"/>
      <c r="N120" s="151"/>
      <c r="O120" s="151"/>
      <c r="P120" s="151"/>
      <c r="Q120" s="151"/>
      <c r="R120" s="133"/>
      <c r="S120" s="133"/>
      <c r="T120" s="133"/>
      <c r="U120" s="133"/>
      <c r="V120" s="151"/>
      <c r="W120" s="151"/>
      <c r="X120" s="151"/>
      <c r="Y120" s="151"/>
      <c r="Z120" s="151"/>
      <c r="AA120" s="151"/>
      <c r="AB120" s="151"/>
      <c r="AC120" s="151"/>
      <c r="AD120" s="151"/>
      <c r="AE120" s="151"/>
      <c r="AF120" s="394"/>
      <c r="AG120" s="260"/>
      <c r="AH120" s="394"/>
    </row>
    <row r="121" spans="1:34" ht="12.75" customHeight="1" thickBot="1">
      <c r="A121" s="394"/>
      <c r="B121" s="5664"/>
      <c r="C121" s="5664"/>
      <c r="D121" s="740"/>
      <c r="E121" s="740"/>
      <c r="F121" s="2866"/>
      <c r="G121" s="2866"/>
      <c r="H121" s="2866"/>
      <c r="I121" s="2866"/>
      <c r="J121" s="2866"/>
      <c r="K121" s="2866"/>
      <c r="L121" s="2866"/>
      <c r="M121" s="2866"/>
      <c r="N121" s="2866"/>
      <c r="O121" s="2866"/>
      <c r="P121" s="2866"/>
      <c r="Q121" s="2866"/>
      <c r="R121" s="2866"/>
      <c r="S121" s="2866"/>
      <c r="T121" s="2866"/>
      <c r="U121" s="2866"/>
      <c r="V121" s="2866"/>
      <c r="W121" s="2866"/>
      <c r="X121" s="2866"/>
      <c r="Y121" s="2866"/>
      <c r="Z121" s="2866"/>
      <c r="AA121" s="2866"/>
      <c r="AB121" s="2866"/>
      <c r="AC121" s="2866"/>
      <c r="AD121" s="2866"/>
      <c r="AE121" s="2866"/>
      <c r="AF121" s="394"/>
      <c r="AG121" s="260"/>
      <c r="AH121" s="394"/>
    </row>
    <row r="122" spans="1:34" ht="18" customHeight="1">
      <c r="A122" s="394"/>
      <c r="B122" s="252"/>
      <c r="C122" s="252"/>
      <c r="D122" s="252"/>
      <c r="E122" s="252"/>
      <c r="F122" s="252"/>
      <c r="G122" s="253"/>
      <c r="H122" s="253"/>
      <c r="I122" s="253"/>
      <c r="J122" s="253"/>
      <c r="K122" s="253"/>
      <c r="L122" s="253"/>
      <c r="M122" s="253"/>
      <c r="N122" s="254"/>
      <c r="O122" s="254"/>
      <c r="P122" s="254"/>
      <c r="Q122" s="254"/>
      <c r="R122" s="255"/>
      <c r="S122" s="1051"/>
      <c r="T122" s="1051"/>
      <c r="U122" s="1051"/>
      <c r="V122" s="1051"/>
      <c r="W122" s="254"/>
      <c r="X122" s="253"/>
      <c r="Y122" s="253"/>
      <c r="Z122" s="256"/>
      <c r="AA122" s="253"/>
      <c r="AB122" s="253"/>
      <c r="AC122" s="255"/>
      <c r="AD122" s="257"/>
      <c r="AE122" s="257" t="str">
        <f>"Schedule F   (Form 1040)  "&amp;TaxYear</f>
        <v>Schedule F   (Form 1040)  2023</v>
      </c>
      <c r="AF122" s="394"/>
      <c r="AG122" s="260"/>
      <c r="AH122" s="394"/>
    </row>
    <row r="123" spans="1:34" ht="8.25" customHeight="1">
      <c r="A123" s="394"/>
      <c r="B123" s="425"/>
      <c r="C123" s="425"/>
      <c r="D123" s="425"/>
      <c r="E123" s="425"/>
      <c r="F123" s="425"/>
      <c r="G123" s="378"/>
      <c r="H123" s="378"/>
      <c r="I123" s="378"/>
      <c r="J123" s="378"/>
      <c r="K123" s="378"/>
      <c r="L123" s="378"/>
      <c r="M123" s="378"/>
      <c r="N123" s="426"/>
      <c r="O123" s="426"/>
      <c r="P123" s="426"/>
      <c r="Q123" s="426"/>
      <c r="R123" s="426"/>
      <c r="S123" s="426"/>
      <c r="T123" s="426"/>
      <c r="U123" s="426"/>
      <c r="V123" s="426"/>
      <c r="W123" s="426"/>
      <c r="X123" s="378"/>
      <c r="Y123" s="378"/>
      <c r="Z123" s="427"/>
      <c r="AA123" s="378"/>
      <c r="AB123" s="378"/>
      <c r="AC123" s="378"/>
      <c r="AD123" s="378"/>
      <c r="AE123" s="378"/>
      <c r="AF123" s="394"/>
      <c r="AG123" s="260"/>
      <c r="AH123" s="394"/>
    </row>
    <row r="124" spans="1:34">
      <c r="B124" s="8"/>
      <c r="C124" s="8"/>
      <c r="D124" s="9"/>
      <c r="E124" s="9"/>
      <c r="F124" s="9"/>
      <c r="G124" s="9"/>
      <c r="H124" s="9"/>
      <c r="I124" s="9"/>
      <c r="J124" s="9"/>
      <c r="K124" s="9"/>
      <c r="L124" s="9"/>
      <c r="M124" s="9"/>
      <c r="N124" s="10"/>
      <c r="O124" s="10"/>
      <c r="P124" s="10"/>
      <c r="Q124" s="10"/>
      <c r="R124" s="10"/>
      <c r="S124" s="10"/>
      <c r="T124" s="10"/>
      <c r="U124" s="10"/>
      <c r="V124" s="10"/>
      <c r="W124" s="11"/>
      <c r="X124" s="9"/>
      <c r="Y124" s="9"/>
      <c r="Z124" s="7"/>
      <c r="AA124" s="9"/>
      <c r="AB124" s="9"/>
      <c r="AC124" s="9"/>
      <c r="AD124" s="9"/>
      <c r="AE124" s="9"/>
    </row>
    <row r="125" spans="1:34" ht="13.5" thickBot="1">
      <c r="B125" s="8"/>
      <c r="C125" s="8"/>
      <c r="D125" s="9"/>
      <c r="E125" s="9"/>
      <c r="F125" s="9"/>
      <c r="G125" s="9"/>
      <c r="H125" s="9"/>
      <c r="I125" s="9"/>
      <c r="J125" s="9"/>
      <c r="K125" s="9"/>
      <c r="L125" s="9"/>
      <c r="M125" s="9"/>
      <c r="N125" s="10"/>
      <c r="O125" s="10"/>
      <c r="P125" s="10"/>
      <c r="Q125" s="10"/>
      <c r="R125" s="8"/>
      <c r="S125" s="8"/>
      <c r="T125" s="8"/>
      <c r="U125" s="8"/>
      <c r="V125" s="8"/>
      <c r="W125" s="12"/>
      <c r="X125" s="9"/>
      <c r="Y125" s="9"/>
      <c r="Z125" s="7"/>
      <c r="AA125" s="9"/>
      <c r="AB125" s="9"/>
      <c r="AC125" s="9"/>
      <c r="AD125" s="9"/>
      <c r="AE125" s="9"/>
    </row>
    <row r="126" spans="1:34" ht="14.25" thickTop="1" thickBot="1">
      <c r="B126" s="364"/>
      <c r="C126" s="364"/>
      <c r="D126" s="7127" t="s">
        <v>2940</v>
      </c>
      <c r="E126" s="7128"/>
      <c r="F126" s="7128"/>
      <c r="G126" s="7128"/>
      <c r="H126" s="7129"/>
      <c r="I126" s="365"/>
      <c r="J126" s="365"/>
      <c r="K126" s="365"/>
      <c r="L126" s="365"/>
      <c r="M126" s="365"/>
      <c r="N126" s="366"/>
      <c r="O126" s="366"/>
      <c r="P126" s="366"/>
      <c r="Q126" s="366"/>
      <c r="R126" s="364"/>
      <c r="S126" s="364"/>
      <c r="T126" s="364"/>
      <c r="U126" s="364"/>
      <c r="V126" s="364"/>
      <c r="W126" s="367"/>
      <c r="X126" s="365"/>
      <c r="Y126" s="365"/>
      <c r="Z126" s="368"/>
      <c r="AA126" s="365"/>
      <c r="AB126" s="365"/>
      <c r="AC126" s="365"/>
      <c r="AD126" s="365"/>
      <c r="AE126" s="365"/>
    </row>
    <row r="127" spans="1:34" ht="14.25" thickTop="1" thickBot="1">
      <c r="B127" s="364"/>
      <c r="C127" s="364"/>
      <c r="D127" s="365"/>
      <c r="E127" s="365"/>
      <c r="F127" s="365"/>
      <c r="G127" s="365"/>
      <c r="H127" s="365"/>
      <c r="I127" s="365"/>
      <c r="J127" s="365"/>
      <c r="K127" s="365"/>
      <c r="L127" s="365"/>
      <c r="M127" s="365"/>
      <c r="N127" s="366"/>
      <c r="O127" s="366"/>
      <c r="P127" s="366"/>
      <c r="Q127" s="366"/>
      <c r="R127" s="364"/>
      <c r="S127" s="364"/>
      <c r="T127" s="364"/>
      <c r="U127" s="364"/>
      <c r="V127" s="364"/>
      <c r="W127" s="369"/>
      <c r="X127" s="365"/>
      <c r="Y127" s="365"/>
      <c r="Z127" s="368"/>
      <c r="AA127" s="365"/>
      <c r="AB127" s="365"/>
      <c r="AC127" s="365"/>
      <c r="AD127" s="365"/>
      <c r="AE127" s="365"/>
    </row>
    <row r="128" spans="1:34" ht="27.75" customHeight="1" thickTop="1" thickBot="1">
      <c r="B128" s="364"/>
      <c r="C128" s="364"/>
      <c r="D128" s="7124" t="s">
        <v>2941</v>
      </c>
      <c r="E128" s="7125"/>
      <c r="F128" s="7125"/>
      <c r="G128" s="7125"/>
      <c r="H128" s="7126"/>
      <c r="I128" s="365"/>
      <c r="J128" s="365"/>
      <c r="K128" s="365"/>
      <c r="L128" s="365"/>
      <c r="M128" s="365"/>
      <c r="N128" s="366"/>
      <c r="O128" s="366"/>
      <c r="P128" s="366"/>
      <c r="Q128" s="366"/>
      <c r="R128" s="364"/>
      <c r="S128" s="364"/>
      <c r="T128" s="364"/>
      <c r="U128" s="364"/>
      <c r="V128" s="364"/>
      <c r="W128" s="369"/>
      <c r="X128" s="365"/>
      <c r="Y128" s="365"/>
      <c r="Z128" s="368"/>
      <c r="AA128" s="365"/>
      <c r="AB128" s="365"/>
      <c r="AC128" s="365"/>
      <c r="AD128" s="365"/>
      <c r="AE128" s="365"/>
    </row>
    <row r="129" ht="13.5" thickTop="1"/>
  </sheetData>
  <sheetProtection algorithmName="SHA-512" hashValue="0eU+WKG59scS5269K0QXL/j3SjgDL4eSZKwwaMRoZ97jHpWp8X2BMq3pTbzFLZL82SCNrP2ujEk1CstZ1VYSIQ==" saltValue="8u3nbp2QVJXsavF4aVXnnA==" spinCount="100000" sheet="1" objects="1" scenarios="1"/>
  <mergeCells count="159">
    <mergeCell ref="O119:Q119"/>
    <mergeCell ref="O118:Q118"/>
    <mergeCell ref="D128:H128"/>
    <mergeCell ref="D126:H126"/>
    <mergeCell ref="J42:M42"/>
    <mergeCell ref="J44:M44"/>
    <mergeCell ref="J45:M45"/>
    <mergeCell ref="J46:M46"/>
    <mergeCell ref="O105:Q105"/>
    <mergeCell ref="O115:Q115"/>
    <mergeCell ref="N47:O47"/>
    <mergeCell ref="N48:O48"/>
    <mergeCell ref="N49:O49"/>
    <mergeCell ref="M74:P74"/>
    <mergeCell ref="J50:M50"/>
    <mergeCell ref="P51:Z51"/>
    <mergeCell ref="P52:Z52"/>
    <mergeCell ref="O103:Q103"/>
    <mergeCell ref="O104:Q104"/>
    <mergeCell ref="P48:Z48"/>
    <mergeCell ref="P49:Z49"/>
    <mergeCell ref="P50:Z50"/>
    <mergeCell ref="N45:O45"/>
    <mergeCell ref="N46:O46"/>
    <mergeCell ref="AB29:AE30"/>
    <mergeCell ref="AB24:AE24"/>
    <mergeCell ref="AB25:AE25"/>
    <mergeCell ref="AB26:AE26"/>
    <mergeCell ref="AB42:AE42"/>
    <mergeCell ref="AB43:AE43"/>
    <mergeCell ref="AB44:AE44"/>
    <mergeCell ref="AB27:AE27"/>
    <mergeCell ref="AB76:AE76"/>
    <mergeCell ref="AB45:AE45"/>
    <mergeCell ref="AB39:AE39"/>
    <mergeCell ref="AB40:AE40"/>
    <mergeCell ref="AB41:AE41"/>
    <mergeCell ref="AB38:AE38"/>
    <mergeCell ref="AB28:AE28"/>
    <mergeCell ref="AB31:AE31"/>
    <mergeCell ref="AB33:AE33"/>
    <mergeCell ref="AB32:AE32"/>
    <mergeCell ref="AB34:AE34"/>
    <mergeCell ref="AB46:AE46"/>
    <mergeCell ref="B119:C119"/>
    <mergeCell ref="B120:C120"/>
    <mergeCell ref="AB94:AE94"/>
    <mergeCell ref="B98:C98"/>
    <mergeCell ref="J47:M47"/>
    <mergeCell ref="AB48:AE48"/>
    <mergeCell ref="AB49:AE49"/>
    <mergeCell ref="AB50:AE50"/>
    <mergeCell ref="AB82:AE82"/>
    <mergeCell ref="AB52:AE52"/>
    <mergeCell ref="AB53:AE53"/>
    <mergeCell ref="J52:M52"/>
    <mergeCell ref="J53:M53"/>
    <mergeCell ref="AB54:AE54"/>
    <mergeCell ref="N51:O51"/>
    <mergeCell ref="N52:O52"/>
    <mergeCell ref="AB80:AE80"/>
    <mergeCell ref="AB51:AE51"/>
    <mergeCell ref="AB72:AE72"/>
    <mergeCell ref="AB74:AE74"/>
    <mergeCell ref="O99:Q99"/>
    <mergeCell ref="O112:Q112"/>
    <mergeCell ref="J48:M48"/>
    <mergeCell ref="O117:Q117"/>
    <mergeCell ref="N11:N12"/>
    <mergeCell ref="O11:O12"/>
    <mergeCell ref="X11:X12"/>
    <mergeCell ref="Y11:Y12"/>
    <mergeCell ref="Z11:Z12"/>
    <mergeCell ref="Q23:U23"/>
    <mergeCell ref="Q24:U24"/>
    <mergeCell ref="Q26:U26"/>
    <mergeCell ref="W23:Z23"/>
    <mergeCell ref="W24:Z24"/>
    <mergeCell ref="W11:W12"/>
    <mergeCell ref="AG3:AG4"/>
    <mergeCell ref="E6:Z7"/>
    <mergeCell ref="E4:Z4"/>
    <mergeCell ref="AA4:AE4"/>
    <mergeCell ref="AA5:AE7"/>
    <mergeCell ref="B9:V9"/>
    <mergeCell ref="W9:AE9"/>
    <mergeCell ref="J38:M38"/>
    <mergeCell ref="J39:M39"/>
    <mergeCell ref="B3:D4"/>
    <mergeCell ref="AB11:AB12"/>
    <mergeCell ref="AA11:AA12"/>
    <mergeCell ref="I11:I12"/>
    <mergeCell ref="B11:H12"/>
    <mergeCell ref="B5:D7"/>
    <mergeCell ref="AC11:AC12"/>
    <mergeCell ref="AD11:AD12"/>
    <mergeCell ref="AE11:AE12"/>
    <mergeCell ref="AB37:AE37"/>
    <mergeCell ref="AC20:AE20"/>
    <mergeCell ref="AB21:AE21"/>
    <mergeCell ref="AB22:AE22"/>
    <mergeCell ref="AB23:AE23"/>
    <mergeCell ref="AA33:AA34"/>
    <mergeCell ref="AB95:AE95"/>
    <mergeCell ref="AB36:AE36"/>
    <mergeCell ref="AB55:AE55"/>
    <mergeCell ref="AB67:AE67"/>
    <mergeCell ref="AB69:AE69"/>
    <mergeCell ref="AB65:AE65"/>
    <mergeCell ref="O101:Q101"/>
    <mergeCell ref="W85:Z85"/>
    <mergeCell ref="W87:Z87"/>
    <mergeCell ref="W89:Z89"/>
    <mergeCell ref="W91:Z91"/>
    <mergeCell ref="M67:P67"/>
    <mergeCell ref="M69:P69"/>
    <mergeCell ref="J40:M40"/>
    <mergeCell ref="J49:M49"/>
    <mergeCell ref="J41:M41"/>
    <mergeCell ref="J43:M43"/>
    <mergeCell ref="P53:Z53"/>
    <mergeCell ref="J51:M51"/>
    <mergeCell ref="O100:Q100"/>
    <mergeCell ref="AB78:AE78"/>
    <mergeCell ref="N53:O53"/>
    <mergeCell ref="AB93:AE93"/>
    <mergeCell ref="AB47:AE47"/>
    <mergeCell ref="J11:J12"/>
    <mergeCell ref="K11:K12"/>
    <mergeCell ref="L11:L12"/>
    <mergeCell ref="K67:L67"/>
    <mergeCell ref="K69:L69"/>
    <mergeCell ref="K74:L74"/>
    <mergeCell ref="B63:C63"/>
    <mergeCell ref="B35:C35"/>
    <mergeCell ref="B18:C18"/>
    <mergeCell ref="J36:M36"/>
    <mergeCell ref="J37:M37"/>
    <mergeCell ref="M11:M12"/>
    <mergeCell ref="O114:Q114"/>
    <mergeCell ref="O116:Q116"/>
    <mergeCell ref="O108:Q108"/>
    <mergeCell ref="O109:Q109"/>
    <mergeCell ref="O110:Q110"/>
    <mergeCell ref="W19:Z19"/>
    <mergeCell ref="W20:Z20"/>
    <mergeCell ref="O107:Q107"/>
    <mergeCell ref="Q28:U28"/>
    <mergeCell ref="O106:Q106"/>
    <mergeCell ref="N50:O50"/>
    <mergeCell ref="N36:O36"/>
    <mergeCell ref="N37:O37"/>
    <mergeCell ref="N38:O38"/>
    <mergeCell ref="N39:O39"/>
    <mergeCell ref="N40:O40"/>
    <mergeCell ref="N41:O41"/>
    <mergeCell ref="N42:O42"/>
    <mergeCell ref="N43:O43"/>
    <mergeCell ref="N44:O44"/>
  </mergeCells>
  <conditionalFormatting sqref="B11">
    <cfRule type="expression" dxfId="1972" priority="219">
      <formula>IF(NoColor,1,0)</formula>
    </cfRule>
  </conditionalFormatting>
  <conditionalFormatting sqref="B9:C9 W9:AD9 P11:V12">
    <cfRule type="expression" dxfId="1971" priority="220">
      <formula>IF(NoColor,1,0)</formula>
    </cfRule>
  </conditionalFormatting>
  <conditionalFormatting sqref="C59">
    <cfRule type="expression" dxfId="1970" priority="22">
      <formula>IF(NoColor,1,0)</formula>
    </cfRule>
  </conditionalFormatting>
  <conditionalFormatting sqref="E3">
    <cfRule type="expression" dxfId="1969" priority="19">
      <formula>NOT(Draft)</formula>
    </cfRule>
  </conditionalFormatting>
  <conditionalFormatting sqref="I59">
    <cfRule type="expression" dxfId="1968" priority="21">
      <formula>IF(NoColor,1,0)</formula>
    </cfRule>
  </conditionalFormatting>
  <conditionalFormatting sqref="I11:O11">
    <cfRule type="expression" dxfId="1967" priority="167">
      <formula>IF(NoColor,1,0)</formula>
    </cfRule>
  </conditionalFormatting>
  <conditionalFormatting sqref="J37:K40">
    <cfRule type="expression" dxfId="1966" priority="94">
      <formula>IF(NoColor,1,0)</formula>
    </cfRule>
  </conditionalFormatting>
  <conditionalFormatting sqref="J42:K42">
    <cfRule type="expression" dxfId="1965" priority="93">
      <formula>IF(NoColor,1,0)</formula>
    </cfRule>
  </conditionalFormatting>
  <conditionalFormatting sqref="J44:K49">
    <cfRule type="expression" dxfId="1964" priority="85">
      <formula>IF(NoColor,1,0)</formula>
    </cfRule>
  </conditionalFormatting>
  <conditionalFormatting sqref="J51:K53">
    <cfRule type="expression" dxfId="1963" priority="63">
      <formula>IF(NoColor,1,0)</formula>
    </cfRule>
  </conditionalFormatting>
  <conditionalFormatting sqref="M67:N67">
    <cfRule type="expression" dxfId="1962" priority="50">
      <formula>IF(NoColor,1,0)</formula>
    </cfRule>
  </conditionalFormatting>
  <conditionalFormatting sqref="M69:N69">
    <cfRule type="expression" dxfId="1961" priority="49">
      <formula>IF(NoColor,1,0)</formula>
    </cfRule>
  </conditionalFormatting>
  <conditionalFormatting sqref="M74:N74">
    <cfRule type="expression" dxfId="1960" priority="44">
      <formula>IF(NoColor,1,0)</formula>
    </cfRule>
  </conditionalFormatting>
  <conditionalFormatting sqref="P48:Z53">
    <cfRule type="expression" dxfId="1959" priority="27">
      <formula>IF(NoColor,1,0)</formula>
    </cfRule>
  </conditionalFormatting>
  <conditionalFormatting sqref="Q23:Q24">
    <cfRule type="expression" dxfId="1958" priority="107">
      <formula>IF(NoColor,1,0)</formula>
    </cfRule>
  </conditionalFormatting>
  <conditionalFormatting sqref="Q26">
    <cfRule type="expression" dxfId="1957" priority="105">
      <formula>IF(NoColor,1,0)</formula>
    </cfRule>
  </conditionalFormatting>
  <conditionalFormatting sqref="Q28">
    <cfRule type="expression" dxfId="1956" priority="103">
      <formula>IF(NoColor,1,0)</formula>
    </cfRule>
  </conditionalFormatting>
  <conditionalFormatting sqref="Q30">
    <cfRule type="expression" dxfId="1955" priority="26">
      <formula>IF(NoColor,1,0)</formula>
    </cfRule>
  </conditionalFormatting>
  <conditionalFormatting sqref="W19:W20">
    <cfRule type="expression" dxfId="1954" priority="155">
      <formula>IF(NoColor,1,0)</formula>
    </cfRule>
  </conditionalFormatting>
  <conditionalFormatting sqref="W85:X85">
    <cfRule type="expression" dxfId="1953" priority="36">
      <formula>IF(NoColor,1,0)</formula>
    </cfRule>
  </conditionalFormatting>
  <conditionalFormatting sqref="W87:X87">
    <cfRule type="expression" dxfId="1952" priority="35">
      <formula>IF(NoColor,1,0)</formula>
    </cfRule>
  </conditionalFormatting>
  <conditionalFormatting sqref="W89:X89">
    <cfRule type="expression" dxfId="1951" priority="29">
      <formula>IF(NoColor,1,0)</formula>
    </cfRule>
  </conditionalFormatting>
  <conditionalFormatting sqref="W91:X91">
    <cfRule type="expression" dxfId="1950" priority="33">
      <formula>IF(NoColor,1,0)</formula>
    </cfRule>
  </conditionalFormatting>
  <conditionalFormatting sqref="W9:AE9">
    <cfRule type="expression" dxfId="1949" priority="9">
      <formula>AND(NoSSN,NoColor)</formula>
    </cfRule>
    <cfRule type="expression" dxfId="1948" priority="10">
      <formula>NoSSN</formula>
    </cfRule>
  </conditionalFormatting>
  <conditionalFormatting sqref="W11:AE11">
    <cfRule type="expression" dxfId="1947" priority="157">
      <formula>IF(NoColor,1,0)</formula>
    </cfRule>
  </conditionalFormatting>
  <conditionalFormatting sqref="Y3">
    <cfRule type="expression" dxfId="1946" priority="18">
      <formula>NOT(Draft)</formula>
    </cfRule>
  </conditionalFormatting>
  <conditionalFormatting sqref="AA14:AA17">
    <cfRule type="expression" dxfId="1945" priority="24">
      <formula>IF(NoColor,1,0)</formula>
    </cfRule>
  </conditionalFormatting>
  <conditionalFormatting sqref="AB21:AC26">
    <cfRule type="expression" dxfId="1944" priority="106">
      <formula>IF(NoColor,1,0)</formula>
    </cfRule>
  </conditionalFormatting>
  <conditionalFormatting sqref="AB28:AC28 AB29">
    <cfRule type="expression" dxfId="1943" priority="116">
      <formula>IF(NoColor,1,0)</formula>
    </cfRule>
  </conditionalFormatting>
  <conditionalFormatting sqref="AB31:AC32">
    <cfRule type="expression" dxfId="1942" priority="113">
      <formula>IF(NoColor,1,0)</formula>
    </cfRule>
  </conditionalFormatting>
  <conditionalFormatting sqref="AB34:AC34">
    <cfRule type="expression" dxfId="1941" priority="112">
      <formula>IF(NoColor,1,0)</formula>
    </cfRule>
  </conditionalFormatting>
  <conditionalFormatting sqref="AB36:AC36">
    <cfRule type="expression" dxfId="1940" priority="102">
      <formula>IF(NoColor,1,0)</formula>
    </cfRule>
  </conditionalFormatting>
  <conditionalFormatting sqref="AB38:AC46">
    <cfRule type="expression" dxfId="1939" priority="72">
      <formula>IF(NoColor,1,0)</formula>
    </cfRule>
  </conditionalFormatting>
  <conditionalFormatting sqref="AB48:AC55">
    <cfRule type="expression" dxfId="1938" priority="20">
      <formula>IF(NoColor,1,0)</formula>
    </cfRule>
  </conditionalFormatting>
  <conditionalFormatting sqref="AB65:AC65">
    <cfRule type="expression" dxfId="1937" priority="48">
      <formula>IF(NoColor,1,0)</formula>
    </cfRule>
  </conditionalFormatting>
  <conditionalFormatting sqref="AB67:AC67">
    <cfRule type="expression" dxfId="1936" priority="53">
      <formula>IF(NoColor,1,0)</formula>
    </cfRule>
  </conditionalFormatting>
  <conditionalFormatting sqref="AB69:AC69">
    <cfRule type="expression" dxfId="1935" priority="51">
      <formula>IF(NoColor,1,0)</formula>
    </cfRule>
  </conditionalFormatting>
  <conditionalFormatting sqref="AB72:AC72">
    <cfRule type="expression" dxfId="1934" priority="47">
      <formula>IF(NoColor,1,0)</formula>
    </cfRule>
  </conditionalFormatting>
  <conditionalFormatting sqref="AB74:AC74">
    <cfRule type="expression" dxfId="1933" priority="45">
      <formula>IF(NoColor,1,0)</formula>
    </cfRule>
  </conditionalFormatting>
  <conditionalFormatting sqref="AB76:AC76">
    <cfRule type="expression" dxfId="1932" priority="43">
      <formula>IF(NoColor,1,0)</formula>
    </cfRule>
  </conditionalFormatting>
  <conditionalFormatting sqref="AB78:AC78">
    <cfRule type="expression" dxfId="1931" priority="42">
      <formula>IF(NoColor,1,0)</formula>
    </cfRule>
  </conditionalFormatting>
  <conditionalFormatting sqref="AB80:AC80">
    <cfRule type="expression" dxfId="1930" priority="41">
      <formula>IF(NoColor,1,0)</formula>
    </cfRule>
  </conditionalFormatting>
  <conditionalFormatting sqref="AB82:AC82">
    <cfRule type="expression" dxfId="1929" priority="39">
      <formula>IF(NoColor,1,0)</formula>
    </cfRule>
  </conditionalFormatting>
  <conditionalFormatting sqref="AB93:AC93">
    <cfRule type="expression" dxfId="1928" priority="28">
      <formula>IF(NoColor,1,0)</formula>
    </cfRule>
  </conditionalFormatting>
  <conditionalFormatting sqref="AB95:AC95">
    <cfRule type="expression" dxfId="1927" priority="30">
      <formula>IF(NoColor,1,0)</formula>
    </cfRule>
  </conditionalFormatting>
  <conditionalFormatting sqref="AD14:AD17">
    <cfRule type="expression" dxfId="1926" priority="25">
      <formula>IF(NoColor,1,0)</formula>
    </cfRule>
  </conditionalFormatting>
  <conditionalFormatting sqref="AG58:AG59">
    <cfRule type="expression" dxfId="1925" priority="4794">
      <formula>OR(AND(AB25&lt;&gt;"",AB25&lt;&gt;0,AH27="",AH60&lt;&gt;""),AND(AH27&lt;&gt;"",AH60=""))</formula>
    </cfRule>
  </conditionalFormatting>
  <conditionalFormatting sqref="AG58:AG61">
    <cfRule type="expression" dxfId="1924" priority="3724">
      <formula>(AB56&lt;&gt;0)</formula>
    </cfRule>
  </conditionalFormatting>
  <conditionalFormatting sqref="AG60:AG61">
    <cfRule type="expression" dxfId="1923" priority="3723">
      <formula>"OR(AND(Y24&lt;&gt;"""",Y24&lt;&gt;0,AE26="""",AE58&lt;&gt;""""),AND(AE26&lt;&gt;"""",AE58=""""))"</formula>
    </cfRule>
  </conditionalFormatting>
  <conditionalFormatting sqref="AH8">
    <cfRule type="expression" dxfId="1922" priority="3">
      <formula>AND(AB6&lt;&gt;"",AB6&lt;&gt;0)</formula>
    </cfRule>
  </conditionalFormatting>
  <hyperlinks>
    <hyperlink ref="D126:H126" r:id="rId1" display="Download Form 1040 Schedule F" xr:uid="{00000000-0004-0000-2000-000000000000}"/>
    <hyperlink ref="D128:H128" r:id="rId2" display="Download Form 1040 Schedule F Instructions" xr:uid="{00000000-0004-0000-2000-000001000000}"/>
  </hyperlinks>
  <pageMargins left="0.75" right="0.25" top="0.36" bottom="0.28999999999999998" header="0.36" footer="0.21"/>
  <pageSetup scale="78" fitToHeight="0" orientation="portrait" r:id="rId3"/>
  <rowBreaks count="1" manualBreakCount="1">
    <brk id="61"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P137"/>
  <sheetViews>
    <sheetView zoomScaleNormal="100" zoomScaleSheetLayoutView="125" workbookViewId="0"/>
  </sheetViews>
  <sheetFormatPr defaultColWidth="9.140625" defaultRowHeight="12.75"/>
  <cols>
    <col min="1" max="1" width="2" customWidth="1"/>
    <col min="2" max="2" width="4.42578125" customWidth="1"/>
    <col min="3" max="3" width="2.28515625" customWidth="1"/>
    <col min="4" max="4" width="11.7109375" customWidth="1"/>
    <col min="5" max="5" width="7.85546875" customWidth="1"/>
    <col min="6" max="6" width="3" customWidth="1"/>
    <col min="7" max="8" width="2.5703125" customWidth="1"/>
    <col min="9" max="9" width="10.140625" customWidth="1"/>
    <col min="10" max="12" width="3.28515625" customWidth="1"/>
    <col min="13" max="13" width="1.28515625" customWidth="1"/>
    <col min="14" max="14" width="3.7109375" customWidth="1"/>
    <col min="15" max="15" width="2.85546875" customWidth="1"/>
    <col min="16" max="16" width="5.28515625" bestFit="1" customWidth="1"/>
    <col min="17" max="17" width="2.42578125" customWidth="1"/>
    <col min="18" max="18" width="3.42578125" customWidth="1"/>
    <col min="19" max="19" width="3.7109375" customWidth="1"/>
    <col min="20" max="25" width="3.42578125" customWidth="1"/>
    <col min="26" max="26" width="2.7109375" customWidth="1"/>
    <col min="27" max="27" width="2.85546875" customWidth="1"/>
    <col min="28" max="28" width="3.42578125" customWidth="1"/>
    <col min="29" max="29" width="2.5703125" customWidth="1"/>
    <col min="30" max="30" width="12.140625" style="39" customWidth="1"/>
    <col min="31" max="31" width="2.5703125" customWidth="1"/>
    <col min="32" max="32" width="6.140625" customWidth="1"/>
    <col min="33" max="42" width="10.7109375" style="2038" customWidth="1"/>
  </cols>
  <sheetData>
    <row r="1" spans="1:33" ht="15.75" customHeight="1">
      <c r="A1" s="66"/>
      <c r="B1" s="66"/>
      <c r="C1" s="66"/>
      <c r="D1" s="66"/>
      <c r="E1" s="691"/>
      <c r="F1" s="66"/>
      <c r="G1" s="66"/>
      <c r="H1" s="66"/>
      <c r="I1" s="66"/>
      <c r="J1" s="66"/>
      <c r="K1" s="66"/>
      <c r="L1" s="66"/>
      <c r="M1" s="66"/>
      <c r="N1" s="66"/>
      <c r="O1" s="66"/>
      <c r="P1" s="66"/>
      <c r="Q1" s="66"/>
      <c r="R1" s="66"/>
      <c r="S1" s="66"/>
      <c r="T1" s="66"/>
      <c r="U1" s="66"/>
      <c r="V1" s="66"/>
      <c r="W1" s="66"/>
      <c r="X1" s="66"/>
      <c r="Y1" s="66"/>
      <c r="Z1" s="66"/>
      <c r="AA1" s="66"/>
      <c r="AB1" s="66"/>
      <c r="AC1" s="394"/>
      <c r="AD1" s="260"/>
      <c r="AE1" s="394"/>
      <c r="AG1" s="2037" t="s">
        <v>241</v>
      </c>
    </row>
    <row r="2" spans="1:33" ht="15.75" customHeight="1">
      <c r="A2" s="66"/>
      <c r="B2" s="66"/>
      <c r="C2" s="66"/>
      <c r="D2" s="2907" t="str">
        <f>IF(NOT(R12),"You do not qualify to take this credit.",IF(Y121,"You can't take this credit.  (See line 19.)",IF(AD136,"You can't take this credit.  (See Credit Limit Worksheet—Line 21 at the bottom of this page.)","")))</f>
        <v>You do not qualify to take this credit.</v>
      </c>
      <c r="E2" s="691"/>
      <c r="F2" s="66"/>
      <c r="G2" s="66"/>
      <c r="H2" s="66"/>
      <c r="I2" s="66"/>
      <c r="J2" s="66"/>
      <c r="K2" s="66"/>
      <c r="L2" s="66"/>
      <c r="M2" s="66"/>
      <c r="N2" s="66"/>
      <c r="O2" s="66"/>
      <c r="P2" s="66"/>
      <c r="Q2" s="66"/>
      <c r="R2" s="66"/>
      <c r="S2" s="66"/>
      <c r="T2" s="66"/>
      <c r="U2" s="66"/>
      <c r="V2" s="66"/>
      <c r="W2" s="66"/>
      <c r="X2" s="66"/>
      <c r="Y2" s="66"/>
      <c r="Z2" s="66"/>
      <c r="AA2" s="66"/>
      <c r="AB2" s="66"/>
      <c r="AC2" s="394"/>
      <c r="AD2" s="260"/>
      <c r="AE2" s="394"/>
      <c r="AG2" s="2037"/>
    </row>
    <row r="3" spans="1:33" ht="13.5" customHeight="1">
      <c r="A3" s="66"/>
      <c r="B3" s="66"/>
      <c r="C3" s="66"/>
      <c r="D3" s="66"/>
      <c r="E3" s="2863" t="str">
        <f>IF(OR(NOT(YouR65),NOT(SpouseIs65)),"Answer 'Yes' or 'No' below:","")</f>
        <v>Answer 'Yes' or 'No' below:</v>
      </c>
      <c r="F3" s="7749" t="s">
        <v>605</v>
      </c>
      <c r="G3" s="7749"/>
      <c r="H3" s="7749"/>
      <c r="I3" s="66"/>
      <c r="J3" s="7751" t="str">
        <f>IF(File_Marr_Joint&lt;&gt;"","Spouse","")</f>
        <v/>
      </c>
      <c r="K3" s="7751"/>
      <c r="L3" s="7751"/>
      <c r="M3" s="66"/>
      <c r="N3" s="66"/>
      <c r="O3" s="66"/>
      <c r="P3" s="66"/>
      <c r="Q3" s="66"/>
      <c r="R3" s="66"/>
      <c r="S3" s="66"/>
      <c r="T3" s="66"/>
      <c r="U3" s="66"/>
      <c r="V3" s="66"/>
      <c r="W3" s="66"/>
      <c r="X3" s="66"/>
      <c r="Y3" s="66"/>
      <c r="Z3" s="66"/>
      <c r="AA3" s="66"/>
      <c r="AB3" s="66"/>
      <c r="AC3" s="394"/>
      <c r="AD3" s="260"/>
      <c r="AE3" s="394"/>
      <c r="AG3" s="2037"/>
    </row>
    <row r="4" spans="1:33" ht="16.5" customHeight="1">
      <c r="A4" s="66"/>
      <c r="B4" s="66"/>
      <c r="C4" s="66"/>
      <c r="D4" s="2863"/>
      <c r="E4" s="2863" t="s">
        <v>2942</v>
      </c>
      <c r="F4" s="7750" t="str">
        <f>IF(NOT(YouR65),"Yes","No")</f>
        <v>Yes</v>
      </c>
      <c r="G4" s="7750"/>
      <c r="H4" s="7750"/>
      <c r="I4" s="2913" t="b">
        <f>NOT(YouR65)</f>
        <v>1</v>
      </c>
      <c r="J4" s="7752" t="str">
        <f>IF(File_Marr_Joint="","",IF(NOT(SpouseIs65),"Yes","No"))</f>
        <v/>
      </c>
      <c r="K4" s="7752"/>
      <c r="L4" s="7752"/>
      <c r="M4" s="66"/>
      <c r="N4" s="66"/>
      <c r="O4" s="66"/>
      <c r="P4" s="2913" t="b">
        <f>AND(File_Marr_Joint&lt;&gt;"",NOT(SpouseIs65))</f>
        <v>0</v>
      </c>
      <c r="Q4" s="910"/>
      <c r="R4" s="7756" t="b">
        <f>OR(AND(I4,NOT(P4)),AND(NOT(I4),P4))</f>
        <v>1</v>
      </c>
      <c r="S4" s="7756"/>
      <c r="T4" s="2914" t="s">
        <v>2943</v>
      </c>
      <c r="U4" s="910"/>
      <c r="V4" s="2912"/>
      <c r="W4" s="2912"/>
      <c r="X4" s="66"/>
      <c r="Y4" s="66"/>
      <c r="Z4" s="66"/>
      <c r="AA4" s="66"/>
      <c r="AB4" s="66"/>
      <c r="AC4" s="394"/>
      <c r="AD4" s="260"/>
      <c r="AE4" s="394"/>
      <c r="AG4" s="2037"/>
    </row>
    <row r="5" spans="1:33" ht="6.75" customHeight="1">
      <c r="A5" s="66"/>
      <c r="B5" s="66"/>
      <c r="C5" s="66"/>
      <c r="D5" s="66"/>
      <c r="E5" s="691"/>
      <c r="F5" s="66"/>
      <c r="G5" s="66"/>
      <c r="H5" s="66"/>
      <c r="I5" s="910"/>
      <c r="J5" s="66"/>
      <c r="K5" s="66"/>
      <c r="L5" s="66"/>
      <c r="M5" s="66"/>
      <c r="N5" s="66"/>
      <c r="O5" s="66"/>
      <c r="P5" s="2915"/>
      <c r="Q5" s="910"/>
      <c r="R5" s="910"/>
      <c r="S5" s="910"/>
      <c r="T5" s="910"/>
      <c r="U5" s="910"/>
      <c r="V5" s="2912"/>
      <c r="W5" s="2912"/>
      <c r="X5" s="66"/>
      <c r="Y5" s="66"/>
      <c r="Z5" s="66"/>
      <c r="AA5" s="66"/>
      <c r="AB5" s="66"/>
      <c r="AC5" s="394"/>
      <c r="AD5" s="260"/>
      <c r="AE5" s="394"/>
      <c r="AG5" s="2037"/>
    </row>
    <row r="6" spans="1:33" ht="11.25" customHeight="1">
      <c r="A6" s="66"/>
      <c r="B6" s="66"/>
      <c r="C6" s="66"/>
      <c r="D6" s="2863"/>
      <c r="E6" s="2863" t="str">
        <f>IF(OR(I4,P4),"Retired? ","")</f>
        <v xml:space="preserve">Retired? </v>
      </c>
      <c r="F6" s="7753"/>
      <c r="G6" s="7753"/>
      <c r="H6" s="7753"/>
      <c r="I6" s="2913" t="b">
        <f>OR(LEFT(F6,1)="Y",LEFT(F6,1)="y")</f>
        <v>0</v>
      </c>
      <c r="J6" s="7753"/>
      <c r="K6" s="7753"/>
      <c r="L6" s="7753"/>
      <c r="M6" s="66"/>
      <c r="N6" s="66"/>
      <c r="O6" s="66"/>
      <c r="P6" s="2913" t="b">
        <f>OR(LEFT(J6,1)="Y",LEFT(J6,1)="y")</f>
        <v>0</v>
      </c>
      <c r="Q6" s="910"/>
      <c r="R6" s="910"/>
      <c r="S6" s="910"/>
      <c r="T6" s="910"/>
      <c r="U6" s="910"/>
      <c r="V6" s="2912"/>
      <c r="W6" s="2912"/>
      <c r="X6" s="66"/>
      <c r="Y6" s="66"/>
      <c r="Z6" s="66"/>
      <c r="AA6" s="66"/>
      <c r="AB6" s="66"/>
      <c r="AC6" s="394"/>
      <c r="AD6" s="260"/>
      <c r="AE6" s="394"/>
      <c r="AG6" s="2037"/>
    </row>
    <row r="7" spans="1:33" ht="6.75" customHeight="1">
      <c r="A7" s="433"/>
      <c r="B7" s="433"/>
      <c r="C7" s="433"/>
      <c r="D7" s="433"/>
      <c r="E7" s="691"/>
      <c r="F7" s="66"/>
      <c r="G7" s="66"/>
      <c r="H7" s="66"/>
      <c r="I7" s="910"/>
      <c r="J7" s="66"/>
      <c r="K7" s="66"/>
      <c r="L7" s="66"/>
      <c r="M7" s="66"/>
      <c r="N7" s="66"/>
      <c r="O7" s="66"/>
      <c r="P7" s="2915"/>
      <c r="Q7" s="910"/>
      <c r="R7" s="910"/>
      <c r="S7" s="910"/>
      <c r="T7" s="910"/>
      <c r="U7" s="910"/>
      <c r="V7" s="2912"/>
      <c r="W7" s="2912"/>
      <c r="X7" s="66"/>
      <c r="Y7" s="66"/>
      <c r="Z7" s="66"/>
      <c r="AA7" s="66"/>
      <c r="AB7" s="66"/>
      <c r="AC7" s="394"/>
      <c r="AD7" s="260"/>
      <c r="AE7" s="394"/>
      <c r="AG7" s="2037"/>
    </row>
    <row r="8" spans="1:33" ht="11.25" customHeight="1">
      <c r="A8" s="66"/>
      <c r="B8" s="66"/>
      <c r="C8" s="66"/>
      <c r="D8" s="2863"/>
      <c r="E8" s="2863" t="str">
        <f>IF(OR(I6,P6),"Permanently and totally disabled? ","")</f>
        <v/>
      </c>
      <c r="F8" s="7753"/>
      <c r="G8" s="7753"/>
      <c r="H8" s="7753"/>
      <c r="I8" s="2913" t="b">
        <f>OR(LEFT(F8,1)="Y",LEFT(F8,1)="y")</f>
        <v>0</v>
      </c>
      <c r="J8" s="7753"/>
      <c r="K8" s="7753"/>
      <c r="L8" s="7753"/>
      <c r="M8" s="66"/>
      <c r="N8" s="66"/>
      <c r="O8" s="66"/>
      <c r="P8" s="2913" t="b">
        <f>OR(LEFT(J8,1)="Y",LEFT(J8,1)="y")</f>
        <v>0</v>
      </c>
      <c r="Q8" s="910"/>
      <c r="R8" s="7756" t="b">
        <f>OR(AND(I8,NOT(P8)),AND(NOT(I8),P8))</f>
        <v>0</v>
      </c>
      <c r="S8" s="7756"/>
      <c r="T8" s="2914" t="s">
        <v>2943</v>
      </c>
      <c r="U8" s="910"/>
      <c r="V8" s="2912"/>
      <c r="W8" s="2912"/>
      <c r="X8" s="66"/>
      <c r="Y8" s="66"/>
      <c r="Z8" s="66"/>
      <c r="AA8" s="66"/>
      <c r="AB8" s="66"/>
      <c r="AC8" s="394"/>
      <c r="AD8" s="260"/>
      <c r="AE8" s="394"/>
      <c r="AG8" s="2037"/>
    </row>
    <row r="9" spans="1:33" ht="6.75" customHeight="1">
      <c r="A9" s="433"/>
      <c r="B9" s="433"/>
      <c r="C9" s="433"/>
      <c r="D9" s="433"/>
      <c r="E9" s="691"/>
      <c r="F9" s="66"/>
      <c r="G9" s="66"/>
      <c r="H9" s="66"/>
      <c r="I9" s="910"/>
      <c r="J9" s="66"/>
      <c r="K9" s="66"/>
      <c r="L9" s="66"/>
      <c r="M9" s="66"/>
      <c r="N9" s="66"/>
      <c r="O9" s="66"/>
      <c r="P9" s="2915"/>
      <c r="Q9" s="910"/>
      <c r="R9" s="910"/>
      <c r="S9" s="910"/>
      <c r="T9" s="910"/>
      <c r="U9" s="910"/>
      <c r="V9" s="2912"/>
      <c r="W9" s="2912"/>
      <c r="X9" s="66"/>
      <c r="Y9" s="66"/>
      <c r="Z9" s="66"/>
      <c r="AA9" s="66"/>
      <c r="AB9" s="66"/>
      <c r="AC9" s="394"/>
      <c r="AD9" s="260"/>
      <c r="AE9" s="394"/>
      <c r="AG9" s="2037"/>
    </row>
    <row r="10" spans="1:33" ht="11.25" customHeight="1">
      <c r="A10" s="433"/>
      <c r="B10" s="433"/>
      <c r="C10" s="433"/>
      <c r="D10" s="433"/>
      <c r="E10" s="2863" t="str">
        <f>IF(OR(I8,P8),"Taxable disability income: ","")</f>
        <v/>
      </c>
      <c r="F10" s="7754"/>
      <c r="G10" s="7754"/>
      <c r="H10" s="7754"/>
      <c r="I10" s="2913" t="b">
        <f>F10&gt;0</f>
        <v>0</v>
      </c>
      <c r="J10" s="7755"/>
      <c r="K10" s="7755"/>
      <c r="L10" s="7755"/>
      <c r="M10" s="66"/>
      <c r="N10" s="66"/>
      <c r="O10" s="66"/>
      <c r="P10" s="2913" t="b">
        <f>J10&gt;0</f>
        <v>0</v>
      </c>
      <c r="Q10" s="910"/>
      <c r="R10" s="910"/>
      <c r="S10" s="910"/>
      <c r="T10" s="910"/>
      <c r="U10" s="910"/>
      <c r="V10" s="2912"/>
      <c r="W10" s="2912"/>
      <c r="X10" s="66"/>
      <c r="Y10" s="66"/>
      <c r="Z10" s="66"/>
      <c r="AA10" s="66"/>
      <c r="AB10" s="66"/>
      <c r="AC10" s="394"/>
      <c r="AD10" s="260"/>
      <c r="AE10" s="394"/>
      <c r="AG10" s="2037"/>
    </row>
    <row r="11" spans="1:33" ht="6.75" customHeight="1">
      <c r="A11" s="66"/>
      <c r="B11" s="66"/>
      <c r="C11" s="66"/>
      <c r="D11" s="66"/>
      <c r="E11" s="691"/>
      <c r="F11" s="66"/>
      <c r="G11" s="66"/>
      <c r="H11" s="66"/>
      <c r="I11" s="910"/>
      <c r="J11" s="66"/>
      <c r="K11" s="66"/>
      <c r="L11" s="66"/>
      <c r="M11" s="66"/>
      <c r="N11" s="66"/>
      <c r="O11" s="66"/>
      <c r="P11" s="2915"/>
      <c r="Q11" s="910"/>
      <c r="R11" s="910"/>
      <c r="S11" s="910"/>
      <c r="T11" s="910"/>
      <c r="U11" s="910"/>
      <c r="V11" s="2912"/>
      <c r="W11" s="2912"/>
      <c r="X11" s="66"/>
      <c r="Y11" s="66"/>
      <c r="Z11" s="66"/>
      <c r="AA11" s="66"/>
      <c r="AB11" s="66"/>
      <c r="AC11" s="394"/>
      <c r="AD11" s="260"/>
      <c r="AE11" s="394"/>
      <c r="AG11" s="2037"/>
    </row>
    <row r="12" spans="1:33" ht="11.25" customHeight="1">
      <c r="A12" s="66"/>
      <c r="B12" s="66"/>
      <c r="C12" s="66"/>
      <c r="D12" s="2863"/>
      <c r="E12" s="691"/>
      <c r="F12" s="66"/>
      <c r="G12" s="66"/>
      <c r="H12" s="66"/>
      <c r="I12" s="2913" t="b">
        <f>AND(I4,I6,I8,I10)</f>
        <v>0</v>
      </c>
      <c r="J12" s="66"/>
      <c r="K12" s="66"/>
      <c r="L12" s="66"/>
      <c r="M12" s="66"/>
      <c r="N12" s="66"/>
      <c r="O12" s="66"/>
      <c r="P12" s="2913" t="b">
        <f>AND(P4,P6,P8,P10)</f>
        <v>0</v>
      </c>
      <c r="Q12" s="910"/>
      <c r="R12" s="7756" t="b">
        <f>OR(YouR65,SpouseIs65,I12,P12)</f>
        <v>0</v>
      </c>
      <c r="S12" s="7756"/>
      <c r="T12" s="910"/>
      <c r="U12" s="910"/>
      <c r="V12" s="2912"/>
      <c r="W12" s="2912"/>
      <c r="X12" s="66"/>
      <c r="Y12" s="66"/>
      <c r="Z12" s="66"/>
      <c r="AA12" s="66"/>
      <c r="AB12" s="66"/>
      <c r="AC12" s="394"/>
      <c r="AD12" s="260"/>
      <c r="AE12" s="394"/>
      <c r="AG12" s="2037"/>
    </row>
    <row r="13" spans="1:33" ht="10.5" customHeight="1">
      <c r="A13" s="66"/>
      <c r="B13" s="7712" t="s">
        <v>2944</v>
      </c>
      <c r="C13" s="7713"/>
      <c r="D13" s="7714"/>
      <c r="E13" s="2547"/>
      <c r="F13" s="808"/>
      <c r="G13" s="808"/>
      <c r="H13" s="808"/>
      <c r="I13" s="808"/>
      <c r="J13" s="808"/>
      <c r="K13" s="808"/>
      <c r="L13" s="808"/>
      <c r="M13" s="808"/>
      <c r="N13" s="808"/>
      <c r="O13" s="808"/>
      <c r="P13" s="808"/>
      <c r="Q13" s="808"/>
      <c r="R13" s="808"/>
      <c r="S13" s="808"/>
      <c r="T13" s="808"/>
      <c r="U13" s="808"/>
      <c r="V13" s="2548"/>
      <c r="W13" s="808"/>
      <c r="X13" s="1053" t="s">
        <v>576</v>
      </c>
      <c r="Y13" s="1053"/>
      <c r="Z13" s="1054"/>
      <c r="AA13" s="1054"/>
      <c r="AB13" s="1054"/>
      <c r="AC13" s="394"/>
      <c r="AD13" s="260"/>
      <c r="AE13" s="394"/>
    </row>
    <row r="14" spans="1:33" ht="21.75" customHeight="1">
      <c r="A14" s="394"/>
      <c r="B14" s="7715"/>
      <c r="C14" s="7714"/>
      <c r="D14" s="7714"/>
      <c r="E14" s="7733" t="s">
        <v>2945</v>
      </c>
      <c r="F14" s="7734"/>
      <c r="G14" s="7734"/>
      <c r="H14" s="7734"/>
      <c r="I14" s="7734"/>
      <c r="J14" s="7734"/>
      <c r="K14" s="7734"/>
      <c r="L14" s="7734"/>
      <c r="M14" s="7734"/>
      <c r="N14" s="7734"/>
      <c r="O14" s="7734"/>
      <c r="P14" s="7734"/>
      <c r="Q14" s="7734"/>
      <c r="R14" s="7734"/>
      <c r="S14" s="7734"/>
      <c r="T14" s="7734"/>
      <c r="U14" s="7734"/>
      <c r="V14" s="7734"/>
      <c r="W14" s="7735"/>
      <c r="X14" s="7716">
        <f>TaxYear</f>
        <v>2023</v>
      </c>
      <c r="Y14" s="7651"/>
      <c r="Z14" s="7651"/>
      <c r="AA14" s="7651"/>
      <c r="AB14" s="7651"/>
      <c r="AC14" s="394"/>
      <c r="AD14" s="260"/>
      <c r="AE14" s="394"/>
    </row>
    <row r="15" spans="1:33" ht="9.75" customHeight="1">
      <c r="A15" s="394"/>
      <c r="B15" s="7673"/>
      <c r="C15" s="7673"/>
      <c r="D15" s="7729"/>
      <c r="E15" s="7730" t="s">
        <v>2090</v>
      </c>
      <c r="F15" s="7731"/>
      <c r="G15" s="7731"/>
      <c r="H15" s="7731"/>
      <c r="I15" s="7731"/>
      <c r="J15" s="7731"/>
      <c r="K15" s="7731"/>
      <c r="L15" s="7731"/>
      <c r="M15" s="7731"/>
      <c r="N15" s="7731"/>
      <c r="O15" s="7731"/>
      <c r="P15" s="7731"/>
      <c r="Q15" s="7731"/>
      <c r="R15" s="7731"/>
      <c r="S15" s="7731"/>
      <c r="T15" s="7731"/>
      <c r="U15" s="7731"/>
      <c r="V15" s="7731"/>
      <c r="W15" s="7732"/>
      <c r="X15" s="7717" t="s">
        <v>2946</v>
      </c>
      <c r="Y15" s="7653"/>
      <c r="Z15" s="7653"/>
      <c r="AA15" s="7653"/>
      <c r="AB15" s="7653"/>
      <c r="AC15" s="394"/>
      <c r="AD15" s="260"/>
      <c r="AE15" s="394"/>
    </row>
    <row r="16" spans="1:33" ht="12" customHeight="1">
      <c r="A16" s="394"/>
      <c r="B16" s="7721" t="s">
        <v>2947</v>
      </c>
      <c r="C16" s="7722"/>
      <c r="D16" s="7723"/>
      <c r="E16" s="7736" t="s">
        <v>2948</v>
      </c>
      <c r="F16" s="7737"/>
      <c r="G16" s="7737"/>
      <c r="H16" s="7737"/>
      <c r="I16" s="7737"/>
      <c r="J16" s="7737"/>
      <c r="K16" s="7737"/>
      <c r="L16" s="7737"/>
      <c r="M16" s="7737"/>
      <c r="N16" s="7737"/>
      <c r="O16" s="7737"/>
      <c r="P16" s="7737"/>
      <c r="Q16" s="7737"/>
      <c r="R16" s="7737"/>
      <c r="S16" s="7737"/>
      <c r="T16" s="7737"/>
      <c r="U16" s="7737"/>
      <c r="V16" s="7737"/>
      <c r="W16" s="7738"/>
      <c r="X16" s="7718"/>
      <c r="Y16" s="7653"/>
      <c r="Z16" s="7653"/>
      <c r="AA16" s="7653"/>
      <c r="AB16" s="7653"/>
      <c r="AC16" s="394"/>
      <c r="AD16" s="260"/>
      <c r="AE16" s="394"/>
    </row>
    <row r="17" spans="1:42" ht="6.75" customHeight="1">
      <c r="A17" s="394"/>
      <c r="B17" s="7724"/>
      <c r="C17" s="7725"/>
      <c r="D17" s="7725"/>
      <c r="E17" s="1056"/>
      <c r="F17" s="1057"/>
      <c r="G17" s="1057"/>
      <c r="H17" s="1057"/>
      <c r="I17" s="1057"/>
      <c r="J17" s="1057"/>
      <c r="K17" s="1057"/>
      <c r="L17" s="1057"/>
      <c r="M17" s="1057"/>
      <c r="N17" s="1057"/>
      <c r="O17" s="1057"/>
      <c r="P17" s="1057"/>
      <c r="Q17" s="1057"/>
      <c r="R17" s="1057"/>
      <c r="S17" s="1057"/>
      <c r="T17" s="1057"/>
      <c r="U17" s="1057"/>
      <c r="V17" s="1057"/>
      <c r="W17" s="1057"/>
      <c r="X17" s="7719"/>
      <c r="Y17" s="7720"/>
      <c r="Z17" s="7720"/>
      <c r="AA17" s="7720"/>
      <c r="AB17" s="7720"/>
      <c r="AC17" s="394"/>
      <c r="AD17" s="260"/>
      <c r="AE17" s="394"/>
    </row>
    <row r="18" spans="1:42" ht="12" customHeight="1">
      <c r="A18" s="394"/>
      <c r="B18" s="133" t="s">
        <v>2949</v>
      </c>
      <c r="C18" s="133"/>
      <c r="D18" s="130"/>
      <c r="E18" s="130"/>
      <c r="F18" s="130"/>
      <c r="G18" s="111"/>
      <c r="H18" s="111"/>
      <c r="I18" s="112"/>
      <c r="J18" s="112"/>
      <c r="K18" s="112"/>
      <c r="L18" s="112"/>
      <c r="M18" s="112"/>
      <c r="N18" s="20"/>
      <c r="O18" s="20"/>
      <c r="P18" s="20"/>
      <c r="Q18" s="20"/>
      <c r="R18" s="123"/>
      <c r="S18" s="120"/>
      <c r="T18" s="1061" t="s">
        <v>1196</v>
      </c>
      <c r="U18" s="112"/>
      <c r="V18" s="112"/>
      <c r="W18" s="112"/>
      <c r="X18" s="111"/>
      <c r="Y18" s="111"/>
      <c r="Z18" s="111"/>
      <c r="AA18" s="111"/>
      <c r="AB18" s="111"/>
      <c r="AC18" s="394"/>
      <c r="AD18" s="260"/>
      <c r="AE18" s="394"/>
    </row>
    <row r="19" spans="1:42" ht="14.25" customHeight="1">
      <c r="A19" s="394"/>
      <c r="B19" s="7726" t="str">
        <f>Names</f>
        <v/>
      </c>
      <c r="C19" s="7726"/>
      <c r="D19" s="7727"/>
      <c r="E19" s="7727"/>
      <c r="F19" s="7727"/>
      <c r="G19" s="7727"/>
      <c r="H19" s="7727"/>
      <c r="I19" s="7727"/>
      <c r="J19" s="7727"/>
      <c r="K19" s="7727"/>
      <c r="L19" s="7727"/>
      <c r="M19" s="7727"/>
      <c r="N19" s="7727"/>
      <c r="O19" s="7727"/>
      <c r="P19" s="7727"/>
      <c r="Q19" s="7727"/>
      <c r="R19" s="7727"/>
      <c r="S19" s="7728"/>
      <c r="T19" s="7661">
        <f>IF(NoSSN,"",SS_Yours)</f>
        <v>1010001</v>
      </c>
      <c r="U19" s="7662"/>
      <c r="V19" s="7662"/>
      <c r="W19" s="7662"/>
      <c r="X19" s="7662"/>
      <c r="Y19" s="7662"/>
      <c r="Z19" s="7662"/>
      <c r="AA19" s="7662"/>
      <c r="AB19" s="7663"/>
      <c r="AC19" s="394"/>
      <c r="AD19" s="260"/>
      <c r="AE19" s="394"/>
    </row>
    <row r="20" spans="1:42" s="2690" customFormat="1" ht="12" customHeight="1">
      <c r="A20" s="394"/>
      <c r="B20" s="2828" t="str">
        <f>"You may be able to take this credit and reduce your tax if by the end of "&amp;TaxYear&amp;":"</f>
        <v>You may be able to take this credit and reduce your tax if by the end of 2023:</v>
      </c>
      <c r="C20" s="1075"/>
      <c r="D20" s="1075"/>
      <c r="E20" s="1075"/>
      <c r="F20" s="5665"/>
      <c r="G20" s="5666"/>
      <c r="H20" s="5666"/>
      <c r="I20" s="5666"/>
      <c r="J20" s="5666"/>
      <c r="K20" s="5666"/>
      <c r="L20" s="5666"/>
      <c r="M20" s="5666"/>
      <c r="N20" s="5665"/>
      <c r="O20" s="5665"/>
      <c r="P20" s="680"/>
      <c r="Q20" s="680"/>
      <c r="R20" s="680"/>
      <c r="S20" s="680"/>
      <c r="T20" s="680"/>
      <c r="U20" s="680"/>
      <c r="V20" s="680"/>
      <c r="W20" s="680"/>
      <c r="X20" s="680"/>
      <c r="Y20" s="680"/>
      <c r="Z20" s="680"/>
      <c r="AA20" s="680"/>
      <c r="AB20" s="680"/>
      <c r="AC20" s="394"/>
      <c r="AD20" s="260"/>
      <c r="AE20" s="394"/>
      <c r="AF20"/>
      <c r="AG20" s="2038"/>
      <c r="AH20" s="2038"/>
      <c r="AI20" s="2038"/>
      <c r="AJ20" s="2038"/>
      <c r="AK20" s="2038"/>
      <c r="AL20" s="2038"/>
      <c r="AM20" s="2038"/>
      <c r="AN20" s="2038"/>
      <c r="AO20" s="2038"/>
      <c r="AP20" s="2038"/>
    </row>
    <row r="21" spans="1:42" s="2690" customFormat="1" ht="12" customHeight="1">
      <c r="A21" s="394"/>
      <c r="B21" s="2829" t="s">
        <v>2950</v>
      </c>
      <c r="C21" s="680" t="s">
        <v>2951</v>
      </c>
      <c r="D21" s="680"/>
      <c r="E21" s="680"/>
      <c r="F21" s="735" t="s">
        <v>1445</v>
      </c>
      <c r="G21" s="2829" t="s">
        <v>2950</v>
      </c>
      <c r="H21" s="5002" t="s">
        <v>2952</v>
      </c>
      <c r="I21" s="5363"/>
      <c r="J21" s="5363"/>
      <c r="K21" s="5363"/>
      <c r="L21" s="5363"/>
      <c r="M21" s="5363"/>
      <c r="N21" s="680"/>
      <c r="O21" s="680"/>
      <c r="P21" s="680"/>
      <c r="Q21" s="680"/>
      <c r="R21" s="680"/>
      <c r="S21" s="680"/>
      <c r="T21" s="680"/>
      <c r="U21" s="680"/>
      <c r="V21" s="680"/>
      <c r="W21" s="680"/>
      <c r="X21" s="680"/>
      <c r="Y21" s="680"/>
      <c r="Z21" s="680"/>
      <c r="AA21" s="680"/>
      <c r="AB21" s="680"/>
      <c r="AC21" s="394"/>
      <c r="AD21" s="260"/>
      <c r="AE21" s="394"/>
      <c r="AF21"/>
      <c r="AG21" s="2038"/>
      <c r="AH21" s="2038"/>
      <c r="AI21" s="2038"/>
      <c r="AJ21" s="2038"/>
      <c r="AK21" s="2038"/>
      <c r="AL21" s="2038"/>
      <c r="AM21" s="2038"/>
      <c r="AN21" s="2038"/>
      <c r="AO21" s="2038"/>
      <c r="AP21" s="2038"/>
    </row>
    <row r="22" spans="1:42" s="2690" customFormat="1" ht="12" customHeight="1">
      <c r="A22" s="394"/>
      <c r="B22" s="131"/>
      <c r="C22" s="936"/>
      <c r="D22" s="936"/>
      <c r="E22" s="680"/>
      <c r="F22" s="680"/>
      <c r="G22" s="5363"/>
      <c r="H22" s="5667" t="s">
        <v>2953</v>
      </c>
      <c r="I22" s="5363"/>
      <c r="J22" s="5363"/>
      <c r="K22" s="5363"/>
      <c r="L22" s="5363"/>
      <c r="M22" s="5363"/>
      <c r="N22" s="680"/>
      <c r="O22" s="680"/>
      <c r="P22" s="680"/>
      <c r="Q22" s="680"/>
      <c r="R22" s="680"/>
      <c r="S22" s="680"/>
      <c r="T22" s="680"/>
      <c r="U22" s="5363"/>
      <c r="V22" s="5363"/>
      <c r="W22" s="5363"/>
      <c r="X22" s="2135"/>
      <c r="Y22" s="2136"/>
      <c r="Z22" s="2136"/>
      <c r="AA22" s="2135"/>
      <c r="AB22" s="2135"/>
      <c r="AC22" s="394"/>
      <c r="AD22" s="260"/>
      <c r="AE22" s="394"/>
      <c r="AF22"/>
      <c r="AG22" s="2038"/>
      <c r="AH22" s="2038"/>
      <c r="AI22" s="2038"/>
      <c r="AJ22" s="2038"/>
      <c r="AK22" s="2038"/>
      <c r="AL22" s="2038"/>
      <c r="AM22" s="2038"/>
      <c r="AN22" s="2038"/>
      <c r="AO22" s="2038"/>
      <c r="AP22" s="2038"/>
    </row>
    <row r="23" spans="1:42" s="2690" customFormat="1" ht="12" customHeight="1">
      <c r="A23" s="394"/>
      <c r="B23" s="680" t="s">
        <v>2954</v>
      </c>
      <c r="C23" s="680"/>
      <c r="D23" s="936"/>
      <c r="E23" s="680"/>
      <c r="F23" s="680"/>
      <c r="G23" s="5363"/>
      <c r="H23" s="5363"/>
      <c r="I23" s="5363"/>
      <c r="J23" s="5363"/>
      <c r="K23" s="5363"/>
      <c r="L23" s="5363"/>
      <c r="M23" s="5363"/>
      <c r="N23" s="680"/>
      <c r="O23" s="680"/>
      <c r="P23" s="680"/>
      <c r="Q23" s="680"/>
      <c r="R23" s="680"/>
      <c r="S23" s="680"/>
      <c r="T23" s="680"/>
      <c r="U23" s="5363"/>
      <c r="V23" s="5363"/>
      <c r="W23" s="5363"/>
      <c r="X23" s="5363"/>
      <c r="Y23" s="5363"/>
      <c r="Z23" s="5363"/>
      <c r="AA23" s="5363"/>
      <c r="AB23" s="5363"/>
      <c r="AC23" s="394"/>
      <c r="AD23" s="260"/>
      <c r="AE23" s="2606"/>
      <c r="AF23"/>
      <c r="AG23" s="2038"/>
      <c r="AH23" s="2038"/>
      <c r="AI23" s="2038"/>
      <c r="AJ23" s="2038"/>
      <c r="AK23" s="2038"/>
      <c r="AL23" s="2038"/>
      <c r="AM23" s="2038"/>
      <c r="AN23" s="2038"/>
      <c r="AO23" s="2038"/>
      <c r="AP23" s="2038"/>
    </row>
    <row r="24" spans="1:42" s="2690" customFormat="1" ht="18.75" customHeight="1">
      <c r="A24" s="394"/>
      <c r="B24" s="131"/>
      <c r="C24" s="936"/>
      <c r="D24" s="4465" t="s">
        <v>2955</v>
      </c>
      <c r="E24" s="936"/>
      <c r="F24" s="680"/>
      <c r="G24" s="680"/>
      <c r="H24" s="680"/>
      <c r="I24" s="680"/>
      <c r="J24" s="680"/>
      <c r="K24" s="680"/>
      <c r="L24" s="680"/>
      <c r="M24" s="680"/>
      <c r="N24" s="680"/>
      <c r="O24" s="680"/>
      <c r="P24" s="680"/>
      <c r="Q24" s="680"/>
      <c r="R24" s="680"/>
      <c r="S24" s="680"/>
      <c r="T24" s="680"/>
      <c r="U24" s="5363"/>
      <c r="V24" s="5363"/>
      <c r="W24" s="5364"/>
      <c r="X24" s="2549"/>
      <c r="Y24" s="2550"/>
      <c r="Z24" s="2550"/>
      <c r="AA24" s="2550"/>
      <c r="AB24" s="2550"/>
      <c r="AC24" s="394"/>
      <c r="AD24" s="260"/>
      <c r="AE24" s="394"/>
      <c r="AF24" s="1085"/>
      <c r="AG24" s="2038"/>
      <c r="AH24" s="2038"/>
      <c r="AI24" s="2038"/>
      <c r="AJ24" s="2038"/>
      <c r="AK24" s="2038"/>
      <c r="AL24" s="2038"/>
      <c r="AM24" s="2038"/>
      <c r="AN24" s="2038"/>
      <c r="AO24" s="2038"/>
      <c r="AP24" s="2038"/>
    </row>
    <row r="25" spans="1:42" s="2690" customFormat="1" ht="5.25" customHeight="1" thickBot="1">
      <c r="A25" s="394"/>
      <c r="B25" s="379"/>
      <c r="C25" s="936"/>
      <c r="D25" s="936"/>
      <c r="E25" s="936"/>
      <c r="F25" s="190"/>
      <c r="G25" s="190"/>
      <c r="H25" s="190"/>
      <c r="I25" s="190"/>
      <c r="J25" s="190"/>
      <c r="K25" s="190"/>
      <c r="L25" s="190"/>
      <c r="M25" s="190"/>
      <c r="N25" s="190"/>
      <c r="O25" s="190"/>
      <c r="P25" s="190"/>
      <c r="Q25" s="190"/>
      <c r="R25" s="116"/>
      <c r="S25" s="116"/>
      <c r="T25" s="133"/>
      <c r="U25" s="5366"/>
      <c r="V25" s="5366"/>
      <c r="W25" s="680"/>
      <c r="X25" s="18"/>
      <c r="Y25" s="18"/>
      <c r="Z25" s="460"/>
      <c r="AA25" s="18"/>
      <c r="AB25" s="18"/>
      <c r="AC25" s="394"/>
      <c r="AD25" s="260"/>
      <c r="AE25" s="2605"/>
      <c r="AF25"/>
      <c r="AG25" s="2038"/>
      <c r="AH25" s="2038"/>
      <c r="AI25" s="2038"/>
      <c r="AJ25" s="2038"/>
      <c r="AK25" s="2038"/>
      <c r="AL25" s="2038"/>
      <c r="AM25" s="2038"/>
      <c r="AN25" s="2038"/>
      <c r="AO25" s="2038"/>
      <c r="AP25" s="2038"/>
    </row>
    <row r="26" spans="1:42" s="2690" customFormat="1" ht="15.75" thickTop="1">
      <c r="A26" s="394"/>
      <c r="B26" s="7739" t="s">
        <v>884</v>
      </c>
      <c r="C26" s="7740"/>
      <c r="D26" s="2830" t="s">
        <v>2956</v>
      </c>
      <c r="E26" s="140"/>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394"/>
      <c r="AD26" s="2910" t="s">
        <v>867</v>
      </c>
      <c r="AE26" s="394"/>
      <c r="AF26"/>
      <c r="AG26" s="2038"/>
      <c r="AH26" s="2038"/>
      <c r="AI26" s="2038"/>
      <c r="AJ26" s="2038"/>
      <c r="AK26" s="2038"/>
      <c r="AL26" s="2038"/>
      <c r="AM26" s="2038"/>
      <c r="AN26" s="2038"/>
      <c r="AO26" s="2038"/>
      <c r="AP26" s="2038"/>
    </row>
    <row r="27" spans="1:42" s="2690" customFormat="1" ht="12" customHeight="1">
      <c r="A27" s="394"/>
      <c r="B27" s="5668" t="s">
        <v>2957</v>
      </c>
      <c r="C27" s="2831"/>
      <c r="D27" s="2831"/>
      <c r="E27" s="2832"/>
      <c r="F27" s="2832"/>
      <c r="G27" s="2833"/>
      <c r="H27" s="2834" t="str">
        <f>"And by the end of "&amp;TaxYear&amp;":"</f>
        <v>And by the end of 2023:</v>
      </c>
      <c r="I27" s="2833"/>
      <c r="J27" s="2833"/>
      <c r="K27" s="2833"/>
      <c r="L27" s="2833"/>
      <c r="M27" s="2833"/>
      <c r="N27" s="2832"/>
      <c r="O27" s="2832"/>
      <c r="P27" s="2832"/>
      <c r="Q27" s="2832"/>
      <c r="R27" s="2832"/>
      <c r="S27" s="2832"/>
      <c r="T27" s="2832"/>
      <c r="U27" s="2833"/>
      <c r="V27" s="2833"/>
      <c r="W27" s="2833"/>
      <c r="X27" s="2835"/>
      <c r="Y27" s="2836"/>
      <c r="Z27" s="2836"/>
      <c r="AA27" s="2835"/>
      <c r="AB27" s="2837" t="s">
        <v>2958</v>
      </c>
      <c r="AC27" s="394"/>
      <c r="AD27" s="260"/>
      <c r="AE27" s="394"/>
      <c r="AF27"/>
      <c r="AG27" s="2038"/>
      <c r="AH27" s="2038"/>
      <c r="AI27" s="2038"/>
      <c r="AJ27" s="2038"/>
      <c r="AK27" s="2038"/>
      <c r="AL27" s="2038"/>
      <c r="AM27" s="2038"/>
      <c r="AN27" s="2038"/>
      <c r="AO27" s="2038"/>
      <c r="AP27" s="2038"/>
    </row>
    <row r="28" spans="1:42" s="2690" customFormat="1" ht="12" customHeight="1">
      <c r="A28" s="394"/>
      <c r="B28" s="7748" t="b">
        <f>OR(File_Single&lt;&gt;"",File_Head&lt;&gt;"",File_Qual_Widow&lt;&gt;"")</f>
        <v>0</v>
      </c>
      <c r="C28" s="7748"/>
      <c r="D28" s="936"/>
      <c r="E28" s="680"/>
      <c r="F28" s="680"/>
      <c r="G28" s="5363"/>
      <c r="H28" s="2825"/>
      <c r="I28" s="5363"/>
      <c r="J28" s="5363"/>
      <c r="K28" s="5363"/>
      <c r="L28" s="5363"/>
      <c r="M28" s="5363"/>
      <c r="N28" s="680"/>
      <c r="O28" s="680"/>
      <c r="P28" s="680"/>
      <c r="Q28" s="680"/>
      <c r="R28" s="680"/>
      <c r="S28" s="680"/>
      <c r="T28" s="680"/>
      <c r="U28" s="5363"/>
      <c r="V28" s="5363"/>
      <c r="W28" s="5363"/>
      <c r="X28" s="2135"/>
      <c r="Y28" s="2136"/>
      <c r="Z28" s="2136"/>
      <c r="AA28" s="2135"/>
      <c r="AB28" s="2135"/>
      <c r="AC28" s="394"/>
      <c r="AD28" s="260"/>
      <c r="AE28" s="394"/>
      <c r="AF28"/>
      <c r="AG28" s="2038"/>
      <c r="AH28" s="2038"/>
      <c r="AI28" s="2038"/>
      <c r="AJ28" s="2038"/>
      <c r="AK28" s="2038"/>
      <c r="AL28" s="2038"/>
      <c r="AM28" s="2038"/>
      <c r="AN28" s="2038"/>
      <c r="AO28" s="2038"/>
      <c r="AP28" s="2038"/>
    </row>
    <row r="29" spans="1:42" s="2690" customFormat="1" ht="12" customHeight="1">
      <c r="A29" s="394"/>
      <c r="B29" s="190" t="s">
        <v>2959</v>
      </c>
      <c r="C29" s="936"/>
      <c r="D29" s="936"/>
      <c r="E29" s="680"/>
      <c r="F29" s="2838" t="s">
        <v>252</v>
      </c>
      <c r="G29" s="5908" t="s">
        <v>2960</v>
      </c>
      <c r="H29" s="2825"/>
      <c r="I29" s="5363"/>
      <c r="J29" s="5363"/>
      <c r="K29" s="5363"/>
      <c r="L29" s="5363"/>
      <c r="M29" s="5363"/>
      <c r="N29" s="680"/>
      <c r="O29" s="680"/>
      <c r="P29" s="680"/>
      <c r="Q29" s="680"/>
      <c r="R29" s="680"/>
      <c r="S29" s="680"/>
      <c r="T29" s="680"/>
      <c r="U29" s="5363"/>
      <c r="V29" s="5363"/>
      <c r="W29" s="5363"/>
      <c r="X29" s="400" t="s">
        <v>2143</v>
      </c>
      <c r="Y29" s="2838" t="s">
        <v>252</v>
      </c>
      <c r="Z29" s="2136"/>
      <c r="AA29" s="3782" t="str">
        <f>IF(OR($AD$34=1,AND($AD$34="",B28,YouR65)),"X","")</f>
        <v/>
      </c>
      <c r="AB29" s="2135"/>
      <c r="AC29" s="394"/>
      <c r="AD29" s="260"/>
      <c r="AE29" s="394"/>
      <c r="AF29"/>
      <c r="AG29" s="2038"/>
      <c r="AH29" s="2038"/>
      <c r="AI29" s="2038"/>
      <c r="AJ29" s="2038"/>
      <c r="AK29" s="2038"/>
      <c r="AL29" s="2038"/>
      <c r="AM29" s="2038"/>
      <c r="AN29" s="2038"/>
      <c r="AO29" s="2038"/>
      <c r="AP29" s="2038"/>
    </row>
    <row r="30" spans="1:42" s="2690" customFormat="1" ht="12" customHeight="1">
      <c r="A30" s="394"/>
      <c r="B30" s="190" t="s">
        <v>2961</v>
      </c>
      <c r="C30" s="936"/>
      <c r="D30" s="936"/>
      <c r="E30" s="680"/>
      <c r="F30" s="680"/>
      <c r="G30" s="5363"/>
      <c r="H30" s="2825"/>
      <c r="I30" s="5363"/>
      <c r="J30" s="5363"/>
      <c r="K30" s="5363"/>
      <c r="L30" s="5363"/>
      <c r="M30" s="5363"/>
      <c r="N30" s="680"/>
      <c r="O30" s="680"/>
      <c r="P30" s="680"/>
      <c r="Q30" s="680"/>
      <c r="R30" s="680"/>
      <c r="S30" s="680"/>
      <c r="T30" s="680"/>
      <c r="U30" s="5363"/>
      <c r="V30" s="5363"/>
      <c r="W30" s="5363"/>
      <c r="X30" s="2135"/>
      <c r="Y30" s="2136"/>
      <c r="Z30" s="2136"/>
      <c r="AA30" s="2135"/>
      <c r="AB30" s="2135"/>
      <c r="AC30" s="394"/>
      <c r="AD30" s="2911" t="s">
        <v>2962</v>
      </c>
      <c r="AE30" s="394"/>
      <c r="AF30"/>
      <c r="AG30" s="2038"/>
      <c r="AH30" s="2038"/>
      <c r="AI30" s="2038"/>
      <c r="AJ30" s="2038"/>
      <c r="AK30" s="2038"/>
      <c r="AL30" s="2038"/>
      <c r="AM30" s="2038"/>
      <c r="AN30" s="2038"/>
      <c r="AO30" s="2038"/>
      <c r="AP30" s="2038"/>
    </row>
    <row r="31" spans="1:42" s="2690" customFormat="1" ht="12" customHeight="1">
      <c r="A31" s="394"/>
      <c r="B31" s="190" t="s">
        <v>2963</v>
      </c>
      <c r="C31" s="936"/>
      <c r="D31" s="936"/>
      <c r="E31" s="680"/>
      <c r="F31" s="2838" t="s">
        <v>254</v>
      </c>
      <c r="G31" s="5908" t="s">
        <v>2964</v>
      </c>
      <c r="H31" s="2825"/>
      <c r="I31" s="5363"/>
      <c r="J31" s="5363"/>
      <c r="K31" s="5363"/>
      <c r="L31" s="5363"/>
      <c r="M31" s="5363"/>
      <c r="N31" s="680"/>
      <c r="O31" s="680"/>
      <c r="P31" s="680"/>
      <c r="Q31" s="680"/>
      <c r="R31" s="680"/>
      <c r="S31" s="680"/>
      <c r="T31" s="680"/>
      <c r="U31" s="5363"/>
      <c r="V31" s="5363"/>
      <c r="W31" s="5363"/>
      <c r="X31" s="400" t="s">
        <v>939</v>
      </c>
      <c r="Y31" s="2838" t="s">
        <v>254</v>
      </c>
      <c r="Z31" s="2136"/>
      <c r="AA31" s="3782" t="str">
        <f>IF(OR($AD$34=2,AND($AD$34="",B28,I6,I8)),"X","")</f>
        <v/>
      </c>
      <c r="AB31" s="2135"/>
      <c r="AC31" s="394"/>
      <c r="AD31" s="2911" t="s">
        <v>2965</v>
      </c>
      <c r="AE31" s="394"/>
      <c r="AF31"/>
      <c r="AG31" s="2038"/>
      <c r="AH31" s="2038"/>
      <c r="AI31" s="2038"/>
      <c r="AJ31" s="2038"/>
      <c r="AK31" s="2038"/>
      <c r="AL31" s="2038"/>
      <c r="AM31" s="2038"/>
      <c r="AN31" s="2038"/>
      <c r="AO31" s="2038"/>
      <c r="AP31" s="2038"/>
    </row>
    <row r="32" spans="1:42" s="2690" customFormat="1" ht="12" customHeight="1">
      <c r="A32" s="394"/>
      <c r="B32" s="416"/>
      <c r="C32" s="1453"/>
      <c r="D32" s="1453"/>
      <c r="E32" s="5595"/>
      <c r="F32" s="5595"/>
      <c r="G32" s="5669"/>
      <c r="H32" s="5670"/>
      <c r="I32" s="5669"/>
      <c r="J32" s="5669"/>
      <c r="K32" s="5669"/>
      <c r="L32" s="5669"/>
      <c r="M32" s="5669"/>
      <c r="N32" s="5595"/>
      <c r="O32" s="5595"/>
      <c r="P32" s="5595"/>
      <c r="Q32" s="5595"/>
      <c r="R32" s="5595"/>
      <c r="S32" s="5595"/>
      <c r="T32" s="5595"/>
      <c r="U32" s="5669"/>
      <c r="V32" s="5669"/>
      <c r="W32" s="5669"/>
      <c r="X32" s="2839"/>
      <c r="Y32" s="2840"/>
      <c r="Z32" s="2840"/>
      <c r="AA32" s="2839"/>
      <c r="AB32" s="2839"/>
      <c r="AC32" s="394"/>
      <c r="AD32" s="2911" t="s">
        <v>2966</v>
      </c>
      <c r="AE32" s="394"/>
      <c r="AF32"/>
      <c r="AG32" s="2038"/>
      <c r="AH32" s="2038"/>
      <c r="AI32" s="2038"/>
      <c r="AJ32" s="2038"/>
      <c r="AK32" s="2038"/>
      <c r="AL32" s="2038"/>
      <c r="AM32" s="2038"/>
      <c r="AN32" s="2038"/>
      <c r="AO32" s="2038"/>
      <c r="AP32" s="2038"/>
    </row>
    <row r="33" spans="1:42" s="2690" customFormat="1" ht="12" customHeight="1" thickBot="1">
      <c r="A33" s="394"/>
      <c r="B33" s="2828"/>
      <c r="C33" s="2841"/>
      <c r="D33" s="2841"/>
      <c r="E33" s="5665"/>
      <c r="F33" s="5665"/>
      <c r="G33" s="5666"/>
      <c r="H33" s="5671"/>
      <c r="I33" s="5666"/>
      <c r="J33" s="5666"/>
      <c r="K33" s="5666"/>
      <c r="L33" s="5666"/>
      <c r="M33" s="5666"/>
      <c r="N33" s="5665"/>
      <c r="O33" s="5665"/>
      <c r="P33" s="5665"/>
      <c r="Q33" s="5665"/>
      <c r="R33" s="5665"/>
      <c r="S33" s="5665"/>
      <c r="T33" s="5665"/>
      <c r="U33" s="5666"/>
      <c r="V33" s="5666"/>
      <c r="W33" s="5666"/>
      <c r="X33" s="2842"/>
      <c r="Y33" s="2843"/>
      <c r="Z33" s="2843"/>
      <c r="AA33" s="2842"/>
      <c r="AB33" s="2842"/>
      <c r="AC33" s="394"/>
      <c r="AD33" s="2911" t="s">
        <v>2967</v>
      </c>
      <c r="AE33" s="394"/>
      <c r="AF33"/>
      <c r="AG33" s="2038"/>
      <c r="AH33" s="2038"/>
      <c r="AI33" s="2038"/>
      <c r="AJ33" s="2038"/>
      <c r="AK33" s="2038"/>
      <c r="AL33" s="2038"/>
      <c r="AM33" s="2038"/>
      <c r="AN33" s="2038"/>
      <c r="AO33" s="2038"/>
      <c r="AP33" s="2038"/>
    </row>
    <row r="34" spans="1:42" s="2690" customFormat="1" ht="12" customHeight="1" thickBot="1">
      <c r="A34" s="394"/>
      <c r="B34" s="190"/>
      <c r="C34" s="936"/>
      <c r="D34" s="936"/>
      <c r="E34" s="680"/>
      <c r="F34" s="2838" t="s">
        <v>256</v>
      </c>
      <c r="G34" s="5908" t="s">
        <v>2968</v>
      </c>
      <c r="H34" s="2825"/>
      <c r="I34" s="5363"/>
      <c r="J34" s="5363"/>
      <c r="K34" s="5363"/>
      <c r="L34" s="5363"/>
      <c r="M34" s="5363"/>
      <c r="N34" s="680"/>
      <c r="O34" s="680"/>
      <c r="P34" s="680"/>
      <c r="Q34" s="680"/>
      <c r="R34" s="680"/>
      <c r="S34" s="680"/>
      <c r="T34" s="680"/>
      <c r="U34" s="5363"/>
      <c r="V34" s="5363"/>
      <c r="W34" s="5363"/>
      <c r="X34" s="400" t="s">
        <v>898</v>
      </c>
      <c r="Y34" s="2838" t="s">
        <v>256</v>
      </c>
      <c r="Z34" s="2136"/>
      <c r="AA34" s="3782" t="str">
        <f>IF(OR($AD$34=3,AND($AD$34="",B38,YouR65,SpouseIs65)),"X","")</f>
        <v/>
      </c>
      <c r="AB34" s="2135"/>
      <c r="AC34" s="394"/>
      <c r="AD34" s="3224"/>
      <c r="AE34" s="394"/>
      <c r="AF34"/>
      <c r="AG34" s="2038"/>
      <c r="AH34" s="2038"/>
      <c r="AI34" s="2038"/>
      <c r="AJ34" s="2038"/>
      <c r="AK34" s="2038"/>
      <c r="AL34" s="2038"/>
      <c r="AM34" s="2038"/>
      <c r="AN34" s="2038"/>
      <c r="AO34" s="2038"/>
      <c r="AP34" s="2038"/>
    </row>
    <row r="35" spans="1:42" s="2690" customFormat="1" ht="12" customHeight="1">
      <c r="A35" s="394"/>
      <c r="B35" s="190"/>
      <c r="C35" s="936"/>
      <c r="D35" s="936"/>
      <c r="E35" s="680"/>
      <c r="F35" s="680"/>
      <c r="G35" s="5363"/>
      <c r="H35" s="2825"/>
      <c r="I35" s="5363"/>
      <c r="J35" s="5363"/>
      <c r="K35" s="5363"/>
      <c r="L35" s="5363"/>
      <c r="M35" s="5363"/>
      <c r="N35" s="680"/>
      <c r="O35" s="680"/>
      <c r="P35" s="680"/>
      <c r="Q35" s="680"/>
      <c r="R35" s="680"/>
      <c r="S35" s="680"/>
      <c r="T35" s="680"/>
      <c r="U35" s="5363"/>
      <c r="V35" s="5363"/>
      <c r="W35" s="5363"/>
      <c r="X35" s="2135"/>
      <c r="Y35" s="2136"/>
      <c r="Z35" s="2136"/>
      <c r="AA35" s="2135"/>
      <c r="AB35" s="2135"/>
      <c r="AC35" s="394"/>
      <c r="AD35" s="260"/>
      <c r="AE35" s="394"/>
      <c r="AF35"/>
      <c r="AG35" s="2038"/>
      <c r="AH35" s="2038"/>
      <c r="AI35" s="2038"/>
      <c r="AJ35" s="2038"/>
      <c r="AK35" s="2038"/>
      <c r="AL35" s="2038"/>
      <c r="AM35" s="2038"/>
      <c r="AN35" s="2038"/>
      <c r="AO35" s="2038"/>
      <c r="AP35" s="2038"/>
    </row>
    <row r="36" spans="1:42" s="2690" customFormat="1" ht="12" customHeight="1">
      <c r="A36" s="394"/>
      <c r="B36" s="190"/>
      <c r="C36" s="936"/>
      <c r="D36" s="936"/>
      <c r="E36" s="680"/>
      <c r="F36" s="2838" t="s">
        <v>259</v>
      </c>
      <c r="G36" s="5908" t="s">
        <v>2969</v>
      </c>
      <c r="H36" s="2825"/>
      <c r="I36" s="5363"/>
      <c r="J36" s="5363"/>
      <c r="K36" s="5363"/>
      <c r="L36" s="5363"/>
      <c r="M36" s="5363"/>
      <c r="N36" s="680"/>
      <c r="O36" s="680"/>
      <c r="P36" s="680"/>
      <c r="Q36" s="680"/>
      <c r="R36" s="680"/>
      <c r="S36" s="680"/>
      <c r="T36" s="680"/>
      <c r="U36" s="5363"/>
      <c r="V36" s="5363"/>
      <c r="W36" s="5363"/>
      <c r="X36" s="2135"/>
      <c r="Y36" s="2136"/>
      <c r="Z36" s="2136"/>
      <c r="AA36" s="2135"/>
      <c r="AB36" s="2135"/>
      <c r="AC36" s="394"/>
      <c r="AD36" s="260"/>
      <c r="AE36" s="394"/>
      <c r="AF36"/>
      <c r="AG36" s="2038"/>
      <c r="AH36" s="2038"/>
      <c r="AI36" s="2038"/>
      <c r="AJ36" s="2038"/>
      <c r="AK36" s="2038"/>
      <c r="AL36" s="2038"/>
      <c r="AM36" s="2038"/>
      <c r="AN36" s="2038"/>
      <c r="AO36" s="2038"/>
      <c r="AP36" s="2038"/>
    </row>
    <row r="37" spans="1:42" s="2690" customFormat="1" ht="12" customHeight="1">
      <c r="A37" s="394"/>
      <c r="B37" s="190"/>
      <c r="C37" s="936"/>
      <c r="D37" s="936"/>
      <c r="E37" s="680"/>
      <c r="F37" s="680"/>
      <c r="G37" s="5908" t="s">
        <v>2970</v>
      </c>
      <c r="H37" s="2825"/>
      <c r="I37" s="5363"/>
      <c r="J37" s="5363"/>
      <c r="K37" s="5363"/>
      <c r="L37" s="5363"/>
      <c r="M37" s="5363"/>
      <c r="N37" s="680"/>
      <c r="O37" s="680"/>
      <c r="P37" s="680"/>
      <c r="Q37" s="680"/>
      <c r="R37" s="680"/>
      <c r="S37" s="680"/>
      <c r="T37" s="680"/>
      <c r="U37" s="5363"/>
      <c r="V37" s="5363"/>
      <c r="W37" s="5363"/>
      <c r="X37" s="400" t="s">
        <v>1009</v>
      </c>
      <c r="Y37" s="2838" t="s">
        <v>259</v>
      </c>
      <c r="Z37" s="2136"/>
      <c r="AA37" s="3782" t="str">
        <f>IF(OR($AD$34=4,AND($AD$34="",B38,I4,P4,R8)),"X","")</f>
        <v/>
      </c>
      <c r="AB37" s="2135"/>
      <c r="AC37" s="394"/>
      <c r="AD37" s="260"/>
      <c r="AE37" s="394"/>
      <c r="AF37"/>
      <c r="AG37" s="2038"/>
      <c r="AH37" s="2038"/>
      <c r="AI37" s="2038"/>
      <c r="AJ37" s="2038"/>
      <c r="AK37" s="2038"/>
      <c r="AL37" s="2038"/>
      <c r="AM37" s="2038"/>
      <c r="AN37" s="2038"/>
      <c r="AO37" s="2038"/>
      <c r="AP37" s="2038"/>
    </row>
    <row r="38" spans="1:42" s="2690" customFormat="1" ht="12" customHeight="1">
      <c r="A38" s="394"/>
      <c r="B38" s="7747" t="b">
        <f>File_Marr_Joint&lt;&gt;""</f>
        <v>0</v>
      </c>
      <c r="C38" s="7747"/>
      <c r="D38" s="936"/>
      <c r="E38" s="680"/>
      <c r="F38" s="680"/>
      <c r="G38" s="5363"/>
      <c r="H38" s="2825"/>
      <c r="I38" s="5363"/>
      <c r="J38" s="5363"/>
      <c r="K38" s="5363"/>
      <c r="L38" s="5363"/>
      <c r="M38" s="5363"/>
      <c r="N38" s="680"/>
      <c r="O38" s="680"/>
      <c r="P38" s="680"/>
      <c r="Q38" s="680"/>
      <c r="R38" s="680"/>
      <c r="S38" s="680"/>
      <c r="T38" s="680"/>
      <c r="U38" s="5363"/>
      <c r="V38" s="5363"/>
      <c r="W38" s="5363"/>
      <c r="X38" s="2135"/>
      <c r="Y38" s="2136"/>
      <c r="Z38" s="2136"/>
      <c r="AA38" s="2135"/>
      <c r="AB38" s="2135"/>
      <c r="AC38" s="394"/>
      <c r="AD38" s="260"/>
      <c r="AE38" s="394"/>
      <c r="AF38"/>
      <c r="AG38" s="2038"/>
      <c r="AH38" s="2038"/>
      <c r="AI38" s="2038"/>
      <c r="AJ38" s="2038"/>
      <c r="AK38" s="2038"/>
      <c r="AL38" s="2038"/>
      <c r="AM38" s="2038"/>
      <c r="AN38" s="2038"/>
      <c r="AO38" s="2038"/>
      <c r="AP38" s="2038"/>
    </row>
    <row r="39" spans="1:42" s="2690" customFormat="1" ht="12" customHeight="1">
      <c r="A39" s="394"/>
      <c r="B39" s="190" t="s">
        <v>703</v>
      </c>
      <c r="C39" s="936"/>
      <c r="D39" s="936"/>
      <c r="E39" s="680"/>
      <c r="F39" s="2838" t="s">
        <v>261</v>
      </c>
      <c r="G39" s="5908" t="s">
        <v>2971</v>
      </c>
      <c r="H39" s="2825"/>
      <c r="I39" s="5363"/>
      <c r="J39" s="5363"/>
      <c r="K39" s="5363"/>
      <c r="L39" s="5363"/>
      <c r="M39" s="5363"/>
      <c r="N39" s="680"/>
      <c r="O39" s="680"/>
      <c r="P39" s="680"/>
      <c r="Q39" s="680"/>
      <c r="R39" s="680"/>
      <c r="S39" s="680"/>
      <c r="T39" s="680"/>
      <c r="U39" s="5363"/>
      <c r="V39" s="5363"/>
      <c r="W39" s="5363"/>
      <c r="X39" s="2135"/>
      <c r="Y39" s="2136"/>
      <c r="Z39" s="2136"/>
      <c r="AA39" s="2135"/>
      <c r="AB39" s="2135"/>
      <c r="AC39" s="394"/>
      <c r="AD39" s="260"/>
      <c r="AE39" s="394"/>
      <c r="AF39"/>
      <c r="AG39" s="2038"/>
      <c r="AH39" s="2038"/>
      <c r="AI39" s="2038"/>
      <c r="AJ39" s="2038"/>
      <c r="AK39" s="2038"/>
      <c r="AL39" s="2038"/>
      <c r="AM39" s="2038"/>
      <c r="AN39" s="2038"/>
      <c r="AO39" s="2038"/>
      <c r="AP39" s="2038"/>
    </row>
    <row r="40" spans="1:42" s="2690" customFormat="1" ht="12" customHeight="1">
      <c r="A40" s="394"/>
      <c r="B40" s="190" t="s">
        <v>2972</v>
      </c>
      <c r="C40" s="936"/>
      <c r="D40" s="936"/>
      <c r="E40" s="680"/>
      <c r="F40" s="680"/>
      <c r="G40" s="5908" t="s">
        <v>2973</v>
      </c>
      <c r="H40" s="2825"/>
      <c r="I40" s="5363"/>
      <c r="J40" s="5363"/>
      <c r="K40" s="5363"/>
      <c r="L40" s="5363"/>
      <c r="M40" s="5363"/>
      <c r="N40" s="680"/>
      <c r="O40" s="680"/>
      <c r="P40" s="680"/>
      <c r="Q40" s="680"/>
      <c r="R40" s="680"/>
      <c r="S40" s="680"/>
      <c r="T40" s="680"/>
      <c r="U40" s="5363"/>
      <c r="V40" s="5363"/>
      <c r="W40" s="5363"/>
      <c r="X40" s="400" t="s">
        <v>985</v>
      </c>
      <c r="Y40" s="2838" t="s">
        <v>261</v>
      </c>
      <c r="Z40" s="2136"/>
      <c r="AA40" s="3782" t="str">
        <f>IF(OR($AD$34=5,AND($AD$34="",B38,I4,P4,I8,P8)),"X","")</f>
        <v/>
      </c>
      <c r="AB40" s="2135"/>
      <c r="AC40" s="394"/>
      <c r="AD40" s="260"/>
      <c r="AE40" s="394"/>
      <c r="AF40"/>
      <c r="AG40" s="2038"/>
      <c r="AH40" s="2038"/>
      <c r="AI40" s="2038"/>
      <c r="AJ40" s="2038"/>
      <c r="AK40" s="2038"/>
      <c r="AL40" s="2038"/>
      <c r="AM40" s="2038"/>
      <c r="AN40" s="2038"/>
      <c r="AO40" s="2038"/>
      <c r="AP40" s="2038"/>
    </row>
    <row r="41" spans="1:42" s="2690" customFormat="1" ht="12" customHeight="1">
      <c r="A41" s="394"/>
      <c r="B41" s="190"/>
      <c r="C41" s="936"/>
      <c r="D41" s="936"/>
      <c r="E41" s="680"/>
      <c r="F41" s="680"/>
      <c r="G41" s="5363"/>
      <c r="H41" s="2825"/>
      <c r="I41" s="5363"/>
      <c r="J41" s="5363"/>
      <c r="K41" s="5363"/>
      <c r="L41" s="5363"/>
      <c r="M41" s="5363"/>
      <c r="N41" s="680"/>
      <c r="O41" s="680"/>
      <c r="P41" s="680"/>
      <c r="Q41" s="680"/>
      <c r="R41" s="680"/>
      <c r="S41" s="680"/>
      <c r="T41" s="680"/>
      <c r="U41" s="5363"/>
      <c r="V41" s="5363"/>
      <c r="W41" s="5363"/>
      <c r="X41" s="2135"/>
      <c r="Y41" s="2136"/>
      <c r="Z41" s="2136"/>
      <c r="AA41" s="2135"/>
      <c r="AB41" s="2135"/>
      <c r="AC41" s="394"/>
      <c r="AD41" s="260"/>
      <c r="AE41" s="394"/>
      <c r="AF41"/>
      <c r="AG41" s="2038"/>
      <c r="AH41" s="2038"/>
      <c r="AI41" s="2038"/>
      <c r="AJ41" s="2038"/>
      <c r="AK41" s="2038"/>
      <c r="AL41" s="2038"/>
      <c r="AM41" s="2038"/>
      <c r="AN41" s="2038"/>
      <c r="AO41" s="2038"/>
      <c r="AP41" s="2038"/>
    </row>
    <row r="42" spans="1:42" s="2690" customFormat="1" ht="12" customHeight="1">
      <c r="A42" s="394"/>
      <c r="B42" s="190"/>
      <c r="C42" s="936"/>
      <c r="D42" s="936"/>
      <c r="E42" s="680"/>
      <c r="F42" s="2838" t="s">
        <v>263</v>
      </c>
      <c r="G42" s="5908" t="s">
        <v>2974</v>
      </c>
      <c r="H42" s="2825"/>
      <c r="I42" s="5363"/>
      <c r="J42" s="5363"/>
      <c r="K42" s="5363"/>
      <c r="L42" s="5363"/>
      <c r="M42" s="5363"/>
      <c r="N42" s="680"/>
      <c r="O42" s="680"/>
      <c r="P42" s="680"/>
      <c r="Q42" s="680"/>
      <c r="R42" s="680"/>
      <c r="S42" s="680"/>
      <c r="T42" s="680"/>
      <c r="U42" s="5363"/>
      <c r="V42" s="5363"/>
      <c r="W42" s="5363"/>
      <c r="X42" s="2135"/>
      <c r="Y42" s="2136"/>
      <c r="Z42" s="2136"/>
      <c r="AA42" s="2135"/>
      <c r="AB42" s="2135"/>
      <c r="AC42" s="394"/>
      <c r="AD42" s="260"/>
      <c r="AE42" s="394"/>
      <c r="AF42"/>
      <c r="AG42" s="2038"/>
      <c r="AH42" s="2038"/>
      <c r="AI42" s="2038"/>
      <c r="AJ42" s="2038"/>
      <c r="AK42" s="2038"/>
      <c r="AL42" s="2038"/>
      <c r="AM42" s="2038"/>
      <c r="AN42" s="2038"/>
      <c r="AO42" s="2038"/>
      <c r="AP42" s="2038"/>
    </row>
    <row r="43" spans="1:42" s="2690" customFormat="1" ht="12" customHeight="1">
      <c r="A43" s="394"/>
      <c r="B43" s="190"/>
      <c r="C43" s="936"/>
      <c r="D43" s="936"/>
      <c r="E43" s="680"/>
      <c r="F43" s="680"/>
      <c r="G43" s="5908" t="s">
        <v>2975</v>
      </c>
      <c r="H43" s="2825"/>
      <c r="I43" s="5363"/>
      <c r="J43" s="5363"/>
      <c r="K43" s="5363"/>
      <c r="L43" s="5363"/>
      <c r="M43" s="5363"/>
      <c r="N43" s="680"/>
      <c r="O43" s="680"/>
      <c r="P43" s="680"/>
      <c r="Q43" s="680"/>
      <c r="R43" s="680"/>
      <c r="S43" s="680"/>
      <c r="T43" s="680"/>
      <c r="U43" s="5363"/>
      <c r="V43" s="5363"/>
      <c r="W43" s="5363"/>
      <c r="X43" s="400" t="s">
        <v>911</v>
      </c>
      <c r="Y43" s="2838" t="s">
        <v>263</v>
      </c>
      <c r="Z43" s="2136"/>
      <c r="AA43" s="3782" t="str">
        <f>IF(OR($AD$34=6,AND($AD$34="",B38,R4,OR(I8,P8))),"X","")</f>
        <v/>
      </c>
      <c r="AB43" s="2135"/>
      <c r="AC43" s="394"/>
      <c r="AD43" s="260"/>
      <c r="AE43" s="394"/>
      <c r="AF43"/>
      <c r="AG43" s="2038"/>
      <c r="AH43" s="2038"/>
      <c r="AI43" s="2038"/>
      <c r="AJ43" s="2038"/>
      <c r="AK43" s="2038"/>
      <c r="AL43" s="2038"/>
      <c r="AM43" s="2038"/>
      <c r="AN43" s="2038"/>
      <c r="AO43" s="2038"/>
      <c r="AP43" s="2038"/>
    </row>
    <row r="44" spans="1:42" s="2690" customFormat="1" ht="12" customHeight="1">
      <c r="A44" s="394"/>
      <c r="B44" s="190"/>
      <c r="C44" s="936"/>
      <c r="D44" s="936"/>
      <c r="E44" s="680"/>
      <c r="F44" s="680"/>
      <c r="G44" s="2825"/>
      <c r="H44" s="2825"/>
      <c r="I44" s="5363"/>
      <c r="J44" s="5363"/>
      <c r="K44" s="5363"/>
      <c r="L44" s="5363"/>
      <c r="M44" s="5363"/>
      <c r="N44" s="680"/>
      <c r="O44" s="680"/>
      <c r="P44" s="680"/>
      <c r="Q44" s="680"/>
      <c r="R44" s="680"/>
      <c r="S44" s="680"/>
      <c r="T44" s="680"/>
      <c r="U44" s="5363"/>
      <c r="V44" s="5363"/>
      <c r="W44" s="5363"/>
      <c r="X44" s="2135"/>
      <c r="Y44" s="2838"/>
      <c r="Z44" s="2136"/>
      <c r="AA44" s="2135"/>
      <c r="AB44" s="2135"/>
      <c r="AC44" s="394"/>
      <c r="AD44" s="260"/>
      <c r="AE44" s="394"/>
      <c r="AF44"/>
      <c r="AG44" s="2038"/>
      <c r="AH44" s="2038"/>
      <c r="AI44" s="2038"/>
      <c r="AJ44" s="2038"/>
      <c r="AK44" s="2038"/>
      <c r="AL44" s="2038"/>
      <c r="AM44" s="2038"/>
      <c r="AN44" s="2038"/>
      <c r="AO44" s="2038"/>
      <c r="AP44" s="2038"/>
    </row>
    <row r="45" spans="1:42" s="2690" customFormat="1" ht="12" customHeight="1">
      <c r="A45" s="394"/>
      <c r="B45" s="190"/>
      <c r="C45" s="936"/>
      <c r="D45" s="936"/>
      <c r="E45" s="680"/>
      <c r="F45" s="2838" t="s">
        <v>266</v>
      </c>
      <c r="G45" s="5908" t="s">
        <v>2976</v>
      </c>
      <c r="H45" s="2825"/>
      <c r="I45" s="5363"/>
      <c r="J45" s="5363"/>
      <c r="K45" s="5363"/>
      <c r="L45" s="5363"/>
      <c r="M45" s="5363"/>
      <c r="N45" s="680"/>
      <c r="O45" s="680"/>
      <c r="P45" s="680"/>
      <c r="Q45" s="680"/>
      <c r="R45" s="680"/>
      <c r="S45" s="680"/>
      <c r="T45" s="680"/>
      <c r="U45" s="5363"/>
      <c r="V45" s="5363"/>
      <c r="W45" s="5363"/>
      <c r="X45" s="2135"/>
      <c r="Y45" s="2838"/>
      <c r="Z45" s="2136"/>
      <c r="AA45" s="2135"/>
      <c r="AB45" s="2135"/>
      <c r="AC45" s="394"/>
      <c r="AD45" s="260"/>
      <c r="AE45" s="394"/>
      <c r="AF45"/>
      <c r="AG45" s="2038"/>
      <c r="AH45" s="2038"/>
      <c r="AI45" s="2038"/>
      <c r="AJ45" s="2038"/>
      <c r="AK45" s="2038"/>
      <c r="AL45" s="2038"/>
      <c r="AM45" s="2038"/>
      <c r="AN45" s="2038"/>
      <c r="AO45" s="2038"/>
      <c r="AP45" s="2038"/>
    </row>
    <row r="46" spans="1:42" s="2690" customFormat="1" ht="12" customHeight="1">
      <c r="A46" s="394"/>
      <c r="B46" s="190"/>
      <c r="C46" s="936"/>
      <c r="D46" s="936"/>
      <c r="E46" s="680"/>
      <c r="F46" s="680"/>
      <c r="G46" s="5908" t="s">
        <v>2977</v>
      </c>
      <c r="H46" s="2825"/>
      <c r="I46" s="5363"/>
      <c r="J46" s="5363"/>
      <c r="K46" s="5363"/>
      <c r="L46" s="5363"/>
      <c r="M46" s="5363"/>
      <c r="N46" s="680"/>
      <c r="O46" s="680"/>
      <c r="P46" s="680"/>
      <c r="Q46" s="680"/>
      <c r="R46" s="680"/>
      <c r="S46" s="680"/>
      <c r="T46" s="680"/>
      <c r="U46" s="5363"/>
      <c r="V46" s="5363"/>
      <c r="W46" s="5363"/>
      <c r="X46" s="400" t="s">
        <v>1012</v>
      </c>
      <c r="Y46" s="2838" t="s">
        <v>266</v>
      </c>
      <c r="Z46" s="2136"/>
      <c r="AA46" s="3782" t="str">
        <f>IF(OR($AD$34=7,AND($AD$34="",B38,R4,NOT(I8),NOT(P8))),"X","")</f>
        <v/>
      </c>
      <c r="AB46" s="2135"/>
      <c r="AC46" s="394"/>
      <c r="AD46" s="260"/>
      <c r="AE46" s="394"/>
      <c r="AF46"/>
      <c r="AG46" s="2038"/>
      <c r="AH46" s="2038"/>
      <c r="AI46" s="2038"/>
      <c r="AJ46" s="2038"/>
      <c r="AK46" s="2038"/>
      <c r="AL46" s="2038"/>
      <c r="AM46" s="2038"/>
      <c r="AN46" s="2038"/>
      <c r="AO46" s="2038"/>
      <c r="AP46" s="2038"/>
    </row>
    <row r="47" spans="1:42" s="2690" customFormat="1" ht="12" customHeight="1">
      <c r="A47" s="394"/>
      <c r="B47" s="416"/>
      <c r="C47" s="1453"/>
      <c r="D47" s="1453"/>
      <c r="E47" s="5595"/>
      <c r="F47" s="5595"/>
      <c r="G47" s="5669"/>
      <c r="H47" s="5670"/>
      <c r="I47" s="5669"/>
      <c r="J47" s="5669"/>
      <c r="K47" s="5669"/>
      <c r="L47" s="5669"/>
      <c r="M47" s="5669"/>
      <c r="N47" s="5595"/>
      <c r="O47" s="5595"/>
      <c r="P47" s="5595"/>
      <c r="Q47" s="5595"/>
      <c r="R47" s="5595"/>
      <c r="S47" s="5595"/>
      <c r="T47" s="5595"/>
      <c r="U47" s="5669"/>
      <c r="V47" s="5669"/>
      <c r="W47" s="5669"/>
      <c r="X47" s="2839"/>
      <c r="Y47" s="2840"/>
      <c r="Z47" s="2840"/>
      <c r="AA47" s="2839"/>
      <c r="AB47" s="2839"/>
      <c r="AC47" s="394"/>
      <c r="AD47" s="260"/>
      <c r="AE47" s="394"/>
      <c r="AF47"/>
      <c r="AG47" s="2038"/>
      <c r="AH47" s="2038"/>
      <c r="AI47" s="2038"/>
      <c r="AJ47" s="2038"/>
      <c r="AK47" s="2038"/>
      <c r="AL47" s="2038"/>
      <c r="AM47" s="2038"/>
      <c r="AN47" s="2038"/>
      <c r="AO47" s="2038"/>
      <c r="AP47" s="2038"/>
    </row>
    <row r="48" spans="1:42" s="2690" customFormat="1" ht="12" customHeight="1">
      <c r="A48" s="394"/>
      <c r="B48" s="2828"/>
      <c r="C48" s="2841"/>
      <c r="D48" s="2841"/>
      <c r="E48" s="5665"/>
      <c r="F48" s="5665"/>
      <c r="G48" s="5666"/>
      <c r="H48" s="5671"/>
      <c r="I48" s="5666"/>
      <c r="J48" s="5666"/>
      <c r="K48" s="5666"/>
      <c r="L48" s="5666"/>
      <c r="M48" s="5666"/>
      <c r="N48" s="5665"/>
      <c r="O48" s="5665"/>
      <c r="P48" s="5665"/>
      <c r="Q48" s="5665"/>
      <c r="R48" s="5665"/>
      <c r="S48" s="5665"/>
      <c r="T48" s="5665"/>
      <c r="U48" s="5666"/>
      <c r="V48" s="5666"/>
      <c r="W48" s="5666"/>
      <c r="X48" s="2842"/>
      <c r="Y48" s="2843"/>
      <c r="Z48" s="2843"/>
      <c r="AA48" s="2842"/>
      <c r="AB48" s="2842"/>
      <c r="AC48" s="394"/>
      <c r="AD48" s="260"/>
      <c r="AE48" s="394"/>
      <c r="AF48"/>
      <c r="AG48" s="2038"/>
      <c r="AH48" s="2038"/>
      <c r="AI48" s="2038"/>
      <c r="AJ48" s="2038"/>
      <c r="AK48" s="2038"/>
      <c r="AL48" s="2038"/>
      <c r="AM48" s="2038"/>
      <c r="AN48" s="2038"/>
      <c r="AO48" s="2038"/>
      <c r="AP48" s="2038"/>
    </row>
    <row r="49" spans="1:42" s="2690" customFormat="1" ht="12" customHeight="1">
      <c r="A49" s="394"/>
      <c r="B49" s="7747" t="b">
        <f>File_Marr_Sep&lt;&gt;""</f>
        <v>0</v>
      </c>
      <c r="C49" s="7747"/>
      <c r="D49" s="936"/>
      <c r="E49" s="680"/>
      <c r="F49" s="2838" t="s">
        <v>268</v>
      </c>
      <c r="G49" s="5908" t="str">
        <f>"You were 65 or older and you lived apart from your spouse for all of "&amp;TaxYear</f>
        <v>You were 65 or older and you lived apart from your spouse for all of 2023</v>
      </c>
      <c r="H49" s="2825"/>
      <c r="I49" s="5363"/>
      <c r="J49" s="5363"/>
      <c r="K49" s="5363"/>
      <c r="L49" s="5363"/>
      <c r="M49" s="5363"/>
      <c r="N49" s="680"/>
      <c r="O49" s="680"/>
      <c r="P49" s="680"/>
      <c r="Q49" s="680"/>
      <c r="R49" s="680"/>
      <c r="S49" s="680"/>
      <c r="T49" s="680"/>
      <c r="U49" s="5363"/>
      <c r="V49" s="5363"/>
      <c r="W49" s="5363"/>
      <c r="X49" s="400" t="s">
        <v>934</v>
      </c>
      <c r="Y49" s="2838" t="s">
        <v>268</v>
      </c>
      <c r="Z49" s="2136"/>
      <c r="AA49" s="3782" t="str">
        <f>IF(OR($AD$34=8,AND($AD$34="",B49,YouR65,LivedApart)),"X","")</f>
        <v/>
      </c>
      <c r="AB49" s="2135"/>
      <c r="AC49" s="394"/>
      <c r="AD49" s="260"/>
      <c r="AE49" s="394"/>
      <c r="AF49"/>
      <c r="AG49" s="2038"/>
      <c r="AH49" s="2038"/>
      <c r="AI49" s="2038"/>
      <c r="AJ49" s="2038"/>
      <c r="AK49" s="2038"/>
      <c r="AL49" s="2038"/>
      <c r="AM49" s="2038"/>
      <c r="AN49" s="2038"/>
      <c r="AO49" s="2038"/>
      <c r="AP49" s="2038"/>
    </row>
    <row r="50" spans="1:42" s="2690" customFormat="1" ht="12" customHeight="1">
      <c r="A50" s="394"/>
      <c r="B50" s="190" t="s">
        <v>703</v>
      </c>
      <c r="C50" s="936"/>
      <c r="D50" s="936"/>
      <c r="E50" s="680"/>
      <c r="F50" s="680"/>
      <c r="G50" s="5363"/>
      <c r="H50" s="2825"/>
      <c r="I50" s="5363"/>
      <c r="J50" s="5363"/>
      <c r="K50" s="5363"/>
      <c r="L50" s="5363"/>
      <c r="M50" s="5363"/>
      <c r="N50" s="680"/>
      <c r="O50" s="680"/>
      <c r="P50" s="680"/>
      <c r="Q50" s="680"/>
      <c r="R50" s="680"/>
      <c r="S50" s="680"/>
      <c r="T50" s="680"/>
      <c r="U50" s="5363"/>
      <c r="V50" s="5363"/>
      <c r="W50" s="5363"/>
      <c r="X50" s="2135"/>
      <c r="Y50" s="2136"/>
      <c r="Z50" s="2136"/>
      <c r="AA50" s="2135"/>
      <c r="AB50" s="2135"/>
      <c r="AC50" s="394"/>
      <c r="AD50" s="260"/>
      <c r="AE50" s="394"/>
      <c r="AF50"/>
      <c r="AG50" s="2038"/>
      <c r="AH50" s="2038"/>
      <c r="AI50" s="2038"/>
      <c r="AJ50" s="2038"/>
      <c r="AK50" s="2038"/>
      <c r="AL50" s="2038"/>
      <c r="AM50" s="2038"/>
      <c r="AN50" s="2038"/>
      <c r="AO50" s="2038"/>
      <c r="AP50" s="2038"/>
    </row>
    <row r="51" spans="1:42" s="2690" customFormat="1" ht="12" customHeight="1">
      <c r="A51" s="394"/>
      <c r="B51" s="190" t="s">
        <v>2978</v>
      </c>
      <c r="C51" s="936"/>
      <c r="D51" s="936"/>
      <c r="E51" s="680"/>
      <c r="F51" s="2838" t="s">
        <v>407</v>
      </c>
      <c r="G51" s="5908" t="s">
        <v>2979</v>
      </c>
      <c r="H51" s="2825"/>
      <c r="I51" s="5363"/>
      <c r="J51" s="5363"/>
      <c r="K51" s="5363"/>
      <c r="L51" s="5363"/>
      <c r="M51" s="5363"/>
      <c r="N51" s="680"/>
      <c r="O51" s="680"/>
      <c r="P51" s="680"/>
      <c r="Q51" s="680"/>
      <c r="R51" s="680"/>
      <c r="S51" s="680"/>
      <c r="T51" s="680"/>
      <c r="U51" s="5363"/>
      <c r="V51" s="5363"/>
      <c r="W51" s="5363"/>
      <c r="X51" s="2135"/>
      <c r="Y51" s="2136"/>
      <c r="Z51" s="2136"/>
      <c r="AA51" s="2135"/>
      <c r="AB51" s="2135"/>
      <c r="AC51" s="394"/>
      <c r="AD51" s="260"/>
      <c r="AE51" s="394"/>
      <c r="AF51"/>
      <c r="AG51" s="2038"/>
      <c r="AH51" s="2038"/>
      <c r="AI51" s="2038"/>
      <c r="AJ51" s="2038"/>
      <c r="AK51" s="2038"/>
      <c r="AL51" s="2038"/>
      <c r="AM51" s="2038"/>
      <c r="AN51" s="2038"/>
      <c r="AO51" s="2038"/>
      <c r="AP51" s="2038"/>
    </row>
    <row r="52" spans="1:42" s="2690" customFormat="1" ht="12" customHeight="1">
      <c r="A52" s="394"/>
      <c r="B52" s="190"/>
      <c r="C52" s="936"/>
      <c r="D52" s="936"/>
      <c r="E52" s="680"/>
      <c r="F52" s="680"/>
      <c r="G52" s="5908" t="str">
        <f>"lived apart from your spouse for all of "&amp;TaxYear</f>
        <v>lived apart from your spouse for all of 2023</v>
      </c>
      <c r="H52" s="2825"/>
      <c r="I52" s="5363"/>
      <c r="J52" s="5363"/>
      <c r="K52" s="5363"/>
      <c r="L52" s="5363"/>
      <c r="M52" s="5363"/>
      <c r="N52" s="680"/>
      <c r="O52" s="680"/>
      <c r="P52" s="680"/>
      <c r="Q52" s="680"/>
      <c r="R52" s="680"/>
      <c r="S52" s="680"/>
      <c r="T52" s="680"/>
      <c r="U52" s="5363"/>
      <c r="V52" s="5363"/>
      <c r="W52" s="5363"/>
      <c r="X52" s="400" t="s">
        <v>922</v>
      </c>
      <c r="Y52" s="2838" t="s">
        <v>407</v>
      </c>
      <c r="Z52" s="2136"/>
      <c r="AA52" s="3782" t="str">
        <f>IF(OR($AD$34=9,AND($AD$34="",B49,NOT(YouR65),I8,LivedApart)),"X","")</f>
        <v/>
      </c>
      <c r="AB52" s="2135"/>
      <c r="AC52" s="394"/>
      <c r="AD52" s="260"/>
      <c r="AE52" s="394"/>
      <c r="AF52"/>
      <c r="AG52" s="2038"/>
      <c r="AH52" s="2038"/>
      <c r="AI52" s="2038"/>
      <c r="AJ52" s="2038"/>
      <c r="AK52" s="2038"/>
      <c r="AL52" s="2038"/>
      <c r="AM52" s="2038"/>
      <c r="AN52" s="2038"/>
      <c r="AO52" s="2038"/>
      <c r="AP52" s="2038"/>
    </row>
    <row r="53" spans="1:42" s="2690" customFormat="1" ht="12" customHeight="1">
      <c r="A53" s="394"/>
      <c r="B53" s="416"/>
      <c r="C53" s="1453"/>
      <c r="D53" s="1453"/>
      <c r="E53" s="5595"/>
      <c r="F53" s="5595"/>
      <c r="G53" s="5669"/>
      <c r="H53" s="5670"/>
      <c r="I53" s="5669"/>
      <c r="J53" s="5669"/>
      <c r="K53" s="5669"/>
      <c r="L53" s="5669"/>
      <c r="M53" s="5669"/>
      <c r="N53" s="5595"/>
      <c r="O53" s="5595"/>
      <c r="P53" s="5595"/>
      <c r="Q53" s="5595"/>
      <c r="R53" s="5595"/>
      <c r="S53" s="5595"/>
      <c r="T53" s="5595"/>
      <c r="U53" s="5669"/>
      <c r="V53" s="5669"/>
      <c r="W53" s="5669"/>
      <c r="X53" s="2839"/>
      <c r="Y53" s="2840"/>
      <c r="Z53" s="2840"/>
      <c r="AA53" s="2839"/>
      <c r="AB53" s="2839"/>
      <c r="AC53" s="394"/>
      <c r="AD53" s="260"/>
      <c r="AE53" s="394"/>
      <c r="AF53"/>
      <c r="AG53" s="2038"/>
      <c r="AH53" s="2038"/>
      <c r="AI53" s="2038"/>
      <c r="AJ53" s="2038"/>
      <c r="AK53" s="2038"/>
      <c r="AL53" s="2038"/>
      <c r="AM53" s="2038"/>
      <c r="AN53" s="2038"/>
      <c r="AO53" s="2038"/>
      <c r="AP53" s="2038"/>
    </row>
    <row r="54" spans="1:42" s="2690" customFormat="1" ht="12" customHeight="1" thickBot="1">
      <c r="A54" s="394"/>
      <c r="B54" s="7741" t="b">
        <f>OR(AA29&lt;&gt;"",AA34&lt;&gt;"",AA46&lt;&gt;"",AA49&lt;&gt;"")</f>
        <v>0</v>
      </c>
      <c r="C54" s="7741"/>
      <c r="D54" s="2841"/>
      <c r="E54" s="5665"/>
      <c r="F54" s="5665"/>
      <c r="G54" s="5666"/>
      <c r="H54" s="5671"/>
      <c r="I54" s="5666"/>
      <c r="J54" s="5666"/>
      <c r="K54" s="5666"/>
      <c r="L54" s="5666"/>
      <c r="M54" s="5666"/>
      <c r="N54" s="5665"/>
      <c r="O54" s="5665"/>
      <c r="P54" s="5665"/>
      <c r="Q54" s="5665"/>
      <c r="R54" s="5665"/>
      <c r="S54" s="5665"/>
      <c r="T54" s="5665"/>
      <c r="U54" s="5666"/>
      <c r="V54" s="5666"/>
      <c r="W54" s="5666"/>
      <c r="X54" s="2842"/>
      <c r="Y54" s="2843"/>
      <c r="Z54" s="2843"/>
      <c r="AA54" s="2842"/>
      <c r="AB54" s="2842"/>
      <c r="AC54" s="394"/>
      <c r="AD54" s="260"/>
      <c r="AE54" s="394"/>
      <c r="AF54"/>
      <c r="AG54" s="2038"/>
      <c r="AH54" s="2038"/>
      <c r="AI54" s="2038"/>
      <c r="AJ54" s="2038"/>
      <c r="AK54" s="2038"/>
      <c r="AL54" s="2038"/>
      <c r="AM54" s="2038"/>
      <c r="AN54" s="2038"/>
      <c r="AO54" s="2038"/>
      <c r="AP54" s="2038"/>
    </row>
    <row r="55" spans="1:42" s="2690" customFormat="1" ht="6.75" customHeight="1" thickTop="1">
      <c r="A55" s="394"/>
      <c r="B55" s="5003"/>
      <c r="C55" s="5004"/>
      <c r="D55" s="5005"/>
      <c r="E55" s="680"/>
      <c r="F55" s="680"/>
      <c r="G55" s="5363"/>
      <c r="H55" s="2825"/>
      <c r="I55" s="5363"/>
      <c r="J55" s="5363"/>
      <c r="K55" s="5363"/>
      <c r="L55" s="5363"/>
      <c r="M55" s="5363"/>
      <c r="N55" s="680"/>
      <c r="O55" s="680"/>
      <c r="P55" s="680"/>
      <c r="Q55" s="680"/>
      <c r="R55" s="680"/>
      <c r="S55" s="680"/>
      <c r="T55" s="680"/>
      <c r="U55" s="5363"/>
      <c r="V55" s="5363"/>
      <c r="W55" s="5363"/>
      <c r="X55" s="2135"/>
      <c r="Y55" s="2136"/>
      <c r="Z55" s="2136"/>
      <c r="AA55" s="2135"/>
      <c r="AB55" s="2135"/>
      <c r="AC55" s="394"/>
      <c r="AD55" s="260"/>
      <c r="AE55" s="394"/>
      <c r="AF55"/>
      <c r="AG55" s="2038"/>
      <c r="AH55" s="2038"/>
      <c r="AI55" s="2038"/>
      <c r="AJ55" s="2038"/>
      <c r="AK55" s="2038"/>
      <c r="AL55" s="2038"/>
      <c r="AM55" s="2038"/>
      <c r="AN55" s="2038"/>
      <c r="AO55" s="2038"/>
      <c r="AP55" s="2038"/>
    </row>
    <row r="56" spans="1:42" s="2690" customFormat="1" ht="12" customHeight="1">
      <c r="A56" s="394"/>
      <c r="B56" s="5006" t="s">
        <v>2980</v>
      </c>
      <c r="C56" s="936"/>
      <c r="D56" s="5007"/>
      <c r="E56" s="680" t="s">
        <v>2981</v>
      </c>
      <c r="F56" s="7200" t="s">
        <v>608</v>
      </c>
      <c r="G56" s="6466"/>
      <c r="H56" s="680" t="s">
        <v>2982</v>
      </c>
      <c r="I56" s="2825"/>
      <c r="J56" s="5908" t="s">
        <v>2983</v>
      </c>
      <c r="K56" s="5363"/>
      <c r="L56" s="5363"/>
      <c r="M56" s="5363"/>
      <c r="N56" s="680"/>
      <c r="O56" s="680"/>
      <c r="P56" s="680"/>
      <c r="Q56" s="680"/>
      <c r="R56" s="680"/>
      <c r="S56" s="680"/>
      <c r="T56" s="680"/>
      <c r="U56" s="5363"/>
      <c r="V56" s="5363"/>
      <c r="W56" s="5363"/>
      <c r="X56" s="2135"/>
      <c r="Y56" s="2136"/>
      <c r="Z56" s="2136"/>
      <c r="AA56" s="2135"/>
      <c r="AB56" s="2135"/>
      <c r="AC56" s="394"/>
      <c r="AD56" s="260"/>
      <c r="AE56" s="394"/>
      <c r="AF56"/>
      <c r="AG56" s="2038"/>
      <c r="AH56" s="2038"/>
      <c r="AI56" s="2038"/>
      <c r="AJ56" s="2038"/>
      <c r="AK56" s="2038"/>
      <c r="AL56" s="2038"/>
      <c r="AM56" s="2038"/>
      <c r="AN56" s="2038"/>
      <c r="AO56" s="2038"/>
      <c r="AP56" s="2038"/>
    </row>
    <row r="57" spans="1:42" s="2690" customFormat="1" ht="4.5" customHeight="1">
      <c r="A57" s="394"/>
      <c r="B57" s="5008"/>
      <c r="C57" s="936"/>
      <c r="D57" s="5007"/>
      <c r="E57" s="680"/>
      <c r="F57" s="680"/>
      <c r="G57" s="5363"/>
      <c r="H57" s="2825"/>
      <c r="I57" s="2825"/>
      <c r="J57" s="5363"/>
      <c r="K57" s="5363"/>
      <c r="L57" s="5363"/>
      <c r="M57" s="5363"/>
      <c r="N57" s="680"/>
      <c r="O57" s="680"/>
      <c r="P57" s="680"/>
      <c r="Q57" s="680"/>
      <c r="R57" s="680"/>
      <c r="S57" s="680"/>
      <c r="T57" s="680"/>
      <c r="U57" s="5363"/>
      <c r="V57" s="5363"/>
      <c r="W57" s="5363"/>
      <c r="X57" s="2135"/>
      <c r="Y57" s="2136"/>
      <c r="Z57" s="2136"/>
      <c r="AA57" s="2135"/>
      <c r="AB57" s="2135"/>
      <c r="AC57" s="394"/>
      <c r="AD57" s="260"/>
      <c r="AE57" s="394"/>
      <c r="AF57"/>
      <c r="AG57" s="2038"/>
      <c r="AH57" s="2038"/>
      <c r="AI57" s="2038"/>
      <c r="AJ57" s="2038"/>
      <c r="AK57" s="2038"/>
      <c r="AL57" s="2038"/>
      <c r="AM57" s="2038"/>
      <c r="AN57" s="2038"/>
      <c r="AO57" s="2038"/>
      <c r="AP57" s="2038"/>
    </row>
    <row r="58" spans="1:42" s="2690" customFormat="1" ht="12" customHeight="1">
      <c r="A58" s="394"/>
      <c r="B58" s="5006" t="s">
        <v>2984</v>
      </c>
      <c r="C58" s="936"/>
      <c r="D58" s="5007"/>
      <c r="E58" s="680" t="s">
        <v>2981</v>
      </c>
      <c r="F58" s="7200" t="s">
        <v>609</v>
      </c>
      <c r="G58" s="7200"/>
      <c r="H58" s="680" t="s">
        <v>2982</v>
      </c>
      <c r="I58" s="2825"/>
      <c r="J58" s="5908" t="s">
        <v>2985</v>
      </c>
      <c r="K58" s="5363"/>
      <c r="L58" s="5363"/>
      <c r="M58" s="5363"/>
      <c r="N58" s="680"/>
      <c r="O58" s="680"/>
      <c r="P58" s="680"/>
      <c r="Q58" s="680"/>
      <c r="R58" s="680"/>
      <c r="S58" s="680"/>
      <c r="T58" s="680"/>
      <c r="U58" s="5363"/>
      <c r="V58" s="5363"/>
      <c r="W58" s="5363"/>
      <c r="X58" s="2135"/>
      <c r="Y58" s="2136"/>
      <c r="Z58" s="2136"/>
      <c r="AA58" s="2135"/>
      <c r="AB58" s="2135"/>
      <c r="AC58" s="394"/>
      <c r="AD58" s="260"/>
      <c r="AE58" s="394"/>
      <c r="AF58"/>
      <c r="AG58" s="2038"/>
      <c r="AH58" s="2038"/>
      <c r="AI58" s="2038"/>
      <c r="AJ58" s="2038"/>
      <c r="AK58" s="2038"/>
      <c r="AL58" s="2038"/>
      <c r="AM58" s="2038"/>
      <c r="AN58" s="2038"/>
      <c r="AO58" s="2038"/>
      <c r="AP58" s="2038"/>
    </row>
    <row r="59" spans="1:42" s="2690" customFormat="1" ht="6.75" customHeight="1" thickBot="1">
      <c r="A59" s="394"/>
      <c r="B59" s="5009"/>
      <c r="C59" s="5010"/>
      <c r="D59" s="5011"/>
      <c r="E59" s="680"/>
      <c r="F59" s="680"/>
      <c r="G59" s="5363"/>
      <c r="H59" s="2825"/>
      <c r="I59" s="5363"/>
      <c r="J59" s="5363"/>
      <c r="K59" s="5363"/>
      <c r="L59" s="5363"/>
      <c r="M59" s="5363"/>
      <c r="N59" s="680"/>
      <c r="O59" s="680"/>
      <c r="P59" s="680"/>
      <c r="Q59" s="680"/>
      <c r="R59" s="680"/>
      <c r="S59" s="680"/>
      <c r="T59" s="680"/>
      <c r="U59" s="5363"/>
      <c r="V59" s="5363"/>
      <c r="W59" s="5363"/>
      <c r="X59" s="2135"/>
      <c r="Y59" s="2136"/>
      <c r="Z59" s="2136"/>
      <c r="AA59" s="2135"/>
      <c r="AB59" s="2135"/>
      <c r="AC59" s="394"/>
      <c r="AD59" s="260"/>
      <c r="AE59" s="394"/>
      <c r="AF59"/>
      <c r="AG59" s="2038"/>
      <c r="AH59" s="2038"/>
      <c r="AI59" s="2038"/>
      <c r="AJ59" s="2038"/>
      <c r="AK59" s="2038"/>
      <c r="AL59" s="2038"/>
      <c r="AM59" s="2038"/>
      <c r="AN59" s="2038"/>
      <c r="AO59" s="2038"/>
      <c r="AP59" s="2038"/>
    </row>
    <row r="60" spans="1:42" s="2690" customFormat="1" ht="12" customHeight="1" thickTop="1" thickBot="1">
      <c r="A60" s="394"/>
      <c r="B60" s="190"/>
      <c r="C60" s="936"/>
      <c r="D60" s="936"/>
      <c r="E60" s="680"/>
      <c r="F60" s="680"/>
      <c r="G60" s="5363"/>
      <c r="H60" s="2825"/>
      <c r="I60" s="5363"/>
      <c r="J60" s="5363"/>
      <c r="K60" s="5363"/>
      <c r="L60" s="5363"/>
      <c r="M60" s="5363"/>
      <c r="N60" s="680"/>
      <c r="O60" s="680"/>
      <c r="P60" s="680"/>
      <c r="Q60" s="680"/>
      <c r="R60" s="680"/>
      <c r="S60" s="680"/>
      <c r="T60" s="680"/>
      <c r="U60" s="5363"/>
      <c r="V60" s="5363"/>
      <c r="W60" s="5363"/>
      <c r="X60" s="2135"/>
      <c r="Y60" s="2136"/>
      <c r="Z60" s="2136"/>
      <c r="AA60" s="2135"/>
      <c r="AB60" s="2135"/>
      <c r="AC60" s="394"/>
      <c r="AD60" s="260"/>
      <c r="AE60" s="394"/>
      <c r="AF60"/>
      <c r="AG60" s="2038"/>
      <c r="AH60" s="2038"/>
      <c r="AI60" s="2038"/>
      <c r="AJ60" s="2038"/>
      <c r="AK60" s="2038"/>
      <c r="AL60" s="2038"/>
      <c r="AM60" s="2038"/>
      <c r="AN60" s="2038"/>
      <c r="AO60" s="2038"/>
      <c r="AP60" s="2038"/>
    </row>
    <row r="61" spans="1:42" s="2690" customFormat="1" ht="15.75" thickTop="1">
      <c r="A61" s="394"/>
      <c r="B61" s="7739" t="s">
        <v>982</v>
      </c>
      <c r="C61" s="7740"/>
      <c r="D61" s="2830" t="s">
        <v>2986</v>
      </c>
      <c r="E61" s="140"/>
      <c r="F61" s="140"/>
      <c r="G61" s="140"/>
      <c r="H61" s="140"/>
      <c r="I61" s="140"/>
      <c r="J61" s="140"/>
      <c r="K61" s="140"/>
      <c r="L61" s="140"/>
      <c r="M61" s="2847" t="s">
        <v>2987</v>
      </c>
      <c r="N61" s="140"/>
      <c r="O61" s="140"/>
      <c r="P61" s="140"/>
      <c r="Q61" s="140"/>
      <c r="R61" s="140"/>
      <c r="S61" s="140"/>
      <c r="T61" s="140"/>
      <c r="U61" s="140"/>
      <c r="V61" s="140"/>
      <c r="W61" s="140"/>
      <c r="X61" s="140"/>
      <c r="Y61" s="140"/>
      <c r="Z61" s="140"/>
      <c r="AA61" s="140"/>
      <c r="AB61" s="140"/>
      <c r="AC61" s="394"/>
      <c r="AD61" s="260"/>
      <c r="AE61" s="394"/>
      <c r="AF61"/>
      <c r="AG61" s="2038"/>
      <c r="AH61" s="2038"/>
      <c r="AI61" s="2038"/>
      <c r="AJ61" s="2038"/>
      <c r="AK61" s="2038"/>
      <c r="AL61" s="2038"/>
      <c r="AM61" s="2038"/>
      <c r="AN61" s="2038"/>
      <c r="AO61" s="2038"/>
      <c r="AP61" s="2038"/>
    </row>
    <row r="62" spans="1:42" s="2690" customFormat="1" ht="14.25">
      <c r="A62" s="394"/>
      <c r="B62" s="2848" t="s">
        <v>2988</v>
      </c>
      <c r="C62" s="2850" t="s">
        <v>252</v>
      </c>
      <c r="D62" s="3296" t="s">
        <v>2989</v>
      </c>
      <c r="E62" s="222"/>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394"/>
      <c r="AD62" s="260"/>
      <c r="AE62" s="394"/>
      <c r="AF62"/>
      <c r="AG62" s="2038"/>
      <c r="AH62" s="2038"/>
      <c r="AI62" s="2038"/>
      <c r="AJ62" s="2038"/>
      <c r="AK62" s="2038"/>
      <c r="AL62" s="2038"/>
      <c r="AM62" s="2038"/>
      <c r="AN62" s="2038"/>
      <c r="AO62" s="2038"/>
      <c r="AP62" s="2038"/>
    </row>
    <row r="63" spans="1:42" s="2690" customFormat="1" ht="15">
      <c r="A63" s="394"/>
      <c r="B63" s="2844"/>
      <c r="C63" s="2845"/>
      <c r="D63" s="3296" t="s">
        <v>2990</v>
      </c>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394"/>
      <c r="AD63" s="260"/>
      <c r="AE63" s="394"/>
      <c r="AF63"/>
      <c r="AG63" s="2038"/>
      <c r="AH63" s="2038"/>
      <c r="AI63" s="2038"/>
      <c r="AJ63" s="2038"/>
      <c r="AK63" s="2038"/>
      <c r="AL63" s="2038"/>
      <c r="AM63" s="2038"/>
      <c r="AN63" s="2038"/>
      <c r="AO63" s="2038"/>
      <c r="AP63" s="2038"/>
    </row>
    <row r="64" spans="1:42" s="2690" customFormat="1" ht="8.25" customHeight="1">
      <c r="A64" s="394"/>
      <c r="B64" s="2844"/>
      <c r="C64" s="2845"/>
      <c r="D64" s="2846"/>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394"/>
      <c r="AD64" s="260"/>
      <c r="AE64" s="394"/>
      <c r="AF64"/>
      <c r="AG64" s="2038"/>
      <c r="AH64" s="2038"/>
      <c r="AI64" s="2038"/>
      <c r="AJ64" s="2038"/>
      <c r="AK64" s="2038"/>
      <c r="AL64" s="2038"/>
      <c r="AM64" s="2038"/>
      <c r="AN64" s="2038"/>
      <c r="AO64" s="2038"/>
      <c r="AP64" s="2038"/>
    </row>
    <row r="65" spans="1:42" s="2690" customFormat="1" ht="14.25">
      <c r="A65" s="394"/>
      <c r="B65" s="2844"/>
      <c r="C65" s="2850" t="s">
        <v>254</v>
      </c>
      <c r="D65" s="3296" t="s">
        <v>2991</v>
      </c>
      <c r="E65" s="222"/>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394"/>
      <c r="AD65" s="260"/>
      <c r="AE65" s="394"/>
      <c r="AF65"/>
      <c r="AG65" s="2038"/>
      <c r="AH65" s="2038"/>
      <c r="AI65" s="2038"/>
      <c r="AJ65" s="2038"/>
      <c r="AK65" s="2038"/>
      <c r="AL65" s="2038"/>
      <c r="AM65" s="2038"/>
      <c r="AN65" s="2038"/>
      <c r="AO65" s="2038"/>
      <c r="AP65" s="2038"/>
    </row>
    <row r="66" spans="1:42" s="2690" customFormat="1" ht="14.25">
      <c r="A66" s="394"/>
      <c r="B66" s="2844"/>
      <c r="C66" s="2845"/>
      <c r="D66" s="3296" t="str">
        <f>"in "&amp;TaxYear&amp;", check this box"</f>
        <v>in 2023, check this box</v>
      </c>
      <c r="E66" s="222"/>
      <c r="F66" s="222"/>
      <c r="G66" s="222"/>
      <c r="H66" s="222"/>
      <c r="I66" s="222"/>
      <c r="J66" s="222"/>
      <c r="K66" s="222"/>
      <c r="L66" s="222"/>
      <c r="M66" s="222"/>
      <c r="N66" s="222"/>
      <c r="O66" s="222"/>
      <c r="P66" s="222"/>
      <c r="Q66" s="222"/>
      <c r="R66" s="222"/>
      <c r="S66" s="222"/>
      <c r="T66" s="222"/>
      <c r="U66" s="222"/>
      <c r="V66" s="222"/>
      <c r="W66" s="222"/>
      <c r="X66" s="222"/>
      <c r="Y66" s="222"/>
      <c r="Z66" s="400" t="s">
        <v>1293</v>
      </c>
      <c r="AA66" s="2852"/>
      <c r="AB66" s="222"/>
      <c r="AC66" s="394"/>
      <c r="AD66" s="260"/>
      <c r="AE66" s="394"/>
      <c r="AF66"/>
      <c r="AG66" s="2038"/>
      <c r="AH66" s="2038"/>
      <c r="AI66" s="2038"/>
      <c r="AJ66" s="2038"/>
      <c r="AK66" s="2038"/>
      <c r="AL66" s="2038"/>
      <c r="AM66" s="2038"/>
      <c r="AN66" s="2038"/>
      <c r="AO66" s="2038"/>
      <c r="AP66" s="2038"/>
    </row>
    <row r="67" spans="1:42" s="2690" customFormat="1" ht="7.5" customHeight="1">
      <c r="A67" s="394"/>
      <c r="B67" s="2844"/>
      <c r="C67" s="2845"/>
      <c r="D67" s="2849"/>
      <c r="E67" s="222"/>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394"/>
      <c r="AD67" s="260"/>
      <c r="AE67" s="394"/>
      <c r="AF67"/>
      <c r="AG67" s="2038"/>
      <c r="AH67" s="2038"/>
      <c r="AI67" s="2038"/>
      <c r="AJ67" s="2038"/>
      <c r="AK67" s="2038"/>
      <c r="AL67" s="2038"/>
      <c r="AM67" s="2038"/>
      <c r="AN67" s="2038"/>
      <c r="AO67" s="2038"/>
      <c r="AP67" s="2038"/>
    </row>
    <row r="68" spans="1:42" s="2690" customFormat="1" ht="15">
      <c r="A68" s="394"/>
      <c r="B68" s="2844"/>
      <c r="C68" s="2829" t="s">
        <v>2950</v>
      </c>
      <c r="D68" s="3296" t="str">
        <f>"If you checked this box, you don’t have to get another statement for "&amp;TaxYear&amp;"."</f>
        <v>If you checked this box, you don’t have to get another statement for 2023.</v>
      </c>
      <c r="E68" s="222"/>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394"/>
      <c r="AD68" s="260"/>
      <c r="AE68" s="394"/>
      <c r="AF68"/>
      <c r="AG68" s="2038"/>
      <c r="AH68" s="2038"/>
      <c r="AI68" s="2038"/>
      <c r="AJ68" s="2038"/>
      <c r="AK68" s="2038"/>
      <c r="AL68" s="2038"/>
      <c r="AM68" s="2038"/>
      <c r="AN68" s="2038"/>
      <c r="AO68" s="2038"/>
      <c r="AP68" s="2038"/>
    </row>
    <row r="69" spans="1:42" s="2690" customFormat="1" ht="7.5" customHeight="1">
      <c r="A69" s="394"/>
      <c r="B69" s="2844"/>
      <c r="C69" s="2845"/>
      <c r="D69" s="2849"/>
      <c r="E69" s="222"/>
      <c r="F69" s="222"/>
      <c r="G69" s="222"/>
      <c r="H69" s="222"/>
      <c r="I69" s="222"/>
      <c r="J69" s="222"/>
      <c r="K69" s="222"/>
      <c r="L69" s="222"/>
      <c r="M69" s="222"/>
      <c r="N69" s="222"/>
      <c r="O69" s="222"/>
      <c r="P69" s="222"/>
      <c r="Q69" s="222"/>
      <c r="R69" s="222"/>
      <c r="S69" s="222"/>
      <c r="T69" s="222"/>
      <c r="U69" s="222"/>
      <c r="V69" s="222"/>
      <c r="W69" s="222"/>
      <c r="X69" s="222"/>
      <c r="Y69" s="222"/>
      <c r="Z69" s="222"/>
      <c r="AA69" s="222"/>
      <c r="AB69" s="222"/>
      <c r="AC69" s="394"/>
      <c r="AD69" s="260"/>
      <c r="AE69" s="394"/>
      <c r="AF69"/>
      <c r="AG69" s="2038"/>
      <c r="AH69" s="2038"/>
      <c r="AI69" s="2038"/>
      <c r="AJ69" s="2038"/>
      <c r="AK69" s="2038"/>
      <c r="AL69" s="2038"/>
      <c r="AM69" s="2038"/>
      <c r="AN69" s="2038"/>
      <c r="AO69" s="2038"/>
      <c r="AP69" s="2038"/>
    </row>
    <row r="70" spans="1:42" s="2690" customFormat="1" ht="15">
      <c r="A70" s="394"/>
      <c r="B70" s="2844"/>
      <c r="C70" s="2829" t="s">
        <v>2950</v>
      </c>
      <c r="D70" s="3296" t="s">
        <v>2992</v>
      </c>
      <c r="E70" s="222"/>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394"/>
      <c r="AD70" s="260"/>
      <c r="AE70" s="394"/>
      <c r="AF70"/>
      <c r="AG70" s="2038"/>
      <c r="AH70" s="2038"/>
      <c r="AI70" s="2038"/>
      <c r="AJ70" s="2038"/>
      <c r="AK70" s="2038"/>
      <c r="AL70" s="2038"/>
      <c r="AM70" s="2038"/>
      <c r="AN70" s="2038"/>
      <c r="AO70" s="2038"/>
      <c r="AP70" s="2038"/>
    </row>
    <row r="71" spans="1:42" s="2690" customFormat="1" ht="14.25">
      <c r="A71" s="394"/>
      <c r="B71" s="2844"/>
      <c r="C71" s="2845"/>
      <c r="D71" s="3296" t="s">
        <v>2993</v>
      </c>
      <c r="E71" s="222"/>
      <c r="F71" s="222"/>
      <c r="G71" s="222"/>
      <c r="H71" s="222"/>
      <c r="I71" s="222"/>
      <c r="J71" s="222"/>
      <c r="K71" s="222"/>
      <c r="L71" s="222"/>
      <c r="M71" s="222"/>
      <c r="N71" s="222"/>
      <c r="O71" s="222"/>
      <c r="P71" s="222"/>
      <c r="Q71" s="222"/>
      <c r="R71" s="222"/>
      <c r="S71" s="222"/>
      <c r="T71" s="222"/>
      <c r="U71" s="222"/>
      <c r="V71" s="222"/>
      <c r="W71" s="222"/>
      <c r="X71" s="222"/>
      <c r="Y71" s="222"/>
      <c r="Z71" s="222"/>
      <c r="AA71" s="222"/>
      <c r="AB71" s="222"/>
      <c r="AC71" s="394"/>
      <c r="AD71" s="260"/>
      <c r="AE71" s="394"/>
      <c r="AF71"/>
      <c r="AG71" s="2038"/>
      <c r="AH71" s="2038"/>
      <c r="AI71" s="2038"/>
      <c r="AJ71" s="2038"/>
      <c r="AK71" s="2038"/>
      <c r="AL71" s="2038"/>
      <c r="AM71" s="2038"/>
      <c r="AN71" s="2038"/>
      <c r="AO71" s="2038"/>
      <c r="AP71" s="2038"/>
    </row>
    <row r="72" spans="1:42" s="2690" customFormat="1" ht="9" customHeight="1">
      <c r="A72" s="394"/>
      <c r="B72" s="2844"/>
      <c r="C72" s="2845"/>
      <c r="D72" s="2849"/>
      <c r="E72" s="222"/>
      <c r="F72" s="222"/>
      <c r="G72" s="222"/>
      <c r="H72" s="222"/>
      <c r="I72" s="222"/>
      <c r="J72" s="222"/>
      <c r="K72" s="222"/>
      <c r="L72" s="222"/>
      <c r="M72" s="222"/>
      <c r="N72" s="222"/>
      <c r="O72" s="222"/>
      <c r="P72" s="222"/>
      <c r="Q72" s="222"/>
      <c r="R72" s="222"/>
      <c r="S72" s="222"/>
      <c r="T72" s="222"/>
      <c r="U72" s="222"/>
      <c r="V72" s="222"/>
      <c r="W72" s="222"/>
      <c r="X72" s="222"/>
      <c r="Y72" s="222"/>
      <c r="Z72" s="222"/>
      <c r="AA72" s="222"/>
      <c r="AB72" s="222"/>
      <c r="AC72" s="394"/>
      <c r="AD72" s="260"/>
      <c r="AE72" s="394"/>
      <c r="AF72"/>
      <c r="AG72" s="2038"/>
      <c r="AH72" s="2038"/>
      <c r="AI72" s="2038"/>
      <c r="AJ72" s="2038"/>
      <c r="AK72" s="2038"/>
      <c r="AL72" s="2038"/>
      <c r="AM72" s="2038"/>
      <c r="AN72" s="2038"/>
      <c r="AO72" s="2038"/>
      <c r="AP72" s="2038"/>
    </row>
    <row r="73" spans="1:42" s="2690" customFormat="1" ht="3.75" customHeight="1" thickBot="1">
      <c r="A73" s="394"/>
      <c r="B73" s="379"/>
      <c r="C73" s="379"/>
      <c r="D73" s="133"/>
      <c r="E73" s="133"/>
      <c r="F73" s="133"/>
      <c r="G73" s="5366"/>
      <c r="H73" s="5366"/>
      <c r="I73" s="5366"/>
      <c r="J73" s="5366"/>
      <c r="K73" s="5366"/>
      <c r="L73" s="5366"/>
      <c r="M73" s="5366"/>
      <c r="N73" s="133"/>
      <c r="O73" s="133"/>
      <c r="P73" s="133"/>
      <c r="Q73" s="133"/>
      <c r="R73" s="116"/>
      <c r="S73" s="116"/>
      <c r="T73" s="133"/>
      <c r="U73" s="5366"/>
      <c r="V73" s="5366"/>
      <c r="W73" s="680"/>
      <c r="X73" s="18"/>
      <c r="Y73" s="18"/>
      <c r="Z73" s="460"/>
      <c r="AA73" s="18"/>
      <c r="AB73" s="18"/>
      <c r="AC73" s="394"/>
      <c r="AD73" s="260"/>
      <c r="AE73" s="394"/>
      <c r="AF73"/>
      <c r="AG73" s="2038"/>
      <c r="AH73" s="2038"/>
      <c r="AI73" s="2038"/>
      <c r="AJ73" s="2038"/>
      <c r="AK73" s="2038"/>
      <c r="AL73" s="2038"/>
      <c r="AM73" s="2038"/>
      <c r="AN73" s="2038"/>
      <c r="AO73" s="2038"/>
      <c r="AP73" s="2038"/>
    </row>
    <row r="74" spans="1:42" s="2690" customFormat="1" ht="22.5" customHeight="1">
      <c r="A74" s="394"/>
      <c r="B74" s="2827" t="s">
        <v>979</v>
      </c>
      <c r="C74" s="1445"/>
      <c r="D74" s="5073"/>
      <c r="E74" s="5073"/>
      <c r="F74" s="5073"/>
      <c r="G74" s="5592"/>
      <c r="H74" s="5592"/>
      <c r="I74" s="5592"/>
      <c r="J74" s="5592"/>
      <c r="K74" s="5592"/>
      <c r="L74" s="5592"/>
      <c r="M74" s="5592"/>
      <c r="N74" s="5073"/>
      <c r="O74" s="5073"/>
      <c r="P74" s="3297" t="s">
        <v>2994</v>
      </c>
      <c r="Q74" s="5073"/>
      <c r="R74" s="741"/>
      <c r="S74" s="741"/>
      <c r="T74" s="5073"/>
      <c r="U74" s="741"/>
      <c r="V74" s="5592"/>
      <c r="W74" s="5593"/>
      <c r="X74" s="5592"/>
      <c r="Y74" s="5592"/>
      <c r="Z74" s="5594"/>
      <c r="AA74" s="338"/>
      <c r="AB74" s="2851" t="str">
        <f>"Schedule R (Form 1040)  "&amp;TaxYear</f>
        <v>Schedule R (Form 1040)  2023</v>
      </c>
      <c r="AC74" s="394"/>
      <c r="AD74" s="2824"/>
      <c r="AE74" s="394"/>
      <c r="AF74" s="1085"/>
      <c r="AG74" s="2038"/>
      <c r="AH74" s="2038"/>
      <c r="AI74" s="2038"/>
      <c r="AJ74" s="2038"/>
      <c r="AK74" s="2038"/>
      <c r="AL74" s="2038"/>
      <c r="AM74" s="2038"/>
      <c r="AN74" s="2038"/>
      <c r="AO74" s="2038"/>
      <c r="AP74" s="2038"/>
    </row>
    <row r="75" spans="1:42" s="2690" customFormat="1" ht="19.5" customHeight="1" thickBot="1">
      <c r="A75" s="394"/>
      <c r="B75" s="5662" t="str">
        <f>"Schedule R (Form 1040) "&amp;TaxYear</f>
        <v>Schedule R (Form 1040) 2023</v>
      </c>
      <c r="C75" s="5662"/>
      <c r="D75" s="5662"/>
      <c r="E75" s="5662"/>
      <c r="F75" s="5662"/>
      <c r="G75" s="5662"/>
      <c r="H75" s="5662"/>
      <c r="I75" s="5662"/>
      <c r="J75" s="5662"/>
      <c r="K75" s="5662"/>
      <c r="L75" s="5662"/>
      <c r="M75" s="5662"/>
      <c r="N75" s="5662"/>
      <c r="O75" s="5662"/>
      <c r="P75" s="5662"/>
      <c r="Q75" s="5662"/>
      <c r="R75" s="5662"/>
      <c r="S75" s="5662"/>
      <c r="T75" s="5662"/>
      <c r="U75" s="5662"/>
      <c r="V75" s="5662"/>
      <c r="W75" s="5662"/>
      <c r="X75" s="5662"/>
      <c r="Y75" s="1065"/>
      <c r="Z75" s="1065"/>
      <c r="AA75" s="1065" t="s">
        <v>2387</v>
      </c>
      <c r="AB75" s="1066" t="str">
        <f>"2"</f>
        <v>2</v>
      </c>
      <c r="AC75" s="394"/>
      <c r="AD75" s="260"/>
      <c r="AE75" s="394"/>
      <c r="AF75"/>
      <c r="AG75" s="2038"/>
      <c r="AH75" s="2038"/>
      <c r="AI75" s="2038"/>
      <c r="AJ75" s="2038"/>
      <c r="AK75" s="2038"/>
      <c r="AL75" s="2038"/>
      <c r="AM75" s="2038"/>
      <c r="AN75" s="2038"/>
      <c r="AO75" s="2038"/>
      <c r="AP75" s="2038"/>
    </row>
    <row r="76" spans="1:42" s="2690" customFormat="1" ht="15.75" thickTop="1">
      <c r="A76" s="394"/>
      <c r="B76" s="7743" t="s">
        <v>2243</v>
      </c>
      <c r="C76" s="7744"/>
      <c r="D76" s="1071" t="s">
        <v>2995</v>
      </c>
      <c r="E76" s="1067"/>
      <c r="F76" s="1067"/>
      <c r="G76" s="1067"/>
      <c r="H76" s="1067"/>
      <c r="I76" s="1067"/>
      <c r="J76" s="1067"/>
      <c r="K76" s="1067"/>
      <c r="L76" s="1067"/>
      <c r="M76" s="1067"/>
      <c r="N76" s="1067"/>
      <c r="O76" s="1067"/>
      <c r="P76" s="1067"/>
      <c r="Q76" s="1067"/>
      <c r="R76" s="1067"/>
      <c r="S76" s="1067"/>
      <c r="T76" s="1067"/>
      <c r="U76" s="1067"/>
      <c r="V76" s="1067"/>
      <c r="W76" s="1067"/>
      <c r="X76" s="1067"/>
      <c r="Y76" s="1067"/>
      <c r="Z76" s="1067"/>
      <c r="AA76" s="1067"/>
      <c r="AB76" s="1067"/>
      <c r="AC76" s="394"/>
      <c r="AD76" s="260"/>
      <c r="AE76" s="394"/>
      <c r="AF76"/>
      <c r="AG76" s="2038"/>
      <c r="AH76" s="2038"/>
      <c r="AI76" s="2038"/>
      <c r="AJ76" s="2038"/>
      <c r="AK76" s="2038"/>
      <c r="AL76" s="2038"/>
      <c r="AM76" s="2038"/>
      <c r="AN76" s="2038"/>
      <c r="AO76" s="2038"/>
      <c r="AP76" s="2038"/>
    </row>
    <row r="77" spans="1:42" s="2690" customFormat="1" ht="12" customHeight="1">
      <c r="A77" s="394"/>
      <c r="B77" s="131">
        <v>10</v>
      </c>
      <c r="C77" s="21" t="s">
        <v>2996</v>
      </c>
      <c r="D77" s="222"/>
      <c r="E77" s="222"/>
      <c r="F77" s="222"/>
      <c r="G77" s="222"/>
      <c r="H77" s="222"/>
      <c r="I77" s="222"/>
      <c r="J77" s="222"/>
      <c r="K77" s="130" t="s">
        <v>2997</v>
      </c>
      <c r="L77" s="222"/>
      <c r="M77" s="222"/>
      <c r="N77" s="222"/>
      <c r="O77" s="222"/>
      <c r="P77" s="222"/>
      <c r="Q77" s="222"/>
      <c r="R77" s="222"/>
      <c r="S77" s="222"/>
      <c r="T77" s="222"/>
      <c r="U77" s="222"/>
      <c r="V77" s="222"/>
      <c r="W77" s="222"/>
      <c r="X77" s="5672"/>
      <c r="Y77" s="680"/>
      <c r="Z77" s="149" t="str">
        <f>IF(AND(U77&lt;&gt;"",X77&lt;&gt;""),"Check ONLY one.","")</f>
        <v/>
      </c>
      <c r="AA77" s="680"/>
      <c r="AB77" s="680"/>
      <c r="AC77" s="394"/>
      <c r="AD77" s="260"/>
      <c r="AE77" s="394"/>
      <c r="AF77"/>
      <c r="AG77" s="2038"/>
      <c r="AH77" s="2038"/>
      <c r="AI77" s="2038"/>
      <c r="AJ77" s="2038"/>
      <c r="AK77" s="2038"/>
      <c r="AL77" s="2038"/>
      <c r="AM77" s="2038"/>
      <c r="AN77" s="2038"/>
      <c r="AO77" s="2038"/>
      <c r="AP77" s="2038"/>
    </row>
    <row r="78" spans="1:42" s="2690" customFormat="1" ht="12" customHeight="1">
      <c r="A78" s="394"/>
      <c r="B78" s="2861" t="b">
        <f>OR(AA29&lt;&gt;"",AA31&lt;&gt;"",AA37&lt;&gt;"",AA46&lt;&gt;"")</f>
        <v>0</v>
      </c>
      <c r="C78" s="699" t="s">
        <v>2998</v>
      </c>
      <c r="D78" s="133"/>
      <c r="E78" s="133"/>
      <c r="F78" s="133"/>
      <c r="G78" s="133"/>
      <c r="H78" s="133"/>
      <c r="I78" s="133"/>
      <c r="J78" s="400" t="s">
        <v>1012</v>
      </c>
      <c r="K78" s="7745">
        <v>5000</v>
      </c>
      <c r="L78" s="7745"/>
      <c r="M78" s="7745"/>
      <c r="N78" s="133"/>
      <c r="O78" s="133"/>
      <c r="P78" s="133"/>
      <c r="Q78" s="133"/>
      <c r="R78" s="133"/>
      <c r="S78" s="133"/>
      <c r="T78" s="133"/>
      <c r="U78" s="133"/>
      <c r="V78" s="133"/>
      <c r="W78" s="400"/>
      <c r="X78" s="5673"/>
      <c r="Y78" s="680"/>
      <c r="Z78" s="149"/>
      <c r="AA78" s="680"/>
      <c r="AB78" s="680"/>
      <c r="AC78" s="394"/>
      <c r="AD78" s="260"/>
      <c r="AE78" s="394"/>
      <c r="AF78"/>
      <c r="AG78" s="2038"/>
      <c r="AH78" s="2038"/>
      <c r="AI78" s="2038"/>
      <c r="AJ78" s="2038"/>
      <c r="AK78" s="2038"/>
      <c r="AL78" s="2038"/>
      <c r="AM78" s="2038"/>
      <c r="AN78" s="2038"/>
      <c r="AO78" s="2038"/>
      <c r="AP78" s="2038"/>
    </row>
    <row r="79" spans="1:42" ht="12" customHeight="1">
      <c r="A79" s="394"/>
      <c r="B79" s="2861" t="b">
        <f>OR(AA34&lt;&gt;"",AA40&lt;&gt;"",AA43&lt;&gt;"")</f>
        <v>0</v>
      </c>
      <c r="C79" s="699" t="s">
        <v>2999</v>
      </c>
      <c r="D79" s="133"/>
      <c r="E79" s="133"/>
      <c r="F79" s="133"/>
      <c r="G79" s="133"/>
      <c r="H79" s="133"/>
      <c r="I79" s="133"/>
      <c r="J79" s="400" t="s">
        <v>1034</v>
      </c>
      <c r="K79" s="7745">
        <v>7500</v>
      </c>
      <c r="L79" s="7745"/>
      <c r="M79" s="7745"/>
      <c r="N79" s="133"/>
      <c r="O79" s="133"/>
      <c r="P79" s="133"/>
      <c r="Q79" s="133"/>
      <c r="R79" s="133"/>
      <c r="S79" s="133"/>
      <c r="T79" s="133"/>
      <c r="U79" s="133"/>
      <c r="V79" s="133"/>
      <c r="W79" s="400" t="s">
        <v>1034</v>
      </c>
      <c r="X79" s="2856">
        <v>10</v>
      </c>
      <c r="Y79" s="7615" t="str">
        <f>IF(B78,K78,IF(B79,K79,IF(B80,K80,"")))</f>
        <v/>
      </c>
      <c r="Z79" s="7616"/>
      <c r="AA79" s="6833"/>
      <c r="AB79" s="6833"/>
      <c r="AC79" s="394"/>
      <c r="AD79" s="260"/>
      <c r="AE79" s="394"/>
    </row>
    <row r="80" spans="1:42" ht="12" customHeight="1">
      <c r="A80" s="394"/>
      <c r="B80" s="2861" t="b">
        <f>OR(AA49&lt;&gt;"",AA52&lt;&gt;"")</f>
        <v>0</v>
      </c>
      <c r="C80" s="699" t="s">
        <v>3000</v>
      </c>
      <c r="D80" s="2858"/>
      <c r="E80" s="2858"/>
      <c r="F80" s="2858"/>
      <c r="G80" s="2858"/>
      <c r="H80" s="2858"/>
      <c r="I80" s="2858"/>
      <c r="J80" s="400" t="s">
        <v>917</v>
      </c>
      <c r="K80" s="7745">
        <v>3750</v>
      </c>
      <c r="L80" s="7745"/>
      <c r="M80" s="7745"/>
      <c r="N80" s="2857"/>
      <c r="O80" s="1585"/>
      <c r="P80" s="1585"/>
      <c r="Q80" s="2859"/>
      <c r="R80" s="2855"/>
      <c r="S80" s="1047"/>
      <c r="T80" s="1047"/>
      <c r="U80" s="1047"/>
      <c r="V80" s="1746"/>
      <c r="W80" s="1746"/>
      <c r="X80" s="5673"/>
      <c r="Y80" s="680"/>
      <c r="Z80" s="149" t="str">
        <f>IF(AND(U80&lt;&gt;"",X80&lt;&gt;""),"Check ONLY one.","")</f>
        <v/>
      </c>
      <c r="AA80" s="680"/>
      <c r="AB80" s="680"/>
      <c r="AC80" s="394"/>
      <c r="AD80" s="260"/>
      <c r="AE80" s="394"/>
    </row>
    <row r="81" spans="1:31" ht="4.5" customHeight="1" thickBot="1">
      <c r="A81" s="394"/>
      <c r="B81" s="133"/>
      <c r="C81" s="133"/>
      <c r="D81" s="2858"/>
      <c r="E81" s="2858"/>
      <c r="F81" s="2858"/>
      <c r="G81" s="2858"/>
      <c r="H81" s="2858"/>
      <c r="I81" s="2858"/>
      <c r="J81" s="2858"/>
      <c r="K81" s="2858"/>
      <c r="L81" s="2858"/>
      <c r="M81" s="2858"/>
      <c r="N81" s="2858"/>
      <c r="O81" s="2858"/>
      <c r="P81" s="2859"/>
      <c r="Q81" s="2859"/>
      <c r="R81" s="2859"/>
      <c r="S81" s="2858"/>
      <c r="T81" s="2858"/>
      <c r="U81" s="2858"/>
      <c r="V81" s="2858"/>
      <c r="W81" s="2858"/>
      <c r="X81" s="5673"/>
      <c r="Y81" s="680"/>
      <c r="Z81" s="149" t="str">
        <f>IF(AND(U81&lt;&gt;"",X81&lt;&gt;""),"Check ONLY one.","")</f>
        <v/>
      </c>
      <c r="AA81" s="680"/>
      <c r="AB81" s="680"/>
      <c r="AC81" s="394"/>
      <c r="AD81" s="260"/>
      <c r="AE81" s="394"/>
    </row>
    <row r="82" spans="1:31" ht="5.25" customHeight="1" thickTop="1">
      <c r="A82" s="394"/>
      <c r="B82" s="133"/>
      <c r="C82" s="678"/>
      <c r="D82" s="5012"/>
      <c r="E82" s="2858"/>
      <c r="F82" s="2858"/>
      <c r="G82" s="2858"/>
      <c r="H82" s="2858"/>
      <c r="I82" s="2858"/>
      <c r="J82" s="2858"/>
      <c r="K82" s="2853"/>
      <c r="L82" s="2854"/>
      <c r="M82" s="2857"/>
      <c r="N82" s="2857"/>
      <c r="O82" s="1585"/>
      <c r="P82" s="1585"/>
      <c r="Q82" s="2859"/>
      <c r="R82" s="2855"/>
      <c r="S82" s="1047"/>
      <c r="T82" s="1047"/>
      <c r="U82" s="1047"/>
      <c r="V82" s="1746"/>
      <c r="W82" s="1746"/>
      <c r="X82" s="5673"/>
      <c r="Y82" s="680"/>
      <c r="Z82" s="149" t="str">
        <f>IF(AND(U82&lt;&gt;"",X82&lt;&gt;""),"Check ONLY one.","")</f>
        <v/>
      </c>
      <c r="AA82" s="680"/>
      <c r="AB82" s="680"/>
      <c r="AC82" s="394"/>
      <c r="AD82" s="260"/>
      <c r="AE82" s="394"/>
    </row>
    <row r="83" spans="1:31" ht="12" customHeight="1">
      <c r="A83" s="394"/>
      <c r="B83" s="133"/>
      <c r="C83" s="5013" t="s">
        <v>3001</v>
      </c>
      <c r="D83" s="5014"/>
      <c r="E83" s="680" t="s">
        <v>2981</v>
      </c>
      <c r="F83" s="7757" t="s">
        <v>608</v>
      </c>
      <c r="G83" s="7757"/>
      <c r="H83" s="680" t="s">
        <v>2982</v>
      </c>
      <c r="I83" s="2858"/>
      <c r="J83" s="2858"/>
      <c r="K83" s="2858"/>
      <c r="L83" s="2858" t="s">
        <v>3002</v>
      </c>
      <c r="M83" s="2858"/>
      <c r="N83" s="2858"/>
      <c r="O83" s="2858"/>
      <c r="P83" s="2859"/>
      <c r="Q83" s="2859"/>
      <c r="R83" s="2859"/>
      <c r="S83" s="2858"/>
      <c r="T83" s="2858"/>
      <c r="U83" s="2858"/>
      <c r="V83" s="2858"/>
      <c r="W83" s="2858"/>
      <c r="X83" s="5673"/>
      <c r="Y83" s="680"/>
      <c r="Z83" s="149" t="str">
        <f>IF(AND(U83&lt;&gt;"",X83&lt;&gt;""),"Check ONLY one.","")</f>
        <v/>
      </c>
      <c r="AA83" s="680"/>
      <c r="AB83" s="680"/>
      <c r="AC83" s="394"/>
      <c r="AD83" s="260"/>
      <c r="AE83" s="394"/>
    </row>
    <row r="84" spans="1:31" ht="12" customHeight="1">
      <c r="A84" s="394"/>
      <c r="B84" s="2861" t="b">
        <f>OR(AA31&lt;&gt;"",AA37&lt;&gt;"",AA40&lt;&gt;"",AA43&lt;&gt;"",AA52&lt;&gt;"")</f>
        <v>0</v>
      </c>
      <c r="C84" s="5013" t="s">
        <v>3003</v>
      </c>
      <c r="D84" s="5014"/>
      <c r="E84" s="2858"/>
      <c r="F84" s="2858"/>
      <c r="G84" s="2858"/>
      <c r="H84" s="2858"/>
      <c r="I84" s="2858"/>
      <c r="J84" s="2858"/>
      <c r="K84" s="2858"/>
      <c r="L84" s="2858"/>
      <c r="M84" s="2858"/>
      <c r="N84" s="2858"/>
      <c r="O84" s="2858"/>
      <c r="P84" s="2859"/>
      <c r="Q84" s="2859"/>
      <c r="R84" s="2859"/>
      <c r="S84" s="2858"/>
      <c r="T84" s="2858"/>
      <c r="U84" s="2858"/>
      <c r="V84" s="2858"/>
      <c r="W84" s="2858"/>
      <c r="X84" s="5673"/>
      <c r="Y84" s="680"/>
      <c r="Z84" s="149"/>
      <c r="AA84" s="680"/>
      <c r="AB84" s="680"/>
      <c r="AC84" s="394"/>
      <c r="AD84" s="260"/>
      <c r="AE84" s="394"/>
    </row>
    <row r="85" spans="1:31" ht="12" customHeight="1">
      <c r="A85" s="394"/>
      <c r="B85" s="133"/>
      <c r="C85" s="5013" t="s">
        <v>3004</v>
      </c>
      <c r="D85" s="5014"/>
      <c r="E85" s="680" t="s">
        <v>2981</v>
      </c>
      <c r="F85" s="7757" t="s">
        <v>609</v>
      </c>
      <c r="G85" s="7757"/>
      <c r="H85" s="680" t="s">
        <v>2982</v>
      </c>
      <c r="I85" s="2858"/>
      <c r="J85" s="2858"/>
      <c r="K85" s="2858"/>
      <c r="L85" s="2858" t="s">
        <v>5526</v>
      </c>
      <c r="M85" s="2858"/>
      <c r="N85" s="2858"/>
      <c r="O85" s="2858"/>
      <c r="P85" s="2858"/>
      <c r="Q85" s="2858"/>
      <c r="R85" s="2859"/>
      <c r="S85" s="2855"/>
      <c r="T85" s="1047"/>
      <c r="U85" s="1047"/>
      <c r="V85" s="1746"/>
      <c r="W85" s="2855"/>
      <c r="X85" s="5673"/>
      <c r="Y85" s="680"/>
      <c r="Z85" s="149" t="str">
        <f>IF(AND(U85&lt;&gt;"",X85&lt;&gt;""),"Check ONLY one.","")</f>
        <v/>
      </c>
      <c r="AA85" s="680"/>
      <c r="AB85" s="680"/>
      <c r="AC85" s="394"/>
      <c r="AD85" s="260"/>
      <c r="AE85" s="394"/>
    </row>
    <row r="86" spans="1:31" ht="6" customHeight="1" thickBot="1">
      <c r="A86" s="394"/>
      <c r="B86" s="133"/>
      <c r="C86" s="5015"/>
      <c r="D86" s="5016"/>
      <c r="E86" s="2858"/>
      <c r="F86" s="2858"/>
      <c r="G86" s="2858"/>
      <c r="H86" s="2858"/>
      <c r="I86" s="2858"/>
      <c r="J86" s="2858"/>
      <c r="K86" s="2858"/>
      <c r="L86" s="7758" t="s">
        <v>5527</v>
      </c>
      <c r="M86" s="7758"/>
      <c r="N86" s="7758"/>
      <c r="O86" s="7758"/>
      <c r="P86" s="7758"/>
      <c r="Q86" s="7758"/>
      <c r="R86" s="7758"/>
      <c r="S86" s="2858"/>
      <c r="T86" s="2858"/>
      <c r="U86" s="2858"/>
      <c r="V86" s="2858"/>
      <c r="W86" s="2858"/>
      <c r="X86" s="5673"/>
      <c r="Y86" s="680"/>
      <c r="Z86" s="680"/>
      <c r="AA86" s="680"/>
      <c r="AB86" s="680"/>
      <c r="AC86" s="394"/>
      <c r="AD86" s="260"/>
      <c r="AE86" s="394"/>
    </row>
    <row r="87" spans="1:31" ht="6.75" customHeight="1" thickTop="1">
      <c r="A87" s="394"/>
      <c r="B87" s="133"/>
      <c r="C87" s="133"/>
      <c r="D87" s="2858"/>
      <c r="E87" s="2858"/>
      <c r="F87" s="2858"/>
      <c r="G87" s="2858"/>
      <c r="H87" s="2858"/>
      <c r="I87" s="2858"/>
      <c r="J87" s="2858"/>
      <c r="K87" s="2855"/>
      <c r="L87" s="7758"/>
      <c r="M87" s="7758"/>
      <c r="N87" s="7758"/>
      <c r="O87" s="7758"/>
      <c r="P87" s="7758"/>
      <c r="Q87" s="7758"/>
      <c r="R87" s="7758"/>
      <c r="S87" s="1047"/>
      <c r="T87" s="1047"/>
      <c r="U87" s="1047"/>
      <c r="V87" s="1746"/>
      <c r="W87" s="1746"/>
      <c r="X87" s="5673"/>
      <c r="Y87" s="680"/>
      <c r="Z87" s="149" t="str">
        <f>IF(AND(U87&lt;&gt;"",X87&lt;&gt;""),"Check ONLY one.","")</f>
        <v/>
      </c>
      <c r="AA87" s="680"/>
      <c r="AB87" s="680"/>
      <c r="AC87" s="394"/>
      <c r="AD87" s="260"/>
      <c r="AE87" s="394"/>
    </row>
    <row r="88" spans="1:31" ht="12" customHeight="1">
      <c r="A88" s="394"/>
      <c r="B88" s="131">
        <v>11</v>
      </c>
      <c r="C88" s="21" t="s">
        <v>2996</v>
      </c>
      <c r="D88" s="2860"/>
      <c r="E88" s="2860"/>
      <c r="F88" s="2860"/>
      <c r="G88" s="2860"/>
      <c r="H88" s="2860"/>
      <c r="I88" s="2860"/>
      <c r="J88" s="2860"/>
      <c r="K88" s="2860"/>
      <c r="L88" s="2860"/>
      <c r="M88" s="2860"/>
      <c r="N88" s="2860"/>
      <c r="O88" s="2860"/>
      <c r="P88" s="2860"/>
      <c r="Q88" s="2860"/>
      <c r="R88" s="2860"/>
      <c r="S88" s="2860"/>
      <c r="T88" s="2860"/>
      <c r="U88" s="2860"/>
      <c r="V88" s="2860"/>
      <c r="W88" s="2860"/>
      <c r="X88" s="5673"/>
      <c r="Y88" s="222"/>
      <c r="Z88" s="222"/>
      <c r="AA88" s="222"/>
      <c r="AB88" s="222"/>
      <c r="AC88" s="394"/>
      <c r="AD88" s="260"/>
      <c r="AE88" s="394"/>
    </row>
    <row r="89" spans="1:31" ht="12" customHeight="1">
      <c r="A89" s="394"/>
      <c r="B89" s="2861" t="b">
        <f>AA43&lt;&gt;""</f>
        <v>0</v>
      </c>
      <c r="C89" s="2862" t="s">
        <v>2950</v>
      </c>
      <c r="D89" s="2543" t="str">
        <f>"Box 6, add "&amp;TEXT(K78,"$0,000")&amp;" to the taxable disability income of the"</f>
        <v>Box 6, add $5,000 to the taxable disability income of the</v>
      </c>
      <c r="E89" s="2859"/>
      <c r="F89" s="2859"/>
      <c r="G89" s="2859"/>
      <c r="H89" s="2859"/>
      <c r="I89" s="2859"/>
      <c r="J89" s="2859"/>
      <c r="K89" s="2859"/>
      <c r="L89" s="2859"/>
      <c r="M89" s="2859"/>
      <c r="N89" s="2859"/>
      <c r="O89" s="2859"/>
      <c r="P89" s="2859"/>
      <c r="Q89" s="2859"/>
      <c r="R89" s="2859"/>
      <c r="S89" s="2859"/>
      <c r="T89" s="2859"/>
      <c r="U89" s="2859"/>
      <c r="V89" s="2859"/>
      <c r="W89" s="2855"/>
      <c r="X89" s="5673"/>
      <c r="Y89" s="680"/>
      <c r="Z89" s="149" t="str">
        <f>IF(AND(U89&lt;&gt;"",X89&lt;&gt;""),"Check ONLY one.","")</f>
        <v/>
      </c>
      <c r="AA89" s="680"/>
      <c r="AB89" s="680"/>
      <c r="AC89" s="394"/>
      <c r="AD89" s="260"/>
      <c r="AE89" s="394"/>
    </row>
    <row r="90" spans="1:31" ht="12" customHeight="1">
      <c r="A90" s="394"/>
      <c r="B90" s="133"/>
      <c r="C90" s="253"/>
      <c r="D90" s="2543" t="s">
        <v>3005</v>
      </c>
      <c r="E90" s="2860"/>
      <c r="F90" s="2860"/>
      <c r="G90" s="2860"/>
      <c r="H90" s="2860"/>
      <c r="I90" s="2860"/>
      <c r="J90" s="2860"/>
      <c r="K90" s="2860"/>
      <c r="L90" s="2860"/>
      <c r="M90" s="2860"/>
      <c r="N90" s="2860"/>
      <c r="O90" s="2860"/>
      <c r="P90" s="2860"/>
      <c r="Q90" s="2860"/>
      <c r="R90" s="2860"/>
      <c r="S90" s="2860"/>
      <c r="T90" s="2860"/>
      <c r="U90" s="2860"/>
      <c r="V90" s="2860"/>
      <c r="W90" s="2860"/>
      <c r="X90" s="5673"/>
      <c r="Y90" s="222"/>
      <c r="Z90" s="222"/>
      <c r="AA90" s="222"/>
      <c r="AB90" s="222"/>
      <c r="AC90" s="394"/>
      <c r="AD90" s="260"/>
      <c r="AE90" s="394"/>
    </row>
    <row r="91" spans="1:31" ht="12" customHeight="1">
      <c r="A91" s="394"/>
      <c r="B91" s="2861" t="b">
        <f>OR(AA31&lt;&gt;"",AA37&lt;&gt;"",AA52&lt;&gt;"")</f>
        <v>0</v>
      </c>
      <c r="C91" s="2862" t="s">
        <v>2950</v>
      </c>
      <c r="D91" s="2543" t="s">
        <v>3006</v>
      </c>
      <c r="E91" s="2859"/>
      <c r="F91" s="2859"/>
      <c r="G91" s="2859"/>
      <c r="H91" s="2859"/>
      <c r="I91" s="2859"/>
      <c r="J91" s="2859"/>
      <c r="K91" s="2859"/>
      <c r="L91" s="2859"/>
      <c r="M91" s="2859"/>
      <c r="N91" s="2859"/>
      <c r="O91" s="2859"/>
      <c r="P91" s="2859"/>
      <c r="Q91" s="2859"/>
      <c r="R91" s="2859"/>
      <c r="S91" s="2859"/>
      <c r="T91" s="2859"/>
      <c r="U91" s="2859"/>
      <c r="V91" s="2859"/>
      <c r="W91" s="400" t="s">
        <v>896</v>
      </c>
      <c r="X91" s="2856">
        <v>11</v>
      </c>
      <c r="Y91" s="7615" t="str">
        <f>IF(AD91&lt;&gt;"",ROUND(AD91,0),IF(AND(B89,I12),SUM(K78,F10),IF(AND(B89,P12),SUM(K78,J10),IF(AND(B91,I12),F10,IF(AND(B91,P12),J10,IF(B92,SUM(F10,J10),""))))))</f>
        <v/>
      </c>
      <c r="Z91" s="7616"/>
      <c r="AA91" s="6833"/>
      <c r="AB91" s="6833"/>
      <c r="AC91" s="394"/>
      <c r="AD91" s="2906"/>
      <c r="AE91" s="394"/>
    </row>
    <row r="92" spans="1:31" ht="12" customHeight="1">
      <c r="A92" s="394"/>
      <c r="B92" s="2861" t="b">
        <f>AA40&lt;&gt;""</f>
        <v>0</v>
      </c>
      <c r="C92" s="2862" t="s">
        <v>2950</v>
      </c>
      <c r="D92" s="2543" t="s">
        <v>3007</v>
      </c>
      <c r="E92" s="2860"/>
      <c r="F92" s="2860"/>
      <c r="G92" s="2860"/>
      <c r="H92" s="2860"/>
      <c r="I92" s="2860"/>
      <c r="J92" s="2860"/>
      <c r="K92" s="2860"/>
      <c r="L92" s="2860"/>
      <c r="M92" s="2860"/>
      <c r="N92" s="2860"/>
      <c r="O92" s="2860"/>
      <c r="P92" s="2860"/>
      <c r="Q92" s="2860"/>
      <c r="R92" s="2860"/>
      <c r="S92" s="2860"/>
      <c r="T92" s="2860"/>
      <c r="U92" s="2860"/>
      <c r="V92" s="2860"/>
      <c r="W92" s="2860"/>
      <c r="X92" s="5673"/>
      <c r="Y92" s="222"/>
      <c r="Z92" s="222"/>
      <c r="AA92" s="222"/>
      <c r="AB92" s="222"/>
      <c r="AC92" s="394"/>
      <c r="AD92" s="260"/>
      <c r="AE92" s="394"/>
    </row>
    <row r="93" spans="1:31" ht="12" customHeight="1">
      <c r="A93" s="394"/>
      <c r="B93" s="2861" t="b">
        <f>OR(B89,B91,B92)</f>
        <v>0</v>
      </c>
      <c r="C93" s="133"/>
      <c r="D93" s="2543" t="s">
        <v>3008</v>
      </c>
      <c r="E93" s="2859"/>
      <c r="F93" s="2859"/>
      <c r="G93" s="2859"/>
      <c r="H93" s="2859"/>
      <c r="I93" s="2859"/>
      <c r="J93" s="2859"/>
      <c r="K93" s="2859"/>
      <c r="L93" s="2859"/>
      <c r="M93" s="2859"/>
      <c r="N93" s="2859"/>
      <c r="O93" s="2859"/>
      <c r="P93" s="2859"/>
      <c r="Q93" s="2859"/>
      <c r="R93" s="2859"/>
      <c r="S93" s="2859"/>
      <c r="T93" s="2859"/>
      <c r="U93" s="2859"/>
      <c r="V93" s="2859"/>
      <c r="W93" s="2855"/>
      <c r="X93" s="5673"/>
      <c r="Y93" s="222"/>
      <c r="Z93" s="222"/>
      <c r="AA93" s="222"/>
      <c r="AB93" s="222"/>
      <c r="AC93" s="394"/>
      <c r="AD93" s="260"/>
      <c r="AE93" s="394"/>
    </row>
    <row r="94" spans="1:31" ht="6.75" customHeight="1">
      <c r="A94" s="394"/>
      <c r="B94" s="2860"/>
      <c r="C94" s="2860"/>
      <c r="D94" s="2860"/>
      <c r="E94" s="2860"/>
      <c r="F94" s="2860"/>
      <c r="G94" s="2860"/>
      <c r="H94" s="2860"/>
      <c r="I94" s="2860"/>
      <c r="J94" s="2860"/>
      <c r="K94" s="2860"/>
      <c r="L94" s="2860"/>
      <c r="M94" s="2860"/>
      <c r="N94" s="2860"/>
      <c r="O94" s="2860"/>
      <c r="P94" s="2860"/>
      <c r="Q94" s="2860"/>
      <c r="R94" s="2860"/>
      <c r="S94" s="2860"/>
      <c r="T94" s="2860"/>
      <c r="U94" s="2860"/>
      <c r="V94" s="2860"/>
      <c r="W94" s="2860"/>
      <c r="X94" s="5673"/>
      <c r="Y94" s="222"/>
      <c r="Z94" s="222"/>
      <c r="AA94" s="222"/>
      <c r="AB94" s="222"/>
      <c r="AC94" s="394"/>
      <c r="AD94" s="260"/>
      <c r="AE94" s="394"/>
    </row>
    <row r="95" spans="1:31" ht="12" customHeight="1">
      <c r="A95" s="394"/>
      <c r="B95" s="131"/>
      <c r="C95" s="133"/>
      <c r="D95" s="2948" t="s">
        <v>5528</v>
      </c>
      <c r="E95" s="133"/>
      <c r="F95" s="133"/>
      <c r="G95" s="133"/>
      <c r="H95" s="133"/>
      <c r="I95" s="133"/>
      <c r="J95" s="133"/>
      <c r="K95" s="133"/>
      <c r="L95" s="133"/>
      <c r="M95" s="133"/>
      <c r="N95" s="133"/>
      <c r="O95" s="133"/>
      <c r="P95" s="133"/>
      <c r="Q95" s="133"/>
      <c r="R95" s="133"/>
      <c r="S95" s="133"/>
      <c r="T95" s="133"/>
      <c r="U95" s="133"/>
      <c r="V95" s="133"/>
      <c r="W95" s="400"/>
      <c r="X95" s="5673"/>
      <c r="Y95" s="222"/>
      <c r="Z95" s="222"/>
      <c r="AA95" s="222"/>
      <c r="AB95" s="222"/>
      <c r="AC95" s="394"/>
      <c r="AD95" s="260"/>
      <c r="AE95" s="394"/>
    </row>
    <row r="96" spans="1:31" ht="6.75" customHeight="1">
      <c r="A96" s="394"/>
      <c r="B96" s="222"/>
      <c r="C96" s="222"/>
      <c r="D96" s="222"/>
      <c r="E96" s="222"/>
      <c r="F96" s="222"/>
      <c r="G96" s="222"/>
      <c r="H96" s="222"/>
      <c r="I96" s="222"/>
      <c r="J96" s="222"/>
      <c r="K96" s="222"/>
      <c r="L96" s="222"/>
      <c r="M96" s="222"/>
      <c r="N96" s="222"/>
      <c r="O96" s="222"/>
      <c r="P96" s="222"/>
      <c r="Q96" s="222"/>
      <c r="R96" s="222"/>
      <c r="S96" s="222"/>
      <c r="T96" s="222"/>
      <c r="U96" s="222"/>
      <c r="V96" s="222"/>
      <c r="W96" s="222"/>
      <c r="X96" s="5673"/>
      <c r="Y96" s="222"/>
      <c r="Z96" s="222"/>
      <c r="AA96" s="222"/>
      <c r="AB96" s="222"/>
      <c r="AC96" s="394"/>
      <c r="AD96" s="260"/>
      <c r="AE96" s="394"/>
    </row>
    <row r="97" spans="1:31" ht="12" customHeight="1">
      <c r="A97" s="394"/>
      <c r="B97" s="131">
        <v>12</v>
      </c>
      <c r="C97" s="699" t="s">
        <v>5529</v>
      </c>
      <c r="D97" s="133"/>
      <c r="E97" s="133"/>
      <c r="F97" s="133"/>
      <c r="G97" s="133"/>
      <c r="H97" s="133"/>
      <c r="I97" s="133"/>
      <c r="J97" s="133"/>
      <c r="K97" s="133"/>
      <c r="L97" s="133"/>
      <c r="M97" s="133"/>
      <c r="N97" s="133"/>
      <c r="O97" s="133"/>
      <c r="P97" s="133"/>
      <c r="Q97" s="133"/>
      <c r="R97" s="222"/>
      <c r="S97" s="222"/>
      <c r="T97" s="222"/>
      <c r="U97" s="222"/>
      <c r="V97" s="222"/>
      <c r="W97" s="222"/>
      <c r="X97" s="5673"/>
      <c r="Y97" s="222"/>
      <c r="Z97" s="222"/>
      <c r="AA97" s="222"/>
      <c r="AB97" s="222"/>
      <c r="AC97" s="394"/>
      <c r="AD97" s="260"/>
      <c r="AE97" s="394"/>
    </row>
    <row r="98" spans="1:31" ht="12" customHeight="1">
      <c r="A98" s="394"/>
      <c r="B98" s="131"/>
      <c r="C98" s="936" t="s">
        <v>3009</v>
      </c>
      <c r="D98" s="680"/>
      <c r="E98" s="680"/>
      <c r="F98" s="680"/>
      <c r="G98" s="680"/>
      <c r="H98" s="680"/>
      <c r="I98" s="680"/>
      <c r="J98" s="680"/>
      <c r="K98" s="680"/>
      <c r="L98" s="680"/>
      <c r="M98" s="680"/>
      <c r="N98" s="680"/>
      <c r="O98" s="680"/>
      <c r="P98" s="680"/>
      <c r="Q98" s="680"/>
      <c r="R98" s="222"/>
      <c r="S98" s="222"/>
      <c r="T98" s="222"/>
      <c r="U98" s="222"/>
      <c r="V98" s="222"/>
      <c r="W98" s="400" t="s">
        <v>2298</v>
      </c>
      <c r="X98" s="2856">
        <v>12</v>
      </c>
      <c r="Y98" s="7615" t="str">
        <f>IF(B93,MIN(Y79,Y91),Y79)</f>
        <v/>
      </c>
      <c r="Z98" s="7616"/>
      <c r="AA98" s="6833"/>
      <c r="AB98" s="6833"/>
      <c r="AC98" s="394"/>
      <c r="AD98" s="2906"/>
      <c r="AE98" s="394"/>
    </row>
    <row r="99" spans="1:31" ht="12" customHeight="1">
      <c r="A99" s="394"/>
      <c r="B99" s="131">
        <v>13</v>
      </c>
      <c r="C99" s="699" t="s">
        <v>3010</v>
      </c>
      <c r="D99" s="133"/>
      <c r="E99" s="133"/>
      <c r="F99" s="133"/>
      <c r="G99" s="133"/>
      <c r="H99" s="133"/>
      <c r="I99" s="133"/>
      <c r="J99" s="133"/>
      <c r="K99" s="133"/>
      <c r="L99" s="133"/>
      <c r="M99" s="133"/>
      <c r="N99" s="133"/>
      <c r="O99" s="133"/>
      <c r="P99" s="133"/>
      <c r="Q99" s="133"/>
      <c r="R99" s="222"/>
      <c r="S99" s="4466"/>
      <c r="T99" s="222"/>
      <c r="U99" s="222"/>
      <c r="V99" s="222"/>
      <c r="W99" s="222"/>
      <c r="X99" s="5673"/>
      <c r="Y99" s="222"/>
      <c r="Z99" s="222"/>
      <c r="AA99" s="222"/>
      <c r="AB99" s="222"/>
      <c r="AC99" s="394"/>
      <c r="AD99" s="260"/>
      <c r="AE99" s="394"/>
    </row>
    <row r="100" spans="1:31" ht="12" customHeight="1">
      <c r="A100" s="394"/>
      <c r="B100" s="131"/>
      <c r="C100" s="936" t="str">
        <f>"you (and your spouse if filing jointly) received in "&amp;TaxYear&amp;"."</f>
        <v>you (and your spouse if filing jointly) received in 2023.</v>
      </c>
      <c r="D100" s="680"/>
      <c r="E100" s="680"/>
      <c r="F100" s="680"/>
      <c r="G100" s="680"/>
      <c r="H100" s="680"/>
      <c r="I100" s="680"/>
      <c r="J100" s="680"/>
      <c r="K100" s="680"/>
      <c r="L100" s="680"/>
      <c r="M100" s="680"/>
      <c r="N100" s="680"/>
      <c r="O100" s="680"/>
      <c r="P100" s="680"/>
      <c r="Q100" s="680"/>
      <c r="R100" s="1059"/>
      <c r="S100" s="4466"/>
      <c r="T100" s="222"/>
      <c r="U100" s="222"/>
      <c r="V100" s="222"/>
      <c r="W100" s="222"/>
      <c r="X100" s="5673"/>
      <c r="Y100" s="222"/>
      <c r="Z100" s="222"/>
      <c r="AA100" s="222"/>
      <c r="AB100" s="222"/>
      <c r="AC100" s="394"/>
      <c r="AD100" s="260"/>
      <c r="AE100" s="394"/>
    </row>
    <row r="101" spans="1:31" ht="12" customHeight="1">
      <c r="A101" s="394"/>
      <c r="B101" s="379" t="s">
        <v>640</v>
      </c>
      <c r="C101" s="699" t="s">
        <v>3011</v>
      </c>
      <c r="D101" s="133"/>
      <c r="E101" s="133"/>
      <c r="F101" s="133"/>
      <c r="G101" s="133"/>
      <c r="H101" s="133"/>
      <c r="I101" s="133"/>
      <c r="J101" s="133"/>
      <c r="K101" s="133"/>
      <c r="L101" s="133"/>
      <c r="M101" s="133"/>
      <c r="N101" s="133"/>
      <c r="O101" s="133"/>
      <c r="P101" s="133"/>
      <c r="Q101" s="133"/>
      <c r="R101" s="133"/>
      <c r="S101" s="4466"/>
      <c r="T101" s="222"/>
      <c r="U101" s="222"/>
      <c r="V101" s="222"/>
      <c r="W101" s="222"/>
      <c r="X101" s="5673"/>
      <c r="Y101" s="222"/>
      <c r="Z101" s="222"/>
      <c r="AA101" s="222"/>
      <c r="AB101" s="222"/>
      <c r="AC101" s="394"/>
      <c r="AD101" s="260"/>
      <c r="AE101" s="394"/>
    </row>
    <row r="102" spans="1:31" ht="12" customHeight="1">
      <c r="A102" s="394"/>
      <c r="B102" s="131"/>
      <c r="C102" s="936" t="s">
        <v>3012</v>
      </c>
      <c r="D102" s="680"/>
      <c r="E102" s="680"/>
      <c r="F102" s="680"/>
      <c r="G102" s="680"/>
      <c r="H102" s="680"/>
      <c r="I102" s="680"/>
      <c r="J102" s="680"/>
      <c r="K102" s="680"/>
      <c r="L102" s="680"/>
      <c r="M102" s="680"/>
      <c r="N102" s="680"/>
      <c r="O102" s="680"/>
      <c r="P102" s="680"/>
      <c r="Q102" s="680"/>
      <c r="R102" s="1059"/>
      <c r="S102" s="4466"/>
      <c r="T102" s="222"/>
      <c r="U102" s="222"/>
      <c r="V102" s="222"/>
      <c r="W102" s="222"/>
      <c r="X102" s="5673"/>
      <c r="Y102" s="222"/>
      <c r="Z102" s="222"/>
      <c r="AA102" s="222"/>
      <c r="AB102" s="222"/>
      <c r="AC102" s="394"/>
      <c r="AD102" s="260"/>
      <c r="AE102" s="394"/>
    </row>
    <row r="103" spans="1:31" ht="12" customHeight="1">
      <c r="A103" s="394"/>
      <c r="B103" s="131"/>
      <c r="C103" s="699" t="s">
        <v>943</v>
      </c>
      <c r="D103" s="133"/>
      <c r="E103" s="133"/>
      <c r="F103" s="133"/>
      <c r="G103" s="133"/>
      <c r="H103" s="133"/>
      <c r="I103" s="133"/>
      <c r="J103" s="133"/>
      <c r="K103" s="133"/>
      <c r="L103" s="133"/>
      <c r="M103" s="133"/>
      <c r="N103" s="133"/>
      <c r="O103" s="133"/>
      <c r="P103" s="133"/>
      <c r="Q103" s="133"/>
      <c r="R103" s="400" t="s">
        <v>5531</v>
      </c>
      <c r="S103" s="2864" t="s">
        <v>1338</v>
      </c>
      <c r="T103" s="7615">
        <f>IF(AD103&lt;&gt;"",ROUND(AD103,0),SUM('1040'!O57,-'1040'!AD57))</f>
        <v>0</v>
      </c>
      <c r="U103" s="7742"/>
      <c r="V103" s="6833"/>
      <c r="W103" s="6833"/>
      <c r="X103" s="5673"/>
      <c r="Y103" s="222"/>
      <c r="Z103" s="222"/>
      <c r="AA103" s="222"/>
      <c r="AB103" s="222"/>
      <c r="AC103" s="394"/>
      <c r="AD103" s="2906"/>
      <c r="AE103" s="394"/>
    </row>
    <row r="104" spans="1:31" ht="12" customHeight="1">
      <c r="A104" s="394"/>
      <c r="B104" s="379" t="s">
        <v>644</v>
      </c>
      <c r="C104" s="936" t="s">
        <v>3014</v>
      </c>
      <c r="D104" s="680"/>
      <c r="E104" s="680"/>
      <c r="F104" s="680"/>
      <c r="G104" s="680"/>
      <c r="H104" s="680"/>
      <c r="I104" s="680"/>
      <c r="J104" s="680"/>
      <c r="K104" s="680"/>
      <c r="L104" s="680"/>
      <c r="M104" s="680"/>
      <c r="N104" s="680"/>
      <c r="O104" s="680"/>
      <c r="P104" s="680"/>
      <c r="Q104" s="680"/>
      <c r="R104" s="680"/>
      <c r="S104" s="5673"/>
      <c r="T104" s="680"/>
      <c r="U104" s="680"/>
      <c r="V104" s="680"/>
      <c r="W104" s="680"/>
      <c r="X104" s="5673"/>
      <c r="Y104" s="222"/>
      <c r="Z104" s="222"/>
      <c r="AA104" s="222"/>
      <c r="AB104" s="222"/>
      <c r="AC104" s="394"/>
      <c r="AD104" s="260"/>
      <c r="AE104" s="394"/>
    </row>
    <row r="105" spans="1:31" ht="12" customHeight="1">
      <c r="A105" s="394"/>
      <c r="B105" s="222"/>
      <c r="C105" s="936" t="s">
        <v>3015</v>
      </c>
      <c r="D105" s="680"/>
      <c r="E105" s="222"/>
      <c r="F105" s="222"/>
      <c r="G105" s="222"/>
      <c r="H105" s="222"/>
      <c r="I105" s="222"/>
      <c r="J105" s="222"/>
      <c r="K105" s="222"/>
      <c r="L105" s="222"/>
      <c r="M105" s="222"/>
      <c r="N105" s="222"/>
      <c r="O105" s="222"/>
      <c r="P105" s="222"/>
      <c r="Q105" s="222"/>
      <c r="R105" s="222"/>
      <c r="S105" s="5673"/>
      <c r="T105" s="222"/>
      <c r="U105" s="222"/>
      <c r="V105" s="222"/>
      <c r="W105" s="222"/>
      <c r="X105" s="5673"/>
      <c r="Y105" s="222"/>
      <c r="Z105" s="222"/>
      <c r="AA105" s="222"/>
      <c r="AB105" s="222"/>
      <c r="AC105" s="394"/>
      <c r="AD105" s="260"/>
      <c r="AE105" s="394"/>
    </row>
    <row r="106" spans="1:31" ht="12" customHeight="1">
      <c r="A106" s="394"/>
      <c r="B106" s="131"/>
      <c r="C106" s="936" t="s">
        <v>3016</v>
      </c>
      <c r="D106" s="680"/>
      <c r="E106" s="133"/>
      <c r="F106" s="133"/>
      <c r="G106" s="133"/>
      <c r="H106" s="133"/>
      <c r="I106" s="133"/>
      <c r="J106" s="133"/>
      <c r="K106" s="133"/>
      <c r="L106" s="133"/>
      <c r="M106" s="133"/>
      <c r="N106" s="133"/>
      <c r="O106" s="133"/>
      <c r="P106" s="133"/>
      <c r="Q106" s="133"/>
      <c r="R106" s="400" t="s">
        <v>896</v>
      </c>
      <c r="S106" s="2864" t="s">
        <v>1339</v>
      </c>
      <c r="T106" s="7154"/>
      <c r="U106" s="7746"/>
      <c r="V106" s="7006"/>
      <c r="W106" s="7006"/>
      <c r="X106" s="5673"/>
      <c r="Y106" s="222"/>
      <c r="Z106" s="222"/>
      <c r="AA106" s="222"/>
      <c r="AB106" s="222"/>
      <c r="AC106" s="394"/>
      <c r="AD106" s="260"/>
      <c r="AE106" s="394"/>
    </row>
    <row r="107" spans="1:31" ht="12" customHeight="1">
      <c r="A107" s="394"/>
      <c r="B107" s="379" t="s">
        <v>648</v>
      </c>
      <c r="C107" s="936" t="s">
        <v>3017</v>
      </c>
      <c r="D107" s="680"/>
      <c r="E107" s="222"/>
      <c r="F107" s="222"/>
      <c r="G107" s="222"/>
      <c r="H107" s="222"/>
      <c r="I107" s="222"/>
      <c r="J107" s="222"/>
      <c r="K107" s="222"/>
      <c r="L107" s="222"/>
      <c r="M107" s="222"/>
      <c r="N107" s="222"/>
      <c r="O107" s="222"/>
      <c r="P107" s="222"/>
      <c r="Q107" s="222"/>
      <c r="R107" s="222"/>
      <c r="S107" s="5673"/>
      <c r="T107" s="222"/>
      <c r="U107" s="222"/>
      <c r="V107" s="222"/>
      <c r="W107" s="222"/>
      <c r="X107" s="5673"/>
      <c r="Y107" s="222"/>
      <c r="Z107" s="222"/>
      <c r="AA107" s="222"/>
      <c r="AB107" s="222"/>
      <c r="AC107" s="394"/>
      <c r="AD107" s="260"/>
      <c r="AE107" s="394"/>
    </row>
    <row r="108" spans="1:31" ht="12" customHeight="1">
      <c r="A108" s="394"/>
      <c r="B108" s="222"/>
      <c r="C108" s="936" t="s">
        <v>5530</v>
      </c>
      <c r="D108" s="680"/>
      <c r="E108" s="222"/>
      <c r="F108" s="222"/>
      <c r="G108" s="222"/>
      <c r="H108" s="222"/>
      <c r="I108" s="222"/>
      <c r="J108" s="222"/>
      <c r="K108" s="222"/>
      <c r="L108" s="222"/>
      <c r="M108" s="222"/>
      <c r="N108" s="222"/>
      <c r="O108" s="222"/>
      <c r="P108" s="222"/>
      <c r="Q108" s="222"/>
      <c r="R108" s="222"/>
      <c r="S108" s="5673"/>
      <c r="T108" s="222"/>
      <c r="U108" s="222"/>
      <c r="V108" s="222"/>
      <c r="W108" s="222"/>
      <c r="X108" s="5673"/>
      <c r="Y108" s="222"/>
      <c r="Z108" s="222"/>
      <c r="AA108" s="222"/>
      <c r="AB108" s="222"/>
      <c r="AC108" s="394"/>
      <c r="AD108" s="260"/>
      <c r="AE108" s="394"/>
    </row>
    <row r="109" spans="1:31" ht="12" customHeight="1">
      <c r="A109" s="394"/>
      <c r="B109" s="222"/>
      <c r="C109" s="936" t="s">
        <v>3018</v>
      </c>
      <c r="D109" s="680"/>
      <c r="E109" s="222"/>
      <c r="F109" s="222"/>
      <c r="G109" s="222"/>
      <c r="H109" s="222"/>
      <c r="I109" s="222"/>
      <c r="J109" s="222"/>
      <c r="K109" s="222"/>
      <c r="L109" s="222"/>
      <c r="M109" s="222"/>
      <c r="N109" s="222"/>
      <c r="O109" s="222"/>
      <c r="P109" s="222"/>
      <c r="Q109" s="222"/>
      <c r="R109" s="222"/>
      <c r="S109" s="5673"/>
      <c r="T109" s="222"/>
      <c r="U109" s="222"/>
      <c r="V109" s="222"/>
      <c r="W109" s="222"/>
      <c r="X109" s="5673"/>
      <c r="Y109" s="222"/>
      <c r="Z109" s="222"/>
      <c r="AA109" s="222"/>
      <c r="AB109" s="222"/>
      <c r="AC109" s="394"/>
      <c r="AD109" s="260"/>
      <c r="AE109" s="394"/>
    </row>
    <row r="110" spans="1:31" ht="12" customHeight="1">
      <c r="A110" s="394"/>
      <c r="B110" s="222"/>
      <c r="C110" s="936" t="s">
        <v>3019</v>
      </c>
      <c r="D110" s="680"/>
      <c r="E110" s="222"/>
      <c r="F110" s="222"/>
      <c r="G110" s="222"/>
      <c r="H110" s="222"/>
      <c r="I110" s="222"/>
      <c r="J110" s="222"/>
      <c r="K110" s="222"/>
      <c r="L110" s="222"/>
      <c r="M110" s="222"/>
      <c r="N110" s="222"/>
      <c r="O110" s="222"/>
      <c r="P110" s="222"/>
      <c r="Q110" s="222"/>
      <c r="R110" s="400" t="s">
        <v>911</v>
      </c>
      <c r="S110" s="2864" t="s">
        <v>1341</v>
      </c>
      <c r="T110" s="7615">
        <f>ROUND(SUM(T103,T106),0)</f>
        <v>0</v>
      </c>
      <c r="U110" s="7742"/>
      <c r="V110" s="6833"/>
      <c r="W110" s="6833"/>
      <c r="X110" s="5673"/>
      <c r="Y110" s="222"/>
      <c r="Z110" s="222"/>
      <c r="AA110" s="222"/>
      <c r="AB110" s="222"/>
      <c r="AC110" s="394"/>
      <c r="AD110" s="260"/>
      <c r="AE110" s="394"/>
    </row>
    <row r="111" spans="1:31" ht="12" customHeight="1">
      <c r="A111" s="394"/>
      <c r="B111" s="131">
        <v>14</v>
      </c>
      <c r="C111" s="936" t="s">
        <v>3020</v>
      </c>
      <c r="D111" s="680"/>
      <c r="E111" s="222"/>
      <c r="F111" s="222"/>
      <c r="G111" s="222"/>
      <c r="H111" s="222"/>
      <c r="I111" s="222"/>
      <c r="J111" s="222"/>
      <c r="K111" s="222"/>
      <c r="L111" s="222"/>
      <c r="M111" s="222"/>
      <c r="N111" s="222"/>
      <c r="O111" s="222"/>
      <c r="P111" s="222"/>
      <c r="Q111" s="222"/>
      <c r="R111" s="222"/>
      <c r="S111" s="5673"/>
      <c r="T111" s="222"/>
      <c r="U111" s="222"/>
      <c r="V111" s="222"/>
      <c r="W111" s="222"/>
      <c r="X111" s="5673"/>
      <c r="Y111" s="222"/>
      <c r="Z111" s="222"/>
      <c r="AA111" s="222"/>
      <c r="AB111" s="222"/>
      <c r="AC111" s="394"/>
      <c r="AD111" s="260"/>
      <c r="AE111" s="394"/>
    </row>
    <row r="112" spans="1:31" ht="12" customHeight="1">
      <c r="A112" s="394"/>
      <c r="B112" s="222"/>
      <c r="C112" s="936" t="s">
        <v>3021</v>
      </c>
      <c r="D112" s="680"/>
      <c r="E112" s="222"/>
      <c r="F112" s="222"/>
      <c r="G112" s="222"/>
      <c r="H112" s="222"/>
      <c r="I112" s="222"/>
      <c r="J112" s="222"/>
      <c r="K112" s="222"/>
      <c r="L112" s="400"/>
      <c r="M112" s="400" t="s">
        <v>908</v>
      </c>
      <c r="N112" s="2864">
        <v>14</v>
      </c>
      <c r="O112" s="7615" t="str">
        <f>IF(SchRQualify,Adj_Gross_Inc,"")</f>
        <v/>
      </c>
      <c r="P112" s="7742"/>
      <c r="Q112" s="6833"/>
      <c r="R112" s="6833"/>
      <c r="S112" s="5673"/>
      <c r="T112" s="222"/>
      <c r="U112" s="222"/>
      <c r="V112" s="222"/>
      <c r="W112" s="222"/>
      <c r="X112" s="5673"/>
      <c r="Y112" s="222"/>
      <c r="Z112" s="222"/>
      <c r="AA112" s="222"/>
      <c r="AB112" s="222"/>
      <c r="AC112" s="394"/>
      <c r="AD112" s="260"/>
      <c r="AE112" s="394"/>
    </row>
    <row r="113" spans="1:32" ht="12" customHeight="1">
      <c r="A113" s="394"/>
      <c r="B113" s="131">
        <v>15</v>
      </c>
      <c r="C113" s="3744" t="s">
        <v>2996</v>
      </c>
      <c r="D113" s="735"/>
      <c r="E113" s="222"/>
      <c r="F113" s="222"/>
      <c r="G113" s="222"/>
      <c r="H113" s="222"/>
      <c r="I113" s="1049" t="s">
        <v>2997</v>
      </c>
      <c r="J113" s="222"/>
      <c r="K113" s="222"/>
      <c r="L113" s="222"/>
      <c r="M113" s="222"/>
      <c r="N113" s="5673"/>
      <c r="O113" s="222"/>
      <c r="P113" s="222"/>
      <c r="Q113" s="222"/>
      <c r="R113" s="222"/>
      <c r="S113" s="5673"/>
      <c r="T113" s="222"/>
      <c r="U113" s="222"/>
      <c r="V113" s="222"/>
      <c r="W113" s="222"/>
      <c r="X113" s="5673"/>
      <c r="Y113" s="222"/>
      <c r="Z113" s="222"/>
      <c r="AA113" s="222"/>
      <c r="AB113" s="222"/>
      <c r="AC113" s="394"/>
      <c r="AD113" s="260"/>
      <c r="AE113" s="394"/>
    </row>
    <row r="114" spans="1:32" ht="12" customHeight="1">
      <c r="A114" s="394"/>
      <c r="B114" s="2861" t="b">
        <f>OR(AA29&lt;&gt;"",AA31&lt;&gt;"")</f>
        <v>0</v>
      </c>
      <c r="C114" s="936" t="s">
        <v>3022</v>
      </c>
      <c r="D114" s="680"/>
      <c r="E114" s="222"/>
      <c r="F114" s="222"/>
      <c r="G114" s="222"/>
      <c r="H114" s="400" t="s">
        <v>888</v>
      </c>
      <c r="I114" s="5674">
        <v>7500</v>
      </c>
      <c r="J114" s="5674"/>
      <c r="K114" s="5674"/>
      <c r="L114" s="222"/>
      <c r="M114" s="222"/>
      <c r="N114" s="5673"/>
      <c r="O114" s="222"/>
      <c r="P114" s="222"/>
      <c r="Q114" s="222"/>
      <c r="R114" s="222"/>
      <c r="S114" s="5673"/>
      <c r="T114" s="222"/>
      <c r="U114" s="222"/>
      <c r="V114" s="222"/>
      <c r="W114" s="222"/>
      <c r="X114" s="5673"/>
      <c r="Y114" s="222"/>
      <c r="Z114" s="222"/>
      <c r="AA114" s="222"/>
      <c r="AB114" s="222"/>
      <c r="AC114" s="394"/>
      <c r="AD114" s="260"/>
      <c r="AE114" s="394"/>
    </row>
    <row r="115" spans="1:32" ht="12" customHeight="1">
      <c r="A115" s="394"/>
      <c r="B115" s="2861" t="b">
        <f>OR(AA34&lt;&gt;"",AA37&lt;&gt;"",AA40&lt;&gt;"",AA43&lt;&gt;"",AA46&lt;&gt;"")</f>
        <v>0</v>
      </c>
      <c r="C115" s="936" t="s">
        <v>3023</v>
      </c>
      <c r="D115" s="680"/>
      <c r="E115" s="222"/>
      <c r="F115" s="222"/>
      <c r="G115" s="222"/>
      <c r="H115" s="400" t="s">
        <v>2114</v>
      </c>
      <c r="I115" s="5674">
        <v>10000</v>
      </c>
      <c r="J115" s="222"/>
      <c r="K115" s="222"/>
      <c r="L115" s="222"/>
      <c r="M115" s="222"/>
      <c r="N115" s="2864">
        <v>15</v>
      </c>
      <c r="O115" s="7615" t="str">
        <f>IF(B114,I114,IF(B115,I115,IF(B116,I116,"")))</f>
        <v/>
      </c>
      <c r="P115" s="7742"/>
      <c r="Q115" s="6833"/>
      <c r="R115" s="6833"/>
      <c r="S115" s="5673"/>
      <c r="T115" s="222"/>
      <c r="U115" s="222"/>
      <c r="V115" s="222"/>
      <c r="W115" s="222"/>
      <c r="X115" s="5673"/>
      <c r="Y115" s="222"/>
      <c r="Z115" s="222"/>
      <c r="AA115" s="222"/>
      <c r="AB115" s="222"/>
      <c r="AC115" s="394"/>
      <c r="AD115" s="260"/>
      <c r="AE115" s="394"/>
    </row>
    <row r="116" spans="1:32" ht="12" customHeight="1">
      <c r="A116" s="394"/>
      <c r="B116" s="2861" t="b">
        <f>OR(AA49&lt;&gt;"",AA52&lt;&gt;"")</f>
        <v>0</v>
      </c>
      <c r="C116" s="936" t="s">
        <v>3000</v>
      </c>
      <c r="D116" s="680"/>
      <c r="E116" s="222"/>
      <c r="F116" s="222"/>
      <c r="G116" s="222"/>
      <c r="H116" s="400" t="s">
        <v>888</v>
      </c>
      <c r="I116" s="5674">
        <v>5000</v>
      </c>
      <c r="J116" s="222"/>
      <c r="K116" s="222"/>
      <c r="L116" s="222"/>
      <c r="M116" s="222"/>
      <c r="N116" s="5673"/>
      <c r="O116" s="7765">
        <f>IF(B114,I114,IF(B115,I115,IF(B116,I116,0)))</f>
        <v>0</v>
      </c>
      <c r="P116" s="7766"/>
      <c r="Q116" s="7767"/>
      <c r="R116" s="7768"/>
      <c r="S116" s="5673"/>
      <c r="T116" s="222"/>
      <c r="U116" s="222"/>
      <c r="V116" s="222"/>
      <c r="W116" s="222"/>
      <c r="X116" s="5673"/>
      <c r="Y116" s="222"/>
      <c r="Z116" s="222"/>
      <c r="AA116" s="222"/>
      <c r="AB116" s="222"/>
      <c r="AC116" s="394"/>
      <c r="AD116" s="260"/>
      <c r="AE116" s="394"/>
    </row>
    <row r="117" spans="1:32" ht="12" customHeight="1">
      <c r="A117" s="394"/>
      <c r="B117" s="131">
        <v>16</v>
      </c>
      <c r="C117" s="936" t="s">
        <v>3024</v>
      </c>
      <c r="D117" s="680"/>
      <c r="E117" s="222"/>
      <c r="F117" s="222"/>
      <c r="G117" s="222"/>
      <c r="H117" s="222"/>
      <c r="I117" s="5674"/>
      <c r="J117" s="222"/>
      <c r="K117" s="222"/>
      <c r="L117" s="222"/>
      <c r="M117" s="222"/>
      <c r="N117" s="5673"/>
      <c r="O117" s="222"/>
      <c r="P117" s="222"/>
      <c r="Q117" s="222"/>
      <c r="R117" s="222"/>
      <c r="S117" s="5673"/>
      <c r="T117" s="222"/>
      <c r="U117" s="222"/>
      <c r="V117" s="222"/>
      <c r="W117" s="222"/>
      <c r="X117" s="5673"/>
      <c r="Y117" s="222"/>
      <c r="Z117" s="222"/>
      <c r="AA117" s="222"/>
      <c r="AB117" s="222"/>
      <c r="AC117" s="394"/>
      <c r="AD117" s="260"/>
      <c r="AE117" s="394"/>
    </row>
    <row r="118" spans="1:32" ht="12" customHeight="1">
      <c r="A118" s="394"/>
      <c r="B118" s="222"/>
      <c r="C118" s="936" t="s">
        <v>3025</v>
      </c>
      <c r="D118" s="680"/>
      <c r="E118" s="222"/>
      <c r="F118" s="222"/>
      <c r="G118" s="222"/>
      <c r="H118" s="222"/>
      <c r="I118" s="5674"/>
      <c r="J118" s="222"/>
      <c r="K118" s="222"/>
      <c r="L118" s="222"/>
      <c r="M118" s="400" t="s">
        <v>911</v>
      </c>
      <c r="N118" s="2864">
        <v>16</v>
      </c>
      <c r="O118" s="7615" t="str">
        <f>IF(SchRQualify,MAX(0,SUM(O112,-O116)),"")</f>
        <v/>
      </c>
      <c r="P118" s="7742"/>
      <c r="Q118" s="6833"/>
      <c r="R118" s="6833"/>
      <c r="S118" s="5673"/>
      <c r="T118" s="222"/>
      <c r="U118" s="222"/>
      <c r="V118" s="222"/>
      <c r="W118" s="222"/>
      <c r="X118" s="5673"/>
      <c r="Y118" s="222"/>
      <c r="Z118" s="222"/>
      <c r="AA118" s="222"/>
      <c r="AB118" s="222"/>
      <c r="AC118" s="394"/>
      <c r="AD118" s="260"/>
      <c r="AE118" s="394"/>
    </row>
    <row r="119" spans="1:32" ht="12" customHeight="1">
      <c r="A119" s="394"/>
      <c r="B119" s="131">
        <v>17</v>
      </c>
      <c r="C119" s="936" t="s">
        <v>3026</v>
      </c>
      <c r="D119" s="680"/>
      <c r="E119" s="222"/>
      <c r="F119" s="222"/>
      <c r="G119" s="222"/>
      <c r="H119" s="222"/>
      <c r="I119" s="5674"/>
      <c r="J119" s="222"/>
      <c r="K119" s="222"/>
      <c r="L119" s="222"/>
      <c r="M119" s="222"/>
      <c r="N119" s="222"/>
      <c r="O119" s="222"/>
      <c r="P119" s="222"/>
      <c r="Q119" s="222"/>
      <c r="R119" s="400" t="s">
        <v>988</v>
      </c>
      <c r="S119" s="2864">
        <v>17</v>
      </c>
      <c r="T119" s="7615" t="str">
        <f>IF(SchRQualify,ROUND(O118/2,0),"")</f>
        <v/>
      </c>
      <c r="U119" s="7742"/>
      <c r="V119" s="6833"/>
      <c r="W119" s="6833"/>
      <c r="X119" s="5673"/>
      <c r="Y119" s="222"/>
      <c r="Z119" s="222"/>
      <c r="AA119" s="222"/>
      <c r="AB119" s="222"/>
      <c r="AC119" s="394"/>
      <c r="AD119" s="260"/>
      <c r="AE119" s="394"/>
    </row>
    <row r="120" spans="1:32" ht="12" customHeight="1">
      <c r="A120" s="394"/>
      <c r="B120" s="131">
        <v>18</v>
      </c>
      <c r="C120" s="936" t="s">
        <v>3027</v>
      </c>
      <c r="D120" s="680"/>
      <c r="E120" s="222"/>
      <c r="F120" s="222"/>
      <c r="G120" s="222"/>
      <c r="H120" s="222"/>
      <c r="I120" s="5674"/>
      <c r="J120" s="222"/>
      <c r="K120" s="222"/>
      <c r="L120" s="222"/>
      <c r="M120" s="222"/>
      <c r="N120" s="222"/>
      <c r="O120" s="222"/>
      <c r="P120" s="222"/>
      <c r="Q120" s="222"/>
      <c r="R120" s="222"/>
      <c r="S120" s="222"/>
      <c r="T120" s="222"/>
      <c r="U120" s="222"/>
      <c r="V120" s="222"/>
      <c r="W120" s="400" t="s">
        <v>1293</v>
      </c>
      <c r="X120" s="2856">
        <v>18</v>
      </c>
      <c r="Y120" s="7615" t="str">
        <f>IF(AD120&lt;&gt;"",ROUND(AD120,0),IF(SchRQualify,SUM(T110,T119),""))</f>
        <v/>
      </c>
      <c r="Z120" s="7616"/>
      <c r="AA120" s="6833"/>
      <c r="AB120" s="6833"/>
      <c r="AC120" s="394"/>
      <c r="AD120" s="2906"/>
      <c r="AE120" s="394"/>
    </row>
    <row r="121" spans="1:32" ht="12" customHeight="1">
      <c r="A121" s="394"/>
      <c r="B121" s="131">
        <v>19</v>
      </c>
      <c r="C121" s="936" t="s">
        <v>3028</v>
      </c>
      <c r="D121" s="680"/>
      <c r="E121" s="222"/>
      <c r="F121" s="222"/>
      <c r="G121" s="936" t="s">
        <v>5533</v>
      </c>
      <c r="H121" s="222"/>
      <c r="I121" s="5674"/>
      <c r="J121" s="222"/>
      <c r="K121" s="222"/>
      <c r="L121" s="222"/>
      <c r="M121" s="222"/>
      <c r="N121" s="222"/>
      <c r="O121" s="222"/>
      <c r="P121" s="222"/>
      <c r="Q121" s="680"/>
      <c r="R121" s="680" t="s">
        <v>3029</v>
      </c>
      <c r="S121" s="222"/>
      <c r="T121" s="222"/>
      <c r="U121" s="222"/>
      <c r="V121" s="222"/>
      <c r="W121" s="222"/>
      <c r="X121" s="5673"/>
      <c r="Y121" s="7769" t="b">
        <f>(Y120&gt;=Y98)</f>
        <v>1</v>
      </c>
      <c r="Z121" s="7770"/>
      <c r="AA121" s="7770"/>
      <c r="AB121" s="7770"/>
      <c r="AC121" s="394"/>
      <c r="AD121" s="260"/>
      <c r="AE121" s="394"/>
    </row>
    <row r="122" spans="1:32" ht="12" customHeight="1">
      <c r="A122" s="394"/>
      <c r="B122" s="131"/>
      <c r="C122" s="936" t="s">
        <v>3030</v>
      </c>
      <c r="D122" s="680"/>
      <c r="E122" s="222"/>
      <c r="F122" s="222"/>
      <c r="G122" s="222"/>
      <c r="H122" s="222"/>
      <c r="I122" s="5674"/>
      <c r="J122" s="222"/>
      <c r="K122" s="222"/>
      <c r="L122" s="222"/>
      <c r="M122" s="222"/>
      <c r="N122" s="222"/>
      <c r="O122" s="222"/>
      <c r="P122" s="222"/>
      <c r="Q122" s="222"/>
      <c r="R122" s="222"/>
      <c r="S122" s="222"/>
      <c r="T122" s="222"/>
      <c r="U122" s="222"/>
      <c r="V122" s="222"/>
      <c r="W122" s="400" t="s">
        <v>3031</v>
      </c>
      <c r="X122" s="2856">
        <v>19</v>
      </c>
      <c r="Y122" s="7615" t="str">
        <f>IF(SchRQualify,MAX(0,SUM(Y98,-Y120)),"")</f>
        <v/>
      </c>
      <c r="Z122" s="7616"/>
      <c r="AA122" s="6833"/>
      <c r="AB122" s="6833"/>
      <c r="AC122" s="394"/>
      <c r="AD122" s="260"/>
      <c r="AE122" s="394"/>
    </row>
    <row r="123" spans="1:32" ht="12" customHeight="1">
      <c r="A123" s="394"/>
      <c r="B123" s="131">
        <v>20</v>
      </c>
      <c r="C123" s="936" t="str">
        <f>"Multiply line 19 by "&amp;TEXT(AF123,"0%")&amp;" ("&amp;TEXT(AF123,"0.00")&amp;")"</f>
        <v>Multiply line 19 by 15% (0.15)</v>
      </c>
      <c r="D123" s="680"/>
      <c r="E123" s="222"/>
      <c r="F123" s="222"/>
      <c r="G123" s="222"/>
      <c r="H123" s="222"/>
      <c r="I123" s="5674"/>
      <c r="J123" s="222"/>
      <c r="K123" s="222"/>
      <c r="L123" s="222"/>
      <c r="M123" s="222"/>
      <c r="N123" s="222"/>
      <c r="O123" s="222"/>
      <c r="P123" s="222"/>
      <c r="Q123" s="222"/>
      <c r="R123" s="222"/>
      <c r="S123" s="222"/>
      <c r="T123" s="222"/>
      <c r="U123" s="222"/>
      <c r="V123" s="222"/>
      <c r="W123" s="400" t="s">
        <v>3013</v>
      </c>
      <c r="X123" s="2856">
        <v>20</v>
      </c>
      <c r="Y123" s="7615" t="str">
        <f>IF(Y121,"",ROUND(Y122*AF123,0))</f>
        <v/>
      </c>
      <c r="Z123" s="7616"/>
      <c r="AA123" s="6833"/>
      <c r="AB123" s="6833"/>
      <c r="AC123" s="394"/>
      <c r="AD123" s="260"/>
      <c r="AE123" s="394"/>
      <c r="AF123" s="2826">
        <v>0.15</v>
      </c>
    </row>
    <row r="124" spans="1:32" ht="12" customHeight="1">
      <c r="A124" s="394"/>
      <c r="B124" s="131">
        <v>21</v>
      </c>
      <c r="C124" s="936" t="s">
        <v>3032</v>
      </c>
      <c r="D124" s="680"/>
      <c r="E124" s="222"/>
      <c r="F124" s="222"/>
      <c r="G124" s="222"/>
      <c r="H124" s="222"/>
      <c r="I124" s="5674"/>
      <c r="J124" s="222"/>
      <c r="K124" s="222"/>
      <c r="L124" s="222"/>
      <c r="M124" s="222"/>
      <c r="N124" s="222"/>
      <c r="O124" s="222"/>
      <c r="P124" s="222"/>
      <c r="Q124" s="222"/>
      <c r="R124" s="222"/>
      <c r="S124" s="222"/>
      <c r="T124" s="222"/>
      <c r="U124" s="222"/>
      <c r="V124" s="222"/>
      <c r="W124" s="400" t="s">
        <v>888</v>
      </c>
      <c r="X124" s="2856">
        <v>21</v>
      </c>
      <c r="Y124" s="7615" t="str">
        <f>IF(OR(Y121,AD136),"",AD135)</f>
        <v/>
      </c>
      <c r="Z124" s="7616"/>
      <c r="AA124" s="6833"/>
      <c r="AB124" s="6833"/>
      <c r="AC124" s="394"/>
      <c r="AD124" s="260"/>
      <c r="AE124" s="394"/>
    </row>
    <row r="125" spans="1:32" ht="12" customHeight="1">
      <c r="A125" s="394"/>
      <c r="B125" s="131">
        <v>22</v>
      </c>
      <c r="C125" s="936" t="s">
        <v>5532</v>
      </c>
      <c r="D125" s="680"/>
      <c r="E125" s="222"/>
      <c r="F125" s="222"/>
      <c r="G125" s="222"/>
      <c r="H125" s="222"/>
      <c r="I125" s="5674"/>
      <c r="J125" s="222"/>
      <c r="K125" s="222"/>
      <c r="L125" s="222"/>
      <c r="M125" s="222"/>
      <c r="N125" s="222"/>
      <c r="O125" s="222"/>
      <c r="P125" s="222"/>
      <c r="Q125" s="222"/>
      <c r="R125" s="222"/>
      <c r="S125" s="222"/>
      <c r="T125" s="222"/>
      <c r="U125" s="222"/>
      <c r="V125" s="222"/>
      <c r="W125" s="222"/>
      <c r="X125" s="5673"/>
      <c r="Y125" s="222"/>
      <c r="Z125" s="222"/>
      <c r="AA125" s="222"/>
      <c r="AB125" s="222"/>
      <c r="AC125" s="394"/>
      <c r="AD125" s="260"/>
      <c r="AE125" s="394"/>
    </row>
    <row r="126" spans="1:32" ht="12" customHeight="1" thickBot="1">
      <c r="A126" s="394"/>
      <c r="B126" s="5664"/>
      <c r="C126" s="5909" t="s">
        <v>3033</v>
      </c>
      <c r="D126" s="2866"/>
      <c r="E126" s="1074"/>
      <c r="F126" s="1074"/>
      <c r="G126" s="1074"/>
      <c r="H126" s="1074"/>
      <c r="I126" s="1074"/>
      <c r="J126" s="1074"/>
      <c r="K126" s="1074"/>
      <c r="L126" s="1074"/>
      <c r="M126" s="1074"/>
      <c r="N126" s="1074"/>
      <c r="O126" s="1074"/>
      <c r="P126" s="1074"/>
      <c r="Q126" s="1074"/>
      <c r="R126" s="1074"/>
      <c r="S126" s="1074"/>
      <c r="T126" s="1074"/>
      <c r="U126" s="1074"/>
      <c r="V126" s="1074"/>
      <c r="W126" s="2868" t="s">
        <v>988</v>
      </c>
      <c r="X126" s="2867">
        <v>22</v>
      </c>
      <c r="Y126" s="7771" t="str">
        <f>IF(AD126&lt;&gt;"",ROUND(AD126,0),IF(OR(Y121,AD136),"",IF(AD136,"",MIN(Y123,Y124))))</f>
        <v/>
      </c>
      <c r="Z126" s="7772"/>
      <c r="AA126" s="7773"/>
      <c r="AB126" s="7773"/>
      <c r="AC126" s="394"/>
      <c r="AD126" s="2906"/>
      <c r="AE126" s="394"/>
    </row>
    <row r="127" spans="1:32" ht="15" customHeight="1">
      <c r="A127" s="394"/>
      <c r="B127" s="252"/>
      <c r="C127" s="252"/>
      <c r="D127" s="252"/>
      <c r="E127" s="252"/>
      <c r="F127" s="252"/>
      <c r="G127" s="253"/>
      <c r="H127" s="253"/>
      <c r="I127" s="253"/>
      <c r="J127" s="253"/>
      <c r="K127" s="253"/>
      <c r="L127" s="253"/>
      <c r="M127" s="253"/>
      <c r="N127" s="254"/>
      <c r="O127" s="254"/>
      <c r="P127" s="254"/>
      <c r="Q127" s="254"/>
      <c r="R127" s="1051"/>
      <c r="S127" s="1051"/>
      <c r="T127" s="254"/>
      <c r="U127" s="253"/>
      <c r="V127" s="253"/>
      <c r="W127" s="256"/>
      <c r="X127" s="253"/>
      <c r="Y127" s="253"/>
      <c r="Z127" s="1051"/>
      <c r="AA127" s="2681"/>
      <c r="AB127" s="2865" t="str">
        <f>"Schedule R   (Form 1040)  "&amp;TaxYear</f>
        <v>Schedule R   (Form 1040)  2023</v>
      </c>
      <c r="AC127" s="394"/>
      <c r="AD127" s="260"/>
      <c r="AE127" s="394"/>
    </row>
    <row r="128" spans="1:32" ht="8.25" customHeight="1">
      <c r="A128" s="394"/>
      <c r="B128" s="425"/>
      <c r="C128" s="425"/>
      <c r="D128" s="425"/>
      <c r="E128" s="425"/>
      <c r="F128" s="425"/>
      <c r="G128" s="378"/>
      <c r="H128" s="378"/>
      <c r="I128" s="378"/>
      <c r="J128" s="378"/>
      <c r="K128" s="378"/>
      <c r="L128" s="378"/>
      <c r="M128" s="378"/>
      <c r="N128" s="426"/>
      <c r="O128" s="426"/>
      <c r="P128" s="426"/>
      <c r="Q128" s="426"/>
      <c r="R128" s="426"/>
      <c r="S128" s="426"/>
      <c r="T128" s="426"/>
      <c r="U128" s="378"/>
      <c r="V128" s="378"/>
      <c r="W128" s="427"/>
      <c r="X128" s="378"/>
      <c r="Y128" s="378"/>
      <c r="Z128" s="378"/>
      <c r="AA128" s="378"/>
      <c r="AB128" s="378"/>
      <c r="AC128" s="394"/>
      <c r="AD128" s="260"/>
      <c r="AE128" s="394"/>
    </row>
    <row r="129" spans="2:31">
      <c r="B129" s="8"/>
      <c r="C129" s="8"/>
      <c r="D129" s="9"/>
      <c r="E129" s="9"/>
      <c r="F129" s="9"/>
      <c r="G129" s="9"/>
      <c r="H129" s="9"/>
      <c r="I129" s="9"/>
      <c r="J129" s="9"/>
      <c r="K129" s="9"/>
      <c r="L129" s="9"/>
      <c r="M129" s="9"/>
      <c r="N129" s="10"/>
      <c r="O129" s="10"/>
      <c r="P129" s="10"/>
      <c r="Q129" s="10"/>
      <c r="R129" s="10"/>
      <c r="S129" s="10"/>
      <c r="T129" s="11"/>
      <c r="U129" s="9"/>
      <c r="V129" s="9"/>
      <c r="W129" s="7"/>
      <c r="X129" s="9"/>
      <c r="Y129" s="9"/>
      <c r="Z129" s="9"/>
      <c r="AA129" s="9"/>
      <c r="AB129" s="9"/>
    </row>
    <row r="130" spans="2:31" ht="13.5" thickBot="1">
      <c r="B130" s="8"/>
      <c r="C130" s="8"/>
      <c r="D130" s="9"/>
      <c r="E130" s="9"/>
      <c r="F130" s="9"/>
      <c r="G130" s="9"/>
      <c r="H130" s="9"/>
      <c r="I130" s="9"/>
      <c r="J130" s="9"/>
      <c r="K130" s="2890" t="s">
        <v>3034</v>
      </c>
      <c r="L130" s="2891"/>
      <c r="M130" s="2892"/>
      <c r="N130" s="2891"/>
      <c r="O130" s="2893"/>
      <c r="P130" s="2893"/>
      <c r="Q130" s="2893"/>
      <c r="R130" s="2894"/>
      <c r="S130" s="2894"/>
      <c r="T130" s="2895"/>
      <c r="U130" s="2892"/>
      <c r="V130" s="2892"/>
      <c r="W130" s="2896"/>
      <c r="X130" s="2892"/>
      <c r="Y130" s="2892"/>
      <c r="Z130" s="2892"/>
      <c r="AA130" s="2892"/>
      <c r="AB130" s="2897" t="s">
        <v>3035</v>
      </c>
      <c r="AC130" s="1240"/>
      <c r="AD130" s="1142"/>
      <c r="AE130" s="1241"/>
    </row>
    <row r="131" spans="2:31" ht="13.5" thickBot="1">
      <c r="B131" s="7762" t="s">
        <v>3036</v>
      </c>
      <c r="C131" s="7763"/>
      <c r="D131" s="7763"/>
      <c r="E131" s="7763"/>
      <c r="F131" s="7763"/>
      <c r="G131" s="7763"/>
      <c r="H131" s="7763"/>
      <c r="I131" s="7764"/>
      <c r="J131" s="365"/>
      <c r="K131" s="2898" t="s">
        <v>3037</v>
      </c>
      <c r="L131" s="2899"/>
      <c r="M131" s="2900"/>
      <c r="N131" s="2899"/>
      <c r="O131" s="2899"/>
      <c r="P131" s="2899"/>
      <c r="Q131" s="2899"/>
      <c r="R131" s="2901"/>
      <c r="S131" s="2901"/>
      <c r="T131" s="2902"/>
      <c r="U131" s="2900"/>
      <c r="V131" s="2900"/>
      <c r="W131" s="2903"/>
      <c r="X131" s="2900"/>
      <c r="Y131" s="2900"/>
      <c r="Z131" s="2900"/>
      <c r="AA131" s="2900"/>
      <c r="AB131" s="2900"/>
      <c r="AC131" s="1081"/>
      <c r="AD131" s="896"/>
      <c r="AE131" s="2904"/>
    </row>
    <row r="132" spans="2:31" ht="13.5" thickBot="1">
      <c r="B132" s="364"/>
      <c r="C132" s="364"/>
      <c r="D132" s="365"/>
      <c r="E132" s="365"/>
      <c r="F132" s="365"/>
      <c r="G132" s="365"/>
      <c r="H132" s="365"/>
      <c r="I132" s="365"/>
      <c r="J132" s="365"/>
      <c r="K132" s="2869" t="s">
        <v>167</v>
      </c>
      <c r="L132" s="2870" t="s">
        <v>3038</v>
      </c>
      <c r="M132" s="2871"/>
      <c r="N132" s="2870"/>
      <c r="O132" s="2870"/>
      <c r="P132" s="2870"/>
      <c r="Q132" s="2870"/>
      <c r="R132" s="2872"/>
      <c r="S132" s="2872"/>
      <c r="T132" s="2873"/>
      <c r="U132" s="2871"/>
      <c r="V132" s="2871"/>
      <c r="W132" s="2874"/>
      <c r="X132" s="2871"/>
      <c r="Y132" s="2871"/>
      <c r="Z132" s="2871"/>
      <c r="AA132" s="2871"/>
      <c r="AB132" s="3298" t="s">
        <v>1171</v>
      </c>
      <c r="AC132" s="2875" t="s">
        <v>167</v>
      </c>
      <c r="AD132" s="2889" t="str">
        <f>IF(Y121,"",Tax)</f>
        <v/>
      </c>
      <c r="AE132" s="2876"/>
    </row>
    <row r="133" spans="2:31" ht="13.5" customHeight="1" thickBot="1">
      <c r="B133" s="7759" t="s">
        <v>3039</v>
      </c>
      <c r="C133" s="7760"/>
      <c r="D133" s="7760"/>
      <c r="E133" s="7760"/>
      <c r="F133" s="7760"/>
      <c r="G133" s="7760"/>
      <c r="H133" s="7760"/>
      <c r="I133" s="7761"/>
      <c r="J133" s="365"/>
      <c r="K133" s="2877" t="s">
        <v>171</v>
      </c>
      <c r="L133" s="2878" t="s">
        <v>3040</v>
      </c>
      <c r="M133" s="2879"/>
      <c r="N133" s="2878"/>
      <c r="O133" s="2878"/>
      <c r="P133" s="2878"/>
      <c r="Q133" s="2878"/>
      <c r="R133" s="2880"/>
      <c r="S133" s="2880"/>
      <c r="T133" s="2881"/>
      <c r="U133" s="2879"/>
      <c r="V133" s="2879"/>
      <c r="W133" s="2882"/>
      <c r="X133" s="2879"/>
      <c r="Y133" s="2879"/>
      <c r="Z133" s="2879"/>
      <c r="AA133" s="2879"/>
      <c r="AB133" s="3298" t="s">
        <v>3041</v>
      </c>
      <c r="AC133" s="2883" t="s">
        <v>171</v>
      </c>
      <c r="AD133" s="973" t="str">
        <f>IF(Y121,"",SUM(Foreign_Tax_Credit,Care_Expenses,'Sch. 3'!W30))</f>
        <v/>
      </c>
      <c r="AE133" s="2884"/>
    </row>
    <row r="134" spans="2:31">
      <c r="K134" s="2877" t="s">
        <v>177</v>
      </c>
      <c r="L134" s="2878" t="s">
        <v>3042</v>
      </c>
      <c r="M134" s="2240"/>
      <c r="N134" s="2878"/>
      <c r="O134" s="2240"/>
      <c r="P134" s="2240"/>
      <c r="Q134" s="2240"/>
      <c r="R134" s="2240"/>
      <c r="S134" s="2240"/>
      <c r="T134" s="2240"/>
      <c r="U134" s="2240"/>
      <c r="V134" s="2240"/>
      <c r="W134" s="2240"/>
      <c r="X134" s="2240"/>
      <c r="Y134" s="2240"/>
      <c r="Z134" s="2240"/>
      <c r="AA134" s="2240"/>
      <c r="AB134" s="2240"/>
      <c r="AC134" s="2240"/>
      <c r="AD134" s="1130"/>
      <c r="AE134" s="2884"/>
    </row>
    <row r="135" spans="2:31">
      <c r="D135" s="6521" t="s">
        <v>46</v>
      </c>
      <c r="E135" s="6521"/>
      <c r="K135" s="2885"/>
      <c r="L135" s="2878" t="s">
        <v>3043</v>
      </c>
      <c r="M135" s="2240"/>
      <c r="N135" s="2878"/>
      <c r="O135" s="2878" t="s">
        <v>3044</v>
      </c>
      <c r="P135" s="2240"/>
      <c r="Q135" s="2240"/>
      <c r="R135" s="2240"/>
      <c r="S135" s="2240"/>
      <c r="T135" s="2240"/>
      <c r="U135" s="2240"/>
      <c r="V135" s="2240"/>
      <c r="W135" s="2240"/>
      <c r="X135" s="2240"/>
      <c r="Y135" s="2240"/>
      <c r="Z135" s="2240"/>
      <c r="AA135" s="2240"/>
      <c r="AB135" s="3298" t="s">
        <v>3045</v>
      </c>
      <c r="AC135" s="2883" t="s">
        <v>177</v>
      </c>
      <c r="AD135" s="973" t="str">
        <f>IF(Y121,"",SUM(AD132,-AD133))</f>
        <v/>
      </c>
      <c r="AE135" s="2884"/>
    </row>
    <row r="136" spans="2:31" ht="13.5" thickBot="1">
      <c r="D136" s="6521"/>
      <c r="E136" s="6521"/>
      <c r="K136" s="2886"/>
      <c r="L136" s="2695"/>
      <c r="M136" s="2695"/>
      <c r="N136" s="2887"/>
      <c r="O136" s="2695"/>
      <c r="P136" s="2695"/>
      <c r="Q136" s="2695"/>
      <c r="R136" s="2695"/>
      <c r="S136" s="2695"/>
      <c r="T136" s="2695"/>
      <c r="U136" s="2695"/>
      <c r="V136" s="2695"/>
      <c r="W136" s="2695"/>
      <c r="X136" s="2695"/>
      <c r="Y136" s="2695"/>
      <c r="Z136" s="2695"/>
      <c r="AA136" s="2695"/>
      <c r="AB136" s="2695"/>
      <c r="AC136" s="2695"/>
      <c r="AD136" s="2905" t="b">
        <f>(AD135&lt;=0)</f>
        <v>0</v>
      </c>
      <c r="AE136" s="2888"/>
    </row>
    <row r="137" spans="2:31">
      <c r="D137" s="6521"/>
      <c r="E137" s="6521"/>
    </row>
  </sheetData>
  <sheetProtection algorithmName="SHA-512" hashValue="CGJJPTmRRkKs7rjzT1VhJ/dzFKSH+S1lomTCx7IV7WbtQoO5nGAzBvqIuBDz+AjUKt6ctPahRH1V/sXJzRuO5Q==" saltValue="XMvrIRxAWdvIu+R6G2gFxw==" spinCount="100000" sheet="1" objects="1" scenarios="1"/>
  <mergeCells count="58">
    <mergeCell ref="D135:E137"/>
    <mergeCell ref="B133:I133"/>
    <mergeCell ref="B131:I131"/>
    <mergeCell ref="O116:R116"/>
    <mergeCell ref="Y121:AB121"/>
    <mergeCell ref="Y120:AB120"/>
    <mergeCell ref="Y122:AB122"/>
    <mergeCell ref="Y123:AB123"/>
    <mergeCell ref="Y124:AB124"/>
    <mergeCell ref="Y126:AB126"/>
    <mergeCell ref="F10:H10"/>
    <mergeCell ref="J10:L10"/>
    <mergeCell ref="R8:S8"/>
    <mergeCell ref="R4:S4"/>
    <mergeCell ref="Y98:AB98"/>
    <mergeCell ref="F8:H8"/>
    <mergeCell ref="Y79:AB79"/>
    <mergeCell ref="F83:G83"/>
    <mergeCell ref="F85:G85"/>
    <mergeCell ref="L86:R87"/>
    <mergeCell ref="Y91:AB91"/>
    <mergeCell ref="R12:S12"/>
    <mergeCell ref="J8:L8"/>
    <mergeCell ref="F3:H3"/>
    <mergeCell ref="F4:H4"/>
    <mergeCell ref="J3:L3"/>
    <mergeCell ref="J4:L4"/>
    <mergeCell ref="F6:H6"/>
    <mergeCell ref="J6:L6"/>
    <mergeCell ref="B26:C26"/>
    <mergeCell ref="B38:C38"/>
    <mergeCell ref="B49:C49"/>
    <mergeCell ref="F56:G56"/>
    <mergeCell ref="F58:G58"/>
    <mergeCell ref="B28:C28"/>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13:D14"/>
    <mergeCell ref="X14:AB14"/>
    <mergeCell ref="X15:AB17"/>
    <mergeCell ref="B16:D17"/>
    <mergeCell ref="B19:S19"/>
    <mergeCell ref="T19:AB19"/>
    <mergeCell ref="B15:D15"/>
    <mergeCell ref="E15:W15"/>
    <mergeCell ref="E14:W14"/>
    <mergeCell ref="E16:W16"/>
  </mergeCells>
  <conditionalFormatting sqref="B19:C19 T19:AA19">
    <cfRule type="expression" dxfId="1921" priority="156">
      <formula>IF(NoColor,1,0)</formula>
    </cfRule>
  </conditionalFormatting>
  <conditionalFormatting sqref="E13">
    <cfRule type="expression" dxfId="1920" priority="65">
      <formula>NOT(Draft)</formula>
    </cfRule>
  </conditionalFormatting>
  <conditionalFormatting sqref="F56:G56">
    <cfRule type="expression" dxfId="1919" priority="60">
      <formula>$B$54</formula>
    </cfRule>
  </conditionalFormatting>
  <conditionalFormatting sqref="F58:G58">
    <cfRule type="expression" dxfId="1918" priority="59">
      <formula>NOT($B$54)</formula>
    </cfRule>
  </conditionalFormatting>
  <conditionalFormatting sqref="F83:G83">
    <cfRule type="expression" dxfId="1917" priority="56">
      <formula>$B$84</formula>
    </cfRule>
  </conditionalFormatting>
  <conditionalFormatting sqref="F85:G85">
    <cfRule type="expression" dxfId="1916" priority="55">
      <formula>NOT($B$84)</formula>
    </cfRule>
  </conditionalFormatting>
  <conditionalFormatting sqref="F6:H6">
    <cfRule type="expression" dxfId="1915" priority="49">
      <formula>$I$4</formula>
    </cfRule>
  </conditionalFormatting>
  <conditionalFormatting sqref="F8:H8">
    <cfRule type="expression" dxfId="1914" priority="48">
      <formula>$I$6</formula>
    </cfRule>
  </conditionalFormatting>
  <conditionalFormatting sqref="F10:H10">
    <cfRule type="expression" dxfId="1913" priority="47">
      <formula>$I$8</formula>
    </cfRule>
  </conditionalFormatting>
  <conditionalFormatting sqref="G121">
    <cfRule type="expression" dxfId="1912" priority="29">
      <formula>$Y$121</formula>
    </cfRule>
  </conditionalFormatting>
  <conditionalFormatting sqref="J3:L3">
    <cfRule type="expression" dxfId="1911" priority="28">
      <formula>File_Marr_Joint&lt;&gt;""</formula>
    </cfRule>
  </conditionalFormatting>
  <conditionalFormatting sqref="J4:L4">
    <cfRule type="expression" dxfId="1910" priority="53">
      <formula>File_Marr_Joint&lt;&gt;""</formula>
    </cfRule>
  </conditionalFormatting>
  <conditionalFormatting sqref="J6:L6">
    <cfRule type="expression" dxfId="1909" priority="52">
      <formula>AND(File_Marr_Joint&lt;&gt;"",P4)</formula>
    </cfRule>
  </conditionalFormatting>
  <conditionalFormatting sqref="J8:L8">
    <cfRule type="expression" dxfId="1908" priority="51">
      <formula>AND(File_Marr_Joint&lt;&gt;"",P6)</formula>
    </cfRule>
  </conditionalFormatting>
  <conditionalFormatting sqref="J10:L10">
    <cfRule type="expression" dxfId="1907" priority="46">
      <formula>$P$8</formula>
    </cfRule>
  </conditionalFormatting>
  <conditionalFormatting sqref="M82:N82">
    <cfRule type="expression" dxfId="1906" priority="87">
      <formula>IF(NoColor,1,0)</formula>
    </cfRule>
  </conditionalFormatting>
  <conditionalFormatting sqref="N80">
    <cfRule type="expression" dxfId="1905" priority="88">
      <formula>IF(NoColor,1,0)</formula>
    </cfRule>
  </conditionalFormatting>
  <conditionalFormatting sqref="O135">
    <cfRule type="expression" dxfId="1904" priority="32">
      <formula>$AD$136</formula>
    </cfRule>
  </conditionalFormatting>
  <conditionalFormatting sqref="O112:P112">
    <cfRule type="expression" dxfId="1903" priority="41">
      <formula>IF(NoColor,1,0)</formula>
    </cfRule>
  </conditionalFormatting>
  <conditionalFormatting sqref="O115:P116">
    <cfRule type="expression" dxfId="1902" priority="14">
      <formula>IF(NoColor,1,0)</formula>
    </cfRule>
  </conditionalFormatting>
  <conditionalFormatting sqref="O118:P118">
    <cfRule type="expression" dxfId="1901" priority="13">
      <formula>IF(NoColor,1,0)</formula>
    </cfRule>
  </conditionalFormatting>
  <conditionalFormatting sqref="T103">
    <cfRule type="expression" dxfId="1900" priority="44">
      <formula>IF(NoColor,1,0)</formula>
    </cfRule>
  </conditionalFormatting>
  <conditionalFormatting sqref="T106">
    <cfRule type="expression" dxfId="1899" priority="15">
      <formula>IF(NoColor,1,0)</formula>
    </cfRule>
  </conditionalFormatting>
  <conditionalFormatting sqref="T110">
    <cfRule type="expression" dxfId="1898" priority="42">
      <formula>IF(NoColor,1,0)</formula>
    </cfRule>
  </conditionalFormatting>
  <conditionalFormatting sqref="T119:U119">
    <cfRule type="expression" dxfId="1897" priority="18">
      <formula>IF(NoColor,1,0)</formula>
    </cfRule>
  </conditionalFormatting>
  <conditionalFormatting sqref="V13">
    <cfRule type="expression" dxfId="1896" priority="64">
      <formula>NOT(Draft)</formula>
    </cfRule>
  </conditionalFormatting>
  <conditionalFormatting sqref="Y79">
    <cfRule type="expression" dxfId="1895" priority="57">
      <formula>IF(NoColor,1,0)</formula>
    </cfRule>
  </conditionalFormatting>
  <conditionalFormatting sqref="Y91">
    <cfRule type="expression" dxfId="1894" priority="26">
      <formula>IF(NoColor,1,0)</formula>
    </cfRule>
  </conditionalFormatting>
  <conditionalFormatting sqref="Y98">
    <cfRule type="expression" dxfId="1893" priority="25">
      <formula>IF(NoColor,1,0)</formula>
    </cfRule>
  </conditionalFormatting>
  <conditionalFormatting sqref="Y120">
    <cfRule type="expression" dxfId="1892" priority="24">
      <formula>IF(NoColor,1,0)</formula>
    </cfRule>
  </conditionalFormatting>
  <conditionalFormatting sqref="Y122:Y124">
    <cfRule type="expression" dxfId="1891" priority="21">
      <formula>IF(NoColor,1,0)</formula>
    </cfRule>
  </conditionalFormatting>
  <conditionalFormatting sqref="Y126">
    <cfRule type="expression" dxfId="1890" priority="20">
      <formula>IF(NoColor,1,0)</formula>
    </cfRule>
  </conditionalFormatting>
  <conditionalFormatting sqref="AA29">
    <cfRule type="expression" dxfId="1889" priority="9">
      <formula>NoColor</formula>
    </cfRule>
  </conditionalFormatting>
  <conditionalFormatting sqref="AA31">
    <cfRule type="expression" dxfId="1888" priority="8">
      <formula>NoColor</formula>
    </cfRule>
  </conditionalFormatting>
  <conditionalFormatting sqref="AA34">
    <cfRule type="expression" dxfId="1887" priority="7">
      <formula>NoColor</formula>
    </cfRule>
  </conditionalFormatting>
  <conditionalFormatting sqref="AA37">
    <cfRule type="expression" dxfId="1886" priority="6">
      <formula>NoColor</formula>
    </cfRule>
  </conditionalFormatting>
  <conditionalFormatting sqref="AA40">
    <cfRule type="expression" dxfId="1885" priority="5">
      <formula>NoColor</formula>
    </cfRule>
  </conditionalFormatting>
  <conditionalFormatting sqref="AA43">
    <cfRule type="expression" dxfId="1884" priority="4">
      <formula>NoColor</formula>
    </cfRule>
  </conditionalFormatting>
  <conditionalFormatting sqref="AA46">
    <cfRule type="expression" dxfId="1883" priority="3">
      <formula>NoColor</formula>
    </cfRule>
  </conditionalFormatting>
  <conditionalFormatting sqref="AA49">
    <cfRule type="expression" dxfId="1882" priority="2">
      <formula>NoColor</formula>
    </cfRule>
  </conditionalFormatting>
  <conditionalFormatting sqref="AA52">
    <cfRule type="expression" dxfId="1881" priority="1">
      <formula>NoColor</formula>
    </cfRule>
  </conditionalFormatting>
  <conditionalFormatting sqref="AA66">
    <cfRule type="expression" dxfId="1880" priority="27">
      <formula>NoColor</formula>
    </cfRule>
  </conditionalFormatting>
  <conditionalFormatting sqref="AD74">
    <cfRule type="expression" dxfId="1879" priority="63">
      <formula>(Y25&lt;&gt;0)</formula>
    </cfRule>
  </conditionalFormatting>
  <conditionalFormatting sqref="AD132:AD133">
    <cfRule type="expression" dxfId="1878" priority="11">
      <formula>NoColor</formula>
    </cfRule>
  </conditionalFormatting>
  <conditionalFormatting sqref="AD135">
    <cfRule type="expression" dxfId="1877" priority="10">
      <formula>NoColor</formula>
    </cfRule>
  </conditionalFormatting>
  <conditionalFormatting sqref="AE23">
    <cfRule type="expression" dxfId="1876" priority="62">
      <formula>FarmProfitNet&lt;&gt;0</formula>
    </cfRule>
  </conditionalFormatting>
  <conditionalFormatting sqref="AE25">
    <cfRule type="expression" dxfId="1875" priority="61">
      <formula>FarmProfitNet&lt;&gt;0</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ageMargins left="0.75" right="0.25" top="0.36" bottom="0.28999999999999998" header="0.36" footer="0.21"/>
  <pageSetup scale="91" fitToHeight="0" orientation="portrait" r:id="rId3"/>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pageSetUpPr fitToPage="1"/>
  </sheetPr>
  <dimension ref="A1:AZ128"/>
  <sheetViews>
    <sheetView zoomScaleNormal="100" zoomScaleSheetLayoutView="115" workbookViewId="0"/>
  </sheetViews>
  <sheetFormatPr defaultRowHeight="12.75"/>
  <cols>
    <col min="1" max="1" width="2.140625" customWidth="1"/>
    <col min="2" max="2" width="1.85546875" customWidth="1"/>
    <col min="3" max="4" width="3.140625" customWidth="1"/>
    <col min="5" max="5" width="4.140625" customWidth="1"/>
    <col min="6" max="6" width="9.28515625" customWidth="1"/>
    <col min="7" max="7" width="6.28515625" customWidth="1"/>
    <col min="8" max="8" width="5.42578125" customWidth="1"/>
    <col min="9" max="9" width="5" customWidth="1"/>
    <col min="10" max="10" width="4.140625" customWidth="1"/>
    <col min="11" max="11" width="9.85546875" customWidth="1"/>
    <col min="12" max="12" width="2.5703125" customWidth="1"/>
    <col min="13" max="13" width="3.7109375" customWidth="1"/>
    <col min="14" max="14" width="4.140625" customWidth="1"/>
    <col min="15" max="15" width="2.28515625" customWidth="1"/>
    <col min="16" max="16" width="4.5703125" customWidth="1"/>
    <col min="17" max="17" width="6.85546875" customWidth="1"/>
    <col min="18" max="22" width="3.7109375" customWidth="1"/>
    <col min="23" max="23" width="4" customWidth="1"/>
    <col min="24" max="24" width="11.42578125" customWidth="1"/>
    <col min="25" max="25" width="3.85546875" customWidth="1"/>
    <col min="26" max="26" width="1.5703125" customWidth="1"/>
    <col min="27" max="27" width="2" customWidth="1"/>
    <col min="28" max="28" width="17.140625" customWidth="1"/>
    <col min="29" max="30" width="4.28515625" customWidth="1"/>
    <col min="31" max="31" width="10.7109375" customWidth="1"/>
    <col min="32" max="32" width="6.5703125" customWidth="1"/>
    <col min="33" max="33" width="23.7109375" customWidth="1"/>
    <col min="34" max="34" width="14.85546875" customWidth="1"/>
    <col min="35" max="35" width="3.7109375" customWidth="1"/>
    <col min="36" max="36" width="13.85546875" hidden="1" customWidth="1"/>
    <col min="37" max="37" width="27.7109375" hidden="1" customWidth="1"/>
    <col min="38" max="41" width="12.140625" hidden="1" customWidth="1"/>
    <col min="42" max="42" width="5.28515625" customWidth="1"/>
    <col min="43" max="44" width="10.5703125" customWidth="1"/>
    <col min="45" max="45" width="10.42578125" customWidth="1"/>
    <col min="46" max="48" width="8.7109375" customWidth="1"/>
  </cols>
  <sheetData>
    <row r="1" spans="1:52" ht="27" customHeight="1">
      <c r="A1" s="394"/>
      <c r="B1" s="7885"/>
      <c r="C1" s="7885"/>
      <c r="D1" s="7885"/>
      <c r="E1" s="7885"/>
      <c r="F1" s="7885"/>
      <c r="G1" s="2758" t="s">
        <v>3046</v>
      </c>
      <c r="H1" s="394"/>
      <c r="I1" s="394"/>
      <c r="J1" s="394"/>
      <c r="K1" s="394"/>
      <c r="L1" s="394"/>
      <c r="M1" s="394"/>
      <c r="N1" s="394"/>
      <c r="O1" s="394"/>
      <c r="P1" s="394"/>
      <c r="Q1" s="394"/>
      <c r="R1" s="394"/>
      <c r="S1" s="394"/>
      <c r="T1" s="394"/>
      <c r="U1" s="394"/>
      <c r="V1" s="394"/>
      <c r="W1" s="394"/>
      <c r="X1" s="394"/>
      <c r="Y1" s="394"/>
      <c r="Z1" s="394"/>
      <c r="AA1" s="394"/>
      <c r="AB1" s="292"/>
      <c r="AC1" s="780"/>
      <c r="AD1" s="780"/>
      <c r="AE1" s="780"/>
      <c r="AF1" s="780"/>
      <c r="AG1" s="780"/>
      <c r="AH1" s="780"/>
      <c r="AI1" s="780"/>
      <c r="AJ1" s="780"/>
      <c r="AK1" s="780"/>
      <c r="AL1" s="780"/>
      <c r="AM1" s="780"/>
      <c r="AN1" s="780"/>
      <c r="AO1" s="780"/>
      <c r="AP1" s="780"/>
      <c r="AQ1" s="2038"/>
      <c r="AR1" s="2038"/>
      <c r="AS1" s="2038"/>
      <c r="AT1" s="2038"/>
      <c r="AU1" s="2038"/>
      <c r="AV1" s="2038"/>
      <c r="AW1" s="2038"/>
      <c r="AX1" s="2038"/>
      <c r="AY1" s="2038"/>
      <c r="AZ1" s="2038"/>
    </row>
    <row r="2" spans="1:52" ht="21.75" customHeight="1">
      <c r="A2" s="394"/>
      <c r="B2" s="7800" t="s">
        <v>3047</v>
      </c>
      <c r="C2" s="7801"/>
      <c r="D2" s="7801"/>
      <c r="E2" s="7801"/>
      <c r="F2" s="7802"/>
      <c r="G2" s="2078"/>
      <c r="H2" s="5963"/>
      <c r="I2" s="5963"/>
      <c r="J2" s="5963"/>
      <c r="K2" s="5963"/>
      <c r="L2" s="5963"/>
      <c r="M2" s="5963"/>
      <c r="N2" s="5963"/>
      <c r="O2" s="5963"/>
      <c r="P2" s="5963"/>
      <c r="Q2" s="5963"/>
      <c r="R2" s="5963"/>
      <c r="S2" s="5963"/>
      <c r="T2" s="5963"/>
      <c r="U2" s="5963"/>
      <c r="V2" s="5964"/>
      <c r="W2" s="7805" t="s">
        <v>576</v>
      </c>
      <c r="X2" s="7806"/>
      <c r="Y2" s="7806"/>
      <c r="Z2" s="7806"/>
      <c r="AA2" s="66"/>
      <c r="AB2" s="3908" t="s">
        <v>3048</v>
      </c>
      <c r="AC2" s="3203"/>
      <c r="AD2" s="3203"/>
      <c r="AE2" s="3203"/>
      <c r="AF2" s="3203"/>
      <c r="AG2" s="3203"/>
      <c r="AH2" s="3203"/>
      <c r="AI2" s="2806"/>
      <c r="AJ2" s="3203"/>
      <c r="AK2" s="2806"/>
      <c r="AL2" s="2806"/>
      <c r="AM2" s="2806"/>
      <c r="AN2" s="2806"/>
      <c r="AO2" s="2806"/>
      <c r="AP2" s="2806"/>
      <c r="AQ2" s="2037" t="s">
        <v>241</v>
      </c>
      <c r="AR2" s="2038"/>
      <c r="AS2" s="2038"/>
      <c r="AT2" s="2038"/>
      <c r="AU2" s="2038"/>
      <c r="AV2" s="2038"/>
      <c r="AW2" s="2038"/>
      <c r="AX2" s="2038"/>
      <c r="AY2" s="2038"/>
      <c r="AZ2" s="2038"/>
    </row>
    <row r="3" spans="1:52" ht="27.75" customHeight="1">
      <c r="A3" s="394"/>
      <c r="B3" s="7803" t="s">
        <v>2088</v>
      </c>
      <c r="C3" s="7803"/>
      <c r="D3" s="7803"/>
      <c r="E3" s="7803"/>
      <c r="F3" s="7804"/>
      <c r="G3" s="7816" t="s">
        <v>3049</v>
      </c>
      <c r="H3" s="7817"/>
      <c r="I3" s="7817"/>
      <c r="J3" s="7817"/>
      <c r="K3" s="7817"/>
      <c r="L3" s="7817"/>
      <c r="M3" s="7817"/>
      <c r="N3" s="7817"/>
      <c r="O3" s="7817"/>
      <c r="P3" s="7817"/>
      <c r="Q3" s="7817"/>
      <c r="R3" s="7817"/>
      <c r="S3" s="7817"/>
      <c r="T3" s="7817"/>
      <c r="U3" s="7817"/>
      <c r="V3" s="7818"/>
      <c r="W3" s="7812">
        <f>TaxYear</f>
        <v>2023</v>
      </c>
      <c r="X3" s="6864"/>
      <c r="Y3" s="6864"/>
      <c r="Z3" s="6864"/>
      <c r="AA3" s="66"/>
      <c r="AB3" s="292"/>
      <c r="AC3" s="7859" t="s">
        <v>3050</v>
      </c>
      <c r="AD3" s="7859"/>
      <c r="AE3" s="7859"/>
      <c r="AF3" s="3203"/>
      <c r="AG3" s="3203"/>
      <c r="AH3" s="3203"/>
      <c r="AI3" s="2806"/>
      <c r="AJ3" s="3203"/>
      <c r="AK3" s="2806"/>
      <c r="AL3" s="2806"/>
      <c r="AM3" s="2806"/>
      <c r="AN3" s="2806"/>
      <c r="AO3" s="2806"/>
      <c r="AP3" s="2806"/>
      <c r="AQ3" s="2038"/>
      <c r="AR3" s="2038"/>
      <c r="AS3" s="2038"/>
      <c r="AT3" s="2038"/>
      <c r="AU3" s="2038"/>
      <c r="AV3" s="2038"/>
      <c r="AW3" s="2038"/>
      <c r="AX3" s="2038"/>
      <c r="AY3" s="2038"/>
      <c r="AZ3" s="2038"/>
    </row>
    <row r="4" spans="1:52" ht="13.5" customHeight="1" thickBot="1">
      <c r="A4" s="394"/>
      <c r="B4" s="7821" t="s">
        <v>535</v>
      </c>
      <c r="C4" s="7821"/>
      <c r="D4" s="7821"/>
      <c r="E4" s="7821"/>
      <c r="F4" s="7822"/>
      <c r="G4" s="7813" t="s">
        <v>5622</v>
      </c>
      <c r="H4" s="6984"/>
      <c r="I4" s="6984"/>
      <c r="J4" s="6984"/>
      <c r="K4" s="6984"/>
      <c r="L4" s="6984"/>
      <c r="M4" s="6984"/>
      <c r="N4" s="6984"/>
      <c r="O4" s="6984"/>
      <c r="P4" s="6984"/>
      <c r="Q4" s="6984"/>
      <c r="R4" s="6984"/>
      <c r="S4" s="6984"/>
      <c r="T4" s="6984"/>
      <c r="U4" s="6984"/>
      <c r="V4" s="7289"/>
      <c r="W4" s="3797"/>
      <c r="X4" s="7819" t="s">
        <v>3051</v>
      </c>
      <c r="Y4" s="7819"/>
      <c r="Z4" s="7819"/>
      <c r="AA4" s="66"/>
      <c r="AB4" s="292"/>
      <c r="AC4" s="7859"/>
      <c r="AD4" s="7859"/>
      <c r="AE4" s="7859"/>
      <c r="AF4" s="3203"/>
      <c r="AG4" s="3203"/>
      <c r="AH4" s="3203"/>
      <c r="AI4" s="2806"/>
      <c r="AJ4" s="3203"/>
      <c r="AK4" s="2806"/>
      <c r="AL4" s="2806"/>
      <c r="AM4" s="2806"/>
      <c r="AN4" s="2806"/>
      <c r="AO4" s="2806"/>
      <c r="AP4" s="2806"/>
      <c r="AQ4" s="2038"/>
      <c r="AR4" s="2038"/>
      <c r="AS4" s="2038"/>
      <c r="AT4" s="2038"/>
      <c r="AU4" s="2038"/>
      <c r="AV4" s="2038"/>
      <c r="AW4" s="2038"/>
      <c r="AX4" s="2038"/>
      <c r="AY4" s="2038"/>
      <c r="AZ4" s="2038"/>
    </row>
    <row r="5" spans="1:52" ht="12.75" customHeight="1" thickBot="1">
      <c r="A5" s="394"/>
      <c r="B5" s="7823" t="str">
        <f>"Internal Revenue Service  (99)"</f>
        <v>Internal Revenue Service  (99)</v>
      </c>
      <c r="C5" s="7823"/>
      <c r="D5" s="7823"/>
      <c r="E5" s="7823"/>
      <c r="F5" s="7824"/>
      <c r="G5" s="7813" t="s">
        <v>5623</v>
      </c>
      <c r="H5" s="7814"/>
      <c r="I5" s="7814"/>
      <c r="J5" s="7814"/>
      <c r="K5" s="7814"/>
      <c r="L5" s="7814"/>
      <c r="M5" s="7814"/>
      <c r="N5" s="7814"/>
      <c r="O5" s="7814"/>
      <c r="P5" s="7814"/>
      <c r="Q5" s="7814"/>
      <c r="R5" s="7814"/>
      <c r="S5" s="7814"/>
      <c r="T5" s="7814"/>
      <c r="U5" s="7814"/>
      <c r="V5" s="7815"/>
      <c r="W5" s="3798"/>
      <c r="X5" s="7820"/>
      <c r="Y5" s="7820"/>
      <c r="Z5" s="7820"/>
      <c r="AA5" s="66"/>
      <c r="AB5" s="292"/>
      <c r="AC5" s="780"/>
      <c r="AD5" s="1989"/>
      <c r="AE5" s="3397" t="s">
        <v>3052</v>
      </c>
      <c r="AF5" s="780"/>
      <c r="AG5" s="7858" t="str">
        <f>IF(AND(AJ7,AL35),"Error: You can't check 'Spouse' if this form is for your statutory employee income.",IF(AND(AJ5,AM35),"Error: You can't check 'Yourself' if this form is for your spouse's statutory employee income.",""))</f>
        <v/>
      </c>
      <c r="AH5" s="2806"/>
      <c r="AI5" s="780"/>
      <c r="AJ5" s="780" t="b">
        <f>(AD5&lt;&gt;"")</f>
        <v>0</v>
      </c>
      <c r="AK5" s="2806"/>
      <c r="AL5" s="780" t="b">
        <f>OR(AND('Sch. C'!M7=SS_Yours,'Sch. C'!Y6,NOT('Sch. C'!Y10)),AND('Sch. C'!M121=SS_Yours,'Sch. C'!Y120,NOT('Sch. C'!Y124)))</f>
        <v>1</v>
      </c>
      <c r="AM5" s="2806"/>
      <c r="AN5" s="2806"/>
      <c r="AO5" s="2806"/>
      <c r="AP5" s="2806"/>
      <c r="AQ5" s="2038"/>
      <c r="AR5" s="2038"/>
      <c r="AS5" s="2038"/>
      <c r="AT5" s="2038"/>
      <c r="AU5" s="2038"/>
      <c r="AV5" s="2038"/>
      <c r="AW5" s="2038"/>
      <c r="AX5" s="2038"/>
      <c r="AY5" s="2038"/>
      <c r="AZ5" s="2038"/>
    </row>
    <row r="6" spans="1:52" ht="12" customHeight="1" thickBot="1">
      <c r="A6" s="394"/>
      <c r="B6" s="7831" t="s">
        <v>3053</v>
      </c>
      <c r="C6" s="7831"/>
      <c r="D6" s="7831"/>
      <c r="E6" s="7831"/>
      <c r="F6" s="7831"/>
      <c r="G6" s="7831"/>
      <c r="H6" s="7831"/>
      <c r="I6" s="7831"/>
      <c r="J6" s="7831"/>
      <c r="K6" s="7831"/>
      <c r="L6" s="7831"/>
      <c r="M6" s="7831"/>
      <c r="N6" s="7831"/>
      <c r="O6" s="7831"/>
      <c r="P6" s="7831"/>
      <c r="Q6" s="7825" t="str">
        <f>IF($AJ$6,"Social security number(s) MUST be entered for this form to work properly.","Social security number of person"&amp;CHAR(10)&amp;"with self-employment income")</f>
        <v>Social security number of person
with self-employment income</v>
      </c>
      <c r="R6" s="7826"/>
      <c r="S6" s="7826"/>
      <c r="T6" s="7826"/>
      <c r="U6" s="7826"/>
      <c r="V6" s="7827"/>
      <c r="W6" s="7807" t="str">
        <f>IF(AND(AJ5,AJ7),SS_Yours,IF(AJ5,SS_Yours,IF(AJ7,SS_Spouse,"")))</f>
        <v/>
      </c>
      <c r="X6" s="7808"/>
      <c r="Y6" s="7808"/>
      <c r="Z6" s="7808"/>
      <c r="AA6" s="66"/>
      <c r="AB6" s="292"/>
      <c r="AC6" s="780"/>
      <c r="AD6" s="780"/>
      <c r="AE6" s="3796" t="str">
        <f>IF(File_Marr_Joint&lt;&gt;"","Check both boxes if for both.","")</f>
        <v/>
      </c>
      <c r="AF6" s="780"/>
      <c r="AG6" s="7858"/>
      <c r="AH6" s="780"/>
      <c r="AI6" s="2806"/>
      <c r="AJ6" s="2806" t="b">
        <f>OR(AND(File_Marr_Joint&lt;&gt;"",SS_Yours=0,SS_Spouse=0),SS_Yours=0)</f>
        <v>0</v>
      </c>
      <c r="AK6" s="780"/>
      <c r="AL6" s="780"/>
      <c r="AM6" s="2806"/>
      <c r="AN6" s="2806"/>
      <c r="AO6" s="2806"/>
      <c r="AP6" s="2806"/>
      <c r="AQ6" s="2038"/>
      <c r="AR6" s="2038"/>
      <c r="AS6" s="2038"/>
      <c r="AT6" s="2038"/>
      <c r="AU6" s="2038"/>
      <c r="AV6" s="2038"/>
      <c r="AW6" s="2038"/>
      <c r="AX6" s="2038"/>
      <c r="AY6" s="2038"/>
      <c r="AZ6" s="2038"/>
    </row>
    <row r="7" spans="1:52" ht="16.5" customHeight="1" thickBot="1">
      <c r="A7" s="394"/>
      <c r="B7" s="7832" t="str">
        <f>IF(AND(AJ5,AJ7),NameYours&amp;" and "&amp;NameSpouse,IF(AJ5,NameYours,IF(AJ7,NameSpouse,"")))</f>
        <v/>
      </c>
      <c r="C7" s="7832"/>
      <c r="D7" s="7832"/>
      <c r="E7" s="7832"/>
      <c r="F7" s="7832"/>
      <c r="G7" s="7832"/>
      <c r="H7" s="7832"/>
      <c r="I7" s="7832"/>
      <c r="J7" s="7832"/>
      <c r="K7" s="7832"/>
      <c r="L7" s="7832"/>
      <c r="M7" s="7832"/>
      <c r="N7" s="7832"/>
      <c r="O7" s="7832"/>
      <c r="P7" s="7832"/>
      <c r="Q7" s="7828"/>
      <c r="R7" s="7829"/>
      <c r="S7" s="7829"/>
      <c r="T7" s="7829"/>
      <c r="U7" s="7829"/>
      <c r="V7" s="7830"/>
      <c r="W7" s="7809"/>
      <c r="X7" s="7810"/>
      <c r="Y7" s="7810"/>
      <c r="Z7" s="7810"/>
      <c r="AA7" s="66"/>
      <c r="AB7" s="6821" t="s">
        <v>3054</v>
      </c>
      <c r="AC7" s="780"/>
      <c r="AD7" s="1989"/>
      <c r="AE7" s="3397" t="str">
        <f>IF(AND(NumFileStatusBoxes=1,File_Marr_Joint&lt;&gt;""),"  Spouse","")</f>
        <v/>
      </c>
      <c r="AF7" s="780"/>
      <c r="AG7" s="7858"/>
      <c r="AH7" s="2806"/>
      <c r="AI7" s="780"/>
      <c r="AJ7" s="780" t="b">
        <f>(AD7&lt;&gt;"")</f>
        <v>0</v>
      </c>
      <c r="AK7" s="780"/>
      <c r="AL7" s="780" t="b">
        <f>AND(File_Marr_Joint&lt;&gt;"",OR(AND('Sch. C'!M7=SS_Spouse,'Sch. C'!Y6,NOT('Sch. C'!Y10)),AND('Sch. C'!M121=SS_Spouse,'Sch. C'!Y120,NOT('Sch. C'!Y124))))</f>
        <v>0</v>
      </c>
      <c r="AM7" s="2806"/>
      <c r="AN7" s="2806"/>
      <c r="AO7" s="2806"/>
      <c r="AP7" s="2806"/>
      <c r="AQ7" s="2038"/>
      <c r="AR7" s="2038"/>
      <c r="AS7" s="2038"/>
      <c r="AT7" s="2038"/>
      <c r="AU7" s="2038"/>
      <c r="AV7" s="2038"/>
      <c r="AW7" s="2038"/>
      <c r="AX7" s="2038"/>
      <c r="AY7" s="2038"/>
      <c r="AZ7" s="2038"/>
    </row>
    <row r="8" spans="1:52" ht="18" customHeight="1">
      <c r="A8" s="394"/>
      <c r="B8" s="7833" t="s">
        <v>884</v>
      </c>
      <c r="C8" s="7833"/>
      <c r="D8" s="7833"/>
      <c r="E8" s="3784" t="s">
        <v>3049</v>
      </c>
      <c r="F8" s="38"/>
      <c r="G8" s="38"/>
      <c r="H8" s="38"/>
      <c r="I8" s="38"/>
      <c r="J8" s="38"/>
      <c r="K8" s="38"/>
      <c r="L8" s="38"/>
      <c r="M8" s="38"/>
      <c r="N8" s="38"/>
      <c r="O8" s="38"/>
      <c r="P8" s="38"/>
      <c r="Q8" s="38"/>
      <c r="R8" s="38"/>
      <c r="S8" s="38"/>
      <c r="T8" s="38"/>
      <c r="U8" s="38"/>
      <c r="V8" s="38"/>
      <c r="W8" s="38"/>
      <c r="X8" s="38"/>
      <c r="Y8" s="38"/>
      <c r="Z8" s="38"/>
      <c r="AA8" s="66"/>
      <c r="AB8" s="6821"/>
      <c r="AC8" s="780"/>
      <c r="AD8" s="7304" t="s">
        <v>3055</v>
      </c>
      <c r="AE8" s="7304"/>
      <c r="AF8" s="7304"/>
      <c r="AG8" s="7304"/>
      <c r="AH8" s="7304"/>
      <c r="AI8" s="7304"/>
      <c r="AJ8" s="3803"/>
      <c r="AK8" s="2806"/>
      <c r="AL8" s="2806"/>
      <c r="AM8" s="2806"/>
      <c r="AN8" s="2806"/>
      <c r="AO8" s="2806"/>
      <c r="AP8" s="2806"/>
      <c r="AQ8" s="2038"/>
      <c r="AR8" s="2038"/>
      <c r="AS8" s="2038"/>
      <c r="AT8" s="2038"/>
      <c r="AU8" s="2038"/>
      <c r="AV8" s="2038"/>
      <c r="AW8" s="2038"/>
      <c r="AX8" s="2038"/>
      <c r="AY8" s="2038"/>
      <c r="AZ8" s="2038"/>
    </row>
    <row r="9" spans="1:52" ht="14.25" customHeight="1">
      <c r="A9" s="394"/>
      <c r="B9" s="1715" t="s">
        <v>3056</v>
      </c>
      <c r="C9" s="3786"/>
      <c r="D9" s="3786"/>
      <c r="E9" s="3785"/>
      <c r="F9" s="22"/>
      <c r="G9" s="22"/>
      <c r="H9" s="22"/>
      <c r="I9" s="22"/>
      <c r="J9" s="22"/>
      <c r="K9" s="22"/>
      <c r="L9" s="22"/>
      <c r="M9" s="22"/>
      <c r="N9" s="22"/>
      <c r="O9" s="22"/>
      <c r="P9" s="22"/>
      <c r="Q9" s="22"/>
      <c r="R9" s="22"/>
      <c r="S9" s="22"/>
      <c r="T9" s="22"/>
      <c r="U9" s="22"/>
      <c r="V9" s="22"/>
      <c r="W9" s="22"/>
      <c r="X9" s="22"/>
      <c r="Y9" s="22"/>
      <c r="Z9" s="22"/>
      <c r="AA9" s="66"/>
      <c r="AB9" s="292"/>
      <c r="AC9" s="780"/>
      <c r="AD9" s="7304"/>
      <c r="AE9" s="7304"/>
      <c r="AF9" s="7304"/>
      <c r="AG9" s="7304"/>
      <c r="AH9" s="7304"/>
      <c r="AI9" s="7304"/>
      <c r="AJ9" s="3803"/>
      <c r="AK9" s="2806"/>
      <c r="AL9" s="2806"/>
      <c r="AM9" s="2806"/>
      <c r="AN9" s="2806"/>
      <c r="AO9" s="2806"/>
      <c r="AP9" s="2806"/>
      <c r="AQ9" s="2038"/>
      <c r="AR9" s="2038"/>
      <c r="AS9" s="2038"/>
      <c r="AT9" s="2038"/>
      <c r="AU9" s="2038"/>
      <c r="AV9" s="2038"/>
      <c r="AW9" s="2038"/>
      <c r="AX9" s="2038"/>
      <c r="AY9" s="2038"/>
      <c r="AZ9" s="2038"/>
    </row>
    <row r="10" spans="1:52" s="392" customFormat="1" ht="14.25" customHeight="1">
      <c r="A10" s="394"/>
      <c r="B10" s="1715" t="s">
        <v>3057</v>
      </c>
      <c r="C10" s="3786"/>
      <c r="D10" s="3786"/>
      <c r="E10" s="3785"/>
      <c r="F10" s="22"/>
      <c r="G10" s="22"/>
      <c r="H10" s="22"/>
      <c r="I10" s="22"/>
      <c r="J10" s="22"/>
      <c r="K10" s="22"/>
      <c r="L10" s="22"/>
      <c r="M10" s="22"/>
      <c r="N10" s="22"/>
      <c r="O10" s="22"/>
      <c r="P10" s="22"/>
      <c r="Q10" s="22"/>
      <c r="R10" s="22"/>
      <c r="S10" s="22"/>
      <c r="T10" s="22"/>
      <c r="U10" s="22"/>
      <c r="V10" s="22"/>
      <c r="W10" s="22"/>
      <c r="X10" s="22"/>
      <c r="Y10" s="22"/>
      <c r="Z10" s="22"/>
      <c r="AA10" s="66"/>
      <c r="AB10" s="7860" t="str">
        <f>IF(ChurchEmployee1,"Skip line 1 thru 4b, enter -0- on line 4c, and go to line 5a.","")</f>
        <v/>
      </c>
      <c r="AC10" s="780"/>
      <c r="AD10" s="7304"/>
      <c r="AE10" s="7304"/>
      <c r="AF10" s="7304"/>
      <c r="AG10" s="7304"/>
      <c r="AH10" s="7304"/>
      <c r="AI10" s="7304"/>
      <c r="AJ10" s="3803"/>
      <c r="AK10" s="2806"/>
      <c r="AL10" s="2806"/>
      <c r="AM10" s="2806"/>
      <c r="AN10" s="2806"/>
      <c r="AO10" s="2806"/>
      <c r="AP10" s="2806"/>
      <c r="AQ10" s="2042"/>
      <c r="AR10" s="2042"/>
      <c r="AS10" s="2042"/>
      <c r="AT10" s="2042"/>
      <c r="AU10" s="2042"/>
      <c r="AV10" s="2042"/>
      <c r="AW10" s="2042"/>
      <c r="AX10" s="2042"/>
      <c r="AY10" s="2042"/>
      <c r="AZ10" s="2042"/>
    </row>
    <row r="11" spans="1:52" ht="11.25" customHeight="1">
      <c r="A11" s="394"/>
      <c r="B11" s="7834" t="s">
        <v>542</v>
      </c>
      <c r="C11" s="7834"/>
      <c r="D11" s="3786"/>
      <c r="E11" s="1715" t="s">
        <v>3058</v>
      </c>
      <c r="F11" s="22"/>
      <c r="G11" s="22"/>
      <c r="H11" s="22"/>
      <c r="I11" s="22"/>
      <c r="J11" s="22"/>
      <c r="K11" s="22"/>
      <c r="L11" s="22"/>
      <c r="M11" s="22"/>
      <c r="N11" s="22"/>
      <c r="O11" s="22"/>
      <c r="P11" s="22"/>
      <c r="Q11" s="22"/>
      <c r="R11" s="22"/>
      <c r="S11" s="22"/>
      <c r="T11" s="22"/>
      <c r="U11" s="22"/>
      <c r="V11" s="22"/>
      <c r="W11" s="22"/>
      <c r="X11" s="22"/>
      <c r="Y11" s="22"/>
      <c r="Z11" s="22"/>
      <c r="AA11" s="66"/>
      <c r="AB11" s="7860"/>
      <c r="AC11" s="780"/>
      <c r="AD11" s="7304"/>
      <c r="AE11" s="7304"/>
      <c r="AF11" s="7304"/>
      <c r="AG11" s="7304"/>
      <c r="AH11" s="7304"/>
      <c r="AI11" s="7304"/>
      <c r="AJ11" s="3803"/>
      <c r="AK11" s="2806"/>
      <c r="AL11" s="2806"/>
      <c r="AM11" s="2806"/>
      <c r="AN11" s="2806"/>
      <c r="AO11" s="2806"/>
      <c r="AP11" s="2806"/>
      <c r="AQ11" s="2038"/>
      <c r="AR11" s="2038"/>
      <c r="AS11" s="2038"/>
      <c r="AT11" s="2038"/>
      <c r="AU11" s="2038"/>
      <c r="AV11" s="2038"/>
      <c r="AW11" s="2038"/>
      <c r="AX11" s="2038"/>
      <c r="AY11" s="2038"/>
      <c r="AZ11" s="2038"/>
    </row>
    <row r="12" spans="1:52" ht="11.25" customHeight="1">
      <c r="A12" s="394"/>
      <c r="B12" s="3786"/>
      <c r="C12" s="3786"/>
      <c r="D12" s="3786"/>
      <c r="E12" s="1715" t="str">
        <f>TEXT(AJ20,"$0")&amp;" or more of"</f>
        <v>$400 or more of</v>
      </c>
      <c r="F12" s="22"/>
      <c r="G12" s="61"/>
      <c r="H12" s="688"/>
      <c r="I12" s="1749" t="s">
        <v>3059</v>
      </c>
      <c r="J12" s="683" t="s">
        <v>3060</v>
      </c>
      <c r="K12" s="22"/>
      <c r="L12" s="22"/>
      <c r="M12" s="22"/>
      <c r="N12" s="22"/>
      <c r="O12" s="22"/>
      <c r="P12" s="22"/>
      <c r="Q12" s="22"/>
      <c r="R12" s="22"/>
      <c r="S12" s="22"/>
      <c r="T12" s="22"/>
      <c r="U12" s="22"/>
      <c r="V12" s="22"/>
      <c r="W12" s="22"/>
      <c r="X12" s="2139" t="s">
        <v>994</v>
      </c>
      <c r="Y12" s="3816"/>
      <c r="Z12" s="22"/>
      <c r="AA12" s="66"/>
      <c r="AB12" s="7860"/>
      <c r="AC12" s="780"/>
      <c r="AD12" s="3803"/>
      <c r="AE12" s="3814" t="b">
        <f>AND(X21=0,ChurchEmployeeIncome1&lt;&gt;"",ChurchEmployeeIncome1&gt;0)</f>
        <v>0</v>
      </c>
      <c r="AF12" s="3803"/>
      <c r="AG12" s="3803"/>
      <c r="AH12" s="3803"/>
      <c r="AI12" s="2806"/>
      <c r="AJ12" s="3803" t="b">
        <f>AND(Y12&lt;&gt;"",AJ5)</f>
        <v>0</v>
      </c>
      <c r="AK12" s="2806"/>
      <c r="AL12" s="2806" t="b">
        <f>AND(Y12&lt;&gt;"",AND(AJ7,NOT(AJ8)))</f>
        <v>0</v>
      </c>
      <c r="AM12" s="2806"/>
      <c r="AN12" s="2806"/>
      <c r="AO12" s="2806"/>
      <c r="AP12" s="2806"/>
      <c r="AQ12" s="2038"/>
      <c r="AR12" s="2038"/>
      <c r="AS12" s="2038"/>
      <c r="AT12" s="2038"/>
      <c r="AU12" s="2038"/>
      <c r="AV12" s="2038"/>
      <c r="AW12" s="2038"/>
      <c r="AX12" s="2038"/>
      <c r="AY12" s="2038"/>
      <c r="AZ12" s="2038"/>
    </row>
    <row r="13" spans="1:52" ht="13.5" customHeight="1" thickBot="1">
      <c r="A13" s="394"/>
      <c r="B13" s="1715" t="s">
        <v>3061</v>
      </c>
      <c r="C13" s="3786"/>
      <c r="D13" s="3786"/>
      <c r="E13" s="1715"/>
      <c r="F13" s="22"/>
      <c r="G13" s="22"/>
      <c r="H13" s="22"/>
      <c r="I13" s="22"/>
      <c r="J13" s="22"/>
      <c r="K13" s="22"/>
      <c r="L13" s="22"/>
      <c r="M13" s="22"/>
      <c r="N13" s="22"/>
      <c r="O13" s="22"/>
      <c r="P13" s="22"/>
      <c r="Q13" s="22"/>
      <c r="R13" s="22"/>
      <c r="S13" s="22"/>
      <c r="T13" s="22"/>
      <c r="U13" s="22"/>
      <c r="V13" s="22"/>
      <c r="W13" s="22"/>
      <c r="X13" s="22"/>
      <c r="Y13" s="22"/>
      <c r="Z13" s="22"/>
      <c r="AA13" s="66"/>
      <c r="AB13" s="292"/>
      <c r="AC13" s="292"/>
      <c r="AD13" s="292"/>
      <c r="AE13" s="292"/>
      <c r="AF13" s="292"/>
      <c r="AG13" s="292"/>
      <c r="AH13" s="292"/>
      <c r="AI13" s="292"/>
      <c r="AJ13" s="2807">
        <f>IF(AB15&lt;&gt;"",ROUND(AB15,0),FarmProfitNet)</f>
        <v>0</v>
      </c>
      <c r="AK13" s="2806"/>
      <c r="AL13" s="2806"/>
      <c r="AM13" s="2806"/>
      <c r="AN13" s="2806"/>
      <c r="AO13" s="2806"/>
      <c r="AP13" s="2806"/>
      <c r="AQ13" s="2038"/>
      <c r="AR13" s="2038"/>
      <c r="AS13" s="2038"/>
      <c r="AT13" s="2038"/>
      <c r="AU13" s="2038"/>
      <c r="AV13" s="2038"/>
      <c r="AW13" s="2038"/>
      <c r="AX13" s="2038"/>
      <c r="AY13" s="2038"/>
      <c r="AZ13" s="2038"/>
    </row>
    <row r="14" spans="1:52" ht="13.5" customHeight="1" thickBot="1">
      <c r="A14" s="394"/>
      <c r="B14" s="22"/>
      <c r="C14" s="2139" t="s">
        <v>363</v>
      </c>
      <c r="D14" s="61" t="s">
        <v>3062</v>
      </c>
      <c r="E14" s="22"/>
      <c r="F14" s="22"/>
      <c r="G14" s="22"/>
      <c r="H14" s="22"/>
      <c r="I14" s="22"/>
      <c r="J14" s="22"/>
      <c r="K14" s="22"/>
      <c r="L14" s="22"/>
      <c r="M14" s="22"/>
      <c r="N14" s="22"/>
      <c r="O14" s="22"/>
      <c r="P14" s="22"/>
      <c r="Q14" s="22"/>
      <c r="R14" s="22"/>
      <c r="S14" s="22"/>
      <c r="T14" s="22"/>
      <c r="U14" s="22"/>
      <c r="V14" s="22"/>
      <c r="W14" s="291"/>
      <c r="X14" s="7811"/>
      <c r="Y14" s="6751"/>
      <c r="Z14" s="6751"/>
      <c r="AA14" s="66"/>
      <c r="AB14" s="1988"/>
      <c r="AC14" s="292"/>
      <c r="AD14" s="3812" t="s">
        <v>3063</v>
      </c>
      <c r="AE14" s="1077"/>
      <c r="AF14" s="1077"/>
      <c r="AG14" s="3804"/>
      <c r="AH14" s="1078"/>
      <c r="AI14" s="292"/>
      <c r="AJ14" s="808"/>
      <c r="AK14" s="808"/>
      <c r="AL14" s="808"/>
      <c r="AM14" s="808"/>
      <c r="AN14" s="808"/>
      <c r="AO14" s="808"/>
      <c r="AP14" s="808"/>
      <c r="AQ14" s="2038"/>
      <c r="AR14" s="2038"/>
      <c r="AS14" s="2038"/>
      <c r="AT14" s="2038"/>
      <c r="AU14" s="2038"/>
      <c r="AV14" s="2038"/>
      <c r="AW14" s="2038"/>
      <c r="AX14" s="2038"/>
      <c r="AY14" s="2038"/>
      <c r="AZ14" s="2038"/>
    </row>
    <row r="15" spans="1:52" ht="13.5" customHeight="1" thickBot="1">
      <c r="A15" s="394"/>
      <c r="B15" s="103"/>
      <c r="C15" s="3908"/>
      <c r="D15" s="688" t="s">
        <v>3064</v>
      </c>
      <c r="E15" s="103"/>
      <c r="F15" s="103"/>
      <c r="G15" s="103"/>
      <c r="H15" s="103"/>
      <c r="I15" s="103"/>
      <c r="J15" s="103"/>
      <c r="K15" s="103"/>
      <c r="L15" s="103"/>
      <c r="M15" s="103"/>
      <c r="N15" s="103"/>
      <c r="O15" s="103"/>
      <c r="P15" s="103"/>
      <c r="Q15" s="103"/>
      <c r="R15" s="103"/>
      <c r="S15" s="103"/>
      <c r="T15" s="103"/>
      <c r="U15" s="103"/>
      <c r="V15" s="960" t="s">
        <v>3065</v>
      </c>
      <c r="W15" s="5675" t="s">
        <v>363</v>
      </c>
      <c r="X15" s="7839" t="str">
        <f>IF(AB15&lt;&gt;"",ROUND(AB15,0),IF(OR(FarmOptMeth1,AND(NOT(AJ5),NOT(AJ7))),"",IF(AND(AJ5,AJ7),SUM(AN32,ROUND(AH15,0)),IF(AJ5,SUM(AL32,ROUND(AH15,0)),IF(AJ7,SUM(AM32,ROUND(AH15,0)),"")))))</f>
        <v/>
      </c>
      <c r="Y15" s="7840"/>
      <c r="Z15" s="7840"/>
      <c r="AA15" s="441"/>
      <c r="AB15" s="2642"/>
      <c r="AC15" s="292"/>
      <c r="AD15" s="3097" t="s">
        <v>3066</v>
      </c>
      <c r="AE15" s="1081"/>
      <c r="AF15" s="1081"/>
      <c r="AG15" s="1081"/>
      <c r="AH15" s="3242"/>
      <c r="AI15" s="292"/>
      <c r="AJ15" s="780"/>
      <c r="AK15" s="808"/>
      <c r="AL15" s="808"/>
      <c r="AM15" s="808"/>
      <c r="AN15" s="808"/>
      <c r="AO15" s="808"/>
      <c r="AP15" s="808"/>
      <c r="AQ15" s="2038"/>
      <c r="AR15" s="2038"/>
      <c r="AS15" s="2038"/>
      <c r="AT15" s="2038"/>
      <c r="AU15" s="2038"/>
      <c r="AV15" s="2038"/>
      <c r="AW15" s="2038"/>
      <c r="AX15" s="2038"/>
      <c r="AY15" s="2038"/>
      <c r="AZ15" s="2038"/>
    </row>
    <row r="16" spans="1:52" ht="13.5" customHeight="1" thickBot="1">
      <c r="A16" s="394"/>
      <c r="B16" s="22"/>
      <c r="C16" s="2139" t="s">
        <v>644</v>
      </c>
      <c r="D16" s="61" t="s">
        <v>3067</v>
      </c>
      <c r="E16" s="22"/>
      <c r="F16" s="22"/>
      <c r="G16" s="22"/>
      <c r="H16" s="22"/>
      <c r="I16" s="22"/>
      <c r="J16" s="22"/>
      <c r="K16" s="22"/>
      <c r="L16" s="22"/>
      <c r="M16" s="22"/>
      <c r="N16" s="22"/>
      <c r="O16" s="22"/>
      <c r="P16" s="22"/>
      <c r="Q16" s="22"/>
      <c r="R16" s="22"/>
      <c r="S16" s="22"/>
      <c r="T16" s="22"/>
      <c r="U16" s="22"/>
      <c r="V16" s="22"/>
      <c r="W16" s="289"/>
      <c r="X16" s="7841" t="str">
        <f>IF('Sch. F'!AB24="","",'Sch. F'!AB24)</f>
        <v/>
      </c>
      <c r="Y16" s="7694"/>
      <c r="Z16" s="7694"/>
      <c r="AA16" s="66"/>
      <c r="AB16" s="1988"/>
      <c r="AC16" s="292"/>
      <c r="AD16" s="3820" t="s">
        <v>3068</v>
      </c>
      <c r="AE16" s="1240"/>
      <c r="AF16" s="1240"/>
      <c r="AG16" s="1240"/>
      <c r="AH16" s="1240"/>
      <c r="AI16" s="292"/>
      <c r="AJ16" s="780"/>
      <c r="AK16" s="808"/>
      <c r="AL16" s="808"/>
      <c r="AM16" s="808"/>
      <c r="AN16" s="808"/>
      <c r="AO16" s="808"/>
      <c r="AP16" s="808"/>
      <c r="AQ16" s="2038"/>
      <c r="AR16" s="2038"/>
      <c r="AS16" s="2038"/>
      <c r="AT16" s="2038"/>
      <c r="AU16" s="2038"/>
      <c r="AV16" s="2038"/>
      <c r="AW16" s="2038"/>
      <c r="AX16" s="2038"/>
      <c r="AY16" s="2038"/>
      <c r="AZ16" s="2038"/>
    </row>
    <row r="17" spans="1:52" ht="13.5" customHeight="1" thickBot="1">
      <c r="A17" s="394"/>
      <c r="B17" s="103"/>
      <c r="C17" s="3908"/>
      <c r="D17" s="688" t="s">
        <v>3069</v>
      </c>
      <c r="E17" s="103"/>
      <c r="F17" s="103"/>
      <c r="G17" s="103"/>
      <c r="H17" s="103"/>
      <c r="I17" s="103"/>
      <c r="J17" s="103"/>
      <c r="K17" s="103"/>
      <c r="L17" s="103"/>
      <c r="M17" s="103"/>
      <c r="N17" s="103"/>
      <c r="O17" s="103"/>
      <c r="P17" s="103"/>
      <c r="Q17" s="103"/>
      <c r="R17" s="103"/>
      <c r="S17" s="103"/>
      <c r="T17" s="103"/>
      <c r="U17" s="103"/>
      <c r="V17" s="960"/>
      <c r="W17" s="5675" t="s">
        <v>365</v>
      </c>
      <c r="X17" s="7839" t="str">
        <f>IF(AB17&lt;&gt;"",-ROUND(ABS(AB17),0),IF(OR(FarmOptMeth1,AND(NOT(AJ5),NOT(AJ7))),"",IF(AH17&lt;&gt;"",-ABS(ROUND(AH17,0)),"")))</f>
        <v/>
      </c>
      <c r="Y17" s="7840"/>
      <c r="Z17" s="7840"/>
      <c r="AA17" s="441"/>
      <c r="AB17" s="2642"/>
      <c r="AC17" s="292"/>
      <c r="AD17" s="3813" t="s">
        <v>3070</v>
      </c>
      <c r="AE17" s="1081"/>
      <c r="AF17" s="1081"/>
      <c r="AG17" s="3801"/>
      <c r="AH17" s="3242"/>
      <c r="AI17" s="292"/>
      <c r="AJ17" s="780" t="b">
        <f>AND(FALSE,OR(AB17&gt;0,AH17&gt;0))</f>
        <v>0</v>
      </c>
      <c r="AK17" s="808"/>
      <c r="AL17" s="808"/>
      <c r="AM17" s="808"/>
      <c r="AN17" s="808"/>
      <c r="AO17" s="808"/>
      <c r="AP17" s="808"/>
      <c r="AQ17" s="2038"/>
      <c r="AR17" s="2038"/>
      <c r="AS17" s="2038"/>
      <c r="AT17" s="2038"/>
      <c r="AU17" s="2038"/>
      <c r="AV17" s="2038"/>
      <c r="AW17" s="2038"/>
      <c r="AX17" s="2038"/>
      <c r="AY17" s="2038"/>
      <c r="AZ17" s="2038"/>
    </row>
    <row r="18" spans="1:52" s="407" customFormat="1" ht="20.25" customHeight="1" thickBot="1">
      <c r="A18" s="424"/>
      <c r="B18" s="1715" t="s">
        <v>3071</v>
      </c>
      <c r="C18" s="3786"/>
      <c r="D18" s="3786"/>
      <c r="E18" s="1715"/>
      <c r="F18" s="103"/>
      <c r="G18" s="103"/>
      <c r="H18" s="103"/>
      <c r="I18" s="103"/>
      <c r="J18" s="103"/>
      <c r="K18" s="103"/>
      <c r="L18" s="103"/>
      <c r="M18" s="103"/>
      <c r="N18" s="103"/>
      <c r="O18" s="103"/>
      <c r="P18" s="103"/>
      <c r="Q18" s="103"/>
      <c r="R18" s="103"/>
      <c r="S18" s="103"/>
      <c r="T18" s="103"/>
      <c r="U18" s="103"/>
      <c r="V18" s="103"/>
      <c r="W18" s="3818"/>
      <c r="X18" s="7776"/>
      <c r="Y18" s="7777"/>
      <c r="Z18" s="7777"/>
      <c r="AA18" s="441"/>
      <c r="AB18" s="7798" t="str">
        <f>IF(AN35,"See NOTE regarding Statutory Employee profit/loss.","")</f>
        <v/>
      </c>
      <c r="AC18" s="292"/>
      <c r="AD18" s="292"/>
      <c r="AE18" s="292"/>
      <c r="AF18" s="292"/>
      <c r="AG18" s="292"/>
      <c r="AH18" s="292"/>
      <c r="AI18" s="295"/>
      <c r="AJ18" s="1245"/>
      <c r="AK18" s="1382"/>
      <c r="AL18" s="1382"/>
      <c r="AM18" s="1382"/>
      <c r="AN18" s="1382"/>
      <c r="AO18" s="1382"/>
      <c r="AP18" s="1382"/>
      <c r="AQ18" s="2045"/>
      <c r="AR18" s="2045"/>
      <c r="AS18" s="2045"/>
      <c r="AT18" s="2045"/>
      <c r="AU18" s="2045"/>
      <c r="AV18" s="2045"/>
      <c r="AW18" s="2045"/>
      <c r="AX18" s="2045"/>
      <c r="AY18" s="2045"/>
      <c r="AZ18" s="2045"/>
    </row>
    <row r="19" spans="1:52" ht="13.5" thickBot="1">
      <c r="A19" s="394"/>
      <c r="B19" s="22"/>
      <c r="C19" s="37">
        <v>2</v>
      </c>
      <c r="D19" s="61" t="s">
        <v>3072</v>
      </c>
      <c r="E19" s="22"/>
      <c r="F19" s="22"/>
      <c r="G19" s="22"/>
      <c r="H19" s="22"/>
      <c r="I19" s="22"/>
      <c r="J19" s="22"/>
      <c r="K19" s="22"/>
      <c r="L19" s="22"/>
      <c r="M19" s="22"/>
      <c r="N19" s="22"/>
      <c r="O19" s="22"/>
      <c r="P19" s="22"/>
      <c r="Q19" s="22"/>
      <c r="R19" s="22"/>
      <c r="S19" s="22"/>
      <c r="T19" s="22"/>
      <c r="U19" s="22"/>
      <c r="V19" s="22"/>
      <c r="W19" s="291"/>
      <c r="X19" s="7846"/>
      <c r="Y19" s="7847"/>
      <c r="Z19" s="7847"/>
      <c r="AA19" s="66"/>
      <c r="AB19" s="7799"/>
      <c r="AC19" s="292"/>
      <c r="AD19" s="3820" t="s">
        <v>3073</v>
      </c>
      <c r="AE19" s="3821"/>
      <c r="AF19" s="3821"/>
      <c r="AG19" s="3821"/>
      <c r="AH19" s="3822"/>
      <c r="AI19" s="295"/>
      <c r="AJ19" s="780"/>
      <c r="AK19" s="808" t="b">
        <f>OR(AB15&lt;&gt;"",AB17&lt;&gt;"",AB20&lt;&gt;"",AH15&lt;&gt;"",AH17&lt;&gt;"", AH20&lt;&gt;"",AB21&lt;&gt;"",X52&lt;&gt;"",X58&lt;&gt;"")</f>
        <v>0</v>
      </c>
      <c r="AL19" s="808"/>
      <c r="AM19" s="808"/>
      <c r="AN19" s="808"/>
      <c r="AO19" s="808"/>
      <c r="AP19" s="808"/>
      <c r="AQ19" s="2038"/>
      <c r="AR19" s="2038"/>
      <c r="AS19" s="2038"/>
      <c r="AT19" s="2038"/>
      <c r="AU19" s="2038"/>
      <c r="AV19" s="2038"/>
      <c r="AW19" s="2038"/>
      <c r="AX19" s="2038"/>
      <c r="AY19" s="2038"/>
      <c r="AZ19" s="2038"/>
    </row>
    <row r="20" spans="1:52" ht="13.5" thickBot="1">
      <c r="A20" s="394"/>
      <c r="B20" s="22"/>
      <c r="C20" s="37"/>
      <c r="D20" s="688" t="s">
        <v>3074</v>
      </c>
      <c r="E20" s="22"/>
      <c r="F20" s="22"/>
      <c r="G20" s="22"/>
      <c r="H20" s="22"/>
      <c r="I20" s="22"/>
      <c r="J20" s="22"/>
      <c r="K20" s="22"/>
      <c r="L20" s="22"/>
      <c r="M20" s="22"/>
      <c r="N20" s="22"/>
      <c r="O20" s="22"/>
      <c r="P20" s="22"/>
      <c r="Q20" s="22"/>
      <c r="R20" s="22"/>
      <c r="S20" s="22"/>
      <c r="T20" s="22"/>
      <c r="U20" s="22"/>
      <c r="V20" s="960"/>
      <c r="W20" s="3788">
        <v>2</v>
      </c>
      <c r="X20" s="7786" t="str">
        <f>IF(AB20&lt;&gt;"",ROUND(AB20,0),IF($AJ$6,"Need SSN.",IF(NonFarmOptMeth1,"",IF(AND(AJ5,AJ7),SUM(AN33,ROUND(AH20,0)),IF(AJ5,SUM(AL33,ROUND(AH20,0)),IF(AJ7,SUM(AM33,ROUND(AH20,0)),""))))))</f>
        <v/>
      </c>
      <c r="Y20" s="7787"/>
      <c r="Z20" s="7787"/>
      <c r="AA20" s="66"/>
      <c r="AB20" s="2642"/>
      <c r="AC20" s="3819"/>
      <c r="AD20" s="3813" t="s">
        <v>3075</v>
      </c>
      <c r="AE20" s="1081"/>
      <c r="AF20" s="1081"/>
      <c r="AG20" s="3801"/>
      <c r="AH20" s="3242"/>
      <c r="AI20" s="292"/>
      <c r="AJ20" s="780">
        <v>400</v>
      </c>
      <c r="AK20" s="2589">
        <f>IF(AB20&lt;&gt;"",ROUND(AB20,0),IF(AND(AH15&lt;&gt;"",SchC_StatutoryEmp_1=""),SUM(ROUND(AH15,0),SchC_ProfitLoss1),IF(AND(AH15&lt;&gt;"",SchC_StatutoryEmp_1=""),SUM(ROUND(AH15,0),SchC_ProfitLoss1),IF(SchC_StatutoryEmp_1="",SchC_ProfitLoss1,0))))</f>
        <v>0</v>
      </c>
      <c r="AL20" s="2589"/>
      <c r="AM20" s="2589"/>
      <c r="AN20" s="2589"/>
      <c r="AO20" s="2589"/>
      <c r="AP20" s="2589"/>
      <c r="AQ20" s="2038"/>
      <c r="AR20" s="2038"/>
      <c r="AS20" s="2038"/>
      <c r="AT20" s="2038"/>
      <c r="AU20" s="2038"/>
      <c r="AV20" s="2038"/>
      <c r="AW20" s="2038"/>
      <c r="AX20" s="2038"/>
      <c r="AY20" s="2038"/>
      <c r="AZ20" s="2038"/>
    </row>
    <row r="21" spans="1:52" ht="13.5" thickBot="1">
      <c r="A21" s="394"/>
      <c r="B21" s="103"/>
      <c r="C21" s="3908">
        <v>3</v>
      </c>
      <c r="D21" s="61" t="s">
        <v>3076</v>
      </c>
      <c r="E21" s="103"/>
      <c r="F21" s="103"/>
      <c r="G21" s="103"/>
      <c r="H21" s="103"/>
      <c r="I21" s="103"/>
      <c r="J21" s="103"/>
      <c r="K21" s="103"/>
      <c r="L21" s="103"/>
      <c r="M21" s="103"/>
      <c r="N21" s="103"/>
      <c r="O21" s="103"/>
      <c r="P21" s="103"/>
      <c r="Q21" s="103"/>
      <c r="R21" s="103"/>
      <c r="S21" s="103"/>
      <c r="T21" s="103"/>
      <c r="U21" s="103"/>
      <c r="V21" s="960" t="s">
        <v>722</v>
      </c>
      <c r="W21" s="5675">
        <v>3</v>
      </c>
      <c r="X21" s="7786">
        <f>IF(AB21&lt;&gt;"",ROUND(AB21,0),SUM(X15,X17,X20))</f>
        <v>0</v>
      </c>
      <c r="Y21" s="7787"/>
      <c r="Z21" s="7787"/>
      <c r="AA21" s="441"/>
      <c r="AB21" s="2642"/>
      <c r="AC21" s="292"/>
      <c r="AD21" s="292"/>
      <c r="AE21" s="292"/>
      <c r="AF21" s="292"/>
      <c r="AG21" s="292"/>
      <c r="AH21" s="292"/>
      <c r="AI21" s="3391"/>
      <c r="AJ21" s="780">
        <v>434</v>
      </c>
      <c r="AK21" s="2807">
        <f>IF(AB23&gt;"",ROUND(AB23,0),ROUND((AK20*AJ22),0))</f>
        <v>0</v>
      </c>
      <c r="AL21" s="2807"/>
      <c r="AM21" s="2807"/>
      <c r="AN21" s="2807"/>
      <c r="AO21" s="2807"/>
      <c r="AP21" s="2807"/>
      <c r="AQ21" s="2038"/>
      <c r="AR21" s="2038"/>
      <c r="AS21" s="2038"/>
      <c r="AT21" s="2038"/>
      <c r="AU21" s="2038"/>
      <c r="AV21" s="2038"/>
      <c r="AW21" s="2038"/>
      <c r="AX21" s="2038"/>
      <c r="AY21" s="2038"/>
      <c r="AZ21" s="2038"/>
    </row>
    <row r="22" spans="1:52" ht="13.5" customHeight="1" thickBot="1">
      <c r="A22" s="394"/>
      <c r="B22" s="22"/>
      <c r="C22" s="872" t="s">
        <v>643</v>
      </c>
      <c r="D22" s="22" t="str">
        <f>"If line 3 is more than zero, multiply line 3 by "&amp;TEXT(AJ22,"0.00%")&amp;" ("&amp;TEXT(AJ22,"0.0000")&amp;")."</f>
        <v>If line 3 is more than zero, multiply line 3 by 92.35% (0.9235).</v>
      </c>
      <c r="E22" s="23"/>
      <c r="F22" s="22"/>
      <c r="G22" s="22"/>
      <c r="H22" s="22"/>
      <c r="I22" s="61"/>
      <c r="J22" s="22"/>
      <c r="K22" s="22"/>
      <c r="L22" s="22"/>
      <c r="M22" s="22"/>
      <c r="N22" s="61" t="s">
        <v>3077</v>
      </c>
      <c r="O22" s="22"/>
      <c r="P22" s="61"/>
      <c r="Q22" s="22"/>
      <c r="R22" s="22"/>
      <c r="S22" s="22"/>
      <c r="T22" s="22"/>
      <c r="U22" s="22"/>
      <c r="V22" s="22"/>
      <c r="W22" s="48"/>
      <c r="X22" s="7784"/>
      <c r="Y22" s="7785"/>
      <c r="Z22" s="7785"/>
      <c r="AA22" s="66"/>
      <c r="AB22" s="549"/>
      <c r="AC22" s="292"/>
      <c r="AD22" s="7857" t="str">
        <f>IF(AN35,"NOTE: Statutory Employee profit/loss from Sch. C."&amp;CHAR(10)&amp;"has been excluded from Line 2.  See IRS instructions.","")</f>
        <v/>
      </c>
      <c r="AE22" s="7857"/>
      <c r="AF22" s="7857"/>
      <c r="AG22" s="7857"/>
      <c r="AH22" s="7857"/>
      <c r="AI22" s="292"/>
      <c r="AJ22" s="780">
        <v>0.92349999999999999</v>
      </c>
      <c r="AK22" s="2807">
        <f>IF(AND(X23&lt;AJ20,X17&lt;&gt;""),SUM(X15,X20),0)</f>
        <v>0</v>
      </c>
      <c r="AL22" s="2807"/>
      <c r="AM22" s="2807"/>
      <c r="AN22" s="2807"/>
      <c r="AO22" s="2807"/>
      <c r="AP22" s="2807"/>
      <c r="AQ22" s="2038"/>
      <c r="AR22" s="2038"/>
      <c r="AS22" s="2038"/>
      <c r="AT22" s="2038"/>
      <c r="AU22" s="2038"/>
      <c r="AV22" s="2038"/>
      <c r="AW22" s="2038"/>
      <c r="AX22" s="2038"/>
      <c r="AY22" s="2038"/>
      <c r="AZ22" s="2038"/>
    </row>
    <row r="23" spans="1:52" ht="13.5" thickBot="1">
      <c r="A23" s="394"/>
      <c r="B23" s="23" t="s">
        <v>2224</v>
      </c>
      <c r="C23" s="61"/>
      <c r="D23" s="61" t="str">
        <f>"If line 4a is less than "&amp;TEXT(AJ20,"$0")&amp;" due to Conservation Reserve Program payments on line 1b, see instructions"</f>
        <v>If line 4a is less than $400 due to Conservation Reserve Program payments on line 1b, see instructions</v>
      </c>
      <c r="E23" s="23"/>
      <c r="F23" s="61"/>
      <c r="G23" s="22"/>
      <c r="H23" s="22"/>
      <c r="I23" s="22"/>
      <c r="J23" s="22"/>
      <c r="K23" s="22"/>
      <c r="L23" s="22"/>
      <c r="M23" s="22"/>
      <c r="N23" s="22"/>
      <c r="O23" s="22"/>
      <c r="P23" s="22"/>
      <c r="Q23" s="22"/>
      <c r="R23" s="22"/>
      <c r="S23" s="22"/>
      <c r="T23" s="22"/>
      <c r="U23" s="960"/>
      <c r="V23" s="5971" t="s">
        <v>5626</v>
      </c>
      <c r="W23" s="3788" t="s">
        <v>643</v>
      </c>
      <c r="X23" s="7788">
        <f>IF(AB23&lt;&gt;"",ROUND(AB23,0),IF(X21&gt;0,ROUND((X21*AJ22),0),X21))</f>
        <v>0</v>
      </c>
      <c r="Y23" s="7789"/>
      <c r="Z23" s="7789"/>
      <c r="AA23" s="66"/>
      <c r="AB23" s="2642"/>
      <c r="AC23" s="292"/>
      <c r="AD23" s="7857"/>
      <c r="AE23" s="7857"/>
      <c r="AF23" s="7857"/>
      <c r="AG23" s="7857"/>
      <c r="AH23" s="7857"/>
      <c r="AI23" s="292"/>
      <c r="AJ23" s="3799">
        <v>137700</v>
      </c>
      <c r="AK23" s="780" t="b">
        <f>AND(S28&lt;&gt;"",S28&gt;0)</f>
        <v>0</v>
      </c>
      <c r="AL23" s="780" t="b">
        <v>1</v>
      </c>
      <c r="AM23" s="780"/>
      <c r="AN23" s="2807"/>
      <c r="AO23" s="2807"/>
      <c r="AP23" s="2807"/>
      <c r="AQ23" s="2038"/>
      <c r="AR23" s="2038"/>
      <c r="AS23" s="2038"/>
      <c r="AT23" s="2038"/>
      <c r="AU23" s="2038"/>
      <c r="AV23" s="2038"/>
      <c r="AW23" s="2038"/>
      <c r="AX23" s="2038"/>
      <c r="AY23" s="2038"/>
      <c r="AZ23" s="2038"/>
    </row>
    <row r="24" spans="1:52">
      <c r="A24" s="394"/>
      <c r="B24" s="22"/>
      <c r="C24" s="37" t="s">
        <v>644</v>
      </c>
      <c r="D24" s="61" t="s">
        <v>3078</v>
      </c>
      <c r="E24" s="23"/>
      <c r="F24" s="22"/>
      <c r="G24" s="22"/>
      <c r="H24" s="22"/>
      <c r="I24" s="22"/>
      <c r="J24" s="22"/>
      <c r="K24" s="22"/>
      <c r="L24" s="22"/>
      <c r="M24" s="22"/>
      <c r="N24" s="22"/>
      <c r="O24" s="22"/>
      <c r="P24" s="22"/>
      <c r="Q24" s="22"/>
      <c r="R24" s="22"/>
      <c r="S24" s="22"/>
      <c r="T24" s="22"/>
      <c r="U24" s="960"/>
      <c r="V24" s="960" t="s">
        <v>684</v>
      </c>
      <c r="W24" s="3788" t="s">
        <v>2830</v>
      </c>
      <c r="X24" s="7788" t="str">
        <f>IF(OR(FarmOptMeth1,NonFarmOptMeth1),SUM(X52,X58),"")</f>
        <v/>
      </c>
      <c r="Y24" s="7789"/>
      <c r="Z24" s="7789"/>
      <c r="AA24" s="66"/>
      <c r="AB24" s="3815" t="str">
        <f>IF(AK24,"IF line 4c is &lt;"&amp;TEXT(AJ20,"$0")&amp;",","")</f>
        <v>IF line 4c is &lt;$400,</v>
      </c>
      <c r="AC24" s="292"/>
      <c r="AD24" s="292"/>
      <c r="AE24" s="292"/>
      <c r="AF24" s="292"/>
      <c r="AG24" s="292"/>
      <c r="AH24" s="292"/>
      <c r="AI24" s="292"/>
      <c r="AJ24" s="780">
        <v>2.9000000000000001E-2</v>
      </c>
      <c r="AK24" s="2807" t="b">
        <f>AND(NOT(AK23),SUM(X23,X24)&lt;AJ20)</f>
        <v>1</v>
      </c>
      <c r="AL24" s="3800" t="s">
        <v>3079</v>
      </c>
      <c r="AM24" s="2807"/>
      <c r="AN24" s="3800"/>
      <c r="AO24" s="3800"/>
      <c r="AP24" s="3800"/>
      <c r="AQ24" s="2038"/>
      <c r="AR24" s="2038"/>
      <c r="AS24" s="2038"/>
      <c r="AT24" s="2038"/>
      <c r="AU24" s="2038"/>
      <c r="AV24" s="2038"/>
      <c r="AW24" s="2038"/>
      <c r="AX24" s="2038"/>
      <c r="AY24" s="2038"/>
      <c r="AZ24" s="2038"/>
    </row>
    <row r="25" spans="1:52">
      <c r="A25" s="394"/>
      <c r="B25" s="22"/>
      <c r="C25" s="37" t="s">
        <v>648</v>
      </c>
      <c r="D25" s="61" t="str">
        <f>"Combine  lines 4a and 4b. If less than "&amp;TEXT(AJ20,"$0")&amp;","</f>
        <v>Combine  lines 4a and 4b. If less than $400,</v>
      </c>
      <c r="E25" s="23"/>
      <c r="F25" s="22"/>
      <c r="G25" s="22"/>
      <c r="H25" s="22"/>
      <c r="I25" s="22"/>
      <c r="J25" s="22"/>
      <c r="K25" s="61" t="s">
        <v>3080</v>
      </c>
      <c r="L25" s="22"/>
      <c r="M25" s="22"/>
      <c r="N25" s="22"/>
      <c r="O25" s="22"/>
      <c r="P25" s="22"/>
      <c r="Q25" s="22"/>
      <c r="R25" s="22"/>
      <c r="S25" s="22"/>
      <c r="T25" s="22"/>
      <c r="U25" s="960"/>
      <c r="V25" s="960"/>
      <c r="W25" s="5676"/>
      <c r="X25" s="7794"/>
      <c r="Y25" s="7795"/>
      <c r="Z25" s="7795"/>
      <c r="AA25" s="66"/>
      <c r="AB25" s="3815" t="str">
        <f>IF(AK24,"STOP you don't owe","")</f>
        <v>STOP you don't owe</v>
      </c>
      <c r="AC25" s="780"/>
      <c r="AD25" s="780"/>
      <c r="AE25" s="780"/>
      <c r="AF25" s="780"/>
      <c r="AG25" s="780"/>
      <c r="AH25" s="780"/>
      <c r="AI25" s="780"/>
      <c r="AJ25" s="2276">
        <v>16479.599999999999</v>
      </c>
      <c r="AK25" s="3800" t="b">
        <f>AND(AK23,SUM(X23,X24)&lt;AJ20)</f>
        <v>0</v>
      </c>
      <c r="AL25" s="3800" t="s">
        <v>3081</v>
      </c>
      <c r="AM25" s="3800"/>
      <c r="AN25" s="780"/>
      <c r="AO25" s="780"/>
      <c r="AP25" s="780"/>
      <c r="AQ25" s="2038"/>
      <c r="AR25" s="2038"/>
      <c r="AS25" s="2038"/>
      <c r="AT25" s="2038"/>
      <c r="AU25" s="2038"/>
      <c r="AV25" s="2038"/>
      <c r="AW25" s="2038"/>
      <c r="AX25" s="2038"/>
      <c r="AY25" s="2038"/>
      <c r="AZ25" s="2038"/>
    </row>
    <row r="26" spans="1:52">
      <c r="A26" s="394"/>
      <c r="B26" s="22"/>
      <c r="C26" s="37"/>
      <c r="D26" s="61" t="str">
        <f>"less than "&amp;TEXT(AJ20,"$0")&amp;" and"</f>
        <v>less than $400 and</v>
      </c>
      <c r="E26" s="23"/>
      <c r="F26" s="22"/>
      <c r="G26" s="61" t="s">
        <v>3082</v>
      </c>
      <c r="H26" s="22"/>
      <c r="I26" s="22"/>
      <c r="J26" s="22"/>
      <c r="K26" s="22"/>
      <c r="L26" s="22"/>
      <c r="M26" s="22"/>
      <c r="N26" s="22"/>
      <c r="O26" s="22"/>
      <c r="P26" s="22"/>
      <c r="Q26" s="22"/>
      <c r="R26" s="22"/>
      <c r="S26" s="22"/>
      <c r="T26" s="22"/>
      <c r="U26" s="960"/>
      <c r="V26" s="960" t="s">
        <v>746</v>
      </c>
      <c r="W26" s="3788" t="s">
        <v>3083</v>
      </c>
      <c r="X26" s="7788">
        <f>IF(AK25,0,SUM(X23,X24))</f>
        <v>0</v>
      </c>
      <c r="Y26" s="7789"/>
      <c r="Z26" s="7789"/>
      <c r="AA26" s="66"/>
      <c r="AB26" s="3815" t="str">
        <f>IF(AK24,"self employment tax.","")</f>
        <v>self employment tax.</v>
      </c>
      <c r="AC26" s="780"/>
      <c r="AD26" s="780"/>
      <c r="AE26" s="780"/>
      <c r="AF26" s="780"/>
      <c r="AG26" s="780"/>
      <c r="AH26" s="780"/>
      <c r="AI26" s="780"/>
      <c r="AJ26" s="780">
        <v>0.153</v>
      </c>
      <c r="AK26" s="780"/>
      <c r="AL26" s="780"/>
      <c r="AM26" s="780"/>
      <c r="AN26" s="780"/>
      <c r="AO26" s="780"/>
      <c r="AP26" s="780"/>
      <c r="AQ26" s="2038"/>
      <c r="AR26" s="2038"/>
      <c r="AS26" s="2038"/>
      <c r="AT26" s="2038"/>
      <c r="AU26" s="2038"/>
      <c r="AV26" s="2038"/>
      <c r="AW26" s="2038"/>
      <c r="AX26" s="2038"/>
      <c r="AY26" s="2038"/>
      <c r="AZ26" s="2038"/>
    </row>
    <row r="27" spans="1:52">
      <c r="A27" s="394"/>
      <c r="B27" s="22"/>
      <c r="C27" s="872" t="s">
        <v>682</v>
      </c>
      <c r="D27" s="61" t="s">
        <v>3084</v>
      </c>
      <c r="E27" s="23"/>
      <c r="F27" s="22"/>
      <c r="G27" s="22"/>
      <c r="H27" s="22"/>
      <c r="I27" s="22"/>
      <c r="J27" s="22"/>
      <c r="K27" s="22"/>
      <c r="L27" s="22" t="s">
        <v>3085</v>
      </c>
      <c r="M27" s="22"/>
      <c r="N27" s="22"/>
      <c r="O27" s="22"/>
      <c r="P27" s="22"/>
      <c r="Q27" s="22"/>
      <c r="R27" s="1669"/>
      <c r="S27" s="7869"/>
      <c r="T27" s="7870"/>
      <c r="U27" s="7870"/>
      <c r="V27" s="7871"/>
      <c r="W27" s="5676"/>
      <c r="X27" s="7792"/>
      <c r="Y27" s="7793"/>
      <c r="Z27" s="7793"/>
      <c r="AA27" s="66"/>
      <c r="AB27" s="3657"/>
      <c r="AC27" s="780"/>
      <c r="AD27" s="780"/>
      <c r="AE27" s="780"/>
      <c r="AF27" s="780"/>
      <c r="AG27" s="780"/>
      <c r="AH27" s="780"/>
      <c r="AI27" s="780"/>
      <c r="AJ27" s="780">
        <v>6.2E-2</v>
      </c>
      <c r="AK27" s="780"/>
      <c r="AL27" s="780"/>
      <c r="AM27" s="780"/>
      <c r="AN27" s="780"/>
      <c r="AO27" s="780"/>
      <c r="AP27" s="780"/>
      <c r="AQ27" s="2038"/>
      <c r="AR27" s="2038"/>
      <c r="AS27" s="2038"/>
      <c r="AT27" s="2038"/>
      <c r="AU27" s="2038"/>
      <c r="AV27" s="2038"/>
      <c r="AW27" s="2038"/>
      <c r="AX27" s="2038"/>
      <c r="AY27" s="2038"/>
      <c r="AZ27" s="2038"/>
    </row>
    <row r="28" spans="1:52">
      <c r="A28" s="394"/>
      <c r="B28" s="22"/>
      <c r="C28" s="37"/>
      <c r="D28" s="61" t="s">
        <v>3086</v>
      </c>
      <c r="E28" s="23"/>
      <c r="F28" s="22"/>
      <c r="G28" s="22"/>
      <c r="H28" s="22"/>
      <c r="I28" s="22"/>
      <c r="J28" s="22"/>
      <c r="K28" s="22"/>
      <c r="L28" s="22"/>
      <c r="M28" s="22"/>
      <c r="N28" s="22"/>
      <c r="O28" s="22"/>
      <c r="P28" s="22"/>
      <c r="Q28" s="960" t="s">
        <v>642</v>
      </c>
      <c r="R28" s="1656" t="s">
        <v>682</v>
      </c>
      <c r="S28" s="7842"/>
      <c r="T28" s="7843"/>
      <c r="U28" s="7843"/>
      <c r="V28" s="7844"/>
      <c r="W28" s="5676"/>
      <c r="X28" s="7790">
        <f>ROUND(S28,0)</f>
        <v>0</v>
      </c>
      <c r="Y28" s="7791"/>
      <c r="Z28" s="7791"/>
      <c r="AA28" s="66"/>
      <c r="AB28" s="4157"/>
      <c r="AC28" s="780"/>
      <c r="AD28" s="780"/>
      <c r="AE28" s="780"/>
      <c r="AF28" s="780"/>
      <c r="AG28" s="780"/>
      <c r="AH28" s="780"/>
      <c r="AI28" s="780"/>
      <c r="AJ28" s="780">
        <v>7.6499999999999999E-2</v>
      </c>
      <c r="AK28" s="780"/>
      <c r="AL28" s="780"/>
      <c r="AM28" s="780"/>
      <c r="AN28" s="780"/>
      <c r="AO28" s="780"/>
      <c r="AP28" s="780"/>
      <c r="AQ28" s="2038"/>
      <c r="AR28" s="2038"/>
      <c r="AS28" s="2038"/>
      <c r="AT28" s="2038"/>
      <c r="AU28" s="2038"/>
      <c r="AV28" s="2038"/>
      <c r="AW28" s="2038"/>
      <c r="AX28" s="2038"/>
      <c r="AY28" s="2038"/>
      <c r="AZ28" s="2038"/>
    </row>
    <row r="29" spans="1:52" ht="13.5" thickBot="1">
      <c r="A29" s="394"/>
      <c r="B29" s="22"/>
      <c r="C29" s="37" t="s">
        <v>644</v>
      </c>
      <c r="D29" s="61" t="str">
        <f>"Multiply line 5a by "&amp;TEXT(AC29,"0.00%")&amp;" ("&amp;TEXT(AC29,"0.0000")&amp;"). If less than "&amp;TEXT(AC30,"$0")&amp;", enter -0-"</f>
        <v>Multiply line 5a by 92.35% (0.9235). If less than $100, enter -0-</v>
      </c>
      <c r="E29" s="23"/>
      <c r="F29" s="22"/>
      <c r="G29" s="22"/>
      <c r="H29" s="22"/>
      <c r="I29" s="22"/>
      <c r="J29" s="22"/>
      <c r="K29" s="22"/>
      <c r="L29" s="22"/>
      <c r="M29" s="22"/>
      <c r="N29" s="22"/>
      <c r="O29" s="22"/>
      <c r="P29" s="22"/>
      <c r="Q29" s="805"/>
      <c r="R29" s="805"/>
      <c r="S29" s="5972"/>
      <c r="T29" s="5972"/>
      <c r="U29" s="5972"/>
      <c r="V29" s="960" t="s">
        <v>642</v>
      </c>
      <c r="W29" s="3817" t="s">
        <v>1119</v>
      </c>
      <c r="X29" s="7796" t="str">
        <f>IF(ChurchEmployeeIncome1="","",IF(ROUND(X28*AC29,0)&lt;AC30,0,ROUND(X28*AC29,0)))</f>
        <v/>
      </c>
      <c r="Y29" s="7797"/>
      <c r="Z29" s="7797"/>
      <c r="AA29" s="66"/>
      <c r="AB29" s="4158"/>
      <c r="AC29" s="7774">
        <v>0.92349999999999999</v>
      </c>
      <c r="AD29" s="7774"/>
      <c r="AE29" s="780"/>
      <c r="AF29" s="780"/>
      <c r="AG29" s="780"/>
      <c r="AH29" s="780"/>
      <c r="AI29" s="780"/>
      <c r="AJ29" s="780"/>
      <c r="AK29" s="3417"/>
      <c r="AL29" s="3823"/>
      <c r="AM29" s="3823"/>
      <c r="AN29" s="3823"/>
      <c r="AO29" s="780"/>
      <c r="AP29" s="780"/>
      <c r="AQ29" s="2038"/>
      <c r="AR29" s="2038"/>
      <c r="AS29" s="2038"/>
      <c r="AT29" s="2038"/>
      <c r="AU29" s="2038"/>
      <c r="AV29" s="2038"/>
      <c r="AW29" s="2038"/>
      <c r="AX29" s="2038"/>
      <c r="AY29" s="2038"/>
      <c r="AZ29" s="2038"/>
    </row>
    <row r="30" spans="1:52" ht="12.75" customHeight="1" thickBot="1">
      <c r="A30" s="394"/>
      <c r="B30" s="22"/>
      <c r="C30" s="872">
        <v>6</v>
      </c>
      <c r="D30" s="61" t="s">
        <v>3087</v>
      </c>
      <c r="E30" s="23"/>
      <c r="F30" s="22"/>
      <c r="G30" s="22"/>
      <c r="H30" s="22"/>
      <c r="I30" s="22"/>
      <c r="J30" s="22"/>
      <c r="K30" s="22"/>
      <c r="L30" s="22"/>
      <c r="M30" s="22"/>
      <c r="N30" s="22"/>
      <c r="O30" s="22"/>
      <c r="P30" s="22"/>
      <c r="Q30" s="22"/>
      <c r="R30" s="22"/>
      <c r="S30" s="22"/>
      <c r="T30" s="22"/>
      <c r="U30" s="960"/>
      <c r="V30" s="960" t="s">
        <v>2490</v>
      </c>
      <c r="W30" s="3788">
        <v>6</v>
      </c>
      <c r="X30" s="7788" t="str">
        <f>IF(AB30&lt;&gt;"",ROUND(AB30,0),IF(AK24,"",SUM(X26,X29)))</f>
        <v/>
      </c>
      <c r="Y30" s="7789"/>
      <c r="Z30" s="7789"/>
      <c r="AA30" s="66"/>
      <c r="AB30" s="2642"/>
      <c r="AC30" s="7775">
        <v>100</v>
      </c>
      <c r="AD30" s="7774"/>
      <c r="AE30" s="780"/>
      <c r="AF30" s="780"/>
      <c r="AG30" s="780"/>
      <c r="AH30" s="780"/>
      <c r="AI30" s="780"/>
      <c r="AJ30" s="1239"/>
      <c r="AK30" s="1240"/>
      <c r="AL30" s="3900" t="s">
        <v>605</v>
      </c>
      <c r="AM30" s="3901" t="s">
        <v>606</v>
      </c>
      <c r="AN30" s="1240"/>
      <c r="AO30" s="3902"/>
      <c r="AP30" s="780"/>
      <c r="AQ30" s="2038"/>
      <c r="AR30" s="2038"/>
      <c r="AS30" s="2038"/>
      <c r="AT30" s="2038"/>
      <c r="AU30" s="2038"/>
      <c r="AV30" s="2038"/>
      <c r="AW30" s="2038"/>
      <c r="AX30" s="2038"/>
      <c r="AY30" s="2038"/>
      <c r="AZ30" s="2038"/>
    </row>
    <row r="31" spans="1:52" ht="13.5" thickBot="1">
      <c r="A31" s="394"/>
      <c r="B31" s="22"/>
      <c r="C31" s="872">
        <v>7</v>
      </c>
      <c r="D31" s="61" t="s">
        <v>3088</v>
      </c>
      <c r="E31" s="23"/>
      <c r="F31" s="22"/>
      <c r="G31" s="22"/>
      <c r="H31" s="22"/>
      <c r="I31" s="22"/>
      <c r="J31" s="22"/>
      <c r="K31" s="22"/>
      <c r="L31" s="22"/>
      <c r="M31" s="22"/>
      <c r="N31" s="22"/>
      <c r="O31" s="22"/>
      <c r="P31" s="22"/>
      <c r="Q31" s="22"/>
      <c r="R31" s="22"/>
      <c r="S31" s="22"/>
      <c r="T31" s="22"/>
      <c r="U31" s="960"/>
      <c r="V31" s="960"/>
      <c r="W31" s="5676"/>
      <c r="X31" s="7780">
        <f>MaxSSTaxEarnings</f>
        <v>160200</v>
      </c>
      <c r="Y31" s="7781"/>
      <c r="Z31" s="7781"/>
      <c r="AA31" s="66"/>
      <c r="AB31" s="3657"/>
      <c r="AC31" s="2607"/>
      <c r="AD31" s="780"/>
      <c r="AE31" s="780"/>
      <c r="AG31" s="780"/>
      <c r="AH31" s="2264"/>
      <c r="AI31" s="2264"/>
      <c r="AJ31" s="3903" t="s">
        <v>3089</v>
      </c>
      <c r="AK31" s="2694" t="s">
        <v>3090</v>
      </c>
      <c r="AL31" s="3880">
        <f>SS_Yours</f>
        <v>1010001</v>
      </c>
      <c r="AM31" s="3880">
        <f>SS_Spouse</f>
        <v>1010002</v>
      </c>
      <c r="AN31" s="2264" t="s">
        <v>809</v>
      </c>
      <c r="AO31" s="921"/>
      <c r="AP31" s="2264"/>
      <c r="AQ31" s="2038"/>
      <c r="AR31" s="2038"/>
      <c r="AS31" s="2038"/>
      <c r="AT31" s="2038"/>
      <c r="AU31" s="2038"/>
      <c r="AV31" s="2038"/>
      <c r="AW31" s="2038"/>
      <c r="AX31" s="2038"/>
      <c r="AY31" s="2038"/>
      <c r="AZ31" s="2038"/>
    </row>
    <row r="32" spans="1:52" ht="12" customHeight="1">
      <c r="A32" s="394"/>
      <c r="B32" s="22"/>
      <c r="C32" s="37"/>
      <c r="D32" s="61" t="str">
        <f>"the "&amp;TEXT(AJ27,"0.0%")&amp;" portion of the "&amp;TEXT(AJ28,"0.00%")&amp;" railroad retirement (tier 1) tax for "&amp;TaxYear</f>
        <v>the 6.2% portion of the 7.65% railroad retirement (tier 1) tax for 2023</v>
      </c>
      <c r="E32" s="23"/>
      <c r="F32" s="22"/>
      <c r="G32" s="22"/>
      <c r="H32" s="22"/>
      <c r="I32" s="22"/>
      <c r="J32" s="22"/>
      <c r="K32" s="22"/>
      <c r="L32" s="22"/>
      <c r="M32" s="22"/>
      <c r="N32" s="22"/>
      <c r="O32" s="22"/>
      <c r="P32" s="7845" t="b">
        <f>AND(X30&lt;&gt;"",X30&gt;0,NOT(AJ5),NOT(AJ7))</f>
        <v>0</v>
      </c>
      <c r="Q32" s="7845"/>
      <c r="R32" s="22"/>
      <c r="S32" s="7861" t="str">
        <f>IF(P32,"Identify above","")</f>
        <v/>
      </c>
      <c r="T32" s="7861"/>
      <c r="U32" s="7861"/>
      <c r="V32" s="7862"/>
      <c r="W32" s="3788">
        <v>7</v>
      </c>
      <c r="X32" s="7782"/>
      <c r="Y32" s="7783"/>
      <c r="Z32" s="7783"/>
      <c r="AA32" s="66"/>
      <c r="AB32" s="3657"/>
      <c r="AC32" s="780"/>
      <c r="AD32" s="780"/>
      <c r="AE32" s="780"/>
      <c r="AF32" s="780"/>
      <c r="AG32" s="780"/>
      <c r="AH32" s="3823"/>
      <c r="AI32" s="3823"/>
      <c r="AJ32" s="3904" t="s">
        <v>1104</v>
      </c>
      <c r="AK32" s="1009" t="s">
        <v>3091</v>
      </c>
      <c r="AL32" s="3886">
        <f>IF(SchF_SSN=SS_Yours,FarmProfitNet,0)</f>
        <v>0</v>
      </c>
      <c r="AM32" s="3887">
        <f>IF(SchF_SSN=SS_Spouse,FarmProfitNet,0)</f>
        <v>0</v>
      </c>
      <c r="AN32" s="3888">
        <f>SUM(AL32,AM32)</f>
        <v>0</v>
      </c>
      <c r="AO32" s="3905"/>
      <c r="AP32" s="3823"/>
      <c r="AQ32" s="2038"/>
      <c r="AR32" s="2038"/>
      <c r="AS32" s="2038"/>
      <c r="AT32" s="2038"/>
      <c r="AU32" s="2038"/>
      <c r="AV32" s="2038"/>
      <c r="AW32" s="2038"/>
      <c r="AX32" s="2038"/>
      <c r="AY32" s="2038"/>
      <c r="AZ32" s="2038"/>
    </row>
    <row r="33" spans="1:52" ht="13.5" customHeight="1">
      <c r="A33" s="394"/>
      <c r="B33" s="22"/>
      <c r="C33" s="872" t="s">
        <v>904</v>
      </c>
      <c r="D33" s="61" t="s">
        <v>3092</v>
      </c>
      <c r="E33" s="23"/>
      <c r="F33" s="22"/>
      <c r="G33" s="22"/>
      <c r="H33" s="22"/>
      <c r="I33" s="22"/>
      <c r="J33" s="22"/>
      <c r="K33" s="22"/>
      <c r="L33" s="22"/>
      <c r="M33" s="22"/>
      <c r="N33" s="22"/>
      <c r="O33" s="22"/>
      <c r="P33" s="22"/>
      <c r="Q33" s="22"/>
      <c r="R33" s="291"/>
      <c r="S33" s="7863" t="str">
        <f>IF(P32,"for whom this form","")</f>
        <v/>
      </c>
      <c r="T33" s="7864"/>
      <c r="U33" s="7864"/>
      <c r="V33" s="7865"/>
      <c r="W33" s="5676"/>
      <c r="X33" s="7792"/>
      <c r="Y33" s="7793"/>
      <c r="Z33" s="7793"/>
      <c r="AA33" s="66"/>
      <c r="AB33" s="7778" t="s">
        <v>3093</v>
      </c>
      <c r="AC33" s="2607"/>
      <c r="AD33" s="780"/>
      <c r="AE33" s="780"/>
      <c r="AG33" s="780"/>
      <c r="AH33" s="3823"/>
      <c r="AI33" s="3823"/>
      <c r="AJ33" s="3904" t="s">
        <v>171</v>
      </c>
      <c r="AK33" s="3417" t="s">
        <v>3094</v>
      </c>
      <c r="AL33" s="3889">
        <f>IF(AND(NOT(AL50),NOT(AL51),'Sch. C'!M7=SS_Yours,'Sch. C'!M121=SS_Yours,'Sch. C'!Y6,'Sch. C'!Y120),AL49,IF(AND(NOT(AL50),'Sch. C'!M7=SS_Yours,'Sch. C'!Y6),AL47,IF(AND(NOT(AL51),'Sch. C'!M121=SS_Yours,'Sch. C'!Y120),AL48,0)))</f>
        <v>0</v>
      </c>
      <c r="AM33" s="3890">
        <f>IF(AND(NOT(AL50),NOT(AL51),'Sch. C'!M7=SS_Spouse,'Sch. C'!M121=SS_Spouse,'Sch. C'!Y6,'Sch. C'!Y120),AL49,IF(AND(NOT(AL50),'Sch. C'!M7=SS_Spouse,'Sch. C'!Y6),AL47,IF(AND(NOT(AL51),'Sch. C'!M121=SS_Spouse,'Sch. C'!Y120),AL48,0)))</f>
        <v>0</v>
      </c>
      <c r="AN33" s="3891">
        <f>SUM(AL33,AM33)</f>
        <v>0</v>
      </c>
      <c r="AO33" s="3905"/>
      <c r="AP33" s="3823"/>
      <c r="AQ33" s="2038"/>
      <c r="AR33" s="2038"/>
      <c r="AS33" s="2038"/>
      <c r="AT33" s="2038"/>
      <c r="AU33" s="2038"/>
      <c r="AV33" s="2038"/>
      <c r="AW33" s="2038"/>
      <c r="AX33" s="2038"/>
      <c r="AY33" s="2038"/>
      <c r="AZ33" s="2038"/>
    </row>
    <row r="34" spans="1:52">
      <c r="A34" s="394"/>
      <c r="B34" s="22"/>
      <c r="C34" s="37"/>
      <c r="D34" s="61" t="str">
        <f>"and railroad retirement (tier 1) compensation. If "&amp;TEXT(X31,"$0,000")&amp;" or more, skip lines"</f>
        <v>and railroad retirement (tier 1) compensation. If $160,200 or more, skip lines</v>
      </c>
      <c r="E34" s="23"/>
      <c r="F34" s="22"/>
      <c r="G34" s="22"/>
      <c r="H34" s="22"/>
      <c r="I34" s="22"/>
      <c r="J34" s="22"/>
      <c r="K34" s="22"/>
      <c r="L34" s="22"/>
      <c r="M34" s="22"/>
      <c r="N34" s="22"/>
      <c r="O34" s="22"/>
      <c r="P34" s="22"/>
      <c r="Q34" s="22"/>
      <c r="R34" s="291"/>
      <c r="S34" s="7866" t="str">
        <f>IF(P32,"is being completed.","")</f>
        <v/>
      </c>
      <c r="T34" s="7867"/>
      <c r="U34" s="7867"/>
      <c r="V34" s="7868"/>
      <c r="W34" s="5676"/>
      <c r="X34" s="7794"/>
      <c r="Y34" s="7795"/>
      <c r="Z34" s="7795"/>
      <c r="AA34" s="66"/>
      <c r="AB34" s="7779"/>
      <c r="AC34" s="780"/>
      <c r="AD34" s="780"/>
      <c r="AE34" s="780"/>
      <c r="AF34" s="780"/>
      <c r="AG34" s="780"/>
      <c r="AH34" s="3823"/>
      <c r="AI34" s="3823"/>
      <c r="AJ34" s="3904" t="s">
        <v>3095</v>
      </c>
      <c r="AK34" s="1009" t="s">
        <v>3096</v>
      </c>
      <c r="AL34" s="3889">
        <f>ROUND(SUM(SocSecWages_You,SocSecTips_You),0)</f>
        <v>0</v>
      </c>
      <c r="AM34" s="3890">
        <f>ROUND(SUM(SocSecWages_Spouse,SocSecTips_Spouse),0)</f>
        <v>0</v>
      </c>
      <c r="AN34" s="3891">
        <f>SUM(AL34,AM34)</f>
        <v>0</v>
      </c>
      <c r="AO34" s="3905"/>
      <c r="AP34" s="3823"/>
      <c r="AQ34" s="2038"/>
      <c r="AR34" s="2038"/>
      <c r="AS34" s="2038"/>
      <c r="AT34" s="2038"/>
      <c r="AU34" s="2038"/>
      <c r="AV34" s="2038"/>
      <c r="AW34" s="2038"/>
      <c r="AX34" s="2038"/>
      <c r="AY34" s="2038"/>
      <c r="AZ34" s="2038"/>
    </row>
    <row r="35" spans="1:52" ht="13.5" thickBot="1">
      <c r="A35" s="394"/>
      <c r="B35" s="22"/>
      <c r="C35" s="37"/>
      <c r="D35" s="61" t="s">
        <v>3097</v>
      </c>
      <c r="E35" s="23"/>
      <c r="F35" s="22"/>
      <c r="G35" s="22"/>
      <c r="H35" s="22"/>
      <c r="I35" s="22"/>
      <c r="J35" s="22"/>
      <c r="K35" s="22"/>
      <c r="L35" s="22"/>
      <c r="M35" s="22"/>
      <c r="N35" s="22"/>
      <c r="O35" s="22"/>
      <c r="P35" s="22"/>
      <c r="Q35" s="960" t="s">
        <v>642</v>
      </c>
      <c r="R35" s="1656" t="s">
        <v>904</v>
      </c>
      <c r="S35" s="7786" t="str">
        <f>IF(AK24,"",IF(AND(AJ5,AJ7),SUM(AN34,X35),IF(AJ5,SUM(AL34,X35),IF(AJ7,SUM(AM34,X35),""))))</f>
        <v/>
      </c>
      <c r="T35" s="7787"/>
      <c r="U35" s="7787"/>
      <c r="V35" s="7872"/>
      <c r="W35" s="5676"/>
      <c r="X35" s="7790">
        <f>IF(AB35="",0,ROUND(AB35,0))</f>
        <v>0</v>
      </c>
      <c r="Y35" s="7791"/>
      <c r="Z35" s="7791"/>
      <c r="AA35" s="66"/>
      <c r="AB35" s="350"/>
      <c r="AC35" s="780"/>
      <c r="AD35" s="780"/>
      <c r="AE35" s="1906"/>
      <c r="AF35" s="780"/>
      <c r="AG35" s="780"/>
      <c r="AH35" s="780"/>
      <c r="AI35" s="780"/>
      <c r="AJ35" s="1242"/>
      <c r="AK35" s="1009" t="s">
        <v>3098</v>
      </c>
      <c r="AL35" s="3892" t="b">
        <f>OR(AND(SS_Yours='Sch. C'!M7,AL50),AND(SS_Yours='Sch. C'!M121,AL51))</f>
        <v>0</v>
      </c>
      <c r="AM35" s="3893" t="b">
        <f>OR(AND(SS_Spouse='Sch. C'!M7,AL50),AND(SS_Spouse='Sch. C'!M121,AL51))</f>
        <v>0</v>
      </c>
      <c r="AN35" s="3894" t="b">
        <f>AND(NOT(AND(AJ5,AJ7)),OR(AND(AJ5,AL35),AND(AJ7,AM35)))</f>
        <v>0</v>
      </c>
      <c r="AO35" s="1243"/>
      <c r="AP35" s="780"/>
      <c r="AQ35" s="2038"/>
      <c r="AR35" s="2038"/>
      <c r="AS35" s="2038"/>
      <c r="AT35" s="2038"/>
      <c r="AU35" s="2038"/>
      <c r="AV35" s="2038"/>
      <c r="AW35" s="2038"/>
      <c r="AX35" s="2038"/>
      <c r="AY35" s="2038"/>
      <c r="AZ35" s="2038"/>
    </row>
    <row r="36" spans="1:52">
      <c r="A36" s="394"/>
      <c r="B36" s="22"/>
      <c r="C36" s="37" t="s">
        <v>644</v>
      </c>
      <c r="D36" s="61" t="s">
        <v>3099</v>
      </c>
      <c r="E36" s="23"/>
      <c r="F36" s="22"/>
      <c r="G36" s="22"/>
      <c r="H36" s="22"/>
      <c r="I36" s="22"/>
      <c r="J36" s="22"/>
      <c r="K36" s="22"/>
      <c r="L36" s="22"/>
      <c r="M36" s="22"/>
      <c r="N36" s="22"/>
      <c r="O36" s="22"/>
      <c r="P36" s="22"/>
      <c r="Q36" s="960" t="s">
        <v>699</v>
      </c>
      <c r="R36" s="1656" t="s">
        <v>909</v>
      </c>
      <c r="S36" s="7842"/>
      <c r="T36" s="7843"/>
      <c r="U36" s="7843"/>
      <c r="V36" s="7844"/>
      <c r="W36" s="5676"/>
      <c r="X36" s="7790">
        <f>ROUND(S36,0)</f>
        <v>0</v>
      </c>
      <c r="Y36" s="7791"/>
      <c r="Z36" s="7791"/>
      <c r="AA36" s="66"/>
      <c r="AB36" s="3657"/>
      <c r="AC36" s="780"/>
      <c r="AD36" s="780"/>
      <c r="AE36" s="780"/>
      <c r="AF36" s="780"/>
      <c r="AG36" s="780"/>
      <c r="AH36" s="780"/>
      <c r="AI36" s="780"/>
      <c r="AJ36" s="1246"/>
      <c r="AK36" s="1846"/>
      <c r="AL36" s="1846"/>
      <c r="AM36" s="1846"/>
      <c r="AN36" s="1846"/>
      <c r="AO36" s="1248"/>
      <c r="AP36" s="780"/>
      <c r="AQ36" s="2038"/>
      <c r="AR36" s="2038"/>
      <c r="AS36" s="2038"/>
      <c r="AT36" s="2038"/>
      <c r="AU36" s="2038"/>
      <c r="AV36" s="2038"/>
      <c r="AW36" s="2038"/>
      <c r="AX36" s="2038"/>
      <c r="AY36" s="2038"/>
      <c r="AZ36" s="2038"/>
    </row>
    <row r="37" spans="1:52" ht="15" customHeight="1" thickBot="1">
      <c r="A37" s="394"/>
      <c r="B37" s="22"/>
      <c r="C37" s="37" t="s">
        <v>648</v>
      </c>
      <c r="D37" s="61" t="s">
        <v>3100</v>
      </c>
      <c r="E37" s="23"/>
      <c r="F37" s="22"/>
      <c r="G37" s="22"/>
      <c r="H37" s="22"/>
      <c r="I37" s="22"/>
      <c r="J37" s="22"/>
      <c r="K37" s="22"/>
      <c r="L37" s="22"/>
      <c r="M37" s="22"/>
      <c r="N37" s="22"/>
      <c r="O37" s="22"/>
      <c r="P37" s="22"/>
      <c r="Q37" s="960" t="s">
        <v>654</v>
      </c>
      <c r="R37" s="3791" t="s">
        <v>912</v>
      </c>
      <c r="S37" s="7848"/>
      <c r="T37" s="7849"/>
      <c r="U37" s="7849"/>
      <c r="V37" s="7850"/>
      <c r="W37" s="5676"/>
      <c r="X37" s="7790">
        <f>ROUND(S37,0)</f>
        <v>0</v>
      </c>
      <c r="Y37" s="7791"/>
      <c r="Z37" s="7791"/>
      <c r="AA37" s="66"/>
      <c r="AB37" s="3657"/>
      <c r="AC37" s="780"/>
      <c r="AE37" s="780"/>
      <c r="AF37" s="780"/>
      <c r="AG37" s="780"/>
      <c r="AH37" s="780"/>
      <c r="AI37" s="780"/>
      <c r="AJ37" s="780"/>
      <c r="AK37" s="780"/>
      <c r="AL37" s="780"/>
      <c r="AM37" s="780"/>
      <c r="AN37" s="780"/>
      <c r="AQ37" s="2038"/>
      <c r="AR37" s="2038"/>
      <c r="AS37" s="2038"/>
      <c r="AT37" s="2038"/>
      <c r="AU37" s="2038"/>
      <c r="AV37" s="2038"/>
      <c r="AW37" s="2038"/>
      <c r="AX37" s="2038"/>
      <c r="AY37" s="2038"/>
      <c r="AZ37" s="2038"/>
    </row>
    <row r="38" spans="1:52" ht="13.5" thickBot="1">
      <c r="A38" s="394"/>
      <c r="B38" s="22"/>
      <c r="C38" s="37" t="s">
        <v>652</v>
      </c>
      <c r="D38" s="61" t="s">
        <v>3101</v>
      </c>
      <c r="E38" s="23"/>
      <c r="F38" s="22"/>
      <c r="G38" s="22"/>
      <c r="H38" s="22"/>
      <c r="I38" s="22"/>
      <c r="J38" s="22"/>
      <c r="K38" s="22"/>
      <c r="L38" s="22"/>
      <c r="M38" s="22"/>
      <c r="N38" s="22"/>
      <c r="O38" s="22"/>
      <c r="P38" s="22"/>
      <c r="Q38" s="22"/>
      <c r="R38" s="37"/>
      <c r="S38" s="3789"/>
      <c r="T38" s="3789"/>
      <c r="U38" s="3789"/>
      <c r="V38" s="960" t="s">
        <v>2163</v>
      </c>
      <c r="W38" s="3793" t="s">
        <v>915</v>
      </c>
      <c r="X38" s="7796" t="str">
        <f>IF(AK24,"",SUM(S35,X36,X37))</f>
        <v/>
      </c>
      <c r="Y38" s="7797"/>
      <c r="Z38" s="7797"/>
      <c r="AA38" s="66"/>
      <c r="AB38" s="3657"/>
      <c r="AC38" s="780"/>
      <c r="AD38" s="780"/>
      <c r="AE38" s="780"/>
      <c r="AF38" s="780"/>
      <c r="AG38" s="780"/>
      <c r="AH38" s="780"/>
      <c r="AI38" s="780"/>
      <c r="AJ38" s="780">
        <f>IF(X38="",0,X38)</f>
        <v>0</v>
      </c>
      <c r="AK38" s="780"/>
      <c r="AL38" s="3882"/>
      <c r="AM38" s="780"/>
      <c r="AN38" s="780"/>
      <c r="AO38" s="780"/>
      <c r="AP38" s="780"/>
      <c r="AQ38" s="2038"/>
      <c r="AR38" s="2038"/>
      <c r="AS38" s="2038"/>
      <c r="AT38" s="2038"/>
      <c r="AU38" s="2038"/>
      <c r="AV38" s="2038"/>
      <c r="AW38" s="2038"/>
      <c r="AX38" s="2038"/>
      <c r="AY38" s="2038"/>
      <c r="AZ38" s="2038"/>
    </row>
    <row r="39" spans="1:52" ht="12.75" customHeight="1" thickBot="1">
      <c r="A39" s="394"/>
      <c r="B39" s="22"/>
      <c r="C39" s="37">
        <v>9</v>
      </c>
      <c r="D39" s="61" t="s">
        <v>3102</v>
      </c>
      <c r="E39" s="23"/>
      <c r="F39" s="22"/>
      <c r="G39" s="22"/>
      <c r="H39" s="22"/>
      <c r="I39" s="22"/>
      <c r="J39" s="22"/>
      <c r="K39" s="22"/>
      <c r="L39" s="22"/>
      <c r="M39" s="22"/>
      <c r="N39" s="22"/>
      <c r="O39" s="22"/>
      <c r="P39" s="22"/>
      <c r="Q39" s="22"/>
      <c r="R39" s="37"/>
      <c r="S39" s="3789"/>
      <c r="T39" s="5970"/>
      <c r="U39" s="5970"/>
      <c r="V39" s="960" t="s">
        <v>684</v>
      </c>
      <c r="W39" s="3788">
        <v>9</v>
      </c>
      <c r="X39" s="7788" t="str">
        <f>IF(OR(X38="",P32),"",IF(AJ40,0,SUM(X31,-AJ38)))</f>
        <v/>
      </c>
      <c r="Y39" s="7789"/>
      <c r="Z39" s="7789"/>
      <c r="AA39" s="66"/>
      <c r="AB39" s="3657"/>
      <c r="AC39" s="780"/>
      <c r="AD39" s="780"/>
      <c r="AE39" s="780"/>
      <c r="AF39" s="780"/>
      <c r="AG39" s="780"/>
      <c r="AH39" s="780"/>
      <c r="AI39" s="3802"/>
      <c r="AJ39" s="780">
        <f>IF(X39="",0,X39)</f>
        <v>0</v>
      </c>
      <c r="AK39" s="7855" t="s">
        <v>3103</v>
      </c>
      <c r="AL39" s="7856"/>
      <c r="AM39" s="780"/>
      <c r="AN39" s="780"/>
      <c r="AO39" s="3802"/>
      <c r="AP39" s="3802"/>
      <c r="AQ39" s="2038"/>
      <c r="AR39" s="2038"/>
      <c r="AS39" s="2038"/>
      <c r="AT39" s="2038"/>
      <c r="AU39" s="2038"/>
      <c r="AV39" s="2038"/>
      <c r="AW39" s="2038"/>
      <c r="AX39" s="2038"/>
      <c r="AY39" s="2038"/>
      <c r="AZ39" s="2038"/>
    </row>
    <row r="40" spans="1:52" ht="14.25" customHeight="1" thickBot="1">
      <c r="A40" s="394"/>
      <c r="B40" s="22"/>
      <c r="C40" s="872">
        <v>10</v>
      </c>
      <c r="D40" s="61" t="s">
        <v>3104</v>
      </c>
      <c r="E40" s="23"/>
      <c r="F40" s="22"/>
      <c r="G40" s="22"/>
      <c r="H40" s="22"/>
      <c r="I40" s="22"/>
      <c r="J40" s="61"/>
      <c r="K40" s="61" t="str">
        <f>TEXT(AE40,"0.0%")&amp;" ("&amp;TEXT(AE40,"0.000")&amp;")"</f>
        <v>12.4% (0.124)</v>
      </c>
      <c r="L40" s="22"/>
      <c r="M40" s="22"/>
      <c r="N40" s="22"/>
      <c r="O40" s="22"/>
      <c r="P40" s="22"/>
      <c r="Q40" s="22"/>
      <c r="R40" s="3794"/>
      <c r="S40" s="3794"/>
      <c r="T40" s="3794"/>
      <c r="U40" s="3792"/>
      <c r="V40" s="5969" t="s">
        <v>896</v>
      </c>
      <c r="W40" s="3788">
        <v>10</v>
      </c>
      <c r="X40" s="7788" t="str">
        <f>IF(OR(P32,AK24),"",IF(AJ40,0,ROUND(AJ41*AE40,0)))</f>
        <v/>
      </c>
      <c r="Y40" s="7789"/>
      <c r="Z40" s="7789"/>
      <c r="AA40" s="66"/>
      <c r="AB40" s="3657"/>
      <c r="AC40" s="780"/>
      <c r="AD40" s="780"/>
      <c r="AE40" s="7873">
        <v>0.124</v>
      </c>
      <c r="AF40" s="7873"/>
      <c r="AG40" s="780"/>
      <c r="AH40" s="780"/>
      <c r="AI40" s="3794"/>
      <c r="AJ40" s="6219" t="b">
        <f>SUM(X31,-AJ38)&lt;=0</f>
        <v>0</v>
      </c>
      <c r="AK40" s="3898">
        <f>IF(X21="",0,X21)</f>
        <v>0</v>
      </c>
      <c r="AL40" s="5224" t="s">
        <v>605</v>
      </c>
      <c r="AM40" s="5225" t="s">
        <v>606</v>
      </c>
      <c r="AN40" s="3883"/>
      <c r="AO40" s="3794"/>
      <c r="AP40" s="3794"/>
      <c r="AQ40" s="2038"/>
      <c r="AR40" s="2038"/>
      <c r="AS40" s="2038"/>
      <c r="AT40" s="2038"/>
      <c r="AU40" s="2038"/>
      <c r="AV40" s="2038"/>
      <c r="AW40" s="2038"/>
      <c r="AX40" s="2038"/>
      <c r="AY40" s="2038"/>
      <c r="AZ40" s="2038"/>
    </row>
    <row r="41" spans="1:52" ht="12.75" customHeight="1">
      <c r="A41" s="394"/>
      <c r="B41" s="22"/>
      <c r="C41" s="37">
        <v>11</v>
      </c>
      <c r="D41" s="61" t="str">
        <f>"Multiply line 6 by "&amp;TEXT(AC41,"0.0%")&amp;" ("&amp;TEXT(AC41,"0.000")&amp;")"</f>
        <v>Multiply line 6 by 2.9% (0.029)</v>
      </c>
      <c r="E41" s="23"/>
      <c r="F41" s="22"/>
      <c r="G41" s="22"/>
      <c r="H41" s="22"/>
      <c r="I41" s="3792"/>
      <c r="J41" s="3792"/>
      <c r="K41" s="3792"/>
      <c r="L41" s="3792"/>
      <c r="M41" s="3792"/>
      <c r="N41" s="3792"/>
      <c r="O41" s="3792"/>
      <c r="P41" s="3792"/>
      <c r="Q41" s="3792"/>
      <c r="R41" s="3792"/>
      <c r="S41" s="3792"/>
      <c r="T41" s="3792"/>
      <c r="U41" s="3792"/>
      <c r="V41" s="5969" t="s">
        <v>1226</v>
      </c>
      <c r="W41" s="3788">
        <v>11</v>
      </c>
      <c r="X41" s="7788" t="str">
        <f>IF(OR(P32,AK24),"",ROUND(X30*AC41,0))</f>
        <v/>
      </c>
      <c r="Y41" s="7789"/>
      <c r="Z41" s="7789"/>
      <c r="AA41" s="66"/>
      <c r="AB41" s="3657"/>
      <c r="AC41" s="7873">
        <v>2.9000000000000001E-2</v>
      </c>
      <c r="AD41" s="7873"/>
      <c r="AE41" s="3795"/>
      <c r="AF41" s="3795"/>
      <c r="AG41" s="780"/>
      <c r="AH41" s="780"/>
      <c r="AI41" s="780"/>
      <c r="AJ41" s="3907">
        <f>MIN(X30,AJ39)</f>
        <v>0</v>
      </c>
      <c r="AK41" s="5226" t="s">
        <v>3105</v>
      </c>
      <c r="AL41" s="5227">
        <f>IF(NOT(AJ5),0,SchSE_Profit1)</f>
        <v>0</v>
      </c>
      <c r="AM41" s="5228">
        <f>IF(AND(NOT(AJ5),AJ7),SchSE_Profit1,0)</f>
        <v>0</v>
      </c>
      <c r="AN41" s="5229"/>
      <c r="AO41" s="780"/>
      <c r="AP41" s="780"/>
      <c r="AQ41" s="2038"/>
      <c r="AR41" s="2038"/>
      <c r="AS41" s="2038"/>
      <c r="AT41" s="2038"/>
      <c r="AU41" s="2038"/>
      <c r="AV41" s="2038"/>
      <c r="AW41" s="2038"/>
      <c r="AX41" s="2038"/>
      <c r="AY41" s="2038"/>
      <c r="AZ41" s="2038"/>
    </row>
    <row r="42" spans="1:52" ht="14.25" customHeight="1" thickBot="1">
      <c r="A42" s="394"/>
      <c r="B42" s="22"/>
      <c r="C42" s="37">
        <v>12</v>
      </c>
      <c r="D42" s="61" t="s">
        <v>3106</v>
      </c>
      <c r="E42" s="23"/>
      <c r="F42" s="22"/>
      <c r="G42" s="22"/>
      <c r="H42" s="22"/>
      <c r="I42" s="22"/>
      <c r="J42" s="22"/>
      <c r="K42" s="22"/>
      <c r="L42" s="22"/>
      <c r="M42" s="22"/>
      <c r="N42" s="22"/>
      <c r="O42" s="22"/>
      <c r="P42" s="22"/>
      <c r="Q42" s="22"/>
      <c r="R42" s="37"/>
      <c r="S42" s="3789"/>
      <c r="T42" s="3789"/>
      <c r="U42" s="3789"/>
      <c r="V42" s="3789"/>
      <c r="W42" s="5966"/>
      <c r="X42" s="7883"/>
      <c r="Y42" s="7884"/>
      <c r="Z42" s="7884"/>
      <c r="AA42" s="66"/>
      <c r="AB42" s="3657"/>
      <c r="AC42" s="3805"/>
      <c r="AD42" s="3805"/>
      <c r="AE42" s="3795"/>
      <c r="AF42" s="3795"/>
      <c r="AG42" s="780"/>
      <c r="AH42" s="780"/>
      <c r="AI42" s="780"/>
      <c r="AJ42" s="3907"/>
      <c r="AK42" s="3417" t="s">
        <v>5501</v>
      </c>
      <c r="AL42" s="3884">
        <f>IF(AND(AJ5,SchSE_Clergy1_You),X30,IF(AJ5,ChurchEmployeeIncome1,0))</f>
        <v>0</v>
      </c>
      <c r="AM42" s="3885">
        <f>IF(AND(AJ5,SchSE_Clergy1_Sp),X30,IF(AJ5,ChurchEmployeeIncome1,0))</f>
        <v>0</v>
      </c>
      <c r="AN42" s="3824"/>
      <c r="AO42" s="780"/>
      <c r="AP42" s="780"/>
      <c r="AQ42" s="2038"/>
      <c r="AR42" s="2038"/>
      <c r="AS42" s="2038"/>
      <c r="AT42" s="2038"/>
      <c r="AU42" s="2038"/>
      <c r="AV42" s="2038"/>
      <c r="AW42" s="2038"/>
      <c r="AX42" s="2038"/>
      <c r="AY42" s="2038"/>
      <c r="AZ42" s="2038"/>
    </row>
    <row r="43" spans="1:52" ht="14.25" customHeight="1">
      <c r="A43" s="394"/>
      <c r="B43" s="22"/>
      <c r="C43" s="37"/>
      <c r="D43" s="1262" t="s">
        <v>5624</v>
      </c>
      <c r="E43" s="23"/>
      <c r="F43" s="22"/>
      <c r="G43" s="22"/>
      <c r="H43" s="22"/>
      <c r="I43" s="22"/>
      <c r="J43" s="22"/>
      <c r="K43" s="22"/>
      <c r="L43" s="22"/>
      <c r="M43" s="22"/>
      <c r="N43" s="22"/>
      <c r="O43" s="22"/>
      <c r="P43" s="22"/>
      <c r="Q43" s="22"/>
      <c r="R43" s="37"/>
      <c r="S43" s="3789"/>
      <c r="T43" s="3789"/>
      <c r="U43" s="3789"/>
      <c r="V43" s="5969" t="s">
        <v>1226</v>
      </c>
      <c r="W43" s="3788">
        <v>12</v>
      </c>
      <c r="X43" s="7786" t="str">
        <f>IF(OR(P32,AK24),"",SUM(X40,X41))</f>
        <v/>
      </c>
      <c r="Y43" s="7787"/>
      <c r="Z43" s="7787"/>
      <c r="AA43" s="66"/>
      <c r="AB43" s="3657"/>
      <c r="AC43" s="3805"/>
      <c r="AD43" s="3805"/>
      <c r="AE43" s="3795"/>
      <c r="AF43" s="3795"/>
      <c r="AG43" s="780"/>
      <c r="AH43" s="780"/>
      <c r="AI43" s="780"/>
      <c r="AJ43" s="3907"/>
      <c r="AK43" s="3417"/>
      <c r="AL43" s="5965"/>
      <c r="AM43" s="5965"/>
      <c r="AN43" s="5965"/>
      <c r="AO43" s="780"/>
      <c r="AP43" s="780"/>
      <c r="AQ43" s="2038"/>
      <c r="AR43" s="2038"/>
      <c r="AS43" s="2038"/>
      <c r="AT43" s="2038"/>
      <c r="AU43" s="2038"/>
      <c r="AV43" s="2038"/>
      <c r="AW43" s="2038"/>
      <c r="AX43" s="2038"/>
      <c r="AY43" s="2038"/>
      <c r="AZ43" s="2038"/>
    </row>
    <row r="44" spans="1:52">
      <c r="A44" s="394"/>
      <c r="B44" s="22"/>
      <c r="C44" s="37">
        <v>13</v>
      </c>
      <c r="D44" s="23" t="s">
        <v>3108</v>
      </c>
      <c r="E44" s="22"/>
      <c r="F44" s="22"/>
      <c r="G44" s="22"/>
      <c r="H44" s="22"/>
      <c r="I44" s="22"/>
      <c r="J44" s="22"/>
      <c r="K44" s="22"/>
      <c r="L44" s="22"/>
      <c r="M44" s="22"/>
      <c r="N44" s="22"/>
      <c r="O44" s="22"/>
      <c r="P44" s="22"/>
      <c r="Q44" s="22"/>
      <c r="R44" s="22"/>
      <c r="S44" s="22"/>
      <c r="T44" s="22"/>
      <c r="U44" s="7874"/>
      <c r="V44" s="7875"/>
      <c r="W44" s="7876"/>
      <c r="X44" s="6844"/>
      <c r="Y44" s="6844"/>
      <c r="Z44" s="6844"/>
      <c r="AA44" s="66"/>
      <c r="AB44" s="292"/>
      <c r="AC44" s="3805"/>
      <c r="AD44" s="3805"/>
      <c r="AE44" s="3795"/>
      <c r="AF44" s="3795"/>
      <c r="AG44" s="780"/>
      <c r="AH44" s="780"/>
      <c r="AI44" s="780"/>
      <c r="AJ44" s="3907"/>
      <c r="AK44" s="1009"/>
      <c r="AL44" s="1009"/>
      <c r="AM44" s="1009"/>
      <c r="AN44" s="1009"/>
      <c r="AO44" s="780"/>
      <c r="AP44" s="780"/>
      <c r="AQ44" s="2038"/>
      <c r="AR44" s="2038"/>
      <c r="AS44" s="2038"/>
      <c r="AT44" s="2038"/>
      <c r="AU44" s="2038"/>
      <c r="AV44" s="2038"/>
      <c r="AW44" s="2038"/>
      <c r="AX44" s="2038"/>
      <c r="AY44" s="2038"/>
      <c r="AZ44" s="2038"/>
    </row>
    <row r="45" spans="1:52" ht="12.75" customHeight="1" thickBot="1">
      <c r="A45" s="394"/>
      <c r="B45" s="22"/>
      <c r="C45" s="37"/>
      <c r="D45" s="61" t="str">
        <f>"Multiply  line 12  by "&amp;TEXT(U45,"0%")&amp;" ("&amp;TEXT(U45,"0.00")&amp;")."</f>
        <v>Multiply  line 12  by 50% (0.50).</v>
      </c>
      <c r="E45" s="61"/>
      <c r="F45" s="22"/>
      <c r="G45" s="22"/>
      <c r="H45" s="61"/>
      <c r="I45" s="683" t="s">
        <v>3109</v>
      </c>
      <c r="J45" s="22"/>
      <c r="K45" s="22"/>
      <c r="L45" s="22"/>
      <c r="M45" s="23"/>
      <c r="N45" s="22"/>
      <c r="O45" s="2139"/>
      <c r="P45" s="22"/>
      <c r="Q45" s="22"/>
      <c r="R45" s="291"/>
      <c r="S45" s="22"/>
      <c r="T45" s="22"/>
      <c r="U45" s="7845">
        <v>0.5</v>
      </c>
      <c r="V45" s="7854"/>
      <c r="W45" s="66"/>
      <c r="X45" s="66"/>
      <c r="Y45" s="66"/>
      <c r="Z45" s="66"/>
      <c r="AA45" s="66"/>
      <c r="AB45" s="292"/>
      <c r="AC45" s="3805"/>
      <c r="AD45" s="3805"/>
      <c r="AE45" s="3795"/>
      <c r="AF45" s="3795"/>
      <c r="AG45" s="780"/>
      <c r="AH45" s="780"/>
      <c r="AI45" s="780"/>
      <c r="AJ45" s="780"/>
      <c r="AK45" s="1009"/>
      <c r="AL45" s="3800"/>
      <c r="AM45" s="3800"/>
      <c r="AN45" s="3800"/>
      <c r="AO45" s="780"/>
      <c r="AP45" s="780"/>
      <c r="AQ45" s="2038"/>
      <c r="AR45" s="2038"/>
      <c r="AS45" s="2038"/>
      <c r="AT45" s="2038"/>
      <c r="AU45" s="2038"/>
      <c r="AV45" s="2038"/>
      <c r="AW45" s="2038"/>
      <c r="AX45" s="2038"/>
      <c r="AY45" s="2038"/>
      <c r="AZ45" s="2038"/>
    </row>
    <row r="46" spans="1:52" ht="16.5" customHeight="1" thickBot="1">
      <c r="A46" s="394"/>
      <c r="B46" s="34"/>
      <c r="C46" s="611"/>
      <c r="D46" s="3790" t="s">
        <v>3110</v>
      </c>
      <c r="E46" s="637"/>
      <c r="F46" s="637"/>
      <c r="G46" s="34"/>
      <c r="H46" s="34"/>
      <c r="I46" s="34"/>
      <c r="J46" s="34"/>
      <c r="K46" s="34"/>
      <c r="L46" s="34"/>
      <c r="M46" s="34"/>
      <c r="N46" s="34"/>
      <c r="O46" s="3787"/>
      <c r="P46" s="34"/>
      <c r="Q46" s="3787" t="s">
        <v>1226</v>
      </c>
      <c r="R46" s="3817">
        <v>13</v>
      </c>
      <c r="S46" s="7886" t="str">
        <f>IF(AB46&lt;&gt;"",ROUND(AB46,0),IF(OR(P32,AK24),"",ROUND(X43*U45,0)))</f>
        <v/>
      </c>
      <c r="T46" s="7887"/>
      <c r="U46" s="7887"/>
      <c r="V46" s="7888"/>
      <c r="W46" s="7877"/>
      <c r="X46" s="7878"/>
      <c r="Y46" s="7878"/>
      <c r="Z46" s="7878"/>
      <c r="AA46" s="66"/>
      <c r="AB46" s="2642"/>
      <c r="AC46" s="3805"/>
      <c r="AD46" s="3805"/>
      <c r="AE46" s="3795"/>
      <c r="AF46" s="3795"/>
      <c r="AG46" s="780"/>
      <c r="AH46" s="780"/>
      <c r="AI46" s="780"/>
      <c r="AJ46" s="780"/>
      <c r="AK46" s="1009"/>
      <c r="AL46" s="3895" t="s">
        <v>3111</v>
      </c>
      <c r="AM46" s="3895" t="s">
        <v>3112</v>
      </c>
      <c r="AN46" s="3895"/>
      <c r="AO46" s="780"/>
      <c r="AP46" s="780"/>
      <c r="AQ46" s="2038"/>
      <c r="AR46" s="2038"/>
      <c r="AS46" s="2038"/>
      <c r="AT46" s="2038"/>
      <c r="AU46" s="2038"/>
      <c r="AV46" s="2038"/>
      <c r="AW46" s="2038"/>
      <c r="AX46" s="2038"/>
      <c r="AY46" s="2038"/>
      <c r="AZ46" s="2038"/>
    </row>
    <row r="47" spans="1:52" ht="13.5" customHeight="1">
      <c r="A47" s="394"/>
      <c r="B47" s="685"/>
      <c r="C47" s="686" t="s">
        <v>982</v>
      </c>
      <c r="D47" s="5677"/>
      <c r="E47" s="1458" t="s">
        <v>3113</v>
      </c>
      <c r="F47" s="687"/>
      <c r="G47" s="687"/>
      <c r="H47" s="687"/>
      <c r="I47" s="687"/>
      <c r="J47" s="687"/>
      <c r="K47" s="687"/>
      <c r="L47" s="687"/>
      <c r="M47" s="687"/>
      <c r="N47" s="687"/>
      <c r="O47" s="687"/>
      <c r="P47" s="687"/>
      <c r="Q47" s="687"/>
      <c r="R47" s="687"/>
      <c r="S47" s="687"/>
      <c r="T47" s="687"/>
      <c r="U47" s="687"/>
      <c r="V47" s="687"/>
      <c r="W47" s="687"/>
      <c r="X47" s="687"/>
      <c r="Y47" s="687"/>
      <c r="Z47" s="687"/>
      <c r="AA47" s="66"/>
      <c r="AB47" s="292"/>
      <c r="AC47" s="3805"/>
      <c r="AD47" s="3805"/>
      <c r="AE47" s="3795"/>
      <c r="AF47" s="3795"/>
      <c r="AG47" s="780"/>
      <c r="AH47" s="780"/>
      <c r="AI47" s="780"/>
      <c r="AJ47" s="3879" t="s">
        <v>171</v>
      </c>
      <c r="AK47" s="1009" t="s">
        <v>3114</v>
      </c>
      <c r="AL47" s="3886">
        <f>IF('Sch. C'!Y10,0,IF('Sch. C'!Y6,SchC_ProfitLoss1,0))</f>
        <v>0</v>
      </c>
      <c r="AM47" s="3888">
        <f>IF('Sch. C'!Y10,0,IF('Sch. C'!Y8,SchC_ProfitLoss1,0))</f>
        <v>0</v>
      </c>
      <c r="AN47" s="780"/>
      <c r="AO47" s="780"/>
      <c r="AP47" s="780"/>
      <c r="AQ47" s="2038"/>
      <c r="AR47" s="2038"/>
      <c r="AS47" s="2038"/>
      <c r="AT47" s="2038"/>
      <c r="AU47" s="2038"/>
      <c r="AV47" s="2038"/>
      <c r="AW47" s="2038"/>
      <c r="AX47" s="2038"/>
      <c r="AY47" s="2038"/>
      <c r="AZ47" s="2038"/>
    </row>
    <row r="48" spans="1:52" ht="14.25">
      <c r="A48" s="394"/>
      <c r="B48" s="23" t="s">
        <v>3115</v>
      </c>
      <c r="C48" s="22"/>
      <c r="D48" s="22"/>
      <c r="E48" s="22"/>
      <c r="F48" s="22"/>
      <c r="G48" s="22"/>
      <c r="H48" s="22"/>
      <c r="I48" s="22"/>
      <c r="J48" s="22"/>
      <c r="K48" s="22"/>
      <c r="L48" s="22"/>
      <c r="M48" s="22"/>
      <c r="N48" s="22"/>
      <c r="O48" s="22"/>
      <c r="P48" s="22"/>
      <c r="Q48" s="22"/>
      <c r="R48" s="22"/>
      <c r="S48" s="22"/>
      <c r="T48" s="22"/>
      <c r="U48" s="22"/>
      <c r="V48" s="22"/>
      <c r="W48" s="291"/>
      <c r="X48" s="943">
        <v>9840</v>
      </c>
      <c r="Y48" s="22"/>
      <c r="Z48" s="22"/>
      <c r="AA48" s="66"/>
      <c r="AB48" s="292"/>
      <c r="AC48" s="3805"/>
      <c r="AD48" s="3805"/>
      <c r="AE48" s="3795"/>
      <c r="AF48" s="3795"/>
      <c r="AG48" s="780"/>
      <c r="AH48" s="780"/>
      <c r="AI48" s="780"/>
      <c r="AJ48" s="3879" t="s">
        <v>171</v>
      </c>
      <c r="AK48" s="1009" t="s">
        <v>3116</v>
      </c>
      <c r="AL48" s="3889">
        <f>IF('Sch. C'!Y124,0,IF('Sch. C'!Y120,SchC_ProfitLoss2,0))</f>
        <v>0</v>
      </c>
      <c r="AM48" s="3891">
        <f>IF('Sch. C'!Y124,0,IF('Sch. C'!Y122,SchC_ProfitLoss2,0))</f>
        <v>0</v>
      </c>
      <c r="AN48" s="780"/>
      <c r="AO48" s="780"/>
      <c r="AP48" s="780"/>
      <c r="AQ48" s="2038"/>
      <c r="AR48" s="2038"/>
      <c r="AS48" s="2038"/>
      <c r="AT48" s="2038"/>
      <c r="AU48" s="2038"/>
      <c r="AV48" s="2038"/>
      <c r="AW48" s="2038"/>
      <c r="AX48" s="2038"/>
      <c r="AY48" s="2038"/>
      <c r="AZ48" s="2038"/>
    </row>
    <row r="49" spans="1:52" ht="12.75" customHeight="1" thickBot="1">
      <c r="A49" s="394"/>
      <c r="B49" s="61" t="str">
        <f>"than "&amp;TEXT(X48,"$0,000")&amp;" or (b) your net farm profits were less than "&amp;TEXT(X49,"$0,000")&amp;"."</f>
        <v>than $9,840 or (b) your net farm profits were less than $7,103.</v>
      </c>
      <c r="C49" s="22"/>
      <c r="D49" s="22"/>
      <c r="E49" s="22"/>
      <c r="F49" s="22"/>
      <c r="G49" s="22"/>
      <c r="H49" s="22"/>
      <c r="I49" s="22"/>
      <c r="J49" s="22"/>
      <c r="K49" s="22"/>
      <c r="L49" s="22"/>
      <c r="M49" s="22"/>
      <c r="N49" s="22"/>
      <c r="O49" s="22"/>
      <c r="P49" s="22"/>
      <c r="Q49" s="22"/>
      <c r="R49" s="22"/>
      <c r="S49" s="22"/>
      <c r="T49" s="22"/>
      <c r="U49" s="22"/>
      <c r="V49" s="22"/>
      <c r="W49" s="291"/>
      <c r="X49" s="943">
        <v>7103</v>
      </c>
      <c r="Y49" s="22"/>
      <c r="Z49" s="22"/>
      <c r="AA49" s="66"/>
      <c r="AB49" s="292"/>
      <c r="AC49" s="3805"/>
      <c r="AD49" s="3805"/>
      <c r="AE49" s="3795"/>
      <c r="AF49" s="3795"/>
      <c r="AG49" s="780"/>
      <c r="AH49" s="780"/>
      <c r="AI49" s="780"/>
      <c r="AJ49" s="3879" t="s">
        <v>171</v>
      </c>
      <c r="AK49" s="3417" t="s">
        <v>3094</v>
      </c>
      <c r="AL49" s="3896">
        <f>IF(AND('Sch. C'!Y6,NOT('Sch. C'!Y10),'Sch. C'!Y120,NOT('Sch. C'!Y124)),SUM(SchC_ProfitLoss1,SchC_ProfitLoss2),0)</f>
        <v>0</v>
      </c>
      <c r="AM49" s="3897">
        <f>IF(AND('Sch. C'!Y8,NOT('Sch. C'!Y10),'Sch. C'!Y122,NOT('Sch. C'!Y124)),SUM(SchC_ProfitLoss1,SchC_ProfitLoss2),0)</f>
        <v>0</v>
      </c>
      <c r="AN49" s="3800"/>
      <c r="AO49" s="780"/>
      <c r="AP49" s="780"/>
      <c r="AQ49" s="2050"/>
      <c r="AR49" s="2038"/>
      <c r="AS49" s="2038"/>
      <c r="AT49" s="2038"/>
      <c r="AU49" s="2038"/>
      <c r="AV49" s="2038"/>
      <c r="AW49" s="2038"/>
      <c r="AX49" s="2038"/>
      <c r="AY49" s="2038"/>
      <c r="AZ49" s="2038"/>
    </row>
    <row r="50" spans="1:52" ht="13.5" customHeight="1">
      <c r="A50" s="394"/>
      <c r="B50" s="22"/>
      <c r="C50" s="37">
        <v>14</v>
      </c>
      <c r="D50" s="22" t="s">
        <v>3117</v>
      </c>
      <c r="E50" s="22"/>
      <c r="F50" s="22"/>
      <c r="G50" s="22"/>
      <c r="H50" s="22"/>
      <c r="I50" s="22"/>
      <c r="J50" s="22"/>
      <c r="K50" s="22"/>
      <c r="L50" s="22"/>
      <c r="M50" s="22"/>
      <c r="N50" s="22"/>
      <c r="O50" s="22"/>
      <c r="P50" s="22"/>
      <c r="Q50" s="22"/>
      <c r="R50" s="22"/>
      <c r="S50" s="22"/>
      <c r="T50" s="22"/>
      <c r="U50" s="22"/>
      <c r="V50" s="2139" t="s">
        <v>705</v>
      </c>
      <c r="W50" s="1656">
        <v>14</v>
      </c>
      <c r="X50" s="7879">
        <v>6560</v>
      </c>
      <c r="Y50" s="7880"/>
      <c r="Z50" s="7880"/>
      <c r="AA50" s="66"/>
      <c r="AB50" s="3906" t="str">
        <f>IF(X52&gt;X50,"Line 15 cannot","")</f>
        <v/>
      </c>
      <c r="AC50" s="3805"/>
      <c r="AD50" s="3805"/>
      <c r="AE50" s="3795"/>
      <c r="AF50" s="3795"/>
      <c r="AG50" s="780"/>
      <c r="AH50" s="780"/>
      <c r="AI50" s="780"/>
      <c r="AJ50" s="780"/>
      <c r="AK50" s="1009" t="s">
        <v>3118</v>
      </c>
      <c r="AL50" s="3800" t="b">
        <f>AND('Sch. C'!Y6,SchC_StatutoryEmp_1&lt;&gt;"")</f>
        <v>0</v>
      </c>
      <c r="AM50" s="3800" t="b">
        <f>AND('Sch. C'!Y8,SchC_StatutoryEmp_1&lt;&gt;"")</f>
        <v>0</v>
      </c>
      <c r="AN50" s="3800"/>
      <c r="AO50" s="780"/>
      <c r="AP50" s="780"/>
      <c r="AQ50" s="2038"/>
      <c r="AR50" s="2038"/>
      <c r="AS50" s="2038"/>
      <c r="AT50" s="2038"/>
      <c r="AU50" s="2038"/>
      <c r="AV50" s="2038"/>
      <c r="AW50" s="2038"/>
      <c r="AX50" s="2038"/>
      <c r="AY50" s="2038"/>
      <c r="AZ50" s="2038"/>
    </row>
    <row r="51" spans="1:52" ht="13.5" customHeight="1">
      <c r="A51" s="394"/>
      <c r="B51" s="22"/>
      <c r="C51" s="37">
        <v>15</v>
      </c>
      <c r="D51" s="61" t="s">
        <v>3119</v>
      </c>
      <c r="E51" s="22"/>
      <c r="F51" s="22"/>
      <c r="G51" s="22"/>
      <c r="H51" s="22"/>
      <c r="I51" s="22"/>
      <c r="J51" s="22"/>
      <c r="K51" s="22"/>
      <c r="L51" s="22"/>
      <c r="M51" s="22"/>
      <c r="N51" s="22"/>
      <c r="O51" s="22"/>
      <c r="P51" s="22"/>
      <c r="Q51" s="22"/>
      <c r="R51" s="7874" t="str">
        <f>TEXT(X50,"$0,000")&amp;" "</f>
        <v xml:space="preserve">$6,560 </v>
      </c>
      <c r="S51" s="7874"/>
      <c r="T51" s="45"/>
      <c r="U51" s="61"/>
      <c r="V51" s="1749" t="s">
        <v>3120</v>
      </c>
      <c r="W51" s="291"/>
      <c r="X51" s="805" t="b">
        <f>AND(X52&lt;&gt;"",X52&gt;0)</f>
        <v>0</v>
      </c>
      <c r="Y51" s="22"/>
      <c r="Z51" s="22"/>
      <c r="AA51" s="66"/>
      <c r="AB51" s="3906" t="str">
        <f>IF(X52&gt;X50,"be more than","")</f>
        <v/>
      </c>
      <c r="AC51" s="3805"/>
      <c r="AD51" s="3805"/>
      <c r="AE51" s="3795"/>
      <c r="AF51" s="3795"/>
      <c r="AG51" s="780"/>
      <c r="AH51" s="780"/>
      <c r="AI51" s="780"/>
      <c r="AJ51" s="780"/>
      <c r="AK51" s="1009" t="s">
        <v>3121</v>
      </c>
      <c r="AL51" s="780" t="b">
        <f>AND('Sch. C'!Y120,NOT('Sch. C'!Y124),SchC_StatutoryEmp_2&lt;&gt;"")</f>
        <v>0</v>
      </c>
      <c r="AM51" s="780" t="b">
        <f>AND('Sch. C'!Y122,NOT('Sch. C'!Y124),SchC_StatutoryEmp_2&lt;&gt;"")</f>
        <v>0</v>
      </c>
      <c r="AN51" s="780"/>
      <c r="AO51" s="780"/>
      <c r="AP51" s="780"/>
      <c r="AQ51" s="2038"/>
      <c r="AR51" s="2038"/>
      <c r="AS51" s="2038"/>
      <c r="AT51" s="2038"/>
      <c r="AU51" s="2038"/>
      <c r="AV51" s="2038"/>
      <c r="AW51" s="2038"/>
      <c r="AX51" s="2038"/>
      <c r="AY51" s="2038"/>
      <c r="AZ51" s="2038"/>
    </row>
    <row r="52" spans="1:52" ht="13.5" customHeight="1">
      <c r="A52" s="394"/>
      <c r="B52" s="38"/>
      <c r="C52" s="38"/>
      <c r="D52" s="3783" t="s">
        <v>3122</v>
      </c>
      <c r="E52" s="38"/>
      <c r="F52" s="38"/>
      <c r="G52" s="38"/>
      <c r="H52" s="38"/>
      <c r="I52" s="38"/>
      <c r="J52" s="38"/>
      <c r="K52" s="38"/>
      <c r="L52" s="38"/>
      <c r="M52" s="38"/>
      <c r="N52" s="38"/>
      <c r="O52" s="38"/>
      <c r="P52" s="38"/>
      <c r="Q52" s="38"/>
      <c r="R52" s="38"/>
      <c r="S52" s="38"/>
      <c r="T52" s="38"/>
      <c r="U52" s="38"/>
      <c r="V52" s="5678" t="s">
        <v>740</v>
      </c>
      <c r="W52" s="1656">
        <v>15</v>
      </c>
      <c r="X52" s="7881"/>
      <c r="Y52" s="7882"/>
      <c r="Z52" s="7882"/>
      <c r="AA52" s="66"/>
      <c r="AB52" s="3906" t="str">
        <f>IF(X52&gt;X50,"Line 14.","")</f>
        <v/>
      </c>
      <c r="AC52" s="3805"/>
      <c r="AD52" s="3805"/>
      <c r="AE52" s="3795"/>
      <c r="AF52" s="3795"/>
      <c r="AG52" s="780"/>
      <c r="AH52" s="780"/>
      <c r="AI52" s="780"/>
      <c r="AJ52" s="780"/>
      <c r="AK52" s="780"/>
      <c r="AL52" s="780"/>
      <c r="AM52" s="780"/>
      <c r="AN52" s="780"/>
      <c r="AO52" s="780"/>
      <c r="AP52" s="780"/>
      <c r="AQ52" s="2038"/>
      <c r="AR52" s="2038"/>
      <c r="AS52" s="2038"/>
      <c r="AT52" s="2038"/>
      <c r="AU52" s="2038"/>
      <c r="AV52" s="2038"/>
      <c r="AW52" s="2038"/>
      <c r="AX52" s="2038"/>
      <c r="AY52" s="2038"/>
      <c r="AZ52" s="2038"/>
    </row>
    <row r="53" spans="1:52" ht="13.5" customHeight="1">
      <c r="A53" s="394"/>
      <c r="B53" s="23" t="s">
        <v>3123</v>
      </c>
      <c r="C53" s="22"/>
      <c r="D53" s="22"/>
      <c r="E53" s="22"/>
      <c r="F53" s="22"/>
      <c r="G53" s="22"/>
      <c r="H53" s="22"/>
      <c r="I53" s="22"/>
      <c r="J53" s="22"/>
      <c r="K53" s="22"/>
      <c r="L53" s="22"/>
      <c r="M53" s="22"/>
      <c r="N53" s="22"/>
      <c r="O53" s="22"/>
      <c r="P53" s="22"/>
      <c r="Q53" s="22"/>
      <c r="R53" s="22"/>
      <c r="S53" s="22"/>
      <c r="T53" s="196" t="str">
        <f>"than "&amp;TEXT(X49,"$0,000")</f>
        <v>than $7,103</v>
      </c>
      <c r="U53" s="196"/>
      <c r="V53" s="2546"/>
      <c r="W53" s="291"/>
      <c r="X53" s="805">
        <v>0.72189000000000003</v>
      </c>
      <c r="Y53" s="22"/>
      <c r="Z53" s="22"/>
      <c r="AA53" s="66"/>
      <c r="AB53" s="292"/>
      <c r="AC53" s="3805"/>
      <c r="AD53" s="3805"/>
      <c r="AE53" s="3795"/>
      <c r="AF53" s="3795"/>
      <c r="AG53" s="780"/>
      <c r="AH53" s="780"/>
      <c r="AI53" s="780"/>
      <c r="AJ53" s="780"/>
      <c r="AK53" s="1009"/>
      <c r="AL53" s="3800"/>
      <c r="AM53" s="1009"/>
      <c r="AN53" s="780"/>
      <c r="AO53" s="780"/>
      <c r="AP53" s="780"/>
      <c r="AQ53" s="2038"/>
      <c r="AR53" s="2038"/>
      <c r="AS53" s="2038"/>
      <c r="AT53" s="2038"/>
      <c r="AU53" s="2038"/>
      <c r="AV53" s="2038"/>
      <c r="AW53" s="2038"/>
      <c r="AX53" s="2038"/>
      <c r="AY53" s="2038"/>
      <c r="AZ53" s="2038"/>
    </row>
    <row r="54" spans="1:52" ht="13.5" customHeight="1">
      <c r="A54" s="394"/>
      <c r="B54" s="683" t="str">
        <f>"and also less than "&amp;TEXT(X53,"0.000%")&amp;" of your"</f>
        <v>and also less than 72.189% of your</v>
      </c>
      <c r="C54" s="22"/>
      <c r="D54" s="22"/>
      <c r="E54" s="22"/>
      <c r="F54" s="22"/>
      <c r="G54" s="22"/>
      <c r="H54" s="61"/>
      <c r="I54" s="22"/>
      <c r="J54" s="61"/>
      <c r="K54" s="22"/>
      <c r="L54" s="22"/>
      <c r="M54" s="22"/>
      <c r="N54" s="22"/>
      <c r="O54" s="22"/>
      <c r="P54" s="22"/>
      <c r="Q54" s="22"/>
      <c r="R54" s="22"/>
      <c r="S54" s="1749" t="s">
        <v>3124</v>
      </c>
      <c r="T54" s="22"/>
      <c r="U54" s="22"/>
      <c r="V54" s="22"/>
      <c r="W54" s="291"/>
      <c r="X54" s="805">
        <v>400</v>
      </c>
      <c r="Y54" s="22"/>
      <c r="Z54" s="22"/>
      <c r="AA54" s="66"/>
      <c r="AB54" s="292"/>
      <c r="AC54" s="3805"/>
      <c r="AD54" s="3805"/>
      <c r="AE54" s="3795"/>
      <c r="AF54" s="3795"/>
      <c r="AG54" s="780"/>
      <c r="AH54" s="780"/>
      <c r="AI54" s="780"/>
      <c r="AJ54" s="780"/>
      <c r="AK54" s="3802"/>
      <c r="AL54" s="3802"/>
      <c r="AM54" s="3802"/>
      <c r="AN54" s="3802"/>
      <c r="AO54" s="780"/>
      <c r="AP54" s="780"/>
      <c r="AQ54" s="2038"/>
      <c r="AR54" s="2038"/>
      <c r="AS54" s="2038"/>
      <c r="AT54" s="2038"/>
      <c r="AU54" s="2038"/>
      <c r="AV54" s="2038"/>
      <c r="AW54" s="2038"/>
      <c r="AX54" s="2038"/>
      <c r="AY54" s="2038"/>
      <c r="AZ54" s="2038"/>
    </row>
    <row r="55" spans="1:52">
      <c r="A55" s="394"/>
      <c r="B55" s="51" t="str">
        <f>"employment of at least "&amp;TEXT(X54,"$0")&amp;" in 2 of the prior 3 years."</f>
        <v>employment of at least $400 in 2 of the prior 3 years.</v>
      </c>
      <c r="C55" s="22"/>
      <c r="D55" s="22"/>
      <c r="E55" s="22"/>
      <c r="F55" s="22"/>
      <c r="G55" s="22"/>
      <c r="H55" s="22"/>
      <c r="I55" s="22"/>
      <c r="J55" s="22"/>
      <c r="K55" s="61" t="s">
        <v>3125</v>
      </c>
      <c r="L55" s="22"/>
      <c r="M55" s="61"/>
      <c r="N55" s="22"/>
      <c r="O55" s="22"/>
      <c r="P55" s="22"/>
      <c r="Q55" s="22"/>
      <c r="R55" s="22"/>
      <c r="S55" s="22"/>
      <c r="T55" s="22"/>
      <c r="U55" s="22"/>
      <c r="V55" s="22"/>
      <c r="W55" s="291"/>
      <c r="X55" s="22"/>
      <c r="Y55" s="22"/>
      <c r="Z55" s="22"/>
      <c r="AA55" s="66"/>
      <c r="AB55" s="292"/>
      <c r="AC55" s="3805"/>
      <c r="AD55" s="3805"/>
      <c r="AE55" s="3795"/>
      <c r="AF55" s="3795"/>
      <c r="AG55" s="780"/>
      <c r="AH55" s="780"/>
      <c r="AI55" s="780"/>
      <c r="AJ55" s="780"/>
      <c r="AK55" s="3794"/>
      <c r="AL55" s="3794"/>
      <c r="AM55" s="3794"/>
      <c r="AN55" s="3794"/>
      <c r="AO55" s="780"/>
      <c r="AP55" s="780"/>
      <c r="AQ55" s="2038"/>
      <c r="AR55" s="2038"/>
      <c r="AS55" s="2038"/>
      <c r="AT55" s="2038"/>
      <c r="AU55" s="2038"/>
      <c r="AV55" s="2038"/>
      <c r="AW55" s="2038"/>
      <c r="AX55" s="2038"/>
      <c r="AY55" s="2038"/>
      <c r="AZ55" s="2038"/>
    </row>
    <row r="56" spans="1:52">
      <c r="A56" s="394"/>
      <c r="B56" s="22"/>
      <c r="C56" s="37">
        <v>16</v>
      </c>
      <c r="D56" s="22" t="s">
        <v>3126</v>
      </c>
      <c r="E56" s="22"/>
      <c r="F56" s="22"/>
      <c r="G56" s="22"/>
      <c r="H56" s="22"/>
      <c r="I56" s="22"/>
      <c r="J56" s="22"/>
      <c r="K56" s="22"/>
      <c r="L56" s="22"/>
      <c r="M56" s="22"/>
      <c r="N56" s="22"/>
      <c r="O56" s="22"/>
      <c r="P56" s="22"/>
      <c r="Q56" s="22"/>
      <c r="R56" s="22"/>
      <c r="S56" s="22"/>
      <c r="T56" s="22"/>
      <c r="U56" s="22"/>
      <c r="V56" s="5679" t="s">
        <v>3127</v>
      </c>
      <c r="W56" s="1656">
        <v>16</v>
      </c>
      <c r="X56" s="7851" t="str">
        <f>IF(X52="","",IF(X50-X52&lt;0,0,X50-X52))</f>
        <v/>
      </c>
      <c r="Y56" s="7852"/>
      <c r="Z56" s="7852"/>
      <c r="AA56" s="66"/>
      <c r="AB56" s="292"/>
      <c r="AC56" s="780"/>
      <c r="AD56" s="780"/>
      <c r="AE56" s="780"/>
      <c r="AF56" s="780"/>
      <c r="AG56" s="780"/>
      <c r="AH56" s="1745" t="str">
        <f>IF(Q46="",0,Q46)</f>
        <v xml:space="preserve">.   .   .   .   .   .   .   .   .   .   .   .   .   .   .   .   .   .   .   .   .   .   .   .   .   .   .   .  </v>
      </c>
      <c r="AI56" s="780"/>
      <c r="AJ56" s="780"/>
      <c r="AK56" s="780"/>
      <c r="AL56" s="780"/>
      <c r="AM56" s="780"/>
      <c r="AN56" s="780"/>
      <c r="AO56" s="780"/>
      <c r="AP56" s="780"/>
      <c r="AQ56" s="2038"/>
      <c r="AR56" s="2038"/>
      <c r="AS56" s="2038"/>
      <c r="AT56" s="2038"/>
      <c r="AU56" s="2038"/>
      <c r="AV56" s="2038"/>
      <c r="AW56" s="2038"/>
      <c r="AX56" s="2038"/>
      <c r="AY56" s="2038"/>
      <c r="AZ56" s="2038"/>
    </row>
    <row r="57" spans="1:52" ht="14.25">
      <c r="A57" s="394"/>
      <c r="B57" s="22"/>
      <c r="C57" s="37">
        <v>17</v>
      </c>
      <c r="D57" s="61" t="s">
        <v>3128</v>
      </c>
      <c r="E57" s="22"/>
      <c r="F57" s="22"/>
      <c r="G57" s="22"/>
      <c r="H57" s="22"/>
      <c r="I57" s="22"/>
      <c r="J57" s="22"/>
      <c r="K57" s="22"/>
      <c r="L57" s="22"/>
      <c r="M57" s="22"/>
      <c r="N57" s="22"/>
      <c r="O57" s="22"/>
      <c r="P57" s="22"/>
      <c r="Q57" s="22"/>
      <c r="R57" s="22"/>
      <c r="S57" s="22"/>
      <c r="T57" s="22"/>
      <c r="U57" s="22"/>
      <c r="V57" s="22"/>
      <c r="W57" s="291"/>
      <c r="X57" s="805" t="b">
        <f>AND(X58&lt;&gt;"",X58&gt;0)</f>
        <v>0</v>
      </c>
      <c r="Y57" s="22"/>
      <c r="Z57" s="22"/>
      <c r="AA57" s="66"/>
      <c r="AB57" s="334" t="str">
        <f>IF($X$58&gt;$X$56,"Line 17 cannot","")</f>
        <v/>
      </c>
      <c r="AC57" s="3950"/>
      <c r="AD57" s="3950"/>
      <c r="AE57" s="3950"/>
      <c r="AF57" s="3950"/>
      <c r="AG57" s="3950"/>
      <c r="AH57" s="3950"/>
      <c r="AI57" s="780"/>
      <c r="AJ57" s="3416"/>
      <c r="AK57" s="780"/>
      <c r="AL57" s="3882"/>
      <c r="AM57" s="2264"/>
      <c r="AN57" s="2264"/>
      <c r="AO57" s="780"/>
      <c r="AP57" s="780"/>
      <c r="AQ57" s="2038"/>
      <c r="AR57" s="2038"/>
      <c r="AS57" s="2038"/>
      <c r="AT57" s="2038"/>
      <c r="AU57" s="2038"/>
      <c r="AV57" s="2038"/>
      <c r="AW57" s="2038"/>
      <c r="AX57" s="2038"/>
      <c r="AY57" s="2038"/>
      <c r="AZ57" s="2038"/>
    </row>
    <row r="58" spans="1:52">
      <c r="A58" s="394"/>
      <c r="B58" s="22"/>
      <c r="C58" s="22"/>
      <c r="D58" s="688" t="s">
        <v>3129</v>
      </c>
      <c r="E58" s="22"/>
      <c r="F58" s="22"/>
      <c r="G58" s="22"/>
      <c r="H58" s="22"/>
      <c r="I58" s="22"/>
      <c r="J58" s="22"/>
      <c r="K58" s="22"/>
      <c r="L58" s="22"/>
      <c r="M58" s="22"/>
      <c r="N58" s="22"/>
      <c r="O58" s="22"/>
      <c r="P58" s="22"/>
      <c r="Q58" s="22"/>
      <c r="R58" s="22"/>
      <c r="S58" s="22"/>
      <c r="T58" s="22"/>
      <c r="U58" s="22"/>
      <c r="V58" s="2139" t="s">
        <v>642</v>
      </c>
      <c r="W58" s="1656">
        <v>17</v>
      </c>
      <c r="X58" s="7881"/>
      <c r="Y58" s="7882"/>
      <c r="Z58" s="7882"/>
      <c r="AA58" s="66"/>
      <c r="AB58" s="334" t="str">
        <f>IF($X$58&gt;$X$56,"be more than","")</f>
        <v/>
      </c>
      <c r="AC58" s="780"/>
      <c r="AD58" s="780"/>
      <c r="AE58" s="780"/>
      <c r="AF58" s="780"/>
      <c r="AG58" s="780"/>
      <c r="AH58" s="780"/>
      <c r="AI58" s="780"/>
      <c r="AJ58" s="3880"/>
      <c r="AK58" s="3416"/>
      <c r="AL58" s="3882"/>
      <c r="AM58" s="2264"/>
      <c r="AN58" s="2264"/>
      <c r="AO58" s="780"/>
      <c r="AP58" s="780"/>
      <c r="AQ58" s="2038"/>
      <c r="AR58" s="2038"/>
      <c r="AS58" s="2038"/>
      <c r="AT58" s="2038"/>
      <c r="AU58" s="2038"/>
      <c r="AV58" s="2038"/>
      <c r="AW58" s="2038"/>
      <c r="AX58" s="2038"/>
      <c r="AY58" s="2038"/>
      <c r="AZ58" s="2038"/>
    </row>
    <row r="59" spans="1:52" ht="14.25" customHeight="1">
      <c r="A59" s="394"/>
      <c r="B59" s="444">
        <v>1</v>
      </c>
      <c r="C59" s="7889" t="s">
        <v>3130</v>
      </c>
      <c r="D59" s="7889"/>
      <c r="E59" s="7889"/>
      <c r="F59" s="7889"/>
      <c r="G59" s="7889"/>
      <c r="H59" s="7889"/>
      <c r="I59" s="7889"/>
      <c r="J59" s="7889"/>
      <c r="K59" s="7889"/>
      <c r="L59" s="7890"/>
      <c r="M59" s="3392">
        <v>3</v>
      </c>
      <c r="N59" s="7893" t="s">
        <v>3131</v>
      </c>
      <c r="O59" s="7893"/>
      <c r="P59" s="7893"/>
      <c r="Q59" s="7893"/>
      <c r="R59" s="7893"/>
      <c r="S59" s="7893"/>
      <c r="T59" s="7893"/>
      <c r="U59" s="7893"/>
      <c r="V59" s="7893"/>
      <c r="W59" s="7893"/>
      <c r="X59" s="7893"/>
      <c r="Y59" s="7893"/>
      <c r="Z59" s="7893"/>
      <c r="AA59" s="66"/>
      <c r="AB59" s="334" t="str">
        <f>IF($X$58&gt;$X$56,"Line 16.","")</f>
        <v/>
      </c>
      <c r="AC59" s="780"/>
      <c r="AD59" s="780"/>
      <c r="AE59" s="780"/>
      <c r="AF59" s="780"/>
      <c r="AG59" s="780"/>
      <c r="AH59" s="780"/>
      <c r="AI59" s="780"/>
      <c r="AJ59" s="780"/>
      <c r="AK59" s="3881"/>
      <c r="AL59" s="3823"/>
      <c r="AM59" s="3823"/>
      <c r="AN59" s="3823"/>
      <c r="AO59" s="780"/>
      <c r="AP59" s="780"/>
      <c r="AQ59" s="2038"/>
      <c r="AR59" s="2038"/>
      <c r="AS59" s="2038"/>
      <c r="AT59" s="2038"/>
      <c r="AU59" s="2038"/>
      <c r="AV59" s="2038"/>
      <c r="AW59" s="2038"/>
      <c r="AX59" s="2038"/>
      <c r="AY59" s="2038"/>
      <c r="AZ59" s="2038"/>
    </row>
    <row r="60" spans="1:52" s="640" customFormat="1" ht="25.5" customHeight="1" thickBot="1">
      <c r="A60" s="394"/>
      <c r="B60" s="445">
        <v>2</v>
      </c>
      <c r="C60" s="7891" t="s">
        <v>3132</v>
      </c>
      <c r="D60" s="7891"/>
      <c r="E60" s="7891"/>
      <c r="F60" s="7891"/>
      <c r="G60" s="7891"/>
      <c r="H60" s="7891"/>
      <c r="I60" s="7891"/>
      <c r="J60" s="7891"/>
      <c r="K60" s="7891"/>
      <c r="L60" s="7892"/>
      <c r="M60" s="445">
        <v>4</v>
      </c>
      <c r="N60" s="7853" t="s">
        <v>3133</v>
      </c>
      <c r="O60" s="7853"/>
      <c r="P60" s="7853"/>
      <c r="Q60" s="7853"/>
      <c r="R60" s="7853"/>
      <c r="S60" s="7853"/>
      <c r="T60" s="7853"/>
      <c r="U60" s="7853"/>
      <c r="V60" s="7853"/>
      <c r="W60" s="7853"/>
      <c r="X60" s="7853"/>
      <c r="Y60" s="7853"/>
      <c r="Z60" s="7853"/>
      <c r="AA60" s="66"/>
      <c r="AB60" s="292"/>
      <c r="AC60" s="780"/>
      <c r="AD60" s="780"/>
      <c r="AE60" s="780"/>
      <c r="AF60" s="780"/>
      <c r="AG60" s="780"/>
      <c r="AH60" s="780"/>
      <c r="AI60" s="780"/>
      <c r="AJ60" s="780"/>
      <c r="AK60" s="3417"/>
      <c r="AL60" s="3823"/>
      <c r="AM60" s="3823"/>
      <c r="AN60" s="3823"/>
      <c r="AO60" s="780"/>
      <c r="AP60" s="780"/>
      <c r="AQ60" s="2067"/>
      <c r="AR60" s="2067"/>
      <c r="AS60" s="2067"/>
      <c r="AT60" s="2067"/>
      <c r="AU60" s="2067"/>
      <c r="AV60" s="2067"/>
      <c r="AW60" s="2067"/>
      <c r="AX60" s="2067"/>
      <c r="AY60" s="2067"/>
      <c r="AZ60" s="2067"/>
    </row>
    <row r="61" spans="1:52" ht="13.5" thickBot="1">
      <c r="A61" s="2610"/>
      <c r="B61" s="4110" t="s">
        <v>979</v>
      </c>
      <c r="C61" s="4111"/>
      <c r="D61" s="4112"/>
      <c r="E61" s="4112"/>
      <c r="F61" s="4113"/>
      <c r="G61" s="4108"/>
      <c r="H61" s="4109"/>
      <c r="I61" s="4109"/>
      <c r="J61" s="4112"/>
      <c r="K61" s="4109"/>
      <c r="L61" s="4109"/>
      <c r="M61" s="4113"/>
      <c r="N61" s="4108"/>
      <c r="O61" s="4109"/>
      <c r="P61" s="4109"/>
      <c r="Q61" s="4114" t="s">
        <v>3134</v>
      </c>
      <c r="R61" s="4112"/>
      <c r="S61" s="4112"/>
      <c r="T61" s="4115"/>
      <c r="U61" s="4116"/>
      <c r="V61" s="893"/>
      <c r="W61" s="86"/>
      <c r="X61" s="86"/>
      <c r="Y61" s="86"/>
      <c r="Z61" s="765" t="str">
        <f>"Schedule SE (Form 1040) "&amp;TaxYear</f>
        <v>Schedule SE (Form 1040) 2023</v>
      </c>
      <c r="AA61" s="2609"/>
      <c r="AB61" s="2608"/>
      <c r="AC61" s="780"/>
      <c r="AD61" s="780"/>
      <c r="AE61" s="780"/>
      <c r="AF61" s="780"/>
      <c r="AG61" s="780"/>
      <c r="AH61" s="780"/>
      <c r="AI61" s="780"/>
      <c r="AJ61" s="780"/>
      <c r="AK61" s="780"/>
      <c r="AL61" s="780"/>
      <c r="AM61" s="780"/>
      <c r="AN61" s="780"/>
      <c r="AO61" s="780"/>
      <c r="AP61" s="780"/>
      <c r="AQ61" s="2038"/>
      <c r="AR61" s="2038"/>
      <c r="AS61" s="2038"/>
      <c r="AT61" s="2038"/>
      <c r="AU61" s="2038"/>
      <c r="AV61" s="2038"/>
      <c r="AW61" s="2038"/>
      <c r="AX61" s="2038"/>
      <c r="AY61" s="2038"/>
      <c r="AZ61" s="2038"/>
    </row>
    <row r="62" spans="1:52" ht="21.75" customHeight="1">
      <c r="A62" s="394"/>
      <c r="B62" s="7800" t="s">
        <v>3047</v>
      </c>
      <c r="C62" s="7801"/>
      <c r="D62" s="7801"/>
      <c r="E62" s="7801"/>
      <c r="F62" s="7802"/>
      <c r="G62" s="2544"/>
      <c r="H62" s="22"/>
      <c r="I62" s="283"/>
      <c r="J62" s="283"/>
      <c r="K62" s="283"/>
      <c r="L62" s="22"/>
      <c r="M62" s="284"/>
      <c r="N62" s="22"/>
      <c r="O62" s="283"/>
      <c r="P62" s="283"/>
      <c r="Q62" s="283"/>
      <c r="R62" s="22"/>
      <c r="S62" s="22"/>
      <c r="T62" s="22"/>
      <c r="U62" s="2545"/>
      <c r="V62" s="83"/>
      <c r="W62" s="7805" t="s">
        <v>576</v>
      </c>
      <c r="X62" s="7806"/>
      <c r="Y62" s="7806"/>
      <c r="Z62" s="7806"/>
      <c r="AA62" s="66"/>
      <c r="AB62" s="3908" t="s">
        <v>3135</v>
      </c>
      <c r="AC62" s="3203"/>
      <c r="AD62" s="3203"/>
      <c r="AE62" s="3203"/>
      <c r="AF62" s="3203"/>
      <c r="AG62" s="3203"/>
      <c r="AH62" s="3203"/>
      <c r="AI62" s="2806"/>
      <c r="AJ62" s="780"/>
      <c r="AK62" s="780"/>
      <c r="AL62" s="780"/>
      <c r="AM62" s="780"/>
      <c r="AN62" s="780"/>
      <c r="AO62" s="780"/>
      <c r="AP62" s="2806"/>
      <c r="AQ62" s="2037" t="s">
        <v>241</v>
      </c>
      <c r="AR62" s="2038"/>
      <c r="AS62" s="2038"/>
      <c r="AT62" s="2038"/>
      <c r="AU62" s="2038"/>
      <c r="AV62" s="2038"/>
      <c r="AW62" s="2038"/>
      <c r="AX62" s="2038"/>
      <c r="AY62" s="2038"/>
      <c r="AZ62" s="2038"/>
    </row>
    <row r="63" spans="1:52" ht="27.75" customHeight="1">
      <c r="A63" s="394"/>
      <c r="B63" s="7803" t="s">
        <v>2088</v>
      </c>
      <c r="C63" s="7803"/>
      <c r="D63" s="7803"/>
      <c r="E63" s="7803"/>
      <c r="F63" s="7804"/>
      <c r="G63" s="7816" t="s">
        <v>3049</v>
      </c>
      <c r="H63" s="7817"/>
      <c r="I63" s="7817"/>
      <c r="J63" s="7817"/>
      <c r="K63" s="7817"/>
      <c r="L63" s="7817"/>
      <c r="M63" s="7817"/>
      <c r="N63" s="7817"/>
      <c r="O63" s="7817"/>
      <c r="P63" s="7817"/>
      <c r="Q63" s="7817"/>
      <c r="R63" s="7817"/>
      <c r="S63" s="7817"/>
      <c r="T63" s="7817"/>
      <c r="U63" s="7817"/>
      <c r="V63" s="7818"/>
      <c r="W63" s="7812">
        <f>TaxYear</f>
        <v>2023</v>
      </c>
      <c r="X63" s="6864"/>
      <c r="Y63" s="6864"/>
      <c r="Z63" s="6864"/>
      <c r="AA63" s="66"/>
      <c r="AB63" s="292"/>
      <c r="AC63" s="7859" t="s">
        <v>3050</v>
      </c>
      <c r="AD63" s="7859"/>
      <c r="AE63" s="7859"/>
      <c r="AF63" s="3203"/>
      <c r="AG63" s="3203"/>
      <c r="AH63" s="3203"/>
      <c r="AI63" s="2806"/>
      <c r="AJ63" s="780"/>
      <c r="AK63" s="780"/>
      <c r="AL63" s="780"/>
      <c r="AM63" s="780"/>
      <c r="AN63" s="780"/>
      <c r="AO63" s="780"/>
      <c r="AP63" s="2806"/>
      <c r="AQ63" s="2038"/>
      <c r="AR63" s="2038"/>
      <c r="AS63" s="2038"/>
      <c r="AT63" s="2038"/>
      <c r="AU63" s="2038"/>
      <c r="AV63" s="2038"/>
      <c r="AW63" s="2038"/>
      <c r="AX63" s="2038"/>
      <c r="AY63" s="2038"/>
      <c r="AZ63" s="2038"/>
    </row>
    <row r="64" spans="1:52" ht="13.5" customHeight="1" thickBot="1">
      <c r="A64" s="394"/>
      <c r="B64" s="7821" t="s">
        <v>535</v>
      </c>
      <c r="C64" s="7821"/>
      <c r="D64" s="7821"/>
      <c r="E64" s="7821"/>
      <c r="F64" s="7822"/>
      <c r="G64" s="7813" t="s">
        <v>5622</v>
      </c>
      <c r="H64" s="6984"/>
      <c r="I64" s="6984"/>
      <c r="J64" s="6984"/>
      <c r="K64" s="6984"/>
      <c r="L64" s="6984"/>
      <c r="M64" s="6984"/>
      <c r="N64" s="6984"/>
      <c r="O64" s="6984"/>
      <c r="P64" s="6984"/>
      <c r="Q64" s="6984"/>
      <c r="R64" s="6984"/>
      <c r="S64" s="6984"/>
      <c r="T64" s="6984"/>
      <c r="U64" s="6984"/>
      <c r="V64" s="7289"/>
      <c r="W64" s="3797"/>
      <c r="X64" s="7819" t="s">
        <v>3051</v>
      </c>
      <c r="Y64" s="7819"/>
      <c r="Z64" s="7819"/>
      <c r="AA64" s="66"/>
      <c r="AB64" s="292"/>
      <c r="AC64" s="7859"/>
      <c r="AD64" s="7859"/>
      <c r="AE64" s="7859"/>
      <c r="AF64" s="3203"/>
      <c r="AG64" s="3203"/>
      <c r="AH64" s="3203"/>
      <c r="AI64" s="2806"/>
      <c r="AJ64" s="3203"/>
      <c r="AK64" s="2806"/>
      <c r="AL64" s="2806"/>
      <c r="AM64" s="2806"/>
      <c r="AN64" s="2806"/>
      <c r="AO64" s="2806"/>
      <c r="AP64" s="2806"/>
      <c r="AQ64" s="2038"/>
      <c r="AR64" s="2038"/>
      <c r="AS64" s="2038"/>
      <c r="AT64" s="2038"/>
      <c r="AU64" s="2038"/>
      <c r="AV64" s="2038"/>
      <c r="AW64" s="2038"/>
      <c r="AX64" s="2038"/>
      <c r="AY64" s="2038"/>
      <c r="AZ64" s="2038"/>
    </row>
    <row r="65" spans="1:52" ht="12.75" customHeight="1" thickBot="1">
      <c r="A65" s="394"/>
      <c r="B65" s="7823" t="str">
        <f>"Internal Revenue Service  (99)"</f>
        <v>Internal Revenue Service  (99)</v>
      </c>
      <c r="C65" s="7823"/>
      <c r="D65" s="7823"/>
      <c r="E65" s="7823"/>
      <c r="F65" s="7824"/>
      <c r="G65" s="7813" t="s">
        <v>5623</v>
      </c>
      <c r="H65" s="7814"/>
      <c r="I65" s="7814"/>
      <c r="J65" s="7814"/>
      <c r="K65" s="7814"/>
      <c r="L65" s="7814"/>
      <c r="M65" s="7814"/>
      <c r="N65" s="7814"/>
      <c r="O65" s="7814"/>
      <c r="P65" s="7814"/>
      <c r="Q65" s="7814"/>
      <c r="R65" s="7814"/>
      <c r="S65" s="7814"/>
      <c r="T65" s="7814"/>
      <c r="U65" s="7814"/>
      <c r="V65" s="7815"/>
      <c r="W65" s="3798"/>
      <c r="X65" s="7820"/>
      <c r="Y65" s="7820"/>
      <c r="Z65" s="7820"/>
      <c r="AA65" s="66"/>
      <c r="AB65" s="292"/>
      <c r="AC65" s="780"/>
      <c r="AD65" s="1989"/>
      <c r="AE65" s="3397" t="s">
        <v>3052</v>
      </c>
      <c r="AF65" s="780"/>
      <c r="AG65" s="7858" t="str">
        <f>IF(AND(AJ67,AL95),"Error: You can't check 'Spouse' if this form is for your statutory employee income.",IF(AND(AJ65,AM95),"Error: You can't check 'Yourself' if this form is for your spouse's statutory employee income.",""))</f>
        <v/>
      </c>
      <c r="AH65" s="2806"/>
      <c r="AI65" s="780"/>
      <c r="AJ65" s="780" t="b">
        <f>(AD65&lt;&gt;"")</f>
        <v>0</v>
      </c>
      <c r="AK65" s="2806"/>
      <c r="AL65" s="2806"/>
      <c r="AM65" s="2806"/>
      <c r="AN65" s="2806"/>
      <c r="AO65" s="2806"/>
      <c r="AP65" s="2806"/>
      <c r="AQ65" s="2038"/>
      <c r="AR65" s="2038"/>
      <c r="AS65" s="2038"/>
      <c r="AT65" s="2038"/>
      <c r="AU65" s="2038"/>
      <c r="AV65" s="2038"/>
      <c r="AW65" s="2038"/>
      <c r="AX65" s="2038"/>
      <c r="AY65" s="2038"/>
      <c r="AZ65" s="2038"/>
    </row>
    <row r="66" spans="1:52" ht="12" customHeight="1" thickBot="1">
      <c r="A66" s="394"/>
      <c r="B66" s="7831" t="s">
        <v>3053</v>
      </c>
      <c r="C66" s="7831"/>
      <c r="D66" s="7831"/>
      <c r="E66" s="7831"/>
      <c r="F66" s="7831"/>
      <c r="G66" s="7831"/>
      <c r="H66" s="7831"/>
      <c r="I66" s="7831"/>
      <c r="J66" s="7831"/>
      <c r="K66" s="7831"/>
      <c r="L66" s="7831"/>
      <c r="M66" s="7831"/>
      <c r="N66" s="7831"/>
      <c r="O66" s="7831"/>
      <c r="P66" s="7831"/>
      <c r="Q66" s="7825" t="str">
        <f>IF($AJ$6,"Social security number(s) MUST be entered for this form to work properly.","Social security number of person"&amp;CHAR(10)&amp;"with self-employment income")</f>
        <v>Social security number of person
with self-employment income</v>
      </c>
      <c r="R66" s="7826"/>
      <c r="S66" s="7826"/>
      <c r="T66" s="7826"/>
      <c r="U66" s="7826"/>
      <c r="V66" s="7827"/>
      <c r="W66" s="7807" t="str">
        <f>IF(AND(AJ65,AJ67),SS_Yours,IF(AJ65,SS_Yours,IF(AJ67,SS_Spouse,"")))</f>
        <v/>
      </c>
      <c r="X66" s="7808"/>
      <c r="Y66" s="7808"/>
      <c r="Z66" s="7808"/>
      <c r="AA66" s="66"/>
      <c r="AB66" s="292"/>
      <c r="AC66" s="780"/>
      <c r="AD66" s="780"/>
      <c r="AE66" s="3796" t="str">
        <f>IF(File_Marr_Joint&lt;&gt;"","Check both boxes if for both.","")</f>
        <v/>
      </c>
      <c r="AF66" s="780"/>
      <c r="AG66" s="7858"/>
      <c r="AH66" s="2806"/>
      <c r="AI66" s="780"/>
      <c r="AJ66" s="1245"/>
      <c r="AK66" s="2806"/>
      <c r="AL66" s="2806"/>
      <c r="AM66" s="2806"/>
      <c r="AN66" s="2806"/>
      <c r="AO66" s="2806"/>
      <c r="AP66" s="2806"/>
      <c r="AQ66" s="2038"/>
      <c r="AR66" s="2038"/>
      <c r="AS66" s="2038"/>
      <c r="AT66" s="2038"/>
      <c r="AU66" s="2038"/>
      <c r="AV66" s="2038"/>
      <c r="AW66" s="2038"/>
      <c r="AX66" s="2038"/>
      <c r="AY66" s="2038"/>
      <c r="AZ66" s="2038"/>
    </row>
    <row r="67" spans="1:52" ht="16.5" customHeight="1" thickBot="1">
      <c r="A67" s="394"/>
      <c r="B67" s="7832" t="str">
        <f>IF(AND(AJ65,AJ67),NameYours&amp;" and "&amp;NameSpouse,IF(AJ65,NameYours,IF(AJ67,NameSpouse,"")))</f>
        <v/>
      </c>
      <c r="C67" s="7832"/>
      <c r="D67" s="7832"/>
      <c r="E67" s="7832"/>
      <c r="F67" s="7832"/>
      <c r="G67" s="7832"/>
      <c r="H67" s="7832"/>
      <c r="I67" s="7832"/>
      <c r="J67" s="7832"/>
      <c r="K67" s="7832"/>
      <c r="L67" s="7832"/>
      <c r="M67" s="7832"/>
      <c r="N67" s="7832"/>
      <c r="O67" s="7832"/>
      <c r="P67" s="7832"/>
      <c r="Q67" s="7828"/>
      <c r="R67" s="7829"/>
      <c r="S67" s="7829"/>
      <c r="T67" s="7829"/>
      <c r="U67" s="7829"/>
      <c r="V67" s="7830"/>
      <c r="W67" s="7809"/>
      <c r="X67" s="7810"/>
      <c r="Y67" s="7810"/>
      <c r="Z67" s="7810"/>
      <c r="AA67" s="66"/>
      <c r="AB67" s="6821" t="s">
        <v>3054</v>
      </c>
      <c r="AC67" s="780"/>
      <c r="AD67" s="1989"/>
      <c r="AE67" s="3397" t="str">
        <f>IF(AND(NumFileStatusBoxes=1,File_Marr_Joint&lt;&gt;""),"  Spouse","")</f>
        <v/>
      </c>
      <c r="AF67" s="780"/>
      <c r="AG67" s="7858"/>
      <c r="AH67" s="2806"/>
      <c r="AI67" s="780"/>
      <c r="AJ67" s="780" t="b">
        <f>(AD67&lt;&gt;"")</f>
        <v>0</v>
      </c>
      <c r="AK67" s="2806"/>
      <c r="AL67" s="780" t="b">
        <f>OR(AND('Sch. C'!M7=SS_Yours,'Sch. C'!Y8,NOT('Sch. C'!Y10)),AND('Sch. C'!M121=SS_Yours,'Sch. C'!Y122,NOT('Sch. C'!Y124)))</f>
        <v>1</v>
      </c>
      <c r="AM67" s="2806"/>
      <c r="AN67" s="2806"/>
      <c r="AO67" s="2806"/>
      <c r="AP67" s="2806"/>
      <c r="AQ67" s="2038"/>
      <c r="AR67" s="2038"/>
      <c r="AS67" s="2038"/>
      <c r="AT67" s="2038"/>
      <c r="AU67" s="2038"/>
      <c r="AV67" s="2038"/>
      <c r="AW67" s="2038"/>
      <c r="AX67" s="2038"/>
      <c r="AY67" s="2038"/>
      <c r="AZ67" s="2038"/>
    </row>
    <row r="68" spans="1:52" ht="18" customHeight="1">
      <c r="A68" s="394"/>
      <c r="B68" s="7833" t="s">
        <v>884</v>
      </c>
      <c r="C68" s="7833"/>
      <c r="D68" s="7833"/>
      <c r="E68" s="3784" t="s">
        <v>3049</v>
      </c>
      <c r="F68" s="38"/>
      <c r="G68" s="38"/>
      <c r="H68" s="38"/>
      <c r="I68" s="38"/>
      <c r="J68" s="38"/>
      <c r="K68" s="38"/>
      <c r="L68" s="38"/>
      <c r="M68" s="38"/>
      <c r="N68" s="38"/>
      <c r="O68" s="38"/>
      <c r="P68" s="38"/>
      <c r="Q68" s="38"/>
      <c r="R68" s="38"/>
      <c r="S68" s="38"/>
      <c r="T68" s="38"/>
      <c r="U68" s="38"/>
      <c r="V68" s="38"/>
      <c r="W68" s="38"/>
      <c r="X68" s="38"/>
      <c r="Y68" s="38"/>
      <c r="Z68" s="38"/>
      <c r="AA68" s="66"/>
      <c r="AB68" s="6821"/>
      <c r="AC68" s="780"/>
      <c r="AD68" s="7304" t="s">
        <v>3055</v>
      </c>
      <c r="AE68" s="7304"/>
      <c r="AF68" s="7304"/>
      <c r="AG68" s="7304"/>
      <c r="AH68" s="7304"/>
      <c r="AI68" s="7304"/>
      <c r="AJ68" s="3203"/>
      <c r="AK68" s="2806"/>
      <c r="AL68" s="780"/>
      <c r="AM68" s="2806"/>
      <c r="AN68" s="2806"/>
      <c r="AO68" s="2806"/>
      <c r="AP68" s="2806"/>
      <c r="AQ68" s="2038"/>
      <c r="AR68" s="2038"/>
      <c r="AS68" s="2038"/>
      <c r="AT68" s="2038"/>
      <c r="AU68" s="2038"/>
      <c r="AV68" s="2038"/>
      <c r="AW68" s="2038"/>
      <c r="AX68" s="2038"/>
      <c r="AY68" s="2038"/>
      <c r="AZ68" s="2038"/>
    </row>
    <row r="69" spans="1:52" ht="14.25" customHeight="1">
      <c r="A69" s="394"/>
      <c r="B69" s="1715" t="s">
        <v>3056</v>
      </c>
      <c r="C69" s="3786"/>
      <c r="D69" s="3786"/>
      <c r="E69" s="3785"/>
      <c r="F69" s="22"/>
      <c r="G69" s="22"/>
      <c r="H69" s="22"/>
      <c r="I69" s="22"/>
      <c r="J69" s="22"/>
      <c r="K69" s="22"/>
      <c r="L69" s="22"/>
      <c r="M69" s="22"/>
      <c r="N69" s="22"/>
      <c r="O69" s="22"/>
      <c r="P69" s="22"/>
      <c r="Q69" s="22"/>
      <c r="R69" s="22"/>
      <c r="S69" s="22"/>
      <c r="T69" s="22"/>
      <c r="U69" s="22"/>
      <c r="V69" s="22"/>
      <c r="W69" s="22"/>
      <c r="X69" s="22"/>
      <c r="Y69" s="22"/>
      <c r="Z69" s="22"/>
      <c r="AA69" s="66"/>
      <c r="AB69" s="292"/>
      <c r="AC69" s="780"/>
      <c r="AD69" s="7304"/>
      <c r="AE69" s="7304"/>
      <c r="AF69" s="7304"/>
      <c r="AG69" s="7304"/>
      <c r="AH69" s="7304"/>
      <c r="AI69" s="7304"/>
      <c r="AJ69" s="3203"/>
      <c r="AK69" s="780"/>
      <c r="AL69" s="780" t="b">
        <f>AND(File_Marr_Joint&lt;&gt;"",OR(AND('Sch. C'!M7=SS_Spouse,'Sch. C'!Y8,NOT('Sch. C'!Y10)),AND('Sch. C'!M121=SS_Spouse,'Sch. C'!Y122,NOT('Sch. C'!Y124))))</f>
        <v>0</v>
      </c>
      <c r="AM69" s="2806"/>
      <c r="AN69" s="2806"/>
      <c r="AO69" s="2806"/>
      <c r="AP69" s="2806"/>
      <c r="AQ69" s="2038"/>
      <c r="AR69" s="2038"/>
      <c r="AS69" s="2038"/>
      <c r="AT69" s="2038"/>
      <c r="AU69" s="2038"/>
      <c r="AV69" s="2038"/>
      <c r="AW69" s="2038"/>
      <c r="AX69" s="2038"/>
      <c r="AY69" s="2038"/>
      <c r="AZ69" s="2038"/>
    </row>
    <row r="70" spans="1:52" s="392" customFormat="1" ht="14.25" customHeight="1">
      <c r="A70" s="394"/>
      <c r="B70" s="1715" t="s">
        <v>3057</v>
      </c>
      <c r="C70" s="3786"/>
      <c r="D70" s="3786"/>
      <c r="E70" s="3785"/>
      <c r="F70" s="22"/>
      <c r="G70" s="22"/>
      <c r="H70" s="22"/>
      <c r="I70" s="22"/>
      <c r="J70" s="22"/>
      <c r="K70" s="22"/>
      <c r="L70" s="22"/>
      <c r="M70" s="22"/>
      <c r="N70" s="22"/>
      <c r="O70" s="22"/>
      <c r="P70" s="22"/>
      <c r="Q70" s="22"/>
      <c r="R70" s="22"/>
      <c r="S70" s="22"/>
      <c r="T70" s="22"/>
      <c r="U70" s="22"/>
      <c r="V70" s="22"/>
      <c r="W70" s="22"/>
      <c r="X70" s="22"/>
      <c r="Y70" s="22"/>
      <c r="Z70" s="22"/>
      <c r="AA70" s="66"/>
      <c r="AB70" s="7860" t="str">
        <f>IF(ChurchEmployee2,"Skip line 1 thru 4b, enter -0- on line 4c, and go to line 5a.","")</f>
        <v/>
      </c>
      <c r="AC70" s="780"/>
      <c r="AD70" s="7304"/>
      <c r="AE70" s="7304"/>
      <c r="AF70" s="7304"/>
      <c r="AG70" s="7304"/>
      <c r="AH70" s="7304"/>
      <c r="AI70" s="7304"/>
      <c r="AJ70" s="3803"/>
      <c r="AK70" s="2806"/>
      <c r="AL70" s="2806"/>
      <c r="AM70" s="2806"/>
      <c r="AN70" s="2806"/>
      <c r="AO70" s="2806"/>
      <c r="AP70" s="2806"/>
      <c r="AQ70" s="2042"/>
      <c r="AR70" s="2042"/>
      <c r="AS70" s="2042"/>
      <c r="AT70" s="2042"/>
      <c r="AU70" s="2042"/>
      <c r="AV70" s="2042"/>
      <c r="AW70" s="2042"/>
      <c r="AX70" s="2042"/>
      <c r="AY70" s="2042"/>
      <c r="AZ70" s="2042"/>
    </row>
    <row r="71" spans="1:52" ht="11.25" customHeight="1">
      <c r="A71" s="394"/>
      <c r="B71" s="7834" t="s">
        <v>542</v>
      </c>
      <c r="C71" s="7834"/>
      <c r="D71" s="3786"/>
      <c r="E71" s="1715" t="s">
        <v>3058</v>
      </c>
      <c r="F71" s="22"/>
      <c r="G71" s="22"/>
      <c r="H71" s="22"/>
      <c r="I71" s="22"/>
      <c r="J71" s="22"/>
      <c r="K71" s="22"/>
      <c r="L71" s="22"/>
      <c r="M71" s="22"/>
      <c r="N71" s="22"/>
      <c r="O71" s="22"/>
      <c r="P71" s="22"/>
      <c r="Q71" s="22"/>
      <c r="R71" s="22"/>
      <c r="S71" s="22"/>
      <c r="T71" s="22"/>
      <c r="U71" s="22"/>
      <c r="V71" s="22"/>
      <c r="W71" s="22"/>
      <c r="X71" s="22"/>
      <c r="Y71" s="22"/>
      <c r="Z71" s="22"/>
      <c r="AA71" s="66"/>
      <c r="AB71" s="7860"/>
      <c r="AC71" s="780"/>
      <c r="AD71" s="7304"/>
      <c r="AE71" s="7304"/>
      <c r="AF71" s="7304"/>
      <c r="AG71" s="7304"/>
      <c r="AH71" s="7304"/>
      <c r="AI71" s="7304"/>
      <c r="AJ71" s="3803"/>
      <c r="AK71" s="2806"/>
      <c r="AL71" s="2806"/>
      <c r="AM71" s="2806"/>
      <c r="AN71" s="2806"/>
      <c r="AO71" s="2806"/>
      <c r="AP71" s="2806"/>
      <c r="AQ71" s="2038"/>
      <c r="AR71" s="2038"/>
      <c r="AS71" s="2038"/>
      <c r="AT71" s="2038"/>
      <c r="AU71" s="2038"/>
      <c r="AV71" s="2038"/>
      <c r="AW71" s="2038"/>
      <c r="AX71" s="2038"/>
      <c r="AY71" s="2038"/>
      <c r="AZ71" s="2038"/>
    </row>
    <row r="72" spans="1:52" ht="11.25" customHeight="1">
      <c r="A72" s="394"/>
      <c r="B72" s="3786"/>
      <c r="C72" s="3786"/>
      <c r="D72" s="3786"/>
      <c r="E72" s="1715" t="str">
        <f>TEXT(AJ80,"$0")&amp;" or more of"</f>
        <v>$400 or more of</v>
      </c>
      <c r="F72" s="22"/>
      <c r="G72" s="61"/>
      <c r="H72" s="22"/>
      <c r="I72" s="1749" t="s">
        <v>3059</v>
      </c>
      <c r="J72" s="2657" t="s">
        <v>3060</v>
      </c>
      <c r="K72" s="22"/>
      <c r="L72" s="22"/>
      <c r="M72" s="22"/>
      <c r="N72" s="22"/>
      <c r="O72" s="22"/>
      <c r="P72" s="22"/>
      <c r="Q72" s="22"/>
      <c r="R72" s="22"/>
      <c r="S72" s="22"/>
      <c r="T72" s="22"/>
      <c r="U72" s="22"/>
      <c r="V72" s="22"/>
      <c r="W72" s="22"/>
      <c r="X72" s="2139" t="s">
        <v>994</v>
      </c>
      <c r="Y72" s="3816"/>
      <c r="Z72" s="22"/>
      <c r="AA72" s="66"/>
      <c r="AB72" s="7860"/>
      <c r="AC72" s="780"/>
      <c r="AD72" s="3803"/>
      <c r="AE72" s="3814" t="b">
        <f>AND(X81=0,ChurchEmployeeIncome2&lt;&gt;"",ChurchEmployeeIncome2&gt;0)</f>
        <v>0</v>
      </c>
      <c r="AF72" s="3803"/>
      <c r="AG72" s="3803"/>
      <c r="AH72" s="3803"/>
      <c r="AI72" s="2806"/>
      <c r="AJ72" s="3803"/>
      <c r="AK72" s="2806"/>
      <c r="AL72" s="2806"/>
      <c r="AM72" s="2806"/>
      <c r="AN72" s="2806"/>
      <c r="AO72" s="2806"/>
      <c r="AP72" s="2806"/>
      <c r="AQ72" s="2038"/>
      <c r="AR72" s="2038"/>
      <c r="AS72" s="2038"/>
      <c r="AT72" s="2038"/>
      <c r="AU72" s="2038"/>
      <c r="AV72" s="2038"/>
      <c r="AW72" s="2038"/>
      <c r="AX72" s="2038"/>
      <c r="AY72" s="2038"/>
      <c r="AZ72" s="2038"/>
    </row>
    <row r="73" spans="1:52" ht="13.5" customHeight="1" thickBot="1">
      <c r="A73" s="394"/>
      <c r="B73" s="1715" t="s">
        <v>3061</v>
      </c>
      <c r="C73" s="3786"/>
      <c r="D73" s="3786"/>
      <c r="E73" s="1715"/>
      <c r="F73" s="22"/>
      <c r="G73" s="22"/>
      <c r="H73" s="22"/>
      <c r="I73" s="22"/>
      <c r="J73" s="22"/>
      <c r="K73" s="22"/>
      <c r="L73" s="22"/>
      <c r="M73" s="22"/>
      <c r="N73" s="22"/>
      <c r="O73" s="22"/>
      <c r="P73" s="22"/>
      <c r="Q73" s="22"/>
      <c r="R73" s="22"/>
      <c r="S73" s="22"/>
      <c r="T73" s="22"/>
      <c r="U73" s="22"/>
      <c r="V73" s="22"/>
      <c r="W73" s="22"/>
      <c r="X73" s="22"/>
      <c r="Y73" s="22"/>
      <c r="Z73" s="22"/>
      <c r="AA73" s="66"/>
      <c r="AB73" s="292"/>
      <c r="AC73" s="292"/>
      <c r="AD73" s="292"/>
      <c r="AE73" s="292"/>
      <c r="AF73" s="292"/>
      <c r="AG73" s="292"/>
      <c r="AH73" s="292"/>
      <c r="AI73" s="292"/>
      <c r="AJ73" s="3803"/>
      <c r="AK73" s="2806"/>
      <c r="AL73" s="2806"/>
      <c r="AM73" s="2806"/>
      <c r="AN73" s="2806"/>
      <c r="AO73" s="2806"/>
      <c r="AP73" s="2806"/>
      <c r="AQ73" s="2038"/>
      <c r="AR73" s="2038"/>
      <c r="AS73" s="2038"/>
      <c r="AT73" s="2038"/>
      <c r="AU73" s="2038"/>
      <c r="AV73" s="2038"/>
      <c r="AW73" s="2038"/>
      <c r="AX73" s="2038"/>
      <c r="AY73" s="2038"/>
      <c r="AZ73" s="2038"/>
    </row>
    <row r="74" spans="1:52" ht="13.5" customHeight="1" thickBot="1">
      <c r="A74" s="394"/>
      <c r="B74" s="22"/>
      <c r="C74" s="2139" t="s">
        <v>363</v>
      </c>
      <c r="D74" s="61" t="s">
        <v>3062</v>
      </c>
      <c r="E74" s="22"/>
      <c r="F74" s="22"/>
      <c r="G74" s="22"/>
      <c r="H74" s="22"/>
      <c r="I74" s="22"/>
      <c r="J74" s="22"/>
      <c r="K74" s="22"/>
      <c r="L74" s="22"/>
      <c r="M74" s="22"/>
      <c r="N74" s="22"/>
      <c r="O74" s="22"/>
      <c r="P74" s="22"/>
      <c r="Q74" s="22"/>
      <c r="R74" s="22"/>
      <c r="S74" s="22"/>
      <c r="T74" s="22"/>
      <c r="U74" s="22"/>
      <c r="V74" s="22"/>
      <c r="W74" s="291"/>
      <c r="X74" s="7811"/>
      <c r="Y74" s="6751"/>
      <c r="Z74" s="6751"/>
      <c r="AA74" s="66"/>
      <c r="AB74" s="1988"/>
      <c r="AC74" s="292"/>
      <c r="AD74" s="3812" t="s">
        <v>3063</v>
      </c>
      <c r="AE74" s="1077"/>
      <c r="AF74" s="1077"/>
      <c r="AG74" s="3804"/>
      <c r="AH74" s="1078"/>
      <c r="AI74" s="292"/>
      <c r="AJ74" s="3803"/>
      <c r="AK74" s="2806"/>
      <c r="AL74" s="2806"/>
      <c r="AM74" s="2806"/>
      <c r="AN74" s="2806"/>
      <c r="AO74" s="2806"/>
      <c r="AP74" s="808"/>
      <c r="AQ74" s="2038"/>
      <c r="AR74" s="2038"/>
      <c r="AS74" s="2038"/>
      <c r="AT74" s="2038"/>
      <c r="AU74" s="2038"/>
      <c r="AV74" s="2038"/>
      <c r="AW74" s="2038"/>
      <c r="AX74" s="2038"/>
      <c r="AY74" s="2038"/>
      <c r="AZ74" s="2038"/>
    </row>
    <row r="75" spans="1:52" ht="13.5" customHeight="1" thickBot="1">
      <c r="A75" s="394"/>
      <c r="B75" s="103"/>
      <c r="C75" s="3908"/>
      <c r="D75" s="688" t="s">
        <v>3064</v>
      </c>
      <c r="E75" s="103"/>
      <c r="F75" s="103"/>
      <c r="G75" s="103"/>
      <c r="H75" s="103"/>
      <c r="I75" s="103"/>
      <c r="J75" s="103"/>
      <c r="K75" s="103"/>
      <c r="L75" s="103"/>
      <c r="M75" s="103"/>
      <c r="N75" s="103"/>
      <c r="O75" s="103"/>
      <c r="P75" s="103"/>
      <c r="Q75" s="103"/>
      <c r="R75" s="103"/>
      <c r="S75" s="103"/>
      <c r="T75" s="103"/>
      <c r="U75" s="103"/>
      <c r="V75" s="960" t="s">
        <v>3065</v>
      </c>
      <c r="W75" s="5675" t="s">
        <v>363</v>
      </c>
      <c r="X75" s="7839" t="str">
        <f>IF(AB75&lt;&gt;"",ROUND(AB75,0),IF(OR(FarmOptMeth2,AND(NOT(AJ65),NOT(AJ67))),"",IF(AND(AJ65,AJ67),SUM(AN92,ROUND(AH75,0)),IF(AJ65,SUM(AL92,ROUND(AH75,0)),IF(AJ67,SUM(AM92,ROUND(AH75,0)),"")))))</f>
        <v/>
      </c>
      <c r="Y75" s="7840"/>
      <c r="Z75" s="7840"/>
      <c r="AA75" s="441"/>
      <c r="AB75" s="2642"/>
      <c r="AC75" s="292"/>
      <c r="AD75" s="3097" t="s">
        <v>3066</v>
      </c>
      <c r="AE75" s="1081"/>
      <c r="AF75" s="1081"/>
      <c r="AG75" s="1081"/>
      <c r="AH75" s="3242"/>
      <c r="AI75" s="292"/>
      <c r="AJ75" s="2807">
        <f>IF(AB75&lt;&gt;"",ROUND(AB75,0),FarmProfitNet)</f>
        <v>0</v>
      </c>
      <c r="AK75" s="2806"/>
      <c r="AL75" s="2806"/>
      <c r="AM75" s="2806"/>
      <c r="AN75" s="2806"/>
      <c r="AO75" s="2806"/>
      <c r="AP75" s="808"/>
      <c r="AQ75" s="2038"/>
      <c r="AR75" s="2038"/>
      <c r="AS75" s="2038"/>
      <c r="AT75" s="2038"/>
      <c r="AU75" s="2038"/>
      <c r="AV75" s="2038"/>
      <c r="AW75" s="2038"/>
      <c r="AX75" s="2038"/>
      <c r="AY75" s="2038"/>
      <c r="AZ75" s="2038"/>
    </row>
    <row r="76" spans="1:52" ht="13.5" customHeight="1" thickBot="1">
      <c r="A76" s="394"/>
      <c r="B76" s="22"/>
      <c r="C76" s="2139" t="s">
        <v>644</v>
      </c>
      <c r="D76" s="61" t="s">
        <v>3067</v>
      </c>
      <c r="E76" s="22"/>
      <c r="F76" s="22"/>
      <c r="G76" s="22"/>
      <c r="H76" s="22"/>
      <c r="I76" s="22"/>
      <c r="J76" s="22"/>
      <c r="K76" s="22"/>
      <c r="L76" s="22"/>
      <c r="M76" s="22"/>
      <c r="N76" s="22"/>
      <c r="O76" s="22"/>
      <c r="P76" s="22"/>
      <c r="Q76" s="22"/>
      <c r="R76" s="22"/>
      <c r="S76" s="22"/>
      <c r="T76" s="22"/>
      <c r="U76" s="22"/>
      <c r="V76" s="22"/>
      <c r="W76" s="289"/>
      <c r="X76" s="7841" t="str">
        <f>IF('Sch. F'!AB100="","",'Sch. F'!AB100)</f>
        <v/>
      </c>
      <c r="Y76" s="7694"/>
      <c r="Z76" s="7694"/>
      <c r="AA76" s="66"/>
      <c r="AB76" s="1988"/>
      <c r="AC76" s="292"/>
      <c r="AD76" s="3820" t="s">
        <v>3068</v>
      </c>
      <c r="AE76" s="1240"/>
      <c r="AF76" s="1240"/>
      <c r="AG76" s="1240"/>
      <c r="AH76" s="1240"/>
      <c r="AI76" s="292"/>
      <c r="AJ76" s="780"/>
      <c r="AK76" s="808"/>
      <c r="AL76" s="808"/>
      <c r="AM76" s="808"/>
      <c r="AN76" s="808"/>
      <c r="AO76" s="808"/>
      <c r="AP76" s="1382"/>
      <c r="AQ76" s="2038"/>
      <c r="AR76" s="2038"/>
      <c r="AS76" s="2038"/>
      <c r="AT76" s="2038"/>
      <c r="AU76" s="2038"/>
      <c r="AV76" s="2038"/>
      <c r="AW76" s="2038"/>
      <c r="AX76" s="2038"/>
      <c r="AY76" s="2038"/>
      <c r="AZ76" s="2038"/>
    </row>
    <row r="77" spans="1:52" ht="20.25" customHeight="1" thickBot="1">
      <c r="A77" s="394"/>
      <c r="B77" s="103"/>
      <c r="C77" s="3908"/>
      <c r="D77" s="688" t="s">
        <v>3136</v>
      </c>
      <c r="E77" s="103"/>
      <c r="F77" s="103"/>
      <c r="G77" s="103"/>
      <c r="H77" s="103"/>
      <c r="I77" s="103"/>
      <c r="J77" s="103"/>
      <c r="K77" s="103"/>
      <c r="L77" s="103"/>
      <c r="M77" s="103"/>
      <c r="N77" s="103"/>
      <c r="O77" s="103"/>
      <c r="P77" s="103"/>
      <c r="Q77" s="103"/>
      <c r="R77" s="103"/>
      <c r="S77" s="103"/>
      <c r="T77" s="103"/>
      <c r="U77" s="103"/>
      <c r="V77" s="960"/>
      <c r="W77" s="5675" t="s">
        <v>365</v>
      </c>
      <c r="X77" s="7839" t="str">
        <f>IF(AB77&lt;&gt;"",-ROUND(ABS(AB77),0),IF(OR(FarmOptMeth2,AND(NOT(AJ65),NOT(AJ67))),"",IF(AH77&lt;&gt;"",-ABS(ROUND(AH77,0)),"")))</f>
        <v/>
      </c>
      <c r="Y77" s="7840"/>
      <c r="Z77" s="7840"/>
      <c r="AA77" s="441"/>
      <c r="AB77" s="2642"/>
      <c r="AC77" s="292"/>
      <c r="AD77" s="3813" t="s">
        <v>3070</v>
      </c>
      <c r="AE77" s="1081"/>
      <c r="AF77" s="1081"/>
      <c r="AG77" s="3801"/>
      <c r="AH77" s="3242"/>
      <c r="AI77" s="292"/>
      <c r="AJ77" s="780" t="b">
        <f>AND(FALSE,OR(AB77&gt;0,AH77&gt;0))</f>
        <v>0</v>
      </c>
      <c r="AK77" s="808"/>
      <c r="AL77" s="808"/>
      <c r="AM77" s="808"/>
      <c r="AN77" s="808"/>
      <c r="AO77" s="808"/>
      <c r="AP77" s="808"/>
      <c r="AQ77" s="2038"/>
      <c r="AR77" s="2038"/>
      <c r="AS77" s="2038"/>
      <c r="AT77" s="2038"/>
      <c r="AU77" s="2038"/>
      <c r="AV77" s="2038"/>
      <c r="AW77" s="2038"/>
      <c r="AX77" s="2038"/>
      <c r="AY77" s="2038"/>
      <c r="AZ77" s="2038"/>
    </row>
    <row r="78" spans="1:52" s="407" customFormat="1" ht="19.5" customHeight="1" thickBot="1">
      <c r="A78" s="424"/>
      <c r="B78" s="1715" t="s">
        <v>3071</v>
      </c>
      <c r="C78" s="3786"/>
      <c r="D78" s="3786"/>
      <c r="E78" s="1715"/>
      <c r="F78" s="103"/>
      <c r="G78" s="103"/>
      <c r="H78" s="103"/>
      <c r="I78" s="103"/>
      <c r="J78" s="103"/>
      <c r="K78" s="103"/>
      <c r="L78" s="103"/>
      <c r="M78" s="103"/>
      <c r="N78" s="103"/>
      <c r="O78" s="103"/>
      <c r="P78" s="103"/>
      <c r="Q78" s="103"/>
      <c r="R78" s="103"/>
      <c r="S78" s="103"/>
      <c r="T78" s="103"/>
      <c r="U78" s="103"/>
      <c r="V78" s="103"/>
      <c r="W78" s="3818"/>
      <c r="X78" s="7776"/>
      <c r="Y78" s="7777"/>
      <c r="Z78" s="7777"/>
      <c r="AA78" s="441"/>
      <c r="AB78" s="7798" t="str">
        <f>IF(AN95,"See NOTE regarding Statutory Employee profit/loss.","")</f>
        <v/>
      </c>
      <c r="AC78" s="292"/>
      <c r="AD78" s="292"/>
      <c r="AE78" s="292"/>
      <c r="AF78" s="292"/>
      <c r="AG78" s="292"/>
      <c r="AH78" s="292"/>
      <c r="AI78" s="295"/>
      <c r="AJ78" s="1245"/>
      <c r="AK78" s="1382"/>
      <c r="AL78" s="1382"/>
      <c r="AM78" s="1382"/>
      <c r="AN78" s="1382"/>
      <c r="AO78" s="1382"/>
      <c r="AP78" s="2589"/>
      <c r="AQ78" s="2045"/>
      <c r="AR78" s="2045"/>
      <c r="AS78" s="2045"/>
      <c r="AT78" s="2045"/>
      <c r="AU78" s="2045"/>
      <c r="AV78" s="2045"/>
      <c r="AW78" s="2045"/>
      <c r="AX78" s="2045"/>
      <c r="AY78" s="2045"/>
      <c r="AZ78" s="2045"/>
    </row>
    <row r="79" spans="1:52" ht="13.5" thickBot="1">
      <c r="A79" s="394"/>
      <c r="B79" s="22"/>
      <c r="C79" s="37">
        <v>2</v>
      </c>
      <c r="D79" s="61" t="s">
        <v>3072</v>
      </c>
      <c r="E79" s="22"/>
      <c r="F79" s="22"/>
      <c r="G79" s="22"/>
      <c r="H79" s="22"/>
      <c r="I79" s="22"/>
      <c r="J79" s="22"/>
      <c r="K79" s="22"/>
      <c r="L79" s="22"/>
      <c r="M79" s="22"/>
      <c r="N79" s="22"/>
      <c r="O79" s="22"/>
      <c r="P79" s="22"/>
      <c r="Q79" s="22"/>
      <c r="R79" s="22"/>
      <c r="S79" s="22"/>
      <c r="T79" s="22"/>
      <c r="U79" s="22"/>
      <c r="V79" s="22"/>
      <c r="W79" s="291"/>
      <c r="X79" s="7846"/>
      <c r="Y79" s="7847"/>
      <c r="Z79" s="7847"/>
      <c r="AA79" s="66"/>
      <c r="AB79" s="7799"/>
      <c r="AC79" s="292"/>
      <c r="AD79" s="3820" t="s">
        <v>3073</v>
      </c>
      <c r="AE79" s="3821"/>
      <c r="AF79" s="3821"/>
      <c r="AG79" s="3821"/>
      <c r="AH79" s="3822"/>
      <c r="AI79" s="295"/>
      <c r="AJ79" s="780"/>
      <c r="AK79" s="808" t="b">
        <f>OR(AB75&lt;&gt;"",AB77&lt;&gt;"",AB80&lt;&gt;"",AH75&lt;&gt;"",AH77&lt;&gt;"", AH80&lt;&gt;"",AB81&lt;&gt;"",X112&lt;&gt;"",X118&lt;&gt;"")</f>
        <v>0</v>
      </c>
      <c r="AL79" s="808"/>
      <c r="AM79" s="808"/>
      <c r="AN79" s="808"/>
      <c r="AO79" s="808"/>
      <c r="AP79" s="2807"/>
      <c r="AQ79" s="2038"/>
      <c r="AR79" s="2038"/>
      <c r="AS79" s="2038"/>
      <c r="AT79" s="2038"/>
      <c r="AU79" s="2038"/>
      <c r="AV79" s="2038"/>
      <c r="AW79" s="2038"/>
      <c r="AX79" s="2038"/>
      <c r="AY79" s="2038"/>
      <c r="AZ79" s="2038"/>
    </row>
    <row r="80" spans="1:52" ht="13.5" thickBot="1">
      <c r="A80" s="394"/>
      <c r="B80" s="22"/>
      <c r="C80" s="37"/>
      <c r="D80" s="688" t="s">
        <v>3074</v>
      </c>
      <c r="E80" s="22"/>
      <c r="F80" s="22"/>
      <c r="G80" s="22"/>
      <c r="H80" s="22"/>
      <c r="I80" s="22"/>
      <c r="J80" s="22"/>
      <c r="K80" s="22"/>
      <c r="L80" s="22"/>
      <c r="M80" s="22"/>
      <c r="N80" s="22"/>
      <c r="O80" s="22"/>
      <c r="P80" s="22"/>
      <c r="Q80" s="22"/>
      <c r="R80" s="22"/>
      <c r="S80" s="22"/>
      <c r="T80" s="22"/>
      <c r="U80" s="22"/>
      <c r="V80" s="960"/>
      <c r="W80" s="3788">
        <v>2</v>
      </c>
      <c r="X80" s="7786" t="str">
        <f>IF(AB80&lt;&gt;"",ROUND(AB80,0),IF(NonFarmOptMeth2,"",IF(AND(AJ65,AJ67),SUM(AN93,ROUND(AH80,0)),IF(AJ65,SUM(AL93,ROUND(AH80,0)),IF(AJ67,SUM(AM93,ROUND(AH80,0)),"")))))</f>
        <v/>
      </c>
      <c r="Y80" s="7787"/>
      <c r="Z80" s="7787"/>
      <c r="AA80" s="66"/>
      <c r="AB80" s="2642"/>
      <c r="AC80" s="3819"/>
      <c r="AD80" s="3813" t="s">
        <v>3075</v>
      </c>
      <c r="AE80" s="1081"/>
      <c r="AF80" s="1081"/>
      <c r="AG80" s="3801"/>
      <c r="AH80" s="3242"/>
      <c r="AI80" s="292"/>
      <c r="AJ80" s="780">
        <v>400</v>
      </c>
      <c r="AK80" s="2589">
        <f>IF(AB80&lt;&gt;"",ROUND(AB80,0),IF(AND(AH75&lt;&gt;"",SchC_StatutoryEmp_1=""),SUM(ROUND(AH75,0),SchC_ProfitLoss1),IF(AND(AH75&lt;&gt;"",SchC_StatutoryEmp_1=""),SUM(ROUND(AH75,0),SchC_ProfitLoss1),IF(SchC_StatutoryEmp_1="",SchC_ProfitLoss1,0))))</f>
        <v>0</v>
      </c>
      <c r="AL80" s="2589"/>
      <c r="AM80" s="2589"/>
      <c r="AN80" s="2589"/>
      <c r="AO80" s="2589"/>
      <c r="AP80" s="2807"/>
      <c r="AQ80" s="2038"/>
      <c r="AR80" s="2038"/>
      <c r="AS80" s="2038"/>
      <c r="AT80" s="2038"/>
      <c r="AU80" s="2038"/>
      <c r="AV80" s="2038"/>
      <c r="AW80" s="2038"/>
      <c r="AX80" s="2038"/>
      <c r="AY80" s="2038"/>
      <c r="AZ80" s="2038"/>
    </row>
    <row r="81" spans="1:52" ht="13.5" thickBot="1">
      <c r="A81" s="394"/>
      <c r="B81" s="103"/>
      <c r="C81" s="3908">
        <v>3</v>
      </c>
      <c r="D81" s="61" t="s">
        <v>3076</v>
      </c>
      <c r="E81" s="103"/>
      <c r="F81" s="103"/>
      <c r="G81" s="103"/>
      <c r="H81" s="103"/>
      <c r="I81" s="103"/>
      <c r="J81" s="103"/>
      <c r="K81" s="103"/>
      <c r="L81" s="103"/>
      <c r="M81" s="103"/>
      <c r="N81" s="103"/>
      <c r="O81" s="103"/>
      <c r="P81" s="103"/>
      <c r="Q81" s="103"/>
      <c r="R81" s="103"/>
      <c r="S81" s="103"/>
      <c r="T81" s="103"/>
      <c r="U81" s="103"/>
      <c r="V81" s="960" t="s">
        <v>722</v>
      </c>
      <c r="W81" s="5675">
        <v>3</v>
      </c>
      <c r="X81" s="7786">
        <f>IF(AB81&lt;&gt;"",ROUND(AB81,0),SUM(X75,X77,X80))</f>
        <v>0</v>
      </c>
      <c r="Y81" s="7787"/>
      <c r="Z81" s="7787"/>
      <c r="AA81" s="441"/>
      <c r="AB81" s="2642"/>
      <c r="AC81" s="292"/>
      <c r="AD81" s="292"/>
      <c r="AE81" s="292"/>
      <c r="AF81" s="292"/>
      <c r="AG81" s="292"/>
      <c r="AH81" s="292"/>
      <c r="AI81" s="3391"/>
      <c r="AJ81" s="780">
        <v>434</v>
      </c>
      <c r="AK81" s="2807">
        <f>IF(AB83&gt;"",ROUND(AB83,0),ROUND((AK80*AJ82),0))</f>
        <v>0</v>
      </c>
      <c r="AL81" s="2807"/>
      <c r="AM81" s="2807"/>
      <c r="AN81" s="2807"/>
      <c r="AO81" s="2807"/>
      <c r="AP81" s="2807"/>
      <c r="AQ81" s="2038"/>
      <c r="AR81" s="2038"/>
      <c r="AS81" s="2038"/>
      <c r="AT81" s="2038"/>
      <c r="AU81" s="2038"/>
      <c r="AV81" s="2038"/>
      <c r="AW81" s="2038"/>
      <c r="AX81" s="2038"/>
      <c r="AY81" s="2038"/>
      <c r="AZ81" s="2038"/>
    </row>
    <row r="82" spans="1:52" ht="13.5" customHeight="1" thickBot="1">
      <c r="A82" s="394"/>
      <c r="B82" s="22"/>
      <c r="C82" s="872" t="s">
        <v>643</v>
      </c>
      <c r="D82" s="22" t="str">
        <f>"If line 3 is more than zero, multiply line 3 by "&amp;TEXT(AJ82,"0.00%")&amp;" ("&amp;TEXT(AJ82,"0.0000")&amp;")."</f>
        <v>If line 3 is more than zero, multiply line 3 by 92.35% (0.9235).</v>
      </c>
      <c r="E82" s="23"/>
      <c r="F82" s="22"/>
      <c r="G82" s="22"/>
      <c r="H82" s="22"/>
      <c r="I82" s="61"/>
      <c r="J82" s="22"/>
      <c r="K82" s="22"/>
      <c r="L82" s="22"/>
      <c r="M82" s="22"/>
      <c r="N82" s="61" t="s">
        <v>3077</v>
      </c>
      <c r="O82" s="22"/>
      <c r="P82" s="61"/>
      <c r="Q82" s="22"/>
      <c r="R82" s="22"/>
      <c r="S82" s="22"/>
      <c r="T82" s="22"/>
      <c r="U82" s="22"/>
      <c r="V82" s="22"/>
      <c r="W82" s="48"/>
      <c r="X82" s="7784"/>
      <c r="Y82" s="7785"/>
      <c r="Z82" s="7785"/>
      <c r="AA82" s="66"/>
      <c r="AB82" s="549"/>
      <c r="AC82" s="292"/>
      <c r="AD82" s="7857" t="str">
        <f>IF(AN95,"NOTE: Statutory Employee profit/loss from Sch. C."&amp;CHAR(10)&amp;"has been excluded from Line 2.  See IRS instructions.","")</f>
        <v/>
      </c>
      <c r="AE82" s="7857"/>
      <c r="AF82" s="7857"/>
      <c r="AG82" s="7857"/>
      <c r="AH82" s="7857"/>
      <c r="AI82" s="292"/>
      <c r="AJ82" s="780">
        <v>0.92349999999999999</v>
      </c>
      <c r="AK82" s="5300">
        <f>IF(AND(X83&lt;AJ80,X77&lt;&gt;""),SUM(X75,X80),0)</f>
        <v>0</v>
      </c>
      <c r="AL82" s="2807"/>
      <c r="AM82" s="2807"/>
      <c r="AN82" s="2807"/>
      <c r="AO82" s="2807"/>
      <c r="AP82" s="3800"/>
      <c r="AQ82" s="2038"/>
      <c r="AR82" s="2038"/>
      <c r="AS82" s="2038"/>
      <c r="AT82" s="2038"/>
      <c r="AU82" s="2038"/>
      <c r="AV82" s="2038"/>
      <c r="AW82" s="2038"/>
      <c r="AX82" s="2038"/>
      <c r="AY82" s="2038"/>
      <c r="AZ82" s="2038"/>
    </row>
    <row r="83" spans="1:52" ht="13.5" thickBot="1">
      <c r="A83" s="394"/>
      <c r="B83" s="23" t="s">
        <v>2224</v>
      </c>
      <c r="C83" s="61"/>
      <c r="D83" s="61" t="str">
        <f>"If line 4a is less than "&amp;TEXT(AJ80,"$0")&amp;" due to Conservation Reserve Program payments on line 1b, see instructions"</f>
        <v>If line 4a is less than $400 due to Conservation Reserve Program payments on line 1b, see instructions</v>
      </c>
      <c r="E83" s="23"/>
      <c r="F83" s="61"/>
      <c r="G83" s="22"/>
      <c r="H83" s="22"/>
      <c r="I83" s="22"/>
      <c r="J83" s="22"/>
      <c r="K83" s="22"/>
      <c r="L83" s="22"/>
      <c r="M83" s="22"/>
      <c r="N83" s="22"/>
      <c r="O83" s="22"/>
      <c r="P83" s="22"/>
      <c r="Q83" s="22"/>
      <c r="R83" s="22"/>
      <c r="S83" s="22"/>
      <c r="T83" s="22"/>
      <c r="U83" s="960"/>
      <c r="V83" s="5971" t="s">
        <v>5626</v>
      </c>
      <c r="W83" s="3788" t="s">
        <v>643</v>
      </c>
      <c r="X83" s="7788">
        <f>IF(AB83&lt;&gt;"",ROUND(AB83,0),IF(X81&gt;0,ROUND((X81*AJ82),0),X81))</f>
        <v>0</v>
      </c>
      <c r="Y83" s="7789"/>
      <c r="Z83" s="7789"/>
      <c r="AA83" s="66"/>
      <c r="AB83" s="2642"/>
      <c r="AC83" s="292"/>
      <c r="AD83" s="7857"/>
      <c r="AE83" s="7857"/>
      <c r="AF83" s="7857"/>
      <c r="AG83" s="7857"/>
      <c r="AH83" s="7857"/>
      <c r="AI83" s="292"/>
      <c r="AJ83" s="3799">
        <v>137700</v>
      </c>
      <c r="AK83" s="780" t="b">
        <f>AND(S88&lt;&gt;"",S88&gt;0)</f>
        <v>0</v>
      </c>
      <c r="AL83" s="780"/>
      <c r="AM83" s="780"/>
      <c r="AN83" s="2807"/>
      <c r="AO83" s="2807"/>
      <c r="AP83" s="780"/>
      <c r="AQ83" s="2038"/>
      <c r="AR83" s="2038"/>
      <c r="AS83" s="2038"/>
      <c r="AT83" s="2038"/>
      <c r="AU83" s="2038"/>
      <c r="AV83" s="2038"/>
      <c r="AW83" s="2038"/>
      <c r="AX83" s="2038"/>
      <c r="AY83" s="2038"/>
      <c r="AZ83" s="2038"/>
    </row>
    <row r="84" spans="1:52">
      <c r="A84" s="394"/>
      <c r="B84" s="22"/>
      <c r="C84" s="37" t="s">
        <v>644</v>
      </c>
      <c r="D84" s="61" t="s">
        <v>3078</v>
      </c>
      <c r="E84" s="23"/>
      <c r="F84" s="22"/>
      <c r="G84" s="22"/>
      <c r="H84" s="22"/>
      <c r="I84" s="22"/>
      <c r="J84" s="22"/>
      <c r="K84" s="22"/>
      <c r="L84" s="22"/>
      <c r="M84" s="22"/>
      <c r="N84" s="22"/>
      <c r="O84" s="22"/>
      <c r="P84" s="22"/>
      <c r="Q84" s="22"/>
      <c r="R84" s="22"/>
      <c r="S84" s="22"/>
      <c r="T84" s="22"/>
      <c r="U84" s="960"/>
      <c r="V84" s="960" t="s">
        <v>684</v>
      </c>
      <c r="W84" s="3788" t="s">
        <v>2830</v>
      </c>
      <c r="X84" s="7788" t="str">
        <f>IF(OR(FarmOptMeth2,NonFarmOptMeth2),SUM(X112,X118),"")</f>
        <v/>
      </c>
      <c r="Y84" s="7789"/>
      <c r="Z84" s="7789"/>
      <c r="AA84" s="66"/>
      <c r="AB84" s="3815" t="str">
        <f>IF(AK84,"IF line 4c is &lt;"&amp;TEXT(AJ80,"$0")&amp;",","")</f>
        <v>IF line 4c is &lt;$400,</v>
      </c>
      <c r="AC84" s="292"/>
      <c r="AD84" s="292"/>
      <c r="AE84" s="292"/>
      <c r="AF84" s="292"/>
      <c r="AG84" s="292"/>
      <c r="AH84" s="292"/>
      <c r="AI84" s="292"/>
      <c r="AJ84" s="780">
        <v>2.9000000000000001E-2</v>
      </c>
      <c r="AK84" s="2807" t="b">
        <f>AND(NOT(AK83),SUM(X85,X86)&lt;AJ80)</f>
        <v>1</v>
      </c>
      <c r="AL84" s="3800" t="s">
        <v>3079</v>
      </c>
      <c r="AM84" s="2807"/>
      <c r="AN84" s="3800"/>
      <c r="AO84" s="3800"/>
      <c r="AP84" s="780"/>
      <c r="AQ84" s="2038"/>
      <c r="AR84" s="2038"/>
      <c r="AS84" s="2038"/>
      <c r="AT84" s="2038"/>
      <c r="AU84" s="2038"/>
      <c r="AV84" s="2038"/>
      <c r="AW84" s="2038"/>
      <c r="AX84" s="2038"/>
      <c r="AY84" s="2038"/>
      <c r="AZ84" s="2038"/>
    </row>
    <row r="85" spans="1:52">
      <c r="A85" s="394"/>
      <c r="B85" s="22"/>
      <c r="C85" s="37" t="s">
        <v>648</v>
      </c>
      <c r="D85" s="61" t="str">
        <f>"Combine  lines 4a and 4b. If less than "&amp;TEXT(AJ80,"$0")&amp;","</f>
        <v>Combine  lines 4a and 4b. If less than $400,</v>
      </c>
      <c r="E85" s="23"/>
      <c r="F85" s="22"/>
      <c r="G85" s="22"/>
      <c r="H85" s="22"/>
      <c r="I85" s="22"/>
      <c r="J85" s="22"/>
      <c r="K85" s="61" t="s">
        <v>3080</v>
      </c>
      <c r="L85" s="22"/>
      <c r="M85" s="22"/>
      <c r="N85" s="22"/>
      <c r="O85" s="22"/>
      <c r="P85" s="22"/>
      <c r="Q85" s="22"/>
      <c r="R85" s="22"/>
      <c r="S85" s="22"/>
      <c r="T85" s="22"/>
      <c r="U85" s="960"/>
      <c r="V85" s="960"/>
      <c r="W85" s="5676"/>
      <c r="X85" s="7794"/>
      <c r="Y85" s="7795"/>
      <c r="Z85" s="7795"/>
      <c r="AA85" s="66"/>
      <c r="AB85" s="3815" t="str">
        <f>IF(AK84,"STOP you don't owe","")</f>
        <v>STOP you don't owe</v>
      </c>
      <c r="AC85" s="780"/>
      <c r="AD85" s="780"/>
      <c r="AE85" s="780"/>
      <c r="AF85" s="780"/>
      <c r="AG85" s="780"/>
      <c r="AH85" s="780"/>
      <c r="AI85" s="780"/>
      <c r="AJ85" s="2276">
        <v>16479.599999999999</v>
      </c>
      <c r="AK85" s="3800" t="b">
        <f>AND(ChurchEmployeeInc2,SUM(X83,X84)&lt;AJ80)</f>
        <v>0</v>
      </c>
      <c r="AL85" s="3800" t="s">
        <v>3081</v>
      </c>
      <c r="AM85" s="3800"/>
      <c r="AN85" s="780"/>
      <c r="AO85" s="780"/>
      <c r="AP85" s="780"/>
      <c r="AQ85" s="2038"/>
      <c r="AR85" s="2038"/>
      <c r="AS85" s="2038"/>
      <c r="AT85" s="2038"/>
      <c r="AU85" s="2038"/>
      <c r="AV85" s="2038"/>
      <c r="AW85" s="2038"/>
      <c r="AX85" s="2038"/>
      <c r="AY85" s="2038"/>
      <c r="AZ85" s="2038"/>
    </row>
    <row r="86" spans="1:52">
      <c r="A86" s="394"/>
      <c r="B86" s="22"/>
      <c r="C86" s="37"/>
      <c r="D86" s="61" t="str">
        <f>"less than "&amp;TEXT(AJ80,"$0")&amp;" and"</f>
        <v>less than $400 and</v>
      </c>
      <c r="E86" s="23"/>
      <c r="F86" s="22"/>
      <c r="G86" s="61" t="s">
        <v>3137</v>
      </c>
      <c r="H86" s="22"/>
      <c r="I86" s="22"/>
      <c r="J86" s="22"/>
      <c r="K86" s="22"/>
      <c r="L86" s="22"/>
      <c r="M86" s="22"/>
      <c r="N86" s="22"/>
      <c r="O86" s="22"/>
      <c r="P86" s="22"/>
      <c r="Q86" s="22"/>
      <c r="R86" s="22"/>
      <c r="S86" s="22"/>
      <c r="T86" s="22"/>
      <c r="U86" s="960"/>
      <c r="V86" s="960" t="s">
        <v>746</v>
      </c>
      <c r="W86" s="3788" t="s">
        <v>3083</v>
      </c>
      <c r="X86" s="7788">
        <f>IF(AK85,0,SUM(X83,X84))</f>
        <v>0</v>
      </c>
      <c r="Y86" s="7789"/>
      <c r="Z86" s="7789"/>
      <c r="AA86" s="66"/>
      <c r="AB86" s="3815" t="str">
        <f>IF(AK84,"self employment tax.","")</f>
        <v>self employment tax.</v>
      </c>
      <c r="AC86" s="780"/>
      <c r="AD86" s="780"/>
      <c r="AE86" s="780"/>
      <c r="AF86" s="780"/>
      <c r="AG86" s="780"/>
      <c r="AH86" s="780"/>
      <c r="AI86" s="780"/>
      <c r="AJ86" s="780">
        <v>0.153</v>
      </c>
      <c r="AK86" s="780"/>
      <c r="AL86" s="780"/>
      <c r="AM86" s="780"/>
      <c r="AN86" s="780"/>
      <c r="AO86" s="780"/>
      <c r="AP86" s="780"/>
      <c r="AQ86" s="2038"/>
      <c r="AR86" s="2038"/>
      <c r="AS86" s="2038"/>
      <c r="AT86" s="2038"/>
      <c r="AU86" s="2038"/>
      <c r="AV86" s="2038"/>
      <c r="AW86" s="2038"/>
      <c r="AX86" s="2038"/>
      <c r="AY86" s="2038"/>
      <c r="AZ86" s="2038"/>
    </row>
    <row r="87" spans="1:52">
      <c r="A87" s="394"/>
      <c r="B87" s="22"/>
      <c r="C87" s="872" t="s">
        <v>682</v>
      </c>
      <c r="D87" s="61" t="s">
        <v>3084</v>
      </c>
      <c r="E87" s="23"/>
      <c r="F87" s="22"/>
      <c r="G87" s="22"/>
      <c r="H87" s="22"/>
      <c r="I87" s="22"/>
      <c r="J87" s="22"/>
      <c r="K87" s="22"/>
      <c r="L87" s="22" t="s">
        <v>3085</v>
      </c>
      <c r="M87" s="22"/>
      <c r="N87" s="22"/>
      <c r="O87" s="22"/>
      <c r="P87" s="22"/>
      <c r="Q87" s="22"/>
      <c r="R87" s="1669"/>
      <c r="S87" s="22"/>
      <c r="T87" s="22"/>
      <c r="U87" s="960"/>
      <c r="V87" s="960"/>
      <c r="W87" s="5676"/>
      <c r="X87" s="7792"/>
      <c r="Y87" s="7793"/>
      <c r="Z87" s="7793"/>
      <c r="AA87" s="66"/>
      <c r="AB87" s="3391"/>
      <c r="AC87" s="780"/>
      <c r="AD87" s="780"/>
      <c r="AE87" s="780"/>
      <c r="AF87" s="780"/>
      <c r="AG87" s="780"/>
      <c r="AH87" s="780"/>
      <c r="AI87" s="780"/>
      <c r="AJ87" s="780">
        <v>6.2E-2</v>
      </c>
      <c r="AK87" s="780"/>
      <c r="AL87" s="780"/>
      <c r="AM87" s="780"/>
      <c r="AN87" s="780"/>
      <c r="AO87" s="780"/>
      <c r="AP87" s="780"/>
      <c r="AQ87" s="2038"/>
      <c r="AR87" s="2038"/>
      <c r="AS87" s="2038"/>
      <c r="AT87" s="2038"/>
      <c r="AU87" s="2038"/>
      <c r="AV87" s="2038"/>
      <c r="AW87" s="2038"/>
      <c r="AX87" s="2038"/>
      <c r="AY87" s="2038"/>
      <c r="AZ87" s="2038"/>
    </row>
    <row r="88" spans="1:52">
      <c r="A88" s="394"/>
      <c r="B88" s="22"/>
      <c r="C88" s="37"/>
      <c r="D88" s="61" t="s">
        <v>3086</v>
      </c>
      <c r="E88" s="23"/>
      <c r="F88" s="22"/>
      <c r="G88" s="22"/>
      <c r="H88" s="22"/>
      <c r="I88" s="22"/>
      <c r="J88" s="22"/>
      <c r="K88" s="22"/>
      <c r="L88" s="22"/>
      <c r="M88" s="22"/>
      <c r="N88" s="22"/>
      <c r="O88" s="22"/>
      <c r="P88" s="22"/>
      <c r="Q88" s="960" t="s">
        <v>642</v>
      </c>
      <c r="R88" s="1656" t="s">
        <v>682</v>
      </c>
      <c r="S88" s="7842"/>
      <c r="T88" s="7843"/>
      <c r="U88" s="7843"/>
      <c r="V88" s="7844"/>
      <c r="W88" s="5676"/>
      <c r="X88" s="7790">
        <f>ROUND(S88,0)</f>
        <v>0</v>
      </c>
      <c r="Y88" s="7791"/>
      <c r="Z88" s="7791"/>
      <c r="AA88" s="66"/>
      <c r="AB88" s="3391"/>
      <c r="AC88" s="780"/>
      <c r="AD88" s="780"/>
      <c r="AE88" s="780"/>
      <c r="AF88" s="780"/>
      <c r="AG88" s="780"/>
      <c r="AH88" s="780"/>
      <c r="AI88" s="780"/>
      <c r="AJ88" s="780">
        <v>7.6499999999999999E-2</v>
      </c>
      <c r="AK88" s="780"/>
      <c r="AL88" s="780"/>
      <c r="AM88" s="780"/>
      <c r="AN88" s="780"/>
      <c r="AO88" s="780"/>
      <c r="AP88" s="780"/>
      <c r="AQ88" s="2038"/>
      <c r="AR88" s="2038"/>
      <c r="AS88" s="2038"/>
      <c r="AT88" s="2038"/>
      <c r="AU88" s="2038"/>
      <c r="AV88" s="2038"/>
      <c r="AW88" s="2038"/>
      <c r="AX88" s="2038"/>
      <c r="AY88" s="2038"/>
      <c r="AZ88" s="2038"/>
    </row>
    <row r="89" spans="1:52" ht="13.5" thickBot="1">
      <c r="A89" s="394"/>
      <c r="B89" s="22"/>
      <c r="C89" s="37" t="s">
        <v>644</v>
      </c>
      <c r="D89" s="61" t="str">
        <f>"Multiply line 5a by "&amp;TEXT(AC89,"0.00%")&amp;" ("&amp;TEXT(AC89,"0.0000")&amp;"). If less than "&amp;TEXT(AC90,"$0")&amp;", enter -0-"</f>
        <v>Multiply line 5a by 92.35% (0.9235). If less than $100, enter -0-</v>
      </c>
      <c r="E89" s="23"/>
      <c r="F89" s="22"/>
      <c r="G89" s="22"/>
      <c r="H89" s="22"/>
      <c r="I89" s="22"/>
      <c r="J89" s="22"/>
      <c r="K89" s="22"/>
      <c r="L89" s="22"/>
      <c r="M89" s="22"/>
      <c r="N89" s="22"/>
      <c r="O89" s="22"/>
      <c r="P89" s="22"/>
      <c r="Q89" s="805"/>
      <c r="R89" s="805"/>
      <c r="S89" s="5972"/>
      <c r="T89" s="5972"/>
      <c r="U89" s="5972"/>
      <c r="V89" s="960" t="s">
        <v>642</v>
      </c>
      <c r="W89" s="3817" t="s">
        <v>1119</v>
      </c>
      <c r="X89" s="7796" t="str">
        <f>IF(ChurchEmployeeIncome2="","",IF(ROUND(X88*S89,0)&lt;Q89,0,ROUND(X88*S89,0)))</f>
        <v/>
      </c>
      <c r="Y89" s="7797"/>
      <c r="Z89" s="7797"/>
      <c r="AA89" s="66"/>
      <c r="AB89" s="3391"/>
      <c r="AC89" s="7774">
        <v>0.92349999999999999</v>
      </c>
      <c r="AD89" s="7774"/>
      <c r="AE89" s="780"/>
      <c r="AF89" s="780"/>
      <c r="AG89" s="780"/>
      <c r="AH89" s="780"/>
      <c r="AI89" s="780"/>
      <c r="AJ89" s="780"/>
      <c r="AK89" s="3417"/>
      <c r="AL89" s="3823"/>
      <c r="AM89" s="3823"/>
      <c r="AN89" s="3823"/>
      <c r="AO89" s="780"/>
      <c r="AP89" s="2264"/>
      <c r="AQ89" s="2038"/>
      <c r="AR89" s="2038"/>
      <c r="AS89" s="2038"/>
      <c r="AT89" s="2038"/>
      <c r="AU89" s="2038"/>
      <c r="AV89" s="2038"/>
      <c r="AW89" s="2038"/>
      <c r="AX89" s="2038"/>
      <c r="AY89" s="2038"/>
      <c r="AZ89" s="2038"/>
    </row>
    <row r="90" spans="1:52" ht="12.75" customHeight="1" thickBot="1">
      <c r="A90" s="394"/>
      <c r="B90" s="22"/>
      <c r="C90" s="872">
        <v>6</v>
      </c>
      <c r="D90" s="61" t="s">
        <v>3087</v>
      </c>
      <c r="E90" s="23"/>
      <c r="F90" s="22"/>
      <c r="G90" s="22"/>
      <c r="H90" s="22"/>
      <c r="I90" s="22"/>
      <c r="J90" s="22"/>
      <c r="K90" s="22"/>
      <c r="L90" s="22"/>
      <c r="M90" s="22"/>
      <c r="N90" s="22"/>
      <c r="O90" s="22"/>
      <c r="P90" s="22"/>
      <c r="Q90" s="22"/>
      <c r="R90" s="22"/>
      <c r="S90" s="22"/>
      <c r="T90" s="22"/>
      <c r="U90" s="960"/>
      <c r="V90" s="960" t="s">
        <v>2490</v>
      </c>
      <c r="W90" s="3788">
        <v>6</v>
      </c>
      <c r="X90" s="7788" t="str">
        <f>IF(AB90&lt;&gt;"",ROUND(AB90,0),IF(AK84,"",SUM(X86,X89)))</f>
        <v/>
      </c>
      <c r="Y90" s="7789"/>
      <c r="Z90" s="7789"/>
      <c r="AA90" s="66"/>
      <c r="AB90" s="2642"/>
      <c r="AC90" s="7775">
        <v>100</v>
      </c>
      <c r="AD90" s="7774"/>
      <c r="AE90" s="780"/>
      <c r="AF90" s="780"/>
      <c r="AG90" s="780"/>
      <c r="AH90" s="780"/>
      <c r="AI90" s="780"/>
      <c r="AJ90" s="1239"/>
      <c r="AK90" s="1240"/>
      <c r="AL90" s="3900" t="s">
        <v>605</v>
      </c>
      <c r="AM90" s="3901" t="s">
        <v>606</v>
      </c>
      <c r="AN90" s="1240"/>
      <c r="AO90" s="3902"/>
      <c r="AP90" s="3823"/>
      <c r="AQ90" s="2038"/>
      <c r="AR90" s="2038"/>
      <c r="AS90" s="2038"/>
      <c r="AT90" s="2038"/>
      <c r="AU90" s="2038"/>
      <c r="AV90" s="2038"/>
      <c r="AW90" s="2038"/>
      <c r="AX90" s="2038"/>
      <c r="AY90" s="2038"/>
      <c r="AZ90" s="2038"/>
    </row>
    <row r="91" spans="1:52" ht="13.5" customHeight="1" thickBot="1">
      <c r="A91" s="394"/>
      <c r="B91" s="22"/>
      <c r="C91" s="872">
        <v>7</v>
      </c>
      <c r="D91" s="61" t="s">
        <v>3088</v>
      </c>
      <c r="E91" s="23"/>
      <c r="F91" s="22"/>
      <c r="G91" s="22"/>
      <c r="H91" s="22"/>
      <c r="I91" s="22"/>
      <c r="J91" s="22"/>
      <c r="K91" s="22"/>
      <c r="L91" s="22"/>
      <c r="M91" s="22"/>
      <c r="N91" s="22"/>
      <c r="O91" s="22"/>
      <c r="P91" s="22"/>
      <c r="Q91" s="22"/>
      <c r="R91" s="22"/>
      <c r="S91" s="22"/>
      <c r="T91" s="22"/>
      <c r="U91" s="960"/>
      <c r="V91" s="960"/>
      <c r="W91" s="5676"/>
      <c r="X91" s="7780">
        <f>MaxSSTaxEarnings</f>
        <v>160200</v>
      </c>
      <c r="Y91" s="7781"/>
      <c r="Z91" s="7781"/>
      <c r="AA91" s="66"/>
      <c r="AB91" s="3657"/>
      <c r="AC91" s="2607"/>
      <c r="AD91" s="780"/>
      <c r="AE91" s="780"/>
      <c r="AG91" s="780"/>
      <c r="AH91" s="2264"/>
      <c r="AI91" s="2264"/>
      <c r="AJ91" s="3903" t="s">
        <v>3089</v>
      </c>
      <c r="AK91" s="2694" t="s">
        <v>3090</v>
      </c>
      <c r="AL91" s="3880">
        <f>SS_Yours</f>
        <v>1010001</v>
      </c>
      <c r="AM91" s="3880">
        <f>SS_Spouse</f>
        <v>1010002</v>
      </c>
      <c r="AN91" s="2264" t="s">
        <v>809</v>
      </c>
      <c r="AO91" s="921"/>
      <c r="AP91" s="3823"/>
      <c r="AQ91" s="2038"/>
      <c r="AR91" s="2038"/>
      <c r="AS91" s="2038"/>
      <c r="AT91" s="2038"/>
      <c r="AU91" s="2038"/>
      <c r="AV91" s="2038"/>
      <c r="AW91" s="2038"/>
      <c r="AX91" s="2038"/>
      <c r="AY91" s="2038"/>
      <c r="AZ91" s="2038"/>
    </row>
    <row r="92" spans="1:52" ht="12" customHeight="1">
      <c r="A92" s="394"/>
      <c r="B92" s="22"/>
      <c r="C92" s="37"/>
      <c r="D92" s="61" t="str">
        <f>"the "&amp;TEXT(AJ87,"0.0%")&amp;" portion of the "&amp;TEXT(AJ88,"0.00%")&amp;" railroad retirement (tier 1) tax for "&amp;TaxYear</f>
        <v>the 6.2% portion of the 7.65% railroad retirement (tier 1) tax for 2023</v>
      </c>
      <c r="E92" s="23"/>
      <c r="F92" s="22"/>
      <c r="G92" s="22"/>
      <c r="H92" s="22"/>
      <c r="I92" s="22"/>
      <c r="J92" s="22"/>
      <c r="K92" s="22"/>
      <c r="L92" s="22"/>
      <c r="M92" s="22"/>
      <c r="N92" s="22"/>
      <c r="O92" s="22"/>
      <c r="P92" s="7845" t="b">
        <f>AND(X90&lt;&gt;"",X90&gt;0,NOT(AJ65),NOT(AJ67))</f>
        <v>0</v>
      </c>
      <c r="Q92" s="7845"/>
      <c r="R92" s="22"/>
      <c r="S92" s="7861" t="str">
        <f>IF(P92,"Identify above","")</f>
        <v/>
      </c>
      <c r="T92" s="7861"/>
      <c r="U92" s="7861"/>
      <c r="V92" s="7862"/>
      <c r="W92" s="3788">
        <v>7</v>
      </c>
      <c r="X92" s="7782"/>
      <c r="Y92" s="7783"/>
      <c r="Z92" s="7783"/>
      <c r="AA92" s="66"/>
      <c r="AB92" s="3657"/>
      <c r="AC92" s="780"/>
      <c r="AD92" s="780"/>
      <c r="AE92" s="780"/>
      <c r="AF92" s="780"/>
      <c r="AG92" s="780"/>
      <c r="AH92" s="3823"/>
      <c r="AI92" s="3823"/>
      <c r="AJ92" s="3904" t="s">
        <v>1104</v>
      </c>
      <c r="AK92" s="1009" t="s">
        <v>3091</v>
      </c>
      <c r="AL92" s="3886">
        <f>IF(SchF_SSN=SS_Yours,FarmProfitNet,0)</f>
        <v>0</v>
      </c>
      <c r="AM92" s="3887">
        <f>IF(SchF_SSN=SS_Spouse,FarmProfitNet,0)</f>
        <v>0</v>
      </c>
      <c r="AN92" s="3888">
        <f>SUM(AL92,AM92)</f>
        <v>0</v>
      </c>
      <c r="AO92" s="3905"/>
      <c r="AP92" s="3823"/>
      <c r="AQ92" s="2038"/>
      <c r="AR92" s="2038"/>
      <c r="AS92" s="2038"/>
      <c r="AT92" s="2038"/>
      <c r="AU92" s="2038"/>
      <c r="AV92" s="2038"/>
      <c r="AW92" s="2038"/>
      <c r="AX92" s="2038"/>
      <c r="AY92" s="2038"/>
      <c r="AZ92" s="2038"/>
    </row>
    <row r="93" spans="1:52" ht="13.5" customHeight="1">
      <c r="A93" s="394"/>
      <c r="B93" s="22"/>
      <c r="C93" s="872" t="s">
        <v>904</v>
      </c>
      <c r="D93" s="61" t="s">
        <v>3092</v>
      </c>
      <c r="E93" s="23"/>
      <c r="F93" s="22"/>
      <c r="G93" s="22"/>
      <c r="H93" s="22"/>
      <c r="I93" s="22"/>
      <c r="J93" s="22"/>
      <c r="K93" s="22"/>
      <c r="L93" s="22"/>
      <c r="M93" s="22"/>
      <c r="N93" s="22"/>
      <c r="O93" s="22"/>
      <c r="P93" s="22"/>
      <c r="Q93" s="22"/>
      <c r="R93" s="291"/>
      <c r="S93" s="7863" t="str">
        <f>IF(P92,"for whom this form","")</f>
        <v/>
      </c>
      <c r="T93" s="7864"/>
      <c r="U93" s="7864"/>
      <c r="V93" s="7865"/>
      <c r="W93" s="5676"/>
      <c r="X93" s="7792"/>
      <c r="Y93" s="7793"/>
      <c r="Z93" s="7793"/>
      <c r="AA93" s="66"/>
      <c r="AB93" s="7778" t="s">
        <v>3093</v>
      </c>
      <c r="AC93" s="2607"/>
      <c r="AD93" s="780"/>
      <c r="AE93" s="780"/>
      <c r="AG93" s="780"/>
      <c r="AH93" s="3823"/>
      <c r="AI93" s="3823"/>
      <c r="AJ93" s="3904" t="s">
        <v>171</v>
      </c>
      <c r="AK93" s="3417" t="s">
        <v>3094</v>
      </c>
      <c r="AL93" s="3889">
        <f>IF(AND(NOT(AM114),NOT(AM115),'Sch. C'!M7=SS_Yours,'Sch. C'!M121=SS_Yours,'Sch. C'!Y8,'Sch. C'!Y122),AM113,IF(AND(NOT(AM114),'Sch. C'!M7=SS_Yours,'Sch. C'!Y8),AM111,IF(AND(NOT(AM115),'Sch. C'!M121=SS_Yours,'Sch. C'!Y122),AM112,0)))</f>
        <v>0</v>
      </c>
      <c r="AM93" s="3890">
        <f>IF(AND(NOT(AM114),NOT(AM115),'Sch. C'!M7=SS_Spouse,'Sch. C'!M121=SS_Spouse,'Sch. C'!Y8,'Sch. C'!Y122),AM113,IF(AND(NOT(AM114),'Sch. C'!M7=SS_Spouse,'Sch. C'!Y8),AM111,IF(AND(NOT(AM115),'Sch. C'!M121=SS_Spouse,'Sch. C'!Y122),AM112,0)))</f>
        <v>0</v>
      </c>
      <c r="AN93" s="3891">
        <f>SUM(AL93,AM93)</f>
        <v>0</v>
      </c>
      <c r="AO93" s="3905"/>
      <c r="AP93" s="780"/>
      <c r="AQ93" s="2038"/>
      <c r="AR93" s="2038"/>
      <c r="AS93" s="2038"/>
      <c r="AT93" s="2038"/>
      <c r="AU93" s="2038"/>
      <c r="AV93" s="2038"/>
      <c r="AW93" s="2038"/>
      <c r="AX93" s="2038"/>
      <c r="AY93" s="2038"/>
      <c r="AZ93" s="2038"/>
    </row>
    <row r="94" spans="1:52">
      <c r="A94" s="394"/>
      <c r="B94" s="22"/>
      <c r="C94" s="37"/>
      <c r="D94" s="61" t="str">
        <f>"and railroad retirement (tier 1) compensation. If "&amp;TEXT(X91,"$0,000")&amp;" or more, skip lines"</f>
        <v>and railroad retirement (tier 1) compensation. If $160,200 or more, skip lines</v>
      </c>
      <c r="E94" s="23"/>
      <c r="F94" s="22"/>
      <c r="G94" s="22"/>
      <c r="H94" s="22"/>
      <c r="I94" s="22"/>
      <c r="J94" s="22"/>
      <c r="K94" s="22"/>
      <c r="L94" s="22"/>
      <c r="M94" s="22"/>
      <c r="N94" s="22"/>
      <c r="O94" s="22"/>
      <c r="P94" s="22"/>
      <c r="Q94" s="22"/>
      <c r="R94" s="291"/>
      <c r="S94" s="7866" t="str">
        <f>IF(P92,"is being completed.","")</f>
        <v/>
      </c>
      <c r="T94" s="7867"/>
      <c r="U94" s="7867"/>
      <c r="V94" s="7868"/>
      <c r="W94" s="5676"/>
      <c r="X94" s="7794"/>
      <c r="Y94" s="7795"/>
      <c r="Z94" s="7795"/>
      <c r="AA94" s="66"/>
      <c r="AB94" s="7779"/>
      <c r="AC94" s="780"/>
      <c r="AD94" s="780"/>
      <c r="AE94" s="780"/>
      <c r="AF94" s="780"/>
      <c r="AG94" s="780"/>
      <c r="AH94" s="3823"/>
      <c r="AI94" s="3823"/>
      <c r="AJ94" s="3904" t="s">
        <v>3095</v>
      </c>
      <c r="AK94" s="1009" t="s">
        <v>3096</v>
      </c>
      <c r="AL94" s="3889">
        <f>ROUND(SUM(SocSecWages_You,SocSecTips_You),0)</f>
        <v>0</v>
      </c>
      <c r="AM94" s="3890">
        <f>ROUND(SUM(SocSecWages_Spouse,SocSecTips_Spouse),0)</f>
        <v>0</v>
      </c>
      <c r="AN94" s="3891">
        <f>SUM(AL94,AM94)</f>
        <v>0</v>
      </c>
      <c r="AO94" s="3905"/>
      <c r="AP94" s="780"/>
      <c r="AQ94" s="2038"/>
      <c r="AR94" s="2038"/>
      <c r="AS94" s="2038"/>
      <c r="AT94" s="2038"/>
      <c r="AU94" s="2038"/>
      <c r="AV94" s="2038"/>
      <c r="AW94" s="2038"/>
      <c r="AX94" s="2038"/>
      <c r="AY94" s="2038"/>
      <c r="AZ94" s="2038"/>
    </row>
    <row r="95" spans="1:52" ht="13.5" thickBot="1">
      <c r="A95" s="394"/>
      <c r="B95" s="22"/>
      <c r="C95" s="37"/>
      <c r="D95" s="61" t="s">
        <v>3097</v>
      </c>
      <c r="E95" s="23"/>
      <c r="F95" s="22"/>
      <c r="G95" s="22"/>
      <c r="H95" s="22"/>
      <c r="I95" s="22"/>
      <c r="J95" s="22"/>
      <c r="K95" s="22"/>
      <c r="L95" s="22"/>
      <c r="M95" s="22"/>
      <c r="N95" s="22"/>
      <c r="O95" s="22"/>
      <c r="P95" s="22"/>
      <c r="Q95" s="960" t="s">
        <v>642</v>
      </c>
      <c r="R95" s="1656" t="s">
        <v>904</v>
      </c>
      <c r="S95" s="7786" t="str">
        <f>IF(AK84,"",IF(AND(AJ65,AJ67),SUM(AN94,X95),IF(AJ65,SUM(AL94,X95),IF(AJ67,SUM(AM94,X95),""))))</f>
        <v/>
      </c>
      <c r="T95" s="7787"/>
      <c r="U95" s="7787"/>
      <c r="V95" s="7872"/>
      <c r="W95" s="5676"/>
      <c r="X95" s="7790">
        <f>IF(AB95="",0,ROUND(AB95,0))</f>
        <v>0</v>
      </c>
      <c r="Y95" s="7791"/>
      <c r="Z95" s="7791"/>
      <c r="AA95" s="66"/>
      <c r="AB95" s="350"/>
      <c r="AC95" s="780"/>
      <c r="AD95" s="780"/>
      <c r="AE95" s="2241"/>
      <c r="AF95" s="780"/>
      <c r="AG95" s="780"/>
      <c r="AH95" s="780"/>
      <c r="AI95" s="780"/>
      <c r="AJ95" s="1242"/>
      <c r="AK95" s="1009" t="s">
        <v>3098</v>
      </c>
      <c r="AL95" s="3892" t="b">
        <f>OR(AND(SS_Yours='Sch. C'!M7,AM114),AND(SS_Yours='Sch. C'!M121,AM115))</f>
        <v>0</v>
      </c>
      <c r="AM95" s="3893" t="b">
        <f>OR(AND(SS_Spouse='Sch. C'!M7,AM114),AND(SS_Spouse='Sch. C'!M121,AM115))</f>
        <v>0</v>
      </c>
      <c r="AN95" s="3894" t="b">
        <f>OR(AND(NOT(AND(AJ65,AJ67)),OR(AND(AJ65,AL95),AND(AJ67,AM95))))</f>
        <v>0</v>
      </c>
      <c r="AO95" s="1243"/>
      <c r="AQ95" s="2038"/>
      <c r="AR95" s="2038"/>
      <c r="AS95" s="2038"/>
      <c r="AT95" s="2038"/>
      <c r="AU95" s="2038"/>
      <c r="AV95" s="2038"/>
      <c r="AW95" s="2038"/>
      <c r="AX95" s="2038"/>
      <c r="AY95" s="2038"/>
      <c r="AZ95" s="2038"/>
    </row>
    <row r="96" spans="1:52">
      <c r="A96" s="394"/>
      <c r="B96" s="22"/>
      <c r="C96" s="37" t="s">
        <v>644</v>
      </c>
      <c r="D96" s="61" t="s">
        <v>3099</v>
      </c>
      <c r="E96" s="23"/>
      <c r="F96" s="22"/>
      <c r="G96" s="22"/>
      <c r="H96" s="22"/>
      <c r="I96" s="22"/>
      <c r="J96" s="22"/>
      <c r="K96" s="22"/>
      <c r="L96" s="22"/>
      <c r="M96" s="22"/>
      <c r="N96" s="22"/>
      <c r="O96" s="22"/>
      <c r="P96" s="22"/>
      <c r="Q96" s="960" t="s">
        <v>789</v>
      </c>
      <c r="R96" s="1656" t="s">
        <v>909</v>
      </c>
      <c r="S96" s="7842"/>
      <c r="T96" s="7843"/>
      <c r="U96" s="7843"/>
      <c r="V96" s="7844"/>
      <c r="W96" s="5676"/>
      <c r="X96" s="7790">
        <f>ROUND(S96,0)</f>
        <v>0</v>
      </c>
      <c r="Y96" s="7791"/>
      <c r="Z96" s="7791"/>
      <c r="AA96" s="66"/>
      <c r="AB96" s="3657"/>
      <c r="AC96" s="780"/>
      <c r="AD96" s="780"/>
      <c r="AE96" s="780"/>
      <c r="AF96" s="780"/>
      <c r="AG96" s="780"/>
      <c r="AH96" s="780"/>
      <c r="AI96" s="780"/>
      <c r="AJ96" s="1246"/>
      <c r="AK96" s="1846"/>
      <c r="AL96" s="1846"/>
      <c r="AM96" s="1846"/>
      <c r="AN96" s="1846"/>
      <c r="AO96" s="1248"/>
      <c r="AP96" s="780"/>
      <c r="AQ96" s="2038"/>
      <c r="AR96" s="2038"/>
      <c r="AS96" s="2038"/>
      <c r="AT96" s="2038"/>
      <c r="AU96" s="2038"/>
      <c r="AV96" s="2038"/>
      <c r="AW96" s="2038"/>
      <c r="AX96" s="2038"/>
      <c r="AY96" s="2038"/>
      <c r="AZ96" s="2038"/>
    </row>
    <row r="97" spans="1:52" ht="15" customHeight="1" thickBot="1">
      <c r="A97" s="394"/>
      <c r="B97" s="22"/>
      <c r="C97" s="37" t="s">
        <v>648</v>
      </c>
      <c r="D97" s="61" t="s">
        <v>3100</v>
      </c>
      <c r="E97" s="23"/>
      <c r="F97" s="22"/>
      <c r="G97" s="22"/>
      <c r="H97" s="22"/>
      <c r="I97" s="22"/>
      <c r="J97" s="22"/>
      <c r="K97" s="22"/>
      <c r="L97" s="22"/>
      <c r="M97" s="22"/>
      <c r="N97" s="22"/>
      <c r="O97" s="22"/>
      <c r="P97" s="22"/>
      <c r="Q97" s="960" t="s">
        <v>677</v>
      </c>
      <c r="R97" s="3791" t="s">
        <v>912</v>
      </c>
      <c r="S97" s="7848"/>
      <c r="T97" s="7849"/>
      <c r="U97" s="7849"/>
      <c r="V97" s="7850"/>
      <c r="W97" s="5676"/>
      <c r="X97" s="7790">
        <f>ROUND(S97,0)</f>
        <v>0</v>
      </c>
      <c r="Y97" s="7791"/>
      <c r="Z97" s="7791"/>
      <c r="AA97" s="66"/>
      <c r="AB97" s="3657"/>
      <c r="AC97" s="780"/>
      <c r="AE97" s="780"/>
      <c r="AF97" s="780"/>
      <c r="AG97" s="780"/>
      <c r="AH97" s="780"/>
      <c r="AI97" s="780"/>
      <c r="AJ97" s="2807">
        <f>IF(X90="",0,X90)</f>
        <v>0</v>
      </c>
      <c r="AK97" s="1009" t="s">
        <v>874</v>
      </c>
      <c r="AL97" s="1009"/>
      <c r="AM97" s="1009"/>
      <c r="AN97" s="1009"/>
      <c r="AO97" s="780"/>
      <c r="AP97" s="780"/>
      <c r="AQ97" s="2038"/>
      <c r="AR97" s="2038"/>
      <c r="AS97" s="2038"/>
      <c r="AT97" s="2038"/>
      <c r="AU97" s="2038"/>
      <c r="AV97" s="2038"/>
      <c r="AW97" s="2038"/>
      <c r="AX97" s="2038"/>
      <c r="AY97" s="2038"/>
      <c r="AZ97" s="2038"/>
    </row>
    <row r="98" spans="1:52" ht="13.5" thickBot="1">
      <c r="A98" s="394"/>
      <c r="B98" s="22"/>
      <c r="C98" s="37" t="s">
        <v>652</v>
      </c>
      <c r="D98" s="61" t="s">
        <v>3101</v>
      </c>
      <c r="E98" s="23"/>
      <c r="F98" s="22"/>
      <c r="G98" s="22"/>
      <c r="H98" s="22"/>
      <c r="I98" s="22"/>
      <c r="J98" s="22"/>
      <c r="K98" s="22"/>
      <c r="L98" s="22"/>
      <c r="M98" s="22"/>
      <c r="N98" s="22"/>
      <c r="O98" s="22"/>
      <c r="P98" s="22"/>
      <c r="Q98" s="22"/>
      <c r="R98" s="37"/>
      <c r="S98" s="3789"/>
      <c r="T98" s="3789"/>
      <c r="U98" s="3789"/>
      <c r="V98" s="960" t="s">
        <v>744</v>
      </c>
      <c r="W98" s="3793" t="s">
        <v>915</v>
      </c>
      <c r="X98" s="7796" t="str">
        <f>IF(AK84,"",SUM(S95,X96,X97))</f>
        <v/>
      </c>
      <c r="Y98" s="7797"/>
      <c r="Z98" s="7797"/>
      <c r="AA98" s="66"/>
      <c r="AB98" s="3657"/>
      <c r="AC98" s="780"/>
      <c r="AD98" s="780"/>
      <c r="AE98" s="780"/>
      <c r="AF98" s="780"/>
      <c r="AG98" s="780"/>
      <c r="AH98" s="780"/>
      <c r="AI98" s="780"/>
      <c r="AJ98" s="2807">
        <f>IF(X98="",0,X98)</f>
        <v>0</v>
      </c>
      <c r="AK98" s="1009" t="s">
        <v>5503</v>
      </c>
      <c r="AL98" s="1009"/>
      <c r="AM98" s="1009"/>
      <c r="AN98" s="1009"/>
      <c r="AO98" s="780"/>
      <c r="AP98" s="780"/>
      <c r="AQ98" s="2038"/>
      <c r="AR98" s="2038"/>
      <c r="AS98" s="2038"/>
      <c r="AT98" s="2038"/>
      <c r="AU98" s="2038"/>
      <c r="AV98" s="2038"/>
      <c r="AW98" s="2038"/>
      <c r="AX98" s="2038"/>
      <c r="AY98" s="2038"/>
      <c r="AZ98" s="2038"/>
    </row>
    <row r="99" spans="1:52" ht="12.75" customHeight="1">
      <c r="A99" s="394"/>
      <c r="B99" s="22"/>
      <c r="C99" s="37">
        <v>9</v>
      </c>
      <c r="D99" s="61" t="s">
        <v>3102</v>
      </c>
      <c r="E99" s="23"/>
      <c r="F99" s="22"/>
      <c r="G99" s="22"/>
      <c r="H99" s="22"/>
      <c r="I99" s="22"/>
      <c r="J99" s="22"/>
      <c r="K99" s="22"/>
      <c r="L99" s="22"/>
      <c r="M99" s="22"/>
      <c r="N99" s="22"/>
      <c r="O99" s="22"/>
      <c r="P99" s="22"/>
      <c r="Q99" s="22"/>
      <c r="R99" s="37"/>
      <c r="S99" s="3789"/>
      <c r="T99" s="5970"/>
      <c r="U99" s="5970"/>
      <c r="V99" s="960" t="s">
        <v>684</v>
      </c>
      <c r="W99" s="3788">
        <v>9</v>
      </c>
      <c r="X99" s="7788" t="str">
        <f>IF(OR(X98="",P92),"",IF(AJ100,0,SUM(X91,-AJ98)))</f>
        <v/>
      </c>
      <c r="Y99" s="7789"/>
      <c r="Z99" s="7789"/>
      <c r="AA99" s="66"/>
      <c r="AB99" s="3657"/>
      <c r="AC99" s="780"/>
      <c r="AD99" s="780"/>
      <c r="AE99" s="780"/>
      <c r="AF99" s="780"/>
      <c r="AG99" s="780"/>
      <c r="AH99" s="780"/>
      <c r="AJ99" s="2807">
        <f>IF(X99="",0,X99)</f>
        <v>0</v>
      </c>
      <c r="AK99" s="1009" t="s">
        <v>5504</v>
      </c>
      <c r="AL99" s="1009"/>
      <c r="AM99" s="1009"/>
      <c r="AN99" s="1009"/>
      <c r="AO99" s="780"/>
      <c r="AP99" s="780"/>
      <c r="AQ99" s="2038"/>
      <c r="AR99" s="2038"/>
      <c r="AS99" s="2038"/>
      <c r="AT99" s="2038"/>
      <c r="AU99" s="2038"/>
      <c r="AV99" s="2038"/>
      <c r="AW99" s="2038"/>
      <c r="AX99" s="2038"/>
      <c r="AY99" s="2038"/>
      <c r="AZ99" s="2038"/>
    </row>
    <row r="100" spans="1:52" ht="14.25" customHeight="1">
      <c r="A100" s="394"/>
      <c r="B100" s="22"/>
      <c r="C100" s="872">
        <v>10</v>
      </c>
      <c r="D100" s="61" t="s">
        <v>5502</v>
      </c>
      <c r="E100" s="23"/>
      <c r="F100" s="22"/>
      <c r="G100" s="22"/>
      <c r="H100" s="22"/>
      <c r="I100" s="22"/>
      <c r="J100" s="22"/>
      <c r="K100" s="1325" t="str">
        <f>TEXT(AE100,"0.0%")&amp;" ("&amp;TEXT(AE100,"0.000")&amp;")"</f>
        <v>12.4% (0.124)</v>
      </c>
      <c r="L100" s="22"/>
      <c r="M100" s="22"/>
      <c r="N100" s="22"/>
      <c r="O100" s="22"/>
      <c r="P100" s="22"/>
      <c r="Q100" s="22"/>
      <c r="R100" s="22"/>
      <c r="S100" s="22"/>
      <c r="T100" s="22"/>
      <c r="U100" s="22"/>
      <c r="V100" s="5969" t="s">
        <v>896</v>
      </c>
      <c r="W100" s="3788">
        <v>10</v>
      </c>
      <c r="X100" s="7788" t="str">
        <f>IF(OR(P92,AK84),"",IF(AJ100,0,ROUND(AJ101*AE100,0)))</f>
        <v/>
      </c>
      <c r="Y100" s="7789"/>
      <c r="Z100" s="7789"/>
      <c r="AA100" s="66"/>
      <c r="AB100" s="3657"/>
      <c r="AC100" s="780"/>
      <c r="AD100" s="780"/>
      <c r="AE100" s="7873">
        <v>0.124</v>
      </c>
      <c r="AF100" s="7873"/>
      <c r="AG100" s="780"/>
      <c r="AH100" s="780"/>
      <c r="AI100" s="3794"/>
      <c r="AJ100" s="3802" t="b">
        <f>SUM(X91,-AJ98)&lt;=0</f>
        <v>0</v>
      </c>
      <c r="AK100" s="1009"/>
      <c r="AL100" s="1009"/>
      <c r="AM100" s="1009"/>
      <c r="AN100" s="1009"/>
      <c r="AO100" s="780"/>
      <c r="AP100" s="780"/>
      <c r="AQ100" s="2038"/>
      <c r="AR100" s="2038"/>
      <c r="AS100" s="2038"/>
      <c r="AT100" s="2038"/>
      <c r="AU100" s="2038"/>
      <c r="AV100" s="2038"/>
      <c r="AW100" s="2038"/>
      <c r="AX100" s="2038"/>
      <c r="AY100" s="2038"/>
      <c r="AZ100" s="2038"/>
    </row>
    <row r="101" spans="1:52" ht="12.75" customHeight="1">
      <c r="A101" s="394"/>
      <c r="B101" s="22"/>
      <c r="C101" s="37">
        <v>11</v>
      </c>
      <c r="D101" s="61" t="str">
        <f>"Multiply line 6 by "&amp;TEXT(AC101,"0.0%")&amp;" ("&amp;TEXT(AC101,"0.000")&amp;")"</f>
        <v>Multiply line 6 by 2.9% (0.029)</v>
      </c>
      <c r="E101" s="23"/>
      <c r="F101" s="22"/>
      <c r="G101" s="22"/>
      <c r="H101" s="22"/>
      <c r="I101" s="22"/>
      <c r="J101" s="22"/>
      <c r="K101" s="22"/>
      <c r="L101" s="22"/>
      <c r="M101" s="22"/>
      <c r="N101" s="22"/>
      <c r="O101" s="22"/>
      <c r="P101" s="22"/>
      <c r="Q101" s="22"/>
      <c r="R101" s="37"/>
      <c r="S101" s="3789"/>
      <c r="T101" s="3789"/>
      <c r="U101" s="3792"/>
      <c r="V101" s="5969" t="s">
        <v>1226</v>
      </c>
      <c r="W101" s="3788">
        <v>11</v>
      </c>
      <c r="X101" s="7788" t="str">
        <f>IF(OR(P92,AK84),"",ROUND(X90*AC101,0))</f>
        <v/>
      </c>
      <c r="Y101" s="7789"/>
      <c r="Z101" s="7789"/>
      <c r="AA101" s="66"/>
      <c r="AB101" s="3657"/>
      <c r="AC101" s="7873">
        <v>2.9000000000000001E-2</v>
      </c>
      <c r="AD101" s="7873"/>
      <c r="AE101" s="3795"/>
      <c r="AF101" s="3795"/>
      <c r="AG101" s="780"/>
      <c r="AH101" s="780"/>
      <c r="AI101" s="780"/>
      <c r="AJ101" s="3907">
        <f>MIN(X90,AJ99)</f>
        <v>0</v>
      </c>
      <c r="AK101" s="780"/>
      <c r="AL101" s="780"/>
      <c r="AM101" s="780"/>
      <c r="AN101" s="780"/>
      <c r="AP101" s="3802"/>
      <c r="AQ101" s="2038"/>
      <c r="AR101" s="2038"/>
      <c r="AS101" s="2038"/>
      <c r="AT101" s="2038"/>
      <c r="AU101" s="2038"/>
      <c r="AV101" s="2038"/>
      <c r="AW101" s="2038"/>
      <c r="AX101" s="2038"/>
      <c r="AY101" s="2038"/>
      <c r="AZ101" s="2038"/>
    </row>
    <row r="102" spans="1:52" ht="14.25" customHeight="1">
      <c r="A102" s="394"/>
      <c r="B102" s="22"/>
      <c r="C102" s="37">
        <v>12</v>
      </c>
      <c r="D102" s="61" t="s">
        <v>5625</v>
      </c>
      <c r="E102" s="23"/>
      <c r="F102" s="22"/>
      <c r="G102" s="22"/>
      <c r="H102" s="22"/>
      <c r="I102" s="22"/>
      <c r="J102" s="22"/>
      <c r="K102" s="22"/>
      <c r="L102" s="22"/>
      <c r="M102" s="22"/>
      <c r="N102" s="22"/>
      <c r="O102" s="22"/>
      <c r="P102" s="22"/>
      <c r="Q102" s="22"/>
      <c r="R102" s="37"/>
      <c r="S102" s="3789"/>
      <c r="T102" s="3789"/>
      <c r="U102" s="3789"/>
      <c r="V102" s="3789"/>
      <c r="W102" s="5968"/>
      <c r="X102" s="7790"/>
      <c r="Y102" s="7791"/>
      <c r="Z102" s="7791"/>
      <c r="AA102" s="66"/>
      <c r="AB102" s="3657"/>
      <c r="AC102" s="3805"/>
      <c r="AD102" s="3805"/>
      <c r="AE102" s="3795"/>
      <c r="AF102" s="3795"/>
      <c r="AG102" s="780"/>
      <c r="AH102" s="780"/>
      <c r="AI102" s="780"/>
      <c r="AJ102" s="3802" t="b">
        <f>SUM(X93,-AJ100)&lt;=0</f>
        <v>1</v>
      </c>
      <c r="AK102" s="780"/>
      <c r="AL102" s="3882"/>
      <c r="AM102" s="780"/>
      <c r="AN102" s="780"/>
      <c r="AO102" s="780"/>
      <c r="AP102" s="3794"/>
      <c r="AQ102" s="2038"/>
      <c r="AR102" s="2038"/>
      <c r="AS102" s="2038"/>
      <c r="AT102" s="2038"/>
      <c r="AU102" s="2038"/>
      <c r="AV102" s="2038"/>
      <c r="AW102" s="2038"/>
      <c r="AX102" s="2038"/>
      <c r="AY102" s="2038"/>
      <c r="AZ102" s="2038"/>
    </row>
    <row r="103" spans="1:52" ht="14.25" customHeight="1">
      <c r="A103" s="394"/>
      <c r="B103" s="22"/>
      <c r="C103" s="37"/>
      <c r="D103" s="1262" t="s">
        <v>5624</v>
      </c>
      <c r="E103" s="23"/>
      <c r="F103" s="22"/>
      <c r="G103" s="22"/>
      <c r="H103" s="22"/>
      <c r="I103" s="22"/>
      <c r="J103" s="22"/>
      <c r="K103" s="22"/>
      <c r="L103" s="22"/>
      <c r="M103" s="22"/>
      <c r="N103" s="22"/>
      <c r="O103" s="22"/>
      <c r="P103" s="22"/>
      <c r="Q103" s="22"/>
      <c r="R103" s="37"/>
      <c r="S103" s="3789"/>
      <c r="T103" s="3789"/>
      <c r="U103" s="3789"/>
      <c r="V103" s="5969" t="s">
        <v>1226</v>
      </c>
      <c r="W103" s="3788">
        <v>12</v>
      </c>
      <c r="X103" s="7786" t="str">
        <f>IF(OR(P92,AK84),"",SUM(X100,X101))</f>
        <v/>
      </c>
      <c r="Y103" s="7787"/>
      <c r="Z103" s="7787"/>
      <c r="AA103" s="66"/>
      <c r="AB103" s="3657"/>
      <c r="AC103" s="3805"/>
      <c r="AD103" s="3805"/>
      <c r="AE103" s="3795"/>
      <c r="AF103" s="3795"/>
      <c r="AG103" s="780"/>
      <c r="AH103" s="780"/>
      <c r="AI103" s="780"/>
      <c r="AJ103" s="3907"/>
      <c r="AK103" s="3417"/>
      <c r="AL103" s="5965"/>
      <c r="AM103" s="5965"/>
      <c r="AN103" s="5965"/>
      <c r="AO103" s="780"/>
      <c r="AP103" s="780"/>
      <c r="AQ103" s="2038"/>
      <c r="AR103" s="2038"/>
      <c r="AS103" s="2038"/>
      <c r="AT103" s="2038"/>
      <c r="AU103" s="2038"/>
      <c r="AV103" s="2038"/>
      <c r="AW103" s="2038"/>
      <c r="AX103" s="2038"/>
      <c r="AY103" s="2038"/>
      <c r="AZ103" s="2038"/>
    </row>
    <row r="104" spans="1:52" ht="13.5" thickBot="1">
      <c r="A104" s="394"/>
      <c r="B104" s="22"/>
      <c r="C104" s="37">
        <v>13</v>
      </c>
      <c r="D104" s="23" t="s">
        <v>3108</v>
      </c>
      <c r="E104" s="22"/>
      <c r="F104" s="22"/>
      <c r="G104" s="22"/>
      <c r="H104" s="22"/>
      <c r="I104" s="22"/>
      <c r="J104" s="22"/>
      <c r="K104" s="22"/>
      <c r="L104" s="22"/>
      <c r="M104" s="22"/>
      <c r="N104" s="22"/>
      <c r="O104" s="22"/>
      <c r="P104" s="22"/>
      <c r="Q104" s="22"/>
      <c r="R104" s="22"/>
      <c r="S104" s="22"/>
      <c r="T104" s="22"/>
      <c r="U104" s="7874"/>
      <c r="V104" s="7875"/>
      <c r="W104" s="7876"/>
      <c r="X104" s="6844"/>
      <c r="Y104" s="6844"/>
      <c r="Z104" s="6844"/>
      <c r="AA104" s="66"/>
      <c r="AB104" s="292"/>
      <c r="AC104" s="3805"/>
      <c r="AD104" s="3805"/>
      <c r="AE104" s="3795"/>
      <c r="AF104" s="3795"/>
      <c r="AG104" s="780"/>
      <c r="AH104" s="780"/>
      <c r="AI104" s="780"/>
      <c r="AJ104" s="3907">
        <f>MIN(AJ97,AJ99)</f>
        <v>0</v>
      </c>
      <c r="AK104" s="7855" t="s">
        <v>3103</v>
      </c>
      <c r="AL104" s="7856"/>
      <c r="AM104" s="780"/>
      <c r="AN104" s="780"/>
      <c r="AO104" s="3802"/>
      <c r="AP104" s="780"/>
      <c r="AQ104" s="2038"/>
      <c r="AR104" s="2038"/>
      <c r="AS104" s="2038"/>
      <c r="AT104" s="2038"/>
      <c r="AU104" s="2038"/>
      <c r="AV104" s="2038"/>
      <c r="AW104" s="2038"/>
      <c r="AX104" s="2038"/>
      <c r="AY104" s="2038"/>
      <c r="AZ104" s="2038"/>
    </row>
    <row r="105" spans="1:52" ht="12.75" customHeight="1" thickBot="1">
      <c r="A105" s="394"/>
      <c r="B105" s="22"/>
      <c r="C105" s="37"/>
      <c r="D105" s="61" t="str">
        <f>"Multiply  line 12  by "&amp;TEXT(U105,"0%")&amp;" ("&amp;TEXT(U105,"0.00")&amp;")."</f>
        <v>Multiply  line 12  by 50% (0.50).</v>
      </c>
      <c r="E105" s="61"/>
      <c r="F105" s="22"/>
      <c r="G105" s="22"/>
      <c r="H105" s="61"/>
      <c r="I105" s="683" t="s">
        <v>3109</v>
      </c>
      <c r="J105" s="22"/>
      <c r="K105" s="22"/>
      <c r="L105" s="22"/>
      <c r="M105" s="23"/>
      <c r="N105" s="22"/>
      <c r="O105" s="2139"/>
      <c r="P105" s="22"/>
      <c r="Q105" s="22"/>
      <c r="R105" s="291"/>
      <c r="S105" s="22"/>
      <c r="T105" s="22"/>
      <c r="U105" s="7845">
        <v>0.5</v>
      </c>
      <c r="V105" s="7854"/>
      <c r="W105" s="66"/>
      <c r="X105" s="66"/>
      <c r="Y105" s="66"/>
      <c r="Z105" s="66"/>
      <c r="AA105" s="66"/>
      <c r="AB105" s="292"/>
      <c r="AC105" s="3805"/>
      <c r="AD105" s="3805"/>
      <c r="AE105" s="3795"/>
      <c r="AF105" s="3795"/>
      <c r="AG105" s="780"/>
      <c r="AH105" s="780"/>
      <c r="AI105" s="780"/>
      <c r="AJ105" s="780"/>
      <c r="AK105" s="3898">
        <f>IF(X81="",0,X81)</f>
        <v>0</v>
      </c>
      <c r="AL105" s="5224" t="s">
        <v>605</v>
      </c>
      <c r="AM105" s="5225" t="s">
        <v>606</v>
      </c>
      <c r="AN105" s="3883"/>
      <c r="AO105" s="3794"/>
      <c r="AP105" s="780"/>
      <c r="AQ105" s="2038"/>
      <c r="AR105" s="2038"/>
      <c r="AS105" s="2038"/>
      <c r="AT105" s="2038"/>
      <c r="AU105" s="2038"/>
      <c r="AV105" s="2038"/>
      <c r="AW105" s="2038"/>
      <c r="AX105" s="2038"/>
      <c r="AY105" s="2038"/>
      <c r="AZ105" s="2038"/>
    </row>
    <row r="106" spans="1:52" ht="16.5" customHeight="1" thickBot="1">
      <c r="A106" s="394"/>
      <c r="B106" s="34"/>
      <c r="C106" s="611"/>
      <c r="D106" s="3790" t="s">
        <v>3110</v>
      </c>
      <c r="E106" s="637"/>
      <c r="F106" s="637"/>
      <c r="G106" s="34"/>
      <c r="H106" s="34"/>
      <c r="I106" s="34"/>
      <c r="J106" s="34"/>
      <c r="K106" s="34"/>
      <c r="L106" s="34"/>
      <c r="M106" s="34"/>
      <c r="N106" s="34"/>
      <c r="O106" s="3787"/>
      <c r="P106" s="34"/>
      <c r="Q106" s="3787" t="s">
        <v>1563</v>
      </c>
      <c r="R106" s="3817">
        <v>13</v>
      </c>
      <c r="S106" s="7886" t="str">
        <f>IF(AB106&lt;&gt;"",ROUND(AB106,0),IF(OR(P92,AK84),"",ROUND(X103*U105,0)))</f>
        <v/>
      </c>
      <c r="T106" s="7887"/>
      <c r="U106" s="7887"/>
      <c r="V106" s="7888"/>
      <c r="W106" s="7877"/>
      <c r="X106" s="7878"/>
      <c r="Y106" s="7878"/>
      <c r="Z106" s="7878"/>
      <c r="AA106" s="66"/>
      <c r="AB106" s="2642"/>
      <c r="AC106" s="3805"/>
      <c r="AD106" s="3805"/>
      <c r="AE106" s="3795"/>
      <c r="AF106" s="3795"/>
      <c r="AG106" s="780"/>
      <c r="AH106" s="780"/>
      <c r="AI106" s="780"/>
      <c r="AJ106" s="780"/>
      <c r="AK106" s="5226" t="s">
        <v>3105</v>
      </c>
      <c r="AL106" s="5227">
        <f>IF(NOT($AJ65),0,X81)</f>
        <v>0</v>
      </c>
      <c r="AM106" s="5228">
        <f>IF(AND(NOT($AJ65),$AJ67),X81,0)</f>
        <v>0</v>
      </c>
      <c r="AN106" s="5229"/>
      <c r="AO106" s="780"/>
      <c r="AP106" s="780"/>
      <c r="AQ106" s="2038"/>
      <c r="AR106" s="2038"/>
      <c r="AS106" s="2038"/>
      <c r="AT106" s="2038"/>
      <c r="AU106" s="2038"/>
      <c r="AV106" s="2038"/>
      <c r="AW106" s="2038"/>
      <c r="AX106" s="2038"/>
      <c r="AY106" s="2038"/>
      <c r="AZ106" s="2038"/>
    </row>
    <row r="107" spans="1:52" ht="13.5" customHeight="1" thickBot="1">
      <c r="A107" s="394"/>
      <c r="B107" s="685"/>
      <c r="C107" s="686" t="s">
        <v>982</v>
      </c>
      <c r="D107" s="5677"/>
      <c r="E107" s="1458" t="s">
        <v>3113</v>
      </c>
      <c r="F107" s="687"/>
      <c r="G107" s="687"/>
      <c r="H107" s="687"/>
      <c r="I107" s="687"/>
      <c r="J107" s="687"/>
      <c r="K107" s="687"/>
      <c r="L107" s="687"/>
      <c r="M107" s="687"/>
      <c r="N107" s="687"/>
      <c r="O107" s="687"/>
      <c r="P107" s="687"/>
      <c r="Q107" s="687"/>
      <c r="R107" s="687"/>
      <c r="S107" s="687"/>
      <c r="T107" s="687"/>
      <c r="U107" s="687"/>
      <c r="V107" s="687"/>
      <c r="W107" s="687"/>
      <c r="X107" s="687"/>
      <c r="Y107" s="687"/>
      <c r="Z107" s="687"/>
      <c r="AA107" s="66"/>
      <c r="AB107" s="292"/>
      <c r="AC107" s="3805"/>
      <c r="AD107" s="3805"/>
      <c r="AE107" s="3795"/>
      <c r="AF107" s="3795"/>
      <c r="AG107" s="780"/>
      <c r="AH107" s="780"/>
      <c r="AI107" s="780"/>
      <c r="AJ107" s="3907"/>
      <c r="AK107" s="3417" t="s">
        <v>3107</v>
      </c>
      <c r="AL107" s="3884">
        <f>IF(AND(AJ65,SchSE_Clergy2_You),X90,IF(AJ65,ChurchEmployeeIncome2,0))</f>
        <v>0</v>
      </c>
      <c r="AM107" s="3885">
        <f>IF(AND(AJ65,SchSE_Clergy2_Sp),X90,IF(AJ65,ChurchEmployeeIncome2,0))</f>
        <v>0</v>
      </c>
      <c r="AN107" s="3824"/>
      <c r="AO107" s="780"/>
      <c r="AP107" s="780"/>
      <c r="AQ107" s="2038"/>
      <c r="AR107" s="2038"/>
      <c r="AS107" s="2038"/>
      <c r="AT107" s="2038"/>
      <c r="AU107" s="2038"/>
      <c r="AV107" s="2038"/>
      <c r="AW107" s="2038"/>
      <c r="AX107" s="2038"/>
      <c r="AY107" s="2038"/>
      <c r="AZ107" s="2038"/>
    </row>
    <row r="108" spans="1:52" ht="15" thickBot="1">
      <c r="A108" s="394"/>
      <c r="B108" s="23" t="s">
        <v>3115</v>
      </c>
      <c r="C108" s="22"/>
      <c r="D108" s="22"/>
      <c r="E108" s="22"/>
      <c r="F108" s="22"/>
      <c r="G108" s="22"/>
      <c r="H108" s="22"/>
      <c r="I108" s="22"/>
      <c r="J108" s="22"/>
      <c r="K108" s="22"/>
      <c r="L108" s="22"/>
      <c r="M108" s="22"/>
      <c r="N108" s="22"/>
      <c r="O108" s="22"/>
      <c r="P108" s="22"/>
      <c r="Q108" s="22"/>
      <c r="R108" s="22"/>
      <c r="S108" s="22"/>
      <c r="T108" s="22"/>
      <c r="U108" s="22"/>
      <c r="V108" s="22"/>
      <c r="W108" s="291"/>
      <c r="X108" s="943">
        <f>X48</f>
        <v>9840</v>
      </c>
      <c r="Y108" s="22"/>
      <c r="Z108" s="22"/>
      <c r="AA108" s="66"/>
      <c r="AB108" s="292"/>
      <c r="AC108" s="3805"/>
      <c r="AD108" s="3805"/>
      <c r="AE108" s="3795"/>
      <c r="AF108" s="3795"/>
      <c r="AG108" s="780"/>
      <c r="AH108" s="780"/>
      <c r="AI108" s="780"/>
      <c r="AJ108" s="3907"/>
      <c r="AK108" s="3417" t="s">
        <v>3138</v>
      </c>
      <c r="AL108" s="3884">
        <f>SUM(AL42,AL107)</f>
        <v>0</v>
      </c>
      <c r="AM108" s="3885">
        <f>SUM(AM42,AM107)</f>
        <v>0</v>
      </c>
      <c r="AN108" s="3824"/>
      <c r="AO108" s="780"/>
      <c r="AP108" s="780"/>
      <c r="AQ108" s="2038"/>
      <c r="AR108" s="2038"/>
      <c r="AS108" s="2038"/>
      <c r="AT108" s="2038"/>
      <c r="AU108" s="2038"/>
      <c r="AV108" s="2038"/>
      <c r="AW108" s="2038"/>
      <c r="AX108" s="2038"/>
      <c r="AY108" s="2038"/>
      <c r="AZ108" s="2038"/>
    </row>
    <row r="109" spans="1:52" ht="12.75" customHeight="1">
      <c r="A109" s="394"/>
      <c r="B109" s="61" t="str">
        <f>"than "&amp;TEXT(X108,"$0,000")&amp;" or (b) your net farm profits were less than "&amp;TEXT(X109,"$0,000")&amp;"."</f>
        <v>than $9,840 or (b) your net farm profits were less than $7,103.</v>
      </c>
      <c r="C109" s="22"/>
      <c r="D109" s="22"/>
      <c r="E109" s="22"/>
      <c r="F109" s="22"/>
      <c r="G109" s="22"/>
      <c r="H109" s="22"/>
      <c r="I109" s="22"/>
      <c r="J109" s="22"/>
      <c r="K109" s="22"/>
      <c r="L109" s="22"/>
      <c r="M109" s="22"/>
      <c r="N109" s="22"/>
      <c r="O109" s="22"/>
      <c r="P109" s="22"/>
      <c r="Q109" s="22"/>
      <c r="R109" s="22"/>
      <c r="S109" s="22"/>
      <c r="T109" s="22"/>
      <c r="U109" s="22"/>
      <c r="V109" s="22"/>
      <c r="W109" s="291"/>
      <c r="X109" s="943">
        <f>X49</f>
        <v>7103</v>
      </c>
      <c r="Y109" s="22"/>
      <c r="Z109" s="22"/>
      <c r="AA109" s="66"/>
      <c r="AB109" s="292"/>
      <c r="AC109" s="3805"/>
      <c r="AD109" s="3805"/>
      <c r="AE109" s="3795"/>
      <c r="AF109" s="3795"/>
      <c r="AG109" s="780"/>
      <c r="AH109" s="780"/>
      <c r="AI109" s="780"/>
      <c r="AJ109" s="780"/>
      <c r="AK109" s="1009"/>
      <c r="AL109" s="3800"/>
      <c r="AM109" s="3800"/>
      <c r="AN109" s="3800"/>
      <c r="AO109" s="780"/>
      <c r="AP109" s="780"/>
      <c r="AQ109" s="2050"/>
      <c r="AR109" s="2038"/>
      <c r="AS109" s="2038"/>
      <c r="AT109" s="2038"/>
      <c r="AU109" s="2038"/>
      <c r="AV109" s="2038"/>
      <c r="AW109" s="2038"/>
      <c r="AX109" s="2038"/>
      <c r="AY109" s="2038"/>
      <c r="AZ109" s="2038"/>
    </row>
    <row r="110" spans="1:52" ht="13.5" customHeight="1" thickBot="1">
      <c r="A110" s="394"/>
      <c r="B110" s="22"/>
      <c r="C110" s="37">
        <v>14</v>
      </c>
      <c r="D110" s="22" t="s">
        <v>3117</v>
      </c>
      <c r="E110" s="22"/>
      <c r="F110" s="22"/>
      <c r="G110" s="22"/>
      <c r="H110" s="22"/>
      <c r="I110" s="22"/>
      <c r="J110" s="22"/>
      <c r="K110" s="22"/>
      <c r="L110" s="22"/>
      <c r="M110" s="22"/>
      <c r="N110" s="22"/>
      <c r="O110" s="22"/>
      <c r="P110" s="22"/>
      <c r="Q110" s="22"/>
      <c r="R110" s="22"/>
      <c r="S110" s="22"/>
      <c r="T110" s="22"/>
      <c r="U110" s="22"/>
      <c r="V110" s="2139" t="s">
        <v>705</v>
      </c>
      <c r="W110" s="1656">
        <v>14</v>
      </c>
      <c r="X110" s="7879">
        <f>X50</f>
        <v>6560</v>
      </c>
      <c r="Y110" s="7880"/>
      <c r="Z110" s="7880"/>
      <c r="AA110" s="66"/>
      <c r="AB110" s="3906" t="str">
        <f>IF(X112&gt;X110,"Line 15 cannot","")</f>
        <v/>
      </c>
      <c r="AC110" s="3805"/>
      <c r="AD110" s="3805"/>
      <c r="AE110" s="3795"/>
      <c r="AF110" s="3795"/>
      <c r="AG110" s="780"/>
      <c r="AH110" s="780"/>
      <c r="AI110" s="780"/>
      <c r="AJ110" s="780"/>
      <c r="AK110" s="1009"/>
      <c r="AL110" s="3895" t="s">
        <v>3111</v>
      </c>
      <c r="AM110" s="3895" t="s">
        <v>3112</v>
      </c>
      <c r="AN110" s="3895"/>
      <c r="AO110" s="780"/>
      <c r="AP110" s="780"/>
      <c r="AQ110" s="2038"/>
      <c r="AR110" s="2038"/>
      <c r="AS110" s="2038"/>
      <c r="AT110" s="2038"/>
      <c r="AU110" s="2038"/>
      <c r="AV110" s="2038"/>
      <c r="AW110" s="2038"/>
      <c r="AX110" s="2038"/>
      <c r="AY110" s="2038"/>
      <c r="AZ110" s="2038"/>
    </row>
    <row r="111" spans="1:52" ht="13.5" customHeight="1">
      <c r="A111" s="394"/>
      <c r="B111" s="22"/>
      <c r="C111" s="37">
        <v>15</v>
      </c>
      <c r="D111" s="683" t="s">
        <v>3119</v>
      </c>
      <c r="E111" s="22"/>
      <c r="F111" s="22"/>
      <c r="G111" s="22"/>
      <c r="H111" s="22"/>
      <c r="I111" s="22"/>
      <c r="J111" s="22"/>
      <c r="K111" s="22"/>
      <c r="L111" s="22"/>
      <c r="M111" s="22"/>
      <c r="N111" s="22"/>
      <c r="O111" s="22"/>
      <c r="P111" s="22"/>
      <c r="Q111" s="22"/>
      <c r="R111" s="7894" t="str">
        <f>TEXT(X110,"$0,000")&amp;" "</f>
        <v xml:space="preserve">$6,560 </v>
      </c>
      <c r="S111" s="7894"/>
      <c r="T111" s="45"/>
      <c r="U111" s="61"/>
      <c r="V111" s="1749" t="s">
        <v>3120</v>
      </c>
      <c r="W111" s="291"/>
      <c r="X111" s="805" t="b">
        <f>AND(X112&lt;&gt;"",X112&gt;0)</f>
        <v>0</v>
      </c>
      <c r="Y111" s="22"/>
      <c r="Z111" s="22"/>
      <c r="AA111" s="66"/>
      <c r="AB111" s="3906" t="str">
        <f>IF(X112&gt;X110,"be more than","")</f>
        <v/>
      </c>
      <c r="AC111" s="3805"/>
      <c r="AD111" s="3805"/>
      <c r="AE111" s="3795"/>
      <c r="AF111" s="3795"/>
      <c r="AG111" s="780"/>
      <c r="AH111" s="780"/>
      <c r="AI111" s="780"/>
      <c r="AJ111" s="3879" t="s">
        <v>171</v>
      </c>
      <c r="AK111" s="1009" t="s">
        <v>3114</v>
      </c>
      <c r="AL111" s="3886">
        <f t="shared" ref="AL111:AM115" si="0">AL47</f>
        <v>0</v>
      </c>
      <c r="AM111" s="3888">
        <f t="shared" si="0"/>
        <v>0</v>
      </c>
      <c r="AN111" s="780"/>
      <c r="AO111" s="780"/>
      <c r="AP111" s="780"/>
      <c r="AQ111" s="2038"/>
      <c r="AR111" s="2038"/>
      <c r="AS111" s="2038"/>
      <c r="AT111" s="2038"/>
      <c r="AU111" s="2038"/>
      <c r="AV111" s="2038"/>
      <c r="AW111" s="2038"/>
      <c r="AX111" s="2038"/>
      <c r="AY111" s="2038"/>
      <c r="AZ111" s="2038"/>
    </row>
    <row r="112" spans="1:52" ht="13.5" customHeight="1">
      <c r="A112" s="394"/>
      <c r="B112" s="38"/>
      <c r="C112" s="38"/>
      <c r="D112" s="3783" t="s">
        <v>3122</v>
      </c>
      <c r="E112" s="38"/>
      <c r="F112" s="38"/>
      <c r="G112" s="38"/>
      <c r="H112" s="38"/>
      <c r="I112" s="38"/>
      <c r="J112" s="38"/>
      <c r="K112" s="38"/>
      <c r="L112" s="38"/>
      <c r="M112" s="38"/>
      <c r="N112" s="38"/>
      <c r="O112" s="38"/>
      <c r="P112" s="38"/>
      <c r="Q112" s="38"/>
      <c r="R112" s="38"/>
      <c r="S112" s="38"/>
      <c r="T112" s="38"/>
      <c r="U112" s="38"/>
      <c r="V112" s="5678" t="s">
        <v>740</v>
      </c>
      <c r="W112" s="1656">
        <v>15</v>
      </c>
      <c r="X112" s="7881"/>
      <c r="Y112" s="7882"/>
      <c r="Z112" s="7882"/>
      <c r="AA112" s="66"/>
      <c r="AB112" s="3906" t="str">
        <f>IF(X112&gt;X110,"Line 14.","")</f>
        <v/>
      </c>
      <c r="AC112" s="3805"/>
      <c r="AD112" s="3805"/>
      <c r="AE112" s="3795"/>
      <c r="AF112" s="3795"/>
      <c r="AG112" s="780"/>
      <c r="AH112" s="780"/>
      <c r="AI112" s="780"/>
      <c r="AJ112" s="3879" t="s">
        <v>171</v>
      </c>
      <c r="AK112" s="1009" t="s">
        <v>3116</v>
      </c>
      <c r="AL112" s="3889">
        <f t="shared" si="0"/>
        <v>0</v>
      </c>
      <c r="AM112" s="3891">
        <f t="shared" si="0"/>
        <v>0</v>
      </c>
      <c r="AN112" s="780"/>
      <c r="AO112" s="780"/>
      <c r="AP112" s="780"/>
      <c r="AQ112" s="2038"/>
      <c r="AR112" s="2038"/>
      <c r="AS112" s="2038"/>
      <c r="AT112" s="2038"/>
      <c r="AU112" s="2038"/>
      <c r="AV112" s="2038"/>
      <c r="AW112" s="2038"/>
      <c r="AX112" s="2038"/>
      <c r="AY112" s="2038"/>
      <c r="AZ112" s="2038"/>
    </row>
    <row r="113" spans="1:52" ht="13.5" customHeight="1" thickBot="1">
      <c r="A113" s="394"/>
      <c r="B113" s="23" t="s">
        <v>3123</v>
      </c>
      <c r="C113" s="22"/>
      <c r="D113" s="22"/>
      <c r="E113" s="22"/>
      <c r="F113" s="22"/>
      <c r="G113" s="22"/>
      <c r="H113" s="22"/>
      <c r="I113" s="22"/>
      <c r="J113" s="22"/>
      <c r="K113" s="22"/>
      <c r="L113" s="22"/>
      <c r="M113" s="22"/>
      <c r="N113" s="22"/>
      <c r="O113" s="22"/>
      <c r="P113" s="22"/>
      <c r="Q113" s="22"/>
      <c r="R113" s="22"/>
      <c r="S113" s="22"/>
      <c r="T113" s="196" t="str">
        <f>"than "&amp;TEXT(X109,"$0,000")</f>
        <v>than $7,103</v>
      </c>
      <c r="U113" s="196"/>
      <c r="V113" s="2546"/>
      <c r="W113" s="291"/>
      <c r="X113" s="805">
        <v>0.72189000000000003</v>
      </c>
      <c r="Y113" s="22"/>
      <c r="Z113" s="22"/>
      <c r="AA113" s="66"/>
      <c r="AB113" s="292"/>
      <c r="AC113" s="3805"/>
      <c r="AD113" s="3805"/>
      <c r="AE113" s="3795"/>
      <c r="AF113" s="3795"/>
      <c r="AG113" s="780"/>
      <c r="AH113" s="780"/>
      <c r="AI113" s="780"/>
      <c r="AJ113" s="3879" t="s">
        <v>171</v>
      </c>
      <c r="AK113" s="3417" t="s">
        <v>3094</v>
      </c>
      <c r="AL113" s="3896">
        <f t="shared" si="0"/>
        <v>0</v>
      </c>
      <c r="AM113" s="3897">
        <f t="shared" si="0"/>
        <v>0</v>
      </c>
      <c r="AN113" s="3800"/>
      <c r="AO113" s="780"/>
      <c r="AP113" s="780"/>
      <c r="AQ113" s="2038"/>
      <c r="AR113" s="2038"/>
      <c r="AS113" s="2038"/>
      <c r="AT113" s="2038"/>
      <c r="AU113" s="2038"/>
      <c r="AV113" s="2038"/>
      <c r="AW113" s="2038"/>
      <c r="AX113" s="2038"/>
      <c r="AY113" s="2038"/>
      <c r="AZ113" s="2038"/>
    </row>
    <row r="114" spans="1:52" ht="13.5" customHeight="1">
      <c r="A114" s="394"/>
      <c r="B114" s="683" t="str">
        <f>"and also less than "&amp;TEXT(X113,"0.000%")&amp;" of your"</f>
        <v>and also less than 72.189% of your</v>
      </c>
      <c r="C114" s="22"/>
      <c r="D114" s="22"/>
      <c r="E114" s="22"/>
      <c r="F114" s="22"/>
      <c r="G114" s="22"/>
      <c r="H114" s="61"/>
      <c r="I114" s="22"/>
      <c r="J114" s="61"/>
      <c r="K114" s="22"/>
      <c r="L114" s="22"/>
      <c r="M114" s="22"/>
      <c r="N114" s="22"/>
      <c r="O114" s="22"/>
      <c r="P114" s="22"/>
      <c r="Q114" s="22"/>
      <c r="R114" s="22"/>
      <c r="S114" s="1749" t="s">
        <v>3124</v>
      </c>
      <c r="T114" s="22"/>
      <c r="U114" s="22"/>
      <c r="V114" s="22"/>
      <c r="W114" s="291"/>
      <c r="X114" s="805">
        <v>400</v>
      </c>
      <c r="Y114" s="22"/>
      <c r="Z114" s="22"/>
      <c r="AA114" s="66"/>
      <c r="AB114" s="292"/>
      <c r="AC114" s="3805"/>
      <c r="AD114" s="3805"/>
      <c r="AE114" s="3795"/>
      <c r="AF114" s="3795"/>
      <c r="AG114" s="780"/>
      <c r="AH114" s="780"/>
      <c r="AI114" s="780"/>
      <c r="AJ114" s="780"/>
      <c r="AK114" s="1009" t="s">
        <v>3118</v>
      </c>
      <c r="AL114" s="3800" t="b">
        <f t="shared" si="0"/>
        <v>0</v>
      </c>
      <c r="AM114" s="3800" t="b">
        <f t="shared" si="0"/>
        <v>0</v>
      </c>
      <c r="AN114" s="3800"/>
      <c r="AO114" s="780"/>
      <c r="AP114" s="780"/>
      <c r="AQ114" s="2038"/>
      <c r="AR114" s="2038"/>
      <c r="AS114" s="2038"/>
      <c r="AT114" s="2038"/>
      <c r="AU114" s="2038"/>
      <c r="AV114" s="2038"/>
      <c r="AW114" s="2038"/>
      <c r="AX114" s="2038"/>
      <c r="AY114" s="2038"/>
      <c r="AZ114" s="2038"/>
    </row>
    <row r="115" spans="1:52">
      <c r="A115" s="394"/>
      <c r="B115" s="51" t="str">
        <f>"employment of at least "&amp;TEXT(X114,"$0")&amp;" in 2 of the prior 3 years."</f>
        <v>employment of at least $400 in 2 of the prior 3 years.</v>
      </c>
      <c r="C115" s="22"/>
      <c r="D115" s="22"/>
      <c r="E115" s="22"/>
      <c r="F115" s="22"/>
      <c r="G115" s="22"/>
      <c r="H115" s="22"/>
      <c r="I115" s="22"/>
      <c r="J115" s="22"/>
      <c r="K115" s="61" t="s">
        <v>3125</v>
      </c>
      <c r="L115" s="22"/>
      <c r="M115" s="61"/>
      <c r="N115" s="22"/>
      <c r="O115" s="22"/>
      <c r="P115" s="22"/>
      <c r="Q115" s="22"/>
      <c r="R115" s="22"/>
      <c r="S115" s="22"/>
      <c r="T115" s="22"/>
      <c r="U115" s="22"/>
      <c r="V115" s="22"/>
      <c r="W115" s="291"/>
      <c r="X115" s="22"/>
      <c r="Y115" s="22"/>
      <c r="Z115" s="22"/>
      <c r="AA115" s="66"/>
      <c r="AB115" s="292"/>
      <c r="AC115" s="3805"/>
      <c r="AD115" s="3805"/>
      <c r="AE115" s="3795"/>
      <c r="AF115" s="3795"/>
      <c r="AG115" s="780"/>
      <c r="AH115" s="780"/>
      <c r="AI115" s="780"/>
      <c r="AJ115" s="780"/>
      <c r="AK115" s="1009" t="s">
        <v>3121</v>
      </c>
      <c r="AL115" s="780" t="b">
        <f t="shared" si="0"/>
        <v>0</v>
      </c>
      <c r="AM115" s="780" t="b">
        <f t="shared" si="0"/>
        <v>0</v>
      </c>
      <c r="AN115" s="780"/>
      <c r="AO115" s="780"/>
      <c r="AP115" s="780"/>
      <c r="AQ115" s="2038"/>
      <c r="AR115" s="2038"/>
      <c r="AS115" s="2038"/>
      <c r="AT115" s="2038"/>
      <c r="AU115" s="2038"/>
      <c r="AV115" s="2038"/>
      <c r="AW115" s="2038"/>
      <c r="AX115" s="2038"/>
      <c r="AY115" s="2038"/>
      <c r="AZ115" s="2038"/>
    </row>
    <row r="116" spans="1:52">
      <c r="A116" s="394"/>
      <c r="B116" s="22"/>
      <c r="C116" s="37">
        <v>16</v>
      </c>
      <c r="D116" s="22" t="s">
        <v>3126</v>
      </c>
      <c r="E116" s="22"/>
      <c r="F116" s="22"/>
      <c r="G116" s="22"/>
      <c r="H116" s="22"/>
      <c r="I116" s="22"/>
      <c r="J116" s="22"/>
      <c r="K116" s="22"/>
      <c r="L116" s="22"/>
      <c r="M116" s="22"/>
      <c r="N116" s="22"/>
      <c r="O116" s="22"/>
      <c r="P116" s="22"/>
      <c r="Q116" s="22"/>
      <c r="R116" s="22"/>
      <c r="S116" s="22"/>
      <c r="T116" s="22"/>
      <c r="U116" s="22"/>
      <c r="V116" s="5679" t="s">
        <v>3127</v>
      </c>
      <c r="W116" s="1656">
        <v>16</v>
      </c>
      <c r="X116" s="7851" t="str">
        <f>IF(X112="","",IF(X110-X112&lt;0,0,X110-X112))</f>
        <v/>
      </c>
      <c r="Y116" s="7852"/>
      <c r="Z116" s="7852"/>
      <c r="AA116" s="66"/>
      <c r="AB116" s="292"/>
      <c r="AH116" s="887" t="str">
        <f>IF(Q106="",0,Q106)</f>
        <v>.   .   .   .   .   .   .   .   .   .   .   .   .   .   .   .   .   .   .   .   .   .   .   .   .   .   .   .</v>
      </c>
      <c r="AJ116" s="780"/>
      <c r="AK116" s="780"/>
      <c r="AL116" s="780"/>
      <c r="AM116" s="780"/>
      <c r="AN116" s="780"/>
      <c r="AO116" s="780"/>
      <c r="AP116" s="780"/>
      <c r="AQ116" s="2038"/>
      <c r="AR116" s="2038"/>
      <c r="AS116" s="2038"/>
      <c r="AT116" s="2038"/>
      <c r="AU116" s="2038"/>
      <c r="AV116" s="2038"/>
      <c r="AW116" s="2038"/>
      <c r="AX116" s="2038"/>
      <c r="AY116" s="2038"/>
      <c r="AZ116" s="2038"/>
    </row>
    <row r="117" spans="1:52" ht="15" thickBot="1">
      <c r="A117" s="394"/>
      <c r="B117" s="22"/>
      <c r="C117" s="37">
        <v>17</v>
      </c>
      <c r="D117" s="61" t="s">
        <v>3128</v>
      </c>
      <c r="E117" s="22"/>
      <c r="F117" s="22"/>
      <c r="G117" s="22"/>
      <c r="H117" s="22"/>
      <c r="I117" s="22"/>
      <c r="J117" s="22"/>
      <c r="K117" s="22"/>
      <c r="L117" s="22"/>
      <c r="M117" s="22"/>
      <c r="N117" s="22"/>
      <c r="O117" s="22"/>
      <c r="P117" s="22"/>
      <c r="Q117" s="22"/>
      <c r="R117" s="22"/>
      <c r="S117" s="22"/>
      <c r="T117" s="22"/>
      <c r="U117" s="22"/>
      <c r="V117" s="22"/>
      <c r="W117" s="291"/>
      <c r="X117" s="805" t="b">
        <f>AND(X118&lt;&gt;"",X118&gt;0)</f>
        <v>0</v>
      </c>
      <c r="Y117" s="22"/>
      <c r="Z117" s="22"/>
      <c r="AA117" s="66"/>
      <c r="AB117" s="334" t="str">
        <f>IF($X$58&gt;$X$56,"Line 17 cannot","")</f>
        <v/>
      </c>
      <c r="AC117" s="640"/>
      <c r="AD117" s="640"/>
      <c r="AE117" s="640"/>
      <c r="AF117" s="640"/>
      <c r="AG117" s="640"/>
      <c r="AH117" s="640"/>
      <c r="AJ117" s="780"/>
      <c r="AK117" s="1009"/>
      <c r="AL117" s="3800"/>
      <c r="AM117" s="1009"/>
      <c r="AN117" s="780"/>
      <c r="AO117" s="780"/>
      <c r="AP117" s="780"/>
      <c r="AQ117" s="2038"/>
      <c r="AR117" s="2038"/>
      <c r="AS117" s="2038"/>
      <c r="AT117" s="2038"/>
      <c r="AU117" s="2038"/>
      <c r="AV117" s="2038"/>
      <c r="AW117" s="2038"/>
      <c r="AX117" s="2038"/>
      <c r="AY117" s="2038"/>
      <c r="AZ117" s="2038"/>
    </row>
    <row r="118" spans="1:52">
      <c r="A118" s="394"/>
      <c r="B118" s="22"/>
      <c r="C118" s="22"/>
      <c r="D118" s="688" t="s">
        <v>3129</v>
      </c>
      <c r="E118" s="22"/>
      <c r="F118" s="22"/>
      <c r="G118" s="22"/>
      <c r="H118" s="22"/>
      <c r="I118" s="22"/>
      <c r="J118" s="22"/>
      <c r="K118" s="22"/>
      <c r="L118" s="22"/>
      <c r="M118" s="22"/>
      <c r="N118" s="22"/>
      <c r="O118" s="22"/>
      <c r="P118" s="22"/>
      <c r="Q118" s="22"/>
      <c r="R118" s="22"/>
      <c r="S118" s="22"/>
      <c r="T118" s="22"/>
      <c r="U118" s="22"/>
      <c r="V118" s="2139" t="s">
        <v>642</v>
      </c>
      <c r="W118" s="1656">
        <v>17</v>
      </c>
      <c r="X118" s="7881"/>
      <c r="Y118" s="7882"/>
      <c r="Z118" s="7882"/>
      <c r="AA118" s="66"/>
      <c r="AB118" s="334" t="str">
        <f>IF($X$58&gt;$X$56,"be more than","")</f>
        <v/>
      </c>
      <c r="AJ118" s="780"/>
      <c r="AK118" s="3795" t="s">
        <v>3139</v>
      </c>
      <c r="AL118" s="3909" t="str">
        <f>X43</f>
        <v/>
      </c>
      <c r="AM118" s="3802"/>
      <c r="AN118" s="3802"/>
      <c r="AO118" s="780"/>
      <c r="AP118" s="780"/>
      <c r="AQ118" s="2038"/>
      <c r="AR118" s="2038"/>
      <c r="AS118" s="2038"/>
      <c r="AT118" s="2038"/>
      <c r="AU118" s="2038"/>
      <c r="AV118" s="2038"/>
      <c r="AW118" s="2038"/>
      <c r="AX118" s="2038"/>
      <c r="AY118" s="2038"/>
      <c r="AZ118" s="2038"/>
    </row>
    <row r="119" spans="1:52" ht="14.25" customHeight="1" thickBot="1">
      <c r="A119" s="394"/>
      <c r="B119" s="444">
        <v>1</v>
      </c>
      <c r="C119" s="7889" t="s">
        <v>3130</v>
      </c>
      <c r="D119" s="7889"/>
      <c r="E119" s="7889"/>
      <c r="F119" s="7889"/>
      <c r="G119" s="7889"/>
      <c r="H119" s="7889"/>
      <c r="I119" s="7889"/>
      <c r="J119" s="7889"/>
      <c r="K119" s="7889"/>
      <c r="L119" s="7890"/>
      <c r="M119" s="3392">
        <v>3</v>
      </c>
      <c r="N119" s="7893" t="s">
        <v>3131</v>
      </c>
      <c r="O119" s="7893"/>
      <c r="P119" s="7893"/>
      <c r="Q119" s="7893"/>
      <c r="R119" s="7893"/>
      <c r="S119" s="7893"/>
      <c r="T119" s="7893"/>
      <c r="U119" s="7893"/>
      <c r="V119" s="7893"/>
      <c r="W119" s="7893"/>
      <c r="X119" s="7893"/>
      <c r="Y119" s="7893"/>
      <c r="Z119" s="7893"/>
      <c r="AA119" s="66"/>
      <c r="AB119" s="334" t="str">
        <f>IF($X$58&gt;$X$56,"Line 16.","")</f>
        <v/>
      </c>
      <c r="AJ119" s="780"/>
      <c r="AK119" s="3795" t="s">
        <v>3140</v>
      </c>
      <c r="AL119" s="3910" t="str">
        <f>X103</f>
        <v/>
      </c>
      <c r="AM119" s="3794"/>
      <c r="AN119" s="3794"/>
      <c r="AO119" s="780"/>
      <c r="AP119" s="780"/>
      <c r="AQ119" s="2038"/>
      <c r="AR119" s="2038"/>
      <c r="AS119" s="2038"/>
      <c r="AT119" s="2038"/>
      <c r="AU119" s="2038"/>
      <c r="AV119" s="2038"/>
      <c r="AW119" s="2038"/>
      <c r="AX119" s="2038"/>
      <c r="AY119" s="2038"/>
      <c r="AZ119" s="2038"/>
    </row>
    <row r="120" spans="1:52" s="640" customFormat="1" ht="25.5" customHeight="1" thickBot="1">
      <c r="A120" s="394"/>
      <c r="B120" s="445">
        <v>2</v>
      </c>
      <c r="C120" s="7891" t="s">
        <v>3132</v>
      </c>
      <c r="D120" s="7891"/>
      <c r="E120" s="7891"/>
      <c r="F120" s="7891"/>
      <c r="G120" s="7891"/>
      <c r="H120" s="7891"/>
      <c r="I120" s="7891"/>
      <c r="J120" s="7891"/>
      <c r="K120" s="7891"/>
      <c r="L120" s="7892"/>
      <c r="M120" s="445">
        <v>4</v>
      </c>
      <c r="N120" s="7853" t="s">
        <v>3133</v>
      </c>
      <c r="O120" s="7853"/>
      <c r="P120" s="7853"/>
      <c r="Q120" s="7853"/>
      <c r="R120" s="7853"/>
      <c r="S120" s="7853"/>
      <c r="T120" s="7853"/>
      <c r="U120" s="7853"/>
      <c r="V120" s="7853"/>
      <c r="W120" s="7853"/>
      <c r="X120" s="7853"/>
      <c r="Y120" s="7853"/>
      <c r="Z120" s="7853"/>
      <c r="AA120" s="66"/>
      <c r="AB120" s="292"/>
      <c r="AC120"/>
      <c r="AD120"/>
      <c r="AE120"/>
      <c r="AF120"/>
      <c r="AG120"/>
      <c r="AH120"/>
      <c r="AI120"/>
      <c r="AJ120" s="780"/>
      <c r="AK120" s="3795" t="s">
        <v>248</v>
      </c>
      <c r="AL120" s="5967">
        <f>SUM(AL118:AL119)</f>
        <v>0</v>
      </c>
      <c r="AM120" s="3794"/>
      <c r="AN120" s="3794"/>
      <c r="AO120" s="780"/>
      <c r="AP120" s="780"/>
      <c r="AQ120" s="2067"/>
      <c r="AR120" s="2067"/>
      <c r="AS120" s="2067"/>
      <c r="AT120" s="2067"/>
      <c r="AU120" s="2067"/>
      <c r="AV120" s="2067"/>
      <c r="AW120" s="2067"/>
      <c r="AX120" s="2067"/>
      <c r="AY120" s="2067"/>
      <c r="AZ120" s="2067"/>
    </row>
    <row r="121" spans="1:52" ht="13.5" thickBot="1">
      <c r="A121" s="2610"/>
      <c r="B121" s="4110" t="s">
        <v>979</v>
      </c>
      <c r="C121" s="4111"/>
      <c r="D121" s="4112"/>
      <c r="E121" s="4112"/>
      <c r="F121" s="4113"/>
      <c r="G121" s="4108"/>
      <c r="H121" s="4109"/>
      <c r="I121" s="4109"/>
      <c r="J121" s="4112"/>
      <c r="K121" s="4109"/>
      <c r="L121" s="4109"/>
      <c r="M121" s="4113"/>
      <c r="N121" s="4108"/>
      <c r="O121" s="4109"/>
      <c r="P121" s="4109"/>
      <c r="Q121" s="4114" t="s">
        <v>3134</v>
      </c>
      <c r="R121" s="4112"/>
      <c r="S121" s="4112"/>
      <c r="T121" s="3876"/>
      <c r="U121" s="3398"/>
      <c r="V121" s="86"/>
      <c r="W121" s="86"/>
      <c r="X121" s="86"/>
      <c r="Y121" s="86"/>
      <c r="Z121" s="765" t="str">
        <f>"Schedule SE (Form 1040) "&amp;TaxYear</f>
        <v>Schedule SE (Form 1040) 2023</v>
      </c>
      <c r="AA121" s="2609"/>
      <c r="AB121" s="2608"/>
      <c r="AJ121" s="780"/>
      <c r="AK121" s="3795"/>
      <c r="AL121" s="3794"/>
      <c r="AM121" s="3794"/>
      <c r="AN121" s="3794"/>
      <c r="AO121" s="780"/>
      <c r="AQ121" s="2038"/>
      <c r="AR121" s="2038"/>
      <c r="AS121" s="2038"/>
      <c r="AT121" s="2038"/>
      <c r="AU121" s="2038"/>
      <c r="AV121" s="2038"/>
      <c r="AW121" s="2038"/>
      <c r="AX121" s="2038"/>
      <c r="AY121" s="2038"/>
      <c r="AZ121" s="2038"/>
    </row>
    <row r="122" spans="1:52" ht="13.5" thickBot="1">
      <c r="A122" s="394"/>
      <c r="B122" s="394"/>
      <c r="C122" s="394"/>
      <c r="D122" s="394"/>
      <c r="E122" s="394"/>
      <c r="F122" s="394"/>
      <c r="G122" s="394"/>
      <c r="H122" s="394"/>
      <c r="I122" s="394"/>
      <c r="J122" s="394"/>
      <c r="K122" s="394"/>
      <c r="L122" s="394"/>
      <c r="M122" s="394"/>
      <c r="N122" s="394"/>
      <c r="O122" s="394"/>
      <c r="P122" s="394"/>
      <c r="Q122" s="394"/>
      <c r="R122" s="394"/>
      <c r="S122" s="394"/>
      <c r="T122" s="394"/>
      <c r="U122" s="394"/>
      <c r="V122" s="394"/>
      <c r="W122" s="394"/>
      <c r="X122" s="394"/>
      <c r="Y122" s="394"/>
      <c r="Z122" s="394"/>
      <c r="AA122" s="66"/>
      <c r="AB122" s="292"/>
      <c r="AJ122" s="3416"/>
      <c r="AK122" s="3795"/>
      <c r="AL122" s="3907" t="s">
        <v>3141</v>
      </c>
      <c r="AM122" s="3907" t="s">
        <v>606</v>
      </c>
      <c r="AN122" s="3907" t="s">
        <v>3142</v>
      </c>
      <c r="AO122" s="780"/>
    </row>
    <row r="123" spans="1:52">
      <c r="AJ123" s="3880"/>
      <c r="AK123" s="3795" t="s">
        <v>3143</v>
      </c>
      <c r="AL123" s="3909">
        <f>IF(AND(AJ5,NOT(AJ7)),S46,0)</f>
        <v>0</v>
      </c>
      <c r="AM123" s="3909">
        <f>IF(AND(NOT(AJ5),AJ7),S46,0)</f>
        <v>0</v>
      </c>
      <c r="AN123" s="3909">
        <f>IF(AND(AJ5,AJ7),S46,0)</f>
        <v>0</v>
      </c>
      <c r="AO123" s="780"/>
    </row>
    <row r="124" spans="1:52" ht="13.5" thickBot="1">
      <c r="AJ124" s="780"/>
      <c r="AK124" s="3795" t="s">
        <v>3144</v>
      </c>
      <c r="AL124" s="4676">
        <f>IF(AND(AJ65,NOT(AJ67)),S106,0)</f>
        <v>0</v>
      </c>
      <c r="AM124" s="4676">
        <f>IF(AND(NOT(AJ65),AJ67),S106,0)</f>
        <v>0</v>
      </c>
      <c r="AN124" s="4676">
        <f>IF(AND(AJ65,AJ67),S106,0)</f>
        <v>0</v>
      </c>
      <c r="AO124" s="780"/>
    </row>
    <row r="125" spans="1:52" ht="26.25" customHeight="1" thickTop="1" thickBot="1">
      <c r="B125" s="240"/>
      <c r="C125" s="240"/>
      <c r="D125" s="240"/>
      <c r="E125" s="240"/>
      <c r="F125" s="7835" t="s">
        <v>3147</v>
      </c>
      <c r="G125" s="7836"/>
      <c r="H125" s="7836"/>
      <c r="I125" s="7836"/>
      <c r="J125" s="7837"/>
      <c r="K125" s="7838"/>
      <c r="L125" s="240"/>
      <c r="M125" s="240"/>
      <c r="N125" s="240"/>
      <c r="O125" s="240"/>
      <c r="P125" s="240"/>
      <c r="Q125" s="240"/>
      <c r="R125" s="240"/>
      <c r="S125" s="240"/>
      <c r="T125" s="240"/>
      <c r="U125" s="240"/>
      <c r="V125" s="240"/>
      <c r="W125" s="240"/>
      <c r="X125" s="240"/>
      <c r="Y125" s="240"/>
      <c r="Z125" s="240"/>
      <c r="AA125" s="39"/>
      <c r="AB125" s="240"/>
      <c r="AJ125" s="780"/>
      <c r="AK125" s="3417" t="s">
        <v>248</v>
      </c>
      <c r="AL125" s="4677">
        <f>SUM(AL123:AL124)</f>
        <v>0</v>
      </c>
      <c r="AM125" s="4677">
        <f>SUM(AM123:AM124)</f>
        <v>0</v>
      </c>
      <c r="AN125" s="4677">
        <f>SUM(AN123:AN124)</f>
        <v>0</v>
      </c>
    </row>
    <row r="126" spans="1:52" ht="14.25" thickTop="1" thickBot="1">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240"/>
      <c r="AB126" s="39"/>
      <c r="AJ126" s="780"/>
      <c r="AK126" s="3417" t="s">
        <v>3145</v>
      </c>
      <c r="AL126" s="4677">
        <f>SUM(SchSE_Deduction_You,SchSE_Deduction_Sp,SchSE_Deduction_Both)</f>
        <v>0</v>
      </c>
      <c r="AM126" s="4656" t="s">
        <v>3146</v>
      </c>
      <c r="AN126" s="3823"/>
    </row>
    <row r="127" spans="1:52" ht="14.25" thickTop="1" thickBot="1">
      <c r="B127" s="240"/>
      <c r="C127" s="240"/>
      <c r="D127" s="240"/>
      <c r="E127" s="240"/>
      <c r="F127" s="7835" t="s">
        <v>3148</v>
      </c>
      <c r="G127" s="7836"/>
      <c r="H127" s="7836"/>
      <c r="I127" s="7836"/>
      <c r="J127" s="7837"/>
      <c r="K127" s="7838"/>
      <c r="L127" s="240"/>
      <c r="M127" s="240"/>
      <c r="N127" s="240"/>
      <c r="O127" s="240"/>
      <c r="P127" s="240"/>
      <c r="Q127" s="240"/>
      <c r="R127" s="240"/>
      <c r="S127" s="240"/>
      <c r="T127" s="240"/>
      <c r="U127" s="240"/>
      <c r="V127" s="240"/>
      <c r="W127" s="240"/>
      <c r="X127" s="240"/>
      <c r="Y127" s="240"/>
      <c r="Z127" s="240"/>
      <c r="AB127" s="240"/>
      <c r="AJ127" s="780"/>
      <c r="AK127" s="3417"/>
      <c r="AL127" s="3823"/>
      <c r="AM127" s="3823"/>
      <c r="AN127" s="3823"/>
    </row>
    <row r="128" spans="1:52" ht="13.5" thickTop="1">
      <c r="AJ128" s="780"/>
      <c r="AK128" s="780"/>
      <c r="AL128" s="780"/>
      <c r="AM128" s="780"/>
      <c r="AN128" s="780"/>
    </row>
  </sheetData>
  <sheetProtection algorithmName="SHA-512" hashValue="AeB1VpuMQMVU7qS8+sjS/krifkBsaf5bLZxmQkrjPEzUF1kHS16XlrwSQuzSsAea25zZprXSRuGv0BzgiH0JZg==" saltValue="9sZJIUc2GcSZELwxApaDhg==" spinCount="100000" sheet="1" objects="1" scenarios="1"/>
  <mergeCells count="164">
    <mergeCell ref="C119:L119"/>
    <mergeCell ref="C120:L120"/>
    <mergeCell ref="S92:V92"/>
    <mergeCell ref="X98:Z98"/>
    <mergeCell ref="X100:Z100"/>
    <mergeCell ref="P32:Q32"/>
    <mergeCell ref="X36:Z36"/>
    <mergeCell ref="W44:Z44"/>
    <mergeCell ref="N60:Z60"/>
    <mergeCell ref="N59:Z59"/>
    <mergeCell ref="S106:V106"/>
    <mergeCell ref="W106:Z106"/>
    <mergeCell ref="X110:Z110"/>
    <mergeCell ref="X112:Z112"/>
    <mergeCell ref="R111:S111"/>
    <mergeCell ref="G63:V63"/>
    <mergeCell ref="X118:Z118"/>
    <mergeCell ref="N119:Z119"/>
    <mergeCell ref="U45:V45"/>
    <mergeCell ref="C59:L59"/>
    <mergeCell ref="C60:L60"/>
    <mergeCell ref="X56:Z56"/>
    <mergeCell ref="X58:Z58"/>
    <mergeCell ref="B1:F1"/>
    <mergeCell ref="X101:Z101"/>
    <mergeCell ref="S95:V95"/>
    <mergeCell ref="X95:Z95"/>
    <mergeCell ref="S96:V96"/>
    <mergeCell ref="X96:Z96"/>
    <mergeCell ref="X37:Z37"/>
    <mergeCell ref="AB93:AB94"/>
    <mergeCell ref="S94:V94"/>
    <mergeCell ref="X94:Z94"/>
    <mergeCell ref="R51:S51"/>
    <mergeCell ref="S46:V46"/>
    <mergeCell ref="U44:V44"/>
    <mergeCell ref="B68:D68"/>
    <mergeCell ref="B71:C71"/>
    <mergeCell ref="Q66:V67"/>
    <mergeCell ref="B67:P67"/>
    <mergeCell ref="B66:P66"/>
    <mergeCell ref="B64:F64"/>
    <mergeCell ref="G64:V64"/>
    <mergeCell ref="B65:F65"/>
    <mergeCell ref="G65:V65"/>
    <mergeCell ref="B62:F62"/>
    <mergeCell ref="B63:F63"/>
    <mergeCell ref="AD82:AH83"/>
    <mergeCell ref="X83:Z83"/>
    <mergeCell ref="X84:Z84"/>
    <mergeCell ref="X85:Z85"/>
    <mergeCell ref="X86:Z86"/>
    <mergeCell ref="AG65:AG67"/>
    <mergeCell ref="W66:Z67"/>
    <mergeCell ref="AB67:AB68"/>
    <mergeCell ref="AE40:AF40"/>
    <mergeCell ref="AC41:AD41"/>
    <mergeCell ref="X40:Z40"/>
    <mergeCell ref="X43:Z43"/>
    <mergeCell ref="W46:Z46"/>
    <mergeCell ref="X50:Z50"/>
    <mergeCell ref="X52:Z52"/>
    <mergeCell ref="AB78:AB79"/>
    <mergeCell ref="AD68:AI71"/>
    <mergeCell ref="AB70:AB72"/>
    <mergeCell ref="AC63:AE64"/>
    <mergeCell ref="X64:Z65"/>
    <mergeCell ref="W62:Z62"/>
    <mergeCell ref="W63:Z63"/>
    <mergeCell ref="X41:Z41"/>
    <mergeCell ref="X42:Z42"/>
    <mergeCell ref="AK104:AL104"/>
    <mergeCell ref="X99:Z99"/>
    <mergeCell ref="AE100:AF100"/>
    <mergeCell ref="AC101:AD101"/>
    <mergeCell ref="X103:Z103"/>
    <mergeCell ref="AC89:AD89"/>
    <mergeCell ref="AC90:AD90"/>
    <mergeCell ref="X102:Z102"/>
    <mergeCell ref="U104:V104"/>
    <mergeCell ref="W104:Z104"/>
    <mergeCell ref="S93:V93"/>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D8:AI11"/>
    <mergeCell ref="X30:Z30"/>
    <mergeCell ref="S28:V28"/>
    <mergeCell ref="X35:Z35"/>
    <mergeCell ref="X25:Z25"/>
    <mergeCell ref="F125:K125"/>
    <mergeCell ref="F127:K127"/>
    <mergeCell ref="X74:Z74"/>
    <mergeCell ref="X75:Z75"/>
    <mergeCell ref="X76:Z76"/>
    <mergeCell ref="X77:Z77"/>
    <mergeCell ref="X78:Z78"/>
    <mergeCell ref="X82:Z82"/>
    <mergeCell ref="X87:Z87"/>
    <mergeCell ref="S88:V88"/>
    <mergeCell ref="X88:Z88"/>
    <mergeCell ref="X93:Z93"/>
    <mergeCell ref="X89:Z89"/>
    <mergeCell ref="X90:Z90"/>
    <mergeCell ref="X91:Z92"/>
    <mergeCell ref="P92:Q92"/>
    <mergeCell ref="X79:Z79"/>
    <mergeCell ref="X80:Z80"/>
    <mergeCell ref="X81:Z81"/>
    <mergeCell ref="S97:V97"/>
    <mergeCell ref="X97:Z97"/>
    <mergeCell ref="X116:Z116"/>
    <mergeCell ref="N120:Z120"/>
    <mergeCell ref="U105:V105"/>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B8:D8"/>
    <mergeCell ref="B11:C11"/>
    <mergeCell ref="AC29:AD29"/>
    <mergeCell ref="AC30:AD30"/>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AB18:AB19"/>
  </mergeCells>
  <phoneticPr fontId="12" type="noConversion"/>
  <conditionalFormatting sqref="B7">
    <cfRule type="expression" dxfId="1874" priority="209">
      <formula>NoColor</formula>
    </cfRule>
  </conditionalFormatting>
  <conditionalFormatting sqref="B67">
    <cfRule type="expression" dxfId="1873" priority="72">
      <formula>NoColor</formula>
    </cfRule>
  </conditionalFormatting>
  <conditionalFormatting sqref="B23:C23">
    <cfRule type="expression" dxfId="1872" priority="205" stopIfTrue="1">
      <formula>IF(AND(#REF!&lt;&gt;"",OR($X$17="",$X$17=0),$X$23&lt;$X$22),1,0)</formula>
    </cfRule>
  </conditionalFormatting>
  <conditionalFormatting sqref="B83:C83">
    <cfRule type="expression" dxfId="1871" priority="70" stopIfTrue="1">
      <formula>IF(AND(#REF!&lt;&gt;"",OR($X$17="",$X$17=0),$X$23&lt;$X$22),1,0)</formula>
    </cfRule>
  </conditionalFormatting>
  <conditionalFormatting sqref="D27">
    <cfRule type="expression" dxfId="1870" priority="193">
      <formula>AND(ChurchEmployee,ChurchEmployeeIncome="")</formula>
    </cfRule>
  </conditionalFormatting>
  <conditionalFormatting sqref="D87">
    <cfRule type="expression" dxfId="1869" priority="63">
      <formula>AND(ChurchEmployee,ChurchEmployeeIncome="")</formula>
    </cfRule>
  </conditionalFormatting>
  <conditionalFormatting sqref="G62">
    <cfRule type="expression" dxfId="1868" priority="112">
      <formula>NOT(Draft)</formula>
    </cfRule>
  </conditionalFormatting>
  <conditionalFormatting sqref="I22">
    <cfRule type="expression" dxfId="1867" priority="497" stopIfTrue="1">
      <formula>IF(AND(#REF!&lt;&gt;"",OR($X$17="",$X$17=0),$X$23&lt;$X$22),1,0)</formula>
    </cfRule>
  </conditionalFormatting>
  <conditionalFormatting sqref="I82">
    <cfRule type="expression" dxfId="1866" priority="119" stopIfTrue="1">
      <formula>IF(AND(#REF!&lt;&gt;"",OR($X$17="",$X$17=0),$X$23&lt;$X$22),1,0)</formula>
    </cfRule>
  </conditionalFormatting>
  <conditionalFormatting sqref="Q6">
    <cfRule type="expression" dxfId="1865" priority="41">
      <formula>$AJ$6</formula>
    </cfRule>
  </conditionalFormatting>
  <conditionalFormatting sqref="Q66">
    <cfRule type="expression" dxfId="1864" priority="40">
      <formula>$AJ$6</formula>
    </cfRule>
  </conditionalFormatting>
  <conditionalFormatting sqref="S28">
    <cfRule type="expression" dxfId="1863" priority="247">
      <formula>IF(NoColor,1,0)</formula>
    </cfRule>
  </conditionalFormatting>
  <conditionalFormatting sqref="S35:S37">
    <cfRule type="expression" dxfId="1862" priority="239">
      <formula>IF(NoColor,1,0)</formula>
    </cfRule>
  </conditionalFormatting>
  <conditionalFormatting sqref="S46">
    <cfRule type="expression" dxfId="1861" priority="483">
      <formula>IF(NoColor,1,0)</formula>
    </cfRule>
  </conditionalFormatting>
  <conditionalFormatting sqref="S88">
    <cfRule type="expression" dxfId="1860" priority="103">
      <formula>IF(NoColor,1,0)</formula>
    </cfRule>
  </conditionalFormatting>
  <conditionalFormatting sqref="S95:S97">
    <cfRule type="expression" dxfId="1859" priority="96">
      <formula>IF(NoColor,1,0)</formula>
    </cfRule>
  </conditionalFormatting>
  <conditionalFormatting sqref="S106">
    <cfRule type="expression" dxfId="1858" priority="114">
      <formula>IF(NoColor,1,0)</formula>
    </cfRule>
  </conditionalFormatting>
  <conditionalFormatting sqref="U62">
    <cfRule type="expression" dxfId="1857" priority="111">
      <formula>NOT(Draft)</formula>
    </cfRule>
  </conditionalFormatting>
  <conditionalFormatting sqref="W6:Z7">
    <cfRule type="expression" dxfId="1856" priority="312">
      <formula>AND(NoColor,NoSSN)</formula>
    </cfRule>
    <cfRule type="expression" dxfId="1855" priority="315">
      <formula>IF(NoColor,1,0)</formula>
    </cfRule>
  </conditionalFormatting>
  <conditionalFormatting sqref="W66:Z67">
    <cfRule type="expression" dxfId="1854" priority="106">
      <formula>AND(NoColor,NoSSN)</formula>
    </cfRule>
    <cfRule type="expression" dxfId="1853" priority="107">
      <formula>IF(NoColor,1,0)</formula>
    </cfRule>
  </conditionalFormatting>
  <conditionalFormatting sqref="X103">
    <cfRule type="expression" dxfId="1852" priority="5">
      <formula>IF(NoColor,1,0)</formula>
    </cfRule>
  </conditionalFormatting>
  <conditionalFormatting sqref="X15:Z15">
    <cfRule type="expression" dxfId="1851" priority="491">
      <formula>IF(NoColor,1,0)</formula>
    </cfRule>
    <cfRule type="expression" dxfId="1850" priority="3651" stopIfTrue="1">
      <formula>AND(NOT(NoColor),ChurchEmployee1,AB15="")</formula>
    </cfRule>
  </conditionalFormatting>
  <conditionalFormatting sqref="X17:Z17">
    <cfRule type="expression" dxfId="1849" priority="227">
      <formula>IF(NoColor,1,0)</formula>
    </cfRule>
    <cfRule type="expression" dxfId="1848" priority="228" stopIfTrue="1">
      <formula>AND(NOT(NoColor),ChurchEmployee1,AB17="")</formula>
    </cfRule>
  </conditionalFormatting>
  <conditionalFormatting sqref="X18:Z18">
    <cfRule type="expression" dxfId="1847" priority="206" stopIfTrue="1">
      <formula>AND(X17&lt;&gt;"",X17&gt;0)</formula>
    </cfRule>
  </conditionalFormatting>
  <conditionalFormatting sqref="X19:Z19">
    <cfRule type="expression" dxfId="1846" priority="511" stopIfTrue="1">
      <formula>AND(X17&lt;&gt;"",X17&gt;0)</formula>
    </cfRule>
  </conditionalFormatting>
  <conditionalFormatting sqref="X20:Z20">
    <cfRule type="expression" dxfId="1845" priority="39">
      <formula>AND(NOT(NoColor),ChurchEmployee1,AB15="")</formula>
    </cfRule>
  </conditionalFormatting>
  <conditionalFormatting sqref="X20:Z21">
    <cfRule type="expression" dxfId="1844" priority="226">
      <formula>IF(NoColor,1,0)</formula>
    </cfRule>
  </conditionalFormatting>
  <conditionalFormatting sqref="X21:Z21">
    <cfRule type="expression" dxfId="1843" priority="4133">
      <formula>AND(NOT(NoColor),ChurchEmployee1,AB15="",AB17="",AB20="",AB21="")</formula>
    </cfRule>
  </conditionalFormatting>
  <conditionalFormatting sqref="X23:Z23">
    <cfRule type="expression" dxfId="1842" priority="4131">
      <formula>AND(NOT(NoColor),ChurchEmployee1,AB15="",AB17="",AB20="",AB23="")</formula>
    </cfRule>
  </conditionalFormatting>
  <conditionalFormatting sqref="X23:Z24">
    <cfRule type="expression" dxfId="1841" priority="220">
      <formula>IF(NoColor,1,0)</formula>
    </cfRule>
  </conditionalFormatting>
  <conditionalFormatting sqref="X24:Z24">
    <cfRule type="expression" dxfId="1840" priority="4135" stopIfTrue="1">
      <formula>AND(NOT(NoColor),ChurchEmployee1,AB15="",AB17="",AB20="",AB23="",AB24="")</formula>
    </cfRule>
  </conditionalFormatting>
  <conditionalFormatting sqref="X26:Z26">
    <cfRule type="expression" dxfId="1839" priority="243">
      <formula>IF(NoColor,1,0)</formula>
    </cfRule>
  </conditionalFormatting>
  <conditionalFormatting sqref="X29:Z30">
    <cfRule type="expression" dxfId="1838" priority="218">
      <formula>IF(NoColor,1,0)</formula>
    </cfRule>
  </conditionalFormatting>
  <conditionalFormatting sqref="X38:Z41 X43">
    <cfRule type="expression" dxfId="1837" priority="11">
      <formula>IF(NoColor,1,0)</formula>
    </cfRule>
  </conditionalFormatting>
  <conditionalFormatting sqref="X52:Z52">
    <cfRule type="expression" dxfId="1836" priority="214">
      <formula>IF(NoColor,1,0)</formula>
    </cfRule>
  </conditionalFormatting>
  <conditionalFormatting sqref="X56:Z56">
    <cfRule type="expression" dxfId="1835" priority="211">
      <formula>IF(NoColor,1,0)</formula>
    </cfRule>
  </conditionalFormatting>
  <conditionalFormatting sqref="X58:Z58">
    <cfRule type="expression" dxfId="1834" priority="210">
      <formula>IF(NoColor,1,0)</formula>
    </cfRule>
  </conditionalFormatting>
  <conditionalFormatting sqref="X75:Z75">
    <cfRule type="expression" dxfId="1833" priority="33">
      <formula>IF(NoColor,1,0)</formula>
    </cfRule>
    <cfRule type="expression" dxfId="1832" priority="34" stopIfTrue="1">
      <formula>AND(NOT(NoColor),ChurchEmployee2,AB75="")</formula>
    </cfRule>
  </conditionalFormatting>
  <conditionalFormatting sqref="X77:Z77">
    <cfRule type="expression" dxfId="1831" priority="31">
      <formula>IF(NoColor,1,0)</formula>
    </cfRule>
    <cfRule type="expression" dxfId="1830" priority="32" stopIfTrue="1">
      <formula>AND(NOT(NoColor),ChurchEmployee2,AB77="")</formula>
    </cfRule>
  </conditionalFormatting>
  <conditionalFormatting sqref="X78:Z78">
    <cfRule type="expression" dxfId="1829" priority="71" stopIfTrue="1">
      <formula>AND(X77&lt;&gt;"",X77&gt;0)</formula>
    </cfRule>
  </conditionalFormatting>
  <conditionalFormatting sqref="X79:Z79">
    <cfRule type="expression" dxfId="1828" priority="121" stopIfTrue="1">
      <formula>AND(X77&lt;&gt;"",X77&gt;0)</formula>
    </cfRule>
  </conditionalFormatting>
  <conditionalFormatting sqref="X80:Z81">
    <cfRule type="expression" dxfId="1827" priority="27">
      <formula>AND(NOT(NoColor),ChurchEmployee2,AB75="")</formula>
    </cfRule>
    <cfRule type="expression" dxfId="1826" priority="28">
      <formula>IF(NoColor,1,0)</formula>
    </cfRule>
  </conditionalFormatting>
  <conditionalFormatting sqref="X83:Z83">
    <cfRule type="expression" dxfId="1825" priority="4141">
      <formula>AND(NOT(NoColor),ChurchEmployee2,AB75="",AB77="",AB80="",AB83="")</formula>
    </cfRule>
  </conditionalFormatting>
  <conditionalFormatting sqref="X83:Z84">
    <cfRule type="expression" dxfId="1824" priority="23">
      <formula>IF(NoColor,1,0)</formula>
    </cfRule>
  </conditionalFormatting>
  <conditionalFormatting sqref="X84:Z84">
    <cfRule type="expression" dxfId="1823" priority="4143" stopIfTrue="1">
      <formula>AND(NOT(NoColor),ChurchEmployee2,AB75="",AB77="",AB80="",AB83="",AB84="")</formula>
    </cfRule>
  </conditionalFormatting>
  <conditionalFormatting sqref="X86:Z86">
    <cfRule type="expression" dxfId="1822" priority="19">
      <formula>IF(NoColor,1,0)</formula>
    </cfRule>
  </conditionalFormatting>
  <conditionalFormatting sqref="X89:Z90">
    <cfRule type="expression" dxfId="1821" priority="18">
      <formula>IF(NoColor,1,0)</formula>
    </cfRule>
  </conditionalFormatting>
  <conditionalFormatting sqref="X98:Z101">
    <cfRule type="expression" dxfId="1820" priority="1">
      <formula>IF(NoColor,1,0)</formula>
    </cfRule>
  </conditionalFormatting>
  <conditionalFormatting sqref="X112:Z112">
    <cfRule type="expression" dxfId="1819" priority="76">
      <formula>IF(NoColor,1,0)</formula>
    </cfRule>
  </conditionalFormatting>
  <conditionalFormatting sqref="X116:Z116">
    <cfRule type="expression" dxfId="1818" priority="74">
      <formula>IF(NoColor,1,0)</formula>
    </cfRule>
  </conditionalFormatting>
  <conditionalFormatting sqref="X118:Z118">
    <cfRule type="expression" dxfId="1817" priority="73">
      <formula>IF(NoColor,1,0)</formula>
    </cfRule>
  </conditionalFormatting>
  <conditionalFormatting sqref="Y12">
    <cfRule type="expression" dxfId="1816" priority="250">
      <formula>NoColor</formula>
    </cfRule>
  </conditionalFormatting>
  <conditionalFormatting sqref="Y72">
    <cfRule type="expression" dxfId="1815" priority="104">
      <formula>NoColor</formula>
    </cfRule>
  </conditionalFormatting>
  <conditionalFormatting sqref="AB10:AB12">
    <cfRule type="expression" dxfId="1814" priority="200">
      <formula>ChurchEmployee1</formula>
    </cfRule>
  </conditionalFormatting>
  <conditionalFormatting sqref="AB16">
    <cfRule type="expression" dxfId="1813" priority="301">
      <formula>AND(#REF!,SchC_StatutoryEmp_1&lt;&gt;"")</formula>
    </cfRule>
  </conditionalFormatting>
  <conditionalFormatting sqref="AB18">
    <cfRule type="expression" dxfId="1812" priority="177">
      <formula>$AN$35</formula>
    </cfRule>
    <cfRule type="expression" dxfId="1811" priority="192">
      <formula>AJ17</formula>
    </cfRule>
  </conditionalFormatting>
  <conditionalFormatting sqref="AB24:AB26">
    <cfRule type="expression" dxfId="1810" priority="3986">
      <formula>$AK$24</formula>
    </cfRule>
  </conditionalFormatting>
  <conditionalFormatting sqref="AB27">
    <cfRule type="expression" dxfId="1809" priority="14">
      <formula>#REF!</formula>
    </cfRule>
    <cfRule type="expression" dxfId="1808" priority="15">
      <formula>#REF!</formula>
    </cfRule>
  </conditionalFormatting>
  <conditionalFormatting sqref="AB36:AB38 AC37:AC38 AB99:AC100">
    <cfRule type="expression" dxfId="1807" priority="3989">
      <formula>#REF!</formula>
    </cfRule>
  </conditionalFormatting>
  <conditionalFormatting sqref="AB41:AB43">
    <cfRule type="expression" dxfId="1806" priority="4011">
      <formula>#REF!</formula>
    </cfRule>
  </conditionalFormatting>
  <conditionalFormatting sqref="AB50:AB52">
    <cfRule type="expression" dxfId="1805" priority="215" stopIfTrue="1">
      <formula>($X$52&gt;$X$50)</formula>
    </cfRule>
  </conditionalFormatting>
  <conditionalFormatting sqref="AB52">
    <cfRule type="expression" dxfId="1804" priority="204" stopIfTrue="1">
      <formula>(X52&gt;X50)</formula>
    </cfRule>
  </conditionalFormatting>
  <conditionalFormatting sqref="AB57:AB59">
    <cfRule type="expression" dxfId="1803" priority="213" stopIfTrue="1">
      <formula>($X$58&gt;$X$56)</formula>
    </cfRule>
  </conditionalFormatting>
  <conditionalFormatting sqref="AB70:AB72">
    <cfRule type="expression" dxfId="1802" priority="67">
      <formula>ChurchEmployee2</formula>
    </cfRule>
  </conditionalFormatting>
  <conditionalFormatting sqref="AB76">
    <cfRule type="expression" dxfId="1801" priority="105">
      <formula>AND(#REF!,SchC_StatutoryEmp_1&lt;&gt;"")</formula>
    </cfRule>
  </conditionalFormatting>
  <conditionalFormatting sqref="AB78">
    <cfRule type="expression" dxfId="1800" priority="4962">
      <formula>AN95</formula>
    </cfRule>
    <cfRule type="expression" dxfId="1799" priority="4963">
      <formula>AJ77</formula>
    </cfRule>
  </conditionalFormatting>
  <conditionalFormatting sqref="AB84">
    <cfRule type="expression" dxfId="1798" priority="36">
      <formula>AK$84</formula>
    </cfRule>
  </conditionalFormatting>
  <conditionalFormatting sqref="AB85">
    <cfRule type="expression" dxfId="1797" priority="13">
      <formula>AK84</formula>
    </cfRule>
  </conditionalFormatting>
  <conditionalFormatting sqref="AB86">
    <cfRule type="expression" dxfId="1796" priority="12">
      <formula>AK84</formula>
    </cfRule>
  </conditionalFormatting>
  <conditionalFormatting sqref="AB87">
    <cfRule type="expression" dxfId="1795" priority="65">
      <formula>AND(#REF!,SchC_StatutoryEmp_1&lt;&gt;"")</formula>
    </cfRule>
  </conditionalFormatting>
  <conditionalFormatting sqref="AB88:AB89">
    <cfRule type="expression" dxfId="1794" priority="64">
      <formula>AND(#REF!,SchC_StatutoryEmp_1&lt;&gt;"")</formula>
    </cfRule>
  </conditionalFormatting>
  <conditionalFormatting sqref="AB96:AB98 AC97:AC98">
    <cfRule type="expression" dxfId="1793" priority="128">
      <formula>#REF!</formula>
    </cfRule>
  </conditionalFormatting>
  <conditionalFormatting sqref="AB101:AB102">
    <cfRule type="expression" dxfId="1792" priority="144">
      <formula>#REF!</formula>
    </cfRule>
  </conditionalFormatting>
  <conditionalFormatting sqref="AB103">
    <cfRule type="expression" dxfId="1791" priority="6">
      <formula>#REF!</formula>
    </cfRule>
  </conditionalFormatting>
  <conditionalFormatting sqref="AB110:AB111">
    <cfRule type="expression" dxfId="1790" priority="10" stopIfTrue="1">
      <formula>($X$52&gt;$X$50)</formula>
    </cfRule>
  </conditionalFormatting>
  <conditionalFormatting sqref="AB112">
    <cfRule type="expression" dxfId="1789" priority="69" stopIfTrue="1">
      <formula>(X112&gt;X110)</formula>
    </cfRule>
    <cfRule type="expression" dxfId="1788" priority="77" stopIfTrue="1">
      <formula>($X$52&gt;$X$50)</formula>
    </cfRule>
  </conditionalFormatting>
  <conditionalFormatting sqref="AB117:AB119">
    <cfRule type="expression" dxfId="1787" priority="75" stopIfTrue="1">
      <formula>($X$58&gt;$X$56)</formula>
    </cfRule>
  </conditionalFormatting>
  <conditionalFormatting sqref="AB31:AC31 AB32">
    <cfRule type="expression" dxfId="1786" priority="4005">
      <formula>#REF!</formula>
    </cfRule>
  </conditionalFormatting>
  <conditionalFormatting sqref="AB39:AC40">
    <cfRule type="expression" dxfId="1785" priority="4009">
      <formula>#REF!</formula>
    </cfRule>
  </conditionalFormatting>
  <conditionalFormatting sqref="AB91:AC91 AB92">
    <cfRule type="expression" dxfId="1784" priority="138">
      <formula>#REF!</formula>
    </cfRule>
  </conditionalFormatting>
  <conditionalFormatting sqref="AC28:AC30">
    <cfRule type="expression" dxfId="1783" priority="3983">
      <formula>#REF!</formula>
    </cfRule>
  </conditionalFormatting>
  <conditionalFormatting sqref="AC32:AC33">
    <cfRule type="expression" dxfId="1782" priority="3987">
      <formula>#REF!</formula>
    </cfRule>
  </conditionalFormatting>
  <conditionalFormatting sqref="AC88:AC90">
    <cfRule type="expression" dxfId="1781" priority="4">
      <formula>#REF!</formula>
    </cfRule>
  </conditionalFormatting>
  <conditionalFormatting sqref="AC92:AC93">
    <cfRule type="expression" dxfId="1780" priority="126">
      <formula>#REF!</formula>
    </cfRule>
  </conditionalFormatting>
  <conditionalFormatting sqref="AD5">
    <cfRule type="expression" dxfId="1779" priority="362">
      <formula>IF(NoColor,1,0)</formula>
    </cfRule>
  </conditionalFormatting>
  <conditionalFormatting sqref="AD28 AD31:AD33">
    <cfRule type="expression" dxfId="1778" priority="3997">
      <formula>#REF!</formula>
    </cfRule>
  </conditionalFormatting>
  <conditionalFormatting sqref="AD37:AD40 AD97:AD100">
    <cfRule type="expression" dxfId="1777" priority="3999">
      <formula>#REF!</formula>
    </cfRule>
  </conditionalFormatting>
  <conditionalFormatting sqref="AD65">
    <cfRule type="expression" dxfId="1776" priority="110">
      <formula>IF(NoColor,1,0)</formula>
    </cfRule>
  </conditionalFormatting>
  <conditionalFormatting sqref="AD88 AD91:AD93">
    <cfRule type="expression" dxfId="1775" priority="130">
      <formula>#REF!</formula>
    </cfRule>
  </conditionalFormatting>
  <conditionalFormatting sqref="AD7:AE7">
    <cfRule type="expression" dxfId="1774" priority="360">
      <formula>OR(NumFileStatusBoxes=0,AND(NumFileStatusBoxes=1,File_Marr_Joint=""))</formula>
    </cfRule>
    <cfRule type="expression" dxfId="1773" priority="361">
      <formula>IF(NoColor,1,0)</formula>
    </cfRule>
  </conditionalFormatting>
  <conditionalFormatting sqref="AD67:AE67">
    <cfRule type="expression" dxfId="1772" priority="108">
      <formula>OR(NumFileStatusBoxes=0,AND(NumFileStatusBoxes=1,File_Marr_Joint=""))</formula>
    </cfRule>
    <cfRule type="expression" dxfId="1771" priority="109">
      <formula>IF(NoColor,1,0)</formula>
    </cfRule>
  </conditionalFormatting>
  <conditionalFormatting sqref="AD22:AH23">
    <cfRule type="expression" dxfId="1770" priority="178">
      <formula>$AN$35</formula>
    </cfRule>
  </conditionalFormatting>
  <conditionalFormatting sqref="AD82:AH83">
    <cfRule type="expression" dxfId="1769" priority="50">
      <formula>$AN$95</formula>
    </cfRule>
  </conditionalFormatting>
  <conditionalFormatting sqref="AE29:AE33">
    <cfRule type="expression" dxfId="1768" priority="4042">
      <formula>#REF!</formula>
    </cfRule>
  </conditionalFormatting>
  <conditionalFormatting sqref="AE89:AE93">
    <cfRule type="expression" dxfId="1767" priority="162">
      <formula>#REF!</formula>
    </cfRule>
  </conditionalFormatting>
  <conditionalFormatting sqref="AG5 AG7 AG65">
    <cfRule type="expression" dxfId="1766" priority="4136">
      <formula>OR(AND(AJ7,AL35),AND(AJ5,AL35))</formula>
    </cfRule>
  </conditionalFormatting>
  <conditionalFormatting sqref="AG6">
    <cfRule type="expression" dxfId="1765" priority="4138">
      <formula>OR(AND(AJ8,AL36),AND(AH6,AL36))</formula>
    </cfRule>
  </conditionalFormatting>
  <conditionalFormatting sqref="AG66">
    <cfRule type="expression" dxfId="1764" priority="5065">
      <formula>OR(AND(AJ70,AL96),AND(AJ66,AL96))</formula>
    </cfRule>
  </conditionalFormatting>
  <conditionalFormatting sqref="AG67">
    <cfRule type="expression" dxfId="1763" priority="5066">
      <formula>OR(AND(AJ71,AL101),AND(AJ67,AL101))</formula>
    </cfRule>
  </conditionalFormatting>
  <conditionalFormatting sqref="AI21">
    <cfRule type="expression" dxfId="1762" priority="201">
      <formula>(File_Marr_Joint="")</formula>
    </cfRule>
  </conditionalFormatting>
  <conditionalFormatting sqref="AI81">
    <cfRule type="expression" dxfId="1761" priority="68">
      <formula>(File_Marr_Joint="")</formula>
    </cfRule>
  </conditionalFormatting>
  <hyperlinks>
    <hyperlink ref="F125:I125" r:id="rId1" display="Download Form 1040 Schedule SE" xr:uid="{00000000-0004-0000-2200-000000000000}"/>
    <hyperlink ref="F127:I127" r:id="rId2" display="Download Form 1040 Schedule SE Instructions" xr:uid="{00000000-0004-0000-2200-000001000000}"/>
  </hyperlinks>
  <pageMargins left="0.75" right="0.25" top="0.36" bottom="0.28999999999999998" header="0.36" footer="0.21"/>
  <pageSetup scale="84" fitToHeight="0" orientation="portrait" r:id="rId3"/>
  <rowBreaks count="1" manualBreakCount="1">
    <brk id="61" min="1" max="25"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399"/>
  <sheetViews>
    <sheetView zoomScaleNormal="100" zoomScaleSheetLayoutView="150" workbookViewId="0"/>
  </sheetViews>
  <sheetFormatPr defaultColWidth="3.42578125" defaultRowHeight="12.75"/>
  <cols>
    <col min="1" max="1" width="6" style="3111" customWidth="1"/>
    <col min="2" max="2" width="3.5703125" style="39" customWidth="1"/>
    <col min="3" max="3" width="2.28515625" style="39" customWidth="1"/>
    <col min="4" max="4" width="3.7109375" style="39" customWidth="1"/>
    <col min="5" max="5" width="3.5703125" style="39" customWidth="1"/>
    <col min="6" max="6" width="4.28515625" style="39" customWidth="1"/>
    <col min="7" max="7" width="3.5703125" style="39" customWidth="1"/>
    <col min="8" max="8" width="3" style="39" customWidth="1"/>
    <col min="9" max="9" width="4.42578125" style="39" customWidth="1"/>
    <col min="10" max="11" width="3.42578125" style="39" customWidth="1"/>
    <col min="12" max="12" width="4.5703125" style="39" customWidth="1"/>
    <col min="13" max="13" width="2.7109375" style="39" customWidth="1"/>
    <col min="14" max="14" width="3.5703125" style="39" customWidth="1"/>
    <col min="15" max="15" width="1.5703125" style="39" customWidth="1"/>
    <col min="16" max="19" width="1.85546875" style="39" customWidth="1"/>
    <col min="20" max="25" width="2.42578125" style="39" customWidth="1"/>
    <col min="26" max="26" width="3.28515625" style="39" customWidth="1"/>
    <col min="27" max="27" width="2" style="39" customWidth="1"/>
    <col min="28" max="30" width="2.5703125" style="39" customWidth="1"/>
    <col min="31" max="34" width="2.140625" style="39" customWidth="1"/>
    <col min="35" max="38" width="2.5703125" style="39" customWidth="1"/>
    <col min="39" max="40" width="2.7109375" style="39" customWidth="1"/>
    <col min="41" max="41" width="10.7109375" style="39" customWidth="1"/>
    <col min="42" max="42" width="3.42578125" style="39"/>
    <col min="43" max="43" width="9" style="39" customWidth="1"/>
    <col min="44" max="44" width="3.42578125" style="39"/>
    <col min="45" max="45" width="3.85546875" style="39" customWidth="1"/>
    <col min="46" max="47" width="3.42578125" style="39"/>
    <col min="48" max="48" width="5.140625" style="39" customWidth="1"/>
    <col min="49" max="49" width="5.85546875" style="39" customWidth="1"/>
    <col min="50" max="50" width="10.7109375" style="2691" customWidth="1"/>
    <col min="51" max="52" width="10.7109375" style="3059" customWidth="1"/>
    <col min="53" max="53" width="6.42578125" style="3059" customWidth="1"/>
    <col min="54" max="54" width="10.7109375" style="3059" customWidth="1"/>
    <col min="55" max="55" width="6" style="3059" customWidth="1"/>
    <col min="56" max="56" width="12" style="3059" customWidth="1"/>
    <col min="57" max="57" width="12.7109375" style="3059" customWidth="1"/>
    <col min="58" max="58" width="8.42578125" style="3059" customWidth="1"/>
    <col min="59" max="59" width="12.7109375" style="3059" customWidth="1"/>
    <col min="60" max="60" width="7.5703125" style="3059" customWidth="1"/>
    <col min="61" max="16384" width="3.42578125" style="39"/>
  </cols>
  <sheetData>
    <row r="1" spans="1:60" ht="15">
      <c r="A1" s="3107"/>
      <c r="B1" s="2162"/>
      <c r="C1" s="2162"/>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2162"/>
      <c r="AJ1" s="2162"/>
      <c r="AK1" s="2162"/>
      <c r="AL1" s="2162"/>
      <c r="AM1" s="2162"/>
      <c r="AN1" s="2162"/>
      <c r="AO1" s="2162"/>
      <c r="AP1" s="2162"/>
      <c r="AQ1" s="900"/>
      <c r="AR1" s="808"/>
      <c r="AS1" s="808"/>
      <c r="AT1" s="808"/>
      <c r="AU1" s="808"/>
      <c r="AV1" s="808"/>
      <c r="AW1" s="808"/>
      <c r="AX1" s="2395" t="s">
        <v>241</v>
      </c>
      <c r="AY1" s="3057"/>
      <c r="AZ1" s="3057"/>
      <c r="BA1" s="3057"/>
      <c r="BB1" s="3057"/>
      <c r="BC1" s="3057"/>
      <c r="BD1" s="3057"/>
      <c r="BE1" s="3057"/>
      <c r="BF1" s="3057"/>
      <c r="BG1" s="3057"/>
      <c r="BH1" s="3057"/>
    </row>
    <row r="2" spans="1:60">
      <c r="A2" s="3106" t="b">
        <f>IF(OR(B4="---",B8="---"),FALSE,IF(AND(B4,B6,B8),TRUE,FALSE))</f>
        <v>0</v>
      </c>
      <c r="B2" s="3121" t="str">
        <f>IF(OR(ForeignTaxPaid="",ForeignTaxPaid=0,AP8=""),"Check box at Cell AP8 to turn on form.",IF(OR(B4="---",B8="---",AND(A4&gt;0,SUM(AM78,AM209,AM338)=0)),"Complete Form 1116.  If all three of these conditions are TRUE, Form 1116 need not be filed.",IF(A2,"Form 1116 is not required to be filed.",IF(OR(ForeignTaxPaid&gt;AQ6,AND(K21="",AO20=1),NOT(B6)),"Form 1116 is required to be filed.",IF(AND(NOT(B4),NOT(B6),NOT(B8)),"You may be able to claim the foreign tax credit without filing Form 1116 -- See IRS instructions for details.","Finish completing Form 1116 to determine if it needs to be filed.")))))</f>
        <v>Check box at Cell AP8 to turn on form.</v>
      </c>
      <c r="C2" s="2162"/>
      <c r="D2" s="2162"/>
      <c r="E2" s="2162"/>
      <c r="F2" s="2162"/>
      <c r="G2" s="2162"/>
      <c r="H2" s="2162"/>
      <c r="I2" s="2162"/>
      <c r="J2" s="2162"/>
      <c r="K2" s="2162"/>
      <c r="L2" s="2162"/>
      <c r="M2" s="2162"/>
      <c r="N2" s="2162"/>
      <c r="O2" s="2162"/>
      <c r="P2" s="2162"/>
      <c r="Q2" s="2162"/>
      <c r="R2" s="2162"/>
      <c r="S2" s="2162"/>
      <c r="T2" s="2162"/>
      <c r="U2" s="2162"/>
      <c r="V2" s="2162"/>
      <c r="W2" s="2162"/>
      <c r="X2" s="2162"/>
      <c r="Y2" s="2162"/>
      <c r="Z2" s="2162"/>
      <c r="AA2" s="2162"/>
      <c r="AB2" s="2162"/>
      <c r="AC2" s="2162"/>
      <c r="AD2" s="2162"/>
      <c r="AE2" s="2162"/>
      <c r="AF2" s="2162"/>
      <c r="AG2" s="2162"/>
      <c r="AH2" s="2162"/>
      <c r="AI2" s="2162"/>
      <c r="AJ2" s="2162"/>
      <c r="AK2" s="2162"/>
      <c r="AL2" s="2162"/>
      <c r="AM2" s="2162"/>
      <c r="AN2" s="2162"/>
      <c r="AO2" s="6238"/>
      <c r="AP2" s="2162"/>
      <c r="AQ2" s="900"/>
      <c r="AR2" s="808"/>
      <c r="AS2" s="808"/>
      <c r="AT2" s="808"/>
      <c r="AU2" s="808"/>
      <c r="AV2" s="808"/>
      <c r="AW2" s="808"/>
      <c r="AX2" s="3061" t="s">
        <v>251</v>
      </c>
      <c r="AY2" s="3057"/>
      <c r="AZ2" s="3057"/>
      <c r="BA2" s="3057"/>
      <c r="BB2" s="3057"/>
      <c r="BC2" s="3057"/>
      <c r="BD2" s="3057"/>
      <c r="BE2" s="3057"/>
      <c r="BF2" s="3057"/>
      <c r="BG2" s="3057"/>
      <c r="BH2" s="3057"/>
    </row>
    <row r="3" spans="1:60" ht="6.75" customHeight="1">
      <c r="A3" s="3107"/>
      <c r="B3" s="3103"/>
      <c r="C3" s="2162"/>
      <c r="D3" s="2162"/>
      <c r="E3" s="2162"/>
      <c r="F3" s="2162"/>
      <c r="G3" s="2162"/>
      <c r="H3" s="2162"/>
      <c r="I3" s="2162"/>
      <c r="J3" s="2162"/>
      <c r="K3" s="2162"/>
      <c r="L3" s="2162"/>
      <c r="M3" s="2162"/>
      <c r="N3" s="2162"/>
      <c r="O3" s="2162"/>
      <c r="P3" s="2162"/>
      <c r="Q3" s="2162"/>
      <c r="R3" s="2162"/>
      <c r="S3" s="2162"/>
      <c r="T3" s="2162"/>
      <c r="U3" s="2162"/>
      <c r="V3" s="2162"/>
      <c r="W3" s="2162"/>
      <c r="X3" s="2162"/>
      <c r="Y3" s="2162"/>
      <c r="Z3" s="2162"/>
      <c r="AA3" s="2162"/>
      <c r="AB3" s="2162"/>
      <c r="AC3" s="2162"/>
      <c r="AD3" s="2162"/>
      <c r="AE3" s="2162"/>
      <c r="AF3" s="2162"/>
      <c r="AG3" s="2162"/>
      <c r="AH3" s="2162"/>
      <c r="AI3" s="2162"/>
      <c r="AJ3" s="2162"/>
      <c r="AK3" s="2162"/>
      <c r="AL3" s="2162"/>
      <c r="AM3" s="2162"/>
      <c r="AN3" s="2162"/>
      <c r="AO3" s="6238"/>
      <c r="AP3" s="2162"/>
      <c r="AQ3" s="900"/>
      <c r="AR3" s="808"/>
      <c r="AS3" s="808"/>
      <c r="AT3" s="808"/>
      <c r="AU3" s="808"/>
      <c r="AV3" s="808"/>
      <c r="AW3" s="808"/>
      <c r="AX3" s="2396"/>
      <c r="AY3" s="3057"/>
      <c r="AZ3" s="3057"/>
      <c r="BA3" s="3057"/>
      <c r="BB3" s="3057"/>
      <c r="BC3" s="3057"/>
      <c r="BD3" s="3057"/>
      <c r="BE3" s="3057"/>
      <c r="BF3" s="3057"/>
      <c r="BG3" s="3057"/>
      <c r="BH3" s="3057"/>
    </row>
    <row r="4" spans="1:60" ht="15">
      <c r="A4" s="3112">
        <f>SUM(AO20,AO151,AO280)</f>
        <v>0</v>
      </c>
      <c r="B4" s="8169" t="str">
        <f>IF(OR(B8="---",A4=0,AND(NOT(A78),NOT(A209),NOT(A338))),"---",IF(OR(AND(A4=3,A21,A152,A281),AND(A4=2,OR(AND(A21,A152),AND(A152,A281),AND(A21,A281))),AND(A4=1,OR(A21,A152,A281))),TRUE,FALSE))</f>
        <v>---</v>
      </c>
      <c r="C4" s="8170"/>
      <c r="D4" s="3104" t="s">
        <v>2950</v>
      </c>
      <c r="E4" s="2584" t="s">
        <v>5900</v>
      </c>
      <c r="F4" s="2162"/>
      <c r="G4" s="2162"/>
      <c r="H4" s="2162"/>
      <c r="I4" s="2162"/>
      <c r="J4" s="2162"/>
      <c r="K4" s="2162"/>
      <c r="L4" s="2162"/>
      <c r="M4" s="2162"/>
      <c r="N4" s="2162"/>
      <c r="O4" s="2162"/>
      <c r="P4" s="2162"/>
      <c r="Q4" s="2162"/>
      <c r="R4" s="2162"/>
      <c r="S4" s="2162"/>
      <c r="T4" s="2162"/>
      <c r="U4" s="2162"/>
      <c r="V4" s="2162"/>
      <c r="W4" s="2162"/>
      <c r="X4" s="2162"/>
      <c r="Y4" s="2162"/>
      <c r="Z4" s="2162"/>
      <c r="AA4" s="2162"/>
      <c r="AB4" s="2162"/>
      <c r="AC4" s="2162"/>
      <c r="AD4" s="2162"/>
      <c r="AE4" s="2162"/>
      <c r="AF4" s="2162"/>
      <c r="AG4" s="2162"/>
      <c r="AH4" s="2162"/>
      <c r="AI4" s="2162"/>
      <c r="AJ4" s="2162"/>
      <c r="AK4" s="2162"/>
      <c r="AL4" s="2162"/>
      <c r="AM4" s="2162"/>
      <c r="AN4" s="2162"/>
      <c r="AO4" s="6238"/>
      <c r="AP4" s="2162"/>
      <c r="AQ4" s="900">
        <v>600</v>
      </c>
      <c r="AR4" s="808"/>
      <c r="AS4" s="808"/>
      <c r="AT4" s="808"/>
      <c r="AU4" s="808"/>
      <c r="AV4" s="808"/>
      <c r="AW4" s="808"/>
      <c r="AX4" s="2395"/>
      <c r="AY4" s="3057"/>
      <c r="AZ4" s="3057"/>
      <c r="BA4" s="3057"/>
      <c r="BB4" s="3057"/>
      <c r="BC4" s="3057"/>
      <c r="BD4" s="3057"/>
      <c r="BE4" s="3057"/>
      <c r="BF4" s="3057"/>
      <c r="BG4" s="3057"/>
      <c r="BH4" s="3057"/>
    </row>
    <row r="5" spans="1:60" ht="7.5" customHeight="1">
      <c r="A5" s="3107"/>
      <c r="B5" s="2162"/>
      <c r="C5" s="2162"/>
      <c r="D5" s="3105"/>
      <c r="E5" s="2162"/>
      <c r="F5" s="2162"/>
      <c r="G5" s="2162"/>
      <c r="H5" s="2162"/>
      <c r="I5" s="2162"/>
      <c r="J5" s="2162"/>
      <c r="K5" s="2162"/>
      <c r="L5" s="2162"/>
      <c r="M5" s="2162"/>
      <c r="N5" s="2162"/>
      <c r="O5" s="2162"/>
      <c r="P5" s="2162"/>
      <c r="Q5" s="2162"/>
      <c r="R5" s="2162"/>
      <c r="S5" s="2162"/>
      <c r="T5" s="2162"/>
      <c r="U5" s="2162"/>
      <c r="V5" s="2162"/>
      <c r="W5" s="2162"/>
      <c r="X5" s="2162"/>
      <c r="Y5" s="2162"/>
      <c r="Z5" s="2162"/>
      <c r="AA5" s="2162"/>
      <c r="AB5" s="2162"/>
      <c r="AC5" s="2162"/>
      <c r="AD5" s="2162"/>
      <c r="AE5" s="2162"/>
      <c r="AF5" s="2162"/>
      <c r="AG5" s="2162"/>
      <c r="AH5" s="2162"/>
      <c r="AI5" s="2162"/>
      <c r="AJ5" s="2162"/>
      <c r="AK5" s="2162"/>
      <c r="AL5" s="2162"/>
      <c r="AM5" s="2162"/>
      <c r="AN5" s="2162"/>
      <c r="AO5" s="6238"/>
      <c r="AP5" s="2162"/>
      <c r="AQ5" s="900"/>
      <c r="AR5" s="808"/>
      <c r="AS5" s="808"/>
      <c r="AT5" s="808"/>
      <c r="AU5" s="808"/>
      <c r="AV5" s="808"/>
      <c r="AW5" s="808"/>
      <c r="AX5" s="2395"/>
      <c r="AY5" s="3057"/>
      <c r="AZ5" s="3057"/>
      <c r="BA5" s="3057"/>
      <c r="BB5" s="3057"/>
      <c r="BC5" s="3057"/>
      <c r="BD5" s="3057"/>
      <c r="BE5" s="3057"/>
      <c r="BF5" s="3057"/>
      <c r="BG5" s="3057"/>
      <c r="BH5" s="3057"/>
    </row>
    <row r="6" spans="1:60" ht="15">
      <c r="A6" s="3106"/>
      <c r="B6" s="8171" t="b">
        <v>1</v>
      </c>
      <c r="C6" s="8172"/>
      <c r="D6" s="3104" t="s">
        <v>2950</v>
      </c>
      <c r="E6" s="2584" t="s">
        <v>5899</v>
      </c>
      <c r="F6" s="2338"/>
      <c r="G6" s="2162"/>
      <c r="H6" s="2162"/>
      <c r="I6" s="2162"/>
      <c r="J6" s="2162"/>
      <c r="K6" s="2162"/>
      <c r="L6" s="2162"/>
      <c r="M6" s="2162"/>
      <c r="N6" s="2162"/>
      <c r="O6" s="2162"/>
      <c r="P6" s="2162"/>
      <c r="Q6" s="2162"/>
      <c r="R6" s="2162"/>
      <c r="S6" s="2162"/>
      <c r="T6" s="2162"/>
      <c r="U6" s="2162"/>
      <c r="V6" s="2162"/>
      <c r="W6" s="2162"/>
      <c r="X6" s="2162"/>
      <c r="Y6" s="2162"/>
      <c r="Z6" s="2162"/>
      <c r="AA6" s="2162"/>
      <c r="AB6" s="2162"/>
      <c r="AC6" s="2162"/>
      <c r="AD6" s="2162"/>
      <c r="AE6" s="2162"/>
      <c r="AF6" s="2162"/>
      <c r="AG6" s="2162"/>
      <c r="AH6" s="2162"/>
      <c r="AI6" s="2162"/>
      <c r="AJ6" s="2162"/>
      <c r="AK6" s="2162"/>
      <c r="AL6" s="2162"/>
      <c r="AM6" s="2162"/>
      <c r="AN6" s="2162"/>
      <c r="AO6" s="6238"/>
      <c r="AP6" s="2162"/>
      <c r="AQ6" s="900">
        <f>IF(File_Marr_Joint&lt;&gt;"",AT6,AR6)</f>
        <v>300</v>
      </c>
      <c r="AR6" s="8168">
        <v>300</v>
      </c>
      <c r="AS6" s="8168"/>
      <c r="AT6" s="8168">
        <v>600</v>
      </c>
      <c r="AU6" s="8168"/>
      <c r="AV6" s="808"/>
      <c r="AW6" s="808"/>
      <c r="AX6" s="2395"/>
      <c r="AY6" s="3057"/>
      <c r="AZ6" s="3057"/>
      <c r="BA6" s="3057"/>
      <c r="BB6" s="3057"/>
      <c r="BC6" s="3057"/>
      <c r="BD6" s="3057"/>
      <c r="BE6" s="3057"/>
      <c r="BF6" s="3057"/>
      <c r="BG6" s="3057"/>
      <c r="BH6" s="3057"/>
    </row>
    <row r="7" spans="1:60" ht="7.5" customHeight="1">
      <c r="A7" s="3107"/>
      <c r="B7" s="2162"/>
      <c r="C7" s="2162"/>
      <c r="D7" s="3105"/>
      <c r="E7" s="2162"/>
      <c r="F7" s="2162"/>
      <c r="G7" s="2162"/>
      <c r="H7" s="2162"/>
      <c r="I7" s="2162"/>
      <c r="J7" s="2162"/>
      <c r="K7" s="2162"/>
      <c r="L7" s="2162"/>
      <c r="M7" s="2162"/>
      <c r="N7" s="2162"/>
      <c r="O7" s="2162"/>
      <c r="P7" s="2162"/>
      <c r="Q7" s="2162"/>
      <c r="R7" s="2162"/>
      <c r="S7" s="2162"/>
      <c r="T7" s="2162"/>
      <c r="U7" s="2162"/>
      <c r="V7" s="2162"/>
      <c r="W7" s="2162"/>
      <c r="X7" s="2162"/>
      <c r="Y7" s="2162"/>
      <c r="Z7" s="2162"/>
      <c r="AA7" s="2162"/>
      <c r="AB7" s="2162"/>
      <c r="AC7" s="2162"/>
      <c r="AD7" s="2162"/>
      <c r="AE7" s="2162"/>
      <c r="AF7" s="2162"/>
      <c r="AG7" s="2162"/>
      <c r="AH7" s="2162"/>
      <c r="AI7" s="2162"/>
      <c r="AJ7" s="2162"/>
      <c r="AK7" s="2162"/>
      <c r="AL7" s="2162"/>
      <c r="AM7" s="2162"/>
      <c r="AN7" s="2162"/>
      <c r="AO7" s="6238"/>
      <c r="AP7" s="2162"/>
      <c r="AQ7" s="900">
        <v>300</v>
      </c>
      <c r="AR7" s="808"/>
      <c r="AS7" s="808"/>
      <c r="AT7" s="808"/>
      <c r="AU7" s="808"/>
      <c r="AV7" s="808"/>
      <c r="AW7" s="808"/>
      <c r="AX7" s="2395"/>
      <c r="AY7" s="3057"/>
      <c r="AZ7" s="3057"/>
      <c r="BA7" s="3057"/>
      <c r="BB7" s="3057"/>
      <c r="BC7" s="3057"/>
      <c r="BD7" s="3057"/>
      <c r="BE7" s="3057"/>
      <c r="BF7" s="3057"/>
      <c r="BG7" s="3057"/>
      <c r="BH7" s="3057"/>
    </row>
    <row r="8" spans="1:60" ht="15">
      <c r="A8" s="3114">
        <f>IF(SUM(AM78,AM209,AM338)&gt;0,SUM(AM78,AM209,AM338),SUM(ForeignTaxPaid_INT,ForeignTaxPaid_DIV))</f>
        <v>0</v>
      </c>
      <c r="B8" s="8169" t="str">
        <f>IF(OR(ForeignTaxPaid="",ForeignTaxPaid=0),"---",IF(ForeignTaxPaid&lt;=ForeignTaxThreshold,TRUE,FALSE))</f>
        <v>---</v>
      </c>
      <c r="C8" s="8170"/>
      <c r="D8" s="3104" t="s">
        <v>2950</v>
      </c>
      <c r="E8" s="2584" t="str">
        <f>"Your total creditable foreign taxes aren't more than "&amp;TEXT(AR6,"$0")&amp;" ("&amp;TEXT(AT6,"$0")&amp;" if married filing a joint return)."</f>
        <v>Your total creditable foreign taxes aren't more than $300 ($600 if married filing a joint return).</v>
      </c>
      <c r="F8" s="2162"/>
      <c r="G8" s="2162"/>
      <c r="H8" s="2162"/>
      <c r="I8" s="2162"/>
      <c r="J8" s="2162"/>
      <c r="K8" s="2162"/>
      <c r="L8" s="2162"/>
      <c r="M8" s="2162"/>
      <c r="N8" s="2162"/>
      <c r="O8" s="2162"/>
      <c r="P8" s="2162"/>
      <c r="Q8" s="2162"/>
      <c r="R8" s="2162"/>
      <c r="S8" s="2162"/>
      <c r="T8" s="2162"/>
      <c r="U8" s="2162"/>
      <c r="V8" s="2162"/>
      <c r="W8" s="2162"/>
      <c r="X8" s="2162"/>
      <c r="Y8" s="2162"/>
      <c r="Z8" s="2162"/>
      <c r="AA8" s="2162"/>
      <c r="AB8" s="2162"/>
      <c r="AC8" s="2162"/>
      <c r="AD8" s="2162"/>
      <c r="AE8" s="2162"/>
      <c r="AF8" s="2162"/>
      <c r="AG8" s="8173" t="str">
        <f>IF(AND(ForeignTaxPaid&lt;&gt;"",ForeignTaxPaid&gt;0),"Foreign taxes paid &gt;","")</f>
        <v/>
      </c>
      <c r="AH8" s="8173"/>
      <c r="AI8" s="8173"/>
      <c r="AJ8" s="8173"/>
      <c r="AK8" s="8173"/>
      <c r="AL8" s="8173"/>
      <c r="AM8" s="8173"/>
      <c r="AN8" s="8173"/>
      <c r="AO8" s="6239" t="str">
        <f>IF(SUM(AM78,AM209,AM338,ForeignTaxPaid_INT,ForeignTaxPaid_DIV)=0,"", IF(AQ9&gt;0,AQ9,SUM(ForeignTaxPaid_INT,ForeignTaxPaid_DIV)))</f>
        <v/>
      </c>
      <c r="AP8" s="2162"/>
      <c r="AQ8" s="900"/>
      <c r="AR8" s="808"/>
      <c r="AS8" s="808"/>
      <c r="AT8" s="808"/>
      <c r="AU8" s="808"/>
      <c r="AV8" s="808"/>
      <c r="AW8" s="808"/>
      <c r="AX8" s="2395"/>
      <c r="AY8" s="3057"/>
      <c r="AZ8" s="3057"/>
      <c r="BA8" s="3057"/>
      <c r="BB8" s="3057"/>
      <c r="BC8" s="3057"/>
      <c r="BD8" s="3057"/>
      <c r="BE8" s="3057"/>
      <c r="BF8" s="3057"/>
      <c r="BG8" s="3057"/>
      <c r="BH8" s="3057"/>
    </row>
    <row r="9" spans="1:60" ht="15.75" customHeight="1">
      <c r="A9" s="3107"/>
      <c r="B9" s="2162"/>
      <c r="C9" s="2162"/>
      <c r="D9" s="2162"/>
      <c r="E9" s="2162"/>
      <c r="F9" s="2162"/>
      <c r="G9" s="2162"/>
      <c r="H9" s="2162"/>
      <c r="I9" s="2162"/>
      <c r="J9" s="2162"/>
      <c r="K9" s="2162"/>
      <c r="L9" s="2162"/>
      <c r="M9" s="2162"/>
      <c r="N9" s="2162"/>
      <c r="O9" s="2162"/>
      <c r="P9" s="2162"/>
      <c r="Q9" s="2162"/>
      <c r="R9" s="2162"/>
      <c r="S9" s="2162"/>
      <c r="T9" s="2162"/>
      <c r="U9" s="2162"/>
      <c r="V9" s="2162"/>
      <c r="W9" s="2162"/>
      <c r="X9" s="2162"/>
      <c r="Y9" s="2162"/>
      <c r="Z9" s="2162"/>
      <c r="AA9" s="2162"/>
      <c r="AB9" s="2162"/>
      <c r="AC9" s="2162"/>
      <c r="AD9" s="2162"/>
      <c r="AE9" s="2162"/>
      <c r="AF9" s="2162"/>
      <c r="AG9" s="2162"/>
      <c r="AH9" s="2162"/>
      <c r="AI9" s="2162"/>
      <c r="AJ9" s="2162"/>
      <c r="AK9" s="2162"/>
      <c r="AL9" s="2162"/>
      <c r="AM9" s="2162"/>
      <c r="AN9" s="2162"/>
      <c r="AO9" s="2162"/>
      <c r="AP9" s="2162"/>
      <c r="AQ9" s="3166">
        <f>SUM(AM78,AM209,AM338)</f>
        <v>0</v>
      </c>
      <c r="AR9" s="900"/>
      <c r="AS9" s="900"/>
      <c r="AT9" s="900"/>
      <c r="AU9" s="900"/>
      <c r="AV9" s="808"/>
      <c r="AW9" s="808"/>
      <c r="AX9" s="2396"/>
      <c r="AY9" s="3057"/>
      <c r="AZ9" s="3057"/>
      <c r="BA9" s="3057"/>
      <c r="BB9" s="3057"/>
      <c r="BC9" s="3057"/>
      <c r="BD9" s="3057"/>
      <c r="BE9" s="3057"/>
      <c r="BF9" s="3057"/>
      <c r="BG9" s="3057"/>
      <c r="BH9" s="3057"/>
    </row>
    <row r="10" spans="1:60" ht="15.75" customHeight="1">
      <c r="A10" s="3107"/>
      <c r="B10" s="8053" t="s">
        <v>3149</v>
      </c>
      <c r="C10" s="6970"/>
      <c r="D10" s="6970"/>
      <c r="E10" s="6970"/>
      <c r="F10" s="6970"/>
      <c r="G10" s="6970"/>
      <c r="H10" s="5197" t="str">
        <f>IF(AND(NOT(NoColor),'Table of Contents'!$A$41="D"),"DRAFT","")</f>
        <v/>
      </c>
      <c r="I10" s="2570"/>
      <c r="J10" s="2570"/>
      <c r="K10" s="2570"/>
      <c r="L10" s="2570"/>
      <c r="M10" s="8097" t="s">
        <v>3150</v>
      </c>
      <c r="N10" s="8097"/>
      <c r="O10" s="8097"/>
      <c r="P10" s="8097"/>
      <c r="Q10" s="8097"/>
      <c r="R10" s="8097"/>
      <c r="S10" s="8097"/>
      <c r="T10" s="8097"/>
      <c r="U10" s="8097"/>
      <c r="V10" s="8097"/>
      <c r="W10" s="8097"/>
      <c r="X10" s="8097"/>
      <c r="Y10" s="8097"/>
      <c r="Z10" s="8097"/>
      <c r="AA10" s="2570"/>
      <c r="AB10" s="2570"/>
      <c r="AC10" s="2570"/>
      <c r="AD10" s="2570"/>
      <c r="AE10" s="2570"/>
      <c r="AF10" s="2570"/>
      <c r="AG10" s="2570"/>
      <c r="AH10" s="2577"/>
      <c r="AI10" s="7540" t="s">
        <v>3151</v>
      </c>
      <c r="AJ10" s="7415"/>
      <c r="AK10" s="7415"/>
      <c r="AL10" s="7415"/>
      <c r="AM10" s="7415"/>
      <c r="AN10" s="7415"/>
      <c r="AO10" s="7415"/>
      <c r="AP10" s="2162"/>
      <c r="AQ10" s="2821" t="b">
        <f>AND(AQ21="",AQ36="",AQ75="")</f>
        <v>0</v>
      </c>
      <c r="AR10" s="2820"/>
      <c r="AS10" s="2820"/>
      <c r="AT10" s="2820"/>
      <c r="AU10" s="2820"/>
      <c r="AV10" s="2820"/>
      <c r="AW10" s="2820"/>
      <c r="AX10" s="2395"/>
      <c r="AY10" s="3057"/>
      <c r="AZ10" s="3057"/>
      <c r="BA10" s="3057"/>
      <c r="BB10" s="3057"/>
      <c r="BC10" s="3057"/>
      <c r="BD10" s="3057"/>
      <c r="BE10" s="3057"/>
      <c r="BF10" s="3057"/>
      <c r="BG10" s="3057"/>
      <c r="BH10" s="3057"/>
    </row>
    <row r="11" spans="1:60" ht="22.5" customHeight="1">
      <c r="A11" s="3106"/>
      <c r="B11" s="6970"/>
      <c r="C11" s="6970"/>
      <c r="D11" s="6970"/>
      <c r="E11" s="6970"/>
      <c r="F11" s="6970"/>
      <c r="G11" s="6970"/>
      <c r="H11" s="2627"/>
      <c r="I11" s="2570"/>
      <c r="J11" s="2570"/>
      <c r="K11" s="2570"/>
      <c r="L11" s="2570"/>
      <c r="M11" s="8097"/>
      <c r="N11" s="8097"/>
      <c r="O11" s="8097"/>
      <c r="P11" s="8097"/>
      <c r="Q11" s="8097"/>
      <c r="R11" s="8097"/>
      <c r="S11" s="8097"/>
      <c r="T11" s="8097"/>
      <c r="U11" s="8097"/>
      <c r="V11" s="8097"/>
      <c r="W11" s="8097"/>
      <c r="X11" s="8097"/>
      <c r="Y11" s="8097"/>
      <c r="Z11" s="8097"/>
      <c r="AA11" s="2570"/>
      <c r="AB11" s="2570"/>
      <c r="AC11" s="2570"/>
      <c r="AD11" s="2570"/>
      <c r="AE11" s="2570"/>
      <c r="AF11" s="2570"/>
      <c r="AG11" s="2570"/>
      <c r="AH11" s="2626"/>
      <c r="AI11" s="7895">
        <f>TaxYear</f>
        <v>2023</v>
      </c>
      <c r="AJ11" s="7896"/>
      <c r="AK11" s="7896"/>
      <c r="AL11" s="7896"/>
      <c r="AM11" s="7896"/>
      <c r="AN11" s="7896"/>
      <c r="AO11" s="7896"/>
      <c r="AP11" s="2162"/>
      <c r="AQ11" s="7909" t="str">
        <f>IF(AND(ForeignTaxPaid&lt;&gt;"",ForeignTaxPaid&gt;0),"Note: Foreign Tax payments of ","")</f>
        <v/>
      </c>
      <c r="AR11" s="7909"/>
      <c r="AS11" s="7909"/>
      <c r="AT11" s="7909"/>
      <c r="AU11" s="7909"/>
      <c r="AV11" s="7909"/>
      <c r="AW11" s="7909"/>
      <c r="AX11" s="2395"/>
      <c r="AY11" s="3057"/>
      <c r="AZ11" s="3057"/>
      <c r="BA11" s="3057"/>
      <c r="BB11" s="3057"/>
      <c r="BC11" s="3057"/>
      <c r="BD11" s="3057"/>
      <c r="BE11" s="3057"/>
      <c r="BF11" s="3057"/>
      <c r="BG11" s="3057"/>
      <c r="BH11" s="3057"/>
    </row>
    <row r="12" spans="1:60" ht="15">
      <c r="A12" s="3107"/>
      <c r="B12" s="1640"/>
      <c r="C12" s="808"/>
      <c r="D12" s="808"/>
      <c r="E12" s="808"/>
      <c r="F12" s="808"/>
      <c r="G12" s="808"/>
      <c r="H12" s="8061" t="s">
        <v>3152</v>
      </c>
      <c r="I12" s="6659"/>
      <c r="J12" s="6659"/>
      <c r="K12" s="6659"/>
      <c r="L12" s="6659"/>
      <c r="M12" s="6659"/>
      <c r="N12" s="6659"/>
      <c r="O12" s="6659"/>
      <c r="P12" s="6659"/>
      <c r="Q12" s="6659"/>
      <c r="R12" s="6659"/>
      <c r="S12" s="6659"/>
      <c r="T12" s="6659"/>
      <c r="U12" s="6659"/>
      <c r="V12" s="6659"/>
      <c r="W12" s="6659"/>
      <c r="X12" s="6659"/>
      <c r="Y12" s="6659"/>
      <c r="Z12" s="6659"/>
      <c r="AA12" s="6659"/>
      <c r="AB12" s="6659"/>
      <c r="AC12" s="6659"/>
      <c r="AD12" s="6659"/>
      <c r="AE12" s="6659"/>
      <c r="AF12" s="6659"/>
      <c r="AG12" s="6659"/>
      <c r="AH12" s="8062"/>
      <c r="AI12" s="7897"/>
      <c r="AJ12" s="7898"/>
      <c r="AK12" s="7898"/>
      <c r="AL12" s="7898"/>
      <c r="AM12" s="7898"/>
      <c r="AN12" s="7898"/>
      <c r="AO12" s="7898"/>
      <c r="AP12" s="2162"/>
      <c r="AQ12" s="7909"/>
      <c r="AR12" s="7909"/>
      <c r="AS12" s="7909"/>
      <c r="AT12" s="7909"/>
      <c r="AU12" s="7909"/>
      <c r="AV12" s="7909"/>
      <c r="AW12" s="7909"/>
      <c r="AX12" s="2395"/>
      <c r="AY12" s="3057"/>
      <c r="AZ12" s="3057"/>
      <c r="BA12" s="3057"/>
      <c r="BB12" s="3057"/>
      <c r="BC12" s="3057"/>
      <c r="BD12" s="3057"/>
      <c r="BE12" s="3057"/>
      <c r="BF12" s="3057"/>
      <c r="BG12" s="3057"/>
      <c r="BH12" s="3057"/>
    </row>
    <row r="13" spans="1:60" ht="11.25" customHeight="1">
      <c r="A13" s="3107"/>
      <c r="B13" s="6763" t="s">
        <v>2661</v>
      </c>
      <c r="C13" s="6919"/>
      <c r="D13" s="6919"/>
      <c r="E13" s="6919"/>
      <c r="F13" s="6919"/>
      <c r="G13" s="7542"/>
      <c r="H13" s="8063" t="s">
        <v>3153</v>
      </c>
      <c r="I13" s="8064"/>
      <c r="J13" s="8064"/>
      <c r="K13" s="8064"/>
      <c r="L13" s="8064"/>
      <c r="M13" s="8064"/>
      <c r="N13" s="8064"/>
      <c r="O13" s="8064"/>
      <c r="P13" s="8064"/>
      <c r="Q13" s="8064"/>
      <c r="R13" s="8064"/>
      <c r="S13" s="8064"/>
      <c r="T13" s="8064"/>
      <c r="U13" s="8064"/>
      <c r="V13" s="8064"/>
      <c r="W13" s="8064"/>
      <c r="X13" s="8064"/>
      <c r="Y13" s="8064"/>
      <c r="Z13" s="8064"/>
      <c r="AA13" s="8064"/>
      <c r="AB13" s="8064"/>
      <c r="AC13" s="8064"/>
      <c r="AD13" s="8064"/>
      <c r="AE13" s="8064"/>
      <c r="AF13" s="8064"/>
      <c r="AG13" s="8064"/>
      <c r="AH13" s="8065"/>
      <c r="AI13" s="8069" t="s">
        <v>2663</v>
      </c>
      <c r="AJ13" s="8070"/>
      <c r="AK13" s="8070"/>
      <c r="AL13" s="8070"/>
      <c r="AM13" s="8070"/>
      <c r="AN13" s="8073">
        <v>19</v>
      </c>
      <c r="AO13" s="8074"/>
      <c r="AP13" s="2162"/>
      <c r="AQ13" s="7909" t="str">
        <f>IF(AND(ForeignTaxPaid_INT_DIV&lt;&gt;"",ForeignTaxPaid_INT_DIV&gt;=1000),TEXT(ForeignTaxPaid_INT_DIV,"$0,000")&amp;" were reported on Forms",IF(AND(ForeignTaxPaid_INT_DIV&lt;&gt;"",ForeignTaxPaid_INT_DIV&gt;0),TEXT(ForeignTaxPaid_INT_DIV,"$0")&amp;" were reported on Forms",""))</f>
        <v/>
      </c>
      <c r="AR13" s="7909"/>
      <c r="AS13" s="7909"/>
      <c r="AT13" s="7909"/>
      <c r="AU13" s="7909"/>
      <c r="AV13" s="7909"/>
      <c r="AW13" s="7909"/>
      <c r="AX13" s="2395"/>
      <c r="AY13" s="3057"/>
      <c r="AZ13" s="3057"/>
      <c r="BA13" s="3057"/>
      <c r="BB13" s="3057"/>
      <c r="BC13" s="3057"/>
      <c r="BD13" s="3057"/>
      <c r="BE13" s="3057"/>
      <c r="BF13" s="3057"/>
      <c r="BG13" s="3057"/>
      <c r="BH13" s="3057"/>
    </row>
    <row r="14" spans="1:60" ht="11.25" customHeight="1" thickBot="1">
      <c r="A14" s="3107"/>
      <c r="B14" s="6920"/>
      <c r="C14" s="6920"/>
      <c r="D14" s="6920"/>
      <c r="E14" s="6920"/>
      <c r="F14" s="6920"/>
      <c r="G14" s="7543"/>
      <c r="H14" s="8066" t="s">
        <v>3154</v>
      </c>
      <c r="I14" s="8067"/>
      <c r="J14" s="8067"/>
      <c r="K14" s="8067"/>
      <c r="L14" s="8067"/>
      <c r="M14" s="8067"/>
      <c r="N14" s="8067"/>
      <c r="O14" s="8067"/>
      <c r="P14" s="8067"/>
      <c r="Q14" s="8067"/>
      <c r="R14" s="8067"/>
      <c r="S14" s="8067"/>
      <c r="T14" s="8067"/>
      <c r="U14" s="8067"/>
      <c r="V14" s="8067"/>
      <c r="W14" s="8067"/>
      <c r="X14" s="8067"/>
      <c r="Y14" s="8067"/>
      <c r="Z14" s="8067"/>
      <c r="AA14" s="8067"/>
      <c r="AB14" s="8067"/>
      <c r="AC14" s="8067"/>
      <c r="AD14" s="8067"/>
      <c r="AE14" s="8067"/>
      <c r="AF14" s="8067"/>
      <c r="AG14" s="8067"/>
      <c r="AH14" s="8068"/>
      <c r="AI14" s="8071"/>
      <c r="AJ14" s="8072"/>
      <c r="AK14" s="8072"/>
      <c r="AL14" s="8072"/>
      <c r="AM14" s="8072"/>
      <c r="AN14" s="8075"/>
      <c r="AO14" s="8075"/>
      <c r="AP14" s="2162"/>
      <c r="AQ14" s="7910" t="str">
        <f>IF(AND(ForeignTaxPaid&lt;&gt;"",ForeignTaxPaid&gt;0),"1099-INT &amp; DIV. Complete Form 1116,","")</f>
        <v/>
      </c>
      <c r="AR14" s="7910"/>
      <c r="AS14" s="7910"/>
      <c r="AT14" s="7910"/>
      <c r="AU14" s="7910"/>
      <c r="AV14" s="7910"/>
      <c r="AW14" s="7910"/>
      <c r="AX14" s="2396"/>
      <c r="AY14" s="3057"/>
      <c r="AZ14" s="3057"/>
      <c r="BA14" s="3057"/>
      <c r="BB14" s="3057"/>
      <c r="BC14" s="3057"/>
      <c r="BD14" s="3057"/>
      <c r="BE14" s="3057"/>
      <c r="BF14" s="3057"/>
      <c r="BG14" s="3057"/>
      <c r="BH14" s="3057"/>
    </row>
    <row r="15" spans="1:60">
      <c r="A15" s="3107"/>
      <c r="B15" s="1119" t="s">
        <v>3155</v>
      </c>
      <c r="C15" s="890"/>
      <c r="D15" s="890"/>
      <c r="E15" s="890"/>
      <c r="F15" s="890"/>
      <c r="G15" s="890"/>
      <c r="H15" s="890"/>
      <c r="I15" s="890"/>
      <c r="J15" s="890"/>
      <c r="K15" s="890"/>
      <c r="L15" s="890"/>
      <c r="M15" s="890"/>
      <c r="N15" s="890"/>
      <c r="O15" s="890"/>
      <c r="P15" s="890"/>
      <c r="Q15" s="890"/>
      <c r="R15" s="890"/>
      <c r="S15" s="890"/>
      <c r="T15" s="890"/>
      <c r="U15" s="890"/>
      <c r="V15" s="890"/>
      <c r="W15" s="890"/>
      <c r="X15" s="890"/>
      <c r="Y15" s="890"/>
      <c r="Z15" s="890"/>
      <c r="AA15" s="7949" t="s">
        <v>3156</v>
      </c>
      <c r="AB15" s="7950"/>
      <c r="AC15" s="7950"/>
      <c r="AD15" s="7950"/>
      <c r="AE15" s="7950"/>
      <c r="AF15" s="7950"/>
      <c r="AG15" s="7950"/>
      <c r="AH15" s="7950"/>
      <c r="AI15" s="7950"/>
      <c r="AJ15" s="7950"/>
      <c r="AK15" s="7950"/>
      <c r="AL15" s="7950"/>
      <c r="AM15" s="7950"/>
      <c r="AN15" s="7950"/>
      <c r="AO15" s="7950"/>
      <c r="AP15" s="2162"/>
      <c r="AQ15" s="7911" t="str">
        <f>IF(AND(ForeignTaxPaid&lt;&gt;"",ForeignTaxPaid&gt;0),"to determine Sch.3, Line 1 amount.","")</f>
        <v/>
      </c>
      <c r="AR15" s="7911"/>
      <c r="AS15" s="7911"/>
      <c r="AT15" s="7911"/>
      <c r="AU15" s="7911"/>
      <c r="AV15" s="7911"/>
      <c r="AW15" s="7911"/>
      <c r="AX15" s="2396"/>
      <c r="AY15" s="3057"/>
      <c r="AZ15" s="3057"/>
      <c r="BA15" s="3057"/>
      <c r="BB15" s="3057"/>
      <c r="BC15" s="3057"/>
      <c r="BD15" s="3057"/>
      <c r="BE15" s="3057"/>
      <c r="BF15" s="3057"/>
      <c r="BG15" s="3057"/>
      <c r="BH15" s="3057"/>
    </row>
    <row r="16" spans="1:60" ht="9" customHeight="1">
      <c r="A16" s="3107"/>
      <c r="B16" s="7948" t="str">
        <f>Names</f>
        <v/>
      </c>
      <c r="C16" s="6970"/>
      <c r="D16" s="6970"/>
      <c r="E16" s="6970"/>
      <c r="F16" s="6970"/>
      <c r="G16" s="6970"/>
      <c r="H16" s="6970"/>
      <c r="I16" s="6970"/>
      <c r="J16" s="6970"/>
      <c r="K16" s="6970"/>
      <c r="L16" s="6970"/>
      <c r="M16" s="6970"/>
      <c r="N16" s="6970"/>
      <c r="O16" s="6970"/>
      <c r="P16" s="6970"/>
      <c r="Q16" s="6970"/>
      <c r="R16" s="6970"/>
      <c r="S16" s="6970"/>
      <c r="T16" s="6970"/>
      <c r="U16" s="6970"/>
      <c r="V16" s="6970"/>
      <c r="W16" s="6970"/>
      <c r="X16" s="6970"/>
      <c r="Y16" s="6970"/>
      <c r="Z16" s="6970"/>
      <c r="AA16" s="7951">
        <f>IF(NoSSN,"",SS_Yours)</f>
        <v>1010001</v>
      </c>
      <c r="AB16" s="7952"/>
      <c r="AC16" s="7952"/>
      <c r="AD16" s="7952"/>
      <c r="AE16" s="7952"/>
      <c r="AF16" s="7952"/>
      <c r="AG16" s="7952"/>
      <c r="AH16" s="7952"/>
      <c r="AI16" s="7952"/>
      <c r="AJ16" s="7952"/>
      <c r="AK16" s="7952"/>
      <c r="AL16" s="7952"/>
      <c r="AM16" s="7952"/>
      <c r="AN16" s="7952"/>
      <c r="AO16" s="7952"/>
      <c r="AP16" s="2162"/>
      <c r="AQ16" s="808"/>
      <c r="AR16" s="808"/>
      <c r="AS16" s="808"/>
      <c r="AT16" s="808"/>
      <c r="AU16" s="808"/>
      <c r="AV16" s="808"/>
      <c r="AW16" s="808"/>
      <c r="AX16" s="2396"/>
      <c r="AY16" s="3057"/>
      <c r="AZ16" s="3057"/>
      <c r="BA16" s="3057"/>
      <c r="BB16" s="3057"/>
      <c r="BC16" s="3057"/>
      <c r="BD16" s="3057"/>
      <c r="BE16" s="3057"/>
      <c r="BF16" s="3057"/>
      <c r="BG16" s="3057"/>
      <c r="BH16" s="3057"/>
    </row>
    <row r="17" spans="1:60" ht="9" customHeight="1">
      <c r="A17" s="3107"/>
      <c r="B17" s="7293"/>
      <c r="C17" s="7293"/>
      <c r="D17" s="7293"/>
      <c r="E17" s="7293"/>
      <c r="F17" s="7293"/>
      <c r="G17" s="7293"/>
      <c r="H17" s="7293"/>
      <c r="I17" s="7293"/>
      <c r="J17" s="7293"/>
      <c r="K17" s="7293"/>
      <c r="L17" s="7293"/>
      <c r="M17" s="7293"/>
      <c r="N17" s="7293"/>
      <c r="O17" s="7293"/>
      <c r="P17" s="7293"/>
      <c r="Q17" s="7293"/>
      <c r="R17" s="7293"/>
      <c r="S17" s="7293"/>
      <c r="T17" s="7293"/>
      <c r="U17" s="7293"/>
      <c r="V17" s="7293"/>
      <c r="W17" s="7293"/>
      <c r="X17" s="7293"/>
      <c r="Y17" s="7293"/>
      <c r="Z17" s="7293"/>
      <c r="AA17" s="7953"/>
      <c r="AB17" s="7954"/>
      <c r="AC17" s="7954"/>
      <c r="AD17" s="7954"/>
      <c r="AE17" s="7954"/>
      <c r="AF17" s="7954"/>
      <c r="AG17" s="7954"/>
      <c r="AH17" s="7954"/>
      <c r="AI17" s="7954"/>
      <c r="AJ17" s="7954"/>
      <c r="AK17" s="7954"/>
      <c r="AL17" s="7954"/>
      <c r="AM17" s="7954"/>
      <c r="AN17" s="7954"/>
      <c r="AO17" s="7954"/>
      <c r="AP17" s="2162"/>
      <c r="AQ17" s="808"/>
      <c r="AR17" s="808"/>
      <c r="AS17" s="808"/>
      <c r="AT17" s="808"/>
      <c r="AU17" s="808"/>
      <c r="AV17" s="808"/>
      <c r="AW17" s="808"/>
      <c r="AX17" s="2396"/>
      <c r="AY17" s="3057"/>
      <c r="AZ17" s="3057"/>
      <c r="BA17" s="3057"/>
      <c r="BB17" s="3057"/>
      <c r="BC17" s="3057"/>
      <c r="BD17" s="3057"/>
      <c r="BE17" s="3057"/>
      <c r="BF17" s="3057"/>
      <c r="BG17" s="3057"/>
      <c r="BH17" s="3057"/>
    </row>
    <row r="18" spans="1:60" ht="12.75" customHeight="1">
      <c r="A18" s="3107"/>
      <c r="B18" s="2145" t="s">
        <v>3157</v>
      </c>
      <c r="C18" s="1142"/>
      <c r="D18" s="1142"/>
      <c r="E18" s="1142"/>
      <c r="F18" s="1142"/>
      <c r="G18" s="1142"/>
      <c r="H18" s="1142"/>
      <c r="I18" s="1142"/>
      <c r="J18" s="1142"/>
      <c r="K18" s="1142"/>
      <c r="L18" s="1142"/>
      <c r="M18" s="1142"/>
      <c r="N18" s="1142"/>
      <c r="O18" s="1142"/>
      <c r="P18" s="1142"/>
      <c r="Q18" s="1142"/>
      <c r="R18" s="1142"/>
      <c r="S18" s="1142"/>
      <c r="T18" s="1142"/>
      <c r="U18" s="1142"/>
      <c r="V18" s="1142"/>
      <c r="W18" s="1142"/>
      <c r="X18" s="1142"/>
      <c r="Y18" s="1142"/>
      <c r="Z18" s="1142"/>
      <c r="AA18" s="1142"/>
      <c r="AB18" s="1142"/>
      <c r="AC18" s="1142"/>
      <c r="AD18" s="1142"/>
      <c r="AE18" s="1142"/>
      <c r="AF18" s="1142"/>
      <c r="AG18" s="1142"/>
      <c r="AH18" s="1142"/>
      <c r="AI18" s="2892" t="s">
        <v>3158</v>
      </c>
      <c r="AJ18" s="1142"/>
      <c r="AK18" s="1142"/>
      <c r="AL18" s="1142"/>
      <c r="AM18" s="1142"/>
      <c r="AN18" s="1142"/>
      <c r="AO18" s="847"/>
      <c r="AP18" s="2162"/>
      <c r="AQ18" s="900" t="b">
        <f>AND(AO20&lt;2,AO151&lt;2,AO280&lt;2,SUM(AO20,AO151,AO280)&gt;1)</f>
        <v>0</v>
      </c>
      <c r="AR18" s="900"/>
      <c r="AS18" s="900"/>
      <c r="AT18" s="900"/>
      <c r="AU18" s="900"/>
      <c r="AV18" s="2429"/>
      <c r="AW18" s="2429"/>
      <c r="AX18" s="2396"/>
      <c r="AY18" s="3057"/>
      <c r="AZ18" s="3057"/>
      <c r="BA18" s="3057"/>
      <c r="BB18" s="3057"/>
      <c r="BC18" s="3057"/>
      <c r="BD18" s="3057"/>
      <c r="BE18" s="3057"/>
      <c r="BF18" s="3057"/>
      <c r="BG18" s="3057"/>
      <c r="BH18" s="3057"/>
    </row>
    <row r="19" spans="1:60" ht="12.75" customHeight="1">
      <c r="A19" s="3106"/>
      <c r="B19" s="878" t="s">
        <v>3159</v>
      </c>
      <c r="C19" s="808"/>
      <c r="D19" s="808"/>
      <c r="E19" s="878" t="s">
        <v>3160</v>
      </c>
      <c r="F19" s="1108"/>
      <c r="G19" s="808"/>
      <c r="H19" s="808"/>
      <c r="I19" s="808"/>
      <c r="J19" s="808"/>
      <c r="K19" s="808"/>
      <c r="L19" s="808"/>
      <c r="M19" s="808"/>
      <c r="N19" s="808"/>
      <c r="O19" s="808"/>
      <c r="P19" s="808"/>
      <c r="Q19" s="808"/>
      <c r="R19" s="808"/>
      <c r="S19" s="808"/>
      <c r="T19" s="808"/>
      <c r="U19" s="808"/>
      <c r="V19" s="808"/>
      <c r="W19" s="808"/>
      <c r="X19" s="808"/>
      <c r="Y19" s="808"/>
      <c r="Z19" s="808"/>
      <c r="AA19" s="808"/>
      <c r="AB19" s="808"/>
      <c r="AC19" s="808"/>
      <c r="AD19" s="808"/>
      <c r="AE19" s="808"/>
      <c r="AF19" s="808"/>
      <c r="AG19" s="808"/>
      <c r="AH19" s="808"/>
      <c r="AI19" s="808"/>
      <c r="AJ19" s="808"/>
      <c r="AK19" s="808"/>
      <c r="AL19" s="808"/>
      <c r="AM19" s="808"/>
      <c r="AN19" s="808"/>
      <c r="AO19" s="808"/>
      <c r="AP19" s="2162"/>
      <c r="AQ19" s="3837"/>
      <c r="AR19" s="8148"/>
      <c r="AS19" s="8149"/>
      <c r="AT19" s="8149"/>
      <c r="AU19" s="8149"/>
      <c r="AV19" s="900"/>
      <c r="AW19" s="900"/>
      <c r="AX19" s="2396"/>
      <c r="AY19" s="3057"/>
      <c r="AZ19" s="3057"/>
      <c r="BA19" s="3057"/>
      <c r="BB19" s="3057"/>
      <c r="BC19" s="3057"/>
      <c r="BD19" s="3057"/>
      <c r="BE19" s="3057"/>
      <c r="BF19" s="3057"/>
      <c r="BG19" s="3057"/>
      <c r="BH19" s="3057"/>
    </row>
    <row r="20" spans="1:60" ht="8.25" customHeight="1">
      <c r="A20" s="3107"/>
      <c r="B20" s="808"/>
      <c r="C20" s="1754">
        <f>IF(C21&lt;&gt;"",1,0)</f>
        <v>0</v>
      </c>
      <c r="D20" s="900"/>
      <c r="E20" s="900"/>
      <c r="F20" s="2213"/>
      <c r="G20" s="900"/>
      <c r="H20" s="900"/>
      <c r="I20" s="900"/>
      <c r="J20" s="900"/>
      <c r="K20" s="1754">
        <f>IF(K21&lt;&gt;"",1,0)</f>
        <v>0</v>
      </c>
      <c r="L20" s="900"/>
      <c r="M20" s="900"/>
      <c r="N20" s="1754"/>
      <c r="O20" s="900"/>
      <c r="P20" s="900"/>
      <c r="Q20" s="900"/>
      <c r="R20" s="900"/>
      <c r="S20" s="900"/>
      <c r="T20" s="900"/>
      <c r="U20" s="900"/>
      <c r="V20" s="900"/>
      <c r="W20" s="1754">
        <f>IF(W21&lt;&gt;"",1,0)</f>
        <v>0</v>
      </c>
      <c r="X20" s="900"/>
      <c r="Y20" s="900"/>
      <c r="Z20" s="900"/>
      <c r="AA20" s="900"/>
      <c r="AB20" s="1754"/>
      <c r="AC20" s="808"/>
      <c r="AD20" s="808"/>
      <c r="AE20" s="808"/>
      <c r="AF20" s="808"/>
      <c r="AG20" s="808"/>
      <c r="AH20" s="808"/>
      <c r="AI20" s="1754">
        <f>IF(AI21&lt;&gt;"",1,0)</f>
        <v>0</v>
      </c>
      <c r="AJ20" s="808"/>
      <c r="AK20" s="808"/>
      <c r="AL20" s="808"/>
      <c r="AM20" s="808"/>
      <c r="AN20" s="808"/>
      <c r="AO20" s="4104">
        <f>SUM(C20,K20,W20,AI20,C22,K22,W22)</f>
        <v>0</v>
      </c>
      <c r="AP20" s="2162"/>
      <c r="AQ20" s="900"/>
      <c r="AR20" s="900"/>
      <c r="AS20" s="900"/>
      <c r="AT20" s="900"/>
      <c r="AU20" s="900"/>
      <c r="AV20" s="900"/>
      <c r="AW20" s="900"/>
      <c r="AX20" s="2396"/>
      <c r="AY20" s="3057"/>
      <c r="AZ20" s="3057"/>
      <c r="BA20" s="3057"/>
      <c r="BB20" s="3057"/>
      <c r="BC20" s="3057"/>
      <c r="BD20" s="3057"/>
      <c r="BE20" s="3057"/>
      <c r="BF20" s="3057"/>
      <c r="BG20" s="3057"/>
      <c r="BH20" s="3057"/>
    </row>
    <row r="21" spans="1:60" ht="13.5" customHeight="1">
      <c r="A21" s="3106" t="b">
        <f>AND(K21&lt;&gt;"",AO20=1,A78)</f>
        <v>0</v>
      </c>
      <c r="B21" s="2177" t="s">
        <v>640</v>
      </c>
      <c r="C21" s="941"/>
      <c r="D21" s="2186" t="s">
        <v>3161</v>
      </c>
      <c r="E21" s="808"/>
      <c r="F21" s="808"/>
      <c r="G21" s="808"/>
      <c r="H21" s="808"/>
      <c r="I21" s="808"/>
      <c r="J21" s="2177" t="s">
        <v>648</v>
      </c>
      <c r="K21" s="941"/>
      <c r="L21" s="2186" t="s">
        <v>3162</v>
      </c>
      <c r="M21" s="2186"/>
      <c r="N21" s="892"/>
      <c r="O21" s="2186"/>
      <c r="P21" s="892"/>
      <c r="Q21" s="808"/>
      <c r="R21" s="808"/>
      <c r="S21" s="808"/>
      <c r="T21" s="808"/>
      <c r="U21" s="808"/>
      <c r="V21" s="2177" t="s">
        <v>656</v>
      </c>
      <c r="W21" s="941"/>
      <c r="X21" s="2186" t="s">
        <v>3163</v>
      </c>
      <c r="Y21" s="808"/>
      <c r="Z21" s="808"/>
      <c r="AA21" s="2177"/>
      <c r="AB21" s="808"/>
      <c r="AC21" s="2186"/>
      <c r="AD21" s="2177"/>
      <c r="AE21" s="808"/>
      <c r="AF21" s="2177"/>
      <c r="AG21" s="808"/>
      <c r="AH21" s="2177" t="s">
        <v>663</v>
      </c>
      <c r="AI21" s="941"/>
      <c r="AJ21" s="2186" t="s">
        <v>3164</v>
      </c>
      <c r="AK21" s="808"/>
      <c r="AL21" s="808"/>
      <c r="AM21" s="808"/>
      <c r="AN21" s="808"/>
      <c r="AO21" s="874"/>
      <c r="AP21" s="2162"/>
      <c r="AQ21" s="3223" t="str">
        <f>IF(NOT(AO20),"←  Check one box.","")</f>
        <v>←  Check one box.</v>
      </c>
      <c r="AR21" s="3836"/>
      <c r="AS21" s="3836"/>
      <c r="AT21" s="2405"/>
      <c r="AU21" s="3836"/>
      <c r="AV21" s="3836"/>
      <c r="AW21" s="2429"/>
      <c r="AX21" s="2396"/>
      <c r="AY21" s="3057"/>
      <c r="AZ21" s="3057"/>
      <c r="BA21" s="3057"/>
      <c r="BB21" s="3057"/>
      <c r="BC21" s="3057"/>
      <c r="BD21" s="3057"/>
      <c r="BE21" s="3057"/>
      <c r="BF21" s="3057"/>
      <c r="BG21" s="3057"/>
      <c r="BH21" s="3057"/>
    </row>
    <row r="22" spans="1:60" ht="6" customHeight="1">
      <c r="A22" s="3107"/>
      <c r="B22" s="2120"/>
      <c r="C22" s="1754">
        <f>IF(C23&lt;&gt;"",1,0)</f>
        <v>0</v>
      </c>
      <c r="D22" s="2214"/>
      <c r="E22" s="900"/>
      <c r="F22" s="900"/>
      <c r="G22" s="900"/>
      <c r="H22" s="900"/>
      <c r="I22" s="900"/>
      <c r="J22" s="900"/>
      <c r="K22" s="1754">
        <f>IF(K23&lt;&gt;"",1,0)</f>
        <v>0</v>
      </c>
      <c r="L22" s="900"/>
      <c r="M22" s="900"/>
      <c r="N22" s="1754"/>
      <c r="O22" s="808"/>
      <c r="P22" s="808"/>
      <c r="Q22" s="808"/>
      <c r="R22" s="808"/>
      <c r="S22" s="808"/>
      <c r="T22" s="808"/>
      <c r="U22" s="808"/>
      <c r="V22" s="808"/>
      <c r="W22" s="1754">
        <f>IF(W23&lt;&gt;"",1,0)</f>
        <v>0</v>
      </c>
      <c r="X22" s="808"/>
      <c r="Y22" s="808"/>
      <c r="Z22" s="808"/>
      <c r="AA22" s="808"/>
      <c r="AB22" s="808"/>
      <c r="AC22" s="808"/>
      <c r="AD22" s="808"/>
      <c r="AE22" s="808"/>
      <c r="AF22" s="808"/>
      <c r="AG22" s="808"/>
      <c r="AH22" s="808"/>
      <c r="AI22" s="808"/>
      <c r="AJ22" s="808"/>
      <c r="AK22" s="808"/>
      <c r="AL22" s="808"/>
      <c r="AM22" s="808"/>
      <c r="AN22" s="808"/>
      <c r="AO22" s="808"/>
      <c r="AP22" s="2162"/>
      <c r="AQ22" s="893"/>
      <c r="AR22" s="893"/>
      <c r="AS22" s="893"/>
      <c r="AT22" s="893"/>
      <c r="AU22" s="893"/>
      <c r="AV22" s="893"/>
      <c r="AW22" s="893"/>
      <c r="AX22" s="2396"/>
      <c r="AY22" s="3057"/>
      <c r="AZ22" s="3057"/>
      <c r="BA22" s="3057"/>
      <c r="BB22" s="3057"/>
      <c r="BC22" s="3057"/>
      <c r="BD22" s="3057"/>
      <c r="BE22" s="3057"/>
      <c r="BF22" s="3057"/>
      <c r="BG22" s="3057"/>
      <c r="BH22" s="3057"/>
    </row>
    <row r="23" spans="1:60" ht="13.5" customHeight="1">
      <c r="A23" s="3107"/>
      <c r="B23" s="2177" t="s">
        <v>644</v>
      </c>
      <c r="C23" s="941"/>
      <c r="D23" s="2186" t="s">
        <v>3165</v>
      </c>
      <c r="E23" s="808"/>
      <c r="F23" s="808"/>
      <c r="G23" s="808"/>
      <c r="H23" s="808"/>
      <c r="I23" s="808"/>
      <c r="J23" s="2177" t="s">
        <v>652</v>
      </c>
      <c r="K23" s="941"/>
      <c r="L23" s="2186" t="s">
        <v>3166</v>
      </c>
      <c r="M23" s="2186"/>
      <c r="N23" s="892"/>
      <c r="O23" s="2186"/>
      <c r="P23" s="892"/>
      <c r="Q23" s="808"/>
      <c r="R23" s="808"/>
      <c r="S23" s="808"/>
      <c r="T23" s="808"/>
      <c r="U23" s="808"/>
      <c r="V23" s="2177" t="s">
        <v>659</v>
      </c>
      <c r="W23" s="941"/>
      <c r="X23" s="2186" t="s">
        <v>3167</v>
      </c>
      <c r="Y23" s="808"/>
      <c r="Z23" s="808"/>
      <c r="AA23" s="808"/>
      <c r="AB23" s="808"/>
      <c r="AC23" s="808"/>
      <c r="AD23" s="808"/>
      <c r="AE23" s="808"/>
      <c r="AF23" s="808"/>
      <c r="AG23" s="808"/>
      <c r="AH23" s="808"/>
      <c r="AI23" s="808"/>
      <c r="AJ23" s="808"/>
      <c r="AK23" s="808"/>
      <c r="AL23" s="808"/>
      <c r="AM23" s="808"/>
      <c r="AN23" s="808"/>
      <c r="AO23" s="900" t="b">
        <f>AO20&lt;&gt;1</f>
        <v>1</v>
      </c>
      <c r="AP23" s="2162"/>
      <c r="AQ23" s="900"/>
      <c r="AR23" s="3810"/>
      <c r="AS23" s="3810"/>
      <c r="AT23" s="3810"/>
      <c r="AU23" s="3810"/>
      <c r="AV23" s="2405"/>
      <c r="AW23" s="2429"/>
      <c r="AX23" s="2396"/>
      <c r="AY23" s="3057"/>
      <c r="AZ23" s="3057"/>
      <c r="BA23" s="3057"/>
      <c r="BB23" s="3057"/>
      <c r="BC23" s="3057"/>
      <c r="BD23" s="3057"/>
      <c r="BE23" s="3057"/>
      <c r="BF23" s="3057"/>
      <c r="BG23" s="3057"/>
      <c r="BH23" s="3057"/>
    </row>
    <row r="24" spans="1:60" ht="8.25" customHeight="1">
      <c r="A24" s="3107"/>
      <c r="B24" s="2120"/>
      <c r="C24" s="2178"/>
      <c r="D24" s="2112"/>
      <c r="E24" s="808"/>
      <c r="F24" s="808"/>
      <c r="G24" s="808"/>
      <c r="H24" s="808"/>
      <c r="I24" s="808"/>
      <c r="J24" s="808"/>
      <c r="K24" s="808"/>
      <c r="L24" s="808"/>
      <c r="M24" s="808"/>
      <c r="N24" s="808"/>
      <c r="O24" s="808"/>
      <c r="P24" s="808"/>
      <c r="Q24" s="808"/>
      <c r="R24" s="808"/>
      <c r="S24" s="808"/>
      <c r="T24" s="808"/>
      <c r="U24" s="808"/>
      <c r="V24" s="808"/>
      <c r="W24" s="808"/>
      <c r="X24" s="808"/>
      <c r="Y24" s="808"/>
      <c r="Z24" s="808"/>
      <c r="AA24" s="808"/>
      <c r="AB24" s="808"/>
      <c r="AC24" s="808"/>
      <c r="AD24" s="808"/>
      <c r="AE24" s="808"/>
      <c r="AF24" s="808"/>
      <c r="AG24" s="808"/>
      <c r="AH24" s="808"/>
      <c r="AI24" s="808"/>
      <c r="AJ24" s="808"/>
      <c r="AK24" s="808"/>
      <c r="AL24" s="808"/>
      <c r="AM24" s="808"/>
      <c r="AN24" s="808"/>
      <c r="AO24" s="808"/>
      <c r="AP24" s="2162"/>
      <c r="AQ24" s="3837"/>
      <c r="AR24" s="3838"/>
      <c r="AS24" s="3838"/>
      <c r="AT24" s="3837"/>
      <c r="AU24" s="3838"/>
      <c r="AV24" s="2405"/>
      <c r="AW24" s="2429"/>
      <c r="AX24" s="2396"/>
      <c r="AY24" s="3057"/>
      <c r="AZ24" s="3057"/>
      <c r="BA24" s="3057"/>
      <c r="BB24" s="3057"/>
      <c r="BC24" s="3057"/>
      <c r="BD24" s="3057"/>
      <c r="BE24" s="3057"/>
      <c r="BF24" s="3057"/>
      <c r="BG24" s="3057"/>
      <c r="BH24" s="3057"/>
    </row>
    <row r="25" spans="1:60" ht="15.75" customHeight="1">
      <c r="A25" s="3107"/>
      <c r="B25" s="2187" t="s">
        <v>668</v>
      </c>
      <c r="C25" s="2188" t="s">
        <v>3168</v>
      </c>
      <c r="D25" s="1122"/>
      <c r="E25" s="1122"/>
      <c r="F25" s="1122"/>
      <c r="G25" s="1122"/>
      <c r="H25" s="1122"/>
      <c r="I25" s="1122"/>
      <c r="J25" s="1122"/>
      <c r="K25" s="1122"/>
      <c r="L25" s="8098"/>
      <c r="M25" s="8098"/>
      <c r="N25" s="8098"/>
      <c r="O25" s="8098"/>
      <c r="P25" s="8098"/>
      <c r="Q25" s="8098"/>
      <c r="R25" s="8098"/>
      <c r="S25" s="8098"/>
      <c r="T25" s="8098"/>
      <c r="U25" s="8098"/>
      <c r="V25" s="8098"/>
      <c r="W25" s="8098"/>
      <c r="X25" s="8098"/>
      <c r="Y25" s="8098"/>
      <c r="Z25" s="8098"/>
      <c r="AA25" s="8098"/>
      <c r="AB25" s="8098"/>
      <c r="AC25" s="8098"/>
      <c r="AD25" s="8098"/>
      <c r="AE25" s="8098"/>
      <c r="AF25" s="8098"/>
      <c r="AG25" s="8098"/>
      <c r="AH25" s="8098"/>
      <c r="AI25" s="8098"/>
      <c r="AJ25" s="8098"/>
      <c r="AK25" s="8098"/>
      <c r="AL25" s="8098"/>
      <c r="AM25" s="8098"/>
      <c r="AN25" s="8098"/>
      <c r="AO25" s="8098"/>
      <c r="AP25" s="2162"/>
      <c r="AQ25" s="1962" t="s">
        <v>640</v>
      </c>
      <c r="AR25" s="8156">
        <f t="shared" ref="AR25:AR31" si="0">SUM(AR127,AR257,AR386)</f>
        <v>0</v>
      </c>
      <c r="AS25" s="8156"/>
      <c r="AT25" s="8156"/>
      <c r="AU25" s="8156"/>
      <c r="AV25" s="2405"/>
      <c r="AW25" s="2429"/>
      <c r="AX25" s="2396"/>
      <c r="AY25" s="3057"/>
      <c r="AZ25" s="3057"/>
      <c r="BA25" s="3057"/>
      <c r="BB25" s="3057"/>
      <c r="BC25" s="3057"/>
      <c r="BD25" s="3057"/>
      <c r="BE25" s="3057"/>
      <c r="BF25" s="3057"/>
      <c r="BG25" s="3057"/>
      <c r="BH25" s="3057"/>
    </row>
    <row r="26" spans="1:60" ht="12.75" customHeight="1">
      <c r="A26" s="3107"/>
      <c r="B26" s="8019" t="s">
        <v>2224</v>
      </c>
      <c r="C26" s="8020"/>
      <c r="D26" s="892" t="s">
        <v>3169</v>
      </c>
      <c r="E26" s="808"/>
      <c r="F26" s="808"/>
      <c r="G26" s="808"/>
      <c r="H26" s="808"/>
      <c r="I26" s="808"/>
      <c r="J26" s="808"/>
      <c r="K26" s="808"/>
      <c r="L26" s="808"/>
      <c r="M26" s="808"/>
      <c r="N26" s="808"/>
      <c r="O26" s="808"/>
      <c r="P26" s="808"/>
      <c r="Q26" s="808"/>
      <c r="R26" s="808"/>
      <c r="S26" s="808"/>
      <c r="T26" s="808"/>
      <c r="U26" s="808"/>
      <c r="V26" s="808"/>
      <c r="W26" s="808"/>
      <c r="X26" s="808"/>
      <c r="Y26" s="808"/>
      <c r="Z26" s="808"/>
      <c r="AA26" s="808"/>
      <c r="AB26" s="808"/>
      <c r="AC26" s="808"/>
      <c r="AD26" s="808"/>
      <c r="AE26" s="808"/>
      <c r="AF26" s="808"/>
      <c r="AG26" s="808"/>
      <c r="AH26" s="808"/>
      <c r="AI26" s="808"/>
      <c r="AJ26" s="808"/>
      <c r="AK26" s="808"/>
      <c r="AL26" s="808"/>
      <c r="AM26" s="808"/>
      <c r="AN26" s="808"/>
      <c r="AO26" s="808"/>
      <c r="AP26" s="2162"/>
      <c r="AQ26" s="1962" t="s">
        <v>644</v>
      </c>
      <c r="AR26" s="8157">
        <f t="shared" si="0"/>
        <v>0</v>
      </c>
      <c r="AS26" s="8157"/>
      <c r="AT26" s="8157"/>
      <c r="AU26" s="8157"/>
      <c r="AV26" s="2405"/>
      <c r="AW26" s="2429"/>
      <c r="AX26" s="2396"/>
      <c r="AY26" s="3057"/>
      <c r="AZ26" s="3057"/>
      <c r="BA26" s="3057"/>
      <c r="BB26" s="3057"/>
      <c r="BC26" s="3057"/>
      <c r="BD26" s="3057"/>
      <c r="BE26" s="3057"/>
      <c r="BF26" s="3057"/>
      <c r="BG26" s="3057"/>
      <c r="BH26" s="3057"/>
    </row>
    <row r="27" spans="1:60" ht="12.75" customHeight="1">
      <c r="A27" s="3107"/>
      <c r="B27" s="2202" t="s">
        <v>3170</v>
      </c>
      <c r="C27" s="2189"/>
      <c r="D27" s="2190"/>
      <c r="E27" s="1121"/>
      <c r="F27" s="1121"/>
      <c r="G27" s="1121"/>
      <c r="H27" s="1121"/>
      <c r="I27" s="1121"/>
      <c r="J27" s="1121"/>
      <c r="K27" s="1121"/>
      <c r="L27" s="1121"/>
      <c r="M27" s="1121"/>
      <c r="N27" s="1121"/>
      <c r="O27" s="1121"/>
      <c r="P27" s="1121"/>
      <c r="Q27" s="1121"/>
      <c r="R27" s="1121"/>
      <c r="S27" s="1121"/>
      <c r="T27" s="1121"/>
      <c r="U27" s="1121"/>
      <c r="V27" s="1121"/>
      <c r="W27" s="1121"/>
      <c r="X27" s="1121"/>
      <c r="Y27" s="1121"/>
      <c r="Z27" s="1121"/>
      <c r="AA27" s="1121"/>
      <c r="AB27" s="1121"/>
      <c r="AC27" s="1121"/>
      <c r="AD27" s="1121"/>
      <c r="AE27" s="1121"/>
      <c r="AF27" s="1121"/>
      <c r="AG27" s="1121"/>
      <c r="AH27" s="1121"/>
      <c r="AI27" s="1121"/>
      <c r="AJ27" s="1121"/>
      <c r="AK27" s="1121"/>
      <c r="AL27" s="1121"/>
      <c r="AM27" s="1121"/>
      <c r="AN27" s="1121"/>
      <c r="AO27" s="1121"/>
      <c r="AP27" s="2162"/>
      <c r="AQ27" s="1962" t="s">
        <v>648</v>
      </c>
      <c r="AR27" s="8156">
        <f t="shared" si="0"/>
        <v>0</v>
      </c>
      <c r="AS27" s="8156"/>
      <c r="AT27" s="8156"/>
      <c r="AU27" s="8156"/>
      <c r="AV27" s="2405"/>
      <c r="AW27" s="2429"/>
      <c r="AX27" s="2396"/>
      <c r="AY27" s="3057"/>
      <c r="AZ27" s="3057"/>
      <c r="BA27" s="3057"/>
      <c r="BB27" s="3057"/>
      <c r="BC27" s="3057"/>
      <c r="BD27" s="3057"/>
      <c r="BE27" s="3057"/>
      <c r="BF27" s="3057"/>
      <c r="BG27" s="3057"/>
      <c r="BH27" s="3057"/>
    </row>
    <row r="28" spans="1:60" s="2114" customFormat="1" ht="17.25" customHeight="1">
      <c r="A28" s="3109"/>
      <c r="B28" s="7384" t="s">
        <v>884</v>
      </c>
      <c r="C28" s="7384"/>
      <c r="D28" s="7385"/>
      <c r="E28" s="8059" t="s">
        <v>3171</v>
      </c>
      <c r="F28" s="8060"/>
      <c r="G28" s="8060"/>
      <c r="H28" s="8060"/>
      <c r="I28" s="8060"/>
      <c r="J28" s="8060"/>
      <c r="K28" s="8060"/>
      <c r="L28" s="8060"/>
      <c r="M28" s="8060"/>
      <c r="N28" s="8060"/>
      <c r="O28" s="8060"/>
      <c r="P28" s="8060"/>
      <c r="Q28" s="8060"/>
      <c r="R28" s="8060"/>
      <c r="S28" s="8060"/>
      <c r="T28" s="8060"/>
      <c r="U28" s="8060"/>
      <c r="V28" s="8060"/>
      <c r="W28" s="8060"/>
      <c r="X28" s="8060"/>
      <c r="Y28" s="8060"/>
      <c r="Z28" s="8060"/>
      <c r="AA28" s="8060"/>
      <c r="AB28" s="8060"/>
      <c r="AC28" s="8060"/>
      <c r="AD28" s="8060"/>
      <c r="AE28" s="8060"/>
      <c r="AF28" s="8060"/>
      <c r="AG28" s="8060"/>
      <c r="AH28" s="8060"/>
      <c r="AI28" s="8060"/>
      <c r="AJ28" s="8060"/>
      <c r="AK28" s="8060"/>
      <c r="AL28" s="8060"/>
      <c r="AM28" s="8060"/>
      <c r="AN28" s="8060"/>
      <c r="AO28" s="8060"/>
      <c r="AP28" s="2162"/>
      <c r="AQ28" s="1962" t="s">
        <v>652</v>
      </c>
      <c r="AR28" s="8157">
        <f t="shared" si="0"/>
        <v>0</v>
      </c>
      <c r="AS28" s="8157"/>
      <c r="AT28" s="8157"/>
      <c r="AU28" s="8157"/>
      <c r="AV28" s="2405"/>
      <c r="AW28" s="2429"/>
      <c r="AX28" s="2396"/>
      <c r="AY28" s="3057"/>
      <c r="AZ28" s="3057"/>
      <c r="BA28" s="3057"/>
      <c r="BB28" s="3057"/>
      <c r="BC28" s="3057"/>
      <c r="BD28" s="3057"/>
      <c r="BE28" s="3057"/>
      <c r="BF28" s="3057"/>
      <c r="BG28" s="3057"/>
      <c r="BH28" s="3057"/>
    </row>
    <row r="29" spans="1:60" ht="14.25">
      <c r="A29" s="3107"/>
      <c r="B29" s="7977"/>
      <c r="C29" s="7977"/>
      <c r="D29" s="2112"/>
      <c r="E29" s="808"/>
      <c r="F29" s="808"/>
      <c r="G29" s="808"/>
      <c r="H29" s="808"/>
      <c r="I29" s="808"/>
      <c r="J29" s="808"/>
      <c r="K29" s="808"/>
      <c r="L29" s="808"/>
      <c r="M29" s="808"/>
      <c r="N29" s="808"/>
      <c r="O29" s="808"/>
      <c r="P29" s="7960" t="s">
        <v>3172</v>
      </c>
      <c r="Q29" s="7961"/>
      <c r="R29" s="7961"/>
      <c r="S29" s="7961"/>
      <c r="T29" s="7961"/>
      <c r="U29" s="7961"/>
      <c r="V29" s="7961"/>
      <c r="W29" s="7961"/>
      <c r="X29" s="7961"/>
      <c r="Y29" s="7961"/>
      <c r="Z29" s="7961"/>
      <c r="AA29" s="7961"/>
      <c r="AB29" s="7961"/>
      <c r="AC29" s="7961"/>
      <c r="AD29" s="7961"/>
      <c r="AE29" s="7961"/>
      <c r="AF29" s="7961"/>
      <c r="AG29" s="7961"/>
      <c r="AH29" s="7961"/>
      <c r="AI29" s="7962"/>
      <c r="AJ29" s="7410" t="s">
        <v>3173</v>
      </c>
      <c r="AK29" s="7411"/>
      <c r="AL29" s="7411"/>
      <c r="AM29" s="7411"/>
      <c r="AN29" s="7411"/>
      <c r="AO29" s="7411"/>
      <c r="AP29" s="2162"/>
      <c r="AQ29" s="1962" t="s">
        <v>656</v>
      </c>
      <c r="AR29" s="7917">
        <f t="shared" si="0"/>
        <v>0</v>
      </c>
      <c r="AS29" s="8150"/>
      <c r="AT29" s="8150"/>
      <c r="AU29" s="8150"/>
      <c r="AV29" s="2405"/>
      <c r="AW29" s="2429"/>
      <c r="AX29" s="2396"/>
      <c r="AY29" s="3057"/>
      <c r="AZ29" s="3057"/>
      <c r="BA29" s="3057"/>
      <c r="BB29" s="3057"/>
      <c r="BC29" s="3057"/>
      <c r="BD29" s="3057"/>
      <c r="BE29" s="3057"/>
      <c r="BF29" s="3057"/>
      <c r="BG29" s="3057"/>
      <c r="BH29" s="3057"/>
    </row>
    <row r="30" spans="1:60" ht="15">
      <c r="A30" s="3107"/>
      <c r="B30" s="8055" t="s">
        <v>672</v>
      </c>
      <c r="C30" s="8055"/>
      <c r="D30" s="2206" t="s">
        <v>3174</v>
      </c>
      <c r="E30" s="808"/>
      <c r="F30" s="808"/>
      <c r="G30" s="808"/>
      <c r="H30" s="808"/>
      <c r="I30" s="808"/>
      <c r="J30" s="808"/>
      <c r="K30" s="808"/>
      <c r="L30" s="808"/>
      <c r="M30" s="808"/>
      <c r="N30" s="808"/>
      <c r="O30" s="808"/>
      <c r="P30" s="7946" t="s">
        <v>542</v>
      </c>
      <c r="Q30" s="8057"/>
      <c r="R30" s="8057"/>
      <c r="S30" s="8057"/>
      <c r="T30" s="8057"/>
      <c r="U30" s="8057"/>
      <c r="V30" s="8058"/>
      <c r="W30" s="7946" t="s">
        <v>548</v>
      </c>
      <c r="X30" s="8057"/>
      <c r="Y30" s="8057"/>
      <c r="Z30" s="8057"/>
      <c r="AA30" s="8057"/>
      <c r="AB30" s="8057"/>
      <c r="AC30" s="8058"/>
      <c r="AD30" s="7946" t="s">
        <v>550</v>
      </c>
      <c r="AE30" s="8057"/>
      <c r="AF30" s="8057"/>
      <c r="AG30" s="8057"/>
      <c r="AH30" s="8057"/>
      <c r="AI30" s="8058"/>
      <c r="AJ30" s="7414"/>
      <c r="AK30" s="7415"/>
      <c r="AL30" s="7415"/>
      <c r="AM30" s="7415"/>
      <c r="AN30" s="7415"/>
      <c r="AO30" s="7415"/>
      <c r="AP30" s="2162"/>
      <c r="AQ30" s="1962" t="s">
        <v>659</v>
      </c>
      <c r="AR30" s="7917">
        <f t="shared" si="0"/>
        <v>0</v>
      </c>
      <c r="AS30" s="8150"/>
      <c r="AT30" s="8150"/>
      <c r="AU30" s="8150"/>
      <c r="AV30" s="2405"/>
      <c r="AW30" s="2429"/>
      <c r="AX30" s="2396"/>
      <c r="AY30" s="3057"/>
      <c r="AZ30" s="3057"/>
      <c r="BA30" s="3057"/>
      <c r="BB30" s="3057"/>
      <c r="BC30" s="3057"/>
      <c r="BD30" s="3057"/>
      <c r="BE30" s="3057"/>
      <c r="BF30" s="3057"/>
      <c r="BG30" s="3057"/>
      <c r="BH30" s="3057"/>
    </row>
    <row r="31" spans="1:60" s="649" customFormat="1" ht="13.5" customHeight="1">
      <c r="A31" s="3110"/>
      <c r="B31" s="8056"/>
      <c r="C31" s="8056"/>
      <c r="D31" s="2207" t="s">
        <v>3175</v>
      </c>
      <c r="E31" s="893"/>
      <c r="F31" s="893"/>
      <c r="G31" s="893"/>
      <c r="H31" s="893"/>
      <c r="I31" s="893"/>
      <c r="J31" s="893"/>
      <c r="K31" s="893"/>
      <c r="L31" s="893"/>
      <c r="M31" s="893"/>
      <c r="N31" s="893"/>
      <c r="O31" s="2995" t="s">
        <v>1012</v>
      </c>
      <c r="P31" s="7921"/>
      <c r="Q31" s="7922"/>
      <c r="R31" s="7922"/>
      <c r="S31" s="7922"/>
      <c r="T31" s="7922"/>
      <c r="U31" s="7922"/>
      <c r="V31" s="7923"/>
      <c r="W31" s="7921"/>
      <c r="X31" s="7922"/>
      <c r="Y31" s="7922"/>
      <c r="Z31" s="7922"/>
      <c r="AA31" s="7922"/>
      <c r="AB31" s="7922"/>
      <c r="AC31" s="7923"/>
      <c r="AD31" s="7921"/>
      <c r="AE31" s="7922"/>
      <c r="AF31" s="7922"/>
      <c r="AG31" s="7922"/>
      <c r="AH31" s="7922"/>
      <c r="AI31" s="7923"/>
      <c r="AJ31" s="7957"/>
      <c r="AK31" s="7958"/>
      <c r="AL31" s="2216"/>
      <c r="AM31" s="2204"/>
      <c r="AN31" s="2204"/>
      <c r="AO31" s="2204"/>
      <c r="AP31" s="2191"/>
      <c r="AQ31" s="1962" t="s">
        <v>663</v>
      </c>
      <c r="AR31" s="7917">
        <f t="shared" si="0"/>
        <v>0</v>
      </c>
      <c r="AS31" s="8150"/>
      <c r="AT31" s="8150"/>
      <c r="AU31" s="8150"/>
      <c r="AV31" s="2405"/>
      <c r="AW31" s="2429"/>
      <c r="AX31" s="3060"/>
      <c r="AY31" s="3058"/>
      <c r="AZ31" s="3058"/>
      <c r="BA31" s="3058"/>
      <c r="BB31" s="3058"/>
      <c r="BC31" s="3058"/>
      <c r="BD31" s="3058"/>
      <c r="BE31" s="3058"/>
      <c r="BF31" s="3058"/>
      <c r="BG31" s="3058"/>
      <c r="BH31" s="3058"/>
    </row>
    <row r="32" spans="1:60" ht="12" customHeight="1">
      <c r="A32" s="3107"/>
      <c r="B32" s="7959" t="s">
        <v>363</v>
      </c>
      <c r="C32" s="7959"/>
      <c r="D32" s="878" t="s">
        <v>3176</v>
      </c>
      <c r="E32" s="808"/>
      <c r="F32" s="808"/>
      <c r="G32" s="808"/>
      <c r="H32" s="808"/>
      <c r="I32" s="808"/>
      <c r="J32" s="808"/>
      <c r="K32" s="808"/>
      <c r="L32" s="808"/>
      <c r="M32" s="808"/>
      <c r="N32" s="808"/>
      <c r="O32" s="808"/>
      <c r="P32" s="1377"/>
      <c r="Q32" s="1130"/>
      <c r="R32" s="1130"/>
      <c r="S32" s="1130"/>
      <c r="T32" s="1130"/>
      <c r="U32" s="1130"/>
      <c r="V32" s="1378"/>
      <c r="W32" s="1377"/>
      <c r="X32" s="1130"/>
      <c r="Y32" s="1130"/>
      <c r="Z32" s="1130"/>
      <c r="AA32" s="1130"/>
      <c r="AB32" s="1130"/>
      <c r="AC32" s="1378"/>
      <c r="AD32" s="1377"/>
      <c r="AE32" s="1130"/>
      <c r="AF32" s="1130"/>
      <c r="AG32" s="1130"/>
      <c r="AH32" s="1130"/>
      <c r="AI32" s="1378"/>
      <c r="AJ32" s="7925"/>
      <c r="AK32" s="6970"/>
      <c r="AL32" s="1150"/>
      <c r="AM32" s="808"/>
      <c r="AN32" s="808"/>
      <c r="AO32" s="808"/>
      <c r="AP32" s="2162"/>
      <c r="AQ32" s="808"/>
      <c r="AR32" s="808"/>
      <c r="AS32" s="808"/>
      <c r="AT32" s="808"/>
      <c r="AU32" s="808"/>
      <c r="AV32" s="808"/>
      <c r="AW32" s="808"/>
      <c r="AX32" s="2396"/>
      <c r="AY32" s="3057"/>
      <c r="AZ32" s="3057"/>
      <c r="BA32" s="3057"/>
      <c r="BB32" s="3057"/>
      <c r="BC32" s="3057"/>
      <c r="BD32" s="3057"/>
      <c r="BE32" s="3057"/>
      <c r="BF32" s="3057"/>
      <c r="BG32" s="3057"/>
      <c r="BH32" s="3057"/>
    </row>
    <row r="33" spans="1:60" ht="12" customHeight="1">
      <c r="A33" s="3107"/>
      <c r="B33" s="2119"/>
      <c r="C33" s="2119"/>
      <c r="D33" s="892" t="s">
        <v>3177</v>
      </c>
      <c r="E33" s="808"/>
      <c r="F33" s="808"/>
      <c r="G33" s="808"/>
      <c r="H33" s="808"/>
      <c r="I33" s="808"/>
      <c r="J33" s="808"/>
      <c r="K33" s="808"/>
      <c r="L33" s="808"/>
      <c r="M33" s="808"/>
      <c r="N33" s="808"/>
      <c r="O33" s="808"/>
      <c r="P33" s="1379"/>
      <c r="Q33" s="1130"/>
      <c r="R33" s="1130"/>
      <c r="S33" s="1130"/>
      <c r="T33" s="1130"/>
      <c r="U33" s="1130"/>
      <c r="V33" s="1380"/>
      <c r="W33" s="1379"/>
      <c r="X33" s="1130"/>
      <c r="Y33" s="1130"/>
      <c r="Z33" s="1130"/>
      <c r="AA33" s="1130"/>
      <c r="AB33" s="1130"/>
      <c r="AC33" s="1380"/>
      <c r="AD33" s="1379"/>
      <c r="AE33" s="1130"/>
      <c r="AF33" s="1130"/>
      <c r="AG33" s="1130"/>
      <c r="AH33" s="1130"/>
      <c r="AI33" s="1380"/>
      <c r="AJ33" s="7925"/>
      <c r="AK33" s="6970"/>
      <c r="AL33" s="1150"/>
      <c r="AM33" s="808"/>
      <c r="AN33" s="808"/>
      <c r="AO33" s="808"/>
      <c r="AP33" s="2162"/>
      <c r="AQ33" s="808"/>
      <c r="AR33" s="808"/>
      <c r="AS33" s="808"/>
      <c r="AT33" s="808"/>
      <c r="AU33" s="808"/>
      <c r="AV33" s="808"/>
      <c r="AW33" s="808"/>
      <c r="AX33" s="2396"/>
      <c r="AY33" s="3057"/>
      <c r="AZ33" s="3057"/>
      <c r="BA33" s="3057"/>
      <c r="BB33" s="3057"/>
      <c r="BC33" s="3057"/>
      <c r="BD33" s="3057"/>
      <c r="BE33" s="3057"/>
      <c r="BF33" s="3057"/>
      <c r="BG33" s="3057"/>
      <c r="BH33" s="3057"/>
    </row>
    <row r="34" spans="1:60" ht="12" customHeight="1">
      <c r="A34" s="3107"/>
      <c r="B34" s="2119"/>
      <c r="C34" s="2119"/>
      <c r="D34" s="1460" t="s">
        <v>3178</v>
      </c>
      <c r="E34" s="808"/>
      <c r="F34" s="808"/>
      <c r="G34" s="808"/>
      <c r="H34" s="7966"/>
      <c r="I34" s="7967"/>
      <c r="J34" s="7967"/>
      <c r="K34" s="7967"/>
      <c r="L34" s="7967"/>
      <c r="M34" s="7967"/>
      <c r="N34" s="7967"/>
      <c r="O34" s="808"/>
      <c r="P34" s="1379"/>
      <c r="Q34" s="1130"/>
      <c r="R34" s="1130"/>
      <c r="S34" s="1130"/>
      <c r="T34" s="1130"/>
      <c r="U34" s="1130"/>
      <c r="V34" s="1380"/>
      <c r="W34" s="1379"/>
      <c r="X34" s="1130"/>
      <c r="Y34" s="1130"/>
      <c r="Z34" s="1130"/>
      <c r="AA34" s="1130"/>
      <c r="AB34" s="1130"/>
      <c r="AC34" s="1380"/>
      <c r="AD34" s="1379"/>
      <c r="AE34" s="1130"/>
      <c r="AF34" s="1130"/>
      <c r="AG34" s="1130"/>
      <c r="AH34" s="1130"/>
      <c r="AI34" s="1380"/>
      <c r="AJ34" s="7925"/>
      <c r="AK34" s="6970"/>
      <c r="AL34" s="1150"/>
      <c r="AM34" s="808"/>
      <c r="AN34" s="808"/>
      <c r="AO34" s="808"/>
      <c r="AP34" s="2162"/>
      <c r="AQ34" s="808"/>
      <c r="AR34" s="808"/>
      <c r="AS34" s="808"/>
      <c r="AT34" s="808"/>
      <c r="AU34" s="808"/>
      <c r="AV34" s="808"/>
      <c r="AW34" s="808"/>
      <c r="AX34" s="2396"/>
      <c r="AY34" s="3057"/>
      <c r="AZ34" s="3057"/>
      <c r="BA34" s="3057"/>
      <c r="BB34" s="3057"/>
      <c r="BC34" s="3057"/>
      <c r="BD34" s="3057"/>
      <c r="BE34" s="3057"/>
      <c r="BF34" s="3057"/>
      <c r="BG34" s="3057"/>
      <c r="BH34" s="3057"/>
    </row>
    <row r="35" spans="1:60" ht="12" customHeight="1">
      <c r="A35" s="3107"/>
      <c r="B35" s="2119"/>
      <c r="C35" s="2119"/>
      <c r="D35" s="8102"/>
      <c r="E35" s="8103"/>
      <c r="F35" s="8103"/>
      <c r="G35" s="8103"/>
      <c r="H35" s="8103"/>
      <c r="I35" s="8103"/>
      <c r="J35" s="8103"/>
      <c r="K35" s="8103"/>
      <c r="L35" s="8103"/>
      <c r="M35" s="8103"/>
      <c r="N35" s="8103"/>
      <c r="O35" s="808"/>
      <c r="P35" s="1379"/>
      <c r="Q35" s="1130"/>
      <c r="R35" s="1130"/>
      <c r="S35" s="1130"/>
      <c r="T35" s="1130"/>
      <c r="U35" s="1130"/>
      <c r="V35" s="1380"/>
      <c r="W35" s="1379"/>
      <c r="X35" s="1130"/>
      <c r="Y35" s="1130"/>
      <c r="Z35" s="1130"/>
      <c r="AA35" s="1130"/>
      <c r="AB35" s="1130"/>
      <c r="AC35" s="1380"/>
      <c r="AD35" s="1379"/>
      <c r="AE35" s="1130"/>
      <c r="AF35" s="1130"/>
      <c r="AG35" s="1130"/>
      <c r="AH35" s="1130"/>
      <c r="AI35" s="1380"/>
      <c r="AJ35" s="7925"/>
      <c r="AK35" s="6970"/>
      <c r="AL35" s="1150"/>
      <c r="AM35" s="808"/>
      <c r="AN35" s="808"/>
      <c r="AO35" s="808"/>
      <c r="AP35" s="2162"/>
      <c r="AQ35" s="808"/>
      <c r="AR35" s="808"/>
      <c r="AS35" s="808"/>
      <c r="AT35" s="808"/>
      <c r="AU35" s="808"/>
      <c r="AV35" s="808"/>
      <c r="AW35" s="808"/>
      <c r="AX35" s="2396"/>
      <c r="AY35" s="3057"/>
      <c r="AZ35" s="3057"/>
      <c r="BA35" s="3057"/>
      <c r="BB35" s="3057"/>
      <c r="BC35" s="3057"/>
      <c r="BD35" s="3057"/>
      <c r="BE35" s="3057"/>
      <c r="BF35" s="3057"/>
      <c r="BG35" s="3057"/>
      <c r="BH35" s="3057"/>
    </row>
    <row r="36" spans="1:60" ht="12" customHeight="1">
      <c r="A36" s="3107"/>
      <c r="B36" s="2119"/>
      <c r="C36" s="2119"/>
      <c r="D36" s="7974"/>
      <c r="E36" s="7975"/>
      <c r="F36" s="7975"/>
      <c r="G36" s="7975"/>
      <c r="H36" s="7975"/>
      <c r="I36" s="7975"/>
      <c r="J36" s="7975"/>
      <c r="K36" s="7975"/>
      <c r="L36" s="7975"/>
      <c r="M36" s="7975"/>
      <c r="N36" s="7975"/>
      <c r="O36" s="808"/>
      <c r="P36" s="7963"/>
      <c r="Q36" s="7964"/>
      <c r="R36" s="7964"/>
      <c r="S36" s="7964"/>
      <c r="T36" s="7964"/>
      <c r="U36" s="7964"/>
      <c r="V36" s="7965"/>
      <c r="W36" s="7963"/>
      <c r="X36" s="7964"/>
      <c r="Y36" s="7964"/>
      <c r="Z36" s="7964"/>
      <c r="AA36" s="7964"/>
      <c r="AB36" s="7964"/>
      <c r="AC36" s="7965"/>
      <c r="AD36" s="7963"/>
      <c r="AE36" s="7964"/>
      <c r="AF36" s="7964"/>
      <c r="AG36" s="7964"/>
      <c r="AH36" s="7964"/>
      <c r="AI36" s="7965"/>
      <c r="AJ36" s="7930" t="s">
        <v>363</v>
      </c>
      <c r="AK36" s="7294"/>
      <c r="AL36" s="7955">
        <f>IF(AND(SUM(P36,W36,AD36)&gt;0,AO20=0),"Check one box.",ROUND(SUM(P36,W36,AD36),0))</f>
        <v>0</v>
      </c>
      <c r="AM36" s="7956"/>
      <c r="AN36" s="7956"/>
      <c r="AO36" s="7956"/>
      <c r="AP36" s="2162"/>
      <c r="AQ36" s="3223" t="str">
        <f>IF(AND(P36="",W36="",AD36=""),"←  Enter gross income.","")</f>
        <v>←  Enter gross income.</v>
      </c>
      <c r="AR36" s="808"/>
      <c r="AS36" s="808"/>
      <c r="AT36" s="808"/>
      <c r="AU36" s="808"/>
      <c r="AV36" s="808"/>
      <c r="AW36" s="808"/>
      <c r="AX36" s="2396"/>
      <c r="AY36" s="3057"/>
      <c r="AZ36" s="3057"/>
      <c r="BA36" s="3057"/>
      <c r="BB36" s="3057"/>
      <c r="BC36" s="3057"/>
      <c r="BD36" s="3057"/>
      <c r="BE36" s="3057"/>
      <c r="BF36" s="3057"/>
      <c r="BG36" s="3057"/>
      <c r="BH36" s="3057"/>
    </row>
    <row r="37" spans="1:60" ht="12" customHeight="1">
      <c r="A37" s="3107"/>
      <c r="B37" s="7959" t="s">
        <v>644</v>
      </c>
      <c r="C37" s="7959"/>
      <c r="D37" s="1460" t="s">
        <v>3179</v>
      </c>
      <c r="E37" s="808"/>
      <c r="F37" s="808"/>
      <c r="G37" s="808"/>
      <c r="H37" s="808"/>
      <c r="I37" s="808"/>
      <c r="J37" s="808"/>
      <c r="K37" s="808"/>
      <c r="L37" s="808"/>
      <c r="M37" s="808"/>
      <c r="N37" s="808"/>
      <c r="O37" s="808"/>
      <c r="P37" s="1379"/>
      <c r="Q37" s="1130"/>
      <c r="R37" s="1130"/>
      <c r="S37" s="1130"/>
      <c r="T37" s="1130"/>
      <c r="U37" s="1130"/>
      <c r="V37" s="1380"/>
      <c r="W37" s="1379"/>
      <c r="X37" s="1130"/>
      <c r="Y37" s="1130"/>
      <c r="Z37" s="1130"/>
      <c r="AA37" s="1130"/>
      <c r="AB37" s="1130"/>
      <c r="AC37" s="1380"/>
      <c r="AD37" s="1379"/>
      <c r="AE37" s="1130"/>
      <c r="AF37" s="1130"/>
      <c r="AG37" s="1130"/>
      <c r="AH37" s="1130"/>
      <c r="AI37" s="1380"/>
      <c r="AJ37" s="7976"/>
      <c r="AK37" s="7291"/>
      <c r="AL37" s="1149"/>
      <c r="AM37" s="808"/>
      <c r="AN37" s="808"/>
      <c r="AO37" s="808"/>
      <c r="AP37" s="2162"/>
      <c r="AQ37" s="808"/>
      <c r="AR37" s="808"/>
      <c r="AS37" s="808"/>
      <c r="AT37" s="808"/>
      <c r="AU37" s="808"/>
      <c r="AV37" s="808"/>
      <c r="AW37" s="808"/>
      <c r="AX37" s="2396"/>
      <c r="AY37" s="3057"/>
      <c r="AZ37" s="3057"/>
      <c r="BA37" s="3057"/>
      <c r="BB37" s="3057"/>
      <c r="BC37" s="3057"/>
      <c r="BD37" s="3057"/>
      <c r="BE37" s="3057"/>
      <c r="BF37" s="3057"/>
      <c r="BG37" s="3057"/>
      <c r="BH37" s="3057"/>
    </row>
    <row r="38" spans="1:60" ht="12" customHeight="1">
      <c r="A38" s="3107"/>
      <c r="B38" s="2119"/>
      <c r="C38" s="2119"/>
      <c r="D38" s="1460" t="s">
        <v>3180</v>
      </c>
      <c r="E38" s="808"/>
      <c r="F38" s="808"/>
      <c r="G38" s="808"/>
      <c r="H38" s="808"/>
      <c r="I38" s="808"/>
      <c r="J38" s="808"/>
      <c r="K38" s="808"/>
      <c r="L38" s="808"/>
      <c r="M38" s="808"/>
      <c r="N38" s="808"/>
      <c r="O38" s="808"/>
      <c r="P38" s="1379"/>
      <c r="Q38" s="1130"/>
      <c r="R38" s="1130"/>
      <c r="S38" s="1130"/>
      <c r="T38" s="1130"/>
      <c r="U38" s="1130"/>
      <c r="V38" s="1380"/>
      <c r="W38" s="1379"/>
      <c r="X38" s="1130"/>
      <c r="Y38" s="1130"/>
      <c r="Z38" s="1130"/>
      <c r="AA38" s="1130"/>
      <c r="AB38" s="1130"/>
      <c r="AC38" s="1380"/>
      <c r="AD38" s="1379"/>
      <c r="AE38" s="1130"/>
      <c r="AF38" s="1130"/>
      <c r="AG38" s="1130"/>
      <c r="AH38" s="1130"/>
      <c r="AI38" s="1380"/>
      <c r="AJ38" s="7925"/>
      <c r="AK38" s="6970"/>
      <c r="AL38" s="1150"/>
      <c r="AM38" s="808"/>
      <c r="AN38" s="808"/>
      <c r="AO38" s="808"/>
      <c r="AP38" s="2162"/>
      <c r="AQ38" s="808"/>
      <c r="AR38" s="808"/>
      <c r="AS38" s="808"/>
      <c r="AT38" s="808"/>
      <c r="AU38" s="808"/>
      <c r="AV38" s="808"/>
      <c r="AW38" s="808"/>
      <c r="AX38" s="2396"/>
      <c r="AY38" s="3057"/>
      <c r="AZ38" s="3057"/>
      <c r="BA38" s="3057"/>
      <c r="BB38" s="3057"/>
      <c r="BC38" s="3057"/>
      <c r="BD38" s="3057"/>
      <c r="BE38" s="3057"/>
      <c r="BF38" s="3057"/>
      <c r="BG38" s="3057"/>
      <c r="BH38" s="3057"/>
    </row>
    <row r="39" spans="1:60" ht="12" customHeight="1">
      <c r="A39" s="3107"/>
      <c r="B39" s="2119"/>
      <c r="C39" s="2119"/>
      <c r="D39" s="1460" t="s">
        <v>3181</v>
      </c>
      <c r="E39" s="808"/>
      <c r="F39" s="808"/>
      <c r="G39" s="808"/>
      <c r="H39" s="808"/>
      <c r="I39" s="808"/>
      <c r="J39" s="808"/>
      <c r="K39" s="808"/>
      <c r="L39" s="808"/>
      <c r="M39" s="808"/>
      <c r="N39" s="808"/>
      <c r="O39" s="808"/>
      <c r="P39" s="1379"/>
      <c r="Q39" s="1130"/>
      <c r="R39" s="1130"/>
      <c r="S39" s="1130"/>
      <c r="T39" s="1130"/>
      <c r="U39" s="1130"/>
      <c r="V39" s="1380"/>
      <c r="W39" s="1379"/>
      <c r="X39" s="1130"/>
      <c r="Y39" s="1130"/>
      <c r="Z39" s="1130"/>
      <c r="AA39" s="1130"/>
      <c r="AB39" s="1130"/>
      <c r="AC39" s="1380"/>
      <c r="AD39" s="1379"/>
      <c r="AE39" s="1130"/>
      <c r="AF39" s="1130"/>
      <c r="AG39" s="1130"/>
      <c r="AH39" s="1130"/>
      <c r="AI39" s="1380"/>
      <c r="AJ39" s="7925"/>
      <c r="AK39" s="6970"/>
      <c r="AL39" s="1150"/>
      <c r="AM39" s="808"/>
      <c r="AN39" s="808"/>
      <c r="AO39" s="808"/>
      <c r="AP39" s="2162"/>
      <c r="AQ39" s="808"/>
      <c r="AR39" s="808"/>
      <c r="AS39" s="808"/>
      <c r="AT39" s="808"/>
      <c r="AU39" s="808"/>
      <c r="AV39" s="808"/>
      <c r="AW39" s="808"/>
      <c r="AX39" s="2396"/>
      <c r="AY39" s="3057"/>
      <c r="AZ39" s="3057"/>
      <c r="BA39" s="3057"/>
      <c r="BB39" s="3057"/>
      <c r="BC39" s="3057"/>
      <c r="BD39" s="3057"/>
      <c r="BE39" s="3057"/>
      <c r="BF39" s="3057"/>
      <c r="BG39" s="3057"/>
      <c r="BH39" s="3057"/>
    </row>
    <row r="40" spans="1:60" ht="12" customHeight="1">
      <c r="A40" s="3107"/>
      <c r="B40" s="2119"/>
      <c r="C40" s="2119"/>
      <c r="D40" s="1460" t="s">
        <v>3182</v>
      </c>
      <c r="E40" s="808"/>
      <c r="F40" s="808"/>
      <c r="G40" s="808"/>
      <c r="H40" s="808"/>
      <c r="I40" s="808"/>
      <c r="J40" s="808"/>
      <c r="K40" s="808"/>
      <c r="L40" s="808"/>
      <c r="M40" s="808"/>
      <c r="N40" s="808"/>
      <c r="O40" s="808"/>
      <c r="P40" s="1379"/>
      <c r="Q40" s="1130"/>
      <c r="R40" s="1130"/>
      <c r="S40" s="1130"/>
      <c r="T40" s="1130"/>
      <c r="U40" s="1130"/>
      <c r="V40" s="1380"/>
      <c r="W40" s="1379"/>
      <c r="X40" s="1130"/>
      <c r="Y40" s="1130"/>
      <c r="Z40" s="1130"/>
      <c r="AA40" s="1130"/>
      <c r="AB40" s="1130"/>
      <c r="AC40" s="1380"/>
      <c r="AD40" s="1379"/>
      <c r="AE40" s="1130"/>
      <c r="AF40" s="1130"/>
      <c r="AG40" s="1130"/>
      <c r="AH40" s="1130"/>
      <c r="AI40" s="1380"/>
      <c r="AJ40" s="7925"/>
      <c r="AK40" s="6970"/>
      <c r="AL40" s="1150"/>
      <c r="AM40" s="808"/>
      <c r="AN40" s="808"/>
      <c r="AO40" s="808"/>
      <c r="AP40" s="2162"/>
      <c r="AQ40" s="808"/>
      <c r="AR40" s="808"/>
      <c r="AS40" s="808"/>
      <c r="AT40" s="808"/>
      <c r="AU40" s="808"/>
      <c r="AV40" s="808"/>
      <c r="AW40" s="808"/>
      <c r="AX40" s="2396"/>
      <c r="AY40" s="3057"/>
      <c r="AZ40" s="3057"/>
      <c r="BA40" s="3057"/>
      <c r="BB40" s="3057"/>
      <c r="BC40" s="3057"/>
      <c r="BD40" s="3057"/>
      <c r="BE40" s="3057"/>
      <c r="BF40" s="3057"/>
      <c r="BG40" s="3057"/>
      <c r="BH40" s="3057"/>
    </row>
    <row r="41" spans="1:60" ht="12" customHeight="1">
      <c r="A41" s="3107"/>
      <c r="B41" s="2119"/>
      <c r="C41" s="2119"/>
      <c r="D41" s="1460" t="s">
        <v>3183</v>
      </c>
      <c r="E41" s="808"/>
      <c r="F41" s="808"/>
      <c r="G41" s="808"/>
      <c r="H41" s="808"/>
      <c r="I41" s="808"/>
      <c r="J41" s="808"/>
      <c r="K41" s="808"/>
      <c r="L41" s="808"/>
      <c r="M41" s="1128" t="s">
        <v>2734</v>
      </c>
      <c r="N41" s="809"/>
      <c r="O41" s="808"/>
      <c r="P41" s="1379"/>
      <c r="Q41" s="1130"/>
      <c r="R41" s="1130"/>
      <c r="S41" s="1130"/>
      <c r="T41" s="1130"/>
      <c r="U41" s="1130"/>
      <c r="V41" s="1380"/>
      <c r="W41" s="1379"/>
      <c r="X41" s="1130"/>
      <c r="Y41" s="1130"/>
      <c r="Z41" s="1130"/>
      <c r="AA41" s="1130"/>
      <c r="AB41" s="1130"/>
      <c r="AC41" s="1380"/>
      <c r="AD41" s="1379"/>
      <c r="AE41" s="1130"/>
      <c r="AF41" s="1130"/>
      <c r="AG41" s="1130"/>
      <c r="AH41" s="1130"/>
      <c r="AI41" s="1380"/>
      <c r="AJ41" s="7925"/>
      <c r="AK41" s="6970"/>
      <c r="AL41" s="1150"/>
      <c r="AM41" s="808"/>
      <c r="AN41" s="808"/>
      <c r="AO41" s="808"/>
      <c r="AP41" s="2162"/>
      <c r="AQ41" s="808"/>
      <c r="AR41" s="808"/>
      <c r="AS41" s="808"/>
      <c r="AT41" s="808"/>
      <c r="AU41" s="808"/>
      <c r="AV41" s="808"/>
      <c r="AW41" s="808"/>
      <c r="AX41" s="2396"/>
      <c r="AY41" s="3057"/>
      <c r="AZ41" s="3057"/>
      <c r="BA41" s="3057"/>
      <c r="BB41" s="3057"/>
      <c r="BC41" s="3057"/>
      <c r="BD41" s="3057"/>
      <c r="BE41" s="3057"/>
      <c r="BF41" s="3057"/>
      <c r="BG41" s="3057"/>
      <c r="BH41" s="3057"/>
    </row>
    <row r="42" spans="1:60" ht="6" customHeight="1">
      <c r="A42" s="3107"/>
      <c r="B42" s="2189"/>
      <c r="C42" s="2189"/>
      <c r="D42" s="2192"/>
      <c r="E42" s="1121"/>
      <c r="F42" s="1121"/>
      <c r="G42" s="1121"/>
      <c r="H42" s="1121"/>
      <c r="I42" s="1121"/>
      <c r="J42" s="1121"/>
      <c r="K42" s="1121"/>
      <c r="L42" s="1121"/>
      <c r="M42" s="1121"/>
      <c r="N42" s="1121"/>
      <c r="O42" s="1121"/>
      <c r="P42" s="2193"/>
      <c r="Q42" s="2116"/>
      <c r="R42" s="2116"/>
      <c r="S42" s="2116"/>
      <c r="T42" s="2116"/>
      <c r="U42" s="2116"/>
      <c r="V42" s="2117"/>
      <c r="W42" s="2193"/>
      <c r="X42" s="2116"/>
      <c r="Y42" s="2116"/>
      <c r="Z42" s="2116"/>
      <c r="AA42" s="2116"/>
      <c r="AB42" s="2116"/>
      <c r="AC42" s="2117"/>
      <c r="AD42" s="2193"/>
      <c r="AE42" s="2116"/>
      <c r="AF42" s="2116"/>
      <c r="AG42" s="2116"/>
      <c r="AH42" s="2116"/>
      <c r="AI42" s="2117"/>
      <c r="AJ42" s="7925"/>
      <c r="AK42" s="6970"/>
      <c r="AL42" s="1150"/>
      <c r="AM42" s="808"/>
      <c r="AN42" s="808"/>
      <c r="AO42" s="808"/>
      <c r="AP42" s="2162"/>
      <c r="AQ42" s="808"/>
      <c r="AR42" s="808"/>
      <c r="AS42" s="808"/>
      <c r="AT42" s="808"/>
      <c r="AU42" s="808"/>
      <c r="AV42" s="808"/>
      <c r="AW42" s="808"/>
      <c r="AX42" s="2396"/>
      <c r="AY42" s="3057"/>
      <c r="AZ42" s="3057"/>
      <c r="BA42" s="3057"/>
      <c r="BB42" s="3057"/>
      <c r="BC42" s="3057"/>
      <c r="BD42" s="3057"/>
      <c r="BE42" s="3057"/>
      <c r="BF42" s="3057"/>
      <c r="BG42" s="3057"/>
      <c r="BH42" s="3057"/>
    </row>
    <row r="43" spans="1:60" ht="13.5" customHeight="1">
      <c r="A43" s="3107"/>
      <c r="B43" s="878" t="s">
        <v>3184</v>
      </c>
      <c r="C43" s="2119"/>
      <c r="D43" s="2112"/>
      <c r="E43" s="808"/>
      <c r="F43" s="808"/>
      <c r="G43" s="808"/>
      <c r="H43" s="808"/>
      <c r="I43" s="808"/>
      <c r="J43" s="808"/>
      <c r="K43" s="808"/>
      <c r="L43" s="808"/>
      <c r="M43" s="808"/>
      <c r="N43" s="808"/>
      <c r="O43" s="808"/>
      <c r="P43" s="1379"/>
      <c r="Q43" s="1130"/>
      <c r="R43" s="1130"/>
      <c r="S43" s="1130"/>
      <c r="T43" s="1130"/>
      <c r="U43" s="1130"/>
      <c r="V43" s="1380"/>
      <c r="W43" s="1379"/>
      <c r="X43" s="1130"/>
      <c r="Y43" s="1130"/>
      <c r="Z43" s="1130"/>
      <c r="AA43" s="1130"/>
      <c r="AB43" s="1130"/>
      <c r="AC43" s="1380"/>
      <c r="AD43" s="1379"/>
      <c r="AE43" s="1130"/>
      <c r="AF43" s="1130"/>
      <c r="AG43" s="1130"/>
      <c r="AH43" s="1130"/>
      <c r="AI43" s="1380"/>
      <c r="AJ43" s="7925"/>
      <c r="AK43" s="6970"/>
      <c r="AL43" s="1150"/>
      <c r="AM43" s="808"/>
      <c r="AN43" s="808"/>
      <c r="AO43" s="808"/>
      <c r="AP43" s="2162"/>
      <c r="AQ43" s="808"/>
      <c r="AR43" s="808"/>
      <c r="AS43" s="808"/>
      <c r="AT43" s="808"/>
      <c r="AU43" s="808"/>
      <c r="AV43" s="808"/>
      <c r="AW43" s="808"/>
      <c r="AX43" s="2396"/>
      <c r="AY43" s="3057"/>
      <c r="AZ43" s="3057"/>
      <c r="BA43" s="3057"/>
      <c r="BB43" s="3057"/>
      <c r="BC43" s="3057"/>
      <c r="BD43" s="3057"/>
      <c r="BE43" s="3057"/>
      <c r="BF43" s="3057"/>
      <c r="BG43" s="3057"/>
      <c r="BH43" s="3057"/>
    </row>
    <row r="44" spans="1:60" ht="13.5" customHeight="1">
      <c r="A44" s="3107"/>
      <c r="B44" s="7924">
        <v>2</v>
      </c>
      <c r="C44" s="7924"/>
      <c r="D44" s="878" t="s">
        <v>3185</v>
      </c>
      <c r="E44" s="808"/>
      <c r="F44" s="808"/>
      <c r="G44" s="808"/>
      <c r="H44" s="808"/>
      <c r="I44" s="808"/>
      <c r="J44" s="808"/>
      <c r="K44" s="808"/>
      <c r="L44" s="808"/>
      <c r="M44" s="808"/>
      <c r="N44" s="808"/>
      <c r="O44" s="808"/>
      <c r="P44" s="1150"/>
      <c r="Q44" s="808"/>
      <c r="R44" s="808"/>
      <c r="S44" s="808"/>
      <c r="T44" s="808"/>
      <c r="U44" s="808"/>
      <c r="V44" s="1151"/>
      <c r="W44" s="808"/>
      <c r="X44" s="808"/>
      <c r="Y44" s="808"/>
      <c r="Z44" s="808"/>
      <c r="AA44" s="808"/>
      <c r="AB44" s="808"/>
      <c r="AC44" s="1151"/>
      <c r="AD44" s="808"/>
      <c r="AE44" s="808"/>
      <c r="AF44" s="808"/>
      <c r="AG44" s="808"/>
      <c r="AH44" s="808"/>
      <c r="AI44" s="1151"/>
      <c r="AJ44" s="7925"/>
      <c r="AK44" s="6970"/>
      <c r="AL44" s="1150"/>
      <c r="AM44" s="808"/>
      <c r="AN44" s="808"/>
      <c r="AO44" s="808"/>
      <c r="AP44" s="2162"/>
      <c r="AQ44" s="808"/>
      <c r="AR44" s="808"/>
      <c r="AS44" s="808"/>
      <c r="AT44" s="808"/>
      <c r="AU44" s="808"/>
      <c r="AV44" s="808"/>
      <c r="AW44" s="808"/>
      <c r="AX44" s="2396"/>
      <c r="AY44" s="3057"/>
      <c r="AZ44" s="3057"/>
      <c r="BA44" s="3057"/>
      <c r="BB44" s="3057"/>
      <c r="BC44" s="3057"/>
      <c r="BD44" s="3057"/>
      <c r="BE44" s="3057"/>
      <c r="BF44" s="3057"/>
      <c r="BG44" s="3057"/>
      <c r="BH44" s="3057"/>
    </row>
    <row r="45" spans="1:60" ht="13.5" customHeight="1">
      <c r="A45" s="3107"/>
      <c r="B45" s="7959"/>
      <c r="C45" s="7959"/>
      <c r="D45" s="892" t="s">
        <v>3186</v>
      </c>
      <c r="E45" s="808"/>
      <c r="F45" s="808"/>
      <c r="G45" s="808"/>
      <c r="H45" s="808"/>
      <c r="I45" s="808"/>
      <c r="J45" s="808"/>
      <c r="K45" s="808"/>
      <c r="L45" s="808"/>
      <c r="M45" s="808"/>
      <c r="N45" s="808"/>
      <c r="O45" s="1128" t="s">
        <v>950</v>
      </c>
      <c r="P45" s="7963"/>
      <c r="Q45" s="7964"/>
      <c r="R45" s="7964"/>
      <c r="S45" s="7964"/>
      <c r="T45" s="7964"/>
      <c r="U45" s="7964"/>
      <c r="V45" s="7965"/>
      <c r="W45" s="7963"/>
      <c r="X45" s="7964"/>
      <c r="Y45" s="7964"/>
      <c r="Z45" s="7964"/>
      <c r="AA45" s="7964"/>
      <c r="AB45" s="7964"/>
      <c r="AC45" s="7965"/>
      <c r="AD45" s="7963"/>
      <c r="AE45" s="7964"/>
      <c r="AF45" s="7964"/>
      <c r="AG45" s="7964"/>
      <c r="AH45" s="7964"/>
      <c r="AI45" s="7965"/>
      <c r="AJ45" s="7925"/>
      <c r="AK45" s="6970"/>
      <c r="AL45" s="1150"/>
      <c r="AM45" s="808"/>
      <c r="AN45" s="808"/>
      <c r="AO45" s="808"/>
      <c r="AP45" s="2162"/>
      <c r="AQ45" s="808"/>
      <c r="AR45" s="808"/>
      <c r="AS45" s="808"/>
      <c r="AT45" s="808"/>
      <c r="AU45" s="808"/>
      <c r="AV45" s="808"/>
      <c r="AW45" s="808"/>
      <c r="AX45" s="2396"/>
      <c r="AY45" s="3057"/>
      <c r="AZ45" s="3057"/>
      <c r="BA45" s="3057"/>
      <c r="BB45" s="3057"/>
      <c r="BC45" s="3057"/>
      <c r="BD45" s="3057"/>
      <c r="BE45" s="3057"/>
      <c r="BF45" s="3057"/>
      <c r="BG45" s="3057"/>
      <c r="BH45" s="3057"/>
    </row>
    <row r="46" spans="1:60" ht="13.5" customHeight="1">
      <c r="A46" s="3107"/>
      <c r="B46" s="7924">
        <v>3</v>
      </c>
      <c r="C46" s="7924"/>
      <c r="D46" s="878" t="s">
        <v>3187</v>
      </c>
      <c r="E46" s="808"/>
      <c r="F46" s="808"/>
      <c r="G46" s="808"/>
      <c r="H46" s="808"/>
      <c r="I46" s="808"/>
      <c r="J46" s="808"/>
      <c r="K46" s="808"/>
      <c r="L46" s="808"/>
      <c r="M46" s="808"/>
      <c r="N46" s="808"/>
      <c r="O46" s="808"/>
      <c r="P46" s="1379"/>
      <c r="Q46" s="1130"/>
      <c r="R46" s="1130"/>
      <c r="S46" s="1130"/>
      <c r="T46" s="1130"/>
      <c r="U46" s="1130"/>
      <c r="V46" s="1380"/>
      <c r="W46" s="1379"/>
      <c r="X46" s="1130"/>
      <c r="Y46" s="1130"/>
      <c r="Z46" s="1130"/>
      <c r="AA46" s="1130"/>
      <c r="AB46" s="1130"/>
      <c r="AC46" s="1380"/>
      <c r="AD46" s="1379"/>
      <c r="AE46" s="1130"/>
      <c r="AF46" s="1130"/>
      <c r="AG46" s="1130"/>
      <c r="AH46" s="1130"/>
      <c r="AI46" s="1380"/>
      <c r="AJ46" s="7925"/>
      <c r="AK46" s="6970"/>
      <c r="AL46" s="1150"/>
      <c r="AM46" s="808"/>
      <c r="AN46" s="808"/>
      <c r="AO46" s="808"/>
      <c r="AP46" s="2162"/>
      <c r="AQ46" s="808"/>
      <c r="AR46" s="808"/>
      <c r="AS46" s="808"/>
      <c r="AT46" s="808"/>
      <c r="AU46" s="808"/>
      <c r="AV46" s="808"/>
      <c r="AW46" s="808"/>
      <c r="AX46" s="2396"/>
      <c r="AY46" s="3057"/>
      <c r="AZ46" s="3057"/>
      <c r="BA46" s="3057"/>
      <c r="BB46" s="3057"/>
      <c r="BC46" s="3057"/>
      <c r="BD46" s="3057"/>
      <c r="BE46" s="3057"/>
      <c r="BF46" s="3057"/>
      <c r="BG46" s="3057"/>
      <c r="BH46" s="3057"/>
    </row>
    <row r="47" spans="1:60" ht="13.5" customHeight="1">
      <c r="A47" s="3107"/>
      <c r="B47" s="7959"/>
      <c r="C47" s="7959"/>
      <c r="D47" s="2206" t="s">
        <v>3188</v>
      </c>
      <c r="E47" s="808"/>
      <c r="F47" s="808"/>
      <c r="G47" s="808"/>
      <c r="H47" s="808"/>
      <c r="I47" s="808"/>
      <c r="J47" s="808"/>
      <c r="K47" s="808"/>
      <c r="L47" s="808"/>
      <c r="M47" s="808"/>
      <c r="N47" s="808"/>
      <c r="O47" s="808"/>
      <c r="P47" s="1379"/>
      <c r="Q47" s="1130"/>
      <c r="R47" s="1130"/>
      <c r="S47" s="1130"/>
      <c r="T47" s="1130"/>
      <c r="U47" s="1130"/>
      <c r="V47" s="1380"/>
      <c r="W47" s="1379"/>
      <c r="X47" s="1130"/>
      <c r="Y47" s="1130"/>
      <c r="Z47" s="1130"/>
      <c r="AA47" s="1130"/>
      <c r="AB47" s="1130"/>
      <c r="AC47" s="1380"/>
      <c r="AD47" s="1379"/>
      <c r="AE47" s="1130"/>
      <c r="AF47" s="1130"/>
      <c r="AG47" s="1130"/>
      <c r="AH47" s="1130"/>
      <c r="AI47" s="1380"/>
      <c r="AJ47" s="7925"/>
      <c r="AK47" s="6970"/>
      <c r="AL47" s="1150"/>
      <c r="AM47" s="808"/>
      <c r="AN47" s="808"/>
      <c r="AO47" s="808"/>
      <c r="AP47" s="2162"/>
      <c r="AQ47" s="808"/>
      <c r="AR47" s="808"/>
      <c r="AS47" s="808"/>
      <c r="AT47" s="808"/>
      <c r="AU47" s="808"/>
      <c r="AV47" s="808"/>
      <c r="AW47" s="808"/>
      <c r="AX47" s="2396"/>
      <c r="AY47" s="3057"/>
      <c r="AZ47" s="3057"/>
      <c r="BA47" s="3057"/>
      <c r="BB47" s="3057"/>
      <c r="BC47" s="3057"/>
      <c r="BD47" s="3057"/>
      <c r="BE47" s="3057"/>
      <c r="BF47" s="3057"/>
      <c r="BG47" s="3057"/>
      <c r="BH47" s="3057"/>
    </row>
    <row r="48" spans="1:60" ht="13.5" customHeight="1">
      <c r="A48" s="3107"/>
      <c r="B48" s="7924" t="s">
        <v>640</v>
      </c>
      <c r="C48" s="7924"/>
      <c r="D48" s="878" t="s">
        <v>3189</v>
      </c>
      <c r="E48" s="808"/>
      <c r="F48" s="808"/>
      <c r="G48" s="808"/>
      <c r="H48" s="808"/>
      <c r="I48" s="808"/>
      <c r="J48" s="808"/>
      <c r="K48" s="808"/>
      <c r="L48" s="808"/>
      <c r="M48" s="808"/>
      <c r="N48" s="808"/>
      <c r="O48" s="808"/>
      <c r="P48" s="1150"/>
      <c r="Q48" s="808"/>
      <c r="R48" s="808"/>
      <c r="S48" s="808"/>
      <c r="T48" s="808"/>
      <c r="U48" s="808"/>
      <c r="V48" s="1151"/>
      <c r="W48" s="808"/>
      <c r="X48" s="808"/>
      <c r="Y48" s="808"/>
      <c r="Z48" s="808"/>
      <c r="AA48" s="808"/>
      <c r="AB48" s="808"/>
      <c r="AC48" s="1151"/>
      <c r="AD48" s="808"/>
      <c r="AE48" s="808"/>
      <c r="AF48" s="808"/>
      <c r="AG48" s="808"/>
      <c r="AH48" s="808"/>
      <c r="AI48" s="1151"/>
      <c r="AJ48" s="7925"/>
      <c r="AK48" s="6970"/>
      <c r="AL48" s="1150"/>
      <c r="AM48" s="808"/>
      <c r="AN48" s="808"/>
      <c r="AO48" s="808"/>
      <c r="AP48" s="2162"/>
      <c r="AQ48" s="808"/>
      <c r="AR48" s="808"/>
      <c r="AS48" s="808"/>
      <c r="AT48" s="808"/>
      <c r="AU48" s="808"/>
      <c r="AV48" s="808"/>
      <c r="AW48" s="808"/>
      <c r="AX48" s="2396"/>
      <c r="AY48" s="3057"/>
      <c r="AZ48" s="3057"/>
      <c r="BA48" s="3057"/>
      <c r="BB48" s="3057"/>
      <c r="BC48" s="3057"/>
      <c r="BD48" s="3057"/>
      <c r="BE48" s="3057"/>
      <c r="BF48" s="3057"/>
      <c r="BG48" s="3057"/>
      <c r="BH48" s="3057"/>
    </row>
    <row r="49" spans="1:60" ht="13.5" customHeight="1">
      <c r="A49" s="3107"/>
      <c r="B49" s="2120"/>
      <c r="C49" s="2120"/>
      <c r="D49" s="878" t="s">
        <v>2326</v>
      </c>
      <c r="E49" s="808"/>
      <c r="F49" s="808"/>
      <c r="G49" s="808"/>
      <c r="H49" s="808"/>
      <c r="I49" s="808"/>
      <c r="J49" s="808"/>
      <c r="K49" s="808"/>
      <c r="L49" s="808"/>
      <c r="M49" s="808"/>
      <c r="N49" s="808"/>
      <c r="O49" s="1128" t="s">
        <v>930</v>
      </c>
      <c r="P49" s="7963"/>
      <c r="Q49" s="7964"/>
      <c r="R49" s="7964"/>
      <c r="S49" s="7964"/>
      <c r="T49" s="7964"/>
      <c r="U49" s="7964"/>
      <c r="V49" s="7965"/>
      <c r="W49" s="7963"/>
      <c r="X49" s="7964"/>
      <c r="Y49" s="7964"/>
      <c r="Z49" s="7964"/>
      <c r="AA49" s="7964"/>
      <c r="AB49" s="7964"/>
      <c r="AC49" s="7965"/>
      <c r="AD49" s="7963"/>
      <c r="AE49" s="7964"/>
      <c r="AF49" s="7964"/>
      <c r="AG49" s="7964"/>
      <c r="AH49" s="7964"/>
      <c r="AI49" s="7965"/>
      <c r="AJ49" s="7925"/>
      <c r="AK49" s="6970"/>
      <c r="AL49" s="1150"/>
      <c r="AM49" s="808"/>
      <c r="AN49" s="808"/>
      <c r="AO49" s="808"/>
      <c r="AP49" s="2162"/>
      <c r="AQ49" s="808"/>
      <c r="AR49" s="808"/>
      <c r="AS49" s="808"/>
      <c r="AT49" s="808"/>
      <c r="AU49" s="808"/>
      <c r="AV49" s="808"/>
      <c r="AW49" s="808"/>
      <c r="AX49" s="2396"/>
      <c r="AY49" s="3057"/>
      <c r="AZ49" s="3057"/>
      <c r="BA49" s="3057"/>
      <c r="BB49" s="3057"/>
      <c r="BC49" s="3057"/>
      <c r="BD49" s="3057"/>
      <c r="BE49" s="3057"/>
      <c r="BF49" s="3057"/>
      <c r="BG49" s="3057"/>
      <c r="BH49" s="3057"/>
    </row>
    <row r="50" spans="1:60" ht="13.5" customHeight="1">
      <c r="A50" s="3107"/>
      <c r="B50" s="7924" t="s">
        <v>644</v>
      </c>
      <c r="C50" s="7924"/>
      <c r="D50" s="878" t="s">
        <v>3190</v>
      </c>
      <c r="E50" s="808"/>
      <c r="F50" s="808"/>
      <c r="G50" s="808"/>
      <c r="H50" s="808"/>
      <c r="I50" s="808"/>
      <c r="J50" s="808"/>
      <c r="K50" s="808"/>
      <c r="L50" s="808"/>
      <c r="M50" s="808"/>
      <c r="N50" s="808"/>
      <c r="O50" s="1128" t="s">
        <v>1026</v>
      </c>
      <c r="P50" s="7971"/>
      <c r="Q50" s="7972"/>
      <c r="R50" s="7972"/>
      <c r="S50" s="7972"/>
      <c r="T50" s="7972"/>
      <c r="U50" s="7972"/>
      <c r="V50" s="7973"/>
      <c r="W50" s="7971"/>
      <c r="X50" s="7972"/>
      <c r="Y50" s="7972"/>
      <c r="Z50" s="7972"/>
      <c r="AA50" s="7972"/>
      <c r="AB50" s="7972"/>
      <c r="AC50" s="7973"/>
      <c r="AD50" s="7971"/>
      <c r="AE50" s="7972"/>
      <c r="AF50" s="7972"/>
      <c r="AG50" s="7972"/>
      <c r="AH50" s="7972"/>
      <c r="AI50" s="7973"/>
      <c r="AJ50" s="7925"/>
      <c r="AK50" s="6970"/>
      <c r="AL50" s="1150"/>
      <c r="AM50" s="808"/>
      <c r="AN50" s="808"/>
      <c r="AO50" s="808"/>
      <c r="AP50" s="2162"/>
      <c r="AQ50" s="808"/>
      <c r="AR50" s="808"/>
      <c r="AS50" s="808"/>
      <c r="AT50" s="808"/>
      <c r="AU50" s="808"/>
      <c r="AV50" s="808"/>
      <c r="AW50" s="808"/>
      <c r="AX50" s="2396"/>
      <c r="AY50" s="3057"/>
      <c r="AZ50" s="3057"/>
      <c r="BA50" s="3057"/>
      <c r="BB50" s="3057"/>
      <c r="BC50" s="3057"/>
      <c r="BD50" s="3057"/>
      <c r="BE50" s="3057"/>
      <c r="BF50" s="3057"/>
      <c r="BG50" s="3057"/>
      <c r="BH50" s="3057"/>
    </row>
    <row r="51" spans="1:60" ht="13.5" customHeight="1">
      <c r="A51" s="3107"/>
      <c r="B51" s="7924" t="s">
        <v>648</v>
      </c>
      <c r="C51" s="7924"/>
      <c r="D51" s="878" t="s">
        <v>3191</v>
      </c>
      <c r="E51" s="808"/>
      <c r="F51" s="808"/>
      <c r="G51" s="808"/>
      <c r="H51" s="808"/>
      <c r="I51" s="808"/>
      <c r="J51" s="808"/>
      <c r="K51" s="808"/>
      <c r="L51" s="808"/>
      <c r="M51" s="808"/>
      <c r="N51" s="808"/>
      <c r="O51" s="1128" t="s">
        <v>888</v>
      </c>
      <c r="P51" s="7968">
        <f>SUM(P49:P50)</f>
        <v>0</v>
      </c>
      <c r="Q51" s="7969"/>
      <c r="R51" s="7969"/>
      <c r="S51" s="7969"/>
      <c r="T51" s="7969"/>
      <c r="U51" s="7969"/>
      <c r="V51" s="7970"/>
      <c r="W51" s="7968">
        <f>SUM(W49:W50)</f>
        <v>0</v>
      </c>
      <c r="X51" s="7969"/>
      <c r="Y51" s="7969"/>
      <c r="Z51" s="7969"/>
      <c r="AA51" s="7969"/>
      <c r="AB51" s="7969"/>
      <c r="AC51" s="7970"/>
      <c r="AD51" s="7968">
        <f>SUM(AD49:AD50)</f>
        <v>0</v>
      </c>
      <c r="AE51" s="7969"/>
      <c r="AF51" s="7969"/>
      <c r="AG51" s="7969"/>
      <c r="AH51" s="7969"/>
      <c r="AI51" s="7970"/>
      <c r="AJ51" s="7925"/>
      <c r="AK51" s="6970"/>
      <c r="AL51" s="1150"/>
      <c r="AM51" s="808"/>
      <c r="AN51" s="808"/>
      <c r="AO51" s="808"/>
      <c r="AP51" s="2162"/>
      <c r="AQ51" s="808"/>
      <c r="AR51" s="808"/>
      <c r="AS51" s="808"/>
      <c r="AT51" s="808"/>
      <c r="AU51" s="808"/>
      <c r="AV51" s="808"/>
      <c r="AW51" s="808"/>
      <c r="AX51" s="2396"/>
      <c r="AY51" s="3057"/>
      <c r="AZ51" s="3057"/>
      <c r="BA51" s="3057"/>
      <c r="BB51" s="3057"/>
      <c r="BC51" s="3057"/>
      <c r="BD51" s="3057"/>
      <c r="BE51" s="3057"/>
      <c r="BF51" s="3057"/>
      <c r="BG51" s="3057"/>
      <c r="BH51" s="3057"/>
    </row>
    <row r="52" spans="1:60" ht="13.5" customHeight="1">
      <c r="A52" s="3107"/>
      <c r="B52" s="7924" t="s">
        <v>652</v>
      </c>
      <c r="C52" s="7924"/>
      <c r="D52" s="878" t="s">
        <v>3192</v>
      </c>
      <c r="E52" s="808"/>
      <c r="F52" s="808"/>
      <c r="G52" s="808"/>
      <c r="H52" s="808"/>
      <c r="I52" s="808"/>
      <c r="J52" s="808"/>
      <c r="K52" s="808"/>
      <c r="L52" s="808"/>
      <c r="M52" s="808"/>
      <c r="N52" s="808"/>
      <c r="O52" s="1128" t="s">
        <v>3193</v>
      </c>
      <c r="P52" s="7971"/>
      <c r="Q52" s="7972"/>
      <c r="R52" s="7972"/>
      <c r="S52" s="7972"/>
      <c r="T52" s="7972"/>
      <c r="U52" s="7972"/>
      <c r="V52" s="7973"/>
      <c r="W52" s="7971"/>
      <c r="X52" s="7972"/>
      <c r="Y52" s="7972"/>
      <c r="Z52" s="7972"/>
      <c r="AA52" s="7972"/>
      <c r="AB52" s="7972"/>
      <c r="AC52" s="7973"/>
      <c r="AD52" s="7971"/>
      <c r="AE52" s="7972"/>
      <c r="AF52" s="7972"/>
      <c r="AG52" s="7972"/>
      <c r="AH52" s="7972"/>
      <c r="AI52" s="7973"/>
      <c r="AJ52" s="7925"/>
      <c r="AK52" s="6970"/>
      <c r="AL52" s="1150"/>
      <c r="AM52" s="808"/>
      <c r="AN52" s="808"/>
      <c r="AO52" s="808"/>
      <c r="AP52" s="2162"/>
      <c r="AQ52" s="808"/>
      <c r="AR52" s="808"/>
      <c r="AS52" s="808"/>
      <c r="AT52" s="808"/>
      <c r="AU52" s="808"/>
      <c r="AV52" s="808"/>
      <c r="AW52" s="808"/>
      <c r="AX52" s="2396"/>
      <c r="AY52" s="3057"/>
      <c r="AZ52" s="3057"/>
      <c r="BA52" s="3057"/>
      <c r="BB52" s="3057"/>
      <c r="BC52" s="3057"/>
      <c r="BD52" s="3057"/>
      <c r="BE52" s="3057"/>
      <c r="BF52" s="3057"/>
      <c r="BG52" s="3057"/>
      <c r="BH52" s="3057"/>
    </row>
    <row r="53" spans="1:60" ht="13.5" customHeight="1">
      <c r="A53" s="3107"/>
      <c r="B53" s="7924" t="s">
        <v>656</v>
      </c>
      <c r="C53" s="7924"/>
      <c r="D53" s="878" t="s">
        <v>3194</v>
      </c>
      <c r="E53" s="808"/>
      <c r="F53" s="808"/>
      <c r="G53" s="808"/>
      <c r="H53" s="808"/>
      <c r="I53" s="808"/>
      <c r="J53" s="808"/>
      <c r="K53" s="808"/>
      <c r="L53" s="808"/>
      <c r="M53" s="808"/>
      <c r="N53" s="808"/>
      <c r="O53" s="1128" t="s">
        <v>3193</v>
      </c>
      <c r="P53" s="7971"/>
      <c r="Q53" s="7972"/>
      <c r="R53" s="7972"/>
      <c r="S53" s="7972"/>
      <c r="T53" s="7972"/>
      <c r="U53" s="7972"/>
      <c r="V53" s="7973"/>
      <c r="W53" s="7971"/>
      <c r="X53" s="7972"/>
      <c r="Y53" s="7972"/>
      <c r="Z53" s="7972"/>
      <c r="AA53" s="7972"/>
      <c r="AB53" s="7972"/>
      <c r="AC53" s="7973"/>
      <c r="AD53" s="7971"/>
      <c r="AE53" s="7972"/>
      <c r="AF53" s="7972"/>
      <c r="AG53" s="7972"/>
      <c r="AH53" s="7972"/>
      <c r="AI53" s="7973"/>
      <c r="AJ53" s="7925"/>
      <c r="AK53" s="6970"/>
      <c r="AL53" s="1150"/>
      <c r="AM53" s="808"/>
      <c r="AN53" s="808"/>
      <c r="AO53" s="808"/>
      <c r="AP53" s="2162"/>
      <c r="AQ53" s="808"/>
      <c r="AR53" s="808"/>
      <c r="AS53" s="808"/>
      <c r="AT53" s="808"/>
      <c r="AU53" s="808"/>
      <c r="AV53" s="808"/>
      <c r="AW53" s="808"/>
      <c r="AX53" s="2396"/>
      <c r="AY53" s="3057"/>
      <c r="AZ53" s="3057"/>
      <c r="BA53" s="3057"/>
      <c r="BB53" s="3057"/>
      <c r="BC53" s="3057"/>
      <c r="BD53" s="3057"/>
      <c r="BE53" s="3057"/>
      <c r="BF53" s="3057"/>
      <c r="BG53" s="3057"/>
      <c r="BH53" s="3057"/>
    </row>
    <row r="54" spans="1:60" ht="13.5" customHeight="1">
      <c r="A54" s="3107"/>
      <c r="B54" s="7924" t="s">
        <v>659</v>
      </c>
      <c r="C54" s="7924"/>
      <c r="D54" s="878" t="s">
        <v>3195</v>
      </c>
      <c r="E54" s="808"/>
      <c r="F54" s="808"/>
      <c r="G54" s="808"/>
      <c r="H54" s="808"/>
      <c r="I54" s="808"/>
      <c r="J54" s="808"/>
      <c r="K54" s="808"/>
      <c r="L54" s="808"/>
      <c r="M54" s="808"/>
      <c r="N54" s="808"/>
      <c r="O54" s="1128" t="s">
        <v>939</v>
      </c>
      <c r="P54" s="8035" t="str">
        <f>IF(P53=0,"",ROUND(P52/P53,4))</f>
        <v/>
      </c>
      <c r="Q54" s="8036"/>
      <c r="R54" s="8036"/>
      <c r="S54" s="8036"/>
      <c r="T54" s="8036"/>
      <c r="U54" s="8036"/>
      <c r="V54" s="8037"/>
      <c r="W54" s="8035" t="str">
        <f>IF(W53=0,"",ROUND(W52/W53,4))</f>
        <v/>
      </c>
      <c r="X54" s="8036"/>
      <c r="Y54" s="8036"/>
      <c r="Z54" s="8036"/>
      <c r="AA54" s="8036"/>
      <c r="AB54" s="8036"/>
      <c r="AC54" s="8037"/>
      <c r="AD54" s="8038" t="str">
        <f>IF(AD53=0,"",ROUND(AD52/AD53,4))</f>
        <v/>
      </c>
      <c r="AE54" s="8039"/>
      <c r="AF54" s="8039"/>
      <c r="AG54" s="8039"/>
      <c r="AH54" s="8039"/>
      <c r="AI54" s="8040"/>
      <c r="AJ54" s="7925"/>
      <c r="AK54" s="6970"/>
      <c r="AL54" s="1150"/>
      <c r="AM54" s="808"/>
      <c r="AN54" s="808"/>
      <c r="AO54" s="808"/>
      <c r="AP54" s="2162"/>
      <c r="AQ54" s="808"/>
      <c r="AR54" s="808"/>
      <c r="AS54" s="808"/>
      <c r="AT54" s="808"/>
      <c r="AU54" s="808"/>
      <c r="AV54" s="808"/>
      <c r="AW54" s="808"/>
      <c r="AX54" s="2396"/>
      <c r="AY54" s="3057"/>
      <c r="AZ54" s="3057"/>
      <c r="BA54" s="3057"/>
      <c r="BB54" s="3057"/>
      <c r="BC54" s="3057"/>
      <c r="BD54" s="3057"/>
      <c r="BE54" s="3057"/>
      <c r="BF54" s="3057"/>
      <c r="BG54" s="3057"/>
      <c r="BH54" s="3057"/>
    </row>
    <row r="55" spans="1:60" ht="13.5" customHeight="1">
      <c r="A55" s="3107"/>
      <c r="B55" s="7924" t="s">
        <v>663</v>
      </c>
      <c r="C55" s="7924"/>
      <c r="D55" s="878" t="s">
        <v>3196</v>
      </c>
      <c r="E55" s="808"/>
      <c r="F55" s="808"/>
      <c r="G55" s="808"/>
      <c r="H55" s="808"/>
      <c r="I55" s="808"/>
      <c r="J55" s="808"/>
      <c r="K55" s="808"/>
      <c r="L55" s="808"/>
      <c r="M55" s="808"/>
      <c r="N55" s="808"/>
      <c r="O55" s="1128" t="s">
        <v>994</v>
      </c>
      <c r="P55" s="7968" t="str">
        <f>IF(OR(P51="",P54=""),"",P51*P54)</f>
        <v/>
      </c>
      <c r="Q55" s="7969"/>
      <c r="R55" s="7969"/>
      <c r="S55" s="7969"/>
      <c r="T55" s="7969"/>
      <c r="U55" s="7969"/>
      <c r="V55" s="7970"/>
      <c r="W55" s="7968" t="str">
        <f>IF(OR(W51="",W54=""),"",W51*W54)</f>
        <v/>
      </c>
      <c r="X55" s="7969"/>
      <c r="Y55" s="7969"/>
      <c r="Z55" s="7969"/>
      <c r="AA55" s="7969"/>
      <c r="AB55" s="7969"/>
      <c r="AC55" s="7970"/>
      <c r="AD55" s="7968" t="str">
        <f>IF(OR(AD51="",AD54=""),"",AD51*AD54)</f>
        <v/>
      </c>
      <c r="AE55" s="7969"/>
      <c r="AF55" s="7969"/>
      <c r="AG55" s="7969"/>
      <c r="AH55" s="7969"/>
      <c r="AI55" s="7970"/>
      <c r="AJ55" s="7925"/>
      <c r="AK55" s="6970"/>
      <c r="AL55" s="1150"/>
      <c r="AM55" s="808"/>
      <c r="AN55" s="808"/>
      <c r="AO55" s="808"/>
      <c r="AP55" s="2162"/>
      <c r="AQ55" s="808"/>
      <c r="AR55" s="808"/>
      <c r="AS55" s="808"/>
      <c r="AT55" s="808"/>
      <c r="AU55" s="808"/>
      <c r="AV55" s="808"/>
      <c r="AW55" s="808"/>
      <c r="AX55" s="2396"/>
      <c r="AY55" s="3057"/>
      <c r="AZ55" s="3057"/>
      <c r="BA55" s="3057"/>
      <c r="BB55" s="3057"/>
      <c r="BC55" s="3057"/>
      <c r="BD55" s="3057"/>
      <c r="BE55" s="3057"/>
      <c r="BF55" s="3057"/>
      <c r="BG55" s="3057"/>
      <c r="BH55" s="3057"/>
    </row>
    <row r="56" spans="1:60" ht="13.5" customHeight="1">
      <c r="A56" s="3107"/>
      <c r="B56" s="8005">
        <v>4</v>
      </c>
      <c r="C56" s="8005"/>
      <c r="D56" s="878" t="s">
        <v>3197</v>
      </c>
      <c r="E56" s="808"/>
      <c r="F56" s="808"/>
      <c r="G56" s="808"/>
      <c r="H56" s="808"/>
      <c r="I56" s="808"/>
      <c r="J56" s="808"/>
      <c r="K56" s="808"/>
      <c r="L56" s="808"/>
      <c r="M56" s="808"/>
      <c r="N56" s="808"/>
      <c r="O56" s="808"/>
      <c r="P56" s="2217"/>
      <c r="Q56" s="2218"/>
      <c r="R56" s="2218"/>
      <c r="S56" s="2218"/>
      <c r="T56" s="2218"/>
      <c r="U56" s="2218"/>
      <c r="V56" s="2219"/>
      <c r="W56" s="2217"/>
      <c r="X56" s="2218"/>
      <c r="Y56" s="2218"/>
      <c r="Z56" s="2218"/>
      <c r="AA56" s="2218"/>
      <c r="AB56" s="2218"/>
      <c r="AC56" s="2219"/>
      <c r="AD56" s="2217"/>
      <c r="AE56" s="2218"/>
      <c r="AF56" s="2218"/>
      <c r="AG56" s="2218"/>
      <c r="AH56" s="2218"/>
      <c r="AI56" s="2219"/>
      <c r="AJ56" s="7925"/>
      <c r="AK56" s="6970"/>
      <c r="AL56" s="1150"/>
      <c r="AM56" s="808"/>
      <c r="AN56" s="808"/>
      <c r="AO56" s="808"/>
      <c r="AP56" s="2162"/>
      <c r="AQ56" s="808"/>
      <c r="AR56" s="808"/>
      <c r="AS56" s="808"/>
      <c r="AT56" s="808"/>
      <c r="AU56" s="808"/>
      <c r="AV56" s="808"/>
      <c r="AW56" s="808"/>
      <c r="AX56" s="2396"/>
      <c r="AY56" s="3057"/>
      <c r="AZ56" s="3057"/>
      <c r="BA56" s="3057"/>
      <c r="BB56" s="3057"/>
      <c r="BC56" s="3057"/>
      <c r="BD56" s="3057"/>
      <c r="BE56" s="3057"/>
      <c r="BF56" s="3057"/>
      <c r="BG56" s="3057"/>
      <c r="BH56" s="3057"/>
    </row>
    <row r="57" spans="1:60" ht="13.5" customHeight="1">
      <c r="A57" s="3107"/>
      <c r="B57" s="7924" t="s">
        <v>640</v>
      </c>
      <c r="C57" s="7924"/>
      <c r="D57" s="878" t="s">
        <v>3198</v>
      </c>
      <c r="E57" s="808"/>
      <c r="F57" s="808"/>
      <c r="G57" s="808"/>
      <c r="H57" s="808"/>
      <c r="I57" s="808"/>
      <c r="J57" s="808"/>
      <c r="K57" s="808"/>
      <c r="L57" s="808"/>
      <c r="M57" s="808"/>
      <c r="N57" s="808"/>
      <c r="O57" s="808"/>
      <c r="P57" s="2220"/>
      <c r="Q57" s="892"/>
      <c r="R57" s="892"/>
      <c r="S57" s="892"/>
      <c r="T57" s="892"/>
      <c r="U57" s="892"/>
      <c r="V57" s="2221"/>
      <c r="W57" s="892"/>
      <c r="X57" s="892"/>
      <c r="Y57" s="892"/>
      <c r="Z57" s="892"/>
      <c r="AA57" s="892"/>
      <c r="AB57" s="892"/>
      <c r="AC57" s="2221"/>
      <c r="AD57" s="892"/>
      <c r="AE57" s="892"/>
      <c r="AF57" s="892"/>
      <c r="AG57" s="892"/>
      <c r="AH57" s="892"/>
      <c r="AI57" s="2221"/>
      <c r="AJ57" s="7925"/>
      <c r="AK57" s="6970"/>
      <c r="AL57" s="1150"/>
      <c r="AM57" s="808"/>
      <c r="AN57" s="808"/>
      <c r="AO57" s="808"/>
      <c r="AP57" s="2162"/>
      <c r="AQ57" s="808"/>
      <c r="AR57" s="808"/>
      <c r="AS57" s="808"/>
      <c r="AT57" s="808"/>
      <c r="AU57" s="808"/>
      <c r="AV57" s="808"/>
      <c r="AW57" s="808"/>
      <c r="AX57" s="2396"/>
      <c r="AY57" s="3057"/>
      <c r="AZ57" s="3057"/>
      <c r="BA57" s="3057"/>
      <c r="BB57" s="3057"/>
      <c r="BC57" s="3057"/>
      <c r="BD57" s="3057"/>
      <c r="BE57" s="3057"/>
      <c r="BF57" s="3057"/>
      <c r="BG57" s="3057"/>
      <c r="BH57" s="3057"/>
    </row>
    <row r="58" spans="1:60" ht="13.5" customHeight="1">
      <c r="A58" s="3107"/>
      <c r="B58" s="2996"/>
      <c r="C58" s="2996"/>
      <c r="D58" s="878" t="s">
        <v>3199</v>
      </c>
      <c r="E58" s="808"/>
      <c r="F58" s="808"/>
      <c r="G58" s="808"/>
      <c r="H58" s="808"/>
      <c r="I58" s="808"/>
      <c r="J58" s="808"/>
      <c r="K58" s="808"/>
      <c r="L58" s="808"/>
      <c r="M58" s="808"/>
      <c r="N58" s="808"/>
      <c r="O58" s="1128" t="s">
        <v>939</v>
      </c>
      <c r="P58" s="7963"/>
      <c r="Q58" s="7964"/>
      <c r="R58" s="7964"/>
      <c r="S58" s="7964"/>
      <c r="T58" s="7964"/>
      <c r="U58" s="7964"/>
      <c r="V58" s="7965"/>
      <c r="W58" s="7963"/>
      <c r="X58" s="7964"/>
      <c r="Y58" s="7964"/>
      <c r="Z58" s="7964"/>
      <c r="AA58" s="7964"/>
      <c r="AB58" s="7964"/>
      <c r="AC58" s="7965"/>
      <c r="AD58" s="7963"/>
      <c r="AE58" s="7964"/>
      <c r="AF58" s="7964"/>
      <c r="AG58" s="7964"/>
      <c r="AH58" s="7964"/>
      <c r="AI58" s="7965"/>
      <c r="AJ58" s="7925"/>
      <c r="AK58" s="6970"/>
      <c r="AL58" s="1150"/>
      <c r="AM58" s="808"/>
      <c r="AN58" s="808"/>
      <c r="AO58" s="808"/>
      <c r="AP58" s="2162"/>
      <c r="AQ58" s="808"/>
      <c r="AR58" s="808"/>
      <c r="AS58" s="808"/>
      <c r="AT58" s="808"/>
      <c r="AU58" s="808"/>
      <c r="AV58" s="808"/>
      <c r="AW58" s="808"/>
      <c r="AX58" s="2396"/>
      <c r="AY58" s="3057"/>
      <c r="AZ58" s="3057"/>
      <c r="BA58" s="3057"/>
      <c r="BB58" s="3057"/>
      <c r="BC58" s="3057"/>
      <c r="BD58" s="3057"/>
      <c r="BE58" s="3057"/>
      <c r="BF58" s="3057"/>
      <c r="BG58" s="3057"/>
      <c r="BH58" s="3057"/>
    </row>
    <row r="59" spans="1:60" ht="13.5" customHeight="1">
      <c r="A59" s="3107"/>
      <c r="B59" s="7924" t="s">
        <v>644</v>
      </c>
      <c r="C59" s="7924"/>
      <c r="D59" s="878" t="s">
        <v>3200</v>
      </c>
      <c r="E59" s="808"/>
      <c r="F59" s="808"/>
      <c r="G59" s="808"/>
      <c r="H59" s="808"/>
      <c r="I59" s="808"/>
      <c r="J59" s="808"/>
      <c r="K59" s="808"/>
      <c r="L59" s="808"/>
      <c r="M59" s="808"/>
      <c r="N59" s="808"/>
      <c r="O59" s="1128" t="s">
        <v>994</v>
      </c>
      <c r="P59" s="7971"/>
      <c r="Q59" s="7972"/>
      <c r="R59" s="7972"/>
      <c r="S59" s="7972"/>
      <c r="T59" s="7972"/>
      <c r="U59" s="7972"/>
      <c r="V59" s="7973"/>
      <c r="W59" s="7971"/>
      <c r="X59" s="7972"/>
      <c r="Y59" s="7972"/>
      <c r="Z59" s="7972"/>
      <c r="AA59" s="7972"/>
      <c r="AB59" s="7972"/>
      <c r="AC59" s="7973"/>
      <c r="AD59" s="7971"/>
      <c r="AE59" s="7972"/>
      <c r="AF59" s="7972"/>
      <c r="AG59" s="7972"/>
      <c r="AH59" s="7972"/>
      <c r="AI59" s="7973"/>
      <c r="AJ59" s="7925"/>
      <c r="AK59" s="6970"/>
      <c r="AL59" s="1150"/>
      <c r="AM59" s="808"/>
      <c r="AN59" s="808"/>
      <c r="AO59" s="808"/>
      <c r="AP59" s="2162"/>
      <c r="AQ59" s="808"/>
      <c r="AR59" s="808"/>
      <c r="AS59" s="808"/>
      <c r="AT59" s="808"/>
      <c r="AU59" s="808"/>
      <c r="AV59" s="808"/>
      <c r="AW59" s="808"/>
      <c r="AX59" s="2396"/>
      <c r="AY59" s="3057"/>
      <c r="AZ59" s="3057"/>
      <c r="BA59" s="3057"/>
      <c r="BB59" s="3057"/>
      <c r="BC59" s="3057"/>
      <c r="BD59" s="3057"/>
      <c r="BE59" s="3057"/>
      <c r="BF59" s="3057"/>
      <c r="BG59" s="3057"/>
      <c r="BH59" s="3057"/>
    </row>
    <row r="60" spans="1:60" ht="13.5" customHeight="1">
      <c r="A60" s="3107"/>
      <c r="B60" s="8005">
        <v>5</v>
      </c>
      <c r="C60" s="8005"/>
      <c r="D60" s="878" t="s">
        <v>3201</v>
      </c>
      <c r="E60" s="808"/>
      <c r="F60" s="808"/>
      <c r="G60" s="808"/>
      <c r="H60" s="808"/>
      <c r="I60" s="808"/>
      <c r="J60" s="808"/>
      <c r="K60" s="808"/>
      <c r="L60" s="808"/>
      <c r="M60" s="808"/>
      <c r="N60" s="808"/>
      <c r="O60" s="1128" t="s">
        <v>914</v>
      </c>
      <c r="P60" s="7971"/>
      <c r="Q60" s="7972"/>
      <c r="R60" s="7972"/>
      <c r="S60" s="7972"/>
      <c r="T60" s="7972"/>
      <c r="U60" s="7972"/>
      <c r="V60" s="7973"/>
      <c r="W60" s="7971"/>
      <c r="X60" s="7972"/>
      <c r="Y60" s="7972"/>
      <c r="Z60" s="7972"/>
      <c r="AA60" s="7972"/>
      <c r="AB60" s="7972"/>
      <c r="AC60" s="7973"/>
      <c r="AD60" s="7971"/>
      <c r="AE60" s="7972"/>
      <c r="AF60" s="7972"/>
      <c r="AG60" s="7972"/>
      <c r="AH60" s="7972"/>
      <c r="AI60" s="7973"/>
      <c r="AJ60" s="7925"/>
      <c r="AK60" s="6970"/>
      <c r="AL60" s="1150"/>
      <c r="AM60" s="808"/>
      <c r="AN60" s="808"/>
      <c r="AO60" s="808"/>
      <c r="AP60" s="2162"/>
      <c r="AQ60" s="2162"/>
      <c r="AR60" s="2162"/>
      <c r="AS60" s="2162"/>
      <c r="AT60" s="2162"/>
      <c r="AU60" s="2162"/>
      <c r="AV60" s="808"/>
      <c r="AW60" s="808"/>
      <c r="AX60" s="2396"/>
      <c r="AY60" s="3057"/>
      <c r="AZ60" s="3057"/>
      <c r="BA60" s="3057"/>
      <c r="BB60" s="3057"/>
      <c r="BC60" s="3057"/>
      <c r="BD60" s="3057"/>
      <c r="BE60" s="3057"/>
      <c r="BF60" s="3057"/>
      <c r="BG60" s="3057"/>
      <c r="BH60" s="3057"/>
    </row>
    <row r="61" spans="1:60" ht="13.5" customHeight="1">
      <c r="A61" s="3107"/>
      <c r="B61" s="8005">
        <v>6</v>
      </c>
      <c r="C61" s="8005"/>
      <c r="D61" s="878" t="s">
        <v>3202</v>
      </c>
      <c r="E61" s="808"/>
      <c r="F61" s="808"/>
      <c r="G61" s="808"/>
      <c r="H61" s="808"/>
      <c r="I61" s="808"/>
      <c r="J61" s="808"/>
      <c r="K61" s="808"/>
      <c r="L61" s="808"/>
      <c r="M61" s="808"/>
      <c r="N61" s="808"/>
      <c r="O61" s="1128" t="s">
        <v>914</v>
      </c>
      <c r="P61" s="8024">
        <f>SUM(P45,P55,P58,P59,P60)</f>
        <v>0</v>
      </c>
      <c r="Q61" s="8025"/>
      <c r="R61" s="8025"/>
      <c r="S61" s="8025"/>
      <c r="T61" s="8025"/>
      <c r="U61" s="8025"/>
      <c r="V61" s="8026"/>
      <c r="W61" s="8024">
        <f>SUM(W45,W55,W58,W59,W60)</f>
        <v>0</v>
      </c>
      <c r="X61" s="8025"/>
      <c r="Y61" s="8025"/>
      <c r="Z61" s="8025"/>
      <c r="AA61" s="8025"/>
      <c r="AB61" s="8025"/>
      <c r="AC61" s="8026"/>
      <c r="AD61" s="8024">
        <f>SUM(AD45,AD55,AD58,AD59,AD60)</f>
        <v>0</v>
      </c>
      <c r="AE61" s="8025"/>
      <c r="AF61" s="8025"/>
      <c r="AG61" s="8025"/>
      <c r="AH61" s="8025"/>
      <c r="AI61" s="8026"/>
      <c r="AJ61" s="7930">
        <v>6</v>
      </c>
      <c r="AK61" s="7294"/>
      <c r="AL61" s="7926" t="str">
        <f>IF(AQ61&lt;&gt;"",ROUND(AQ61,0),IF(AO20=0,"",ROUND(SUM(P61,W61,AD61),0)))</f>
        <v/>
      </c>
      <c r="AM61" s="7927"/>
      <c r="AN61" s="7927"/>
      <c r="AO61" s="7927"/>
      <c r="AP61" s="2162"/>
      <c r="AQ61" s="7914"/>
      <c r="AR61" s="7915"/>
      <c r="AS61" s="7915"/>
      <c r="AT61" s="7915"/>
      <c r="AU61" s="2162"/>
      <c r="AV61" s="808"/>
      <c r="AW61" s="808"/>
      <c r="AX61" s="2396"/>
      <c r="AY61" s="3057"/>
      <c r="AZ61" s="3057"/>
      <c r="BA61" s="3057"/>
      <c r="BB61" s="3057"/>
      <c r="BC61" s="3057"/>
      <c r="BD61" s="3057"/>
      <c r="BE61" s="3057"/>
      <c r="BF61" s="3057"/>
      <c r="BG61" s="3057"/>
      <c r="BH61" s="3057"/>
    </row>
    <row r="62" spans="1:60" ht="16.5" customHeight="1" thickBot="1">
      <c r="A62" s="3107"/>
      <c r="B62" s="7901">
        <v>7</v>
      </c>
      <c r="C62" s="7901"/>
      <c r="D62" s="5018" t="s">
        <v>3203</v>
      </c>
      <c r="E62" s="1142"/>
      <c r="F62" s="1142"/>
      <c r="G62" s="1142"/>
      <c r="H62" s="1142"/>
      <c r="I62" s="1142"/>
      <c r="J62" s="1142"/>
      <c r="K62" s="1142"/>
      <c r="L62" s="1142"/>
      <c r="M62" s="1142"/>
      <c r="N62" s="1142"/>
      <c r="O62" s="1142"/>
      <c r="P62" s="1142"/>
      <c r="Q62" s="1142"/>
      <c r="R62" s="1142"/>
      <c r="S62" s="1142"/>
      <c r="T62" s="1142"/>
      <c r="U62" s="1142"/>
      <c r="V62" s="1142"/>
      <c r="W62" s="1142"/>
      <c r="X62" s="1142"/>
      <c r="Y62" s="1142"/>
      <c r="Z62" s="1142"/>
      <c r="AA62" s="1142"/>
      <c r="AB62" s="1142"/>
      <c r="AC62" s="1142"/>
      <c r="AD62" s="1142"/>
      <c r="AE62" s="1142"/>
      <c r="AF62" s="1142"/>
      <c r="AG62" s="1142"/>
      <c r="AH62" s="1142"/>
      <c r="AI62" s="1128" t="s">
        <v>990</v>
      </c>
      <c r="AJ62" s="7523">
        <v>7</v>
      </c>
      <c r="AK62" s="7292"/>
      <c r="AL62" s="7928" t="str">
        <f>IF(AQ62&lt;&gt;"",ROUND(AQ62,0),IF(AO20=0,"",ROUND(SUM(AL36,-AL61),0)))</f>
        <v/>
      </c>
      <c r="AM62" s="7929"/>
      <c r="AN62" s="7929"/>
      <c r="AO62" s="7929"/>
      <c r="AP62" s="2162"/>
      <c r="AQ62" s="7914"/>
      <c r="AR62" s="7915"/>
      <c r="AS62" s="7915"/>
      <c r="AT62" s="7915"/>
      <c r="AU62" s="2162"/>
      <c r="AV62" s="808"/>
      <c r="AW62" s="808"/>
      <c r="AX62" s="2396"/>
      <c r="AY62" s="3057"/>
      <c r="AZ62" s="3057"/>
      <c r="BA62" s="3057"/>
      <c r="BB62" s="3057"/>
      <c r="BC62" s="3057"/>
      <c r="BD62" s="3057"/>
      <c r="BE62" s="3057"/>
      <c r="BF62" s="3057"/>
      <c r="BG62" s="3057"/>
      <c r="BH62" s="3057"/>
    </row>
    <row r="63" spans="1:60" s="2114" customFormat="1" ht="17.25" customHeight="1">
      <c r="A63" s="3109"/>
      <c r="B63" s="7981" t="s">
        <v>982</v>
      </c>
      <c r="C63" s="7981"/>
      <c r="D63" s="7982"/>
      <c r="E63" s="7983" t="s">
        <v>3204</v>
      </c>
      <c r="F63" s="7984"/>
      <c r="G63" s="7984"/>
      <c r="H63" s="7984"/>
      <c r="I63" s="7984"/>
      <c r="J63" s="7984"/>
      <c r="K63" s="7984"/>
      <c r="L63" s="7984"/>
      <c r="M63" s="7984"/>
      <c r="N63" s="7984"/>
      <c r="O63" s="7984"/>
      <c r="P63" s="7984"/>
      <c r="Q63" s="7984"/>
      <c r="R63" s="7984"/>
      <c r="S63" s="7984"/>
      <c r="T63" s="7984"/>
      <c r="U63" s="7984"/>
      <c r="V63" s="7984"/>
      <c r="W63" s="7984"/>
      <c r="X63" s="7984"/>
      <c r="Y63" s="7984"/>
      <c r="Z63" s="7984"/>
      <c r="AA63" s="7984"/>
      <c r="AB63" s="7984"/>
      <c r="AC63" s="7984"/>
      <c r="AD63" s="7984"/>
      <c r="AE63" s="7984"/>
      <c r="AF63" s="7984"/>
      <c r="AG63" s="7984"/>
      <c r="AH63" s="7984"/>
      <c r="AI63" s="7984"/>
      <c r="AJ63" s="7984"/>
      <c r="AK63" s="7984"/>
      <c r="AL63" s="7984"/>
      <c r="AM63" s="7984"/>
      <c r="AN63" s="7984"/>
      <c r="AO63" s="7984"/>
      <c r="AP63" s="2162"/>
      <c r="AQ63" s="2162"/>
      <c r="AR63" s="2162"/>
      <c r="AS63" s="2162"/>
      <c r="AT63" s="2162"/>
      <c r="AU63" s="2162"/>
      <c r="AV63" s="1108"/>
      <c r="AW63" s="1108"/>
      <c r="AX63" s="2396"/>
      <c r="AY63" s="3057"/>
      <c r="AZ63" s="3057"/>
      <c r="BA63" s="3057"/>
      <c r="BB63" s="3057"/>
      <c r="BC63" s="3057"/>
      <c r="BD63" s="3057"/>
      <c r="BE63" s="3057"/>
      <c r="BF63" s="3057"/>
      <c r="BG63" s="3057"/>
      <c r="BH63" s="3057"/>
    </row>
    <row r="64" spans="1:60" s="2114" customFormat="1" ht="10.5" customHeight="1">
      <c r="A64" s="3109"/>
      <c r="B64" s="8021" t="s">
        <v>3205</v>
      </c>
      <c r="C64" s="8006" t="s">
        <v>3206</v>
      </c>
      <c r="D64" s="7397"/>
      <c r="E64" s="7397"/>
      <c r="F64" s="7397"/>
      <c r="G64" s="7398"/>
      <c r="H64" s="8027" t="s">
        <v>3207</v>
      </c>
      <c r="I64" s="8028"/>
      <c r="J64" s="8028"/>
      <c r="K64" s="8028"/>
      <c r="L64" s="8028"/>
      <c r="M64" s="8028"/>
      <c r="N64" s="8028"/>
      <c r="O64" s="8028"/>
      <c r="P64" s="8028"/>
      <c r="Q64" s="8028"/>
      <c r="R64" s="8028"/>
      <c r="S64" s="8028"/>
      <c r="T64" s="8028"/>
      <c r="U64" s="8028"/>
      <c r="V64" s="8028"/>
      <c r="W64" s="8028"/>
      <c r="X64" s="8028"/>
      <c r="Y64" s="8028"/>
      <c r="Z64" s="8028"/>
      <c r="AA64" s="8028"/>
      <c r="AB64" s="8028"/>
      <c r="AC64" s="8028"/>
      <c r="AD64" s="8028"/>
      <c r="AE64" s="8028"/>
      <c r="AF64" s="8028"/>
      <c r="AG64" s="8028"/>
      <c r="AH64" s="8028"/>
      <c r="AI64" s="8028"/>
      <c r="AJ64" s="8028"/>
      <c r="AK64" s="8028"/>
      <c r="AL64" s="8028"/>
      <c r="AM64" s="8028"/>
      <c r="AN64" s="8028"/>
      <c r="AO64" s="8028"/>
      <c r="AP64" s="2162"/>
      <c r="AQ64" s="1108"/>
      <c r="AR64" s="1108"/>
      <c r="AS64" s="1108"/>
      <c r="AT64" s="1108"/>
      <c r="AU64" s="1108"/>
      <c r="AV64" s="1108"/>
      <c r="AW64" s="1108"/>
      <c r="AX64" s="2396"/>
      <c r="AY64" s="3057"/>
      <c r="AZ64" s="3057"/>
      <c r="BA64" s="3057"/>
      <c r="BB64" s="3057"/>
      <c r="BC64" s="3057"/>
      <c r="BD64" s="3057"/>
      <c r="BE64" s="3057"/>
      <c r="BF64" s="3057"/>
      <c r="BG64" s="3057"/>
      <c r="BH64" s="3057"/>
    </row>
    <row r="65" spans="1:60" s="2114" customFormat="1" ht="10.5" customHeight="1">
      <c r="A65" s="3109"/>
      <c r="B65" s="8022"/>
      <c r="C65" s="7412"/>
      <c r="D65" s="7413"/>
      <c r="E65" s="7413"/>
      <c r="F65" s="7413"/>
      <c r="G65" s="7305"/>
      <c r="H65" s="8029"/>
      <c r="I65" s="8030"/>
      <c r="J65" s="8030"/>
      <c r="K65" s="8030"/>
      <c r="L65" s="8030"/>
      <c r="M65" s="8030"/>
      <c r="N65" s="8030"/>
      <c r="O65" s="8030"/>
      <c r="P65" s="8030"/>
      <c r="Q65" s="8030"/>
      <c r="R65" s="8030"/>
      <c r="S65" s="8030"/>
      <c r="T65" s="8030"/>
      <c r="U65" s="8030"/>
      <c r="V65" s="8030"/>
      <c r="W65" s="8030"/>
      <c r="X65" s="8030"/>
      <c r="Y65" s="8030"/>
      <c r="Z65" s="8030"/>
      <c r="AA65" s="8030"/>
      <c r="AB65" s="8030"/>
      <c r="AC65" s="8030"/>
      <c r="AD65" s="8030"/>
      <c r="AE65" s="8030"/>
      <c r="AF65" s="8030"/>
      <c r="AG65" s="8030"/>
      <c r="AH65" s="8030"/>
      <c r="AI65" s="8030"/>
      <c r="AJ65" s="8030"/>
      <c r="AK65" s="8030"/>
      <c r="AL65" s="8030"/>
      <c r="AM65" s="8030"/>
      <c r="AN65" s="8030"/>
      <c r="AO65" s="8030"/>
      <c r="AP65" s="2162"/>
      <c r="AQ65" s="1108"/>
      <c r="AR65" s="1108"/>
      <c r="AS65" s="1108"/>
      <c r="AT65" s="1108"/>
      <c r="AU65" s="1108"/>
      <c r="AV65" s="1108"/>
      <c r="AW65" s="1108"/>
      <c r="AX65" s="2396"/>
      <c r="AY65" s="3057"/>
      <c r="AZ65" s="3057"/>
      <c r="BA65" s="3057"/>
      <c r="BB65" s="3057"/>
      <c r="BC65" s="3057"/>
      <c r="BD65" s="3057"/>
      <c r="BE65" s="3057"/>
      <c r="BF65" s="3057"/>
      <c r="BG65" s="3057"/>
      <c r="BH65" s="3057"/>
    </row>
    <row r="66" spans="1:60" s="2114" customFormat="1" ht="12.75" customHeight="1">
      <c r="A66" s="3109"/>
      <c r="B66" s="8022"/>
      <c r="C66" s="7412"/>
      <c r="D66" s="7413"/>
      <c r="E66" s="7413"/>
      <c r="F66" s="7413"/>
      <c r="G66" s="7305"/>
      <c r="H66" s="8031"/>
      <c r="I66" s="8032"/>
      <c r="J66" s="8032"/>
      <c r="K66" s="8032"/>
      <c r="L66" s="8032"/>
      <c r="M66" s="8032"/>
      <c r="N66" s="8032"/>
      <c r="O66" s="8032"/>
      <c r="P66" s="8032"/>
      <c r="Q66" s="8032"/>
      <c r="R66" s="8032"/>
      <c r="S66" s="8032"/>
      <c r="T66" s="8032"/>
      <c r="U66" s="8032"/>
      <c r="V66" s="8032"/>
      <c r="W66" s="8032"/>
      <c r="X66" s="8032"/>
      <c r="Y66" s="8032"/>
      <c r="Z66" s="8032"/>
      <c r="AA66" s="8032"/>
      <c r="AB66" s="8032"/>
      <c r="AC66" s="8032"/>
      <c r="AD66" s="8032"/>
      <c r="AE66" s="8032"/>
      <c r="AF66" s="8032"/>
      <c r="AG66" s="8032"/>
      <c r="AH66" s="8032"/>
      <c r="AI66" s="8032"/>
      <c r="AJ66" s="8032"/>
      <c r="AK66" s="8032"/>
      <c r="AL66" s="8032"/>
      <c r="AM66" s="8032"/>
      <c r="AN66" s="8032"/>
      <c r="AO66" s="8032"/>
      <c r="AP66" s="2162"/>
      <c r="AQ66" s="3223" t="str">
        <f>IF(NOT(B72),"←  Indicate 'Paid' or 'Accrued'.","")</f>
        <v>←  Indicate 'Paid' or 'Accrued'.</v>
      </c>
      <c r="AR66" s="1108"/>
      <c r="AS66" s="1108"/>
      <c r="AT66" s="1108"/>
      <c r="AU66" s="1108"/>
      <c r="AV66" s="1108"/>
      <c r="AW66" s="1108"/>
      <c r="AX66" s="2396"/>
      <c r="AY66" s="3057"/>
      <c r="AZ66" s="3057"/>
      <c r="BA66" s="3057"/>
      <c r="BB66" s="3057"/>
      <c r="BC66" s="3057"/>
      <c r="BD66" s="3057"/>
      <c r="BE66" s="3057"/>
      <c r="BF66" s="3057"/>
      <c r="BG66" s="3057"/>
      <c r="BH66" s="3057"/>
    </row>
    <row r="67" spans="1:60" s="2114" customFormat="1" ht="10.5" customHeight="1">
      <c r="A67" s="3109"/>
      <c r="B67" s="8022"/>
      <c r="C67" s="2208">
        <f>IF(E67&lt;&gt;"",1,0)</f>
        <v>0</v>
      </c>
      <c r="D67" s="1376" t="s">
        <v>3208</v>
      </c>
      <c r="E67" s="811"/>
      <c r="F67" s="1410" t="s">
        <v>3209</v>
      </c>
      <c r="G67" s="2195"/>
      <c r="H67" s="7373" t="s">
        <v>3210</v>
      </c>
      <c r="I67" s="7374"/>
      <c r="J67" s="7374"/>
      <c r="K67" s="7374"/>
      <c r="L67" s="7374"/>
      <c r="M67" s="7374"/>
      <c r="N67" s="7374"/>
      <c r="O67" s="7374"/>
      <c r="P67" s="7374"/>
      <c r="Q67" s="7374"/>
      <c r="R67" s="7374"/>
      <c r="S67" s="7374"/>
      <c r="T67" s="7374"/>
      <c r="U67" s="7374"/>
      <c r="V67" s="7374"/>
      <c r="W67" s="7468"/>
      <c r="X67" s="7373" t="s">
        <v>3211</v>
      </c>
      <c r="Y67" s="7345"/>
      <c r="Z67" s="7345"/>
      <c r="AA67" s="7345"/>
      <c r="AB67" s="7345"/>
      <c r="AC67" s="7345"/>
      <c r="AD67" s="7345"/>
      <c r="AE67" s="7345"/>
      <c r="AF67" s="7345"/>
      <c r="AG67" s="7345"/>
      <c r="AH67" s="7345"/>
      <c r="AI67" s="7345"/>
      <c r="AJ67" s="7345"/>
      <c r="AK67" s="7345"/>
      <c r="AL67" s="7345"/>
      <c r="AM67" s="7345"/>
      <c r="AN67" s="7345"/>
      <c r="AO67" s="7345"/>
      <c r="AP67" s="2162"/>
      <c r="AQ67" s="7908"/>
      <c r="AR67" s="2818"/>
      <c r="AS67" s="2818"/>
      <c r="AT67" s="2818"/>
      <c r="AU67" s="2818"/>
      <c r="AV67" s="2818"/>
      <c r="AW67" s="2818"/>
      <c r="AX67" s="2396"/>
      <c r="AY67" s="3057"/>
      <c r="AZ67" s="3057"/>
      <c r="BA67" s="3057"/>
      <c r="BB67" s="3057"/>
      <c r="BC67" s="3057"/>
      <c r="BD67" s="3057"/>
      <c r="BE67" s="3057"/>
      <c r="BF67" s="3057"/>
      <c r="BG67" s="3057"/>
      <c r="BH67" s="3057"/>
    </row>
    <row r="68" spans="1:60" ht="6.75" customHeight="1">
      <c r="A68" s="3107"/>
      <c r="B68" s="8022"/>
      <c r="C68" s="2209"/>
      <c r="D68" s="892"/>
      <c r="E68" s="808"/>
      <c r="F68" s="808"/>
      <c r="G68" s="1151"/>
      <c r="H68" s="7377"/>
      <c r="I68" s="7378"/>
      <c r="J68" s="7378"/>
      <c r="K68" s="7378"/>
      <c r="L68" s="7378"/>
      <c r="M68" s="7378"/>
      <c r="N68" s="7378"/>
      <c r="O68" s="7378"/>
      <c r="P68" s="7378"/>
      <c r="Q68" s="7378"/>
      <c r="R68" s="7378"/>
      <c r="S68" s="7378"/>
      <c r="T68" s="7378"/>
      <c r="U68" s="7378"/>
      <c r="V68" s="7378"/>
      <c r="W68" s="7470"/>
      <c r="X68" s="8033"/>
      <c r="Y68" s="8034"/>
      <c r="Z68" s="8034"/>
      <c r="AA68" s="8034"/>
      <c r="AB68" s="8034"/>
      <c r="AC68" s="8034"/>
      <c r="AD68" s="8034"/>
      <c r="AE68" s="8034"/>
      <c r="AF68" s="8034"/>
      <c r="AG68" s="8034"/>
      <c r="AH68" s="8034"/>
      <c r="AI68" s="8034"/>
      <c r="AJ68" s="8034"/>
      <c r="AK68" s="8034"/>
      <c r="AL68" s="8034"/>
      <c r="AM68" s="8034"/>
      <c r="AN68" s="8034"/>
      <c r="AO68" s="8034"/>
      <c r="AP68" s="2162"/>
      <c r="AQ68" s="7908"/>
      <c r="AR68" s="2819"/>
      <c r="AS68" s="2819"/>
      <c r="AT68" s="2819"/>
      <c r="AU68" s="2819"/>
      <c r="AV68" s="2819"/>
      <c r="AW68" s="2819"/>
      <c r="AX68" s="2396"/>
      <c r="AY68" s="3057"/>
      <c r="AZ68" s="3057"/>
      <c r="BA68" s="3057"/>
      <c r="BB68" s="3057"/>
      <c r="BC68" s="3057"/>
      <c r="BD68" s="3057"/>
      <c r="BE68" s="3057"/>
      <c r="BF68" s="3057"/>
      <c r="BG68" s="3057"/>
      <c r="BH68" s="3057"/>
    </row>
    <row r="69" spans="1:60" ht="10.5" customHeight="1">
      <c r="A69" s="3107"/>
      <c r="B69" s="8022"/>
      <c r="C69" s="2208">
        <f>IF(E69&lt;&gt;"",1,0)</f>
        <v>0</v>
      </c>
      <c r="D69" s="1040" t="s">
        <v>3212</v>
      </c>
      <c r="E69" s="811"/>
      <c r="F69" s="1410" t="s">
        <v>3213</v>
      </c>
      <c r="G69" s="2197"/>
      <c r="H69" s="7396" t="s">
        <v>3214</v>
      </c>
      <c r="I69" s="7397"/>
      <c r="J69" s="7397"/>
      <c r="K69" s="7397"/>
      <c r="L69" s="7397"/>
      <c r="M69" s="7397"/>
      <c r="N69" s="7397"/>
      <c r="O69" s="7397"/>
      <c r="P69" s="7397"/>
      <c r="Q69" s="7397"/>
      <c r="R69" s="7397"/>
      <c r="S69" s="7398"/>
      <c r="T69" s="7396" t="s">
        <v>3215</v>
      </c>
      <c r="U69" s="7397"/>
      <c r="V69" s="7397"/>
      <c r="W69" s="7398"/>
      <c r="X69" s="7396" t="s">
        <v>3214</v>
      </c>
      <c r="Y69" s="7397"/>
      <c r="Z69" s="7397"/>
      <c r="AA69" s="7397"/>
      <c r="AB69" s="7397"/>
      <c r="AC69" s="7397"/>
      <c r="AD69" s="7397"/>
      <c r="AE69" s="7397"/>
      <c r="AF69" s="7397"/>
      <c r="AG69" s="7397"/>
      <c r="AH69" s="7398"/>
      <c r="AI69" s="7396" t="s">
        <v>3216</v>
      </c>
      <c r="AJ69" s="7397"/>
      <c r="AK69" s="7397"/>
      <c r="AL69" s="7398"/>
      <c r="AM69" s="7396" t="s">
        <v>3217</v>
      </c>
      <c r="AN69" s="7992"/>
      <c r="AO69" s="7992"/>
      <c r="AP69" s="2162"/>
      <c r="AQ69" s="7908"/>
      <c r="AR69" s="7908"/>
      <c r="AS69" s="7908"/>
      <c r="AT69" s="7908"/>
      <c r="AU69" s="7908"/>
      <c r="AV69" s="7908"/>
      <c r="AW69" s="7908"/>
      <c r="AX69" s="2396"/>
      <c r="AY69" s="3057"/>
      <c r="AZ69" s="3057"/>
      <c r="BA69" s="3057"/>
      <c r="BB69" s="3057"/>
      <c r="BC69" s="3057"/>
      <c r="BD69" s="3057"/>
      <c r="BE69" s="3057"/>
      <c r="BF69" s="3057"/>
      <c r="BG69" s="3057"/>
      <c r="BH69" s="3057"/>
    </row>
    <row r="70" spans="1:60" ht="7.5" customHeight="1">
      <c r="A70" s="3107"/>
      <c r="B70" s="8023"/>
      <c r="C70" s="2198"/>
      <c r="D70" s="1138"/>
      <c r="E70" s="1138"/>
      <c r="F70" s="1138"/>
      <c r="G70" s="2199"/>
      <c r="H70" s="7402"/>
      <c r="I70" s="7403"/>
      <c r="J70" s="7403"/>
      <c r="K70" s="7403"/>
      <c r="L70" s="7403"/>
      <c r="M70" s="7403"/>
      <c r="N70" s="7403"/>
      <c r="O70" s="7403"/>
      <c r="P70" s="7403"/>
      <c r="Q70" s="7403"/>
      <c r="R70" s="7403"/>
      <c r="S70" s="7404"/>
      <c r="T70" s="7399"/>
      <c r="U70" s="7400"/>
      <c r="V70" s="7400"/>
      <c r="W70" s="7401"/>
      <c r="X70" s="7402"/>
      <c r="Y70" s="7403"/>
      <c r="Z70" s="7403"/>
      <c r="AA70" s="7403"/>
      <c r="AB70" s="7403"/>
      <c r="AC70" s="7403"/>
      <c r="AD70" s="7403"/>
      <c r="AE70" s="7403"/>
      <c r="AF70" s="7403"/>
      <c r="AG70" s="7403"/>
      <c r="AH70" s="7404"/>
      <c r="AI70" s="7399"/>
      <c r="AJ70" s="7400"/>
      <c r="AK70" s="7400"/>
      <c r="AL70" s="7401"/>
      <c r="AM70" s="7993"/>
      <c r="AN70" s="7994"/>
      <c r="AO70" s="7994"/>
      <c r="AP70" s="2162"/>
      <c r="AQ70" s="808"/>
      <c r="AR70" s="808"/>
      <c r="AS70" s="808"/>
      <c r="AT70" s="808"/>
      <c r="AU70" s="808"/>
      <c r="AV70" s="808"/>
      <c r="AW70" s="808"/>
      <c r="AX70" s="2396"/>
      <c r="AY70" s="3057"/>
      <c r="AZ70" s="3057"/>
      <c r="BA70" s="3057"/>
      <c r="BB70" s="3057"/>
      <c r="BC70" s="3057"/>
      <c r="BD70" s="3057"/>
      <c r="BE70" s="3057"/>
      <c r="BF70" s="3057"/>
      <c r="BG70" s="3057"/>
      <c r="BH70" s="3057"/>
    </row>
    <row r="71" spans="1:60" ht="7.5" customHeight="1">
      <c r="A71" s="3107"/>
      <c r="B71" s="2194"/>
      <c r="C71" s="8047" t="s">
        <v>3218</v>
      </c>
      <c r="D71" s="8048"/>
      <c r="E71" s="8048"/>
      <c r="F71" s="8048"/>
      <c r="G71" s="8049"/>
      <c r="H71" s="7396" t="s">
        <v>3219</v>
      </c>
      <c r="I71" s="7397"/>
      <c r="J71" s="7397"/>
      <c r="K71" s="7396" t="s">
        <v>3220</v>
      </c>
      <c r="L71" s="7397"/>
      <c r="M71" s="7397"/>
      <c r="N71" s="7397"/>
      <c r="O71" s="7396" t="s">
        <v>3221</v>
      </c>
      <c r="P71" s="7397"/>
      <c r="Q71" s="7397"/>
      <c r="R71" s="7397"/>
      <c r="S71" s="7998"/>
      <c r="T71" s="7399"/>
      <c r="U71" s="7400"/>
      <c r="V71" s="7400"/>
      <c r="W71" s="7401"/>
      <c r="X71" s="7396" t="s">
        <v>3222</v>
      </c>
      <c r="Y71" s="7397"/>
      <c r="Z71" s="7397"/>
      <c r="AA71" s="7396" t="s">
        <v>3223</v>
      </c>
      <c r="AB71" s="7397"/>
      <c r="AC71" s="7397"/>
      <c r="AD71" s="7397"/>
      <c r="AE71" s="7396" t="s">
        <v>3224</v>
      </c>
      <c r="AF71" s="7997"/>
      <c r="AG71" s="7997"/>
      <c r="AH71" s="7998"/>
      <c r="AI71" s="7399"/>
      <c r="AJ71" s="7400"/>
      <c r="AK71" s="7400"/>
      <c r="AL71" s="7401"/>
      <c r="AM71" s="7993"/>
      <c r="AN71" s="7994"/>
      <c r="AO71" s="7994"/>
      <c r="AP71" s="2162"/>
      <c r="AQ71" s="808"/>
      <c r="AR71" s="808"/>
      <c r="AS71" s="808"/>
      <c r="AT71" s="808"/>
      <c r="AU71" s="808"/>
      <c r="AV71" s="808"/>
      <c r="AW71" s="808"/>
      <c r="AX71" s="2396"/>
      <c r="AY71" s="3057"/>
      <c r="AZ71" s="3057"/>
      <c r="BA71" s="3057"/>
      <c r="BB71" s="3057"/>
      <c r="BC71" s="3057"/>
      <c r="BD71" s="3057"/>
      <c r="BE71" s="3057"/>
      <c r="BF71" s="3057"/>
      <c r="BG71" s="3057"/>
      <c r="BH71" s="3057"/>
    </row>
    <row r="72" spans="1:60" ht="13.5" customHeight="1">
      <c r="A72" s="3107"/>
      <c r="B72" s="2248" t="b">
        <f>SUM(C67,C69)=1</f>
        <v>0</v>
      </c>
      <c r="C72" s="8050"/>
      <c r="D72" s="8051"/>
      <c r="E72" s="8051"/>
      <c r="F72" s="8051"/>
      <c r="G72" s="8052"/>
      <c r="H72" s="7399"/>
      <c r="I72" s="7400"/>
      <c r="J72" s="7400"/>
      <c r="K72" s="7399"/>
      <c r="L72" s="7400"/>
      <c r="M72" s="7400"/>
      <c r="N72" s="7400"/>
      <c r="O72" s="7399"/>
      <c r="P72" s="7400"/>
      <c r="Q72" s="7400"/>
      <c r="R72" s="7400"/>
      <c r="S72" s="8001"/>
      <c r="T72" s="7399"/>
      <c r="U72" s="7400"/>
      <c r="V72" s="7400"/>
      <c r="W72" s="7401"/>
      <c r="X72" s="7399"/>
      <c r="Y72" s="7400"/>
      <c r="Z72" s="7400"/>
      <c r="AA72" s="7399"/>
      <c r="AB72" s="7400"/>
      <c r="AC72" s="7400"/>
      <c r="AD72" s="7400"/>
      <c r="AE72" s="7999"/>
      <c r="AF72" s="8000"/>
      <c r="AG72" s="8000"/>
      <c r="AH72" s="8001"/>
      <c r="AI72" s="7399"/>
      <c r="AJ72" s="7400"/>
      <c r="AK72" s="7400"/>
      <c r="AL72" s="7401"/>
      <c r="AM72" s="7993"/>
      <c r="AN72" s="7994"/>
      <c r="AO72" s="7994"/>
      <c r="AP72" s="2162"/>
      <c r="AQ72" s="808"/>
      <c r="AR72" s="808"/>
      <c r="AS72" s="808"/>
      <c r="AT72" s="808"/>
      <c r="AU72" s="808"/>
      <c r="AV72" s="808"/>
      <c r="AW72" s="808"/>
      <c r="AX72" s="2396"/>
      <c r="AY72" s="3057"/>
      <c r="AZ72" s="3057"/>
      <c r="BA72" s="3057"/>
      <c r="BB72" s="3057"/>
      <c r="BC72" s="3057"/>
      <c r="BD72" s="3057"/>
      <c r="BE72" s="3057"/>
      <c r="BF72" s="3057"/>
      <c r="BG72" s="3057"/>
      <c r="BH72" s="3057"/>
    </row>
    <row r="73" spans="1:60" ht="13.5" customHeight="1">
      <c r="A73" s="3107"/>
      <c r="B73" s="2194"/>
      <c r="C73" s="8007" t="s">
        <v>3225</v>
      </c>
      <c r="D73" s="8008"/>
      <c r="E73" s="8008"/>
      <c r="F73" s="8008"/>
      <c r="G73" s="8009"/>
      <c r="H73" s="7399"/>
      <c r="I73" s="7400"/>
      <c r="J73" s="7400"/>
      <c r="K73" s="7399"/>
      <c r="L73" s="7400"/>
      <c r="M73" s="7400"/>
      <c r="N73" s="7400"/>
      <c r="O73" s="7399"/>
      <c r="P73" s="7400"/>
      <c r="Q73" s="7400"/>
      <c r="R73" s="7400"/>
      <c r="S73" s="8001"/>
      <c r="T73" s="7399"/>
      <c r="U73" s="7400"/>
      <c r="V73" s="7400"/>
      <c r="W73" s="7401"/>
      <c r="X73" s="7399"/>
      <c r="Y73" s="7400"/>
      <c r="Z73" s="7400"/>
      <c r="AA73" s="7399"/>
      <c r="AB73" s="7400"/>
      <c r="AC73" s="7400"/>
      <c r="AD73" s="7400"/>
      <c r="AE73" s="7999"/>
      <c r="AF73" s="8000"/>
      <c r="AG73" s="8000"/>
      <c r="AH73" s="8001"/>
      <c r="AI73" s="7399"/>
      <c r="AJ73" s="7400"/>
      <c r="AK73" s="7400"/>
      <c r="AL73" s="7401"/>
      <c r="AM73" s="7993"/>
      <c r="AN73" s="7994"/>
      <c r="AO73" s="7994"/>
      <c r="AP73" s="2162"/>
      <c r="AQ73" s="808"/>
      <c r="AR73" s="808"/>
      <c r="AS73" s="808"/>
      <c r="AT73" s="808"/>
      <c r="AU73" s="808"/>
      <c r="AV73" s="808"/>
      <c r="AW73" s="808"/>
      <c r="AX73" s="2396"/>
      <c r="AY73" s="3057"/>
      <c r="AZ73" s="3057"/>
      <c r="BA73" s="3057"/>
      <c r="BB73" s="3057"/>
      <c r="BC73" s="3057"/>
      <c r="BD73" s="3057"/>
      <c r="BE73" s="3057"/>
      <c r="BF73" s="3057"/>
      <c r="BG73" s="3057"/>
      <c r="BH73" s="3057"/>
    </row>
    <row r="74" spans="1:60" ht="6.75" customHeight="1">
      <c r="A74" s="3107"/>
      <c r="B74" s="2196"/>
      <c r="C74" s="2200"/>
      <c r="D74" s="2181"/>
      <c r="E74" s="2181"/>
      <c r="F74" s="2181"/>
      <c r="G74" s="2201"/>
      <c r="H74" s="7402"/>
      <c r="I74" s="7403"/>
      <c r="J74" s="7403"/>
      <c r="K74" s="7402"/>
      <c r="L74" s="7403"/>
      <c r="M74" s="7403"/>
      <c r="N74" s="7403"/>
      <c r="O74" s="8010"/>
      <c r="P74" s="8003"/>
      <c r="Q74" s="8003"/>
      <c r="R74" s="8003"/>
      <c r="S74" s="8004"/>
      <c r="T74" s="7402"/>
      <c r="U74" s="7403"/>
      <c r="V74" s="7403"/>
      <c r="W74" s="7404"/>
      <c r="X74" s="7402"/>
      <c r="Y74" s="7403"/>
      <c r="Z74" s="7403"/>
      <c r="AA74" s="7402"/>
      <c r="AB74" s="7403"/>
      <c r="AC74" s="7403"/>
      <c r="AD74" s="7403"/>
      <c r="AE74" s="8002"/>
      <c r="AF74" s="8003"/>
      <c r="AG74" s="8003"/>
      <c r="AH74" s="8004"/>
      <c r="AI74" s="7402"/>
      <c r="AJ74" s="7403"/>
      <c r="AK74" s="7403"/>
      <c r="AL74" s="7404"/>
      <c r="AM74" s="7995"/>
      <c r="AN74" s="7996"/>
      <c r="AO74" s="7996"/>
      <c r="AP74" s="2162"/>
      <c r="AQ74" s="808"/>
      <c r="AR74" s="808"/>
      <c r="AS74" s="808"/>
      <c r="AT74" s="808"/>
      <c r="AU74" s="808"/>
      <c r="AV74" s="808"/>
      <c r="AW74" s="808"/>
      <c r="AX74" s="2396"/>
      <c r="AY74" s="3057"/>
      <c r="AZ74" s="3057"/>
      <c r="BA74" s="3057"/>
      <c r="BB74" s="3057"/>
      <c r="BC74" s="3057"/>
      <c r="BD74" s="3057"/>
      <c r="BE74" s="3057"/>
      <c r="BF74" s="3057"/>
      <c r="BG74" s="3057"/>
      <c r="BH74" s="3057"/>
    </row>
    <row r="75" spans="1:60" ht="15" customHeight="1">
      <c r="A75" s="3162">
        <f>SUM(X75:AL75)</f>
        <v>0</v>
      </c>
      <c r="B75" s="2149" t="s">
        <v>542</v>
      </c>
      <c r="C75" s="8014"/>
      <c r="D75" s="8015"/>
      <c r="E75" s="8015"/>
      <c r="F75" s="8015"/>
      <c r="G75" s="8016"/>
      <c r="H75" s="7931"/>
      <c r="I75" s="7899"/>
      <c r="J75" s="7932"/>
      <c r="K75" s="7899"/>
      <c r="L75" s="7900"/>
      <c r="M75" s="7900"/>
      <c r="N75" s="7900"/>
      <c r="O75" s="7931"/>
      <c r="P75" s="7899"/>
      <c r="Q75" s="7899"/>
      <c r="R75" s="7899"/>
      <c r="S75" s="7932"/>
      <c r="T75" s="7931"/>
      <c r="U75" s="7899"/>
      <c r="V75" s="7899"/>
      <c r="W75" s="7932"/>
      <c r="X75" s="7931"/>
      <c r="Y75" s="7900"/>
      <c r="Z75" s="8017"/>
      <c r="AA75" s="7899"/>
      <c r="AB75" s="7899"/>
      <c r="AC75" s="7899"/>
      <c r="AD75" s="7932"/>
      <c r="AE75" s="7931"/>
      <c r="AF75" s="7899"/>
      <c r="AG75" s="7899"/>
      <c r="AH75" s="7932"/>
      <c r="AI75" s="7931"/>
      <c r="AJ75" s="7899"/>
      <c r="AK75" s="7899"/>
      <c r="AL75" s="7932"/>
      <c r="AM75" s="7991">
        <f>ROUND(SUM(X75:AL75),0)</f>
        <v>0</v>
      </c>
      <c r="AN75" s="7991"/>
      <c r="AO75" s="7991"/>
      <c r="AP75" s="2162"/>
      <c r="AQ75" s="3223" t="str">
        <f>IF(AND(AA75="",AE75="",AI75="",X76="",AA76="",AE76="",AI76="",X77="",AA77="",AE77="",AI77=""),"←  Enter foreign tax paid.","")</f>
        <v>←  Enter foreign tax paid.</v>
      </c>
      <c r="AR75" s="808"/>
      <c r="AS75" s="808"/>
      <c r="AT75" s="808"/>
      <c r="AU75" s="808"/>
      <c r="AV75" s="808"/>
      <c r="AW75" s="808"/>
      <c r="AX75" s="2396"/>
      <c r="AY75" s="3057"/>
      <c r="AZ75" s="3057"/>
      <c r="BA75" s="3057"/>
      <c r="BB75" s="3057"/>
      <c r="BC75" s="3057"/>
      <c r="BD75" s="3057"/>
      <c r="BE75" s="3057"/>
      <c r="BF75" s="3057"/>
      <c r="BG75" s="3057"/>
      <c r="BH75" s="3057"/>
    </row>
    <row r="76" spans="1:60" ht="15" customHeight="1">
      <c r="A76" s="3162">
        <f>SUM(X76:AL76)</f>
        <v>0</v>
      </c>
      <c r="B76" s="2149" t="s">
        <v>548</v>
      </c>
      <c r="C76" s="8014"/>
      <c r="D76" s="8015"/>
      <c r="E76" s="8015"/>
      <c r="F76" s="8015"/>
      <c r="G76" s="8016"/>
      <c r="H76" s="7931"/>
      <c r="I76" s="7899"/>
      <c r="J76" s="7932"/>
      <c r="K76" s="7899"/>
      <c r="L76" s="7900"/>
      <c r="M76" s="7900"/>
      <c r="N76" s="7900"/>
      <c r="O76" s="7931"/>
      <c r="P76" s="7899"/>
      <c r="Q76" s="7899"/>
      <c r="R76" s="7899"/>
      <c r="S76" s="7932"/>
      <c r="T76" s="7931"/>
      <c r="U76" s="7899"/>
      <c r="V76" s="7899"/>
      <c r="W76" s="7932"/>
      <c r="X76" s="7931"/>
      <c r="Y76" s="7900"/>
      <c r="Z76" s="8017"/>
      <c r="AA76" s="7899"/>
      <c r="AB76" s="7899"/>
      <c r="AC76" s="7899"/>
      <c r="AD76" s="7932"/>
      <c r="AE76" s="7931"/>
      <c r="AF76" s="7899"/>
      <c r="AG76" s="7899"/>
      <c r="AH76" s="7932"/>
      <c r="AI76" s="7931"/>
      <c r="AJ76" s="7899"/>
      <c r="AK76" s="7899"/>
      <c r="AL76" s="7932"/>
      <c r="AM76" s="7991">
        <f>ROUND(SUM(X76:AL76),0)</f>
        <v>0</v>
      </c>
      <c r="AN76" s="7991"/>
      <c r="AO76" s="7991"/>
      <c r="AP76" s="2162"/>
      <c r="AQ76" s="808"/>
      <c r="AR76" s="808"/>
      <c r="AS76" s="808"/>
      <c r="AT76" s="808"/>
      <c r="AU76" s="808"/>
      <c r="AV76" s="808"/>
      <c r="AW76" s="808"/>
      <c r="AX76" s="2396"/>
      <c r="AY76" s="3057"/>
      <c r="AZ76" s="3057"/>
      <c r="BA76" s="3057"/>
      <c r="BB76" s="3057"/>
      <c r="BC76" s="3057"/>
      <c r="BD76" s="3057"/>
      <c r="BE76" s="3057"/>
      <c r="BF76" s="3057"/>
      <c r="BG76" s="3057"/>
      <c r="BH76" s="3057"/>
    </row>
    <row r="77" spans="1:60" ht="15" customHeight="1">
      <c r="A77" s="3162">
        <f>SUM(X77:AL77)</f>
        <v>0</v>
      </c>
      <c r="B77" s="2149" t="s">
        <v>550</v>
      </c>
      <c r="C77" s="8014"/>
      <c r="D77" s="8015"/>
      <c r="E77" s="8015"/>
      <c r="F77" s="8015"/>
      <c r="G77" s="8016"/>
      <c r="H77" s="7931"/>
      <c r="I77" s="7899"/>
      <c r="J77" s="7932"/>
      <c r="K77" s="7899"/>
      <c r="L77" s="7900"/>
      <c r="M77" s="7900"/>
      <c r="N77" s="7900"/>
      <c r="O77" s="7931"/>
      <c r="P77" s="7899"/>
      <c r="Q77" s="7899"/>
      <c r="R77" s="7899"/>
      <c r="S77" s="7932"/>
      <c r="T77" s="7931"/>
      <c r="U77" s="7899"/>
      <c r="V77" s="7899"/>
      <c r="W77" s="7932"/>
      <c r="X77" s="7931"/>
      <c r="Y77" s="7900"/>
      <c r="Z77" s="8017"/>
      <c r="AA77" s="7899"/>
      <c r="AB77" s="7899"/>
      <c r="AC77" s="7899"/>
      <c r="AD77" s="7932"/>
      <c r="AE77" s="7931"/>
      <c r="AF77" s="7899"/>
      <c r="AG77" s="7899"/>
      <c r="AH77" s="7932"/>
      <c r="AI77" s="7931"/>
      <c r="AJ77" s="7899"/>
      <c r="AK77" s="7899"/>
      <c r="AL77" s="7932"/>
      <c r="AM77" s="7991">
        <f>ROUND(SUM(X77:AL77),0)</f>
        <v>0</v>
      </c>
      <c r="AN77" s="7991"/>
      <c r="AO77" s="7991"/>
      <c r="AP77" s="2162"/>
      <c r="AQ77" s="2162"/>
      <c r="AR77" s="2162"/>
      <c r="AS77" s="2162"/>
      <c r="AT77" s="2162"/>
      <c r="AU77" s="2162"/>
      <c r="AV77" s="808"/>
      <c r="AW77" s="808"/>
      <c r="AX77" s="2396"/>
      <c r="AY77" s="3057"/>
      <c r="AZ77" s="3057"/>
      <c r="BA77" s="3057"/>
      <c r="BB77" s="3057"/>
      <c r="BC77" s="3057"/>
      <c r="BD77" s="3057"/>
      <c r="BE77" s="3057"/>
      <c r="BF77" s="3057"/>
      <c r="BG77" s="3057"/>
      <c r="BH77" s="3057"/>
    </row>
    <row r="78" spans="1:60" ht="16.5" customHeight="1">
      <c r="A78" s="3113" t="b">
        <f>SUM(A75:A77)&gt;0</f>
        <v>0</v>
      </c>
      <c r="B78" s="8018">
        <v>8</v>
      </c>
      <c r="C78" s="8018"/>
      <c r="D78" s="2205" t="s">
        <v>3226</v>
      </c>
      <c r="E78" s="1122"/>
      <c r="F78" s="1122"/>
      <c r="G78" s="1122"/>
      <c r="H78" s="1122"/>
      <c r="I78" s="1122"/>
      <c r="J78" s="1122"/>
      <c r="K78" s="1122"/>
      <c r="L78" s="1122"/>
      <c r="M78" s="1122"/>
      <c r="N78" s="1122"/>
      <c r="O78" s="1122"/>
      <c r="P78" s="1122"/>
      <c r="Q78" s="1122"/>
      <c r="R78" s="1122"/>
      <c r="S78" s="1122"/>
      <c r="T78" s="1122"/>
      <c r="U78" s="1122"/>
      <c r="V78" s="1122"/>
      <c r="W78" s="1122"/>
      <c r="X78" s="1122"/>
      <c r="Y78" s="1122"/>
      <c r="Z78" s="1122"/>
      <c r="AA78" s="1122"/>
      <c r="AB78" s="1122"/>
      <c r="AC78" s="1122"/>
      <c r="AD78" s="1122"/>
      <c r="AE78" s="1122"/>
      <c r="AF78" s="1122"/>
      <c r="AG78" s="1122"/>
      <c r="AH78" s="1122"/>
      <c r="AI78" s="1122"/>
      <c r="AJ78" s="2999" t="s">
        <v>994</v>
      </c>
      <c r="AK78" s="7946">
        <v>8</v>
      </c>
      <c r="AL78" s="7947"/>
      <c r="AM78" s="7938">
        <f>IF(AQ78&lt;&gt;"",ROUND(AQ78,0),ROUND(SUM(AM75:AM77),0))</f>
        <v>0</v>
      </c>
      <c r="AN78" s="7939"/>
      <c r="AO78" s="7939"/>
      <c r="AP78" s="2162"/>
      <c r="AQ78" s="8144"/>
      <c r="AR78" s="8145"/>
      <c r="AS78" s="8145"/>
      <c r="AT78" s="8145"/>
      <c r="AU78" s="2162"/>
      <c r="AV78" s="808"/>
      <c r="AW78" s="808"/>
      <c r="AX78" s="2396"/>
      <c r="AY78" s="3057"/>
      <c r="AZ78" s="3057"/>
      <c r="BA78" s="3057"/>
      <c r="BB78" s="3057"/>
      <c r="BC78" s="3057"/>
      <c r="BD78" s="3057"/>
      <c r="BE78" s="3057"/>
      <c r="BF78" s="3057"/>
      <c r="BG78" s="3057"/>
      <c r="BH78" s="3057"/>
    </row>
    <row r="79" spans="1:60" ht="18">
      <c r="A79" s="3107"/>
      <c r="B79" s="2121" t="s">
        <v>3227</v>
      </c>
      <c r="C79" s="2119"/>
      <c r="D79" s="808"/>
      <c r="E79" s="808"/>
      <c r="F79" s="808"/>
      <c r="G79" s="808"/>
      <c r="H79" s="808"/>
      <c r="I79" s="808"/>
      <c r="J79" s="808"/>
      <c r="K79" s="808"/>
      <c r="L79" s="808"/>
      <c r="M79" s="808"/>
      <c r="N79" s="808"/>
      <c r="O79" s="808"/>
      <c r="P79" s="808"/>
      <c r="Q79" s="808"/>
      <c r="R79" s="808"/>
      <c r="S79" s="808"/>
      <c r="T79" s="808"/>
      <c r="U79" s="808"/>
      <c r="V79" s="808"/>
      <c r="W79" s="808"/>
      <c r="X79" s="892" t="s">
        <v>3228</v>
      </c>
      <c r="Y79" s="808"/>
      <c r="Z79" s="808"/>
      <c r="AA79" s="808"/>
      <c r="AB79" s="808"/>
      <c r="AC79" s="808"/>
      <c r="AD79" s="808"/>
      <c r="AE79" s="808"/>
      <c r="AF79" s="808"/>
      <c r="AG79" s="808"/>
      <c r="AH79" s="808"/>
      <c r="AI79" s="808"/>
      <c r="AJ79" s="808"/>
      <c r="AK79" s="1585"/>
      <c r="AL79" s="808"/>
      <c r="AM79" s="1585"/>
      <c r="AN79" s="1585" t="s">
        <v>3229</v>
      </c>
      <c r="AO79" s="1461" t="str">
        <f>"("&amp;TaxYear&amp;")"</f>
        <v>(2023)</v>
      </c>
      <c r="AP79" s="2162"/>
      <c r="AQ79" s="2162"/>
      <c r="AR79" s="2162"/>
      <c r="AS79" s="2162"/>
      <c r="AT79" s="2162"/>
      <c r="AU79" s="2162"/>
      <c r="AV79" s="808"/>
      <c r="AW79" s="808"/>
      <c r="AX79" s="2396"/>
      <c r="AY79" s="3057"/>
      <c r="AZ79" s="3057"/>
      <c r="BA79" s="3057"/>
      <c r="BB79" s="3057"/>
      <c r="BC79" s="3057"/>
      <c r="BD79" s="3057"/>
      <c r="BE79" s="3057"/>
      <c r="BF79" s="3057"/>
      <c r="BG79" s="3057"/>
      <c r="BH79" s="3057"/>
    </row>
    <row r="80" spans="1:60" ht="6" customHeight="1">
      <c r="A80" s="3107"/>
      <c r="B80" s="808"/>
      <c r="C80" s="808"/>
      <c r="D80" s="808"/>
      <c r="E80" s="808"/>
      <c r="F80" s="808"/>
      <c r="G80" s="808"/>
      <c r="H80" s="808"/>
      <c r="I80" s="808"/>
      <c r="J80" s="808"/>
      <c r="K80" s="808"/>
      <c r="L80" s="808"/>
      <c r="M80" s="808"/>
      <c r="N80" s="808"/>
      <c r="O80" s="808"/>
      <c r="P80" s="808"/>
      <c r="Q80" s="808"/>
      <c r="R80" s="808"/>
      <c r="S80" s="808"/>
      <c r="T80" s="901"/>
      <c r="U80" s="808"/>
      <c r="V80" s="808"/>
      <c r="W80" s="808"/>
      <c r="X80" s="808"/>
      <c r="Y80" s="808"/>
      <c r="Z80" s="808"/>
      <c r="AA80" s="808"/>
      <c r="AB80" s="808"/>
      <c r="AC80" s="808"/>
      <c r="AD80" s="808"/>
      <c r="AE80" s="808"/>
      <c r="AF80" s="808"/>
      <c r="AG80" s="808"/>
      <c r="AH80" s="808"/>
      <c r="AI80" s="808"/>
      <c r="AJ80" s="808"/>
      <c r="AK80" s="808"/>
      <c r="AL80" s="808"/>
      <c r="AM80" s="808"/>
      <c r="AN80" s="808"/>
      <c r="AO80" s="808"/>
      <c r="AP80" s="2162"/>
      <c r="AQ80" s="808"/>
      <c r="AR80" s="808"/>
      <c r="AS80" s="808"/>
      <c r="AT80" s="808"/>
      <c r="AU80" s="808"/>
      <c r="AV80" s="808"/>
      <c r="AW80" s="808"/>
      <c r="AX80" s="2396"/>
      <c r="AY80" s="3057"/>
      <c r="AZ80" s="3057"/>
      <c r="BA80" s="3057"/>
      <c r="BB80" s="3057"/>
      <c r="BC80" s="3057"/>
      <c r="BD80" s="3057"/>
      <c r="BE80" s="3057"/>
      <c r="BF80" s="3057"/>
      <c r="BG80" s="3057"/>
      <c r="BH80" s="3057"/>
    </row>
    <row r="81" spans="1:60" ht="18" customHeight="1" thickBot="1">
      <c r="A81" s="3107"/>
      <c r="B81" s="1463" t="str">
        <f>"Form 1116 ("&amp;TaxYear&amp;")"</f>
        <v>Form 1116 (2023)</v>
      </c>
      <c r="C81" s="896"/>
      <c r="D81" s="896"/>
      <c r="E81" s="896"/>
      <c r="F81" s="896"/>
      <c r="G81" s="896"/>
      <c r="H81" s="896"/>
      <c r="I81" s="896"/>
      <c r="J81" s="896"/>
      <c r="K81" s="896"/>
      <c r="L81" s="896"/>
      <c r="M81" s="896"/>
      <c r="N81" s="896"/>
      <c r="O81" s="896"/>
      <c r="P81" s="896"/>
      <c r="Q81" s="896"/>
      <c r="R81" s="896"/>
      <c r="S81" s="896"/>
      <c r="T81" s="896"/>
      <c r="U81" s="896"/>
      <c r="V81" s="896"/>
      <c r="W81" s="896"/>
      <c r="X81" s="896"/>
      <c r="Y81" s="896"/>
      <c r="Z81" s="896"/>
      <c r="AA81" s="896"/>
      <c r="AB81" s="896"/>
      <c r="AC81" s="896"/>
      <c r="AD81" s="896"/>
      <c r="AE81" s="896"/>
      <c r="AF81" s="896"/>
      <c r="AG81" s="896"/>
      <c r="AH81" s="896"/>
      <c r="AI81" s="896"/>
      <c r="AJ81" s="896"/>
      <c r="AK81" s="896"/>
      <c r="AL81" s="896"/>
      <c r="AM81" s="896"/>
      <c r="AN81" s="896"/>
      <c r="AO81" s="2148" t="s">
        <v>3230</v>
      </c>
      <c r="AP81" s="2162"/>
      <c r="AQ81" s="808"/>
      <c r="AR81" s="808"/>
      <c r="AS81" s="808"/>
      <c r="AT81" s="808"/>
      <c r="AU81" s="808"/>
      <c r="AV81" s="808"/>
      <c r="AW81" s="808"/>
      <c r="AX81" s="2396"/>
      <c r="AY81" s="3057"/>
      <c r="AZ81" s="3057"/>
      <c r="BA81" s="3057"/>
      <c r="BB81" s="3057"/>
      <c r="BC81" s="3057"/>
      <c r="BD81" s="3057"/>
      <c r="BE81" s="3057"/>
      <c r="BF81" s="3057"/>
      <c r="BG81" s="3057"/>
      <c r="BH81" s="3057"/>
    </row>
    <row r="82" spans="1:60" s="2114" customFormat="1" ht="16.5" customHeight="1">
      <c r="A82" s="3109"/>
      <c r="B82" s="7981" t="s">
        <v>2243</v>
      </c>
      <c r="C82" s="7981"/>
      <c r="D82" s="7982"/>
      <c r="E82" s="2115"/>
      <c r="F82" s="2179" t="s">
        <v>3231</v>
      </c>
      <c r="G82" s="2115"/>
      <c r="H82" s="2115"/>
      <c r="I82" s="2115"/>
      <c r="J82" s="2115"/>
      <c r="K82" s="2115"/>
      <c r="L82" s="2115"/>
      <c r="M82" s="2115"/>
      <c r="N82" s="2115"/>
      <c r="O82" s="2115"/>
      <c r="P82" s="2115"/>
      <c r="Q82" s="2115"/>
      <c r="R82" s="2115"/>
      <c r="S82" s="2115"/>
      <c r="T82" s="2115"/>
      <c r="U82" s="2115"/>
      <c r="V82" s="2115"/>
      <c r="W82" s="2115"/>
      <c r="X82" s="2115"/>
      <c r="Y82" s="2115"/>
      <c r="Z82" s="2115"/>
      <c r="AA82" s="2115"/>
      <c r="AB82" s="2115"/>
      <c r="AC82" s="2115"/>
      <c r="AD82" s="2115"/>
      <c r="AE82" s="2115"/>
      <c r="AF82" s="2115"/>
      <c r="AG82" s="2115"/>
      <c r="AH82" s="2115"/>
      <c r="AI82" s="2115"/>
      <c r="AJ82" s="2115"/>
      <c r="AK82" s="2115"/>
      <c r="AL82" s="2115"/>
      <c r="AM82" s="2115"/>
      <c r="AN82" s="2115"/>
      <c r="AO82" s="2115"/>
      <c r="AP82" s="2162"/>
      <c r="AQ82" s="1108"/>
      <c r="AR82" s="1108"/>
      <c r="AS82" s="1108"/>
      <c r="AT82" s="1108"/>
      <c r="AU82" s="1108"/>
      <c r="AV82" s="1108"/>
      <c r="AW82" s="1108"/>
      <c r="AX82" s="2396"/>
      <c r="AY82" s="3057"/>
      <c r="AZ82" s="3057"/>
      <c r="BA82" s="3057"/>
      <c r="BB82" s="3057"/>
      <c r="BC82" s="3057"/>
      <c r="BD82" s="3057"/>
      <c r="BE82" s="3057"/>
      <c r="BF82" s="3057"/>
      <c r="BG82" s="3057"/>
      <c r="BH82" s="3057"/>
    </row>
    <row r="83" spans="1:60" ht="17.25" customHeight="1">
      <c r="A83" s="3107"/>
      <c r="B83" s="8054">
        <v>9</v>
      </c>
      <c r="C83" s="8054"/>
      <c r="D83" s="808" t="s">
        <v>3232</v>
      </c>
      <c r="E83" s="808"/>
      <c r="F83" s="2112"/>
      <c r="G83" s="808"/>
      <c r="H83" s="808"/>
      <c r="I83" s="808"/>
      <c r="J83" s="808"/>
      <c r="K83" s="808"/>
      <c r="L83" s="808"/>
      <c r="M83" s="808"/>
      <c r="N83" s="808"/>
      <c r="O83" s="808"/>
      <c r="P83" s="808"/>
      <c r="Q83" s="808"/>
      <c r="R83" s="808"/>
      <c r="S83" s="808"/>
      <c r="T83" s="808"/>
      <c r="U83" s="808"/>
      <c r="V83" s="808"/>
      <c r="W83" s="808"/>
      <c r="X83" s="808"/>
      <c r="Y83" s="808"/>
      <c r="Z83" s="8011"/>
      <c r="AA83" s="8012"/>
      <c r="AB83" s="1149"/>
      <c r="AC83" s="1142"/>
      <c r="AD83" s="1142"/>
      <c r="AE83" s="1142"/>
      <c r="AF83" s="1142"/>
      <c r="AG83" s="1142"/>
      <c r="AH83" s="1142"/>
      <c r="AI83" s="1143"/>
      <c r="AJ83" s="7925"/>
      <c r="AK83" s="7935"/>
      <c r="AL83" s="1149"/>
      <c r="AM83" s="1142"/>
      <c r="AN83" s="1142"/>
      <c r="AO83" s="1142"/>
      <c r="AP83" s="2162"/>
      <c r="AQ83" s="1108"/>
      <c r="AR83" s="1108"/>
      <c r="AS83" s="1108"/>
      <c r="AT83" s="1108"/>
      <c r="AU83" s="1108"/>
      <c r="AV83" s="808"/>
      <c r="AW83" s="808"/>
      <c r="AX83" s="2396"/>
      <c r="AY83" s="3057"/>
      <c r="AZ83" s="3057"/>
      <c r="BA83" s="3057"/>
      <c r="BB83" s="3057"/>
      <c r="BC83" s="3057"/>
      <c r="BD83" s="3057"/>
      <c r="BE83" s="3057"/>
      <c r="BF83" s="3057"/>
      <c r="BG83" s="3057"/>
      <c r="BH83" s="3057"/>
    </row>
    <row r="84" spans="1:60" ht="14.25" customHeight="1">
      <c r="A84" s="3107"/>
      <c r="B84" s="892"/>
      <c r="C84" s="892"/>
      <c r="D84" s="808" t="s">
        <v>3233</v>
      </c>
      <c r="E84" s="808"/>
      <c r="F84" s="2112"/>
      <c r="G84" s="808"/>
      <c r="H84" s="808"/>
      <c r="I84" s="808"/>
      <c r="J84" s="808"/>
      <c r="K84" s="808"/>
      <c r="L84" s="808"/>
      <c r="M84" s="808"/>
      <c r="N84" s="808"/>
      <c r="O84" s="808"/>
      <c r="P84" s="808"/>
      <c r="Q84" s="808"/>
      <c r="R84" s="808"/>
      <c r="S84" s="808"/>
      <c r="T84" s="808"/>
      <c r="U84" s="808"/>
      <c r="V84" s="808"/>
      <c r="W84" s="808"/>
      <c r="X84" s="808"/>
      <c r="Y84" s="1128" t="s">
        <v>2114</v>
      </c>
      <c r="Z84" s="7979">
        <v>9</v>
      </c>
      <c r="AA84" s="7980"/>
      <c r="AB84" s="7985">
        <f>AM78</f>
        <v>0</v>
      </c>
      <c r="AC84" s="7986"/>
      <c r="AD84" s="7986"/>
      <c r="AE84" s="7986"/>
      <c r="AF84" s="7986"/>
      <c r="AG84" s="7986"/>
      <c r="AH84" s="7986"/>
      <c r="AI84" s="7987"/>
      <c r="AJ84" s="7925"/>
      <c r="AK84" s="7935"/>
      <c r="AL84" s="1150"/>
      <c r="AM84" s="808"/>
      <c r="AN84" s="808"/>
      <c r="AO84" s="808"/>
      <c r="AP84" s="2162"/>
      <c r="AQ84" s="1108"/>
      <c r="AR84" s="1108"/>
      <c r="AS84" s="1108"/>
      <c r="AT84" s="1108"/>
      <c r="AU84" s="1108"/>
      <c r="AV84" s="808"/>
      <c r="AW84" s="808"/>
      <c r="AX84" s="2396"/>
      <c r="AY84" s="3057"/>
      <c r="AZ84" s="3057"/>
      <c r="BA84" s="3057"/>
      <c r="BB84" s="3057"/>
      <c r="BC84" s="3057"/>
      <c r="BD84" s="3057"/>
      <c r="BE84" s="3057"/>
      <c r="BF84" s="3057"/>
      <c r="BG84" s="3057"/>
      <c r="BH84" s="3057"/>
    </row>
    <row r="85" spans="1:60" ht="15" customHeight="1">
      <c r="A85" s="3107"/>
      <c r="B85" s="7978">
        <v>10</v>
      </c>
      <c r="C85" s="7978"/>
      <c r="D85" s="892" t="s">
        <v>3234</v>
      </c>
      <c r="E85" s="808"/>
      <c r="F85" s="2112"/>
      <c r="G85" s="808"/>
      <c r="H85" s="808"/>
      <c r="I85" s="808"/>
      <c r="J85" s="808"/>
      <c r="K85" s="808"/>
      <c r="L85" s="808"/>
      <c r="M85" s="808"/>
      <c r="N85" s="808"/>
      <c r="O85" s="808"/>
      <c r="P85" s="808"/>
      <c r="Q85" s="808"/>
      <c r="R85" s="808"/>
      <c r="S85" s="808"/>
      <c r="T85" s="808"/>
      <c r="U85" s="808"/>
      <c r="V85" s="808"/>
      <c r="W85" s="808"/>
      <c r="X85" s="808"/>
      <c r="Y85" s="808"/>
      <c r="Z85" s="8011"/>
      <c r="AA85" s="8012"/>
      <c r="AB85" s="1149"/>
      <c r="AC85" s="1142"/>
      <c r="AD85" s="1142"/>
      <c r="AE85" s="1142"/>
      <c r="AF85" s="1142"/>
      <c r="AG85" s="1142"/>
      <c r="AH85" s="1142"/>
      <c r="AI85" s="1143"/>
      <c r="AJ85" s="7925"/>
      <c r="AK85" s="7935"/>
      <c r="AL85" s="1150"/>
      <c r="AM85" s="808"/>
      <c r="AN85" s="808"/>
      <c r="AO85" s="808"/>
      <c r="AP85" s="2162"/>
      <c r="AQ85" s="1108"/>
      <c r="AR85" s="1108"/>
      <c r="AS85" s="1108"/>
      <c r="AT85" s="1108"/>
      <c r="AU85" s="1108"/>
      <c r="AV85" s="808"/>
      <c r="AW85" s="808"/>
      <c r="AX85" s="2396"/>
      <c r="AY85" s="3057"/>
      <c r="AZ85" s="3057"/>
      <c r="BA85" s="3057"/>
      <c r="BB85" s="3057"/>
      <c r="BC85" s="3057"/>
      <c r="BD85" s="3057"/>
      <c r="BE85" s="3057"/>
      <c r="BF85" s="3057"/>
      <c r="BG85" s="3057"/>
      <c r="BH85" s="3057"/>
    </row>
    <row r="86" spans="1:60" ht="13.5" customHeight="1" thickBot="1">
      <c r="A86" s="3107"/>
      <c r="B86" s="7978"/>
      <c r="C86" s="7978"/>
      <c r="D86" s="892" t="s">
        <v>3235</v>
      </c>
      <c r="E86" s="808"/>
      <c r="F86" s="2112"/>
      <c r="G86" s="808"/>
      <c r="H86" s="808"/>
      <c r="I86" s="808"/>
      <c r="J86" s="808"/>
      <c r="K86" s="808"/>
      <c r="L86" s="808"/>
      <c r="M86" s="808"/>
      <c r="N86" s="808"/>
      <c r="O86" s="808"/>
      <c r="P86" s="808"/>
      <c r="Q86" s="808"/>
      <c r="R86" s="808"/>
      <c r="S86" s="808"/>
      <c r="T86" s="808"/>
      <c r="U86" s="808"/>
      <c r="V86" s="808"/>
      <c r="W86" s="808"/>
      <c r="X86" s="808"/>
      <c r="Y86" s="1128"/>
      <c r="Z86" s="7933">
        <v>10</v>
      </c>
      <c r="AA86" s="7934"/>
      <c r="AB86" s="7988"/>
      <c r="AC86" s="7989"/>
      <c r="AD86" s="7989"/>
      <c r="AE86" s="7989"/>
      <c r="AF86" s="7989"/>
      <c r="AG86" s="7989"/>
      <c r="AH86" s="7989"/>
      <c r="AI86" s="7990"/>
      <c r="AJ86" s="7925"/>
      <c r="AK86" s="7935"/>
      <c r="AL86" s="1150"/>
      <c r="AM86" s="808"/>
      <c r="AN86" s="808"/>
      <c r="AO86" s="808"/>
      <c r="AP86" s="2162"/>
      <c r="AQ86" s="808"/>
      <c r="AR86" s="808"/>
      <c r="AS86" s="808"/>
      <c r="AT86" s="808"/>
      <c r="AU86" s="808"/>
      <c r="AV86" s="808"/>
      <c r="AW86" s="808"/>
      <c r="AX86" s="2396"/>
      <c r="AY86" s="3057"/>
      <c r="AZ86" s="3057"/>
      <c r="BA86" s="3057"/>
      <c r="BB86" s="3057"/>
      <c r="BC86" s="3057"/>
      <c r="BD86" s="3057"/>
      <c r="BE86" s="3057"/>
      <c r="BF86" s="3057"/>
      <c r="BG86" s="3057"/>
      <c r="BH86" s="3057"/>
    </row>
    <row r="87" spans="1:60" ht="16.5" customHeight="1">
      <c r="A87" s="3107"/>
      <c r="B87" s="7978"/>
      <c r="C87" s="7978"/>
      <c r="D87" s="892" t="s">
        <v>3236</v>
      </c>
      <c r="E87" s="808"/>
      <c r="F87" s="2112"/>
      <c r="G87" s="808"/>
      <c r="H87" s="808"/>
      <c r="I87" s="808"/>
      <c r="J87" s="808"/>
      <c r="K87" s="808"/>
      <c r="L87" s="808"/>
      <c r="M87" s="808"/>
      <c r="N87" s="808"/>
      <c r="O87" s="808"/>
      <c r="P87" s="808"/>
      <c r="Q87" s="808"/>
      <c r="R87" s="808"/>
      <c r="S87" s="808"/>
      <c r="T87" s="808"/>
      <c r="U87" s="808"/>
      <c r="V87" s="808"/>
      <c r="W87" s="808"/>
      <c r="X87" s="808"/>
      <c r="Y87" s="808"/>
      <c r="Z87" s="8045"/>
      <c r="AA87" s="8046"/>
      <c r="AB87" s="1120"/>
      <c r="AC87" s="890"/>
      <c r="AD87" s="890"/>
      <c r="AE87" s="890"/>
      <c r="AF87" s="890"/>
      <c r="AG87" s="890"/>
      <c r="AH87" s="890"/>
      <c r="AI87" s="2628"/>
      <c r="AJ87" s="7925"/>
      <c r="AK87" s="7935"/>
      <c r="AL87" s="1150"/>
      <c r="AM87" s="808"/>
      <c r="AN87" s="808"/>
      <c r="AO87" s="808"/>
      <c r="AP87" s="2162"/>
      <c r="AQ87" s="808"/>
      <c r="AR87" s="808"/>
      <c r="AS87" s="808"/>
      <c r="AT87" s="808"/>
      <c r="AU87" s="808"/>
      <c r="AV87" s="808"/>
      <c r="AW87" s="808"/>
      <c r="AX87" s="2396"/>
      <c r="AY87" s="3057"/>
      <c r="AZ87" s="3057"/>
      <c r="BA87" s="3057"/>
      <c r="BB87" s="3057"/>
      <c r="BC87" s="3057"/>
      <c r="BD87" s="3057"/>
      <c r="BE87" s="3057"/>
      <c r="BF87" s="3057"/>
      <c r="BG87" s="3057"/>
      <c r="BH87" s="3057"/>
    </row>
    <row r="88" spans="1:60" ht="13.5" customHeight="1">
      <c r="A88" s="3107"/>
      <c r="B88" s="7978"/>
      <c r="C88" s="7978"/>
      <c r="D88" s="892" t="s">
        <v>3237</v>
      </c>
      <c r="E88" s="808"/>
      <c r="F88" s="2112"/>
      <c r="G88" s="808"/>
      <c r="H88" s="808"/>
      <c r="I88" s="808"/>
      <c r="J88" s="808"/>
      <c r="K88" s="808"/>
      <c r="L88" s="808"/>
      <c r="M88" s="808"/>
      <c r="N88" s="808"/>
      <c r="O88" s="808"/>
      <c r="P88" s="808"/>
      <c r="Q88" s="808"/>
      <c r="R88" s="808"/>
      <c r="S88" s="808"/>
      <c r="T88" s="808"/>
      <c r="U88" s="808"/>
      <c r="V88" s="808"/>
      <c r="W88" s="808"/>
      <c r="X88" s="808"/>
      <c r="Y88" s="808"/>
      <c r="Z88" s="7933"/>
      <c r="AA88" s="7934"/>
      <c r="AB88" s="1150"/>
      <c r="AC88" s="808"/>
      <c r="AD88" s="808"/>
      <c r="AE88" s="808"/>
      <c r="AF88" s="808"/>
      <c r="AG88" s="808"/>
      <c r="AH88" s="808"/>
      <c r="AI88" s="1151"/>
      <c r="AJ88" s="7925"/>
      <c r="AK88" s="7935"/>
      <c r="AL88" s="1150"/>
      <c r="AM88" s="808"/>
      <c r="AN88" s="808"/>
      <c r="AO88" s="808"/>
      <c r="AP88" s="2162"/>
      <c r="AQ88" s="808"/>
      <c r="AR88" s="808"/>
      <c r="AS88" s="808"/>
      <c r="AT88" s="808"/>
      <c r="AU88" s="808"/>
      <c r="AV88" s="808"/>
      <c r="AW88" s="808"/>
      <c r="AX88" s="2396"/>
      <c r="AY88" s="3057"/>
      <c r="AZ88" s="3057"/>
      <c r="BA88" s="3057"/>
      <c r="BB88" s="3057"/>
      <c r="BC88" s="3057"/>
      <c r="BD88" s="3057"/>
      <c r="BE88" s="3057"/>
      <c r="BF88" s="3057"/>
      <c r="BG88" s="3057"/>
      <c r="BH88" s="3057"/>
    </row>
    <row r="89" spans="1:60" ht="15.75" customHeight="1">
      <c r="A89" s="3107"/>
      <c r="B89" s="7978">
        <v>11</v>
      </c>
      <c r="C89" s="7978"/>
      <c r="D89" s="808" t="s">
        <v>3238</v>
      </c>
      <c r="E89" s="808"/>
      <c r="F89" s="2112"/>
      <c r="G89" s="808"/>
      <c r="H89" s="808"/>
      <c r="I89" s="808"/>
      <c r="J89" s="808"/>
      <c r="K89" s="808"/>
      <c r="L89" s="808"/>
      <c r="M89" s="808"/>
      <c r="N89" s="808"/>
      <c r="O89" s="808"/>
      <c r="P89" s="808"/>
      <c r="Q89" s="808"/>
      <c r="R89" s="808"/>
      <c r="S89" s="808"/>
      <c r="T89" s="808"/>
      <c r="U89" s="808"/>
      <c r="V89" s="808"/>
      <c r="W89" s="808"/>
      <c r="X89" s="808"/>
      <c r="Y89" s="1128" t="s">
        <v>911</v>
      </c>
      <c r="Z89" s="7979">
        <v>11</v>
      </c>
      <c r="AA89" s="7980"/>
      <c r="AB89" s="7985">
        <f>ROUND(SUM(AB84,AB86),0)</f>
        <v>0</v>
      </c>
      <c r="AC89" s="7986"/>
      <c r="AD89" s="7986"/>
      <c r="AE89" s="7986"/>
      <c r="AF89" s="7986"/>
      <c r="AG89" s="7986"/>
      <c r="AH89" s="7986"/>
      <c r="AI89" s="7987"/>
      <c r="AJ89" s="7925"/>
      <c r="AK89" s="7935"/>
      <c r="AL89" s="1150"/>
      <c r="AM89" s="808"/>
      <c r="AN89" s="808"/>
      <c r="AO89" s="808"/>
      <c r="AP89" s="2162"/>
      <c r="AQ89" s="808"/>
      <c r="AR89" s="808"/>
      <c r="AS89" s="808"/>
      <c r="AT89" s="808"/>
      <c r="AU89" s="808"/>
      <c r="AV89" s="808"/>
      <c r="AW89" s="808"/>
      <c r="AX89" s="2396"/>
      <c r="AY89" s="3057"/>
      <c r="AZ89" s="3057"/>
      <c r="BA89" s="3057"/>
      <c r="BB89" s="3057"/>
      <c r="BC89" s="3057"/>
      <c r="BD89" s="3057"/>
      <c r="BE89" s="3057"/>
      <c r="BF89" s="3057"/>
      <c r="BG89" s="3057"/>
      <c r="BH89" s="3057"/>
    </row>
    <row r="90" spans="1:60" ht="13.5" customHeight="1">
      <c r="A90" s="3107"/>
      <c r="B90" s="7978"/>
      <c r="C90" s="7978"/>
      <c r="D90" s="808"/>
      <c r="E90" s="808"/>
      <c r="F90" s="2112"/>
      <c r="G90" s="808"/>
      <c r="H90" s="808"/>
      <c r="I90" s="808"/>
      <c r="J90" s="808"/>
      <c r="K90" s="808"/>
      <c r="L90" s="808"/>
      <c r="M90" s="808"/>
      <c r="N90" s="808"/>
      <c r="O90" s="808"/>
      <c r="P90" s="808"/>
      <c r="Q90" s="808"/>
      <c r="R90" s="808"/>
      <c r="S90" s="808"/>
      <c r="T90" s="808"/>
      <c r="U90" s="808"/>
      <c r="V90" s="808"/>
      <c r="W90" s="808"/>
      <c r="X90" s="808"/>
      <c r="Y90" s="808"/>
      <c r="Z90" s="8011"/>
      <c r="AA90" s="8012"/>
      <c r="AB90" s="1149"/>
      <c r="AC90" s="1142"/>
      <c r="AD90" s="1142"/>
      <c r="AE90" s="1142"/>
      <c r="AF90" s="1142"/>
      <c r="AG90" s="1142"/>
      <c r="AH90" s="1142"/>
      <c r="AI90" s="1143"/>
      <c r="AJ90" s="7925"/>
      <c r="AK90" s="7935"/>
      <c r="AL90" s="7944" t="str">
        <f>IF(AB91&gt;0,"Line 12 cannot be","")</f>
        <v/>
      </c>
      <c r="AM90" s="7945"/>
      <c r="AN90" s="7945"/>
      <c r="AO90" s="7945"/>
      <c r="AP90" s="2162"/>
      <c r="AQ90" s="808"/>
      <c r="AR90" s="808"/>
      <c r="AS90" s="808"/>
      <c r="AT90" s="808"/>
      <c r="AU90" s="808"/>
      <c r="AV90" s="808"/>
      <c r="AW90" s="808"/>
      <c r="AX90" s="2396"/>
      <c r="AY90" s="3057"/>
      <c r="AZ90" s="3057"/>
      <c r="BA90" s="3057"/>
      <c r="BB90" s="3057"/>
      <c r="BC90" s="3057"/>
      <c r="BD90" s="3057"/>
      <c r="BE90" s="3057"/>
      <c r="BF90" s="3057"/>
      <c r="BG90" s="3057"/>
      <c r="BH90" s="3057"/>
    </row>
    <row r="91" spans="1:60" ht="13.5" customHeight="1">
      <c r="A91" s="3107"/>
      <c r="B91" s="7978">
        <v>12</v>
      </c>
      <c r="C91" s="7978"/>
      <c r="D91" s="892" t="s">
        <v>3239</v>
      </c>
      <c r="E91" s="808"/>
      <c r="F91" s="2112"/>
      <c r="G91" s="808"/>
      <c r="H91" s="808"/>
      <c r="I91" s="808"/>
      <c r="J91" s="808"/>
      <c r="K91" s="808"/>
      <c r="L91" s="808"/>
      <c r="M91" s="808"/>
      <c r="N91" s="808"/>
      <c r="O91" s="808"/>
      <c r="P91" s="808"/>
      <c r="Q91" s="808"/>
      <c r="R91" s="808"/>
      <c r="S91" s="808"/>
      <c r="T91" s="808"/>
      <c r="U91" s="808"/>
      <c r="V91" s="808"/>
      <c r="W91" s="808"/>
      <c r="X91" s="808"/>
      <c r="Y91" s="1128" t="s">
        <v>930</v>
      </c>
      <c r="Z91" s="7979">
        <v>12</v>
      </c>
      <c r="AA91" s="7980"/>
      <c r="AB91" s="8013"/>
      <c r="AC91" s="7919"/>
      <c r="AD91" s="7919"/>
      <c r="AE91" s="7919"/>
      <c r="AF91" s="7919"/>
      <c r="AG91" s="7919"/>
      <c r="AH91" s="7919"/>
      <c r="AI91" s="7920"/>
      <c r="AJ91" s="7925"/>
      <c r="AK91" s="7935"/>
      <c r="AL91" s="7944" t="str">
        <f>IF(AB91&gt;0,"a positive number.","")</f>
        <v/>
      </c>
      <c r="AM91" s="7945"/>
      <c r="AN91" s="7945"/>
      <c r="AO91" s="7945"/>
      <c r="AP91" s="2162"/>
      <c r="AQ91" s="808"/>
      <c r="AR91" s="808"/>
      <c r="AS91" s="808"/>
      <c r="AT91" s="808"/>
      <c r="AU91" s="808"/>
      <c r="AV91" s="808"/>
      <c r="AW91" s="808"/>
      <c r="AX91" s="2396"/>
      <c r="AY91" s="3057"/>
      <c r="AZ91" s="3057"/>
      <c r="BA91" s="3057"/>
      <c r="BB91" s="3057"/>
      <c r="BC91" s="3057"/>
      <c r="BD91" s="3057"/>
      <c r="BE91" s="3057"/>
      <c r="BF91" s="3057"/>
      <c r="BG91" s="3057"/>
      <c r="BH91" s="3057"/>
    </row>
    <row r="92" spans="1:60" ht="13.5" customHeight="1">
      <c r="A92" s="3107"/>
      <c r="B92" s="7978"/>
      <c r="C92" s="7978"/>
      <c r="D92" s="808"/>
      <c r="E92" s="808"/>
      <c r="F92" s="2112"/>
      <c r="G92" s="808"/>
      <c r="H92" s="808"/>
      <c r="I92" s="808"/>
      <c r="J92" s="808"/>
      <c r="K92" s="808"/>
      <c r="L92" s="808"/>
      <c r="M92" s="808"/>
      <c r="N92" s="808"/>
      <c r="O92" s="808"/>
      <c r="P92" s="808"/>
      <c r="Q92" s="808"/>
      <c r="R92" s="808"/>
      <c r="S92" s="808"/>
      <c r="T92" s="808"/>
      <c r="U92" s="808"/>
      <c r="V92" s="808"/>
      <c r="W92" s="808"/>
      <c r="X92" s="808"/>
      <c r="Y92" s="808"/>
      <c r="Z92" s="8011"/>
      <c r="AA92" s="8012"/>
      <c r="AB92" s="1149"/>
      <c r="AC92" s="1142"/>
      <c r="AD92" s="1142"/>
      <c r="AE92" s="1142"/>
      <c r="AF92" s="1142"/>
      <c r="AG92" s="1142"/>
      <c r="AH92" s="1142"/>
      <c r="AI92" s="1143"/>
      <c r="AJ92" s="7925"/>
      <c r="AK92" s="7935"/>
      <c r="AL92" s="1150"/>
      <c r="AM92" s="808"/>
      <c r="AN92" s="808"/>
      <c r="AO92" s="808"/>
      <c r="AP92" s="2162"/>
      <c r="AQ92" s="808"/>
      <c r="AR92" s="808"/>
      <c r="AS92" s="808"/>
      <c r="AT92" s="808"/>
      <c r="AU92" s="808"/>
      <c r="AV92" s="808"/>
      <c r="AW92" s="808"/>
      <c r="AX92" s="2396"/>
      <c r="AY92" s="3057"/>
      <c r="AZ92" s="3057"/>
      <c r="BA92" s="3057"/>
      <c r="BB92" s="3057"/>
      <c r="BC92" s="3057"/>
      <c r="BD92" s="3057"/>
      <c r="BE92" s="3057"/>
      <c r="BF92" s="3057"/>
      <c r="BG92" s="3057"/>
      <c r="BH92" s="3057"/>
    </row>
    <row r="93" spans="1:60" ht="13.5" customHeight="1" thickBot="1">
      <c r="A93" s="3107"/>
      <c r="B93" s="7978">
        <v>13</v>
      </c>
      <c r="C93" s="7978"/>
      <c r="D93" s="892" t="s">
        <v>3240</v>
      </c>
      <c r="E93" s="808"/>
      <c r="F93" s="2112"/>
      <c r="G93" s="808"/>
      <c r="H93" s="808"/>
      <c r="I93" s="808"/>
      <c r="J93" s="808"/>
      <c r="K93" s="808"/>
      <c r="L93" s="808"/>
      <c r="M93" s="808"/>
      <c r="N93" s="808"/>
      <c r="O93" s="808"/>
      <c r="P93" s="808"/>
      <c r="Q93" s="808"/>
      <c r="R93" s="808"/>
      <c r="S93" s="808"/>
      <c r="T93" s="808"/>
      <c r="U93" s="808"/>
      <c r="V93" s="808"/>
      <c r="W93" s="808"/>
      <c r="X93" s="808"/>
      <c r="Y93" s="1128" t="s">
        <v>2114</v>
      </c>
      <c r="Z93" s="7979">
        <v>13</v>
      </c>
      <c r="AA93" s="7980"/>
      <c r="AB93" s="7918"/>
      <c r="AC93" s="7919"/>
      <c r="AD93" s="7919"/>
      <c r="AE93" s="7919"/>
      <c r="AF93" s="7919"/>
      <c r="AG93" s="7919"/>
      <c r="AH93" s="7919"/>
      <c r="AI93" s="7920"/>
      <c r="AJ93" s="7925"/>
      <c r="AK93" s="7935"/>
      <c r="AL93" s="1150"/>
      <c r="AM93" s="808"/>
      <c r="AN93" s="808"/>
      <c r="AO93" s="808"/>
      <c r="AP93" s="2162"/>
      <c r="AQ93" s="808"/>
      <c r="AR93" s="808"/>
      <c r="AS93" s="808"/>
      <c r="AT93" s="808"/>
      <c r="AU93" s="808"/>
      <c r="AV93" s="808"/>
      <c r="AW93" s="808"/>
      <c r="AX93" s="2396"/>
      <c r="AY93" s="3057"/>
      <c r="AZ93" s="3057"/>
      <c r="BA93" s="3057"/>
      <c r="BB93" s="3057"/>
      <c r="BC93" s="3057"/>
      <c r="BD93" s="3057"/>
      <c r="BE93" s="3057"/>
      <c r="BF93" s="3057"/>
      <c r="BG93" s="3057"/>
      <c r="BH93" s="3057"/>
    </row>
    <row r="94" spans="1:60" ht="13.5" customHeight="1">
      <c r="A94" s="3107"/>
      <c r="B94" s="7978"/>
      <c r="C94" s="7978"/>
      <c r="D94" s="808"/>
      <c r="E94" s="808"/>
      <c r="F94" s="2112"/>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08"/>
      <c r="AE94" s="808"/>
      <c r="AF94" s="808"/>
      <c r="AG94" s="808"/>
      <c r="AH94" s="808"/>
      <c r="AI94" s="808"/>
      <c r="AJ94" s="1149"/>
      <c r="AK94" s="1143"/>
      <c r="AL94" s="1149"/>
      <c r="AM94" s="1142"/>
      <c r="AN94" s="1142"/>
      <c r="AO94" s="1142"/>
      <c r="AP94" s="2162"/>
      <c r="AQ94" s="808"/>
      <c r="AR94" s="808"/>
      <c r="AS94" s="808"/>
      <c r="AT94" s="808"/>
      <c r="AU94" s="808"/>
      <c r="AV94" s="808"/>
      <c r="AW94" s="808"/>
      <c r="AX94" s="4817"/>
      <c r="AY94" s="4818"/>
      <c r="AZ94" s="4818"/>
      <c r="BA94" s="4818"/>
      <c r="BB94" s="4818"/>
      <c r="BC94" s="4818"/>
      <c r="BD94" s="4818"/>
      <c r="BE94" s="4818"/>
      <c r="BF94" s="4818"/>
      <c r="BG94" s="4818"/>
      <c r="BH94" s="4819"/>
    </row>
    <row r="95" spans="1:60" ht="13.5" customHeight="1">
      <c r="A95" s="3107"/>
      <c r="B95" s="7978">
        <v>14</v>
      </c>
      <c r="C95" s="7978"/>
      <c r="D95" s="892" t="s">
        <v>3241</v>
      </c>
      <c r="E95" s="808"/>
      <c r="F95" s="2112"/>
      <c r="G95" s="808"/>
      <c r="H95" s="808"/>
      <c r="I95" s="808"/>
      <c r="J95" s="808"/>
      <c r="K95" s="808"/>
      <c r="L95" s="808"/>
      <c r="M95" s="808"/>
      <c r="N95" s="808"/>
      <c r="O95" s="808"/>
      <c r="P95" s="808"/>
      <c r="Q95" s="808"/>
      <c r="R95" s="808"/>
      <c r="S95" s="808"/>
      <c r="T95" s="808"/>
      <c r="U95" s="808"/>
      <c r="V95" s="808"/>
      <c r="W95" s="808"/>
      <c r="X95" s="808"/>
      <c r="Y95" s="808"/>
      <c r="Z95" s="808"/>
      <c r="AA95" s="808"/>
      <c r="AB95" s="808"/>
      <c r="AC95" s="808"/>
      <c r="AD95" s="808"/>
      <c r="AE95" s="808"/>
      <c r="AF95" s="808"/>
      <c r="AG95" s="808"/>
      <c r="AH95" s="808"/>
      <c r="AI95" s="1128" t="s">
        <v>1026</v>
      </c>
      <c r="AJ95" s="7979">
        <v>14</v>
      </c>
      <c r="AK95" s="7980"/>
      <c r="AL95" s="7916">
        <f>SUM(AB89,AB91,AB93)</f>
        <v>0</v>
      </c>
      <c r="AM95" s="6829"/>
      <c r="AN95" s="6829"/>
      <c r="AO95" s="6829"/>
      <c r="AP95" s="2162"/>
      <c r="AQ95" s="808"/>
      <c r="AR95" s="808"/>
      <c r="AS95" s="808"/>
      <c r="AT95" s="808"/>
      <c r="AU95" s="808"/>
      <c r="AV95" s="808"/>
      <c r="AW95" s="808"/>
      <c r="AX95" s="4820" t="s">
        <v>3242</v>
      </c>
      <c r="AY95" s="4821"/>
      <c r="AZ95" s="3225"/>
      <c r="BA95" s="3225"/>
      <c r="BB95" s="3225"/>
      <c r="BC95" s="3225"/>
      <c r="BD95" s="3225"/>
      <c r="BE95" s="3225"/>
      <c r="BF95" s="3225"/>
      <c r="BG95" s="3225"/>
      <c r="BH95" s="4822"/>
    </row>
    <row r="96" spans="1:60" ht="18" customHeight="1">
      <c r="A96" s="3107"/>
      <c r="B96" s="7978">
        <v>15</v>
      </c>
      <c r="C96" s="7978"/>
      <c r="D96" s="808" t="s">
        <v>3243</v>
      </c>
      <c r="E96" s="808"/>
      <c r="F96" s="2112"/>
      <c r="G96" s="808"/>
      <c r="H96" s="808"/>
      <c r="I96" s="808"/>
      <c r="J96" s="808"/>
      <c r="K96" s="808"/>
      <c r="L96" s="808"/>
      <c r="M96" s="808"/>
      <c r="N96" s="808"/>
      <c r="O96" s="808"/>
      <c r="P96" s="808"/>
      <c r="Q96" s="808"/>
      <c r="R96" s="808"/>
      <c r="S96" s="808"/>
      <c r="T96" s="808"/>
      <c r="U96" s="808"/>
      <c r="V96" s="808"/>
      <c r="W96" s="808"/>
      <c r="X96" s="808"/>
      <c r="Y96" s="808"/>
      <c r="Z96" s="7933"/>
      <c r="AA96" s="7934"/>
      <c r="AB96" s="1150"/>
      <c r="AC96" s="808"/>
      <c r="AD96" s="808"/>
      <c r="AE96" s="808"/>
      <c r="AF96" s="808"/>
      <c r="AG96" s="808"/>
      <c r="AH96" s="808"/>
      <c r="AI96" s="1151"/>
      <c r="AJ96" s="7925"/>
      <c r="AK96" s="7935"/>
      <c r="AL96" s="1150"/>
      <c r="AM96" s="808"/>
      <c r="AN96" s="808"/>
      <c r="AO96" s="808"/>
      <c r="AP96" s="2162"/>
      <c r="AQ96" s="808"/>
      <c r="AR96" s="808"/>
      <c r="AS96" s="808"/>
      <c r="AT96" s="808"/>
      <c r="AU96" s="808"/>
      <c r="AV96" s="808"/>
      <c r="AW96" s="808"/>
      <c r="AX96" s="4823" t="b">
        <f>AND(CGTW_Line5&gt;0,CGTW_Line5&lt;&gt;"")</f>
        <v>0</v>
      </c>
      <c r="AY96" s="4821" t="s">
        <v>3244</v>
      </c>
      <c r="AZ96" s="3225"/>
      <c r="BA96" s="3225"/>
      <c r="BB96" s="3225"/>
      <c r="BC96" s="3225"/>
      <c r="BD96" s="3225"/>
      <c r="BE96" s="3225"/>
      <c r="BF96" s="3225"/>
      <c r="BG96" s="3225"/>
      <c r="BH96" s="4822"/>
    </row>
    <row r="97" spans="1:60" ht="13.5" customHeight="1">
      <c r="A97" s="3107"/>
      <c r="B97" s="7978"/>
      <c r="C97" s="7978"/>
      <c r="D97" s="808" t="s">
        <v>3245</v>
      </c>
      <c r="E97" s="808"/>
      <c r="F97" s="2112"/>
      <c r="G97" s="808"/>
      <c r="H97" s="808"/>
      <c r="I97" s="808"/>
      <c r="J97" s="808"/>
      <c r="K97" s="808"/>
      <c r="L97" s="808"/>
      <c r="M97" s="808"/>
      <c r="N97" s="808"/>
      <c r="O97" s="808"/>
      <c r="P97" s="808"/>
      <c r="Q97" s="808"/>
      <c r="R97" s="808"/>
      <c r="S97" s="808"/>
      <c r="T97" s="808"/>
      <c r="U97" s="808"/>
      <c r="V97" s="808"/>
      <c r="W97" s="808"/>
      <c r="X97" s="808"/>
      <c r="Y97" s="808"/>
      <c r="Z97" s="7933"/>
      <c r="AA97" s="7934"/>
      <c r="AB97" s="1150"/>
      <c r="AC97" s="808"/>
      <c r="AD97" s="808"/>
      <c r="AE97" s="808"/>
      <c r="AF97" s="808"/>
      <c r="AG97" s="808"/>
      <c r="AH97" s="808"/>
      <c r="AI97" s="1151"/>
      <c r="AJ97" s="7925"/>
      <c r="AK97" s="7935"/>
      <c r="AL97" s="1150"/>
      <c r="AM97" s="808"/>
      <c r="AN97" s="808"/>
      <c r="AO97" s="808"/>
      <c r="AP97" s="2162"/>
      <c r="AQ97" s="808"/>
      <c r="AR97" s="808"/>
      <c r="AS97" s="808"/>
      <c r="AT97" s="808"/>
      <c r="AU97" s="808"/>
      <c r="AV97" s="808"/>
      <c r="AW97" s="808"/>
      <c r="AX97" s="4823" t="b">
        <f>AND(CGTW_Line23&lt;CGTW_Line24,CGTW_Line23&lt;&gt;"",CGTW_Line24&lt;&gt;"")</f>
        <v>0</v>
      </c>
      <c r="AY97" s="4821" t="s">
        <v>3246</v>
      </c>
      <c r="AZ97" s="3225"/>
      <c r="BA97" s="3225"/>
      <c r="BB97" s="3225"/>
      <c r="BC97" s="3225"/>
      <c r="BD97" s="3225"/>
      <c r="BE97" s="3225"/>
      <c r="BF97" s="3225"/>
      <c r="BG97" s="3225"/>
      <c r="BH97" s="4822"/>
    </row>
    <row r="98" spans="1:60" ht="13.5" customHeight="1">
      <c r="A98" s="3107"/>
      <c r="B98" s="2335"/>
      <c r="C98" s="2335"/>
      <c r="D98" s="893" t="s">
        <v>3247</v>
      </c>
      <c r="E98" s="808"/>
      <c r="F98" s="808"/>
      <c r="G98" s="808"/>
      <c r="H98" s="808"/>
      <c r="I98" s="808"/>
      <c r="J98" s="808"/>
      <c r="K98" s="808"/>
      <c r="L98" s="808"/>
      <c r="M98" s="808"/>
      <c r="N98" s="808"/>
      <c r="O98" s="808"/>
      <c r="P98" s="808"/>
      <c r="Q98" s="808"/>
      <c r="R98" s="808"/>
      <c r="S98" s="808"/>
      <c r="T98" s="808"/>
      <c r="U98" s="808"/>
      <c r="V98" s="808"/>
      <c r="W98" s="808"/>
      <c r="X98" s="808"/>
      <c r="Y98" s="1128" t="s">
        <v>994</v>
      </c>
      <c r="Z98" s="7979">
        <v>15</v>
      </c>
      <c r="AA98" s="8041"/>
      <c r="AB98" s="7985" t="str">
        <f>AL62</f>
        <v/>
      </c>
      <c r="AC98" s="7986"/>
      <c r="AD98" s="7986"/>
      <c r="AE98" s="7986"/>
      <c r="AF98" s="7986"/>
      <c r="AG98" s="7986"/>
      <c r="AH98" s="7986"/>
      <c r="AI98" s="7987"/>
      <c r="AJ98" s="7925"/>
      <c r="AK98" s="7935"/>
      <c r="AL98" s="1150"/>
      <c r="AM98" s="808"/>
      <c r="AN98" s="808"/>
      <c r="AO98" s="808"/>
      <c r="AP98" s="2162"/>
      <c r="AQ98" s="808"/>
      <c r="AR98" s="808"/>
      <c r="AS98" s="808"/>
      <c r="AT98" s="808"/>
      <c r="AU98" s="808"/>
      <c r="AV98" s="808"/>
      <c r="AW98" s="808"/>
      <c r="AX98" s="4824" t="b">
        <f>AND(AX96,AX97)</f>
        <v>0</v>
      </c>
      <c r="AY98" s="4821"/>
      <c r="AZ98" s="3225"/>
      <c r="BA98" s="3225"/>
      <c r="BB98" s="3225"/>
      <c r="BC98" s="3225"/>
      <c r="BD98" s="3225"/>
      <c r="BE98" s="3225"/>
      <c r="BF98" s="3225"/>
      <c r="BG98" s="3225"/>
      <c r="BH98" s="4822"/>
    </row>
    <row r="99" spans="1:60" ht="13.5" customHeight="1">
      <c r="A99" s="3107"/>
      <c r="B99" s="7978">
        <v>16</v>
      </c>
      <c r="C99" s="7978"/>
      <c r="D99" s="1746" t="s">
        <v>3248</v>
      </c>
      <c r="E99" s="1040"/>
      <c r="F99" s="1410"/>
      <c r="G99" s="808"/>
      <c r="H99" s="808"/>
      <c r="I99" s="808"/>
      <c r="J99" s="808"/>
      <c r="K99" s="808"/>
      <c r="L99" s="808"/>
      <c r="M99" s="808"/>
      <c r="N99" s="808"/>
      <c r="O99" s="808"/>
      <c r="P99" s="2177"/>
      <c r="Q99" s="1040"/>
      <c r="R99" s="1410"/>
      <c r="S99" s="892"/>
      <c r="T99" s="808"/>
      <c r="U99" s="808"/>
      <c r="V99" s="808"/>
      <c r="W99" s="808"/>
      <c r="X99" s="808"/>
      <c r="Y99" s="1128" t="s">
        <v>990</v>
      </c>
      <c r="Z99" s="8042">
        <v>16</v>
      </c>
      <c r="AA99" s="7569"/>
      <c r="AB99" s="7918"/>
      <c r="AC99" s="7919"/>
      <c r="AD99" s="7919"/>
      <c r="AE99" s="7919"/>
      <c r="AF99" s="7919"/>
      <c r="AG99" s="7919"/>
      <c r="AH99" s="7919"/>
      <c r="AI99" s="7920"/>
      <c r="AJ99" s="7925"/>
      <c r="AK99" s="7935"/>
      <c r="AL99" s="1150"/>
      <c r="AM99" s="808"/>
      <c r="AN99" s="808"/>
      <c r="AO99" s="808"/>
      <c r="AP99" s="2162"/>
      <c r="AQ99" s="808"/>
      <c r="AR99" s="808"/>
      <c r="AS99" s="808"/>
      <c r="AT99" s="808"/>
      <c r="AU99" s="808"/>
      <c r="AV99" s="808"/>
      <c r="AW99" s="808"/>
      <c r="AX99" s="4825" t="s">
        <v>3249</v>
      </c>
      <c r="AY99" s="4821"/>
      <c r="AZ99" s="3225"/>
      <c r="BA99" s="3225"/>
      <c r="BB99" s="3225"/>
      <c r="BC99" s="3225"/>
      <c r="BD99" s="3225"/>
      <c r="BE99" s="3225"/>
      <c r="BF99" s="3225"/>
      <c r="BG99" s="3225"/>
      <c r="BH99" s="4822"/>
    </row>
    <row r="100" spans="1:60" ht="18" customHeight="1" thickBot="1">
      <c r="A100" s="3107"/>
      <c r="B100" s="7978">
        <v>17</v>
      </c>
      <c r="C100" s="7978"/>
      <c r="D100" s="892" t="s">
        <v>3250</v>
      </c>
      <c r="E100" s="808"/>
      <c r="F100" s="2112"/>
      <c r="G100" s="808"/>
      <c r="H100" s="808"/>
      <c r="I100" s="808"/>
      <c r="J100" s="808"/>
      <c r="K100" s="808"/>
      <c r="L100" s="808"/>
      <c r="M100" s="808"/>
      <c r="N100" s="808"/>
      <c r="O100" s="808"/>
      <c r="P100" s="808"/>
      <c r="Q100" s="808"/>
      <c r="R100" s="808"/>
      <c r="S100" s="808"/>
      <c r="T100" s="808"/>
      <c r="U100" s="808"/>
      <c r="V100" s="808"/>
      <c r="W100" s="808"/>
      <c r="X100" s="808"/>
      <c r="Y100" s="808"/>
      <c r="Z100" s="7933"/>
      <c r="AA100" s="7934"/>
      <c r="AB100" s="1150"/>
      <c r="AC100" s="808"/>
      <c r="AD100" s="808"/>
      <c r="AE100" s="808"/>
      <c r="AF100" s="808"/>
      <c r="AG100" s="808"/>
      <c r="AH100" s="808"/>
      <c r="AI100" s="1151"/>
      <c r="AJ100" s="7925"/>
      <c r="AK100" s="7935"/>
      <c r="AL100" s="1150"/>
      <c r="AM100" s="808"/>
      <c r="AN100" s="808"/>
      <c r="AO100" s="808"/>
      <c r="AP100" s="2162"/>
      <c r="AQ100" s="808"/>
      <c r="AR100" s="808"/>
      <c r="AS100" s="808"/>
      <c r="AT100" s="808"/>
      <c r="AU100" s="808"/>
      <c r="AV100" s="808"/>
      <c r="AW100" s="808"/>
      <c r="AX100" s="4826" t="s">
        <v>3251</v>
      </c>
      <c r="AY100" s="4827"/>
      <c r="AZ100" s="4828"/>
      <c r="BA100" s="4828"/>
      <c r="BB100" s="4828"/>
      <c r="BC100" s="4828"/>
      <c r="BD100" s="4828"/>
      <c r="BE100" s="4828"/>
      <c r="BF100" s="4828"/>
      <c r="BG100" s="4828"/>
      <c r="BH100" s="4829"/>
    </row>
    <row r="101" spans="1:60" ht="13.5" customHeight="1">
      <c r="A101" s="3107"/>
      <c r="B101" s="7978"/>
      <c r="C101" s="7978"/>
      <c r="D101" s="808" t="s">
        <v>3252</v>
      </c>
      <c r="E101" s="808"/>
      <c r="F101" s="2112"/>
      <c r="G101" s="808"/>
      <c r="H101" s="808"/>
      <c r="I101" s="808"/>
      <c r="J101" s="808"/>
      <c r="K101" s="808"/>
      <c r="L101" s="808"/>
      <c r="M101" s="808"/>
      <c r="N101" s="808"/>
      <c r="O101" s="808"/>
      <c r="P101" s="808"/>
      <c r="Q101" s="808"/>
      <c r="R101" s="808"/>
      <c r="S101" s="808"/>
      <c r="T101" s="808"/>
      <c r="U101" s="808"/>
      <c r="V101" s="808"/>
      <c r="W101" s="808"/>
      <c r="X101" s="808"/>
      <c r="Y101" s="808"/>
      <c r="Z101" s="7933"/>
      <c r="AA101" s="7934"/>
      <c r="AB101" s="1150"/>
      <c r="AC101" s="808"/>
      <c r="AD101" s="808"/>
      <c r="AE101" s="808"/>
      <c r="AF101" s="808"/>
      <c r="AG101" s="808"/>
      <c r="AH101" s="808"/>
      <c r="AI101" s="1151"/>
      <c r="AJ101" s="7925"/>
      <c r="AK101" s="7935"/>
      <c r="AL101" s="1150"/>
      <c r="AM101" s="808"/>
      <c r="AN101" s="808"/>
      <c r="AO101" s="808"/>
      <c r="AP101" s="2162"/>
      <c r="AQ101" s="808"/>
      <c r="AR101" s="808"/>
      <c r="AS101" s="808"/>
      <c r="AT101" s="808"/>
      <c r="AU101" s="808"/>
      <c r="AV101" s="808"/>
      <c r="AW101" s="808"/>
      <c r="AX101" s="7902" t="s">
        <v>3253</v>
      </c>
      <c r="AY101" s="7903"/>
      <c r="AZ101" s="7903"/>
      <c r="BA101" s="7903"/>
      <c r="BB101" s="7903"/>
      <c r="BC101" s="7903"/>
      <c r="BD101" s="7903"/>
      <c r="BE101" s="7903"/>
      <c r="BF101" s="7906" t="s">
        <v>1057</v>
      </c>
      <c r="BG101" s="7906"/>
      <c r="BH101" s="3229"/>
    </row>
    <row r="102" spans="1:60" ht="13.5" customHeight="1">
      <c r="A102" s="3107"/>
      <c r="B102" s="7978"/>
      <c r="C102" s="7978"/>
      <c r="D102" s="808" t="s">
        <v>3254</v>
      </c>
      <c r="E102" s="808"/>
      <c r="F102" s="2112"/>
      <c r="G102" s="808"/>
      <c r="H102" s="808"/>
      <c r="I102" s="808"/>
      <c r="J102" s="808"/>
      <c r="K102" s="808"/>
      <c r="L102" s="808"/>
      <c r="M102" s="808"/>
      <c r="N102" s="808"/>
      <c r="O102" s="808"/>
      <c r="P102" s="808"/>
      <c r="Q102" s="808"/>
      <c r="R102" s="808"/>
      <c r="S102" s="808"/>
      <c r="T102" s="808"/>
      <c r="U102" s="808"/>
      <c r="V102" s="808"/>
      <c r="W102" s="808"/>
      <c r="X102" s="808"/>
      <c r="Y102" s="808"/>
      <c r="Z102" s="7933"/>
      <c r="AA102" s="7934"/>
      <c r="AB102" s="1150"/>
      <c r="AC102" s="808"/>
      <c r="AD102" s="808"/>
      <c r="AE102" s="808"/>
      <c r="AF102" s="808"/>
      <c r="AG102" s="808"/>
      <c r="AH102" s="808"/>
      <c r="AI102" s="1151"/>
      <c r="AJ102" s="7925"/>
      <c r="AK102" s="7935"/>
      <c r="AL102" s="1150"/>
      <c r="AM102" s="808"/>
      <c r="AN102" s="808"/>
      <c r="AO102" s="808"/>
      <c r="AP102" s="2162"/>
      <c r="AQ102" s="808"/>
      <c r="AR102" s="808"/>
      <c r="AS102" s="808"/>
      <c r="AT102" s="808"/>
      <c r="AU102" s="808"/>
      <c r="AV102" s="808"/>
      <c r="AW102" s="808"/>
      <c r="AX102" s="7904"/>
      <c r="AY102" s="7905"/>
      <c r="AZ102" s="7905"/>
      <c r="BA102" s="7905"/>
      <c r="BB102" s="7905"/>
      <c r="BC102" s="7905"/>
      <c r="BD102" s="7905"/>
      <c r="BE102" s="7905"/>
      <c r="BF102" s="7907"/>
      <c r="BG102" s="7907"/>
      <c r="BH102" s="3230"/>
    </row>
    <row r="103" spans="1:60" ht="13.5" customHeight="1">
      <c r="A103" s="3107"/>
      <c r="B103" s="7978"/>
      <c r="C103" s="7978"/>
      <c r="D103" s="808" t="s">
        <v>3255</v>
      </c>
      <c r="E103" s="808"/>
      <c r="F103" s="2112"/>
      <c r="G103" s="808"/>
      <c r="H103" s="808"/>
      <c r="I103" s="808"/>
      <c r="J103" s="808"/>
      <c r="K103" s="808"/>
      <c r="L103" s="808"/>
      <c r="M103" s="808"/>
      <c r="N103" s="808"/>
      <c r="O103" s="808"/>
      <c r="P103" s="808"/>
      <c r="Q103" s="808"/>
      <c r="R103" s="808"/>
      <c r="S103" s="808"/>
      <c r="T103" s="808"/>
      <c r="U103" s="808"/>
      <c r="V103" s="808"/>
      <c r="W103" s="808"/>
      <c r="X103" s="808"/>
      <c r="Y103" s="808"/>
      <c r="Z103" s="7933"/>
      <c r="AA103" s="7934"/>
      <c r="AB103" s="1150"/>
      <c r="AC103" s="808"/>
      <c r="AD103" s="808"/>
      <c r="AE103" s="808"/>
      <c r="AF103" s="808"/>
      <c r="AG103" s="808"/>
      <c r="AH103" s="808"/>
      <c r="AI103" s="1151"/>
      <c r="AJ103" s="7925"/>
      <c r="AK103" s="7935"/>
      <c r="AL103" s="1150"/>
      <c r="AM103" s="808"/>
      <c r="AN103" s="808"/>
      <c r="AO103" s="808"/>
      <c r="AP103" s="2162"/>
      <c r="AQ103" s="808"/>
      <c r="AR103" s="808"/>
      <c r="AS103" s="808"/>
      <c r="AT103" s="808"/>
      <c r="AU103" s="808"/>
      <c r="AV103" s="808"/>
      <c r="AW103" s="808"/>
      <c r="AX103" s="3231"/>
      <c r="AY103" s="1598"/>
      <c r="AZ103" s="1598"/>
      <c r="BA103" s="1598"/>
      <c r="BB103" s="1598"/>
      <c r="BC103" s="1598"/>
      <c r="BD103" s="1598"/>
      <c r="BE103" s="1598"/>
      <c r="BF103" s="1598"/>
      <c r="BG103" s="1598"/>
      <c r="BH103" s="3232"/>
    </row>
    <row r="104" spans="1:60" ht="13.5" customHeight="1">
      <c r="A104" s="3107"/>
      <c r="B104" s="2335"/>
      <c r="C104" s="2335"/>
      <c r="D104" s="893" t="s">
        <v>3256</v>
      </c>
      <c r="E104" s="808"/>
      <c r="F104" s="808"/>
      <c r="G104" s="808"/>
      <c r="H104" s="808"/>
      <c r="I104" s="808"/>
      <c r="J104" s="808"/>
      <c r="K104" s="808"/>
      <c r="L104" s="808"/>
      <c r="M104" s="808"/>
      <c r="N104" s="808"/>
      <c r="O104" s="808"/>
      <c r="P104" s="808"/>
      <c r="Q104" s="808"/>
      <c r="R104" s="808"/>
      <c r="S104" s="808"/>
      <c r="T104" s="808"/>
      <c r="U104" s="808"/>
      <c r="V104" s="808"/>
      <c r="W104" s="808"/>
      <c r="X104" s="808"/>
      <c r="Y104" s="1128" t="s">
        <v>930</v>
      </c>
      <c r="Z104" s="7979">
        <v>17</v>
      </c>
      <c r="AA104" s="8041"/>
      <c r="AB104" s="7985">
        <f>SUM(AB98,AB99)</f>
        <v>0</v>
      </c>
      <c r="AC104" s="7986"/>
      <c r="AD104" s="7986"/>
      <c r="AE104" s="7986"/>
      <c r="AF104" s="7986"/>
      <c r="AG104" s="7986"/>
      <c r="AH104" s="7986"/>
      <c r="AI104" s="7987"/>
      <c r="AJ104" s="7925"/>
      <c r="AK104" s="7935"/>
      <c r="AL104" s="7940"/>
      <c r="AM104" s="7941"/>
      <c r="AN104" s="7941"/>
      <c r="AO104" s="7941"/>
      <c r="AP104" s="2162"/>
      <c r="AQ104" s="8158" t="str">
        <f>IF(AND(AL95&gt;0,AB105),"Skip lines 18 through 24.","")</f>
        <v/>
      </c>
      <c r="AR104" s="8158"/>
      <c r="AS104" s="8158"/>
      <c r="AT104" s="8158"/>
      <c r="AU104" s="8158"/>
      <c r="AV104" s="808"/>
      <c r="AW104" s="808"/>
      <c r="AX104" s="3231"/>
      <c r="AY104" s="3233" t="s">
        <v>3257</v>
      </c>
      <c r="AZ104" s="1598"/>
      <c r="BA104" s="1598"/>
      <c r="BB104" s="1598"/>
      <c r="BC104" s="1598"/>
      <c r="BD104" s="1598"/>
      <c r="BE104" s="1598"/>
      <c r="BF104" s="1598"/>
      <c r="BG104" s="1598"/>
      <c r="BH104" s="3232"/>
    </row>
    <row r="105" spans="1:60" ht="18.75" customHeight="1">
      <c r="A105" s="3107"/>
      <c r="B105" s="7978">
        <v>18</v>
      </c>
      <c r="C105" s="7978"/>
      <c r="D105" s="892" t="s">
        <v>3258</v>
      </c>
      <c r="E105" s="808"/>
      <c r="F105" s="2112"/>
      <c r="G105" s="808"/>
      <c r="H105" s="808"/>
      <c r="I105" s="808"/>
      <c r="J105" s="808"/>
      <c r="K105" s="808"/>
      <c r="L105" s="808"/>
      <c r="M105" s="808"/>
      <c r="N105" s="808"/>
      <c r="O105" s="808"/>
      <c r="P105" s="808"/>
      <c r="Q105" s="808"/>
      <c r="R105" s="808"/>
      <c r="S105" s="808"/>
      <c r="T105" s="808"/>
      <c r="U105" s="808"/>
      <c r="V105" s="808"/>
      <c r="W105" s="808"/>
      <c r="X105" s="808"/>
      <c r="Y105" s="808"/>
      <c r="Z105" s="7933"/>
      <c r="AA105" s="7934"/>
      <c r="AB105" s="8043" t="b">
        <f>AND(AB104&lt;=0,AQ107="")</f>
        <v>1</v>
      </c>
      <c r="AC105" s="7694"/>
      <c r="AD105" s="7694"/>
      <c r="AE105" s="7694"/>
      <c r="AF105" s="7694"/>
      <c r="AG105" s="7694"/>
      <c r="AH105" s="7694"/>
      <c r="AI105" s="8044"/>
      <c r="AJ105" s="7925"/>
      <c r="AK105" s="7935"/>
      <c r="AL105" s="7936"/>
      <c r="AM105" s="7937"/>
      <c r="AN105" s="7937"/>
      <c r="AO105" s="7937"/>
      <c r="AP105" s="2162"/>
      <c r="AQ105" s="8151"/>
      <c r="AR105" s="7937"/>
      <c r="AS105" s="7937"/>
      <c r="AT105" s="7937"/>
      <c r="AU105" s="6751"/>
      <c r="AV105" s="6751"/>
      <c r="AW105" s="6751"/>
      <c r="AX105" s="3231"/>
      <c r="AY105" s="1598"/>
      <c r="AZ105" s="1598"/>
      <c r="BA105" s="1598"/>
      <c r="BB105" s="1598"/>
      <c r="BC105" s="1598"/>
      <c r="BD105" s="1598"/>
      <c r="BE105" s="1598"/>
      <c r="BF105" s="1598"/>
      <c r="BG105" s="1598"/>
      <c r="BH105" s="3232"/>
    </row>
    <row r="106" spans="1:60" ht="12.75" customHeight="1">
      <c r="A106" s="3107"/>
      <c r="B106" s="7978"/>
      <c r="C106" s="7978"/>
      <c r="D106" s="892" t="s">
        <v>3259</v>
      </c>
      <c r="E106" s="808"/>
      <c r="F106" s="2112"/>
      <c r="G106" s="808"/>
      <c r="H106" s="808"/>
      <c r="I106" s="808"/>
      <c r="J106" s="808"/>
      <c r="K106" s="808"/>
      <c r="L106" s="808"/>
      <c r="M106" s="808"/>
      <c r="N106" s="808"/>
      <c r="O106" s="808"/>
      <c r="P106" s="808"/>
      <c r="Q106" s="808"/>
      <c r="R106" s="808"/>
      <c r="S106" s="808"/>
      <c r="T106" s="808"/>
      <c r="U106" s="808"/>
      <c r="V106" s="808"/>
      <c r="W106" s="808"/>
      <c r="X106" s="808"/>
      <c r="Y106" s="808"/>
      <c r="Z106" s="7933"/>
      <c r="AA106" s="7934"/>
      <c r="AB106" s="1150"/>
      <c r="AC106" s="808"/>
      <c r="AD106" s="808"/>
      <c r="AE106" s="808"/>
      <c r="AF106" s="808"/>
      <c r="AG106" s="808"/>
      <c r="AH106" s="808"/>
      <c r="AI106" s="1151"/>
      <c r="AJ106" s="7925"/>
      <c r="AK106" s="7935"/>
      <c r="AL106" s="1150"/>
      <c r="AM106" s="808"/>
      <c r="AN106" s="808"/>
      <c r="AO106" s="808"/>
      <c r="AP106" s="2162"/>
      <c r="AQ106" s="2162"/>
      <c r="AR106" s="2162"/>
      <c r="AS106" s="2162"/>
      <c r="AT106" s="2162"/>
      <c r="AU106" s="2162"/>
      <c r="AV106" s="808"/>
      <c r="AW106" s="808"/>
      <c r="AX106" s="3234"/>
      <c r="AY106" s="3233"/>
      <c r="AZ106" s="1598"/>
      <c r="BA106" s="1598"/>
      <c r="BB106" s="1598"/>
      <c r="BC106" s="1598"/>
      <c r="BD106" s="1598"/>
      <c r="BE106" s="1598"/>
      <c r="BF106" s="1598"/>
      <c r="BG106" s="1598"/>
      <c r="BH106" s="3232"/>
    </row>
    <row r="107" spans="1:60" ht="12.75" customHeight="1">
      <c r="A107" s="3107"/>
      <c r="B107" s="2335"/>
      <c r="C107" s="2335"/>
      <c r="D107" s="1460" t="s">
        <v>3260</v>
      </c>
      <c r="E107" s="808"/>
      <c r="F107" s="808"/>
      <c r="G107" s="808"/>
      <c r="H107" s="808"/>
      <c r="I107" s="808"/>
      <c r="J107" s="808"/>
      <c r="K107" s="808"/>
      <c r="L107" s="808"/>
      <c r="M107" s="808"/>
      <c r="N107" s="808"/>
      <c r="O107" s="808"/>
      <c r="P107" s="808"/>
      <c r="Q107" s="808"/>
      <c r="R107" s="808"/>
      <c r="S107" s="808"/>
      <c r="T107" s="808"/>
      <c r="U107" s="808"/>
      <c r="V107" s="808"/>
      <c r="W107" s="808"/>
      <c r="X107" s="808"/>
      <c r="Y107" s="1128" t="s">
        <v>888</v>
      </c>
      <c r="Z107" s="7979">
        <v>18</v>
      </c>
      <c r="AA107" s="8041"/>
      <c r="AB107" s="7985" t="str">
        <f>IF(AQ107&lt;&gt;"",ROUND(AQ107,0),IF(AB105,"",IF(AX98,BG120,Taxable_Inc)))</f>
        <v/>
      </c>
      <c r="AC107" s="7986"/>
      <c r="AD107" s="7986"/>
      <c r="AE107" s="7986"/>
      <c r="AF107" s="7986"/>
      <c r="AG107" s="7986"/>
      <c r="AH107" s="7986"/>
      <c r="AI107" s="7987"/>
      <c r="AJ107" s="7925"/>
      <c r="AK107" s="7935"/>
      <c r="AL107" s="1150"/>
      <c r="AM107" s="808"/>
      <c r="AN107" s="808"/>
      <c r="AO107" s="808"/>
      <c r="AP107" s="2162"/>
      <c r="AQ107" s="7914"/>
      <c r="AR107" s="7915"/>
      <c r="AS107" s="7915"/>
      <c r="AT107" s="7915"/>
      <c r="AU107" s="2162"/>
      <c r="AV107" s="808"/>
      <c r="AW107" s="808"/>
      <c r="AX107" s="3234" t="s">
        <v>167</v>
      </c>
      <c r="AY107" s="3233" t="s">
        <v>3261</v>
      </c>
      <c r="AZ107" s="1598"/>
      <c r="BA107" s="1598"/>
      <c r="BB107" s="1598"/>
      <c r="BC107" s="1598"/>
      <c r="BD107" s="1598"/>
      <c r="BE107" s="1598"/>
      <c r="BF107" s="1598"/>
      <c r="BG107" s="1598"/>
      <c r="BH107" s="3232"/>
    </row>
    <row r="108" spans="1:60" ht="12.75" customHeight="1">
      <c r="A108" s="3107"/>
      <c r="B108" s="2335"/>
      <c r="C108" s="2335"/>
      <c r="D108" s="1460" t="s">
        <v>3262</v>
      </c>
      <c r="E108" s="1040"/>
      <c r="F108" s="1410"/>
      <c r="G108" s="808"/>
      <c r="H108" s="808"/>
      <c r="I108" s="808"/>
      <c r="J108" s="808"/>
      <c r="K108" s="808"/>
      <c r="L108" s="808"/>
      <c r="M108" s="808"/>
      <c r="N108" s="808"/>
      <c r="O108" s="808"/>
      <c r="P108" s="2177"/>
      <c r="Q108" s="1040"/>
      <c r="R108" s="1410"/>
      <c r="S108" s="892"/>
      <c r="T108" s="808"/>
      <c r="U108" s="808"/>
      <c r="V108" s="808"/>
      <c r="W108" s="808"/>
      <c r="X108" s="808"/>
      <c r="Y108" s="808"/>
      <c r="Z108" s="808"/>
      <c r="AA108" s="808"/>
      <c r="AB108" s="808"/>
      <c r="AC108" s="808"/>
      <c r="AD108" s="2177"/>
      <c r="AE108" s="1040"/>
      <c r="AF108" s="1410"/>
      <c r="AG108" s="808"/>
      <c r="AH108" s="808"/>
      <c r="AI108" s="808"/>
      <c r="AJ108" s="1149"/>
      <c r="AK108" s="1143"/>
      <c r="AL108" s="808"/>
      <c r="AM108" s="808"/>
      <c r="AN108" s="808"/>
      <c r="AO108" s="808"/>
      <c r="AP108" s="2162"/>
      <c r="AQ108" s="2162"/>
      <c r="AR108" s="2162"/>
      <c r="AS108" s="2162"/>
      <c r="AT108" s="2162"/>
      <c r="AU108" s="2162"/>
      <c r="AV108" s="808"/>
      <c r="AW108" s="808"/>
      <c r="AX108" s="3231"/>
      <c r="AY108" s="3233" t="s">
        <v>3263</v>
      </c>
      <c r="AZ108" s="1598"/>
      <c r="BA108" s="1598"/>
      <c r="BB108" s="1598"/>
      <c r="BC108" s="1598"/>
      <c r="BD108" s="1598"/>
      <c r="BE108" s="3225"/>
      <c r="BF108" s="3226" t="s">
        <v>167</v>
      </c>
      <c r="BG108" s="3228">
        <f>Taxable_Inc</f>
        <v>0</v>
      </c>
      <c r="BH108" s="3232"/>
    </row>
    <row r="109" spans="1:60" ht="12.75" customHeight="1">
      <c r="A109" s="3107"/>
      <c r="B109" s="892"/>
      <c r="C109" s="892"/>
      <c r="D109" s="893" t="s">
        <v>3264</v>
      </c>
      <c r="E109" s="808"/>
      <c r="F109" s="808"/>
      <c r="G109" s="808"/>
      <c r="H109" s="808"/>
      <c r="I109" s="808"/>
      <c r="J109" s="808"/>
      <c r="K109" s="808"/>
      <c r="L109" s="808"/>
      <c r="M109" s="808"/>
      <c r="N109" s="808"/>
      <c r="O109" s="808"/>
      <c r="P109" s="808"/>
      <c r="Q109" s="808"/>
      <c r="R109" s="808"/>
      <c r="S109" s="808"/>
      <c r="T109" s="901"/>
      <c r="U109" s="808"/>
      <c r="V109" s="808"/>
      <c r="W109" s="808"/>
      <c r="X109" s="808"/>
      <c r="Y109" s="808"/>
      <c r="Z109" s="808"/>
      <c r="AA109" s="808"/>
      <c r="AB109" s="808"/>
      <c r="AC109" s="808"/>
      <c r="AD109" s="808"/>
      <c r="AE109" s="808"/>
      <c r="AF109" s="808"/>
      <c r="AG109" s="808"/>
      <c r="AH109" s="808"/>
      <c r="AI109" s="808"/>
      <c r="AJ109" s="1150"/>
      <c r="AK109" s="1151"/>
      <c r="AL109" s="808"/>
      <c r="AM109" s="808"/>
      <c r="AN109" s="808"/>
      <c r="AO109" s="808"/>
      <c r="AP109" s="2162"/>
      <c r="AQ109" s="2162"/>
      <c r="AR109" s="2162"/>
      <c r="AS109" s="2162"/>
      <c r="AT109" s="2162"/>
      <c r="AU109" s="2162"/>
      <c r="AV109" s="808"/>
      <c r="AW109" s="808"/>
      <c r="AX109" s="3234" t="s">
        <v>171</v>
      </c>
      <c r="AY109" s="3233" t="str">
        <f>"Enter your worldwide "&amp;TEXT(BF109,"0%")&amp;" gains (see instructions)"</f>
        <v>Enter your worldwide 28% gains (see instructions)</v>
      </c>
      <c r="AZ109" s="1598"/>
      <c r="BA109" s="1598"/>
      <c r="BB109" s="1598"/>
      <c r="BC109" s="1598"/>
      <c r="BD109" s="3235" t="s">
        <v>171</v>
      </c>
      <c r="BE109" s="1401"/>
      <c r="BF109" s="3238">
        <v>0.28000000000000003</v>
      </c>
      <c r="BG109" s="1598"/>
      <c r="BH109" s="3232"/>
    </row>
    <row r="110" spans="1:60" ht="16.5" customHeight="1">
      <c r="A110" s="3107"/>
      <c r="B110" s="7978">
        <v>19</v>
      </c>
      <c r="C110" s="7978"/>
      <c r="D110" s="892" t="s">
        <v>3265</v>
      </c>
      <c r="E110" s="808"/>
      <c r="F110" s="2112"/>
      <c r="G110" s="808"/>
      <c r="H110" s="808"/>
      <c r="I110" s="808"/>
      <c r="J110" s="808"/>
      <c r="K110" s="808"/>
      <c r="L110" s="808"/>
      <c r="M110" s="808"/>
      <c r="N110" s="808"/>
      <c r="O110" s="808"/>
      <c r="P110" s="808"/>
      <c r="Q110" s="808"/>
      <c r="R110" s="808"/>
      <c r="S110" s="808"/>
      <c r="T110" s="808"/>
      <c r="U110" s="808"/>
      <c r="V110" s="808"/>
      <c r="W110" s="808"/>
      <c r="X110" s="808"/>
      <c r="Y110" s="808"/>
      <c r="Z110" s="808"/>
      <c r="AA110" s="808"/>
      <c r="AB110" s="808"/>
      <c r="AC110" s="808"/>
      <c r="AD110" s="808"/>
      <c r="AE110" s="808"/>
      <c r="AF110" s="808"/>
      <c r="AG110" s="808"/>
      <c r="AH110" s="808"/>
      <c r="AI110" s="1128" t="s">
        <v>1012</v>
      </c>
      <c r="AJ110" s="7979">
        <v>19</v>
      </c>
      <c r="AK110" s="7980"/>
      <c r="AL110" s="7942" t="str">
        <f>IF(AQ110&lt;&gt;"",ROUND(AQ110,4),IF(AB105,"",IF(OR(AB107="",AB107=0),"                    ---",IF(AB104&gt;AB107,1,ROUND(AB104/AB107,4)))))</f>
        <v/>
      </c>
      <c r="AM110" s="7943"/>
      <c r="AN110" s="7943"/>
      <c r="AO110" s="7943"/>
      <c r="AP110" s="2162"/>
      <c r="AQ110" s="8136"/>
      <c r="AR110" s="8137"/>
      <c r="AS110" s="8137"/>
      <c r="AT110" s="8137"/>
      <c r="AU110" s="2162"/>
      <c r="AV110" s="808"/>
      <c r="AW110" s="808"/>
      <c r="AX110" s="3234" t="s">
        <v>177</v>
      </c>
      <c r="AY110" s="3233" t="str">
        <f>"Multiply line 2 by "&amp;TEXT(BF110,"0.0000")</f>
        <v>Multiply line 2 by 0.2432</v>
      </c>
      <c r="AZ110" s="1598"/>
      <c r="BA110" s="1598"/>
      <c r="BB110" s="1598"/>
      <c r="BC110" s="1598"/>
      <c r="BD110" s="3235" t="s">
        <v>177</v>
      </c>
      <c r="BE110" s="1568" t="str">
        <f>IF(BE109&lt;&gt;"",ROUND(BE109*BF110,0),"")</f>
        <v/>
      </c>
      <c r="BF110" s="3239">
        <v>0.2432</v>
      </c>
      <c r="BG110" s="1598"/>
      <c r="BH110" s="3232"/>
    </row>
    <row r="111" spans="1:60" ht="18" customHeight="1">
      <c r="A111" s="3107"/>
      <c r="B111" s="7978">
        <v>20</v>
      </c>
      <c r="C111" s="7978"/>
      <c r="D111" s="892" t="s">
        <v>3266</v>
      </c>
      <c r="E111" s="808"/>
      <c r="F111" s="2112"/>
      <c r="G111" s="808"/>
      <c r="H111" s="808"/>
      <c r="I111" s="808"/>
      <c r="J111" s="808"/>
      <c r="K111" s="808"/>
      <c r="L111" s="808"/>
      <c r="M111" s="808"/>
      <c r="N111" s="808"/>
      <c r="O111" s="808"/>
      <c r="P111" s="808"/>
      <c r="Q111" s="808"/>
      <c r="R111" s="808"/>
      <c r="S111" s="808"/>
      <c r="T111" s="808"/>
      <c r="U111" s="808"/>
      <c r="V111" s="808"/>
      <c r="W111" s="808"/>
      <c r="X111" s="808"/>
      <c r="Y111" s="808"/>
      <c r="Z111" s="808"/>
      <c r="AA111" s="808"/>
      <c r="AB111" s="808"/>
      <c r="AC111" s="808"/>
      <c r="AD111" s="808"/>
      <c r="AE111" s="808"/>
      <c r="AF111" s="808"/>
      <c r="AG111" s="808"/>
      <c r="AH111" s="808"/>
      <c r="AI111" s="808"/>
      <c r="AJ111" s="8076"/>
      <c r="AK111" s="8077"/>
      <c r="AL111" s="1150"/>
      <c r="AM111" s="808"/>
      <c r="AN111" s="808"/>
      <c r="AO111" s="808"/>
      <c r="AP111" s="2162"/>
      <c r="AQ111" s="2162"/>
      <c r="AR111" s="2162"/>
      <c r="AS111" s="2162"/>
      <c r="AT111" s="2162"/>
      <c r="AU111" s="2162"/>
      <c r="AV111" s="808"/>
      <c r="AW111" s="808"/>
      <c r="AX111" s="3234" t="s">
        <v>182</v>
      </c>
      <c r="AY111" s="3233" t="str">
        <f>"Enter your worldwide "&amp;TEXT(BF111,"0%")&amp;" gains (see instructions)"</f>
        <v>Enter your worldwide 25% gains (see instructions)</v>
      </c>
      <c r="AZ111" s="1598"/>
      <c r="BA111" s="1598"/>
      <c r="BB111" s="1598"/>
      <c r="BC111" s="1598"/>
      <c r="BD111" s="3235" t="s">
        <v>182</v>
      </c>
      <c r="BE111" s="1401"/>
      <c r="BF111" s="3238">
        <v>0.25</v>
      </c>
      <c r="BG111" s="1598"/>
      <c r="BH111" s="3232"/>
    </row>
    <row r="112" spans="1:60" ht="13.5" customHeight="1">
      <c r="A112" s="3107"/>
      <c r="B112" s="7978"/>
      <c r="C112" s="7978"/>
      <c r="D112" s="892" t="s">
        <v>3267</v>
      </c>
      <c r="E112" s="808"/>
      <c r="F112" s="2112"/>
      <c r="G112" s="808"/>
      <c r="H112" s="808"/>
      <c r="I112" s="808"/>
      <c r="J112" s="808"/>
      <c r="K112" s="808"/>
      <c r="L112" s="808"/>
      <c r="M112" s="808"/>
      <c r="N112" s="808"/>
      <c r="O112" s="808"/>
      <c r="P112" s="808"/>
      <c r="Q112" s="808"/>
      <c r="R112" s="808"/>
      <c r="S112" s="808"/>
      <c r="T112" s="808"/>
      <c r="U112" s="808"/>
      <c r="V112" s="808"/>
      <c r="W112" s="808"/>
      <c r="X112" s="808"/>
      <c r="Y112" s="808"/>
      <c r="Z112" s="808"/>
      <c r="AA112" s="808"/>
      <c r="AB112" s="808"/>
      <c r="AC112" s="808"/>
      <c r="AD112" s="808"/>
      <c r="AE112" s="808"/>
      <c r="AF112" s="808"/>
      <c r="AG112" s="808"/>
      <c r="AH112" s="808"/>
      <c r="AI112" s="808"/>
      <c r="AJ112" s="8076"/>
      <c r="AK112" s="8077"/>
      <c r="AL112" s="1150"/>
      <c r="AM112" s="808"/>
      <c r="AN112" s="808"/>
      <c r="AO112" s="808"/>
      <c r="AP112" s="2162"/>
      <c r="AQ112" s="2162"/>
      <c r="AR112" s="2162"/>
      <c r="AS112" s="2162"/>
      <c r="AT112" s="2162"/>
      <c r="AU112" s="2162"/>
      <c r="AV112" s="808"/>
      <c r="AW112" s="808"/>
      <c r="AX112" s="3234" t="s">
        <v>198</v>
      </c>
      <c r="AY112" s="3233" t="str">
        <f>"Multiply line 4 by "&amp;TEXT(BF112,"0.0000")</f>
        <v>Multiply line 4 by 0.3243</v>
      </c>
      <c r="AZ112" s="1598"/>
      <c r="BA112" s="1598"/>
      <c r="BB112" s="1598"/>
      <c r="BC112" s="1598"/>
      <c r="BD112" s="3235" t="s">
        <v>198</v>
      </c>
      <c r="BE112" s="1568" t="str">
        <f>IF(BE111&lt;&gt;"",ROUND(BE111*BF112,0),"")</f>
        <v/>
      </c>
      <c r="BF112" s="3239">
        <v>0.32429999999999998</v>
      </c>
      <c r="BG112" s="1598"/>
      <c r="BH112" s="3232"/>
    </row>
    <row r="113" spans="1:60" ht="13.5" customHeight="1">
      <c r="A113" s="3107"/>
      <c r="B113" s="3809"/>
      <c r="C113" s="3809"/>
      <c r="D113" s="1460" t="s">
        <v>3268</v>
      </c>
      <c r="E113" s="808"/>
      <c r="F113" s="2112"/>
      <c r="G113" s="808"/>
      <c r="H113" s="808"/>
      <c r="I113" s="808"/>
      <c r="J113" s="808"/>
      <c r="K113" s="808"/>
      <c r="L113" s="808"/>
      <c r="M113" s="808"/>
      <c r="N113" s="808"/>
      <c r="O113" s="808"/>
      <c r="P113" s="808"/>
      <c r="Q113" s="808"/>
      <c r="R113" s="808"/>
      <c r="S113" s="808"/>
      <c r="T113" s="808"/>
      <c r="U113" s="808"/>
      <c r="V113" s="808"/>
      <c r="W113" s="808"/>
      <c r="X113" s="808"/>
      <c r="Y113" s="808"/>
      <c r="Z113" s="808"/>
      <c r="AA113" s="808"/>
      <c r="AB113" s="808"/>
      <c r="AC113" s="808"/>
      <c r="AD113" s="808"/>
      <c r="AE113" s="808"/>
      <c r="AF113" s="808"/>
      <c r="AG113" s="808"/>
      <c r="AH113" s="808"/>
      <c r="AI113" s="808"/>
      <c r="AJ113" s="3806"/>
      <c r="AK113" s="2715"/>
      <c r="AL113" s="1150"/>
      <c r="AM113" s="808"/>
      <c r="AN113" s="808"/>
      <c r="AO113" s="808"/>
      <c r="AP113" s="2162"/>
      <c r="AQ113" s="2162"/>
      <c r="AR113" s="2162"/>
      <c r="AS113" s="2162"/>
      <c r="AT113" s="2162"/>
      <c r="AU113" s="2162"/>
      <c r="AV113" s="808"/>
      <c r="AW113" s="808"/>
      <c r="AX113" s="3234" t="s">
        <v>202</v>
      </c>
      <c r="AY113" s="3233" t="str">
        <f>"Enter your worldwide "&amp;TEXT(BF113,"0%")&amp;" gains (see instructions)"</f>
        <v>Enter your worldwide 20% gains (see instructions)</v>
      </c>
      <c r="AZ113" s="1598"/>
      <c r="BA113" s="1598"/>
      <c r="BB113" s="1598"/>
      <c r="BC113" s="1598"/>
      <c r="BD113" s="3235" t="s">
        <v>202</v>
      </c>
      <c r="BE113" s="1401"/>
      <c r="BF113" s="3238">
        <v>0.2</v>
      </c>
      <c r="BG113" s="1598"/>
      <c r="BH113" s="3232"/>
    </row>
    <row r="114" spans="1:60" ht="13.5" customHeight="1">
      <c r="A114" s="3107"/>
      <c r="B114" s="2335"/>
      <c r="C114" s="2335"/>
      <c r="D114" s="1460" t="s">
        <v>3269</v>
      </c>
      <c r="E114" s="808"/>
      <c r="F114" s="808"/>
      <c r="G114" s="808"/>
      <c r="H114" s="808"/>
      <c r="I114" s="808"/>
      <c r="J114" s="808"/>
      <c r="K114" s="808"/>
      <c r="L114" s="808"/>
      <c r="M114" s="808"/>
      <c r="N114" s="808"/>
      <c r="O114" s="808"/>
      <c r="P114" s="808"/>
      <c r="Q114" s="808"/>
      <c r="R114" s="808"/>
      <c r="S114" s="808"/>
      <c r="T114" s="808"/>
      <c r="U114" s="808"/>
      <c r="V114" s="808"/>
      <c r="W114" s="808"/>
      <c r="X114" s="808"/>
      <c r="Y114" s="808"/>
      <c r="Z114" s="808"/>
      <c r="AA114" s="808"/>
      <c r="AB114" s="808"/>
      <c r="AC114" s="808"/>
      <c r="AD114" s="808"/>
      <c r="AE114" s="808"/>
      <c r="AF114" s="808"/>
      <c r="AG114" s="808"/>
      <c r="AH114" s="808"/>
      <c r="AI114" s="1128" t="s">
        <v>908</v>
      </c>
      <c r="AJ114" s="7979">
        <v>20</v>
      </c>
      <c r="AK114" s="7980"/>
      <c r="AL114" s="7916" t="str">
        <f>IF(AQ114&lt;&gt;"",ROUND(AQ114,0),IF(AB105,"",IF(AO20&lt;&gt;1,"",SUM(Tax_SubTotal,PTC_ExcessAdv))))</f>
        <v/>
      </c>
      <c r="AM114" s="6829"/>
      <c r="AN114" s="6829"/>
      <c r="AO114" s="6829"/>
      <c r="AP114" s="2162"/>
      <c r="AQ114" s="7914"/>
      <c r="AR114" s="7915"/>
      <c r="AS114" s="7915"/>
      <c r="AT114" s="7915"/>
      <c r="AU114" s="2162"/>
      <c r="AV114" s="808"/>
      <c r="AW114" s="808"/>
      <c r="AX114" s="3234" t="s">
        <v>215</v>
      </c>
      <c r="AY114" s="3233" t="str">
        <f>"Multiply line 6 by "&amp;TEXT(BF114,"0.0000")</f>
        <v>Multiply line 6 by 0.4595</v>
      </c>
      <c r="AZ114" s="1598"/>
      <c r="BA114" s="1598"/>
      <c r="BB114" s="1598"/>
      <c r="BC114" s="1598"/>
      <c r="BD114" s="3235" t="s">
        <v>215</v>
      </c>
      <c r="BE114" s="1568" t="str">
        <f>IF(BE113&lt;&gt;"",ROUND(BE113*BF114,0),"")</f>
        <v/>
      </c>
      <c r="BF114" s="3239">
        <v>0.45950000000000002</v>
      </c>
      <c r="BG114" s="1598"/>
      <c r="BH114" s="3232"/>
    </row>
    <row r="115" spans="1:60" ht="15.75" customHeight="1">
      <c r="A115" s="3107"/>
      <c r="B115" s="7978"/>
      <c r="C115" s="7978"/>
      <c r="D115" s="892" t="s">
        <v>3270</v>
      </c>
      <c r="E115" s="808"/>
      <c r="F115" s="2112"/>
      <c r="G115" s="808"/>
      <c r="H115" s="808"/>
      <c r="I115" s="808"/>
      <c r="J115" s="808"/>
      <c r="K115" s="808"/>
      <c r="L115" s="808"/>
      <c r="M115" s="808"/>
      <c r="N115" s="808"/>
      <c r="O115" s="808"/>
      <c r="P115" s="808"/>
      <c r="Q115" s="808"/>
      <c r="R115" s="808"/>
      <c r="S115" s="808"/>
      <c r="T115" s="808"/>
      <c r="U115" s="808"/>
      <c r="V115" s="808"/>
      <c r="W115" s="808"/>
      <c r="X115" s="808"/>
      <c r="Y115" s="808"/>
      <c r="Z115" s="808"/>
      <c r="AA115" s="808"/>
      <c r="AB115" s="808"/>
      <c r="AC115" s="808"/>
      <c r="AD115" s="808"/>
      <c r="AE115" s="808"/>
      <c r="AF115" s="808"/>
      <c r="AG115" s="808"/>
      <c r="AH115" s="808"/>
      <c r="AI115" s="808"/>
      <c r="AJ115" s="1150"/>
      <c r="AK115" s="1151"/>
      <c r="AL115" s="808"/>
      <c r="AM115" s="808"/>
      <c r="AN115" s="808"/>
      <c r="AO115" s="808"/>
      <c r="AP115" s="2162"/>
      <c r="AQ115" s="2162"/>
      <c r="AR115" s="2162"/>
      <c r="AS115" s="2162"/>
      <c r="AT115" s="2162"/>
      <c r="AU115" s="2162"/>
      <c r="AV115" s="808"/>
      <c r="AW115" s="808"/>
      <c r="AX115" s="3234" t="s">
        <v>217</v>
      </c>
      <c r="AY115" s="3233" t="str">
        <f>"Enter your worldwide "&amp;TEXT(BF115,"0%")&amp;" gains (see instructions)"</f>
        <v>Enter your worldwide 15% gains (see instructions)</v>
      </c>
      <c r="AZ115" s="1598"/>
      <c r="BA115" s="1598"/>
      <c r="BB115" s="1598"/>
      <c r="BC115" s="1598"/>
      <c r="BD115" s="3235" t="s">
        <v>217</v>
      </c>
      <c r="BE115" s="1401"/>
      <c r="BF115" s="3238">
        <v>0.15</v>
      </c>
      <c r="BG115" s="1598"/>
      <c r="BH115" s="3232"/>
    </row>
    <row r="116" spans="1:60" ht="12.75" customHeight="1">
      <c r="A116" s="3107"/>
      <c r="B116" s="892"/>
      <c r="C116" s="892"/>
      <c r="D116" s="893" t="s">
        <v>3271</v>
      </c>
      <c r="E116" s="808"/>
      <c r="F116" s="808"/>
      <c r="G116" s="808"/>
      <c r="H116" s="808"/>
      <c r="I116" s="808"/>
      <c r="J116" s="808"/>
      <c r="K116" s="808"/>
      <c r="L116" s="808"/>
      <c r="M116" s="808"/>
      <c r="N116" s="808"/>
      <c r="O116" s="808"/>
      <c r="P116" s="808"/>
      <c r="Q116" s="808"/>
      <c r="R116" s="808"/>
      <c r="S116" s="808"/>
      <c r="T116" s="901"/>
      <c r="U116" s="808"/>
      <c r="V116" s="808"/>
      <c r="W116" s="808"/>
      <c r="X116" s="808"/>
      <c r="Y116" s="808"/>
      <c r="Z116" s="808"/>
      <c r="AA116" s="808"/>
      <c r="AB116" s="808"/>
      <c r="AC116" s="808"/>
      <c r="AD116" s="808"/>
      <c r="AE116" s="808"/>
      <c r="AF116" s="808"/>
      <c r="AG116" s="808"/>
      <c r="AH116" s="808"/>
      <c r="AI116" s="808"/>
      <c r="AJ116" s="1150"/>
      <c r="AK116" s="1151"/>
      <c r="AL116" s="808"/>
      <c r="AM116" s="808"/>
      <c r="AN116" s="808"/>
      <c r="AO116" s="808"/>
      <c r="AP116" s="2162"/>
      <c r="AQ116" s="2162"/>
      <c r="AR116" s="2162"/>
      <c r="AS116" s="2162"/>
      <c r="AT116" s="2162"/>
      <c r="AU116" s="2162"/>
      <c r="AV116" s="808"/>
      <c r="AW116" s="808"/>
      <c r="AX116" s="3234" t="s">
        <v>222</v>
      </c>
      <c r="AY116" s="3233" t="str">
        <f>"Multiply line 8 by "&amp;TEXT(BF116,"0.0000")</f>
        <v>Multiply line 8 by 0.5946</v>
      </c>
      <c r="AZ116" s="1598"/>
      <c r="BA116" s="1598"/>
      <c r="BB116" s="1598"/>
      <c r="BC116" s="1598"/>
      <c r="BD116" s="3235" t="s">
        <v>222</v>
      </c>
      <c r="BE116" s="1568" t="str">
        <f>IF(BE115&lt;&gt;"",ROUND(BE115*BF116,0),"")</f>
        <v/>
      </c>
      <c r="BF116" s="3239">
        <v>0.59460000000000002</v>
      </c>
      <c r="BG116" s="1598"/>
      <c r="BH116" s="3232"/>
    </row>
    <row r="117" spans="1:60" ht="12.75" customHeight="1">
      <c r="A117" s="3107"/>
      <c r="B117" s="7978"/>
      <c r="C117" s="7978"/>
      <c r="D117" s="892"/>
      <c r="E117" s="808"/>
      <c r="F117" s="2112"/>
      <c r="G117" s="808"/>
      <c r="H117" s="808"/>
      <c r="I117" s="808"/>
      <c r="J117" s="808"/>
      <c r="K117" s="808"/>
      <c r="L117" s="808"/>
      <c r="M117" s="808"/>
      <c r="N117" s="808"/>
      <c r="O117" s="808"/>
      <c r="P117" s="808"/>
      <c r="Q117" s="808"/>
      <c r="R117" s="808"/>
      <c r="S117" s="808"/>
      <c r="T117" s="808"/>
      <c r="U117" s="808"/>
      <c r="V117" s="808"/>
      <c r="W117" s="808"/>
      <c r="X117" s="808"/>
      <c r="Y117" s="808"/>
      <c r="Z117" s="808"/>
      <c r="AA117" s="808"/>
      <c r="AB117" s="808"/>
      <c r="AC117" s="808"/>
      <c r="AD117" s="808"/>
      <c r="AE117" s="808"/>
      <c r="AF117" s="808"/>
      <c r="AG117" s="808"/>
      <c r="AH117" s="808"/>
      <c r="AI117" s="808"/>
      <c r="AJ117" s="8076"/>
      <c r="AK117" s="8077"/>
      <c r="AL117" s="1150"/>
      <c r="AM117" s="808"/>
      <c r="AN117" s="808"/>
      <c r="AO117" s="808"/>
      <c r="AP117" s="2162"/>
      <c r="AQ117" s="2162"/>
      <c r="AR117" s="2162"/>
      <c r="AS117" s="2162"/>
      <c r="AT117" s="2162"/>
      <c r="AU117" s="2162"/>
      <c r="AV117" s="808"/>
      <c r="AW117" s="808"/>
      <c r="AX117" s="3234" t="s">
        <v>227</v>
      </c>
      <c r="AY117" s="3233" t="str">
        <f>"Enter your worldwide "&amp;TEXT(BF117,"0%")&amp;" gains and qualified dividends"</f>
        <v>Enter your worldwide 0% gains and qualified dividends</v>
      </c>
      <c r="AZ117" s="1598"/>
      <c r="BA117" s="1598"/>
      <c r="BB117" s="1598"/>
      <c r="BC117" s="1598"/>
      <c r="BD117" s="3235"/>
      <c r="BE117" s="3227"/>
      <c r="BF117" s="3238">
        <v>0</v>
      </c>
      <c r="BG117" s="1598"/>
      <c r="BH117" s="3232"/>
    </row>
    <row r="118" spans="1:60" ht="13.5" customHeight="1">
      <c r="A118" s="3107"/>
      <c r="B118" s="7978">
        <v>21</v>
      </c>
      <c r="C118" s="7978"/>
      <c r="D118" s="808" t="s">
        <v>3272</v>
      </c>
      <c r="E118" s="808"/>
      <c r="F118" s="808"/>
      <c r="G118" s="808"/>
      <c r="H118" s="808"/>
      <c r="I118" s="808"/>
      <c r="J118" s="808"/>
      <c r="K118" s="808"/>
      <c r="L118" s="808"/>
      <c r="M118" s="808"/>
      <c r="N118" s="808"/>
      <c r="O118" s="808"/>
      <c r="P118" s="808"/>
      <c r="Q118" s="808"/>
      <c r="R118" s="808"/>
      <c r="S118" s="808"/>
      <c r="T118" s="901"/>
      <c r="U118" s="808"/>
      <c r="V118" s="808"/>
      <c r="W118" s="808"/>
      <c r="X118" s="808"/>
      <c r="Y118" s="808"/>
      <c r="Z118" s="808"/>
      <c r="AA118" s="808"/>
      <c r="AB118" s="808"/>
      <c r="AC118" s="808"/>
      <c r="AD118" s="808"/>
      <c r="AE118" s="808"/>
      <c r="AF118" s="808"/>
      <c r="AG118" s="808"/>
      <c r="AH118" s="808"/>
      <c r="AI118" s="1128" t="s">
        <v>896</v>
      </c>
      <c r="AJ118" s="7979">
        <v>21</v>
      </c>
      <c r="AK118" s="7980"/>
      <c r="AL118" s="7916" t="str">
        <f>IF(AB105,"",IF(ISERROR(AL110*AL114),"                    ---",ROUND(AL110*AL114,0)))</f>
        <v/>
      </c>
      <c r="AM118" s="6829"/>
      <c r="AN118" s="6829"/>
      <c r="AO118" s="6829"/>
      <c r="AP118" s="2162"/>
      <c r="AQ118" s="2162"/>
      <c r="AR118" s="2162"/>
      <c r="AS118" s="2162"/>
      <c r="AT118" s="2162"/>
      <c r="AU118" s="2162"/>
      <c r="AV118" s="808"/>
      <c r="AW118" s="808"/>
      <c r="AX118" s="3231"/>
      <c r="AY118" s="3233" t="s">
        <v>2326</v>
      </c>
      <c r="AZ118" s="1598"/>
      <c r="BA118" s="1598"/>
      <c r="BB118" s="1598"/>
      <c r="BC118" s="1598"/>
      <c r="BD118" s="3235" t="s">
        <v>227</v>
      </c>
      <c r="BE118" s="1401"/>
      <c r="BF118" s="1598"/>
      <c r="BG118" s="3166">
        <f>ROUND(BE118,0)</f>
        <v>0</v>
      </c>
      <c r="BH118" s="3232"/>
    </row>
    <row r="119" spans="1:60" ht="13.5" customHeight="1">
      <c r="A119" s="3107"/>
      <c r="B119" s="3809"/>
      <c r="C119" s="3809"/>
      <c r="D119" s="808"/>
      <c r="E119" s="808"/>
      <c r="F119" s="808"/>
      <c r="G119" s="808"/>
      <c r="H119" s="808"/>
      <c r="I119" s="808"/>
      <c r="J119" s="808"/>
      <c r="K119" s="808"/>
      <c r="L119" s="808"/>
      <c r="M119" s="808"/>
      <c r="N119" s="808"/>
      <c r="O119" s="808"/>
      <c r="P119" s="808"/>
      <c r="Q119" s="808"/>
      <c r="R119" s="808"/>
      <c r="S119" s="808"/>
      <c r="T119" s="901"/>
      <c r="U119" s="808"/>
      <c r="V119" s="808"/>
      <c r="W119" s="808"/>
      <c r="X119" s="808"/>
      <c r="Y119" s="808"/>
      <c r="Z119" s="808"/>
      <c r="AA119" s="808"/>
      <c r="AB119" s="808"/>
      <c r="AC119" s="808"/>
      <c r="AD119" s="808"/>
      <c r="AE119" s="808"/>
      <c r="AF119" s="808"/>
      <c r="AG119" s="808"/>
      <c r="AH119" s="808"/>
      <c r="AI119" s="1128"/>
      <c r="AJ119" s="3807"/>
      <c r="AK119" s="3808"/>
      <c r="AL119" s="808"/>
      <c r="AM119" s="808"/>
      <c r="AN119" s="808"/>
      <c r="AO119" s="808"/>
      <c r="AP119" s="2162"/>
      <c r="AQ119" s="2162"/>
      <c r="AR119" s="2162"/>
      <c r="AS119" s="2162"/>
      <c r="AT119" s="2162"/>
      <c r="AU119" s="2162"/>
      <c r="AV119" s="808"/>
      <c r="AW119" s="808"/>
      <c r="AX119" s="3234" t="s">
        <v>229</v>
      </c>
      <c r="AY119" s="3233" t="s">
        <v>3273</v>
      </c>
      <c r="AZ119" s="1598"/>
      <c r="BA119" s="1598"/>
      <c r="BB119" s="1598"/>
      <c r="BC119" s="1598"/>
      <c r="BD119" s="1598"/>
      <c r="BE119" s="3166" t="b">
        <f>OR(BE109&lt;&gt;"",BE111&lt;&gt;"",BE113&lt;&gt;"",BE115&lt;&gt;"",BE118&lt;&gt;"")</f>
        <v>0</v>
      </c>
      <c r="BF119" s="3235" t="s">
        <v>229</v>
      </c>
      <c r="BG119" s="1568" t="str">
        <f>IF(BE119,SUM(BE110,BE112,BE114,BE116,BG118),IF(AB105,"",0))</f>
        <v/>
      </c>
      <c r="BH119" s="3232"/>
    </row>
    <row r="120" spans="1:60" ht="13.5" customHeight="1">
      <c r="A120" s="3107"/>
      <c r="B120" s="7978">
        <v>22</v>
      </c>
      <c r="C120" s="7978"/>
      <c r="D120" s="892" t="s">
        <v>3274</v>
      </c>
      <c r="E120" s="808"/>
      <c r="F120" s="808"/>
      <c r="G120" s="808"/>
      <c r="H120" s="808"/>
      <c r="I120" s="808"/>
      <c r="J120" s="808"/>
      <c r="K120" s="808"/>
      <c r="L120" s="808"/>
      <c r="M120" s="808"/>
      <c r="N120" s="808"/>
      <c r="O120" s="808"/>
      <c r="P120" s="808"/>
      <c r="Q120" s="808"/>
      <c r="R120" s="808"/>
      <c r="S120" s="808"/>
      <c r="T120" s="901"/>
      <c r="U120" s="808"/>
      <c r="V120" s="808"/>
      <c r="W120" s="808"/>
      <c r="X120" s="808"/>
      <c r="Y120" s="808"/>
      <c r="Z120" s="808"/>
      <c r="AA120" s="808"/>
      <c r="AB120" s="808"/>
      <c r="AC120" s="808"/>
      <c r="AD120" s="808"/>
      <c r="AE120" s="808"/>
      <c r="AF120" s="808"/>
      <c r="AG120" s="808"/>
      <c r="AH120" s="808"/>
      <c r="AI120" s="1128" t="s">
        <v>988</v>
      </c>
      <c r="AJ120" s="7979">
        <v>22</v>
      </c>
      <c r="AK120" s="7980"/>
      <c r="AL120" s="8084"/>
      <c r="AM120" s="6827"/>
      <c r="AN120" s="6827"/>
      <c r="AO120" s="6827"/>
      <c r="AP120" s="2162"/>
      <c r="AQ120" s="3826">
        <f>ROUND(AL120,0)</f>
        <v>0</v>
      </c>
      <c r="AR120" s="2162"/>
      <c r="AS120" s="2162"/>
      <c r="AT120" s="2162"/>
      <c r="AU120" s="2162"/>
      <c r="AV120" s="808"/>
      <c r="AW120" s="808"/>
      <c r="AX120" s="3234" t="s">
        <v>1605</v>
      </c>
      <c r="AY120" s="3233" t="s">
        <v>3275</v>
      </c>
      <c r="AZ120" s="1598"/>
      <c r="BA120" s="1598"/>
      <c r="BB120" s="1598"/>
      <c r="BC120" s="1598"/>
      <c r="BD120" s="1598"/>
      <c r="BE120" s="1598"/>
      <c r="BF120" s="3235" t="s">
        <v>1605</v>
      </c>
      <c r="BG120" s="1568" t="str">
        <f>IF(BG119="","",SUM(BG108,-BG119))</f>
        <v/>
      </c>
      <c r="BH120" s="3232"/>
    </row>
    <row r="121" spans="1:60" s="2114" customFormat="1" ht="16.5" customHeight="1" thickBot="1">
      <c r="A121" s="3107"/>
      <c r="B121" s="3809"/>
      <c r="C121" s="3809"/>
      <c r="D121" s="808"/>
      <c r="E121" s="808"/>
      <c r="F121" s="808"/>
      <c r="G121" s="808"/>
      <c r="H121" s="808"/>
      <c r="I121" s="808"/>
      <c r="J121" s="808"/>
      <c r="K121" s="808"/>
      <c r="L121" s="808"/>
      <c r="M121" s="808"/>
      <c r="N121" s="808"/>
      <c r="O121" s="808"/>
      <c r="P121" s="808"/>
      <c r="Q121" s="808"/>
      <c r="R121" s="808"/>
      <c r="S121" s="808"/>
      <c r="T121" s="901"/>
      <c r="U121" s="808"/>
      <c r="V121" s="808"/>
      <c r="W121" s="808"/>
      <c r="X121" s="808"/>
      <c r="Y121" s="808"/>
      <c r="Z121" s="808"/>
      <c r="AA121" s="808"/>
      <c r="AB121" s="808"/>
      <c r="AC121" s="808"/>
      <c r="AD121" s="808"/>
      <c r="AE121" s="808"/>
      <c r="AF121" s="808"/>
      <c r="AG121" s="808"/>
      <c r="AH121" s="808"/>
      <c r="AI121" s="1128"/>
      <c r="AJ121" s="3807"/>
      <c r="AK121" s="3808"/>
      <c r="AL121" s="808"/>
      <c r="AM121" s="808"/>
      <c r="AN121" s="808"/>
      <c r="AO121" s="808"/>
      <c r="AP121" s="2162"/>
      <c r="AQ121" s="2162"/>
      <c r="AR121" s="2162"/>
      <c r="AS121" s="2162"/>
      <c r="AT121" s="2162"/>
      <c r="AU121" s="2162"/>
      <c r="AV121" s="808"/>
      <c r="AW121" s="808"/>
      <c r="AX121" s="3236"/>
      <c r="AY121" s="3237"/>
      <c r="AZ121" s="3237"/>
      <c r="BA121" s="3237"/>
      <c r="BB121" s="3237"/>
      <c r="BC121" s="3237"/>
      <c r="BD121" s="3237"/>
      <c r="BE121" s="3237"/>
      <c r="BF121" s="3237"/>
      <c r="BG121" s="3237"/>
      <c r="BH121" s="3240"/>
    </row>
    <row r="122" spans="1:60" ht="14.25" customHeight="1">
      <c r="A122" s="3107"/>
      <c r="B122" s="7978">
        <v>23</v>
      </c>
      <c r="C122" s="7978"/>
      <c r="D122" s="892" t="s">
        <v>1764</v>
      </c>
      <c r="E122" s="808"/>
      <c r="F122" s="808"/>
      <c r="G122" s="808"/>
      <c r="H122" s="808"/>
      <c r="I122" s="808"/>
      <c r="J122" s="808"/>
      <c r="K122" s="808"/>
      <c r="L122" s="808"/>
      <c r="M122" s="808"/>
      <c r="N122" s="808"/>
      <c r="O122" s="808"/>
      <c r="P122" s="808"/>
      <c r="Q122" s="808"/>
      <c r="R122" s="808"/>
      <c r="S122" s="808"/>
      <c r="T122" s="901"/>
      <c r="U122" s="808"/>
      <c r="V122" s="808"/>
      <c r="W122" s="808"/>
      <c r="X122" s="808"/>
      <c r="Y122" s="808"/>
      <c r="Z122" s="808"/>
      <c r="AA122" s="808"/>
      <c r="AB122" s="808"/>
      <c r="AC122" s="808"/>
      <c r="AD122" s="808"/>
      <c r="AE122" s="808"/>
      <c r="AF122" s="808"/>
      <c r="AG122" s="808"/>
      <c r="AH122" s="808"/>
      <c r="AI122" s="1128" t="s">
        <v>3013</v>
      </c>
      <c r="AJ122" s="7979">
        <v>23</v>
      </c>
      <c r="AK122" s="7980"/>
      <c r="AL122" s="7916" t="str">
        <f>IF(AB105,"",SUM(AL118,AQ120))</f>
        <v/>
      </c>
      <c r="AM122" s="6829"/>
      <c r="AN122" s="6829"/>
      <c r="AO122" s="6829"/>
      <c r="AP122" s="2162"/>
      <c r="AQ122" s="2162"/>
      <c r="AR122" s="2162"/>
      <c r="AS122" s="2162"/>
      <c r="AT122" s="2162"/>
      <c r="AU122" s="2162"/>
      <c r="AV122" s="808"/>
      <c r="AW122" s="808"/>
      <c r="AX122" s="2396"/>
      <c r="AY122" s="3057"/>
      <c r="AZ122" s="3057"/>
      <c r="BA122" s="3057"/>
      <c r="BB122" s="3057"/>
      <c r="BC122" s="3057"/>
      <c r="BD122" s="3057"/>
      <c r="BE122" s="3057"/>
      <c r="BF122" s="3057"/>
      <c r="BG122" s="3057"/>
      <c r="BH122" s="3057"/>
    </row>
    <row r="123" spans="1:60" ht="14.25" customHeight="1">
      <c r="A123" s="3107"/>
      <c r="B123" s="7978">
        <v>24</v>
      </c>
      <c r="C123" s="7978"/>
      <c r="D123" s="892" t="s">
        <v>3276</v>
      </c>
      <c r="E123" s="808"/>
      <c r="F123" s="2112"/>
      <c r="G123" s="808"/>
      <c r="H123" s="808"/>
      <c r="I123" s="808"/>
      <c r="J123" s="808"/>
      <c r="K123" s="808"/>
      <c r="L123" s="808"/>
      <c r="M123" s="808"/>
      <c r="N123" s="808"/>
      <c r="O123" s="808"/>
      <c r="P123" s="808"/>
      <c r="Q123" s="808"/>
      <c r="R123" s="808"/>
      <c r="S123" s="808"/>
      <c r="T123" s="808"/>
      <c r="U123" s="808"/>
      <c r="V123" s="808"/>
      <c r="W123" s="808"/>
      <c r="X123" s="808"/>
      <c r="Y123" s="808"/>
      <c r="Z123" s="808"/>
      <c r="AA123" s="808"/>
      <c r="AB123" s="808"/>
      <c r="AC123" s="808"/>
      <c r="AD123" s="808"/>
      <c r="AE123" s="808"/>
      <c r="AF123" s="808"/>
      <c r="AG123" s="808"/>
      <c r="AH123" s="808"/>
      <c r="AI123" s="808"/>
      <c r="AJ123" s="1150"/>
      <c r="AK123" s="1151"/>
      <c r="AL123" s="808"/>
      <c r="AM123" s="808"/>
      <c r="AN123" s="808"/>
      <c r="AO123" s="808"/>
      <c r="AP123" s="2162"/>
      <c r="AQ123" s="2162"/>
      <c r="AR123" s="2162"/>
      <c r="AS123" s="2162"/>
      <c r="AT123" s="2162"/>
      <c r="AU123" s="2162"/>
      <c r="AV123" s="808"/>
      <c r="AW123" s="808"/>
      <c r="AX123" s="2396"/>
      <c r="AY123" s="3057"/>
      <c r="AZ123" s="3057"/>
      <c r="BA123" s="3057"/>
      <c r="BB123" s="3057"/>
      <c r="BC123" s="3057"/>
      <c r="BD123" s="3057"/>
      <c r="BE123" s="3057"/>
      <c r="BF123" s="3057"/>
      <c r="BG123" s="3057"/>
      <c r="BH123" s="3057"/>
    </row>
    <row r="124" spans="1:60" ht="14.25" customHeight="1">
      <c r="A124" s="3107"/>
      <c r="B124" s="892"/>
      <c r="C124" s="892"/>
      <c r="D124" s="1460" t="s">
        <v>3277</v>
      </c>
      <c r="E124" s="808"/>
      <c r="F124" s="808"/>
      <c r="G124" s="808"/>
      <c r="H124" s="808"/>
      <c r="I124" s="808"/>
      <c r="J124" s="808"/>
      <c r="K124" s="808"/>
      <c r="L124" s="808"/>
      <c r="M124" s="808"/>
      <c r="N124" s="808"/>
      <c r="O124" s="808"/>
      <c r="P124" s="808"/>
      <c r="Q124" s="808"/>
      <c r="R124" s="808"/>
      <c r="S124" s="808"/>
      <c r="T124" s="901"/>
      <c r="U124" s="808"/>
      <c r="V124" s="808"/>
      <c r="W124" s="808"/>
      <c r="X124" s="808"/>
      <c r="Y124" s="808"/>
      <c r="Z124" s="808"/>
      <c r="AA124" s="808"/>
      <c r="AB124" s="808"/>
      <c r="AC124" s="808"/>
      <c r="AD124" s="808"/>
      <c r="AE124" s="808"/>
      <c r="AF124" s="808"/>
      <c r="AG124" s="808"/>
      <c r="AH124" s="808"/>
      <c r="AI124" s="808"/>
      <c r="AJ124" s="1150"/>
      <c r="AK124" s="1151"/>
      <c r="AL124" s="8139">
        <f>SUM($AO$20,$AO$151,$AO$280)</f>
        <v>0</v>
      </c>
      <c r="AM124" s="8140"/>
      <c r="AN124" s="8140"/>
      <c r="AO124" s="8140"/>
      <c r="AP124" s="2162"/>
      <c r="AQ124" s="2162"/>
      <c r="AR124" s="2162"/>
      <c r="AS124" s="2162"/>
      <c r="AT124" s="2162"/>
      <c r="AU124" s="2162"/>
      <c r="AV124" s="808"/>
      <c r="AW124" s="808"/>
      <c r="AX124" s="2396"/>
      <c r="AY124" s="3057"/>
      <c r="AZ124" s="3057"/>
      <c r="BA124" s="3057"/>
      <c r="BB124" s="3057"/>
      <c r="BC124" s="3057"/>
      <c r="BD124" s="3057"/>
      <c r="BE124" s="3057"/>
      <c r="BF124" s="3057"/>
      <c r="BG124" s="3057"/>
      <c r="BH124" s="3057"/>
    </row>
    <row r="125" spans="1:60" ht="14.25" customHeight="1" thickBot="1">
      <c r="A125" s="3107"/>
      <c r="B125" s="7978"/>
      <c r="C125" s="7978"/>
      <c r="D125" s="808" t="s">
        <v>943</v>
      </c>
      <c r="E125" s="808"/>
      <c r="F125" s="808"/>
      <c r="G125" s="808"/>
      <c r="H125" s="808"/>
      <c r="I125" s="808"/>
      <c r="J125" s="808"/>
      <c r="K125" s="808"/>
      <c r="L125" s="808"/>
      <c r="M125" s="808"/>
      <c r="N125" s="808"/>
      <c r="O125" s="808"/>
      <c r="P125" s="808"/>
      <c r="Q125" s="808"/>
      <c r="R125" s="808"/>
      <c r="S125" s="808"/>
      <c r="T125" s="901"/>
      <c r="U125" s="808"/>
      <c r="V125" s="808"/>
      <c r="W125" s="808"/>
      <c r="X125" s="808"/>
      <c r="Y125" s="808"/>
      <c r="Z125" s="808"/>
      <c r="AA125" s="808"/>
      <c r="AB125" s="808"/>
      <c r="AC125" s="808"/>
      <c r="AD125" s="808"/>
      <c r="AE125" s="808"/>
      <c r="AF125" s="808"/>
      <c r="AG125" s="808"/>
      <c r="AH125" s="808"/>
      <c r="AI125" s="1128" t="s">
        <v>1293</v>
      </c>
      <c r="AJ125" s="7979">
        <v>24</v>
      </c>
      <c r="AK125" s="7980"/>
      <c r="AL125" s="7916" t="str">
        <f>IF(AQ125&lt;&gt;"",ROUND(AQ125,0),IF(AB105,"",IF(ISERROR(AL95*AL118),"                    ---",MIN(AL95,AL118))))</f>
        <v/>
      </c>
      <c r="AM125" s="6829"/>
      <c r="AN125" s="6829"/>
      <c r="AO125" s="6829"/>
      <c r="AP125" s="2162"/>
      <c r="AQ125" s="7914"/>
      <c r="AR125" s="7915"/>
      <c r="AS125" s="7915"/>
      <c r="AT125" s="7915"/>
      <c r="AU125" s="2162"/>
      <c r="AV125" s="808"/>
      <c r="AW125" s="808"/>
      <c r="AX125" s="2396"/>
      <c r="AY125" s="3057"/>
      <c r="AZ125" s="3057"/>
      <c r="BA125" s="3057"/>
      <c r="BB125" s="3057"/>
      <c r="BC125" s="3057"/>
      <c r="BD125" s="3057"/>
      <c r="BE125" s="3057"/>
      <c r="BF125" s="3057"/>
      <c r="BG125" s="3057"/>
      <c r="BH125" s="3057"/>
    </row>
    <row r="126" spans="1:60" ht="14.25" customHeight="1">
      <c r="A126" s="3109"/>
      <c r="B126" s="8082" t="s">
        <v>2410</v>
      </c>
      <c r="C126" s="8082"/>
      <c r="D126" s="8083"/>
      <c r="E126" s="2115"/>
      <c r="F126" s="2212" t="s">
        <v>3278</v>
      </c>
      <c r="G126" s="2115"/>
      <c r="H126" s="2115"/>
      <c r="I126" s="2115"/>
      <c r="J126" s="2115"/>
      <c r="K126" s="2115"/>
      <c r="L126" s="2115"/>
      <c r="M126" s="2115"/>
      <c r="N126" s="2115"/>
      <c r="O126" s="2115"/>
      <c r="P126" s="2115"/>
      <c r="Q126" s="2115"/>
      <c r="R126" s="2115"/>
      <c r="S126" s="2115"/>
      <c r="T126" s="2115"/>
      <c r="U126" s="2115"/>
      <c r="V126" s="2115"/>
      <c r="W126" s="2115"/>
      <c r="X126" s="2115"/>
      <c r="Y126" s="2115"/>
      <c r="Z126" s="2115"/>
      <c r="AA126" s="2115"/>
      <c r="AB126" s="2115"/>
      <c r="AC126" s="2115"/>
      <c r="AD126" s="2115"/>
      <c r="AE126" s="2115"/>
      <c r="AF126" s="2115"/>
      <c r="AG126" s="2115"/>
      <c r="AH126" s="2115"/>
      <c r="AI126" s="2115"/>
      <c r="AJ126" s="2115"/>
      <c r="AK126" s="2115"/>
      <c r="AL126" s="8142" t="b">
        <f>IF(AND(AL124&gt;1,AL125=MAX($AL$125,$AL$255,$AL$385)),TRUE,FALSE)</f>
        <v>0</v>
      </c>
      <c r="AM126" s="8143"/>
      <c r="AN126" s="8143"/>
      <c r="AO126" s="8143"/>
      <c r="AP126" s="2162"/>
      <c r="AQ126" s="2162"/>
      <c r="AR126" s="2162"/>
      <c r="AS126" s="2162"/>
      <c r="AT126" s="2162"/>
      <c r="AU126" s="2162"/>
      <c r="AV126" s="808"/>
      <c r="AW126" s="808"/>
      <c r="AX126" s="2396"/>
      <c r="AY126" s="3057"/>
      <c r="AZ126" s="3057"/>
      <c r="BA126" s="3057"/>
      <c r="BB126" s="3057"/>
      <c r="BC126" s="3057"/>
      <c r="BD126" s="3057"/>
      <c r="BE126" s="3057"/>
      <c r="BF126" s="3057"/>
      <c r="BG126" s="3057"/>
      <c r="BH126" s="3057"/>
    </row>
    <row r="127" spans="1:60" ht="14.25" customHeight="1">
      <c r="A127" s="3107"/>
      <c r="B127" s="7978">
        <v>25</v>
      </c>
      <c r="C127" s="7978"/>
      <c r="D127" s="892" t="s">
        <v>3279</v>
      </c>
      <c r="E127" s="808"/>
      <c r="F127" s="2112"/>
      <c r="G127" s="808"/>
      <c r="H127" s="808"/>
      <c r="I127" s="808"/>
      <c r="J127" s="808"/>
      <c r="K127" s="808"/>
      <c r="L127" s="808"/>
      <c r="M127" s="808"/>
      <c r="N127" s="808"/>
      <c r="O127" s="808"/>
      <c r="P127" s="808"/>
      <c r="Q127" s="808"/>
      <c r="R127" s="808"/>
      <c r="S127" s="808"/>
      <c r="T127" s="808"/>
      <c r="U127" s="808"/>
      <c r="V127" s="808"/>
      <c r="W127" s="808"/>
      <c r="X127" s="2405"/>
      <c r="Y127" s="1128" t="s">
        <v>1037</v>
      </c>
      <c r="Z127" s="7979">
        <v>25</v>
      </c>
      <c r="AA127" s="7980"/>
      <c r="AB127" s="7918" t="str">
        <f>IF(AL126,$AR$25,"")</f>
        <v/>
      </c>
      <c r="AC127" s="7919"/>
      <c r="AD127" s="7919"/>
      <c r="AE127" s="7919"/>
      <c r="AF127" s="7919"/>
      <c r="AG127" s="7919"/>
      <c r="AH127" s="7919"/>
      <c r="AI127" s="7920"/>
      <c r="AJ127" s="7925"/>
      <c r="AK127" s="7935"/>
      <c r="AL127" s="1150"/>
      <c r="AM127" s="808"/>
      <c r="AN127" s="808"/>
      <c r="AO127" s="808"/>
      <c r="AP127" s="2162"/>
      <c r="AQ127" s="900" t="s">
        <v>640</v>
      </c>
      <c r="AR127" s="7917">
        <f>IF(C21&lt;&gt;"",$AL$125,0)</f>
        <v>0</v>
      </c>
      <c r="AS127" s="7917"/>
      <c r="AT127" s="7917"/>
      <c r="AU127" s="7917"/>
      <c r="AV127" s="808"/>
      <c r="AW127" s="808"/>
      <c r="AX127" s="2396"/>
      <c r="AY127" s="3057"/>
      <c r="AZ127" s="3057"/>
      <c r="BA127" s="3057"/>
      <c r="BB127" s="3057"/>
      <c r="BC127" s="3057"/>
      <c r="BD127" s="3057"/>
      <c r="BE127" s="3057"/>
      <c r="BF127" s="3057"/>
      <c r="BG127" s="3057"/>
      <c r="BH127" s="3057"/>
    </row>
    <row r="128" spans="1:60" ht="14.25" customHeight="1">
      <c r="A128" s="3107"/>
      <c r="B128" s="7978">
        <v>26</v>
      </c>
      <c r="C128" s="7978"/>
      <c r="D128" s="892" t="s">
        <v>3280</v>
      </c>
      <c r="E128" s="808"/>
      <c r="F128" s="2112"/>
      <c r="G128" s="808"/>
      <c r="H128" s="808"/>
      <c r="I128" s="808"/>
      <c r="J128" s="808"/>
      <c r="K128" s="808"/>
      <c r="L128" s="808"/>
      <c r="M128" s="808"/>
      <c r="N128" s="808"/>
      <c r="O128" s="808"/>
      <c r="P128" s="808"/>
      <c r="Q128" s="808"/>
      <c r="R128" s="808"/>
      <c r="S128" s="808"/>
      <c r="T128" s="808"/>
      <c r="U128" s="808"/>
      <c r="V128" s="808"/>
      <c r="W128" s="808"/>
      <c r="X128" s="2405"/>
      <c r="Y128" s="1128" t="s">
        <v>990</v>
      </c>
      <c r="Z128" s="7979">
        <v>26</v>
      </c>
      <c r="AA128" s="7980"/>
      <c r="AB128" s="7918" t="str">
        <f>IF(AL126,$AR$26,"")</f>
        <v/>
      </c>
      <c r="AC128" s="7919"/>
      <c r="AD128" s="7919"/>
      <c r="AE128" s="7919"/>
      <c r="AF128" s="7919"/>
      <c r="AG128" s="7919"/>
      <c r="AH128" s="7919"/>
      <c r="AI128" s="7920"/>
      <c r="AJ128" s="7925"/>
      <c r="AK128" s="7935"/>
      <c r="AL128" s="1150"/>
      <c r="AM128" s="808"/>
      <c r="AN128" s="808"/>
      <c r="AO128" s="808"/>
      <c r="AP128" s="2162"/>
      <c r="AQ128" s="900" t="s">
        <v>644</v>
      </c>
      <c r="AR128" s="7917">
        <f>IF(C23&lt;&gt;"",$AL$125,0)</f>
        <v>0</v>
      </c>
      <c r="AS128" s="7917"/>
      <c r="AT128" s="7917"/>
      <c r="AU128" s="7917"/>
      <c r="AV128" s="808"/>
      <c r="AW128" s="808"/>
      <c r="AX128" s="2396"/>
      <c r="AY128" s="3057"/>
      <c r="AZ128" s="3057"/>
      <c r="BA128" s="3057"/>
      <c r="BB128" s="3057"/>
      <c r="BC128" s="3057"/>
      <c r="BD128" s="3057"/>
      <c r="BE128" s="3057"/>
      <c r="BF128" s="3057"/>
      <c r="BG128" s="3057"/>
      <c r="BH128" s="3057"/>
    </row>
    <row r="129" spans="1:60" ht="14.25" customHeight="1">
      <c r="A129" s="3107"/>
      <c r="B129" s="7978">
        <v>27</v>
      </c>
      <c r="C129" s="7978"/>
      <c r="D129" s="892" t="s">
        <v>3281</v>
      </c>
      <c r="E129" s="808"/>
      <c r="F129" s="2112"/>
      <c r="G129" s="808"/>
      <c r="H129" s="808"/>
      <c r="I129" s="808"/>
      <c r="J129" s="808"/>
      <c r="K129" s="808"/>
      <c r="L129" s="808"/>
      <c r="M129" s="808"/>
      <c r="N129" s="808"/>
      <c r="O129" s="808"/>
      <c r="P129" s="808"/>
      <c r="Q129" s="808"/>
      <c r="R129" s="808"/>
      <c r="S129" s="808"/>
      <c r="T129" s="808"/>
      <c r="U129" s="808"/>
      <c r="V129" s="808"/>
      <c r="W129" s="808"/>
      <c r="X129" s="2405"/>
      <c r="Y129" s="1128" t="s">
        <v>930</v>
      </c>
      <c r="Z129" s="7979">
        <v>27</v>
      </c>
      <c r="AA129" s="7980"/>
      <c r="AB129" s="7918" t="str">
        <f>IF(AL126,$AR$27,"")</f>
        <v/>
      </c>
      <c r="AC129" s="7919"/>
      <c r="AD129" s="7919"/>
      <c r="AE129" s="7919"/>
      <c r="AF129" s="7919"/>
      <c r="AG129" s="7919"/>
      <c r="AH129" s="7919"/>
      <c r="AI129" s="7920"/>
      <c r="AJ129" s="7925"/>
      <c r="AK129" s="7935"/>
      <c r="AL129" s="1150"/>
      <c r="AM129" s="808"/>
      <c r="AN129" s="808"/>
      <c r="AO129" s="808"/>
      <c r="AP129" s="2162"/>
      <c r="AQ129" s="900" t="s">
        <v>648</v>
      </c>
      <c r="AR129" s="7917">
        <f>IF(K21&lt;&gt;"",$AL$125,0)</f>
        <v>0</v>
      </c>
      <c r="AS129" s="7917"/>
      <c r="AT129" s="7917"/>
      <c r="AU129" s="7917"/>
      <c r="AV129" s="808"/>
      <c r="AW129" s="808"/>
      <c r="AX129" s="2396"/>
      <c r="AY129" s="3066" t="s">
        <v>3282</v>
      </c>
      <c r="AZ129" s="3057"/>
      <c r="BA129" s="3057"/>
      <c r="BB129" s="3068" t="str">
        <f>IF(ISERROR(SUM(AL118,-ForeignTaxCredit_1))," ---",MAX(SUM(AL118,-ForeignTaxCredit_1),0))</f>
        <v xml:space="preserve"> ---</v>
      </c>
      <c r="BC129" s="3070" t="s">
        <v>3283</v>
      </c>
      <c r="BD129" s="3057"/>
      <c r="BE129" s="3057"/>
      <c r="BF129" s="3057"/>
      <c r="BG129" s="3057"/>
      <c r="BH129" s="3057"/>
    </row>
    <row r="130" spans="1:60" ht="14.25" customHeight="1">
      <c r="A130" s="3107"/>
      <c r="B130" s="7978">
        <v>28</v>
      </c>
      <c r="C130" s="7978"/>
      <c r="D130" s="892" t="s">
        <v>3284</v>
      </c>
      <c r="E130" s="808"/>
      <c r="F130" s="2112"/>
      <c r="G130" s="808"/>
      <c r="H130" s="808"/>
      <c r="I130" s="808"/>
      <c r="J130" s="808"/>
      <c r="K130" s="808"/>
      <c r="L130" s="808"/>
      <c r="M130" s="808"/>
      <c r="N130" s="808"/>
      <c r="O130" s="808"/>
      <c r="P130" s="808"/>
      <c r="Q130" s="808"/>
      <c r="R130" s="808"/>
      <c r="S130" s="808"/>
      <c r="T130" s="808"/>
      <c r="U130" s="808"/>
      <c r="V130" s="808"/>
      <c r="W130" s="808"/>
      <c r="X130" s="2405"/>
      <c r="Y130" s="1128" t="s">
        <v>930</v>
      </c>
      <c r="Z130" s="7979">
        <v>28</v>
      </c>
      <c r="AA130" s="7980"/>
      <c r="AB130" s="7918" t="str">
        <f>IF(AL126,$AR$28,"")</f>
        <v/>
      </c>
      <c r="AC130" s="7919"/>
      <c r="AD130" s="7919"/>
      <c r="AE130" s="7919"/>
      <c r="AF130" s="7919"/>
      <c r="AG130" s="7919"/>
      <c r="AH130" s="7919"/>
      <c r="AI130" s="7920"/>
      <c r="AJ130" s="7925"/>
      <c r="AK130" s="7935"/>
      <c r="AL130" s="1150"/>
      <c r="AM130" s="808"/>
      <c r="AN130" s="808"/>
      <c r="AO130" s="808"/>
      <c r="AP130" s="2162"/>
      <c r="AQ130" s="900" t="s">
        <v>652</v>
      </c>
      <c r="AR130" s="7917">
        <f>IF(K23&lt;&gt;"",$AL$125,0)</f>
        <v>0</v>
      </c>
      <c r="AS130" s="7917"/>
      <c r="AT130" s="7917"/>
      <c r="AU130" s="7917"/>
      <c r="AV130" s="808"/>
      <c r="AW130" s="808"/>
      <c r="AX130" s="2396"/>
      <c r="AY130" s="3066" t="s">
        <v>3285</v>
      </c>
      <c r="AZ130" s="3057"/>
      <c r="BA130" s="3057"/>
      <c r="BB130" s="3069" t="str">
        <f>IF(ISERROR(SUM(AL95,-ForeignTaxCredit_1))," ---",MAX(SUM(AL95,-ForeignTaxCredit_1),0))</f>
        <v xml:space="preserve"> ---</v>
      </c>
      <c r="BC130" s="3070" t="s">
        <v>3286</v>
      </c>
      <c r="BD130" s="3057"/>
      <c r="BE130" s="3057"/>
      <c r="BF130" s="3057"/>
      <c r="BG130" s="3057"/>
      <c r="BH130" s="3057"/>
    </row>
    <row r="131" spans="1:60" ht="14.25" customHeight="1">
      <c r="A131" s="3107"/>
      <c r="B131" s="7978">
        <v>29</v>
      </c>
      <c r="C131" s="7978"/>
      <c r="D131" s="892" t="s">
        <v>3287</v>
      </c>
      <c r="E131" s="808"/>
      <c r="F131" s="2112"/>
      <c r="G131" s="808"/>
      <c r="H131" s="808"/>
      <c r="I131" s="808"/>
      <c r="J131" s="808"/>
      <c r="K131" s="808"/>
      <c r="L131" s="808"/>
      <c r="M131" s="808"/>
      <c r="N131" s="808"/>
      <c r="O131" s="808"/>
      <c r="P131" s="808"/>
      <c r="Q131" s="808"/>
      <c r="R131" s="808"/>
      <c r="S131" s="808"/>
      <c r="T131" s="808"/>
      <c r="U131" s="808"/>
      <c r="V131" s="808"/>
      <c r="W131" s="808"/>
      <c r="X131" s="2405"/>
      <c r="Y131" s="1128" t="s">
        <v>990</v>
      </c>
      <c r="Z131" s="7979">
        <v>29</v>
      </c>
      <c r="AA131" s="7980"/>
      <c r="AB131" s="7918" t="str">
        <f>IF(AL126,$AR$29,"")</f>
        <v/>
      </c>
      <c r="AC131" s="7919"/>
      <c r="AD131" s="7919"/>
      <c r="AE131" s="7919"/>
      <c r="AF131" s="7919"/>
      <c r="AG131" s="7919"/>
      <c r="AH131" s="7919"/>
      <c r="AI131" s="7920"/>
      <c r="AJ131" s="7925"/>
      <c r="AK131" s="7935"/>
      <c r="AL131" s="1150"/>
      <c r="AM131" s="808"/>
      <c r="AN131" s="808"/>
      <c r="AO131" s="808"/>
      <c r="AP131" s="2162"/>
      <c r="AQ131" s="900" t="s">
        <v>656</v>
      </c>
      <c r="AR131" s="7917">
        <f>IF(W21&lt;&gt;"",$AL$125,0)</f>
        <v>0</v>
      </c>
      <c r="AS131" s="7917"/>
      <c r="AT131" s="7917"/>
      <c r="AU131" s="7917"/>
      <c r="AV131" s="808"/>
      <c r="AW131" s="808"/>
      <c r="AX131" s="2396"/>
      <c r="AY131" s="3057"/>
      <c r="AZ131" s="3057"/>
      <c r="BA131" s="3057"/>
      <c r="BB131" s="3057"/>
      <c r="BC131" s="3057"/>
      <c r="BD131" s="3057"/>
      <c r="BE131" s="3057"/>
      <c r="BF131" s="3057"/>
      <c r="BG131" s="3057"/>
      <c r="BH131" s="3057"/>
    </row>
    <row r="132" spans="1:60" ht="14.25" customHeight="1">
      <c r="A132" s="3107"/>
      <c r="B132" s="7978">
        <v>30</v>
      </c>
      <c r="C132" s="7978"/>
      <c r="D132" s="892" t="s">
        <v>3288</v>
      </c>
      <c r="E132" s="808"/>
      <c r="F132" s="2112"/>
      <c r="G132" s="808"/>
      <c r="H132" s="808"/>
      <c r="I132" s="808"/>
      <c r="J132" s="808"/>
      <c r="K132" s="808"/>
      <c r="L132" s="808"/>
      <c r="M132" s="808"/>
      <c r="N132" s="808"/>
      <c r="O132" s="808"/>
      <c r="P132" s="808"/>
      <c r="Q132" s="808"/>
      <c r="R132" s="808"/>
      <c r="S132" s="808"/>
      <c r="T132" s="808"/>
      <c r="U132" s="808"/>
      <c r="V132" s="808"/>
      <c r="W132" s="808"/>
      <c r="X132" s="2405"/>
      <c r="Y132" s="1128" t="s">
        <v>914</v>
      </c>
      <c r="Z132" s="7979">
        <v>30</v>
      </c>
      <c r="AA132" s="7980"/>
      <c r="AB132" s="7918" t="str">
        <f>IF(AL126,$AR$30,"")</f>
        <v/>
      </c>
      <c r="AC132" s="7919"/>
      <c r="AD132" s="7919"/>
      <c r="AE132" s="7919"/>
      <c r="AF132" s="7919"/>
      <c r="AG132" s="7919"/>
      <c r="AH132" s="7919"/>
      <c r="AI132" s="7920"/>
      <c r="AJ132" s="7925"/>
      <c r="AK132" s="7935"/>
      <c r="AL132" s="1150"/>
      <c r="AM132" s="808"/>
      <c r="AN132" s="808"/>
      <c r="AO132" s="808"/>
      <c r="AP132" s="2162"/>
      <c r="AQ132" s="900" t="s">
        <v>659</v>
      </c>
      <c r="AR132" s="7917">
        <f>IF(W23&lt;&gt;"",$AL$125,0)</f>
        <v>0</v>
      </c>
      <c r="AS132" s="7917"/>
      <c r="AT132" s="7917"/>
      <c r="AU132" s="7917"/>
      <c r="AV132" s="808"/>
      <c r="AW132" s="808"/>
      <c r="AX132" s="2396"/>
      <c r="AY132" s="3066" t="s">
        <v>3289</v>
      </c>
      <c r="AZ132" s="3057"/>
      <c r="BA132" s="3057"/>
      <c r="BB132" s="3057"/>
      <c r="BC132" s="3057"/>
      <c r="BD132" s="3057"/>
      <c r="BE132" s="3057"/>
      <c r="BF132" s="3057"/>
      <c r="BG132" s="3057"/>
      <c r="BH132" s="3057"/>
    </row>
    <row r="133" spans="1:60" ht="14.25" customHeight="1" thickBot="1">
      <c r="A133" s="3107"/>
      <c r="B133" s="7978">
        <v>31</v>
      </c>
      <c r="C133" s="7978"/>
      <c r="D133" s="892" t="s">
        <v>3290</v>
      </c>
      <c r="E133" s="808"/>
      <c r="F133" s="2112"/>
      <c r="G133" s="808"/>
      <c r="H133" s="808"/>
      <c r="I133" s="808"/>
      <c r="J133" s="808"/>
      <c r="K133" s="808"/>
      <c r="L133" s="808"/>
      <c r="M133" s="808"/>
      <c r="N133" s="808"/>
      <c r="O133" s="808"/>
      <c r="P133" s="808"/>
      <c r="Q133" s="808"/>
      <c r="R133" s="808"/>
      <c r="S133" s="808"/>
      <c r="T133" s="808"/>
      <c r="U133" s="808"/>
      <c r="V133" s="808"/>
      <c r="W133" s="808"/>
      <c r="X133" s="2405"/>
      <c r="Y133" s="1128" t="s">
        <v>990</v>
      </c>
      <c r="Z133" s="8085">
        <v>31</v>
      </c>
      <c r="AA133" s="8086"/>
      <c r="AB133" s="8087" t="str">
        <f>IF(AL126,$AR$31,"")</f>
        <v/>
      </c>
      <c r="AC133" s="8088"/>
      <c r="AD133" s="8088"/>
      <c r="AE133" s="8088"/>
      <c r="AF133" s="8088"/>
      <c r="AG133" s="8088"/>
      <c r="AH133" s="8088"/>
      <c r="AI133" s="8089"/>
      <c r="AJ133" s="7925"/>
      <c r="AK133" s="7935"/>
      <c r="AL133" s="1150"/>
      <c r="AM133" s="808"/>
      <c r="AN133" s="808"/>
      <c r="AO133" s="808"/>
      <c r="AP133" s="2162"/>
      <c r="AQ133" s="900" t="s">
        <v>663</v>
      </c>
      <c r="AR133" s="7917">
        <f>IF(AI21&lt;&gt;"",$AL$125,0)</f>
        <v>0</v>
      </c>
      <c r="AS133" s="7917"/>
      <c r="AT133" s="7917"/>
      <c r="AU133" s="7917"/>
      <c r="AV133" s="808"/>
      <c r="AW133" s="808"/>
      <c r="AX133" s="2396"/>
      <c r="AY133" s="3066" t="s">
        <v>3291</v>
      </c>
      <c r="AZ133" s="3057"/>
      <c r="BA133" s="3057"/>
      <c r="BB133" s="3057"/>
      <c r="BC133" s="3057"/>
      <c r="BD133" s="3057"/>
      <c r="BE133" s="3057"/>
      <c r="BF133" s="3057"/>
      <c r="BG133" s="3057"/>
      <c r="BH133" s="3057"/>
    </row>
    <row r="134" spans="1:60" ht="14.25" customHeight="1">
      <c r="A134" s="3107"/>
      <c r="B134" s="7978">
        <v>32</v>
      </c>
      <c r="C134" s="7978"/>
      <c r="D134" s="892" t="s">
        <v>3292</v>
      </c>
      <c r="E134" s="808"/>
      <c r="F134" s="2112"/>
      <c r="G134" s="808"/>
      <c r="H134" s="808"/>
      <c r="I134" s="808"/>
      <c r="J134" s="808"/>
      <c r="K134" s="808"/>
      <c r="L134" s="808"/>
      <c r="M134" s="808"/>
      <c r="N134" s="808"/>
      <c r="O134" s="808"/>
      <c r="P134" s="808"/>
      <c r="Q134" s="808"/>
      <c r="R134" s="808"/>
      <c r="S134" s="808"/>
      <c r="T134" s="808"/>
      <c r="U134" s="808"/>
      <c r="V134" s="808"/>
      <c r="W134" s="808"/>
      <c r="X134" s="808"/>
      <c r="Y134" s="808"/>
      <c r="Z134" s="1376"/>
      <c r="AA134" s="1376"/>
      <c r="AB134" s="808"/>
      <c r="AC134" s="808"/>
      <c r="AD134" s="808"/>
      <c r="AE134" s="808"/>
      <c r="AF134" s="808"/>
      <c r="AG134" s="808"/>
      <c r="AH134" s="808"/>
      <c r="AI134" s="1128" t="s">
        <v>985</v>
      </c>
      <c r="AJ134" s="7979">
        <v>32</v>
      </c>
      <c r="AK134" s="7980"/>
      <c r="AL134" s="7916" t="str">
        <f>IF(AQ134&lt;&gt;"",ROUND(AQ134,0),IF(NOT(AL126),"",SUM(AB127:AI133)))</f>
        <v/>
      </c>
      <c r="AM134" s="6829"/>
      <c r="AN134" s="6829"/>
      <c r="AO134" s="6829"/>
      <c r="AP134" s="2162"/>
      <c r="AQ134" s="7914"/>
      <c r="AR134" s="7915"/>
      <c r="AS134" s="7915"/>
      <c r="AT134" s="7915"/>
      <c r="AU134" s="2162"/>
      <c r="AV134" s="1108"/>
      <c r="AW134" s="1108"/>
      <c r="AX134" s="2396"/>
      <c r="AY134" s="3067" t="s">
        <v>3293</v>
      </c>
      <c r="AZ134" s="3057"/>
      <c r="BA134" s="3057"/>
      <c r="BB134" s="3057"/>
      <c r="BC134" s="3057"/>
      <c r="BD134" s="3057"/>
      <c r="BE134" s="3057"/>
      <c r="BF134" s="3057"/>
      <c r="BG134" s="3057"/>
      <c r="BH134" s="3057"/>
    </row>
    <row r="135" spans="1:60" ht="18" customHeight="1">
      <c r="A135" s="3107"/>
      <c r="B135" s="7978">
        <v>33</v>
      </c>
      <c r="C135" s="7978"/>
      <c r="D135" s="892" t="s">
        <v>3294</v>
      </c>
      <c r="E135" s="808"/>
      <c r="F135" s="2112"/>
      <c r="G135" s="808"/>
      <c r="H135" s="808"/>
      <c r="I135" s="808"/>
      <c r="J135" s="808"/>
      <c r="K135" s="808"/>
      <c r="L135" s="808"/>
      <c r="M135" s="808"/>
      <c r="N135" s="808"/>
      <c r="O135" s="808"/>
      <c r="P135" s="808"/>
      <c r="Q135" s="808"/>
      <c r="R135" s="808"/>
      <c r="S135" s="808"/>
      <c r="T135" s="808"/>
      <c r="U135" s="808"/>
      <c r="V135" s="808"/>
      <c r="W135" s="808"/>
      <c r="X135" s="808"/>
      <c r="Y135" s="808"/>
      <c r="Z135" s="1376"/>
      <c r="AA135" s="1376"/>
      <c r="AB135" s="808"/>
      <c r="AC135" s="808"/>
      <c r="AD135" s="808"/>
      <c r="AE135" s="808"/>
      <c r="AF135" s="808"/>
      <c r="AG135" s="808"/>
      <c r="AH135" s="808"/>
      <c r="AI135" s="1128" t="s">
        <v>908</v>
      </c>
      <c r="AJ135" s="7979">
        <v>33</v>
      </c>
      <c r="AK135" s="7980"/>
      <c r="AL135" s="7916" t="str">
        <f>IF(NOT(AQ18),AL125,IF(ISERROR(MIN(AL114,AL134)),"",MIN(AL114,AL134)))</f>
        <v/>
      </c>
      <c r="AM135" s="6829"/>
      <c r="AN135" s="6829"/>
      <c r="AO135" s="6829"/>
      <c r="AP135" s="2162"/>
      <c r="AQ135" s="2162"/>
      <c r="AR135" s="2162"/>
      <c r="AS135" s="2162"/>
      <c r="AT135" s="2162"/>
      <c r="AU135" s="2162"/>
      <c r="AV135" s="808"/>
      <c r="AW135" s="808"/>
      <c r="AX135" s="2396"/>
      <c r="AY135" s="3067"/>
      <c r="AZ135" s="3057"/>
      <c r="BA135" s="3057"/>
      <c r="BB135" s="3057"/>
      <c r="BC135" s="3057"/>
      <c r="BD135" s="3057"/>
      <c r="BE135" s="3057"/>
      <c r="BF135" s="3057"/>
      <c r="BG135" s="3057"/>
      <c r="BH135" s="3057"/>
    </row>
    <row r="136" spans="1:60" ht="15.75" thickBot="1">
      <c r="A136" s="3107"/>
      <c r="B136" s="7978">
        <v>34</v>
      </c>
      <c r="C136" s="7978"/>
      <c r="D136" s="892" t="s">
        <v>3295</v>
      </c>
      <c r="E136" s="808"/>
      <c r="F136" s="2112"/>
      <c r="G136" s="808"/>
      <c r="H136" s="808"/>
      <c r="I136" s="808"/>
      <c r="J136" s="808"/>
      <c r="K136" s="808"/>
      <c r="L136" s="808"/>
      <c r="M136" s="808"/>
      <c r="N136" s="808"/>
      <c r="O136" s="808"/>
      <c r="P136" s="808"/>
      <c r="Q136" s="808"/>
      <c r="R136" s="808"/>
      <c r="S136" s="808"/>
      <c r="T136" s="808"/>
      <c r="U136" s="808"/>
      <c r="V136" s="808"/>
      <c r="W136" s="808"/>
      <c r="X136" s="808"/>
      <c r="Y136" s="808"/>
      <c r="Z136" s="1376"/>
      <c r="AA136" s="1376"/>
      <c r="AB136" s="808"/>
      <c r="AC136" s="808"/>
      <c r="AD136" s="808"/>
      <c r="AE136" s="808"/>
      <c r="AF136" s="808"/>
      <c r="AG136" s="808"/>
      <c r="AH136" s="808"/>
      <c r="AI136" s="1128" t="s">
        <v>914</v>
      </c>
      <c r="AJ136" s="8085">
        <v>34</v>
      </c>
      <c r="AK136" s="8086"/>
      <c r="AL136" s="8078"/>
      <c r="AM136" s="8079"/>
      <c r="AN136" s="8079"/>
      <c r="AO136" s="8079"/>
      <c r="AP136" s="2162"/>
      <c r="AQ136" s="808"/>
      <c r="AR136" s="808"/>
      <c r="AS136" s="808"/>
      <c r="AT136" s="808"/>
      <c r="AU136" s="808"/>
      <c r="AV136" s="808"/>
      <c r="AW136" s="808"/>
      <c r="AX136" s="2395"/>
      <c r="AY136" s="3057"/>
      <c r="AZ136" s="3057"/>
      <c r="BA136" s="3057"/>
      <c r="BB136" s="3057"/>
      <c r="BC136" s="3057"/>
      <c r="BD136" s="3057"/>
      <c r="BE136" s="3057"/>
      <c r="BF136" s="3057"/>
      <c r="BG136" s="3057"/>
      <c r="BH136" s="3057"/>
    </row>
    <row r="137" spans="1:60" ht="12.75" customHeight="1">
      <c r="A137" s="3107"/>
      <c r="B137" s="7978">
        <v>35</v>
      </c>
      <c r="C137" s="7978"/>
      <c r="D137" s="892" t="s">
        <v>3296</v>
      </c>
      <c r="E137" s="808"/>
      <c r="F137" s="808"/>
      <c r="G137" s="808"/>
      <c r="H137" s="808"/>
      <c r="I137" s="808"/>
      <c r="J137" s="808"/>
      <c r="K137" s="808"/>
      <c r="L137" s="808"/>
      <c r="M137" s="808"/>
      <c r="N137" s="808"/>
      <c r="O137" s="808"/>
      <c r="P137" s="808"/>
      <c r="Q137" s="808"/>
      <c r="R137" s="808"/>
      <c r="S137" s="808"/>
      <c r="T137" s="901"/>
      <c r="U137" s="808"/>
      <c r="V137" s="808"/>
      <c r="W137" s="808"/>
      <c r="X137" s="808"/>
      <c r="Y137" s="808"/>
      <c r="Z137" s="808"/>
      <c r="AA137" s="808"/>
      <c r="AB137" s="808"/>
      <c r="AC137" s="808"/>
      <c r="AD137" s="808"/>
      <c r="AE137" s="808"/>
      <c r="AF137" s="808"/>
      <c r="AG137" s="808"/>
      <c r="AH137" s="808"/>
      <c r="AI137" s="808"/>
      <c r="AJ137" s="8076"/>
      <c r="AK137" s="8077"/>
      <c r="AL137" s="1150"/>
      <c r="AM137" s="808"/>
      <c r="AN137" s="808"/>
      <c r="AO137" s="808"/>
      <c r="AP137" s="2162"/>
      <c r="AQ137" s="2162"/>
      <c r="AR137" s="2162"/>
      <c r="AS137" s="2162"/>
      <c r="AT137" s="2162"/>
      <c r="AU137" s="2162"/>
      <c r="AV137" s="808"/>
      <c r="AW137" s="808"/>
      <c r="AX137" s="2395" t="s">
        <v>241</v>
      </c>
      <c r="AY137" s="3057"/>
      <c r="AZ137" s="3057"/>
      <c r="BA137" s="3057"/>
      <c r="BB137" s="3057"/>
      <c r="BC137" s="3057"/>
      <c r="BD137" s="3057"/>
      <c r="BE137" s="3057"/>
      <c r="BF137" s="3057"/>
      <c r="BG137" s="3057"/>
      <c r="BH137" s="3057"/>
    </row>
    <row r="138" spans="1:60" ht="13.5" thickBot="1">
      <c r="A138" s="3107"/>
      <c r="B138" s="2997"/>
      <c r="C138" s="2997"/>
      <c r="D138" s="1257" t="s">
        <v>3297</v>
      </c>
      <c r="E138" s="896"/>
      <c r="F138" s="896"/>
      <c r="G138" s="896"/>
      <c r="H138" s="896"/>
      <c r="I138" s="896"/>
      <c r="J138" s="896"/>
      <c r="K138" s="896"/>
      <c r="L138" s="896"/>
      <c r="M138" s="896"/>
      <c r="N138" s="896"/>
      <c r="O138" s="896"/>
      <c r="P138" s="896"/>
      <c r="Q138" s="896"/>
      <c r="R138" s="896"/>
      <c r="S138" s="896"/>
      <c r="T138" s="2211"/>
      <c r="U138" s="896"/>
      <c r="V138" s="896"/>
      <c r="W138" s="896"/>
      <c r="X138" s="896"/>
      <c r="Y138" s="896"/>
      <c r="Z138" s="896"/>
      <c r="AA138" s="896"/>
      <c r="AB138" s="896"/>
      <c r="AC138" s="896"/>
      <c r="AD138" s="896"/>
      <c r="AE138" s="896"/>
      <c r="AF138" s="896"/>
      <c r="AG138" s="896"/>
      <c r="AH138" s="896"/>
      <c r="AI138" s="2629" t="s">
        <v>888</v>
      </c>
      <c r="AJ138" s="8080">
        <v>35</v>
      </c>
      <c r="AK138" s="8081"/>
      <c r="AL138" s="7912" t="str">
        <f>IF(AQ138&lt;&gt;"",ROUND(AQ138,0),IF(AND(AL124=1,AO20=1),AL125,IF(NOT(AL126),"",IF(ISERROR(SUM(AL135,-AL136)),"",SUM(AL135,-AL136)))))</f>
        <v/>
      </c>
      <c r="AM138" s="7913"/>
      <c r="AN138" s="7913"/>
      <c r="AO138" s="7913"/>
      <c r="AP138" s="2162"/>
      <c r="AQ138" s="7914"/>
      <c r="AR138" s="7915"/>
      <c r="AS138" s="7915"/>
      <c r="AT138" s="7915"/>
      <c r="AU138" s="2162"/>
      <c r="AV138" s="808"/>
      <c r="AW138" s="808"/>
      <c r="AX138" s="2396"/>
      <c r="AY138" s="3057"/>
      <c r="AZ138" s="3057"/>
      <c r="BA138" s="3057"/>
      <c r="BB138" s="3057"/>
      <c r="BC138" s="3057"/>
      <c r="BD138" s="3057"/>
      <c r="BE138" s="3057"/>
      <c r="BF138" s="3057"/>
      <c r="BG138" s="3057"/>
      <c r="BH138" s="3057"/>
    </row>
    <row r="139" spans="1:60" ht="18">
      <c r="A139" s="3107"/>
      <c r="B139" s="2121"/>
      <c r="C139" s="2119"/>
      <c r="D139" s="808"/>
      <c r="E139" s="808"/>
      <c r="F139" s="808"/>
      <c r="G139" s="808"/>
      <c r="H139" s="808"/>
      <c r="I139" s="808"/>
      <c r="J139" s="808"/>
      <c r="K139" s="808"/>
      <c r="L139" s="808"/>
      <c r="M139" s="808"/>
      <c r="N139" s="808"/>
      <c r="O139" s="808"/>
      <c r="P139" s="808"/>
      <c r="Q139" s="808"/>
      <c r="R139" s="808"/>
      <c r="S139" s="808"/>
      <c r="T139" s="808"/>
      <c r="U139" s="808"/>
      <c r="V139" s="808"/>
      <c r="W139" s="808"/>
      <c r="X139" s="808"/>
      <c r="Y139" s="808"/>
      <c r="Z139" s="808"/>
      <c r="AA139" s="808"/>
      <c r="AB139" s="808"/>
      <c r="AC139" s="808"/>
      <c r="AD139" s="808"/>
      <c r="AE139" s="808"/>
      <c r="AF139" s="808"/>
      <c r="AG139" s="808"/>
      <c r="AH139" s="808"/>
      <c r="AI139" s="808"/>
      <c r="AJ139" s="808"/>
      <c r="AK139" s="1585"/>
      <c r="AL139" s="808"/>
      <c r="AM139" s="808"/>
      <c r="AN139" s="1585" t="s">
        <v>3298</v>
      </c>
      <c r="AO139" s="1461" t="str">
        <f>"("&amp;TaxYear&amp;")"</f>
        <v>(2023)</v>
      </c>
      <c r="AP139" s="2162"/>
      <c r="AQ139" s="2162"/>
      <c r="AR139" s="2162"/>
      <c r="AS139" s="2162"/>
      <c r="AT139" s="2162"/>
      <c r="AU139" s="2162"/>
      <c r="AV139" s="808"/>
      <c r="AW139" s="808"/>
      <c r="AX139" s="3061" t="s">
        <v>251</v>
      </c>
      <c r="AY139" s="3057"/>
      <c r="AZ139" s="3057"/>
      <c r="BA139" s="3057"/>
      <c r="BB139" s="3057"/>
      <c r="BC139" s="3057"/>
      <c r="BD139" s="3057"/>
      <c r="BE139" s="3057"/>
      <c r="BF139" s="3057"/>
      <c r="BG139" s="3057"/>
      <c r="BH139" s="3057"/>
    </row>
    <row r="140" spans="1:60" ht="11.25" customHeight="1">
      <c r="A140" s="3107"/>
      <c r="B140" s="2162"/>
      <c r="C140" s="2162"/>
      <c r="D140" s="2162"/>
      <c r="E140" s="2162"/>
      <c r="F140" s="2162"/>
      <c r="G140" s="2162"/>
      <c r="H140" s="2162"/>
      <c r="I140" s="2162"/>
      <c r="J140" s="2162"/>
      <c r="K140" s="2162"/>
      <c r="L140" s="2162"/>
      <c r="M140" s="2162"/>
      <c r="N140" s="2162"/>
      <c r="O140" s="2162"/>
      <c r="P140" s="2162"/>
      <c r="Q140" s="2162"/>
      <c r="R140" s="2162"/>
      <c r="S140" s="2162"/>
      <c r="T140" s="2162"/>
      <c r="U140" s="2162"/>
      <c r="V140" s="2162"/>
      <c r="W140" s="2162"/>
      <c r="X140" s="2162"/>
      <c r="Y140" s="2162"/>
      <c r="Z140" s="2162"/>
      <c r="AA140" s="2162"/>
      <c r="AB140" s="2162"/>
      <c r="AC140" s="2162"/>
      <c r="AD140" s="2162"/>
      <c r="AE140" s="2162"/>
      <c r="AF140" s="2162"/>
      <c r="AG140" s="2162"/>
      <c r="AH140" s="2162"/>
      <c r="AI140" s="2162"/>
      <c r="AJ140" s="2162"/>
      <c r="AK140" s="2162"/>
      <c r="AL140" s="2162"/>
      <c r="AM140" s="2162"/>
      <c r="AN140" s="2162"/>
      <c r="AO140" s="2162"/>
      <c r="AP140" s="2162"/>
      <c r="AQ140" s="808"/>
      <c r="AR140" s="808"/>
      <c r="AS140" s="808"/>
      <c r="AT140" s="808"/>
      <c r="AU140" s="808"/>
      <c r="AV140" s="808"/>
      <c r="AW140" s="808"/>
      <c r="AX140" s="2396"/>
      <c r="AY140" s="3057"/>
      <c r="AZ140" s="3057"/>
      <c r="BA140" s="3057"/>
      <c r="BB140" s="3057"/>
      <c r="BC140" s="3057"/>
      <c r="BD140" s="3057"/>
      <c r="BE140" s="3057"/>
      <c r="BF140" s="3057"/>
      <c r="BG140" s="3057"/>
      <c r="BH140" s="3057"/>
    </row>
    <row r="141" spans="1:60" ht="18" customHeight="1">
      <c r="A141" s="3107"/>
      <c r="B141" s="8053" t="s">
        <v>3299</v>
      </c>
      <c r="C141" s="6970"/>
      <c r="D141" s="6970"/>
      <c r="E141" s="6970"/>
      <c r="F141" s="6970"/>
      <c r="G141" s="6970"/>
      <c r="H141" s="5197" t="str">
        <f>IF(AND(NOT(NoColor),'Table of Contents'!$A$41="D"),"DRAFT","")</f>
        <v/>
      </c>
      <c r="I141" s="2570"/>
      <c r="J141" s="2570"/>
      <c r="K141" s="2570"/>
      <c r="L141" s="2570"/>
      <c r="M141" s="8097" t="s">
        <v>3150</v>
      </c>
      <c r="N141" s="8097"/>
      <c r="O141" s="8097"/>
      <c r="P141" s="8097"/>
      <c r="Q141" s="8097"/>
      <c r="R141" s="8097"/>
      <c r="S141" s="8097"/>
      <c r="T141" s="8097"/>
      <c r="U141" s="8097"/>
      <c r="V141" s="8097"/>
      <c r="W141" s="8097"/>
      <c r="X141" s="8097"/>
      <c r="Y141" s="8097"/>
      <c r="Z141" s="8097"/>
      <c r="AA141" s="2570"/>
      <c r="AB141" s="2570"/>
      <c r="AC141" s="2570"/>
      <c r="AD141" s="2570"/>
      <c r="AE141" s="2570"/>
      <c r="AF141" s="2570"/>
      <c r="AG141" s="2570"/>
      <c r="AH141" s="2577"/>
      <c r="AI141" s="7540" t="s">
        <v>3151</v>
      </c>
      <c r="AJ141" s="7415"/>
      <c r="AK141" s="7415"/>
      <c r="AL141" s="7415"/>
      <c r="AM141" s="7415"/>
      <c r="AN141" s="7415"/>
      <c r="AO141" s="7415"/>
      <c r="AP141" s="2162"/>
      <c r="AQ141" s="808"/>
      <c r="AR141" s="808"/>
      <c r="AS141" s="808"/>
      <c r="AT141" s="808"/>
      <c r="AU141" s="808"/>
      <c r="AV141" s="808"/>
      <c r="AW141" s="808"/>
      <c r="AX141" s="2396"/>
      <c r="AY141" s="3057"/>
      <c r="AZ141" s="3057"/>
      <c r="BA141" s="3057"/>
      <c r="BB141" s="3057"/>
      <c r="BC141" s="3057"/>
      <c r="BD141" s="3057"/>
      <c r="BE141" s="3057"/>
      <c r="BF141" s="3057"/>
      <c r="BG141" s="3057"/>
      <c r="BH141" s="3057"/>
    </row>
    <row r="142" spans="1:60" ht="14.25" customHeight="1">
      <c r="A142" s="3106"/>
      <c r="B142" s="6970"/>
      <c r="C142" s="6970"/>
      <c r="D142" s="6970"/>
      <c r="E142" s="6970"/>
      <c r="F142" s="6970"/>
      <c r="G142" s="6970"/>
      <c r="H142" s="2627"/>
      <c r="I142" s="2570"/>
      <c r="J142" s="2570"/>
      <c r="K142" s="2570"/>
      <c r="L142" s="2570"/>
      <c r="M142" s="8097"/>
      <c r="N142" s="8097"/>
      <c r="O142" s="8097"/>
      <c r="P142" s="8097"/>
      <c r="Q142" s="8097"/>
      <c r="R142" s="8097"/>
      <c r="S142" s="8097"/>
      <c r="T142" s="8097"/>
      <c r="U142" s="8097"/>
      <c r="V142" s="8097"/>
      <c r="W142" s="8097"/>
      <c r="X142" s="8097"/>
      <c r="Y142" s="8097"/>
      <c r="Z142" s="8097"/>
      <c r="AA142" s="2570"/>
      <c r="AB142" s="2570"/>
      <c r="AC142" s="2570"/>
      <c r="AD142" s="2570"/>
      <c r="AE142" s="2570"/>
      <c r="AF142" s="2570"/>
      <c r="AG142" s="2570"/>
      <c r="AH142" s="2626"/>
      <c r="AI142" s="7895">
        <f>TaxYear</f>
        <v>2023</v>
      </c>
      <c r="AJ142" s="7896"/>
      <c r="AK142" s="7896"/>
      <c r="AL142" s="7896"/>
      <c r="AM142" s="7896"/>
      <c r="AN142" s="7896"/>
      <c r="AO142" s="7896"/>
      <c r="AP142" s="2162"/>
      <c r="AQ142" s="808"/>
      <c r="AR142" s="808"/>
      <c r="AS142" s="808"/>
      <c r="AT142" s="808"/>
      <c r="AU142" s="808"/>
      <c r="AV142" s="808"/>
      <c r="AW142" s="808"/>
      <c r="AX142" s="2396"/>
      <c r="AY142" s="3057"/>
      <c r="AZ142" s="3057"/>
      <c r="BA142" s="3057"/>
      <c r="BB142" s="3057"/>
      <c r="BC142" s="3057"/>
      <c r="BD142" s="3057"/>
      <c r="BE142" s="3057"/>
      <c r="BF142" s="3057"/>
      <c r="BG142" s="3057"/>
      <c r="BH142" s="3057"/>
    </row>
    <row r="143" spans="1:60">
      <c r="A143" s="3107"/>
      <c r="B143" s="1640"/>
      <c r="C143" s="808"/>
      <c r="D143" s="808"/>
      <c r="E143" s="808"/>
      <c r="F143" s="808"/>
      <c r="G143" s="808"/>
      <c r="H143" s="8061" t="s">
        <v>3152</v>
      </c>
      <c r="I143" s="6659"/>
      <c r="J143" s="6659"/>
      <c r="K143" s="6659"/>
      <c r="L143" s="6659"/>
      <c r="M143" s="6659"/>
      <c r="N143" s="6659"/>
      <c r="O143" s="6659"/>
      <c r="P143" s="6659"/>
      <c r="Q143" s="6659"/>
      <c r="R143" s="6659"/>
      <c r="S143" s="6659"/>
      <c r="T143" s="6659"/>
      <c r="U143" s="6659"/>
      <c r="V143" s="6659"/>
      <c r="W143" s="6659"/>
      <c r="X143" s="6659"/>
      <c r="Y143" s="6659"/>
      <c r="Z143" s="6659"/>
      <c r="AA143" s="6659"/>
      <c r="AB143" s="6659"/>
      <c r="AC143" s="6659"/>
      <c r="AD143" s="6659"/>
      <c r="AE143" s="6659"/>
      <c r="AF143" s="6659"/>
      <c r="AG143" s="6659"/>
      <c r="AH143" s="8062"/>
      <c r="AI143" s="7897"/>
      <c r="AJ143" s="7898"/>
      <c r="AK143" s="7898"/>
      <c r="AL143" s="7898"/>
      <c r="AM143" s="7898"/>
      <c r="AN143" s="7898"/>
      <c r="AO143" s="7898"/>
      <c r="AP143" s="2162"/>
      <c r="AQ143" s="808"/>
      <c r="AR143" s="808"/>
      <c r="AS143" s="808"/>
      <c r="AT143" s="808"/>
      <c r="AU143" s="808"/>
      <c r="AV143" s="808"/>
      <c r="AW143" s="808"/>
      <c r="AX143" s="2396"/>
      <c r="AY143" s="3057"/>
      <c r="AZ143" s="3057"/>
      <c r="BA143" s="3057"/>
      <c r="BB143" s="3057"/>
      <c r="BC143" s="3057"/>
      <c r="BD143" s="3057"/>
      <c r="BE143" s="3057"/>
      <c r="BF143" s="3057"/>
      <c r="BG143" s="3057"/>
      <c r="BH143" s="3057"/>
    </row>
    <row r="144" spans="1:60" ht="9.75" customHeight="1">
      <c r="A144" s="3107"/>
      <c r="B144" s="6763" t="s">
        <v>2661</v>
      </c>
      <c r="C144" s="6919"/>
      <c r="D144" s="6919"/>
      <c r="E144" s="6919"/>
      <c r="F144" s="6919"/>
      <c r="G144" s="7542"/>
      <c r="H144" s="8063" t="s">
        <v>3153</v>
      </c>
      <c r="I144" s="8064"/>
      <c r="J144" s="8064"/>
      <c r="K144" s="8064"/>
      <c r="L144" s="8064"/>
      <c r="M144" s="8064"/>
      <c r="N144" s="8064"/>
      <c r="O144" s="8064"/>
      <c r="P144" s="8064"/>
      <c r="Q144" s="8064"/>
      <c r="R144" s="8064"/>
      <c r="S144" s="8064"/>
      <c r="T144" s="8064"/>
      <c r="U144" s="8064"/>
      <c r="V144" s="8064"/>
      <c r="W144" s="8064"/>
      <c r="X144" s="8064"/>
      <c r="Y144" s="8064"/>
      <c r="Z144" s="8064"/>
      <c r="AA144" s="8064"/>
      <c r="AB144" s="8064"/>
      <c r="AC144" s="8064"/>
      <c r="AD144" s="8064"/>
      <c r="AE144" s="8064"/>
      <c r="AF144" s="8064"/>
      <c r="AG144" s="8064"/>
      <c r="AH144" s="8065"/>
      <c r="AI144" s="8090" t="s">
        <v>2663</v>
      </c>
      <c r="AJ144" s="8091"/>
      <c r="AK144" s="8091"/>
      <c r="AL144" s="8091"/>
      <c r="AM144" s="8091"/>
      <c r="AN144" s="8094">
        <v>19</v>
      </c>
      <c r="AO144" s="8095"/>
      <c r="AP144" s="2162"/>
      <c r="AQ144" s="808"/>
      <c r="AR144" s="808"/>
      <c r="AS144" s="808"/>
      <c r="AT144" s="808"/>
      <c r="AU144" s="808"/>
      <c r="AV144" s="808"/>
      <c r="AW144" s="808"/>
      <c r="AX144" s="2396"/>
      <c r="AY144" s="3057"/>
      <c r="AZ144" s="3057"/>
      <c r="BA144" s="3057"/>
      <c r="BB144" s="3057"/>
      <c r="BC144" s="3057"/>
      <c r="BD144" s="3057"/>
      <c r="BE144" s="3057"/>
      <c r="BF144" s="3057"/>
      <c r="BG144" s="3057"/>
      <c r="BH144" s="3057"/>
    </row>
    <row r="145" spans="1:60" ht="12.75" customHeight="1" thickBot="1">
      <c r="A145" s="3107"/>
      <c r="B145" s="6920"/>
      <c r="C145" s="6920"/>
      <c r="D145" s="6920"/>
      <c r="E145" s="6920"/>
      <c r="F145" s="6920"/>
      <c r="G145" s="7543"/>
      <c r="H145" s="8066" t="s">
        <v>3154</v>
      </c>
      <c r="I145" s="8067"/>
      <c r="J145" s="8067"/>
      <c r="K145" s="8067"/>
      <c r="L145" s="8067"/>
      <c r="M145" s="8067"/>
      <c r="N145" s="8067"/>
      <c r="O145" s="8067"/>
      <c r="P145" s="8067"/>
      <c r="Q145" s="8067"/>
      <c r="R145" s="8067"/>
      <c r="S145" s="8067"/>
      <c r="T145" s="8067"/>
      <c r="U145" s="8067"/>
      <c r="V145" s="8067"/>
      <c r="W145" s="8067"/>
      <c r="X145" s="8067"/>
      <c r="Y145" s="8067"/>
      <c r="Z145" s="8067"/>
      <c r="AA145" s="8067"/>
      <c r="AB145" s="8067"/>
      <c r="AC145" s="8067"/>
      <c r="AD145" s="8067"/>
      <c r="AE145" s="8067"/>
      <c r="AF145" s="8067"/>
      <c r="AG145" s="8067"/>
      <c r="AH145" s="8068"/>
      <c r="AI145" s="8092"/>
      <c r="AJ145" s="8093"/>
      <c r="AK145" s="8093"/>
      <c r="AL145" s="8093"/>
      <c r="AM145" s="8093"/>
      <c r="AN145" s="8096"/>
      <c r="AO145" s="8096"/>
      <c r="AP145" s="2162"/>
      <c r="AQ145" s="808"/>
      <c r="AR145" s="808"/>
      <c r="AS145" s="808"/>
      <c r="AT145" s="808"/>
      <c r="AU145" s="808"/>
      <c r="AV145" s="808"/>
      <c r="AW145" s="808"/>
      <c r="AX145" s="2396"/>
      <c r="AY145" s="3057"/>
      <c r="AZ145" s="3057"/>
      <c r="BA145" s="3057"/>
      <c r="BB145" s="3057"/>
      <c r="BC145" s="3057"/>
      <c r="BD145" s="3057"/>
      <c r="BE145" s="3057"/>
      <c r="BF145" s="3057"/>
      <c r="BG145" s="3057"/>
      <c r="BH145" s="3057"/>
    </row>
    <row r="146" spans="1:60" ht="12.75" customHeight="1">
      <c r="A146" s="3107"/>
      <c r="B146" s="1119" t="s">
        <v>3155</v>
      </c>
      <c r="C146" s="890"/>
      <c r="D146" s="890"/>
      <c r="E146" s="890"/>
      <c r="F146" s="890"/>
      <c r="G146" s="890"/>
      <c r="H146" s="890"/>
      <c r="I146" s="890"/>
      <c r="J146" s="890"/>
      <c r="K146" s="890"/>
      <c r="L146" s="890"/>
      <c r="M146" s="890"/>
      <c r="N146" s="890"/>
      <c r="O146" s="890"/>
      <c r="P146" s="890"/>
      <c r="Q146" s="890"/>
      <c r="R146" s="890"/>
      <c r="S146" s="890"/>
      <c r="T146" s="890"/>
      <c r="U146" s="890"/>
      <c r="V146" s="890"/>
      <c r="W146" s="890"/>
      <c r="X146" s="890"/>
      <c r="Y146" s="890"/>
      <c r="Z146" s="890"/>
      <c r="AA146" s="7949" t="s">
        <v>3156</v>
      </c>
      <c r="AB146" s="7950"/>
      <c r="AC146" s="7950"/>
      <c r="AD146" s="7950"/>
      <c r="AE146" s="7950"/>
      <c r="AF146" s="7950"/>
      <c r="AG146" s="7950"/>
      <c r="AH146" s="7950"/>
      <c r="AI146" s="7950"/>
      <c r="AJ146" s="7950"/>
      <c r="AK146" s="7950"/>
      <c r="AL146" s="7950"/>
      <c r="AM146" s="7950"/>
      <c r="AN146" s="7950"/>
      <c r="AO146" s="7950"/>
      <c r="AP146" s="2162"/>
      <c r="AQ146" s="808"/>
      <c r="AR146" s="808"/>
      <c r="AS146" s="808"/>
      <c r="AT146" s="808"/>
      <c r="AU146" s="808"/>
      <c r="AV146" s="808"/>
      <c r="AW146" s="808"/>
      <c r="AX146" s="2396"/>
      <c r="AY146" s="3057"/>
      <c r="AZ146" s="3057"/>
      <c r="BA146" s="3057"/>
      <c r="BB146" s="3057"/>
      <c r="BC146" s="3057"/>
      <c r="BD146" s="3057"/>
      <c r="BE146" s="3057"/>
      <c r="BF146" s="3057"/>
      <c r="BG146" s="3057"/>
      <c r="BH146" s="3057"/>
    </row>
    <row r="147" spans="1:60" ht="8.25" customHeight="1">
      <c r="A147" s="3107"/>
      <c r="B147" s="7948" t="str">
        <f>Names</f>
        <v/>
      </c>
      <c r="C147" s="6970"/>
      <c r="D147" s="6970"/>
      <c r="E147" s="6970"/>
      <c r="F147" s="6970"/>
      <c r="G147" s="6970"/>
      <c r="H147" s="6970"/>
      <c r="I147" s="6970"/>
      <c r="J147" s="6970"/>
      <c r="K147" s="6970"/>
      <c r="L147" s="6970"/>
      <c r="M147" s="6970"/>
      <c r="N147" s="6970"/>
      <c r="O147" s="6970"/>
      <c r="P147" s="6970"/>
      <c r="Q147" s="6970"/>
      <c r="R147" s="6970"/>
      <c r="S147" s="6970"/>
      <c r="T147" s="6970"/>
      <c r="U147" s="6970"/>
      <c r="V147" s="6970"/>
      <c r="W147" s="6970"/>
      <c r="X147" s="6970"/>
      <c r="Y147" s="6970"/>
      <c r="Z147" s="6970"/>
      <c r="AA147" s="7951">
        <f>IF(NoSSN,"",SS_Yours)</f>
        <v>1010001</v>
      </c>
      <c r="AB147" s="7952"/>
      <c r="AC147" s="7952"/>
      <c r="AD147" s="7952"/>
      <c r="AE147" s="7952"/>
      <c r="AF147" s="7952"/>
      <c r="AG147" s="7952"/>
      <c r="AH147" s="7952"/>
      <c r="AI147" s="7952"/>
      <c r="AJ147" s="7952"/>
      <c r="AK147" s="7952"/>
      <c r="AL147" s="7952"/>
      <c r="AM147" s="7952"/>
      <c r="AN147" s="7952"/>
      <c r="AO147" s="7952"/>
      <c r="AP147" s="2162"/>
      <c r="AQ147" s="808"/>
      <c r="AR147" s="808"/>
      <c r="AS147" s="808"/>
      <c r="AT147" s="808"/>
      <c r="AU147" s="808"/>
      <c r="AV147" s="808"/>
      <c r="AW147" s="808"/>
      <c r="AX147" s="2396"/>
      <c r="AY147" s="3057"/>
      <c r="AZ147" s="3057"/>
      <c r="BA147" s="3057"/>
      <c r="BB147" s="3057"/>
      <c r="BC147" s="3057"/>
      <c r="BD147" s="3057"/>
      <c r="BE147" s="3057"/>
      <c r="BF147" s="3057"/>
      <c r="BG147" s="3057"/>
      <c r="BH147" s="3057"/>
    </row>
    <row r="148" spans="1:60" ht="13.5" customHeight="1">
      <c r="A148" s="3107"/>
      <c r="B148" s="7293"/>
      <c r="C148" s="7293"/>
      <c r="D148" s="7293"/>
      <c r="E148" s="7293"/>
      <c r="F148" s="7293"/>
      <c r="G148" s="7293"/>
      <c r="H148" s="7293"/>
      <c r="I148" s="7293"/>
      <c r="J148" s="7293"/>
      <c r="K148" s="7293"/>
      <c r="L148" s="7293"/>
      <c r="M148" s="7293"/>
      <c r="N148" s="7293"/>
      <c r="O148" s="7293"/>
      <c r="P148" s="7293"/>
      <c r="Q148" s="7293"/>
      <c r="R148" s="7293"/>
      <c r="S148" s="7293"/>
      <c r="T148" s="7293"/>
      <c r="U148" s="7293"/>
      <c r="V148" s="7293"/>
      <c r="W148" s="7293"/>
      <c r="X148" s="7293"/>
      <c r="Y148" s="7293"/>
      <c r="Z148" s="7293"/>
      <c r="AA148" s="7953"/>
      <c r="AB148" s="7954"/>
      <c r="AC148" s="7954"/>
      <c r="AD148" s="7954"/>
      <c r="AE148" s="7954"/>
      <c r="AF148" s="7954"/>
      <c r="AG148" s="7954"/>
      <c r="AH148" s="7954"/>
      <c r="AI148" s="7954"/>
      <c r="AJ148" s="7954"/>
      <c r="AK148" s="7954"/>
      <c r="AL148" s="7954"/>
      <c r="AM148" s="7954"/>
      <c r="AN148" s="7954"/>
      <c r="AO148" s="7954"/>
      <c r="AP148" s="2162"/>
      <c r="AQ148" s="808"/>
      <c r="AR148" s="808"/>
      <c r="AS148" s="808"/>
      <c r="AT148" s="808"/>
      <c r="AU148" s="808"/>
      <c r="AV148" s="808"/>
      <c r="AW148" s="808"/>
      <c r="AX148" s="2396"/>
      <c r="AY148" s="3057"/>
      <c r="AZ148" s="3057"/>
      <c r="BA148" s="3057"/>
      <c r="BB148" s="3057"/>
      <c r="BC148" s="3057"/>
      <c r="BD148" s="3057"/>
      <c r="BE148" s="3057"/>
      <c r="BF148" s="3057"/>
      <c r="BG148" s="3057"/>
      <c r="BH148" s="3057"/>
    </row>
    <row r="149" spans="1:60">
      <c r="A149" s="3107"/>
      <c r="B149" s="2145" t="s">
        <v>3157</v>
      </c>
      <c r="C149" s="1142"/>
      <c r="D149" s="1142"/>
      <c r="E149" s="1142"/>
      <c r="F149" s="1142"/>
      <c r="G149" s="1142"/>
      <c r="H149" s="1142"/>
      <c r="I149" s="1142"/>
      <c r="J149" s="1142"/>
      <c r="K149" s="1142"/>
      <c r="L149" s="1142"/>
      <c r="M149" s="1142"/>
      <c r="N149" s="1142"/>
      <c r="O149" s="1142"/>
      <c r="P149" s="1142"/>
      <c r="Q149" s="1142"/>
      <c r="R149" s="1142"/>
      <c r="S149" s="1142"/>
      <c r="T149" s="1142"/>
      <c r="U149" s="1142"/>
      <c r="V149" s="1142"/>
      <c r="W149" s="1142"/>
      <c r="X149" s="1142"/>
      <c r="Y149" s="1142"/>
      <c r="Z149" s="1142"/>
      <c r="AA149" s="1142"/>
      <c r="AB149" s="1142"/>
      <c r="AC149" s="1142"/>
      <c r="AD149" s="1142"/>
      <c r="AE149" s="1142"/>
      <c r="AF149" s="1142"/>
      <c r="AG149" s="1142"/>
      <c r="AH149" s="1142"/>
      <c r="AI149" s="2892" t="s">
        <v>3158</v>
      </c>
      <c r="AJ149" s="1142"/>
      <c r="AK149" s="1142"/>
      <c r="AL149" s="1142"/>
      <c r="AM149" s="1142"/>
      <c r="AN149" s="1142"/>
      <c r="AO149" s="1142"/>
      <c r="AP149" s="2162"/>
      <c r="AQ149" s="808"/>
      <c r="AR149" s="808"/>
      <c r="AS149" s="808"/>
      <c r="AT149" s="808"/>
      <c r="AU149" s="808"/>
      <c r="AV149" s="808"/>
      <c r="AW149" s="808"/>
      <c r="AX149" s="2396"/>
      <c r="AY149" s="3057"/>
      <c r="AZ149" s="3057"/>
      <c r="BA149" s="3057"/>
      <c r="BB149" s="3057"/>
      <c r="BC149" s="3057"/>
      <c r="BD149" s="3057"/>
      <c r="BE149" s="3057"/>
      <c r="BF149" s="3057"/>
      <c r="BG149" s="3057"/>
      <c r="BH149" s="3057"/>
    </row>
    <row r="150" spans="1:60" ht="13.5" customHeight="1">
      <c r="A150" s="3106"/>
      <c r="B150" s="808" t="s">
        <v>3159</v>
      </c>
      <c r="C150" s="808"/>
      <c r="D150" s="808"/>
      <c r="E150" s="808" t="s">
        <v>3160</v>
      </c>
      <c r="F150" s="1108"/>
      <c r="G150" s="808"/>
      <c r="H150" s="808"/>
      <c r="I150" s="808"/>
      <c r="J150" s="808"/>
      <c r="K150" s="808"/>
      <c r="L150" s="808"/>
      <c r="M150" s="808"/>
      <c r="N150" s="808"/>
      <c r="O150" s="808"/>
      <c r="P150" s="808"/>
      <c r="Q150" s="808"/>
      <c r="R150" s="808"/>
      <c r="S150" s="808"/>
      <c r="T150" s="808"/>
      <c r="U150" s="808"/>
      <c r="V150" s="808"/>
      <c r="W150" s="808"/>
      <c r="X150" s="808"/>
      <c r="Y150" s="808"/>
      <c r="Z150" s="808"/>
      <c r="AA150" s="808"/>
      <c r="AB150" s="808"/>
      <c r="AC150" s="808"/>
      <c r="AD150" s="808"/>
      <c r="AE150" s="808"/>
      <c r="AF150" s="808"/>
      <c r="AG150" s="808"/>
      <c r="AH150" s="808"/>
      <c r="AI150" s="808"/>
      <c r="AJ150" s="808"/>
      <c r="AK150" s="808"/>
      <c r="AL150" s="808"/>
      <c r="AM150" s="808"/>
      <c r="AN150" s="808"/>
      <c r="AO150" s="808"/>
      <c r="AP150" s="2162"/>
      <c r="AQ150" s="900"/>
      <c r="AR150" s="3810"/>
      <c r="AS150" s="3811"/>
      <c r="AT150" s="3811"/>
      <c r="AU150" s="3811"/>
      <c r="AV150" s="808"/>
      <c r="AW150" s="808"/>
      <c r="AX150" s="2396"/>
      <c r="AY150" s="3057"/>
      <c r="AZ150" s="3057"/>
      <c r="BA150" s="3057"/>
      <c r="BB150" s="3057"/>
      <c r="BC150" s="3057"/>
      <c r="BD150" s="3057"/>
      <c r="BE150" s="3057"/>
      <c r="BF150" s="3057"/>
      <c r="BG150" s="3057"/>
      <c r="BH150" s="3057"/>
    </row>
    <row r="151" spans="1:60" ht="7.5" customHeight="1">
      <c r="A151" s="3107"/>
      <c r="B151" s="808"/>
      <c r="C151" s="1754">
        <f>IF(C152&lt;&gt;"",1,0)</f>
        <v>0</v>
      </c>
      <c r="D151" s="900"/>
      <c r="E151" s="900"/>
      <c r="F151" s="2213"/>
      <c r="G151" s="900"/>
      <c r="H151" s="900"/>
      <c r="I151" s="900"/>
      <c r="J151" s="900"/>
      <c r="K151" s="1754">
        <f>IF(K152&lt;&gt;"",1,0)</f>
        <v>0</v>
      </c>
      <c r="L151" s="900"/>
      <c r="M151" s="900"/>
      <c r="N151" s="1754"/>
      <c r="O151" s="900"/>
      <c r="P151" s="900"/>
      <c r="Q151" s="900"/>
      <c r="R151" s="900"/>
      <c r="S151" s="900"/>
      <c r="T151" s="900"/>
      <c r="U151" s="900"/>
      <c r="V151" s="900"/>
      <c r="W151" s="1754">
        <f>IF(W152&lt;&gt;"",1,0)</f>
        <v>0</v>
      </c>
      <c r="X151" s="900"/>
      <c r="Y151" s="900"/>
      <c r="Z151" s="900"/>
      <c r="AA151" s="900"/>
      <c r="AB151" s="1754"/>
      <c r="AC151" s="808"/>
      <c r="AD151" s="808"/>
      <c r="AE151" s="808"/>
      <c r="AF151" s="808"/>
      <c r="AG151" s="808"/>
      <c r="AH151" s="808"/>
      <c r="AI151" s="1754">
        <f>IF(AI152&lt;&gt;"",1,0)</f>
        <v>0</v>
      </c>
      <c r="AJ151" s="808"/>
      <c r="AK151" s="808"/>
      <c r="AL151" s="808"/>
      <c r="AM151" s="808"/>
      <c r="AN151" s="808"/>
      <c r="AO151" s="1994">
        <f>SUM(C151,K151,W151,AI151,C153,K153,W153)</f>
        <v>0</v>
      </c>
      <c r="AP151" s="2162"/>
      <c r="AQ151" s="900"/>
      <c r="AR151" s="900"/>
      <c r="AS151" s="900"/>
      <c r="AT151" s="900"/>
      <c r="AU151" s="900"/>
      <c r="AV151" s="808"/>
      <c r="AW151" s="808"/>
      <c r="AX151" s="2396"/>
      <c r="AY151" s="3057"/>
      <c r="AZ151" s="3057"/>
      <c r="BA151" s="3057"/>
      <c r="BB151" s="3057"/>
      <c r="BC151" s="3057"/>
      <c r="BD151" s="3057"/>
      <c r="BE151" s="3057"/>
      <c r="BF151" s="3057"/>
      <c r="BG151" s="3057"/>
      <c r="BH151" s="3057"/>
    </row>
    <row r="152" spans="1:60" ht="12.75" customHeight="1">
      <c r="A152" s="3106" t="b">
        <f>AND(K152&lt;&gt;"",AO151=1,A209)</f>
        <v>0</v>
      </c>
      <c r="B152" s="2177" t="s">
        <v>640</v>
      </c>
      <c r="C152" s="941"/>
      <c r="D152" s="2186" t="s">
        <v>3161</v>
      </c>
      <c r="E152" s="808"/>
      <c r="F152" s="808"/>
      <c r="G152" s="808"/>
      <c r="H152" s="808"/>
      <c r="I152" s="808"/>
      <c r="J152" s="2177" t="s">
        <v>648</v>
      </c>
      <c r="K152" s="941"/>
      <c r="L152" s="2186" t="s">
        <v>3162</v>
      </c>
      <c r="M152" s="2186"/>
      <c r="N152" s="892"/>
      <c r="O152" s="2186"/>
      <c r="P152" s="892"/>
      <c r="Q152" s="808"/>
      <c r="R152" s="808"/>
      <c r="S152" s="808"/>
      <c r="T152" s="808"/>
      <c r="U152" s="808"/>
      <c r="V152" s="2177" t="s">
        <v>656</v>
      </c>
      <c r="W152" s="941"/>
      <c r="X152" s="2186" t="s">
        <v>3163</v>
      </c>
      <c r="Y152" s="808"/>
      <c r="Z152" s="808"/>
      <c r="AA152" s="2177"/>
      <c r="AB152" s="808"/>
      <c r="AC152" s="2186"/>
      <c r="AD152" s="2177"/>
      <c r="AE152" s="808"/>
      <c r="AF152" s="2177"/>
      <c r="AG152" s="808"/>
      <c r="AH152" s="2177" t="s">
        <v>663</v>
      </c>
      <c r="AI152" s="941"/>
      <c r="AJ152" s="2186" t="s">
        <v>3164</v>
      </c>
      <c r="AK152" s="808"/>
      <c r="AL152" s="808"/>
      <c r="AM152" s="808"/>
      <c r="AN152" s="808"/>
      <c r="AO152" s="874"/>
      <c r="AP152" s="2162"/>
      <c r="AQ152" s="900"/>
      <c r="AR152" s="3810"/>
      <c r="AS152" s="3811"/>
      <c r="AT152" s="3811"/>
      <c r="AU152" s="3811"/>
      <c r="AV152" s="808"/>
      <c r="AW152" s="808"/>
      <c r="AX152" s="2396"/>
      <c r="AY152" s="3057"/>
      <c r="AZ152" s="3057"/>
      <c r="BA152" s="3057"/>
      <c r="BB152" s="3057"/>
      <c r="BC152" s="3057"/>
      <c r="BD152" s="3057"/>
      <c r="BE152" s="3057"/>
      <c r="BF152" s="3057"/>
      <c r="BG152" s="3057"/>
      <c r="BH152" s="3057"/>
    </row>
    <row r="153" spans="1:60" ht="9" customHeight="1">
      <c r="A153" s="3107"/>
      <c r="B153" s="2120"/>
      <c r="C153" s="1754">
        <f>IF(C154&lt;&gt;"",1,0)</f>
        <v>0</v>
      </c>
      <c r="D153" s="2214"/>
      <c r="E153" s="900"/>
      <c r="F153" s="900"/>
      <c r="G153" s="900"/>
      <c r="H153" s="900"/>
      <c r="I153" s="900"/>
      <c r="J153" s="900"/>
      <c r="K153" s="1754">
        <f>IF(K154&lt;&gt;"",1,0)</f>
        <v>0</v>
      </c>
      <c r="L153" s="900"/>
      <c r="M153" s="900"/>
      <c r="N153" s="1754"/>
      <c r="O153" s="808"/>
      <c r="P153" s="808"/>
      <c r="Q153" s="808"/>
      <c r="R153" s="808"/>
      <c r="S153" s="808"/>
      <c r="T153" s="808"/>
      <c r="U153" s="808"/>
      <c r="V153" s="808"/>
      <c r="W153" s="1754">
        <f>IF(W154&lt;&gt;"",1,0)</f>
        <v>0</v>
      </c>
      <c r="X153" s="808"/>
      <c r="Y153" s="808"/>
      <c r="Z153" s="808"/>
      <c r="AA153" s="808"/>
      <c r="AB153" s="808"/>
      <c r="AC153" s="808"/>
      <c r="AD153" s="808"/>
      <c r="AE153" s="808"/>
      <c r="AF153" s="808"/>
      <c r="AG153" s="808"/>
      <c r="AH153" s="808"/>
      <c r="AI153" s="808"/>
      <c r="AJ153" s="808"/>
      <c r="AK153" s="808"/>
      <c r="AL153" s="808"/>
      <c r="AM153" s="808"/>
      <c r="AN153" s="808"/>
      <c r="AO153" s="808"/>
      <c r="AP153" s="2162"/>
      <c r="AQ153" s="900"/>
      <c r="AR153" s="900"/>
      <c r="AS153" s="900"/>
      <c r="AT153" s="900"/>
      <c r="AU153" s="900"/>
      <c r="AV153" s="808"/>
      <c r="AW153" s="808"/>
      <c r="AX153" s="2396"/>
      <c r="AY153" s="3057"/>
      <c r="AZ153" s="3057"/>
      <c r="BA153" s="3057"/>
      <c r="BB153" s="3057"/>
      <c r="BC153" s="3057"/>
      <c r="BD153" s="3057"/>
      <c r="BE153" s="3057"/>
      <c r="BF153" s="3057"/>
      <c r="BG153" s="3057"/>
      <c r="BH153" s="3057"/>
    </row>
    <row r="154" spans="1:60" ht="12.75" customHeight="1">
      <c r="A154" s="3107"/>
      <c r="B154" s="2177" t="s">
        <v>644</v>
      </c>
      <c r="C154" s="941"/>
      <c r="D154" s="2186" t="s">
        <v>3165</v>
      </c>
      <c r="E154" s="808"/>
      <c r="F154" s="808"/>
      <c r="G154" s="808"/>
      <c r="H154" s="808"/>
      <c r="I154" s="808"/>
      <c r="J154" s="2177" t="s">
        <v>652</v>
      </c>
      <c r="K154" s="941"/>
      <c r="L154" s="2186" t="s">
        <v>3166</v>
      </c>
      <c r="M154" s="2186"/>
      <c r="N154" s="892"/>
      <c r="O154" s="2186"/>
      <c r="P154" s="892"/>
      <c r="Q154" s="808"/>
      <c r="R154" s="808"/>
      <c r="S154" s="808"/>
      <c r="T154" s="808"/>
      <c r="U154" s="808"/>
      <c r="V154" s="2177" t="s">
        <v>659</v>
      </c>
      <c r="W154" s="941"/>
      <c r="X154" s="2186" t="s">
        <v>3167</v>
      </c>
      <c r="Y154" s="808"/>
      <c r="Z154" s="808"/>
      <c r="AA154" s="808"/>
      <c r="AB154" s="808"/>
      <c r="AC154" s="808"/>
      <c r="AD154" s="808"/>
      <c r="AE154" s="808"/>
      <c r="AF154" s="808"/>
      <c r="AG154" s="808"/>
      <c r="AH154" s="808"/>
      <c r="AI154" s="808"/>
      <c r="AJ154" s="808"/>
      <c r="AK154" s="808"/>
      <c r="AL154" s="808"/>
      <c r="AM154" s="808"/>
      <c r="AN154" s="808"/>
      <c r="AO154" s="900" t="b">
        <f>IF(AO151&lt;&gt;1,TRUE,FALSE)</f>
        <v>1</v>
      </c>
      <c r="AP154" s="2162"/>
      <c r="AQ154" s="900"/>
      <c r="AR154" s="3810"/>
      <c r="AS154" s="3811"/>
      <c r="AT154" s="3811"/>
      <c r="AU154" s="3811"/>
      <c r="AV154" s="808"/>
      <c r="AW154" s="808"/>
      <c r="AX154" s="2396"/>
      <c r="AY154" s="3057"/>
      <c r="AZ154" s="3057"/>
      <c r="BA154" s="3057"/>
      <c r="BB154" s="3057"/>
      <c r="BC154" s="3057"/>
      <c r="BD154" s="3057"/>
      <c r="BE154" s="3057"/>
      <c r="BF154" s="3057"/>
      <c r="BG154" s="3057"/>
      <c r="BH154" s="3057"/>
    </row>
    <row r="155" spans="1:60" s="2114" customFormat="1" ht="8.25" customHeight="1">
      <c r="A155" s="3107"/>
      <c r="B155" s="2120"/>
      <c r="C155" s="2178"/>
      <c r="D155" s="2112"/>
      <c r="E155" s="808"/>
      <c r="F155" s="808"/>
      <c r="G155" s="808"/>
      <c r="H155" s="808"/>
      <c r="I155" s="808"/>
      <c r="J155" s="808"/>
      <c r="K155" s="808"/>
      <c r="L155" s="808"/>
      <c r="M155" s="808"/>
      <c r="N155" s="808"/>
      <c r="O155" s="808"/>
      <c r="P155" s="808"/>
      <c r="Q155" s="808"/>
      <c r="R155" s="808"/>
      <c r="S155" s="808"/>
      <c r="T155" s="808"/>
      <c r="U155" s="808"/>
      <c r="V155" s="808"/>
      <c r="W155" s="808"/>
      <c r="X155" s="808"/>
      <c r="Y155" s="808"/>
      <c r="Z155" s="808"/>
      <c r="AA155" s="808"/>
      <c r="AB155" s="808"/>
      <c r="AC155" s="808"/>
      <c r="AD155" s="808"/>
      <c r="AE155" s="808"/>
      <c r="AF155" s="808"/>
      <c r="AG155" s="808"/>
      <c r="AH155" s="808"/>
      <c r="AI155" s="808"/>
      <c r="AJ155" s="808"/>
      <c r="AK155" s="808"/>
      <c r="AL155" s="808"/>
      <c r="AM155" s="808"/>
      <c r="AN155" s="808"/>
      <c r="AO155" s="808"/>
      <c r="AP155" s="2162"/>
      <c r="AQ155" s="900"/>
      <c r="AR155" s="900"/>
      <c r="AS155" s="900"/>
      <c r="AT155" s="900"/>
      <c r="AU155" s="900"/>
      <c r="AV155" s="808"/>
      <c r="AW155" s="808"/>
      <c r="AX155" s="2396"/>
      <c r="AY155" s="3057"/>
      <c r="AZ155" s="3057"/>
      <c r="BA155" s="3057"/>
      <c r="BB155" s="3057"/>
      <c r="BC155" s="3057"/>
      <c r="BD155" s="3057"/>
      <c r="BE155" s="3057"/>
      <c r="BF155" s="3057"/>
      <c r="BG155" s="3057"/>
      <c r="BH155" s="3057"/>
    </row>
    <row r="156" spans="1:60" ht="15">
      <c r="A156" s="3107"/>
      <c r="B156" s="2187" t="s">
        <v>659</v>
      </c>
      <c r="C156" s="2188" t="s">
        <v>3168</v>
      </c>
      <c r="D156" s="1122"/>
      <c r="E156" s="1122"/>
      <c r="F156" s="1122"/>
      <c r="G156" s="1122"/>
      <c r="H156" s="1122"/>
      <c r="I156" s="1122"/>
      <c r="J156" s="1122"/>
      <c r="K156" s="1122"/>
      <c r="L156" s="8098"/>
      <c r="M156" s="8098"/>
      <c r="N156" s="8098"/>
      <c r="O156" s="8098"/>
      <c r="P156" s="8098"/>
      <c r="Q156" s="8098"/>
      <c r="R156" s="8098"/>
      <c r="S156" s="8098"/>
      <c r="T156" s="8098"/>
      <c r="U156" s="8098"/>
      <c r="V156" s="8098"/>
      <c r="W156" s="8098"/>
      <c r="X156" s="8098"/>
      <c r="Y156" s="8098"/>
      <c r="Z156" s="8098"/>
      <c r="AA156" s="8098"/>
      <c r="AB156" s="8098"/>
      <c r="AC156" s="8098"/>
      <c r="AD156" s="8098"/>
      <c r="AE156" s="8098"/>
      <c r="AF156" s="8098"/>
      <c r="AG156" s="8098"/>
      <c r="AH156" s="8098"/>
      <c r="AI156" s="8098"/>
      <c r="AJ156" s="8098"/>
      <c r="AK156" s="8098"/>
      <c r="AL156" s="8098"/>
      <c r="AM156" s="8098"/>
      <c r="AN156" s="8098"/>
      <c r="AO156" s="8098"/>
      <c r="AP156" s="2162"/>
      <c r="AQ156" s="808"/>
      <c r="AR156" s="808"/>
      <c r="AS156" s="808"/>
      <c r="AT156" s="808"/>
      <c r="AU156" s="808"/>
      <c r="AV156" s="808"/>
      <c r="AW156" s="808"/>
      <c r="AX156" s="2396"/>
      <c r="AY156" s="3057"/>
      <c r="AZ156" s="3057"/>
      <c r="BA156" s="3057"/>
      <c r="BB156" s="3057"/>
      <c r="BC156" s="3057"/>
      <c r="BD156" s="3057"/>
      <c r="BE156" s="3057"/>
      <c r="BF156" s="3057"/>
      <c r="BG156" s="3057"/>
      <c r="BH156" s="3057"/>
    </row>
    <row r="157" spans="1:60" ht="15">
      <c r="A157" s="3107"/>
      <c r="B157" s="8019" t="s">
        <v>2224</v>
      </c>
      <c r="C157" s="8020"/>
      <c r="D157" s="892" t="s">
        <v>3169</v>
      </c>
      <c r="E157" s="808"/>
      <c r="F157" s="808"/>
      <c r="G157" s="808"/>
      <c r="H157" s="808"/>
      <c r="I157" s="808"/>
      <c r="J157" s="808"/>
      <c r="K157" s="808"/>
      <c r="L157" s="808"/>
      <c r="M157" s="808"/>
      <c r="N157" s="808"/>
      <c r="O157" s="808"/>
      <c r="P157" s="808"/>
      <c r="Q157" s="808"/>
      <c r="R157" s="808"/>
      <c r="S157" s="808"/>
      <c r="T157" s="808"/>
      <c r="U157" s="808"/>
      <c r="V157" s="808"/>
      <c r="W157" s="808"/>
      <c r="X157" s="808"/>
      <c r="Y157" s="808"/>
      <c r="Z157" s="808"/>
      <c r="AA157" s="808"/>
      <c r="AB157" s="808"/>
      <c r="AC157" s="808"/>
      <c r="AD157" s="808"/>
      <c r="AE157" s="808"/>
      <c r="AF157" s="808"/>
      <c r="AG157" s="808"/>
      <c r="AH157" s="808"/>
      <c r="AI157" s="808"/>
      <c r="AJ157" s="808"/>
      <c r="AK157" s="808"/>
      <c r="AL157" s="808"/>
      <c r="AM157" s="808"/>
      <c r="AN157" s="808"/>
      <c r="AO157" s="808"/>
      <c r="AP157" s="2162"/>
      <c r="AQ157" s="808"/>
      <c r="AR157" s="808"/>
      <c r="AS157" s="808"/>
      <c r="AT157" s="808"/>
      <c r="AU157" s="808"/>
      <c r="AV157" s="808"/>
      <c r="AW157" s="808"/>
      <c r="AX157" s="2396"/>
      <c r="AY157" s="3057"/>
      <c r="AZ157" s="3057"/>
      <c r="BA157" s="3057"/>
      <c r="BB157" s="3057"/>
      <c r="BC157" s="3057"/>
      <c r="BD157" s="3057"/>
      <c r="BE157" s="3057"/>
      <c r="BF157" s="3057"/>
      <c r="BG157" s="3057"/>
      <c r="BH157" s="3057"/>
    </row>
    <row r="158" spans="1:60" s="649" customFormat="1" ht="13.5" customHeight="1">
      <c r="A158" s="3107"/>
      <c r="B158" s="2202" t="s">
        <v>3170</v>
      </c>
      <c r="C158" s="2189"/>
      <c r="D158" s="2190"/>
      <c r="E158" s="1121"/>
      <c r="F158" s="1121"/>
      <c r="G158" s="1121"/>
      <c r="H158" s="1121"/>
      <c r="I158" s="1121"/>
      <c r="J158" s="1121"/>
      <c r="K158" s="1121"/>
      <c r="L158" s="1121"/>
      <c r="M158" s="1121"/>
      <c r="N158" s="1121"/>
      <c r="O158" s="1121"/>
      <c r="P158" s="1121"/>
      <c r="Q158" s="1121"/>
      <c r="R158" s="1121"/>
      <c r="S158" s="1121"/>
      <c r="T158" s="1121"/>
      <c r="U158" s="1121"/>
      <c r="V158" s="1121"/>
      <c r="W158" s="1121"/>
      <c r="X158" s="1121"/>
      <c r="Y158" s="1121"/>
      <c r="Z158" s="1121"/>
      <c r="AA158" s="1121"/>
      <c r="AB158" s="1121"/>
      <c r="AC158" s="1121"/>
      <c r="AD158" s="1121"/>
      <c r="AE158" s="1121"/>
      <c r="AF158" s="1121"/>
      <c r="AG158" s="1121"/>
      <c r="AH158" s="1121"/>
      <c r="AI158" s="1121"/>
      <c r="AJ158" s="1121"/>
      <c r="AK158" s="1121"/>
      <c r="AL158" s="1121"/>
      <c r="AM158" s="1121"/>
      <c r="AN158" s="1121"/>
      <c r="AO158" s="1121"/>
      <c r="AP158" s="2162"/>
      <c r="AQ158" s="808"/>
      <c r="AR158" s="808"/>
      <c r="AS158" s="808"/>
      <c r="AT158" s="808"/>
      <c r="AU158" s="808"/>
      <c r="AV158" s="808"/>
      <c r="AW158" s="808"/>
      <c r="AX158" s="3060"/>
      <c r="AY158" s="3058"/>
      <c r="AZ158" s="3058"/>
      <c r="BA158" s="3058"/>
      <c r="BB158" s="3058"/>
      <c r="BC158" s="3058"/>
      <c r="BD158" s="3058"/>
      <c r="BE158" s="3058"/>
      <c r="BF158" s="3058"/>
      <c r="BG158" s="3058"/>
      <c r="BH158" s="3058"/>
    </row>
    <row r="159" spans="1:60" ht="15.75">
      <c r="A159" s="3109"/>
      <c r="B159" s="8099" t="s">
        <v>884</v>
      </c>
      <c r="C159" s="8099"/>
      <c r="D159" s="8100"/>
      <c r="E159" s="8059" t="s">
        <v>3171</v>
      </c>
      <c r="F159" s="8060"/>
      <c r="G159" s="8060"/>
      <c r="H159" s="8060"/>
      <c r="I159" s="8060"/>
      <c r="J159" s="8060"/>
      <c r="K159" s="8060"/>
      <c r="L159" s="8060"/>
      <c r="M159" s="8060"/>
      <c r="N159" s="8060"/>
      <c r="O159" s="8060"/>
      <c r="P159" s="8060"/>
      <c r="Q159" s="8060"/>
      <c r="R159" s="8060"/>
      <c r="S159" s="8060"/>
      <c r="T159" s="8060"/>
      <c r="U159" s="8060"/>
      <c r="V159" s="8060"/>
      <c r="W159" s="8060"/>
      <c r="X159" s="8060"/>
      <c r="Y159" s="8060"/>
      <c r="Z159" s="8060"/>
      <c r="AA159" s="8060"/>
      <c r="AB159" s="8060"/>
      <c r="AC159" s="8060"/>
      <c r="AD159" s="8060"/>
      <c r="AE159" s="8060"/>
      <c r="AF159" s="8060"/>
      <c r="AG159" s="8060"/>
      <c r="AH159" s="8060"/>
      <c r="AI159" s="8060"/>
      <c r="AJ159" s="8060"/>
      <c r="AK159" s="8060"/>
      <c r="AL159" s="8060"/>
      <c r="AM159" s="8060"/>
      <c r="AN159" s="8060"/>
      <c r="AO159" s="8060"/>
      <c r="AP159" s="2162"/>
      <c r="AQ159" s="1108"/>
      <c r="AR159" s="1108"/>
      <c r="AS159" s="1108"/>
      <c r="AT159" s="1108"/>
      <c r="AU159" s="1108"/>
      <c r="AV159" s="1108"/>
      <c r="AW159" s="1108"/>
      <c r="AX159" s="2396"/>
      <c r="AY159" s="3057"/>
      <c r="AZ159" s="3057"/>
      <c r="BA159" s="3057"/>
      <c r="BB159" s="3057"/>
      <c r="BC159" s="3057"/>
      <c r="BD159" s="3057"/>
      <c r="BE159" s="3057"/>
      <c r="BF159" s="3057"/>
      <c r="BG159" s="3057"/>
      <c r="BH159" s="3057"/>
    </row>
    <row r="160" spans="1:60" ht="12" customHeight="1">
      <c r="A160" s="3107"/>
      <c r="B160" s="7977"/>
      <c r="C160" s="7977"/>
      <c r="D160" s="2112"/>
      <c r="E160" s="808"/>
      <c r="F160" s="808"/>
      <c r="G160" s="808"/>
      <c r="H160" s="808"/>
      <c r="I160" s="808"/>
      <c r="J160" s="808"/>
      <c r="K160" s="808"/>
      <c r="L160" s="808"/>
      <c r="M160" s="808"/>
      <c r="N160" s="808"/>
      <c r="O160" s="808"/>
      <c r="P160" s="7960" t="s">
        <v>3172</v>
      </c>
      <c r="Q160" s="7961"/>
      <c r="R160" s="7961"/>
      <c r="S160" s="7961"/>
      <c r="T160" s="7961"/>
      <c r="U160" s="7961"/>
      <c r="V160" s="7961"/>
      <c r="W160" s="7961"/>
      <c r="X160" s="7961"/>
      <c r="Y160" s="7961"/>
      <c r="Z160" s="7961"/>
      <c r="AA160" s="7961"/>
      <c r="AB160" s="7961"/>
      <c r="AC160" s="7961"/>
      <c r="AD160" s="7961"/>
      <c r="AE160" s="7961"/>
      <c r="AF160" s="7961"/>
      <c r="AG160" s="7961"/>
      <c r="AH160" s="7961"/>
      <c r="AI160" s="7962"/>
      <c r="AJ160" s="7410" t="s">
        <v>3173</v>
      </c>
      <c r="AK160" s="7411"/>
      <c r="AL160" s="7411"/>
      <c r="AM160" s="7411"/>
      <c r="AN160" s="7411"/>
      <c r="AO160" s="7411"/>
      <c r="AP160" s="2162"/>
      <c r="AQ160" s="808"/>
      <c r="AR160" s="808"/>
      <c r="AS160" s="808"/>
      <c r="AT160" s="808"/>
      <c r="AU160" s="808"/>
      <c r="AV160" s="808"/>
      <c r="AW160" s="808"/>
      <c r="AX160" s="2396"/>
      <c r="AY160" s="3057"/>
      <c r="AZ160" s="3057"/>
      <c r="BA160" s="3057"/>
      <c r="BB160" s="3057"/>
      <c r="BC160" s="3057"/>
      <c r="BD160" s="3057"/>
      <c r="BE160" s="3057"/>
      <c r="BF160" s="3057"/>
      <c r="BG160" s="3057"/>
      <c r="BH160" s="3057"/>
    </row>
    <row r="161" spans="1:60" ht="12" customHeight="1">
      <c r="A161" s="3107"/>
      <c r="B161" s="8005" t="str">
        <f>B30</f>
        <v>i</v>
      </c>
      <c r="C161" s="8005"/>
      <c r="D161" s="2206" t="s">
        <v>3174</v>
      </c>
      <c r="E161" s="808"/>
      <c r="F161" s="808"/>
      <c r="G161" s="808"/>
      <c r="H161" s="808"/>
      <c r="I161" s="808"/>
      <c r="J161" s="808"/>
      <c r="K161" s="808"/>
      <c r="L161" s="808"/>
      <c r="M161" s="808"/>
      <c r="N161" s="808"/>
      <c r="O161" s="808"/>
      <c r="P161" s="7946" t="s">
        <v>542</v>
      </c>
      <c r="Q161" s="8057"/>
      <c r="R161" s="8057"/>
      <c r="S161" s="8057"/>
      <c r="T161" s="8057"/>
      <c r="U161" s="8057"/>
      <c r="V161" s="8058"/>
      <c r="W161" s="7946" t="s">
        <v>548</v>
      </c>
      <c r="X161" s="8057"/>
      <c r="Y161" s="8057"/>
      <c r="Z161" s="8057"/>
      <c r="AA161" s="8057"/>
      <c r="AB161" s="8057"/>
      <c r="AC161" s="8058"/>
      <c r="AD161" s="7946" t="s">
        <v>550</v>
      </c>
      <c r="AE161" s="8057"/>
      <c r="AF161" s="8057"/>
      <c r="AG161" s="8057"/>
      <c r="AH161" s="8057"/>
      <c r="AI161" s="8058"/>
      <c r="AJ161" s="7414"/>
      <c r="AK161" s="7415"/>
      <c r="AL161" s="7415"/>
      <c r="AM161" s="7415"/>
      <c r="AN161" s="7415"/>
      <c r="AO161" s="7415"/>
      <c r="AP161" s="2162"/>
      <c r="AQ161" s="808"/>
      <c r="AR161" s="808"/>
      <c r="AS161" s="808"/>
      <c r="AT161" s="808"/>
      <c r="AU161" s="808"/>
      <c r="AV161" s="808"/>
      <c r="AW161" s="808"/>
      <c r="AX161" s="2396"/>
      <c r="AY161" s="3057"/>
      <c r="AZ161" s="3057"/>
      <c r="BA161" s="3057"/>
      <c r="BB161" s="3057"/>
      <c r="BC161" s="3057"/>
      <c r="BD161" s="3057"/>
      <c r="BE161" s="3057"/>
      <c r="BF161" s="3057"/>
      <c r="BG161" s="3057"/>
      <c r="BH161" s="3057"/>
    </row>
    <row r="162" spans="1:60" ht="12" customHeight="1">
      <c r="A162" s="3110"/>
      <c r="B162" s="8101"/>
      <c r="C162" s="8101"/>
      <c r="D162" s="2207" t="s">
        <v>3175</v>
      </c>
      <c r="E162" s="893"/>
      <c r="F162" s="893"/>
      <c r="G162" s="893"/>
      <c r="H162" s="893"/>
      <c r="I162" s="893"/>
      <c r="J162" s="893"/>
      <c r="K162" s="893"/>
      <c r="L162" s="893"/>
      <c r="M162" s="893"/>
      <c r="N162" s="893"/>
      <c r="O162" s="2995" t="s">
        <v>1012</v>
      </c>
      <c r="P162" s="7921"/>
      <c r="Q162" s="7922"/>
      <c r="R162" s="7922"/>
      <c r="S162" s="7922"/>
      <c r="T162" s="7922"/>
      <c r="U162" s="7922"/>
      <c r="V162" s="7923"/>
      <c r="W162" s="7921"/>
      <c r="X162" s="7922"/>
      <c r="Y162" s="7922"/>
      <c r="Z162" s="7922"/>
      <c r="AA162" s="7922"/>
      <c r="AB162" s="7922"/>
      <c r="AC162" s="7923"/>
      <c r="AD162" s="7921"/>
      <c r="AE162" s="7922"/>
      <c r="AF162" s="7922"/>
      <c r="AG162" s="7922"/>
      <c r="AH162" s="7922"/>
      <c r="AI162" s="7923"/>
      <c r="AJ162" s="7957"/>
      <c r="AK162" s="7958"/>
      <c r="AL162" s="2216"/>
      <c r="AM162" s="893"/>
      <c r="AN162" s="893"/>
      <c r="AO162" s="893"/>
      <c r="AP162" s="2191"/>
      <c r="AQ162" s="893"/>
      <c r="AR162" s="893"/>
      <c r="AS162" s="893"/>
      <c r="AT162" s="893"/>
      <c r="AU162" s="893"/>
      <c r="AV162" s="893"/>
      <c r="AW162" s="893"/>
      <c r="AX162" s="2396"/>
      <c r="AY162" s="3057"/>
      <c r="AZ162" s="3057"/>
      <c r="BA162" s="3057"/>
      <c r="BB162" s="3057"/>
      <c r="BC162" s="3057"/>
      <c r="BD162" s="3057"/>
      <c r="BE162" s="3057"/>
      <c r="BF162" s="3057"/>
      <c r="BG162" s="3057"/>
      <c r="BH162" s="3057"/>
    </row>
    <row r="163" spans="1:60" ht="12" customHeight="1">
      <c r="A163" s="3107"/>
      <c r="B163" s="7924" t="s">
        <v>363</v>
      </c>
      <c r="C163" s="7924"/>
      <c r="D163" s="878" t="s">
        <v>3176</v>
      </c>
      <c r="E163" s="808"/>
      <c r="F163" s="808"/>
      <c r="G163" s="808"/>
      <c r="H163" s="808"/>
      <c r="I163" s="808"/>
      <c r="J163" s="808"/>
      <c r="K163" s="808"/>
      <c r="L163" s="808"/>
      <c r="M163" s="808"/>
      <c r="N163" s="808"/>
      <c r="O163" s="808"/>
      <c r="P163" s="1377"/>
      <c r="Q163" s="1130"/>
      <c r="R163" s="1130"/>
      <c r="S163" s="1130"/>
      <c r="T163" s="1130"/>
      <c r="U163" s="1130"/>
      <c r="V163" s="1378"/>
      <c r="W163" s="1377"/>
      <c r="X163" s="1130"/>
      <c r="Y163" s="1130"/>
      <c r="Z163" s="1130"/>
      <c r="AA163" s="1130"/>
      <c r="AB163" s="1130"/>
      <c r="AC163" s="1378"/>
      <c r="AD163" s="1377"/>
      <c r="AE163" s="1130"/>
      <c r="AF163" s="1130"/>
      <c r="AG163" s="1130"/>
      <c r="AH163" s="1130"/>
      <c r="AI163" s="1378"/>
      <c r="AJ163" s="7925"/>
      <c r="AK163" s="6970"/>
      <c r="AL163" s="1150"/>
      <c r="AM163" s="808"/>
      <c r="AN163" s="808"/>
      <c r="AO163" s="808"/>
      <c r="AP163" s="2162"/>
      <c r="AQ163" s="808"/>
      <c r="AR163" s="808"/>
      <c r="AS163" s="808"/>
      <c r="AT163" s="808"/>
      <c r="AU163" s="808"/>
      <c r="AV163" s="808"/>
      <c r="AW163" s="808"/>
      <c r="AX163" s="2396"/>
      <c r="AY163" s="3057"/>
      <c r="AZ163" s="3057"/>
      <c r="BA163" s="3057"/>
      <c r="BB163" s="3057"/>
      <c r="BC163" s="3057"/>
      <c r="BD163" s="3057"/>
      <c r="BE163" s="3057"/>
      <c r="BF163" s="3057"/>
      <c r="BG163" s="3057"/>
      <c r="BH163" s="3057"/>
    </row>
    <row r="164" spans="1:60" ht="12" customHeight="1">
      <c r="A164" s="3107"/>
      <c r="B164" s="2119"/>
      <c r="C164" s="2119"/>
      <c r="D164" s="892" t="s">
        <v>3177</v>
      </c>
      <c r="E164" s="808"/>
      <c r="F164" s="808"/>
      <c r="G164" s="808"/>
      <c r="H164" s="808"/>
      <c r="I164" s="808"/>
      <c r="J164" s="808"/>
      <c r="K164" s="808"/>
      <c r="L164" s="808"/>
      <c r="M164" s="808"/>
      <c r="N164" s="808"/>
      <c r="O164" s="808"/>
      <c r="P164" s="1379"/>
      <c r="Q164" s="1130"/>
      <c r="R164" s="1130"/>
      <c r="S164" s="1130"/>
      <c r="T164" s="1130"/>
      <c r="U164" s="1130"/>
      <c r="V164" s="1380"/>
      <c r="W164" s="1379"/>
      <c r="X164" s="1130"/>
      <c r="Y164" s="1130"/>
      <c r="Z164" s="1130"/>
      <c r="AA164" s="1130"/>
      <c r="AB164" s="1130"/>
      <c r="AC164" s="1380"/>
      <c r="AD164" s="1379"/>
      <c r="AE164" s="1130"/>
      <c r="AF164" s="1130"/>
      <c r="AG164" s="1130"/>
      <c r="AH164" s="1130"/>
      <c r="AI164" s="1380"/>
      <c r="AJ164" s="7925"/>
      <c r="AK164" s="6970"/>
      <c r="AL164" s="1150"/>
      <c r="AM164" s="808"/>
      <c r="AN164" s="808"/>
      <c r="AO164" s="808"/>
      <c r="AP164" s="2162"/>
      <c r="AQ164" s="808"/>
      <c r="AR164" s="808"/>
      <c r="AS164" s="808"/>
      <c r="AT164" s="808"/>
      <c r="AU164" s="808"/>
      <c r="AV164" s="808"/>
      <c r="AW164" s="808"/>
      <c r="AX164" s="2396"/>
      <c r="AY164" s="3057"/>
      <c r="AZ164" s="3057"/>
      <c r="BA164" s="3057"/>
      <c r="BB164" s="3057"/>
      <c r="BC164" s="3057"/>
      <c r="BD164" s="3057"/>
      <c r="BE164" s="3057"/>
      <c r="BF164" s="3057"/>
      <c r="BG164" s="3057"/>
      <c r="BH164" s="3057"/>
    </row>
    <row r="165" spans="1:60" ht="12" customHeight="1">
      <c r="A165" s="3107"/>
      <c r="B165" s="2119"/>
      <c r="C165" s="2119"/>
      <c r="D165" s="1460" t="s">
        <v>3178</v>
      </c>
      <c r="E165" s="808"/>
      <c r="F165" s="808"/>
      <c r="G165" s="808"/>
      <c r="H165" s="7966"/>
      <c r="I165" s="7967"/>
      <c r="J165" s="7967"/>
      <c r="K165" s="7967"/>
      <c r="L165" s="7967"/>
      <c r="M165" s="7967"/>
      <c r="N165" s="7967"/>
      <c r="O165" s="808"/>
      <c r="P165" s="1379"/>
      <c r="Q165" s="1130"/>
      <c r="R165" s="1130"/>
      <c r="S165" s="1130"/>
      <c r="T165" s="1130"/>
      <c r="U165" s="1130"/>
      <c r="V165" s="1380"/>
      <c r="W165" s="1379"/>
      <c r="X165" s="1130"/>
      <c r="Y165" s="1130"/>
      <c r="Z165" s="1130"/>
      <c r="AA165" s="1130"/>
      <c r="AB165" s="1130"/>
      <c r="AC165" s="1380"/>
      <c r="AD165" s="1379"/>
      <c r="AE165" s="1130"/>
      <c r="AF165" s="1130"/>
      <c r="AG165" s="1130"/>
      <c r="AH165" s="1130"/>
      <c r="AI165" s="1380"/>
      <c r="AJ165" s="7925"/>
      <c r="AK165" s="6970"/>
      <c r="AL165" s="1150"/>
      <c r="AM165" s="808"/>
      <c r="AN165" s="808"/>
      <c r="AO165" s="808"/>
      <c r="AP165" s="2162"/>
      <c r="AQ165" s="808"/>
      <c r="AR165" s="808"/>
      <c r="AS165" s="808"/>
      <c r="AT165" s="808"/>
      <c r="AU165" s="808"/>
      <c r="AV165" s="808"/>
      <c r="AW165" s="808"/>
      <c r="AX165" s="2396"/>
      <c r="AY165" s="3057"/>
      <c r="AZ165" s="3057"/>
      <c r="BA165" s="3057"/>
      <c r="BB165" s="3057"/>
      <c r="BC165" s="3057"/>
      <c r="BD165" s="3057"/>
      <c r="BE165" s="3057"/>
      <c r="BF165" s="3057"/>
      <c r="BG165" s="3057"/>
      <c r="BH165" s="3057"/>
    </row>
    <row r="166" spans="1:60" ht="12" customHeight="1">
      <c r="A166" s="3107"/>
      <c r="B166" s="2119"/>
      <c r="C166" s="2119"/>
      <c r="D166" s="8102"/>
      <c r="E166" s="8103"/>
      <c r="F166" s="8103"/>
      <c r="G166" s="8103"/>
      <c r="H166" s="8103"/>
      <c r="I166" s="8103"/>
      <c r="J166" s="8103"/>
      <c r="K166" s="8103"/>
      <c r="L166" s="8103"/>
      <c r="M166" s="8103"/>
      <c r="N166" s="8103"/>
      <c r="O166" s="808"/>
      <c r="P166" s="1379"/>
      <c r="Q166" s="1130"/>
      <c r="R166" s="1130"/>
      <c r="S166" s="1130"/>
      <c r="T166" s="1130"/>
      <c r="U166" s="1130"/>
      <c r="V166" s="1380"/>
      <c r="W166" s="1379"/>
      <c r="X166" s="1130"/>
      <c r="Y166" s="1130"/>
      <c r="Z166" s="1130"/>
      <c r="AA166" s="1130"/>
      <c r="AB166" s="1130"/>
      <c r="AC166" s="1380"/>
      <c r="AD166" s="1379"/>
      <c r="AE166" s="1130"/>
      <c r="AF166" s="1130"/>
      <c r="AG166" s="1130"/>
      <c r="AH166" s="1130"/>
      <c r="AI166" s="1380"/>
      <c r="AJ166" s="7925"/>
      <c r="AK166" s="6970"/>
      <c r="AL166" s="1150"/>
      <c r="AM166" s="808"/>
      <c r="AN166" s="808"/>
      <c r="AO166" s="808"/>
      <c r="AP166" s="2162"/>
      <c r="AQ166" s="808"/>
      <c r="AR166" s="808"/>
      <c r="AS166" s="808"/>
      <c r="AT166" s="808"/>
      <c r="AU166" s="808"/>
      <c r="AV166" s="808"/>
      <c r="AW166" s="808"/>
      <c r="AX166" s="2396"/>
      <c r="AY166" s="3057"/>
      <c r="AZ166" s="3057"/>
      <c r="BA166" s="3057"/>
      <c r="BB166" s="3057"/>
      <c r="BC166" s="3057"/>
      <c r="BD166" s="3057"/>
      <c r="BE166" s="3057"/>
      <c r="BF166" s="3057"/>
      <c r="BG166" s="3057"/>
      <c r="BH166" s="3057"/>
    </row>
    <row r="167" spans="1:60" ht="12" customHeight="1">
      <c r="A167" s="3107"/>
      <c r="B167" s="2119"/>
      <c r="C167" s="2119"/>
      <c r="D167" s="7974"/>
      <c r="E167" s="7975"/>
      <c r="F167" s="7975"/>
      <c r="G167" s="7975"/>
      <c r="H167" s="7975"/>
      <c r="I167" s="7975"/>
      <c r="J167" s="7975"/>
      <c r="K167" s="7975"/>
      <c r="L167" s="7975"/>
      <c r="M167" s="7975"/>
      <c r="N167" s="7975"/>
      <c r="O167" s="808"/>
      <c r="P167" s="8104"/>
      <c r="Q167" s="8105"/>
      <c r="R167" s="8105"/>
      <c r="S167" s="8105"/>
      <c r="T167" s="8105"/>
      <c r="U167" s="8105"/>
      <c r="V167" s="8106"/>
      <c r="W167" s="8104"/>
      <c r="X167" s="8105"/>
      <c r="Y167" s="8105"/>
      <c r="Z167" s="8105"/>
      <c r="AA167" s="8105"/>
      <c r="AB167" s="8105"/>
      <c r="AC167" s="8106"/>
      <c r="AD167" s="8104"/>
      <c r="AE167" s="8105"/>
      <c r="AF167" s="8105"/>
      <c r="AG167" s="8105"/>
      <c r="AH167" s="8105"/>
      <c r="AI167" s="8106"/>
      <c r="AJ167" s="7930" t="s">
        <v>363</v>
      </c>
      <c r="AK167" s="7294"/>
      <c r="AL167" s="7955">
        <f>IF(AND(SUM(P167,W167,AD167)&gt;0,AO151=0),"Check one box.",ROUND(SUM(P167,W167,AD167),0))</f>
        <v>0</v>
      </c>
      <c r="AM167" s="7956"/>
      <c r="AN167" s="7956"/>
      <c r="AO167" s="7956"/>
      <c r="AP167" s="2162"/>
      <c r="AQ167" s="808"/>
      <c r="AR167" s="808"/>
      <c r="AS167" s="808"/>
      <c r="AT167" s="808"/>
      <c r="AU167" s="808"/>
      <c r="AV167" s="808"/>
      <c r="AW167" s="808"/>
      <c r="AX167" s="2396"/>
      <c r="AY167" s="3057"/>
      <c r="AZ167" s="3057"/>
      <c r="BA167" s="3057"/>
      <c r="BB167" s="3057"/>
      <c r="BC167" s="3057"/>
      <c r="BD167" s="3057"/>
      <c r="BE167" s="3057"/>
      <c r="BF167" s="3057"/>
      <c r="BG167" s="3057"/>
      <c r="BH167" s="3057"/>
    </row>
    <row r="168" spans="1:60" ht="12" customHeight="1">
      <c r="A168" s="3107"/>
      <c r="B168" s="7959" t="s">
        <v>644</v>
      </c>
      <c r="C168" s="7959"/>
      <c r="D168" s="1460" t="s">
        <v>3179</v>
      </c>
      <c r="E168" s="808"/>
      <c r="F168" s="808"/>
      <c r="G168" s="808"/>
      <c r="H168" s="808"/>
      <c r="I168" s="808"/>
      <c r="J168" s="808"/>
      <c r="K168" s="808"/>
      <c r="L168" s="808"/>
      <c r="M168" s="808"/>
      <c r="N168" s="808"/>
      <c r="O168" s="808"/>
      <c r="P168" s="2217"/>
      <c r="Q168" s="2218"/>
      <c r="R168" s="2218"/>
      <c r="S168" s="2218"/>
      <c r="T168" s="2218"/>
      <c r="U168" s="2218"/>
      <c r="V168" s="2219"/>
      <c r="W168" s="2217"/>
      <c r="X168" s="2218"/>
      <c r="Y168" s="2218"/>
      <c r="Z168" s="2218"/>
      <c r="AA168" s="2218"/>
      <c r="AB168" s="2218"/>
      <c r="AC168" s="2219"/>
      <c r="AD168" s="2217"/>
      <c r="AE168" s="2218"/>
      <c r="AF168" s="2218"/>
      <c r="AG168" s="2218"/>
      <c r="AH168" s="2218"/>
      <c r="AI168" s="2219"/>
      <c r="AJ168" s="7976"/>
      <c r="AK168" s="7291"/>
      <c r="AL168" s="1149"/>
      <c r="AM168" s="808"/>
      <c r="AN168" s="808"/>
      <c r="AO168" s="808"/>
      <c r="AP168" s="2162"/>
      <c r="AQ168" s="808"/>
      <c r="AR168" s="808"/>
      <c r="AS168" s="808"/>
      <c r="AT168" s="808"/>
      <c r="AU168" s="808"/>
      <c r="AV168" s="808"/>
      <c r="AW168" s="808"/>
      <c r="AX168" s="2396"/>
      <c r="AY168" s="3057"/>
      <c r="AZ168" s="3057"/>
      <c r="BA168" s="3057"/>
      <c r="BB168" s="3057"/>
      <c r="BC168" s="3057"/>
      <c r="BD168" s="3057"/>
      <c r="BE168" s="3057"/>
      <c r="BF168" s="3057"/>
      <c r="BG168" s="3057"/>
      <c r="BH168" s="3057"/>
    </row>
    <row r="169" spans="1:60">
      <c r="A169" s="3107"/>
      <c r="B169" s="2119"/>
      <c r="C169" s="2119"/>
      <c r="D169" s="1460" t="s">
        <v>3180</v>
      </c>
      <c r="E169" s="808"/>
      <c r="F169" s="808"/>
      <c r="G169" s="808"/>
      <c r="H169" s="808"/>
      <c r="I169" s="808"/>
      <c r="J169" s="808"/>
      <c r="K169" s="808"/>
      <c r="L169" s="808"/>
      <c r="M169" s="808"/>
      <c r="N169" s="808"/>
      <c r="O169" s="808"/>
      <c r="P169" s="2217"/>
      <c r="Q169" s="2218"/>
      <c r="R169" s="2218"/>
      <c r="S169" s="2218"/>
      <c r="T169" s="2218"/>
      <c r="U169" s="2218"/>
      <c r="V169" s="2219"/>
      <c r="W169" s="2217"/>
      <c r="X169" s="2218"/>
      <c r="Y169" s="2218"/>
      <c r="Z169" s="2218"/>
      <c r="AA169" s="2218"/>
      <c r="AB169" s="2218"/>
      <c r="AC169" s="2219"/>
      <c r="AD169" s="2217"/>
      <c r="AE169" s="2218"/>
      <c r="AF169" s="2218"/>
      <c r="AG169" s="2218"/>
      <c r="AH169" s="2218"/>
      <c r="AI169" s="2219"/>
      <c r="AJ169" s="7925"/>
      <c r="AK169" s="6970"/>
      <c r="AL169" s="1150"/>
      <c r="AM169" s="808"/>
      <c r="AN169" s="808"/>
      <c r="AO169" s="808"/>
      <c r="AP169" s="2162"/>
      <c r="AQ169" s="808"/>
      <c r="AR169" s="808"/>
      <c r="AS169" s="808"/>
      <c r="AT169" s="808"/>
      <c r="AU169" s="808"/>
      <c r="AV169" s="808"/>
      <c r="AW169" s="808"/>
      <c r="AX169" s="2396"/>
      <c r="AY169" s="3057"/>
      <c r="AZ169" s="3057"/>
      <c r="BA169" s="3057"/>
      <c r="BB169" s="3057"/>
      <c r="BC169" s="3057"/>
      <c r="BD169" s="3057"/>
      <c r="BE169" s="3057"/>
      <c r="BF169" s="3057"/>
      <c r="BG169" s="3057"/>
      <c r="BH169" s="3057"/>
    </row>
    <row r="170" spans="1:60" ht="13.5" customHeight="1">
      <c r="A170" s="3107"/>
      <c r="B170" s="2119"/>
      <c r="C170" s="2119"/>
      <c r="D170" s="1460" t="s">
        <v>3181</v>
      </c>
      <c r="E170" s="808"/>
      <c r="F170" s="808"/>
      <c r="G170" s="808"/>
      <c r="H170" s="808"/>
      <c r="I170" s="808"/>
      <c r="J170" s="808"/>
      <c r="K170" s="808"/>
      <c r="L170" s="808"/>
      <c r="M170" s="808"/>
      <c r="N170" s="808"/>
      <c r="O170" s="808"/>
      <c r="P170" s="2217"/>
      <c r="Q170" s="2218"/>
      <c r="R170" s="2218"/>
      <c r="S170" s="2218"/>
      <c r="T170" s="2218"/>
      <c r="U170" s="2218"/>
      <c r="V170" s="2219"/>
      <c r="W170" s="2217"/>
      <c r="X170" s="2218"/>
      <c r="Y170" s="2218"/>
      <c r="Z170" s="2218"/>
      <c r="AA170" s="2218"/>
      <c r="AB170" s="2218"/>
      <c r="AC170" s="2219"/>
      <c r="AD170" s="2217"/>
      <c r="AE170" s="2218"/>
      <c r="AF170" s="2218"/>
      <c r="AG170" s="2218"/>
      <c r="AH170" s="2218"/>
      <c r="AI170" s="2219"/>
      <c r="AJ170" s="7925"/>
      <c r="AK170" s="6970"/>
      <c r="AL170" s="1150"/>
      <c r="AM170" s="808"/>
      <c r="AN170" s="808"/>
      <c r="AO170" s="808"/>
      <c r="AP170" s="2162"/>
      <c r="AQ170" s="808"/>
      <c r="AR170" s="808"/>
      <c r="AS170" s="808"/>
      <c r="AT170" s="808"/>
      <c r="AU170" s="808"/>
      <c r="AV170" s="808"/>
      <c r="AW170" s="808"/>
      <c r="AX170" s="2396"/>
      <c r="AY170" s="3057"/>
      <c r="AZ170" s="3057"/>
      <c r="BA170" s="3057"/>
      <c r="BB170" s="3057"/>
      <c r="BC170" s="3057"/>
      <c r="BD170" s="3057"/>
      <c r="BE170" s="3057"/>
      <c r="BF170" s="3057"/>
      <c r="BG170" s="3057"/>
      <c r="BH170" s="3057"/>
    </row>
    <row r="171" spans="1:60" ht="13.5" customHeight="1">
      <c r="A171" s="3107"/>
      <c r="B171" s="2119"/>
      <c r="C171" s="2119"/>
      <c r="D171" s="1460" t="s">
        <v>3182</v>
      </c>
      <c r="E171" s="808"/>
      <c r="F171" s="808"/>
      <c r="G171" s="808"/>
      <c r="H171" s="808"/>
      <c r="I171" s="808"/>
      <c r="J171" s="808"/>
      <c r="K171" s="808"/>
      <c r="L171" s="808"/>
      <c r="M171" s="808"/>
      <c r="N171" s="808"/>
      <c r="O171" s="808"/>
      <c r="P171" s="2217"/>
      <c r="Q171" s="2218"/>
      <c r="R171" s="2218"/>
      <c r="S171" s="2218"/>
      <c r="T171" s="2218"/>
      <c r="U171" s="2218"/>
      <c r="V171" s="2219"/>
      <c r="W171" s="2217"/>
      <c r="X171" s="2218"/>
      <c r="Y171" s="2218"/>
      <c r="Z171" s="2218"/>
      <c r="AA171" s="2218"/>
      <c r="AB171" s="2218"/>
      <c r="AC171" s="2219"/>
      <c r="AD171" s="2217"/>
      <c r="AE171" s="2218"/>
      <c r="AF171" s="2218"/>
      <c r="AG171" s="2218"/>
      <c r="AH171" s="2218"/>
      <c r="AI171" s="2219"/>
      <c r="AJ171" s="7925"/>
      <c r="AK171" s="6970"/>
      <c r="AL171" s="1150"/>
      <c r="AM171" s="808"/>
      <c r="AN171" s="808"/>
      <c r="AO171" s="808"/>
      <c r="AP171" s="2162"/>
      <c r="AQ171" s="808"/>
      <c r="AR171" s="808"/>
      <c r="AS171" s="808"/>
      <c r="AT171" s="808"/>
      <c r="AU171" s="808"/>
      <c r="AV171" s="808"/>
      <c r="AW171" s="808"/>
      <c r="AX171" s="2396"/>
      <c r="AY171" s="3057"/>
      <c r="AZ171" s="3057"/>
      <c r="BA171" s="3057"/>
      <c r="BB171" s="3057"/>
      <c r="BC171" s="3057"/>
      <c r="BD171" s="3057"/>
      <c r="BE171" s="3057"/>
      <c r="BF171" s="3057"/>
      <c r="BG171" s="3057"/>
      <c r="BH171" s="3057"/>
    </row>
    <row r="172" spans="1:60" ht="13.5" customHeight="1">
      <c r="A172" s="3107"/>
      <c r="B172" s="2119"/>
      <c r="C172" s="2119"/>
      <c r="D172" s="1460" t="s">
        <v>3183</v>
      </c>
      <c r="E172" s="808"/>
      <c r="F172" s="808"/>
      <c r="G172" s="808"/>
      <c r="H172" s="808"/>
      <c r="I172" s="808"/>
      <c r="J172" s="808"/>
      <c r="K172" s="808"/>
      <c r="L172" s="808"/>
      <c r="M172" s="1128" t="s">
        <v>2734</v>
      </c>
      <c r="N172" s="809"/>
      <c r="O172" s="808"/>
      <c r="P172" s="2217"/>
      <c r="Q172" s="2218"/>
      <c r="R172" s="2218"/>
      <c r="S172" s="2218"/>
      <c r="T172" s="2218"/>
      <c r="U172" s="2218"/>
      <c r="V172" s="2219"/>
      <c r="W172" s="2217"/>
      <c r="X172" s="2218"/>
      <c r="Y172" s="2218"/>
      <c r="Z172" s="2218"/>
      <c r="AA172" s="2218"/>
      <c r="AB172" s="2218"/>
      <c r="AC172" s="2219"/>
      <c r="AD172" s="2217"/>
      <c r="AE172" s="2218"/>
      <c r="AF172" s="2218"/>
      <c r="AG172" s="2218"/>
      <c r="AH172" s="2218"/>
      <c r="AI172" s="2219"/>
      <c r="AJ172" s="7925"/>
      <c r="AK172" s="6970"/>
      <c r="AL172" s="1150"/>
      <c r="AM172" s="808"/>
      <c r="AN172" s="808"/>
      <c r="AO172" s="808"/>
      <c r="AP172" s="2162"/>
      <c r="AQ172" s="808"/>
      <c r="AR172" s="808"/>
      <c r="AS172" s="808"/>
      <c r="AT172" s="808"/>
      <c r="AU172" s="808"/>
      <c r="AV172" s="808"/>
      <c r="AW172" s="808"/>
      <c r="AX172" s="2396"/>
      <c r="AY172" s="3057"/>
      <c r="AZ172" s="3057"/>
      <c r="BA172" s="3057"/>
      <c r="BB172" s="3057"/>
      <c r="BC172" s="3057"/>
      <c r="BD172" s="3057"/>
      <c r="BE172" s="3057"/>
      <c r="BF172" s="3057"/>
      <c r="BG172" s="3057"/>
      <c r="BH172" s="3057"/>
    </row>
    <row r="173" spans="1:60" ht="6" customHeight="1">
      <c r="A173" s="3107"/>
      <c r="B173" s="2189"/>
      <c r="C173" s="2189"/>
      <c r="D173" s="2192"/>
      <c r="E173" s="1121"/>
      <c r="F173" s="1121"/>
      <c r="G173" s="1121"/>
      <c r="H173" s="1121"/>
      <c r="I173" s="1121"/>
      <c r="J173" s="1121"/>
      <c r="K173" s="1121"/>
      <c r="L173" s="1121"/>
      <c r="M173" s="1121"/>
      <c r="N173" s="1121"/>
      <c r="O173" s="1121"/>
      <c r="P173" s="2222"/>
      <c r="Q173" s="2223"/>
      <c r="R173" s="2223"/>
      <c r="S173" s="2223"/>
      <c r="T173" s="2223"/>
      <c r="U173" s="2223"/>
      <c r="V173" s="2224"/>
      <c r="W173" s="2222"/>
      <c r="X173" s="2223"/>
      <c r="Y173" s="2223"/>
      <c r="Z173" s="2223"/>
      <c r="AA173" s="2223"/>
      <c r="AB173" s="2223"/>
      <c r="AC173" s="2224"/>
      <c r="AD173" s="2222"/>
      <c r="AE173" s="2223"/>
      <c r="AF173" s="2223"/>
      <c r="AG173" s="2223"/>
      <c r="AH173" s="2223"/>
      <c r="AI173" s="2224"/>
      <c r="AJ173" s="7925"/>
      <c r="AK173" s="6970"/>
      <c r="AL173" s="1150"/>
      <c r="AM173" s="808"/>
      <c r="AN173" s="808"/>
      <c r="AO173" s="808"/>
      <c r="AP173" s="2162"/>
      <c r="AQ173" s="808"/>
      <c r="AR173" s="808"/>
      <c r="AS173" s="808"/>
      <c r="AT173" s="808"/>
      <c r="AU173" s="808"/>
      <c r="AV173" s="808"/>
      <c r="AW173" s="808"/>
      <c r="AX173" s="2396"/>
      <c r="AY173" s="3057"/>
      <c r="AZ173" s="3057"/>
      <c r="BA173" s="3057"/>
      <c r="BB173" s="3057"/>
      <c r="BC173" s="3057"/>
      <c r="BD173" s="3057"/>
      <c r="BE173" s="3057"/>
      <c r="BF173" s="3057"/>
      <c r="BG173" s="3057"/>
      <c r="BH173" s="3057"/>
    </row>
    <row r="174" spans="1:60" ht="13.5" customHeight="1">
      <c r="A174" s="3107"/>
      <c r="B174" s="892" t="s">
        <v>3300</v>
      </c>
      <c r="C174" s="2119"/>
      <c r="D174" s="2112"/>
      <c r="E174" s="808"/>
      <c r="F174" s="808"/>
      <c r="G174" s="808"/>
      <c r="H174" s="808"/>
      <c r="I174" s="808"/>
      <c r="J174" s="808"/>
      <c r="K174" s="808"/>
      <c r="L174" s="808"/>
      <c r="M174" s="808"/>
      <c r="N174" s="808"/>
      <c r="O174" s="808"/>
      <c r="P174" s="2217"/>
      <c r="Q174" s="2218"/>
      <c r="R174" s="2218"/>
      <c r="S174" s="2218"/>
      <c r="T174" s="2218"/>
      <c r="U174" s="2218"/>
      <c r="V174" s="2219"/>
      <c r="W174" s="2217"/>
      <c r="X174" s="2218"/>
      <c r="Y174" s="2218"/>
      <c r="Z174" s="2218"/>
      <c r="AA174" s="2218"/>
      <c r="AB174" s="2218"/>
      <c r="AC174" s="2219"/>
      <c r="AD174" s="2217"/>
      <c r="AE174" s="2218"/>
      <c r="AF174" s="2218"/>
      <c r="AG174" s="2218"/>
      <c r="AH174" s="2218"/>
      <c r="AI174" s="2219"/>
      <c r="AJ174" s="7925"/>
      <c r="AK174" s="6970"/>
      <c r="AL174" s="1150"/>
      <c r="AM174" s="808"/>
      <c r="AN174" s="808"/>
      <c r="AO174" s="808"/>
      <c r="AP174" s="2162"/>
      <c r="AQ174" s="808"/>
      <c r="AR174" s="808"/>
      <c r="AS174" s="808"/>
      <c r="AT174" s="808"/>
      <c r="AU174" s="808"/>
      <c r="AV174" s="808"/>
      <c r="AW174" s="808"/>
      <c r="AX174" s="2396"/>
      <c r="AY174" s="3057"/>
      <c r="AZ174" s="3057"/>
      <c r="BA174" s="3057"/>
      <c r="BB174" s="3057"/>
      <c r="BC174" s="3057"/>
      <c r="BD174" s="3057"/>
      <c r="BE174" s="3057"/>
      <c r="BF174" s="3057"/>
      <c r="BG174" s="3057"/>
      <c r="BH174" s="3057"/>
    </row>
    <row r="175" spans="1:60" ht="13.5" customHeight="1">
      <c r="A175" s="3107"/>
      <c r="B175" s="7924">
        <v>2</v>
      </c>
      <c r="C175" s="7924"/>
      <c r="D175" s="878" t="s">
        <v>3185</v>
      </c>
      <c r="E175" s="808"/>
      <c r="F175" s="808"/>
      <c r="G175" s="808"/>
      <c r="H175" s="808"/>
      <c r="I175" s="808"/>
      <c r="J175" s="808"/>
      <c r="K175" s="808"/>
      <c r="L175" s="808"/>
      <c r="M175" s="808"/>
      <c r="N175" s="808"/>
      <c r="O175" s="808"/>
      <c r="P175" s="2220"/>
      <c r="Q175" s="892"/>
      <c r="R175" s="892"/>
      <c r="S175" s="892"/>
      <c r="T175" s="892"/>
      <c r="U175" s="892"/>
      <c r="V175" s="2221"/>
      <c r="W175" s="892"/>
      <c r="X175" s="892"/>
      <c r="Y175" s="892"/>
      <c r="Z175" s="892"/>
      <c r="AA175" s="892"/>
      <c r="AB175" s="892"/>
      <c r="AC175" s="2221"/>
      <c r="AD175" s="892"/>
      <c r="AE175" s="892"/>
      <c r="AF175" s="892"/>
      <c r="AG175" s="892"/>
      <c r="AH175" s="892"/>
      <c r="AI175" s="2221"/>
      <c r="AJ175" s="7925"/>
      <c r="AK175" s="6970"/>
      <c r="AL175" s="1150"/>
      <c r="AM175" s="808"/>
      <c r="AN175" s="808"/>
      <c r="AO175" s="808"/>
      <c r="AP175" s="2162"/>
      <c r="AQ175" s="808"/>
      <c r="AR175" s="808"/>
      <c r="AS175" s="808"/>
      <c r="AT175" s="808"/>
      <c r="AU175" s="808"/>
      <c r="AV175" s="808"/>
      <c r="AW175" s="808"/>
      <c r="AX175" s="2396"/>
      <c r="AY175" s="3057"/>
      <c r="AZ175" s="3057"/>
      <c r="BA175" s="3057"/>
      <c r="BB175" s="3057"/>
      <c r="BC175" s="3057"/>
      <c r="BD175" s="3057"/>
      <c r="BE175" s="3057"/>
      <c r="BF175" s="3057"/>
      <c r="BG175" s="3057"/>
      <c r="BH175" s="3057"/>
    </row>
    <row r="176" spans="1:60" ht="13.5" customHeight="1">
      <c r="A176" s="3107"/>
      <c r="B176" s="7924"/>
      <c r="C176" s="7924"/>
      <c r="D176" s="892" t="s">
        <v>3186</v>
      </c>
      <c r="E176" s="808"/>
      <c r="F176" s="808"/>
      <c r="G176" s="808"/>
      <c r="H176" s="808"/>
      <c r="I176" s="808"/>
      <c r="J176" s="808"/>
      <c r="K176" s="808"/>
      <c r="L176" s="808"/>
      <c r="M176" s="808"/>
      <c r="N176" s="808"/>
      <c r="O176" s="1128" t="s">
        <v>950</v>
      </c>
      <c r="P176" s="7963"/>
      <c r="Q176" s="7964"/>
      <c r="R176" s="7964"/>
      <c r="S176" s="7964"/>
      <c r="T176" s="7964"/>
      <c r="U176" s="7964"/>
      <c r="V176" s="7965"/>
      <c r="W176" s="7963"/>
      <c r="X176" s="7964"/>
      <c r="Y176" s="7964"/>
      <c r="Z176" s="7964"/>
      <c r="AA176" s="7964"/>
      <c r="AB176" s="7964"/>
      <c r="AC176" s="7965"/>
      <c r="AD176" s="7963"/>
      <c r="AE176" s="7964"/>
      <c r="AF176" s="7964"/>
      <c r="AG176" s="7964"/>
      <c r="AH176" s="7964"/>
      <c r="AI176" s="7965"/>
      <c r="AJ176" s="7925"/>
      <c r="AK176" s="6970"/>
      <c r="AL176" s="1150"/>
      <c r="AM176" s="808"/>
      <c r="AN176" s="808"/>
      <c r="AO176" s="808"/>
      <c r="AP176" s="2162"/>
      <c r="AQ176" s="808"/>
      <c r="AR176" s="808"/>
      <c r="AS176" s="808"/>
      <c r="AT176" s="808"/>
      <c r="AU176" s="808"/>
      <c r="AV176" s="808"/>
      <c r="AW176" s="808"/>
      <c r="AX176" s="2396"/>
      <c r="AY176" s="3057"/>
      <c r="AZ176" s="3057"/>
      <c r="BA176" s="3057"/>
      <c r="BB176" s="3057"/>
      <c r="BC176" s="3057"/>
      <c r="BD176" s="3057"/>
      <c r="BE176" s="3057"/>
      <c r="BF176" s="3057"/>
      <c r="BG176" s="3057"/>
      <c r="BH176" s="3057"/>
    </row>
    <row r="177" spans="1:60" ht="13.5" customHeight="1">
      <c r="A177" s="3107"/>
      <c r="B177" s="2998"/>
      <c r="C177" s="2998"/>
      <c r="D177" s="878" t="s">
        <v>3187</v>
      </c>
      <c r="E177" s="808"/>
      <c r="F177" s="808"/>
      <c r="G177" s="808"/>
      <c r="H177" s="808"/>
      <c r="I177" s="808"/>
      <c r="J177" s="808"/>
      <c r="K177" s="808"/>
      <c r="L177" s="808"/>
      <c r="M177" s="808"/>
      <c r="N177" s="808"/>
      <c r="O177" s="808"/>
      <c r="P177" s="2217"/>
      <c r="Q177" s="2218"/>
      <c r="R177" s="2218"/>
      <c r="S177" s="2218"/>
      <c r="T177" s="2218"/>
      <c r="U177" s="2218"/>
      <c r="V177" s="2219"/>
      <c r="W177" s="2217"/>
      <c r="X177" s="2218"/>
      <c r="Y177" s="2218"/>
      <c r="Z177" s="2218"/>
      <c r="AA177" s="2218"/>
      <c r="AB177" s="2218"/>
      <c r="AC177" s="2219"/>
      <c r="AD177" s="2217"/>
      <c r="AE177" s="2218"/>
      <c r="AF177" s="2218"/>
      <c r="AG177" s="2218"/>
      <c r="AH177" s="2218"/>
      <c r="AI177" s="2219"/>
      <c r="AJ177" s="7925"/>
      <c r="AK177" s="6970"/>
      <c r="AL177" s="1150"/>
      <c r="AM177" s="808"/>
      <c r="AN177" s="808"/>
      <c r="AO177" s="808"/>
      <c r="AP177" s="2162"/>
      <c r="AQ177" s="808"/>
      <c r="AR177" s="808"/>
      <c r="AS177" s="808"/>
      <c r="AT177" s="808"/>
      <c r="AU177" s="808"/>
      <c r="AV177" s="808"/>
      <c r="AW177" s="808"/>
      <c r="AX177" s="2396"/>
      <c r="AY177" s="3057"/>
      <c r="AZ177" s="3057"/>
      <c r="BA177" s="3057"/>
      <c r="BB177" s="3057"/>
      <c r="BC177" s="3057"/>
      <c r="BD177" s="3057"/>
      <c r="BE177" s="3057"/>
      <c r="BF177" s="3057"/>
      <c r="BG177" s="3057"/>
      <c r="BH177" s="3057"/>
    </row>
    <row r="178" spans="1:60" ht="13.5" customHeight="1">
      <c r="A178" s="3107"/>
      <c r="B178" s="7924"/>
      <c r="C178" s="7924"/>
      <c r="D178" s="2206" t="s">
        <v>3188</v>
      </c>
      <c r="E178" s="808"/>
      <c r="F178" s="808"/>
      <c r="G178" s="808"/>
      <c r="H178" s="808"/>
      <c r="I178" s="808"/>
      <c r="J178" s="808"/>
      <c r="K178" s="808"/>
      <c r="L178" s="808"/>
      <c r="M178" s="808"/>
      <c r="N178" s="808"/>
      <c r="O178" s="808"/>
      <c r="P178" s="2217"/>
      <c r="Q178" s="2218"/>
      <c r="R178" s="2218"/>
      <c r="S178" s="2218"/>
      <c r="T178" s="2218"/>
      <c r="U178" s="2218"/>
      <c r="V178" s="2219"/>
      <c r="W178" s="2217"/>
      <c r="X178" s="2218"/>
      <c r="Y178" s="2218"/>
      <c r="Z178" s="2218"/>
      <c r="AA178" s="2218"/>
      <c r="AB178" s="2218"/>
      <c r="AC178" s="2219"/>
      <c r="AD178" s="2217"/>
      <c r="AE178" s="2218"/>
      <c r="AF178" s="2218"/>
      <c r="AG178" s="2218"/>
      <c r="AH178" s="2218"/>
      <c r="AI178" s="2219"/>
      <c r="AJ178" s="7925"/>
      <c r="AK178" s="6970"/>
      <c r="AL178" s="1150"/>
      <c r="AM178" s="808"/>
      <c r="AN178" s="808"/>
      <c r="AO178" s="808"/>
      <c r="AP178" s="2162"/>
      <c r="AQ178" s="808"/>
      <c r="AR178" s="808"/>
      <c r="AS178" s="808"/>
      <c r="AT178" s="808"/>
      <c r="AU178" s="808"/>
      <c r="AV178" s="808"/>
      <c r="AW178" s="808"/>
      <c r="AX178" s="2396"/>
      <c r="AY178" s="3057"/>
      <c r="AZ178" s="3057"/>
      <c r="BA178" s="3057"/>
      <c r="BB178" s="3057"/>
      <c r="BC178" s="3057"/>
      <c r="BD178" s="3057"/>
      <c r="BE178" s="3057"/>
      <c r="BF178" s="3057"/>
      <c r="BG178" s="3057"/>
      <c r="BH178" s="3057"/>
    </row>
    <row r="179" spans="1:60" ht="13.5" customHeight="1">
      <c r="A179" s="3107"/>
      <c r="B179" s="7924" t="s">
        <v>640</v>
      </c>
      <c r="C179" s="7924"/>
      <c r="D179" s="878" t="s">
        <v>3189</v>
      </c>
      <c r="E179" s="808"/>
      <c r="F179" s="808"/>
      <c r="G179" s="808"/>
      <c r="H179" s="808"/>
      <c r="I179" s="808"/>
      <c r="J179" s="808"/>
      <c r="K179" s="808"/>
      <c r="L179" s="808"/>
      <c r="M179" s="808"/>
      <c r="N179" s="808"/>
      <c r="O179" s="808"/>
      <c r="P179" s="2220"/>
      <c r="Q179" s="892"/>
      <c r="R179" s="892"/>
      <c r="S179" s="892"/>
      <c r="T179" s="892"/>
      <c r="U179" s="892"/>
      <c r="V179" s="2221"/>
      <c r="W179" s="892"/>
      <c r="X179" s="892"/>
      <c r="Y179" s="892"/>
      <c r="Z179" s="892"/>
      <c r="AA179" s="892"/>
      <c r="AB179" s="892"/>
      <c r="AC179" s="2221"/>
      <c r="AD179" s="892"/>
      <c r="AE179" s="892"/>
      <c r="AF179" s="892"/>
      <c r="AG179" s="892"/>
      <c r="AH179" s="892"/>
      <c r="AI179" s="2221"/>
      <c r="AJ179" s="7925"/>
      <c r="AK179" s="6970"/>
      <c r="AL179" s="1150"/>
      <c r="AM179" s="808"/>
      <c r="AN179" s="808"/>
      <c r="AO179" s="808"/>
      <c r="AP179" s="2162"/>
      <c r="AQ179" s="808"/>
      <c r="AR179" s="808"/>
      <c r="AS179" s="808"/>
      <c r="AT179" s="808"/>
      <c r="AU179" s="808"/>
      <c r="AV179" s="808"/>
      <c r="AW179" s="808"/>
      <c r="AX179" s="2396"/>
      <c r="AY179" s="3057"/>
      <c r="AZ179" s="3057"/>
      <c r="BA179" s="3057"/>
      <c r="BB179" s="3057"/>
      <c r="BC179" s="3057"/>
      <c r="BD179" s="3057"/>
      <c r="BE179" s="3057"/>
      <c r="BF179" s="3057"/>
      <c r="BG179" s="3057"/>
      <c r="BH179" s="3057"/>
    </row>
    <row r="180" spans="1:60" ht="13.5" customHeight="1">
      <c r="A180" s="3107"/>
      <c r="B180" s="2996"/>
      <c r="C180" s="2996"/>
      <c r="D180" s="878" t="s">
        <v>2326</v>
      </c>
      <c r="E180" s="808"/>
      <c r="F180" s="808"/>
      <c r="G180" s="808"/>
      <c r="H180" s="808"/>
      <c r="I180" s="808"/>
      <c r="J180" s="808"/>
      <c r="K180" s="808"/>
      <c r="L180" s="808"/>
      <c r="M180" s="808"/>
      <c r="N180" s="808"/>
      <c r="O180" s="1128" t="s">
        <v>930</v>
      </c>
      <c r="P180" s="7963"/>
      <c r="Q180" s="7964"/>
      <c r="R180" s="7964"/>
      <c r="S180" s="7964"/>
      <c r="T180" s="7964"/>
      <c r="U180" s="7964"/>
      <c r="V180" s="7965"/>
      <c r="W180" s="7963"/>
      <c r="X180" s="7964"/>
      <c r="Y180" s="7964"/>
      <c r="Z180" s="7964"/>
      <c r="AA180" s="7964"/>
      <c r="AB180" s="7964"/>
      <c r="AC180" s="7965"/>
      <c r="AD180" s="7963"/>
      <c r="AE180" s="7964"/>
      <c r="AF180" s="7964"/>
      <c r="AG180" s="7964"/>
      <c r="AH180" s="7964"/>
      <c r="AI180" s="7965"/>
      <c r="AJ180" s="7925"/>
      <c r="AK180" s="6970"/>
      <c r="AL180" s="1150"/>
      <c r="AM180" s="808"/>
      <c r="AN180" s="808"/>
      <c r="AO180" s="808"/>
      <c r="AP180" s="2162"/>
      <c r="AQ180" s="808"/>
      <c r="AR180" s="808"/>
      <c r="AS180" s="808"/>
      <c r="AT180" s="808"/>
      <c r="AU180" s="808"/>
      <c r="AV180" s="808"/>
      <c r="AW180" s="808"/>
      <c r="AX180" s="2396"/>
      <c r="AY180" s="3057"/>
      <c r="AZ180" s="3057"/>
      <c r="BA180" s="3057"/>
      <c r="BB180" s="3057"/>
      <c r="BC180" s="3057"/>
      <c r="BD180" s="3057"/>
      <c r="BE180" s="3057"/>
      <c r="BF180" s="3057"/>
      <c r="BG180" s="3057"/>
      <c r="BH180" s="3057"/>
    </row>
    <row r="181" spans="1:60" ht="13.5" customHeight="1">
      <c r="A181" s="3107"/>
      <c r="B181" s="7924" t="s">
        <v>644</v>
      </c>
      <c r="C181" s="7924"/>
      <c r="D181" s="878" t="s">
        <v>3190</v>
      </c>
      <c r="E181" s="808"/>
      <c r="F181" s="808"/>
      <c r="G181" s="808"/>
      <c r="H181" s="808"/>
      <c r="I181" s="808"/>
      <c r="J181" s="808"/>
      <c r="K181" s="808"/>
      <c r="L181" s="808"/>
      <c r="M181" s="808"/>
      <c r="N181" s="808"/>
      <c r="O181" s="1128" t="s">
        <v>1026</v>
      </c>
      <c r="P181" s="7963"/>
      <c r="Q181" s="7964"/>
      <c r="R181" s="7964"/>
      <c r="S181" s="7964"/>
      <c r="T181" s="7964"/>
      <c r="U181" s="7964"/>
      <c r="V181" s="7965"/>
      <c r="W181" s="7963"/>
      <c r="X181" s="7964"/>
      <c r="Y181" s="7964"/>
      <c r="Z181" s="7964"/>
      <c r="AA181" s="7964"/>
      <c r="AB181" s="7964"/>
      <c r="AC181" s="7965"/>
      <c r="AD181" s="7963"/>
      <c r="AE181" s="7964"/>
      <c r="AF181" s="7964"/>
      <c r="AG181" s="7964"/>
      <c r="AH181" s="7964"/>
      <c r="AI181" s="7965"/>
      <c r="AJ181" s="7925"/>
      <c r="AK181" s="6970"/>
      <c r="AL181" s="1150"/>
      <c r="AM181" s="808"/>
      <c r="AN181" s="808"/>
      <c r="AO181" s="808"/>
      <c r="AP181" s="2162"/>
      <c r="AQ181" s="808"/>
      <c r="AR181" s="808"/>
      <c r="AS181" s="808"/>
      <c r="AT181" s="808"/>
      <c r="AU181" s="808"/>
      <c r="AV181" s="808"/>
      <c r="AW181" s="808"/>
      <c r="AX181" s="2396"/>
      <c r="AY181" s="3057"/>
      <c r="AZ181" s="3057"/>
      <c r="BA181" s="3057"/>
      <c r="BB181" s="3057"/>
      <c r="BC181" s="3057"/>
      <c r="BD181" s="3057"/>
      <c r="BE181" s="3057"/>
      <c r="BF181" s="3057"/>
      <c r="BG181" s="3057"/>
      <c r="BH181" s="3057"/>
    </row>
    <row r="182" spans="1:60" ht="13.5" customHeight="1">
      <c r="A182" s="3107"/>
      <c r="B182" s="7924" t="s">
        <v>648</v>
      </c>
      <c r="C182" s="7924"/>
      <c r="D182" s="878" t="s">
        <v>3191</v>
      </c>
      <c r="E182" s="808"/>
      <c r="F182" s="808"/>
      <c r="G182" s="808"/>
      <c r="H182" s="808"/>
      <c r="I182" s="808"/>
      <c r="J182" s="808"/>
      <c r="K182" s="808"/>
      <c r="L182" s="808"/>
      <c r="M182" s="808"/>
      <c r="N182" s="808"/>
      <c r="O182" s="1128" t="s">
        <v>888</v>
      </c>
      <c r="P182" s="7968">
        <f>SUM(P180:P181)</f>
        <v>0</v>
      </c>
      <c r="Q182" s="7969"/>
      <c r="R182" s="7969"/>
      <c r="S182" s="7969"/>
      <c r="T182" s="7969"/>
      <c r="U182" s="7969"/>
      <c r="V182" s="7970"/>
      <c r="W182" s="7968">
        <f>SUM(W180:W181)</f>
        <v>0</v>
      </c>
      <c r="X182" s="7969"/>
      <c r="Y182" s="7969"/>
      <c r="Z182" s="7969"/>
      <c r="AA182" s="7969"/>
      <c r="AB182" s="7969"/>
      <c r="AC182" s="7970"/>
      <c r="AD182" s="7968">
        <f>SUM(AD180:AD181)</f>
        <v>0</v>
      </c>
      <c r="AE182" s="7969"/>
      <c r="AF182" s="7969"/>
      <c r="AG182" s="7969"/>
      <c r="AH182" s="7969"/>
      <c r="AI182" s="7970"/>
      <c r="AJ182" s="7925"/>
      <c r="AK182" s="6970"/>
      <c r="AL182" s="1150"/>
      <c r="AM182" s="808"/>
      <c r="AN182" s="808"/>
      <c r="AO182" s="808"/>
      <c r="AP182" s="2162"/>
      <c r="AQ182" s="808"/>
      <c r="AR182" s="808"/>
      <c r="AS182" s="808"/>
      <c r="AT182" s="808"/>
      <c r="AU182" s="808"/>
      <c r="AV182" s="808"/>
      <c r="AW182" s="808"/>
      <c r="AX182" s="2396"/>
      <c r="AY182" s="3057"/>
      <c r="AZ182" s="3057"/>
      <c r="BA182" s="3057"/>
      <c r="BB182" s="3057"/>
      <c r="BC182" s="3057"/>
      <c r="BD182" s="3057"/>
      <c r="BE182" s="3057"/>
      <c r="BF182" s="3057"/>
      <c r="BG182" s="3057"/>
      <c r="BH182" s="3057"/>
    </row>
    <row r="183" spans="1:60" ht="13.5" customHeight="1">
      <c r="A183" s="3107"/>
      <c r="B183" s="7924" t="s">
        <v>652</v>
      </c>
      <c r="C183" s="7924"/>
      <c r="D183" s="878" t="s">
        <v>3192</v>
      </c>
      <c r="E183" s="808"/>
      <c r="F183" s="808"/>
      <c r="G183" s="808"/>
      <c r="H183" s="808"/>
      <c r="I183" s="808"/>
      <c r="J183" s="808"/>
      <c r="K183" s="808"/>
      <c r="L183" s="808"/>
      <c r="M183" s="808"/>
      <c r="N183" s="808"/>
      <c r="O183" s="1128" t="s">
        <v>3193</v>
      </c>
      <c r="P183" s="7963"/>
      <c r="Q183" s="7964"/>
      <c r="R183" s="7964"/>
      <c r="S183" s="7964"/>
      <c r="T183" s="7964"/>
      <c r="U183" s="7964"/>
      <c r="V183" s="7965"/>
      <c r="W183" s="7963"/>
      <c r="X183" s="7964"/>
      <c r="Y183" s="7964"/>
      <c r="Z183" s="7964"/>
      <c r="AA183" s="7964"/>
      <c r="AB183" s="7964"/>
      <c r="AC183" s="7965"/>
      <c r="AD183" s="7963"/>
      <c r="AE183" s="7964"/>
      <c r="AF183" s="7964"/>
      <c r="AG183" s="7964"/>
      <c r="AH183" s="7964"/>
      <c r="AI183" s="7965"/>
      <c r="AJ183" s="7925"/>
      <c r="AK183" s="6970"/>
      <c r="AL183" s="1150"/>
      <c r="AM183" s="808"/>
      <c r="AN183" s="808"/>
      <c r="AO183" s="808"/>
      <c r="AP183" s="2162"/>
      <c r="AQ183" s="808"/>
      <c r="AR183" s="808"/>
      <c r="AS183" s="808"/>
      <c r="AT183" s="808"/>
      <c r="AU183" s="808"/>
      <c r="AV183" s="808"/>
      <c r="AW183" s="808"/>
      <c r="AX183" s="2396"/>
      <c r="AY183" s="3057"/>
      <c r="AZ183" s="3057"/>
      <c r="BA183" s="3057"/>
      <c r="BB183" s="3057"/>
      <c r="BC183" s="3057"/>
      <c r="BD183" s="3057"/>
      <c r="BE183" s="3057"/>
      <c r="BF183" s="3057"/>
      <c r="BG183" s="3057"/>
      <c r="BH183" s="3057"/>
    </row>
    <row r="184" spans="1:60" ht="13.5" customHeight="1">
      <c r="A184" s="3107"/>
      <c r="B184" s="7924" t="s">
        <v>656</v>
      </c>
      <c r="C184" s="7924"/>
      <c r="D184" s="878" t="s">
        <v>3194</v>
      </c>
      <c r="E184" s="808"/>
      <c r="F184" s="808"/>
      <c r="G184" s="808"/>
      <c r="H184" s="808"/>
      <c r="I184" s="808"/>
      <c r="J184" s="808"/>
      <c r="K184" s="808"/>
      <c r="L184" s="808"/>
      <c r="M184" s="808"/>
      <c r="N184" s="808"/>
      <c r="O184" s="1128" t="s">
        <v>3193</v>
      </c>
      <c r="P184" s="7963"/>
      <c r="Q184" s="7964"/>
      <c r="R184" s="7964"/>
      <c r="S184" s="7964"/>
      <c r="T184" s="7964"/>
      <c r="U184" s="7964"/>
      <c r="V184" s="7965"/>
      <c r="W184" s="7963"/>
      <c r="X184" s="7964"/>
      <c r="Y184" s="7964"/>
      <c r="Z184" s="7964"/>
      <c r="AA184" s="7964"/>
      <c r="AB184" s="7964"/>
      <c r="AC184" s="7965"/>
      <c r="AD184" s="7963"/>
      <c r="AE184" s="7964"/>
      <c r="AF184" s="7964"/>
      <c r="AG184" s="7964"/>
      <c r="AH184" s="7964"/>
      <c r="AI184" s="7965"/>
      <c r="AJ184" s="7925"/>
      <c r="AK184" s="6970"/>
      <c r="AL184" s="1150"/>
      <c r="AM184" s="808"/>
      <c r="AN184" s="808"/>
      <c r="AO184" s="808"/>
      <c r="AP184" s="2162"/>
      <c r="AQ184" s="808"/>
      <c r="AR184" s="808"/>
      <c r="AS184" s="808"/>
      <c r="AT184" s="808"/>
      <c r="AU184" s="808"/>
      <c r="AV184" s="808"/>
      <c r="AW184" s="808"/>
      <c r="AX184" s="2396"/>
      <c r="AY184" s="3057"/>
      <c r="AZ184" s="3057"/>
      <c r="BA184" s="3057"/>
      <c r="BB184" s="3057"/>
      <c r="BC184" s="3057"/>
      <c r="BD184" s="3057"/>
      <c r="BE184" s="3057"/>
      <c r="BF184" s="3057"/>
      <c r="BG184" s="3057"/>
      <c r="BH184" s="3057"/>
    </row>
    <row r="185" spans="1:60" ht="13.5" customHeight="1">
      <c r="A185" s="3107"/>
      <c r="B185" s="7924" t="s">
        <v>659</v>
      </c>
      <c r="C185" s="7924"/>
      <c r="D185" s="878" t="s">
        <v>3195</v>
      </c>
      <c r="E185" s="808"/>
      <c r="F185" s="808"/>
      <c r="G185" s="808"/>
      <c r="H185" s="808"/>
      <c r="I185" s="808"/>
      <c r="J185" s="808"/>
      <c r="K185" s="808"/>
      <c r="L185" s="808"/>
      <c r="M185" s="808"/>
      <c r="N185" s="808"/>
      <c r="O185" s="1128" t="s">
        <v>939</v>
      </c>
      <c r="P185" s="8107" t="str">
        <f>IF(P184=0,"",ROUND(P183/P184,4))</f>
        <v/>
      </c>
      <c r="Q185" s="8108"/>
      <c r="R185" s="8108"/>
      <c r="S185" s="8108"/>
      <c r="T185" s="8108"/>
      <c r="U185" s="8108"/>
      <c r="V185" s="8109"/>
      <c r="W185" s="8107" t="str">
        <f>IF(W184=0,"",ROUND(W183/W184,4))</f>
        <v/>
      </c>
      <c r="X185" s="8108"/>
      <c r="Y185" s="8108"/>
      <c r="Z185" s="8108"/>
      <c r="AA185" s="8108"/>
      <c r="AB185" s="8108"/>
      <c r="AC185" s="8109"/>
      <c r="AD185" s="8110" t="str">
        <f>IF(AD184=0,"",ROUND(AD183/AD184,4))</f>
        <v/>
      </c>
      <c r="AE185" s="8111"/>
      <c r="AF185" s="8111"/>
      <c r="AG185" s="8111"/>
      <c r="AH185" s="8111"/>
      <c r="AI185" s="8112"/>
      <c r="AJ185" s="7925"/>
      <c r="AK185" s="6970"/>
      <c r="AL185" s="1150"/>
      <c r="AM185" s="808"/>
      <c r="AN185" s="808"/>
      <c r="AO185" s="808"/>
      <c r="AP185" s="2162"/>
      <c r="AQ185" s="808"/>
      <c r="AR185" s="808"/>
      <c r="AS185" s="808"/>
      <c r="AT185" s="808"/>
      <c r="AU185" s="808"/>
      <c r="AV185" s="808"/>
      <c r="AW185" s="808"/>
      <c r="AX185" s="2396"/>
      <c r="AY185" s="3057"/>
      <c r="AZ185" s="3057"/>
      <c r="BA185" s="3057"/>
      <c r="BB185" s="3057"/>
      <c r="BC185" s="3057"/>
      <c r="BD185" s="3057"/>
      <c r="BE185" s="3057"/>
      <c r="BF185" s="3057"/>
      <c r="BG185" s="3057"/>
      <c r="BH185" s="3057"/>
    </row>
    <row r="186" spans="1:60" ht="13.5" customHeight="1">
      <c r="A186" s="3107"/>
      <c r="B186" s="7924" t="s">
        <v>663</v>
      </c>
      <c r="C186" s="7924"/>
      <c r="D186" s="878" t="s">
        <v>3196</v>
      </c>
      <c r="E186" s="808"/>
      <c r="F186" s="808"/>
      <c r="G186" s="808"/>
      <c r="H186" s="808"/>
      <c r="I186" s="808"/>
      <c r="J186" s="808"/>
      <c r="K186" s="808"/>
      <c r="L186" s="808"/>
      <c r="M186" s="808"/>
      <c r="N186" s="808"/>
      <c r="O186" s="1128" t="s">
        <v>994</v>
      </c>
      <c r="P186" s="8113" t="str">
        <f>IF(OR(P182="",P185=""),"",P182*P185)</f>
        <v/>
      </c>
      <c r="Q186" s="8114"/>
      <c r="R186" s="8114"/>
      <c r="S186" s="8114"/>
      <c r="T186" s="8114"/>
      <c r="U186" s="8114"/>
      <c r="V186" s="8115"/>
      <c r="W186" s="8113" t="str">
        <f>IF(OR(W182="",W185=""),"",W182*W185)</f>
        <v/>
      </c>
      <c r="X186" s="8114"/>
      <c r="Y186" s="8114"/>
      <c r="Z186" s="8114"/>
      <c r="AA186" s="8114"/>
      <c r="AB186" s="8114"/>
      <c r="AC186" s="8115"/>
      <c r="AD186" s="8113" t="str">
        <f>IF(OR(AD182="",AD185=""),"",AD182*AD185)</f>
        <v/>
      </c>
      <c r="AE186" s="8114"/>
      <c r="AF186" s="8114"/>
      <c r="AG186" s="8114"/>
      <c r="AH186" s="8114"/>
      <c r="AI186" s="8115"/>
      <c r="AJ186" s="7925"/>
      <c r="AK186" s="6970"/>
      <c r="AL186" s="1150"/>
      <c r="AM186" s="808"/>
      <c r="AN186" s="808"/>
      <c r="AO186" s="808"/>
      <c r="AP186" s="2162"/>
      <c r="AQ186" s="808"/>
      <c r="AR186" s="808"/>
      <c r="AS186" s="808"/>
      <c r="AT186" s="808"/>
      <c r="AU186" s="808"/>
      <c r="AV186" s="808"/>
      <c r="AW186" s="808"/>
      <c r="AX186" s="2396"/>
      <c r="AY186" s="3057"/>
      <c r="AZ186" s="3057"/>
      <c r="BA186" s="3057"/>
      <c r="BB186" s="3057"/>
      <c r="BC186" s="3057"/>
      <c r="BD186" s="3057"/>
      <c r="BE186" s="3057"/>
      <c r="BF186" s="3057"/>
      <c r="BG186" s="3057"/>
      <c r="BH186" s="3057"/>
    </row>
    <row r="187" spans="1:60" ht="13.5" customHeight="1">
      <c r="A187" s="3107"/>
      <c r="B187" s="8005">
        <v>4</v>
      </c>
      <c r="C187" s="8005"/>
      <c r="D187" s="878" t="s">
        <v>3197</v>
      </c>
      <c r="E187" s="808"/>
      <c r="F187" s="808"/>
      <c r="G187" s="808"/>
      <c r="H187" s="808"/>
      <c r="I187" s="808"/>
      <c r="J187" s="808"/>
      <c r="K187" s="808"/>
      <c r="L187" s="808"/>
      <c r="M187" s="808"/>
      <c r="N187" s="808"/>
      <c r="O187" s="808"/>
      <c r="P187" s="2217"/>
      <c r="Q187" s="2218"/>
      <c r="R187" s="2218"/>
      <c r="S187" s="2218"/>
      <c r="T187" s="2218"/>
      <c r="U187" s="2218"/>
      <c r="V187" s="2219"/>
      <c r="W187" s="2217"/>
      <c r="X187" s="2218"/>
      <c r="Y187" s="2218"/>
      <c r="Z187" s="2218"/>
      <c r="AA187" s="2218"/>
      <c r="AB187" s="2218"/>
      <c r="AC187" s="2219"/>
      <c r="AD187" s="2217"/>
      <c r="AE187" s="2218"/>
      <c r="AF187" s="2218"/>
      <c r="AG187" s="2218"/>
      <c r="AH187" s="2218"/>
      <c r="AI187" s="2219"/>
      <c r="AJ187" s="7925"/>
      <c r="AK187" s="6970"/>
      <c r="AL187" s="1150"/>
      <c r="AM187" s="808"/>
      <c r="AN187" s="808"/>
      <c r="AO187" s="808"/>
      <c r="AP187" s="2162"/>
      <c r="AQ187" s="808"/>
      <c r="AR187" s="808"/>
      <c r="AS187" s="808"/>
      <c r="AT187" s="808"/>
      <c r="AU187" s="808"/>
      <c r="AV187" s="808"/>
      <c r="AW187" s="808"/>
      <c r="AX187" s="2396"/>
      <c r="AY187" s="3057"/>
      <c r="AZ187" s="3057"/>
      <c r="BA187" s="3057"/>
      <c r="BB187" s="3057"/>
      <c r="BC187" s="3057"/>
      <c r="BD187" s="3057"/>
      <c r="BE187" s="3057"/>
      <c r="BF187" s="3057"/>
      <c r="BG187" s="3057"/>
      <c r="BH187" s="3057"/>
    </row>
    <row r="188" spans="1:60" ht="13.5" customHeight="1">
      <c r="A188" s="3107"/>
      <c r="B188" s="7924" t="s">
        <v>640</v>
      </c>
      <c r="C188" s="7924"/>
      <c r="D188" s="878" t="s">
        <v>3198</v>
      </c>
      <c r="E188" s="808"/>
      <c r="F188" s="808"/>
      <c r="G188" s="808"/>
      <c r="H188" s="808"/>
      <c r="I188" s="808"/>
      <c r="J188" s="808"/>
      <c r="K188" s="808"/>
      <c r="L188" s="808"/>
      <c r="M188" s="808"/>
      <c r="N188" s="808"/>
      <c r="O188" s="808"/>
      <c r="P188" s="2220"/>
      <c r="Q188" s="892"/>
      <c r="R188" s="892"/>
      <c r="S188" s="892"/>
      <c r="T188" s="892"/>
      <c r="U188" s="892"/>
      <c r="V188" s="2221"/>
      <c r="W188" s="892"/>
      <c r="X188" s="892"/>
      <c r="Y188" s="892"/>
      <c r="Z188" s="892"/>
      <c r="AA188" s="892"/>
      <c r="AB188" s="892"/>
      <c r="AC188" s="2221"/>
      <c r="AD188" s="892"/>
      <c r="AE188" s="892"/>
      <c r="AF188" s="892"/>
      <c r="AG188" s="892"/>
      <c r="AH188" s="892"/>
      <c r="AI188" s="2221"/>
      <c r="AJ188" s="7925"/>
      <c r="AK188" s="6970"/>
      <c r="AL188" s="1150"/>
      <c r="AM188" s="808"/>
      <c r="AN188" s="808"/>
      <c r="AO188" s="808"/>
      <c r="AP188" s="2162"/>
      <c r="AQ188" s="808"/>
      <c r="AR188" s="808"/>
      <c r="AS188" s="808"/>
      <c r="AT188" s="808"/>
      <c r="AU188" s="808"/>
      <c r="AV188" s="808"/>
      <c r="AW188" s="808"/>
      <c r="AX188" s="2396"/>
      <c r="AY188" s="3057"/>
      <c r="AZ188" s="3057"/>
      <c r="BA188" s="3057"/>
      <c r="BB188" s="3057"/>
      <c r="BC188" s="3057"/>
      <c r="BD188" s="3057"/>
      <c r="BE188" s="3057"/>
      <c r="BF188" s="3057"/>
      <c r="BG188" s="3057"/>
      <c r="BH188" s="3057"/>
    </row>
    <row r="189" spans="1:60">
      <c r="A189" s="3107"/>
      <c r="B189" s="2996"/>
      <c r="C189" s="2996"/>
      <c r="D189" s="878" t="s">
        <v>3199</v>
      </c>
      <c r="E189" s="808"/>
      <c r="F189" s="808"/>
      <c r="G189" s="808"/>
      <c r="H189" s="808"/>
      <c r="I189" s="808"/>
      <c r="J189" s="808"/>
      <c r="K189" s="808"/>
      <c r="L189" s="808"/>
      <c r="M189" s="808"/>
      <c r="N189" s="808"/>
      <c r="O189" s="1128" t="s">
        <v>939</v>
      </c>
      <c r="P189" s="7963"/>
      <c r="Q189" s="7964"/>
      <c r="R189" s="7964"/>
      <c r="S189" s="7964"/>
      <c r="T189" s="7964"/>
      <c r="U189" s="7964"/>
      <c r="V189" s="7965"/>
      <c r="W189" s="7963"/>
      <c r="X189" s="7964"/>
      <c r="Y189" s="7964"/>
      <c r="Z189" s="7964"/>
      <c r="AA189" s="7964"/>
      <c r="AB189" s="7964"/>
      <c r="AC189" s="7965"/>
      <c r="AD189" s="7963"/>
      <c r="AE189" s="7964"/>
      <c r="AF189" s="7964"/>
      <c r="AG189" s="7964"/>
      <c r="AH189" s="7964"/>
      <c r="AI189" s="7965"/>
      <c r="AJ189" s="7925"/>
      <c r="AK189" s="6970"/>
      <c r="AL189" s="1150"/>
      <c r="AM189" s="808"/>
      <c r="AN189" s="808"/>
      <c r="AO189" s="808"/>
      <c r="AP189" s="2162"/>
      <c r="AQ189" s="808"/>
      <c r="AR189" s="808"/>
      <c r="AS189" s="808"/>
      <c r="AT189" s="808"/>
      <c r="AU189" s="808"/>
      <c r="AV189" s="808"/>
      <c r="AW189" s="808"/>
      <c r="AX189" s="2396"/>
      <c r="AY189" s="3057"/>
      <c r="AZ189" s="3057"/>
      <c r="BA189" s="3057"/>
      <c r="BB189" s="3057"/>
      <c r="BC189" s="3057"/>
      <c r="BD189" s="3057"/>
      <c r="BE189" s="3057"/>
      <c r="BF189" s="3057"/>
      <c r="BG189" s="3057"/>
      <c r="BH189" s="3057"/>
    </row>
    <row r="190" spans="1:60" s="2114" customFormat="1" ht="15">
      <c r="A190" s="3107"/>
      <c r="B190" s="7924" t="s">
        <v>644</v>
      </c>
      <c r="C190" s="7924"/>
      <c r="D190" s="878" t="s">
        <v>3200</v>
      </c>
      <c r="E190" s="808"/>
      <c r="F190" s="808"/>
      <c r="G190" s="808"/>
      <c r="H190" s="808"/>
      <c r="I190" s="808"/>
      <c r="J190" s="808"/>
      <c r="K190" s="808"/>
      <c r="L190" s="808"/>
      <c r="M190" s="808"/>
      <c r="N190" s="808"/>
      <c r="O190" s="1128" t="s">
        <v>994</v>
      </c>
      <c r="P190" s="7963"/>
      <c r="Q190" s="7964"/>
      <c r="R190" s="7964"/>
      <c r="S190" s="7964"/>
      <c r="T190" s="7964"/>
      <c r="U190" s="7964"/>
      <c r="V190" s="7965"/>
      <c r="W190" s="7963"/>
      <c r="X190" s="7964"/>
      <c r="Y190" s="7964"/>
      <c r="Z190" s="7964"/>
      <c r="AA190" s="7964"/>
      <c r="AB190" s="7964"/>
      <c r="AC190" s="7965"/>
      <c r="AD190" s="7963"/>
      <c r="AE190" s="7964"/>
      <c r="AF190" s="7964"/>
      <c r="AG190" s="7964"/>
      <c r="AH190" s="7964"/>
      <c r="AI190" s="7965"/>
      <c r="AJ190" s="7925"/>
      <c r="AK190" s="6970"/>
      <c r="AL190" s="1150"/>
      <c r="AM190" s="808"/>
      <c r="AN190" s="808"/>
      <c r="AO190" s="808"/>
      <c r="AP190" s="2162"/>
      <c r="AQ190" s="808"/>
      <c r="AR190" s="808"/>
      <c r="AS190" s="808"/>
      <c r="AT190" s="808"/>
      <c r="AU190" s="808"/>
      <c r="AV190" s="808"/>
      <c r="AW190" s="808"/>
      <c r="AX190" s="2396"/>
      <c r="AY190" s="3057"/>
      <c r="AZ190" s="3057"/>
      <c r="BA190" s="3057"/>
      <c r="BB190" s="3057"/>
      <c r="BC190" s="3057"/>
      <c r="BD190" s="3057"/>
      <c r="BE190" s="3057"/>
      <c r="BF190" s="3057"/>
      <c r="BG190" s="3057"/>
      <c r="BH190" s="3057"/>
    </row>
    <row r="191" spans="1:60" s="2114" customFormat="1" ht="12" customHeight="1">
      <c r="A191" s="3107"/>
      <c r="B191" s="8005">
        <v>5</v>
      </c>
      <c r="C191" s="8005"/>
      <c r="D191" s="878" t="s">
        <v>3201</v>
      </c>
      <c r="E191" s="808"/>
      <c r="F191" s="808"/>
      <c r="G191" s="808"/>
      <c r="H191" s="808"/>
      <c r="I191" s="808"/>
      <c r="J191" s="808"/>
      <c r="K191" s="808"/>
      <c r="L191" s="808"/>
      <c r="M191" s="808"/>
      <c r="N191" s="808"/>
      <c r="O191" s="1128" t="s">
        <v>914</v>
      </c>
      <c r="P191" s="7963"/>
      <c r="Q191" s="7964"/>
      <c r="R191" s="7964"/>
      <c r="S191" s="7964"/>
      <c r="T191" s="7964"/>
      <c r="U191" s="7964"/>
      <c r="V191" s="7965"/>
      <c r="W191" s="7963"/>
      <c r="X191" s="7964"/>
      <c r="Y191" s="7964"/>
      <c r="Z191" s="7964"/>
      <c r="AA191" s="7964"/>
      <c r="AB191" s="7964"/>
      <c r="AC191" s="7965"/>
      <c r="AD191" s="7963"/>
      <c r="AE191" s="7964"/>
      <c r="AF191" s="7964"/>
      <c r="AG191" s="7964"/>
      <c r="AH191" s="7964"/>
      <c r="AI191" s="7965"/>
      <c r="AJ191" s="7925"/>
      <c r="AK191" s="6970"/>
      <c r="AL191" s="1150"/>
      <c r="AM191" s="808"/>
      <c r="AN191" s="808"/>
      <c r="AO191" s="808"/>
      <c r="AP191" s="2162"/>
      <c r="AQ191" s="2162"/>
      <c r="AR191" s="2162"/>
      <c r="AS191" s="2162"/>
      <c r="AT191" s="2162"/>
      <c r="AU191" s="2162"/>
      <c r="AV191" s="808"/>
      <c r="AW191" s="808"/>
      <c r="AX191" s="2396"/>
      <c r="AY191" s="3057"/>
      <c r="AZ191" s="3057"/>
      <c r="BA191" s="3057"/>
      <c r="BB191" s="3057"/>
      <c r="BC191" s="3057"/>
      <c r="BD191" s="3057"/>
      <c r="BE191" s="3057"/>
      <c r="BF191" s="3057"/>
      <c r="BG191" s="3057"/>
      <c r="BH191" s="3057"/>
    </row>
    <row r="192" spans="1:60" s="2114" customFormat="1" ht="12" customHeight="1">
      <c r="A192" s="3107"/>
      <c r="B192" s="8005">
        <v>6</v>
      </c>
      <c r="C192" s="8005"/>
      <c r="D192" s="892" t="s">
        <v>3202</v>
      </c>
      <c r="E192" s="808"/>
      <c r="F192" s="808"/>
      <c r="G192" s="808"/>
      <c r="H192" s="808"/>
      <c r="I192" s="808"/>
      <c r="J192" s="808"/>
      <c r="K192" s="808"/>
      <c r="L192" s="808"/>
      <c r="M192" s="808"/>
      <c r="N192" s="808"/>
      <c r="O192" s="1128" t="s">
        <v>914</v>
      </c>
      <c r="P192" s="8113">
        <f>SUM(P176,P186,P189,P190,P191)</f>
        <v>0</v>
      </c>
      <c r="Q192" s="8114"/>
      <c r="R192" s="8114"/>
      <c r="S192" s="8114"/>
      <c r="T192" s="8114"/>
      <c r="U192" s="8114"/>
      <c r="V192" s="8115"/>
      <c r="W192" s="8113">
        <f>SUM(W176,W186,W189,W190,W191)</f>
        <v>0</v>
      </c>
      <c r="X192" s="8114"/>
      <c r="Y192" s="8114"/>
      <c r="Z192" s="8114"/>
      <c r="AA192" s="8114"/>
      <c r="AB192" s="8114"/>
      <c r="AC192" s="8115"/>
      <c r="AD192" s="8113">
        <f>SUM(AD176,AD186,AD189,AD190,AD191)</f>
        <v>0</v>
      </c>
      <c r="AE192" s="8114"/>
      <c r="AF192" s="8114"/>
      <c r="AG192" s="8114"/>
      <c r="AH192" s="8114"/>
      <c r="AI192" s="8115"/>
      <c r="AJ192" s="7930">
        <v>6</v>
      </c>
      <c r="AK192" s="7294"/>
      <c r="AL192" s="7955" t="str">
        <f>IF(AQ192&lt;&gt;"",ROUND(AQ192,0),IF(AO151=0,"",ROUND(SUM(P192,W192,AD192),0)))</f>
        <v/>
      </c>
      <c r="AM192" s="7956"/>
      <c r="AN192" s="7956"/>
      <c r="AO192" s="7956"/>
      <c r="AP192" s="2162"/>
      <c r="AQ192" s="7914"/>
      <c r="AR192" s="7915"/>
      <c r="AS192" s="7915"/>
      <c r="AT192" s="7915"/>
      <c r="AU192" s="2162"/>
      <c r="AV192" s="808"/>
      <c r="AW192" s="808"/>
      <c r="AX192" s="2396"/>
      <c r="AY192" s="3057"/>
      <c r="AZ192" s="3057"/>
      <c r="BA192" s="3057"/>
      <c r="BB192" s="3057"/>
      <c r="BC192" s="3057"/>
      <c r="BD192" s="3057"/>
      <c r="BE192" s="3057"/>
      <c r="BF192" s="3057"/>
      <c r="BG192" s="3057"/>
      <c r="BH192" s="3057"/>
    </row>
    <row r="193" spans="1:60" s="2114" customFormat="1" ht="15" customHeight="1" thickBot="1">
      <c r="A193" s="3107"/>
      <c r="B193" s="7901">
        <v>7</v>
      </c>
      <c r="C193" s="7901"/>
      <c r="D193" s="5018" t="s">
        <v>3203</v>
      </c>
      <c r="E193" s="1142"/>
      <c r="F193" s="1142"/>
      <c r="G193" s="1142"/>
      <c r="H193" s="1142"/>
      <c r="I193" s="1142"/>
      <c r="J193" s="1142"/>
      <c r="K193" s="1142"/>
      <c r="L193" s="1142"/>
      <c r="M193" s="1142"/>
      <c r="N193" s="1142"/>
      <c r="O193" s="1142"/>
      <c r="P193" s="1142"/>
      <c r="Q193" s="1142"/>
      <c r="R193" s="1142"/>
      <c r="S193" s="1142"/>
      <c r="T193" s="1142"/>
      <c r="U193" s="1142"/>
      <c r="V193" s="1142"/>
      <c r="W193" s="1142"/>
      <c r="X193" s="1142"/>
      <c r="Y193" s="1142"/>
      <c r="Z193" s="1142"/>
      <c r="AA193" s="1142"/>
      <c r="AB193" s="1142"/>
      <c r="AC193" s="1142"/>
      <c r="AD193" s="1142"/>
      <c r="AE193" s="1142"/>
      <c r="AF193" s="1142"/>
      <c r="AG193" s="1142"/>
      <c r="AH193" s="1142"/>
      <c r="AI193" s="2335" t="s">
        <v>930</v>
      </c>
      <c r="AJ193" s="7523">
        <v>7</v>
      </c>
      <c r="AK193" s="7292"/>
      <c r="AL193" s="8116" t="str">
        <f>IF(AQ193&lt;&gt;"",ROUND(AQ193,0),IF(AO151=0,"",ROUND(SUM(AL167,-AL192),0)))</f>
        <v/>
      </c>
      <c r="AM193" s="8117"/>
      <c r="AN193" s="8117"/>
      <c r="AO193" s="8117"/>
      <c r="AP193" s="2162"/>
      <c r="AQ193" s="7914"/>
      <c r="AR193" s="7915"/>
      <c r="AS193" s="7915"/>
      <c r="AT193" s="7915"/>
      <c r="AU193" s="2162"/>
      <c r="AV193" s="808"/>
      <c r="AW193" s="808"/>
      <c r="AX193" s="2396"/>
      <c r="AY193" s="3057"/>
      <c r="AZ193" s="3057"/>
      <c r="BA193" s="3057"/>
      <c r="BB193" s="3057"/>
      <c r="BC193" s="3057"/>
      <c r="BD193" s="3057"/>
      <c r="BE193" s="3057"/>
      <c r="BF193" s="3057"/>
      <c r="BG193" s="3057"/>
      <c r="BH193" s="3057"/>
    </row>
    <row r="194" spans="1:60" s="2114" customFormat="1" ht="18">
      <c r="A194" s="3109"/>
      <c r="B194" s="7981" t="s">
        <v>982</v>
      </c>
      <c r="C194" s="7981"/>
      <c r="D194" s="7982"/>
      <c r="E194" s="8118" t="s">
        <v>3204</v>
      </c>
      <c r="F194" s="8119"/>
      <c r="G194" s="8119"/>
      <c r="H194" s="8119"/>
      <c r="I194" s="8119"/>
      <c r="J194" s="8119"/>
      <c r="K194" s="8119"/>
      <c r="L194" s="8119"/>
      <c r="M194" s="8119"/>
      <c r="N194" s="8119"/>
      <c r="O194" s="8119"/>
      <c r="P194" s="8119"/>
      <c r="Q194" s="8119"/>
      <c r="R194" s="8119"/>
      <c r="S194" s="8119"/>
      <c r="T194" s="8119"/>
      <c r="U194" s="8119"/>
      <c r="V194" s="8119"/>
      <c r="W194" s="8119"/>
      <c r="X194" s="8119"/>
      <c r="Y194" s="8119"/>
      <c r="Z194" s="8119"/>
      <c r="AA194" s="8119"/>
      <c r="AB194" s="8119"/>
      <c r="AC194" s="8119"/>
      <c r="AD194" s="8119"/>
      <c r="AE194" s="8119"/>
      <c r="AF194" s="8119"/>
      <c r="AG194" s="8119"/>
      <c r="AH194" s="8119"/>
      <c r="AI194" s="8119"/>
      <c r="AJ194" s="8119"/>
      <c r="AK194" s="8119"/>
      <c r="AL194" s="8119"/>
      <c r="AM194" s="8119"/>
      <c r="AN194" s="8119"/>
      <c r="AO194" s="8119"/>
      <c r="AP194" s="2162"/>
      <c r="AQ194" s="2162"/>
      <c r="AR194" s="2162"/>
      <c r="AS194" s="2162"/>
      <c r="AT194" s="2162"/>
      <c r="AU194" s="2162"/>
      <c r="AV194" s="1108"/>
      <c r="AW194" s="1108"/>
      <c r="AX194" s="2396"/>
      <c r="AY194" s="3057"/>
      <c r="AZ194" s="3057"/>
      <c r="BA194" s="3057"/>
      <c r="BB194" s="3057"/>
      <c r="BC194" s="3057"/>
      <c r="BD194" s="3057"/>
      <c r="BE194" s="3057"/>
      <c r="BF194" s="3057"/>
      <c r="BG194" s="3057"/>
      <c r="BH194" s="3057"/>
    </row>
    <row r="195" spans="1:60" ht="8.25" customHeight="1">
      <c r="A195" s="3109"/>
      <c r="B195" s="8021" t="s">
        <v>3205</v>
      </c>
      <c r="C195" s="8006" t="s">
        <v>3206</v>
      </c>
      <c r="D195" s="7397"/>
      <c r="E195" s="7397"/>
      <c r="F195" s="7397"/>
      <c r="G195" s="7398"/>
      <c r="H195" s="8027" t="s">
        <v>3207</v>
      </c>
      <c r="I195" s="8028"/>
      <c r="J195" s="8028"/>
      <c r="K195" s="8028"/>
      <c r="L195" s="8028"/>
      <c r="M195" s="8028"/>
      <c r="N195" s="8028"/>
      <c r="O195" s="8028"/>
      <c r="P195" s="8028"/>
      <c r="Q195" s="8028"/>
      <c r="R195" s="8028"/>
      <c r="S195" s="8028"/>
      <c r="T195" s="8028"/>
      <c r="U195" s="8028"/>
      <c r="V195" s="8028"/>
      <c r="W195" s="8028"/>
      <c r="X195" s="8028"/>
      <c r="Y195" s="8028"/>
      <c r="Z195" s="8028"/>
      <c r="AA195" s="8028"/>
      <c r="AB195" s="8028"/>
      <c r="AC195" s="8028"/>
      <c r="AD195" s="8028"/>
      <c r="AE195" s="8028"/>
      <c r="AF195" s="8028"/>
      <c r="AG195" s="8028"/>
      <c r="AH195" s="8028"/>
      <c r="AI195" s="8028"/>
      <c r="AJ195" s="8028"/>
      <c r="AK195" s="8028"/>
      <c r="AL195" s="8028"/>
      <c r="AM195" s="8028"/>
      <c r="AN195" s="8028"/>
      <c r="AO195" s="8028"/>
      <c r="AP195" s="2162"/>
      <c r="AQ195" s="1108"/>
      <c r="AR195" s="1108"/>
      <c r="AS195" s="1108"/>
      <c r="AT195" s="1108"/>
      <c r="AU195" s="1108"/>
      <c r="AV195" s="1108"/>
      <c r="AW195" s="1108"/>
      <c r="AX195" s="2396"/>
      <c r="AY195" s="3057"/>
      <c r="AZ195" s="3057"/>
      <c r="BA195" s="3057"/>
      <c r="BB195" s="3057"/>
      <c r="BC195" s="3057"/>
      <c r="BD195" s="3057"/>
      <c r="BE195" s="3057"/>
      <c r="BF195" s="3057"/>
      <c r="BG195" s="3057"/>
      <c r="BH195" s="3057"/>
    </row>
    <row r="196" spans="1:60" ht="15">
      <c r="A196" s="3109"/>
      <c r="B196" s="8022"/>
      <c r="C196" s="7412"/>
      <c r="D196" s="7413"/>
      <c r="E196" s="7413"/>
      <c r="F196" s="7413"/>
      <c r="G196" s="7305"/>
      <c r="H196" s="8029"/>
      <c r="I196" s="8030"/>
      <c r="J196" s="8030"/>
      <c r="K196" s="8030"/>
      <c r="L196" s="8030"/>
      <c r="M196" s="8030"/>
      <c r="N196" s="8030"/>
      <c r="O196" s="8030"/>
      <c r="P196" s="8030"/>
      <c r="Q196" s="8030"/>
      <c r="R196" s="8030"/>
      <c r="S196" s="8030"/>
      <c r="T196" s="8030"/>
      <c r="U196" s="8030"/>
      <c r="V196" s="8030"/>
      <c r="W196" s="8030"/>
      <c r="X196" s="8030"/>
      <c r="Y196" s="8030"/>
      <c r="Z196" s="8030"/>
      <c r="AA196" s="8030"/>
      <c r="AB196" s="8030"/>
      <c r="AC196" s="8030"/>
      <c r="AD196" s="8030"/>
      <c r="AE196" s="8030"/>
      <c r="AF196" s="8030"/>
      <c r="AG196" s="8030"/>
      <c r="AH196" s="8030"/>
      <c r="AI196" s="8030"/>
      <c r="AJ196" s="8030"/>
      <c r="AK196" s="8030"/>
      <c r="AL196" s="8030"/>
      <c r="AM196" s="8030"/>
      <c r="AN196" s="8030"/>
      <c r="AO196" s="8030"/>
      <c r="AP196" s="2162"/>
      <c r="AQ196" s="1108"/>
      <c r="AR196" s="1108"/>
      <c r="AS196" s="1108"/>
      <c r="AT196" s="1108"/>
      <c r="AU196" s="1108"/>
      <c r="AV196" s="1108"/>
      <c r="AW196" s="1108"/>
      <c r="AX196" s="2396"/>
      <c r="AY196" s="3057"/>
      <c r="AZ196" s="3057"/>
      <c r="BA196" s="3057"/>
      <c r="BB196" s="3057"/>
      <c r="BC196" s="3057"/>
      <c r="BD196" s="3057"/>
      <c r="BE196" s="3057"/>
      <c r="BF196" s="3057"/>
      <c r="BG196" s="3057"/>
      <c r="BH196" s="3057"/>
    </row>
    <row r="197" spans="1:60" ht="8.25" customHeight="1">
      <c r="A197" s="3109"/>
      <c r="B197" s="8022"/>
      <c r="C197" s="7412"/>
      <c r="D197" s="7413"/>
      <c r="E197" s="7413"/>
      <c r="F197" s="7413"/>
      <c r="G197" s="7305"/>
      <c r="H197" s="8031"/>
      <c r="I197" s="8032"/>
      <c r="J197" s="8032"/>
      <c r="K197" s="8032"/>
      <c r="L197" s="8032"/>
      <c r="M197" s="8032"/>
      <c r="N197" s="8032"/>
      <c r="O197" s="8032"/>
      <c r="P197" s="8032"/>
      <c r="Q197" s="8032"/>
      <c r="R197" s="8032"/>
      <c r="S197" s="8032"/>
      <c r="T197" s="8032"/>
      <c r="U197" s="8032"/>
      <c r="V197" s="8032"/>
      <c r="W197" s="8032"/>
      <c r="X197" s="8032"/>
      <c r="Y197" s="8032"/>
      <c r="Z197" s="8032"/>
      <c r="AA197" s="8032"/>
      <c r="AB197" s="8032"/>
      <c r="AC197" s="8032"/>
      <c r="AD197" s="8032"/>
      <c r="AE197" s="8032"/>
      <c r="AF197" s="8032"/>
      <c r="AG197" s="8032"/>
      <c r="AH197" s="8032"/>
      <c r="AI197" s="8032"/>
      <c r="AJ197" s="8032"/>
      <c r="AK197" s="8032"/>
      <c r="AL197" s="8032"/>
      <c r="AM197" s="8032"/>
      <c r="AN197" s="8032"/>
      <c r="AO197" s="8032"/>
      <c r="AP197" s="2162"/>
      <c r="AQ197" s="1108"/>
      <c r="AR197" s="1108"/>
      <c r="AS197" s="1108"/>
      <c r="AT197" s="1108"/>
      <c r="AU197" s="1108"/>
      <c r="AV197" s="1108"/>
      <c r="AW197" s="1108"/>
      <c r="AX197" s="2396"/>
      <c r="AY197" s="3057"/>
      <c r="AZ197" s="3057"/>
      <c r="BA197" s="3057"/>
      <c r="BB197" s="3057"/>
      <c r="BC197" s="3057"/>
      <c r="BD197" s="3057"/>
      <c r="BE197" s="3057"/>
      <c r="BF197" s="3057"/>
      <c r="BG197" s="3057"/>
      <c r="BH197" s="3057"/>
    </row>
    <row r="198" spans="1:60" ht="12" customHeight="1">
      <c r="A198" s="3109"/>
      <c r="B198" s="8022"/>
      <c r="C198" s="2208">
        <f>IF(E198&lt;&gt;"",1,0)</f>
        <v>0</v>
      </c>
      <c r="D198" s="1376" t="s">
        <v>3208</v>
      </c>
      <c r="E198" s="811"/>
      <c r="F198" s="1410" t="s">
        <v>3209</v>
      </c>
      <c r="G198" s="2195"/>
      <c r="H198" s="7373" t="s">
        <v>3210</v>
      </c>
      <c r="I198" s="7374"/>
      <c r="J198" s="7374"/>
      <c r="K198" s="7374"/>
      <c r="L198" s="7374"/>
      <c r="M198" s="7374"/>
      <c r="N198" s="7374"/>
      <c r="O198" s="7374"/>
      <c r="P198" s="7374"/>
      <c r="Q198" s="7374"/>
      <c r="R198" s="7374"/>
      <c r="S198" s="7374"/>
      <c r="T198" s="7374"/>
      <c r="U198" s="7374"/>
      <c r="V198" s="7374"/>
      <c r="W198" s="7468"/>
      <c r="X198" s="7373" t="s">
        <v>3211</v>
      </c>
      <c r="Y198" s="7345"/>
      <c r="Z198" s="7345"/>
      <c r="AA198" s="7345"/>
      <c r="AB198" s="7345"/>
      <c r="AC198" s="7345"/>
      <c r="AD198" s="7345"/>
      <c r="AE198" s="7345"/>
      <c r="AF198" s="7345"/>
      <c r="AG198" s="7345"/>
      <c r="AH198" s="7345"/>
      <c r="AI198" s="7345"/>
      <c r="AJ198" s="7345"/>
      <c r="AK198" s="7345"/>
      <c r="AL198" s="7345"/>
      <c r="AM198" s="7345"/>
      <c r="AN198" s="7345"/>
      <c r="AO198" s="7345"/>
      <c r="AP198" s="2162"/>
      <c r="AQ198" s="1108"/>
      <c r="AR198" s="1108"/>
      <c r="AS198" s="1108"/>
      <c r="AT198" s="1108"/>
      <c r="AU198" s="1108"/>
      <c r="AV198" s="1108"/>
      <c r="AW198" s="1108"/>
      <c r="AX198" s="2396"/>
      <c r="AY198" s="3057"/>
      <c r="AZ198" s="3057"/>
      <c r="BA198" s="3057"/>
      <c r="BB198" s="3057"/>
      <c r="BC198" s="3057"/>
      <c r="BD198" s="3057"/>
      <c r="BE198" s="3057"/>
      <c r="BF198" s="3057"/>
      <c r="BG198" s="3057"/>
      <c r="BH198" s="3057"/>
    </row>
    <row r="199" spans="1:60" ht="7.5" customHeight="1">
      <c r="A199" s="3107"/>
      <c r="B199" s="8022"/>
      <c r="C199" s="2209"/>
      <c r="D199" s="892"/>
      <c r="E199" s="808"/>
      <c r="F199" s="808"/>
      <c r="G199" s="1151"/>
      <c r="H199" s="7377"/>
      <c r="I199" s="7378"/>
      <c r="J199" s="7378"/>
      <c r="K199" s="7378"/>
      <c r="L199" s="7378"/>
      <c r="M199" s="7378"/>
      <c r="N199" s="7378"/>
      <c r="O199" s="7378"/>
      <c r="P199" s="7378"/>
      <c r="Q199" s="7378"/>
      <c r="R199" s="7378"/>
      <c r="S199" s="7378"/>
      <c r="T199" s="7378"/>
      <c r="U199" s="7378"/>
      <c r="V199" s="7378"/>
      <c r="W199" s="7470"/>
      <c r="X199" s="8033"/>
      <c r="Y199" s="8034"/>
      <c r="Z199" s="8034"/>
      <c r="AA199" s="8034"/>
      <c r="AB199" s="8034"/>
      <c r="AC199" s="8034"/>
      <c r="AD199" s="8034"/>
      <c r="AE199" s="8034"/>
      <c r="AF199" s="8034"/>
      <c r="AG199" s="8034"/>
      <c r="AH199" s="8034"/>
      <c r="AI199" s="8034"/>
      <c r="AJ199" s="8034"/>
      <c r="AK199" s="8034"/>
      <c r="AL199" s="8034"/>
      <c r="AM199" s="8034"/>
      <c r="AN199" s="8034"/>
      <c r="AO199" s="8034"/>
      <c r="AP199" s="2162"/>
      <c r="AQ199" s="808"/>
      <c r="AR199" s="808"/>
      <c r="AS199" s="808"/>
      <c r="AT199" s="808"/>
      <c r="AU199" s="808"/>
      <c r="AV199" s="808"/>
      <c r="AW199" s="808"/>
      <c r="AX199" s="2396"/>
      <c r="AY199" s="3057"/>
      <c r="AZ199" s="3057"/>
      <c r="BA199" s="3057"/>
      <c r="BB199" s="3057"/>
      <c r="BC199" s="3057"/>
      <c r="BD199" s="3057"/>
      <c r="BE199" s="3057"/>
      <c r="BF199" s="3057"/>
      <c r="BG199" s="3057"/>
      <c r="BH199" s="3057"/>
    </row>
    <row r="200" spans="1:60" ht="9.75" customHeight="1">
      <c r="A200" s="3107"/>
      <c r="B200" s="8022"/>
      <c r="C200" s="2208">
        <f>IF(E200&lt;&gt;"",1,0)</f>
        <v>0</v>
      </c>
      <c r="D200" s="1040" t="s">
        <v>3212</v>
      </c>
      <c r="E200" s="811"/>
      <c r="F200" s="1410" t="s">
        <v>3213</v>
      </c>
      <c r="G200" s="2197"/>
      <c r="H200" s="7396" t="s">
        <v>3214</v>
      </c>
      <c r="I200" s="7397"/>
      <c r="J200" s="7397"/>
      <c r="K200" s="7397"/>
      <c r="L200" s="7397"/>
      <c r="M200" s="7397"/>
      <c r="N200" s="7397"/>
      <c r="O200" s="7397"/>
      <c r="P200" s="7397"/>
      <c r="Q200" s="7397"/>
      <c r="R200" s="7397"/>
      <c r="S200" s="7398"/>
      <c r="T200" s="7396" t="s">
        <v>3215</v>
      </c>
      <c r="U200" s="7397"/>
      <c r="V200" s="7397"/>
      <c r="W200" s="7398"/>
      <c r="X200" s="7396" t="s">
        <v>3214</v>
      </c>
      <c r="Y200" s="7397"/>
      <c r="Z200" s="7397"/>
      <c r="AA200" s="7397"/>
      <c r="AB200" s="7397"/>
      <c r="AC200" s="7397"/>
      <c r="AD200" s="7397"/>
      <c r="AE200" s="7397"/>
      <c r="AF200" s="7397"/>
      <c r="AG200" s="7397"/>
      <c r="AH200" s="7398"/>
      <c r="AI200" s="7396" t="s">
        <v>3216</v>
      </c>
      <c r="AJ200" s="7397"/>
      <c r="AK200" s="7397"/>
      <c r="AL200" s="7398"/>
      <c r="AM200" s="7396" t="s">
        <v>3217</v>
      </c>
      <c r="AN200" s="7992"/>
      <c r="AO200" s="7992"/>
      <c r="AP200" s="2162"/>
      <c r="AQ200" s="808"/>
      <c r="AR200" s="808"/>
      <c r="AS200" s="808"/>
      <c r="AT200" s="808"/>
      <c r="AU200" s="808"/>
      <c r="AV200" s="808"/>
      <c r="AW200" s="808"/>
      <c r="AX200" s="2396"/>
      <c r="AY200" s="3057"/>
      <c r="AZ200" s="3057"/>
      <c r="BA200" s="3057"/>
      <c r="BB200" s="3057"/>
      <c r="BC200" s="3057"/>
      <c r="BD200" s="3057"/>
      <c r="BE200" s="3057"/>
      <c r="BF200" s="3057"/>
      <c r="BG200" s="3057"/>
      <c r="BH200" s="3057"/>
    </row>
    <row r="201" spans="1:60" ht="6.75" customHeight="1">
      <c r="A201" s="3107"/>
      <c r="B201" s="8023"/>
      <c r="C201" s="2198"/>
      <c r="D201" s="1138"/>
      <c r="E201" s="1138"/>
      <c r="F201" s="1138"/>
      <c r="G201" s="2199"/>
      <c r="H201" s="7402"/>
      <c r="I201" s="7403"/>
      <c r="J201" s="7403"/>
      <c r="K201" s="7403"/>
      <c r="L201" s="7403"/>
      <c r="M201" s="7403"/>
      <c r="N201" s="7403"/>
      <c r="O201" s="7403"/>
      <c r="P201" s="7403"/>
      <c r="Q201" s="7403"/>
      <c r="R201" s="7403"/>
      <c r="S201" s="7404"/>
      <c r="T201" s="7399"/>
      <c r="U201" s="7400"/>
      <c r="V201" s="7400"/>
      <c r="W201" s="7401"/>
      <c r="X201" s="7402"/>
      <c r="Y201" s="7403"/>
      <c r="Z201" s="7403"/>
      <c r="AA201" s="7403"/>
      <c r="AB201" s="7403"/>
      <c r="AC201" s="7403"/>
      <c r="AD201" s="7403"/>
      <c r="AE201" s="7403"/>
      <c r="AF201" s="7403"/>
      <c r="AG201" s="7403"/>
      <c r="AH201" s="7404"/>
      <c r="AI201" s="7399"/>
      <c r="AJ201" s="7400"/>
      <c r="AK201" s="7400"/>
      <c r="AL201" s="7401"/>
      <c r="AM201" s="7993"/>
      <c r="AN201" s="7994"/>
      <c r="AO201" s="7994"/>
      <c r="AP201" s="2162"/>
      <c r="AQ201" s="808"/>
      <c r="AR201" s="808"/>
      <c r="AS201" s="808"/>
      <c r="AT201" s="808"/>
      <c r="AU201" s="808"/>
      <c r="AV201" s="808"/>
      <c r="AW201" s="808"/>
      <c r="AX201" s="2396"/>
      <c r="AY201" s="3057"/>
      <c r="AZ201" s="3057"/>
      <c r="BA201" s="3057"/>
      <c r="BB201" s="3057"/>
      <c r="BC201" s="3057"/>
      <c r="BD201" s="3057"/>
      <c r="BE201" s="3057"/>
      <c r="BF201" s="3057"/>
      <c r="BG201" s="3057"/>
      <c r="BH201" s="3057"/>
    </row>
    <row r="202" spans="1:60" ht="12.75" customHeight="1">
      <c r="A202" s="3107"/>
      <c r="B202" s="2194"/>
      <c r="C202" s="8120" t="s">
        <v>3301</v>
      </c>
      <c r="D202" s="8048"/>
      <c r="E202" s="8048"/>
      <c r="F202" s="8048"/>
      <c r="G202" s="8049"/>
      <c r="H202" s="7396" t="s">
        <v>3219</v>
      </c>
      <c r="I202" s="7397"/>
      <c r="J202" s="7397"/>
      <c r="K202" s="7396" t="s">
        <v>3220</v>
      </c>
      <c r="L202" s="7397"/>
      <c r="M202" s="7397"/>
      <c r="N202" s="7397"/>
      <c r="O202" s="7396" t="s">
        <v>3221</v>
      </c>
      <c r="P202" s="7397"/>
      <c r="Q202" s="7397"/>
      <c r="R202" s="7397"/>
      <c r="S202" s="7998"/>
      <c r="T202" s="7399"/>
      <c r="U202" s="7400"/>
      <c r="V202" s="7400"/>
      <c r="W202" s="7401"/>
      <c r="X202" s="7396" t="s">
        <v>3222</v>
      </c>
      <c r="Y202" s="7397"/>
      <c r="Z202" s="7397"/>
      <c r="AA202" s="7396" t="s">
        <v>3223</v>
      </c>
      <c r="AB202" s="7397"/>
      <c r="AC202" s="7397"/>
      <c r="AD202" s="7397"/>
      <c r="AE202" s="7396" t="s">
        <v>3224</v>
      </c>
      <c r="AF202" s="7997"/>
      <c r="AG202" s="7997"/>
      <c r="AH202" s="7998"/>
      <c r="AI202" s="7399"/>
      <c r="AJ202" s="7400"/>
      <c r="AK202" s="7400"/>
      <c r="AL202" s="7401"/>
      <c r="AM202" s="7993"/>
      <c r="AN202" s="7994"/>
      <c r="AO202" s="7994"/>
      <c r="AP202" s="2162"/>
      <c r="AQ202" s="808"/>
      <c r="AR202" s="808"/>
      <c r="AS202" s="808"/>
      <c r="AT202" s="808"/>
      <c r="AU202" s="808"/>
      <c r="AV202" s="808"/>
      <c r="AW202" s="808"/>
      <c r="AX202" s="2396"/>
      <c r="AY202" s="3057"/>
      <c r="AZ202" s="3057"/>
      <c r="BA202" s="3057"/>
      <c r="BB202" s="3057"/>
      <c r="BC202" s="3057"/>
      <c r="BD202" s="3057"/>
      <c r="BE202" s="3057"/>
      <c r="BF202" s="3057"/>
      <c r="BG202" s="3057"/>
      <c r="BH202" s="3057"/>
    </row>
    <row r="203" spans="1:60" ht="11.25" customHeight="1">
      <c r="A203" s="3107"/>
      <c r="B203" s="2194"/>
      <c r="C203" s="8050"/>
      <c r="D203" s="8051"/>
      <c r="E203" s="8051"/>
      <c r="F203" s="8051"/>
      <c r="G203" s="8052"/>
      <c r="H203" s="7399"/>
      <c r="I203" s="7400"/>
      <c r="J203" s="7400"/>
      <c r="K203" s="7399"/>
      <c r="L203" s="7400"/>
      <c r="M203" s="7400"/>
      <c r="N203" s="7400"/>
      <c r="O203" s="7399"/>
      <c r="P203" s="7400"/>
      <c r="Q203" s="7400"/>
      <c r="R203" s="7400"/>
      <c r="S203" s="8001"/>
      <c r="T203" s="7399"/>
      <c r="U203" s="7400"/>
      <c r="V203" s="7400"/>
      <c r="W203" s="7401"/>
      <c r="X203" s="7399"/>
      <c r="Y203" s="7400"/>
      <c r="Z203" s="7400"/>
      <c r="AA203" s="7399"/>
      <c r="AB203" s="7400"/>
      <c r="AC203" s="7400"/>
      <c r="AD203" s="7400"/>
      <c r="AE203" s="7999"/>
      <c r="AF203" s="8000"/>
      <c r="AG203" s="8000"/>
      <c r="AH203" s="8001"/>
      <c r="AI203" s="7399"/>
      <c r="AJ203" s="7400"/>
      <c r="AK203" s="7400"/>
      <c r="AL203" s="7401"/>
      <c r="AM203" s="7993"/>
      <c r="AN203" s="7994"/>
      <c r="AO203" s="7994"/>
      <c r="AP203" s="2162"/>
      <c r="AQ203" s="808"/>
      <c r="AR203" s="808"/>
      <c r="AS203" s="808"/>
      <c r="AT203" s="808"/>
      <c r="AU203" s="808"/>
      <c r="AV203" s="808"/>
      <c r="AW203" s="808"/>
      <c r="AX203" s="2396"/>
      <c r="AY203" s="3057"/>
      <c r="AZ203" s="3057"/>
      <c r="BA203" s="3057"/>
      <c r="BB203" s="3057"/>
      <c r="BC203" s="3057"/>
      <c r="BD203" s="3057"/>
      <c r="BE203" s="3057"/>
      <c r="BF203" s="3057"/>
      <c r="BG203" s="3057"/>
      <c r="BH203" s="3057"/>
    </row>
    <row r="204" spans="1:60" ht="15" customHeight="1">
      <c r="A204" s="3107"/>
      <c r="B204" s="2194"/>
      <c r="C204" s="8007" t="s">
        <v>3225</v>
      </c>
      <c r="D204" s="8124"/>
      <c r="E204" s="8124"/>
      <c r="F204" s="8124"/>
      <c r="G204" s="8125"/>
      <c r="H204" s="7399"/>
      <c r="I204" s="7400"/>
      <c r="J204" s="7400"/>
      <c r="K204" s="7399"/>
      <c r="L204" s="7400"/>
      <c r="M204" s="7400"/>
      <c r="N204" s="7400"/>
      <c r="O204" s="7399"/>
      <c r="P204" s="7400"/>
      <c r="Q204" s="7400"/>
      <c r="R204" s="7400"/>
      <c r="S204" s="8001"/>
      <c r="T204" s="7399"/>
      <c r="U204" s="7400"/>
      <c r="V204" s="7400"/>
      <c r="W204" s="7401"/>
      <c r="X204" s="7399"/>
      <c r="Y204" s="7400"/>
      <c r="Z204" s="7400"/>
      <c r="AA204" s="7399"/>
      <c r="AB204" s="7400"/>
      <c r="AC204" s="7400"/>
      <c r="AD204" s="7400"/>
      <c r="AE204" s="7999"/>
      <c r="AF204" s="8000"/>
      <c r="AG204" s="8000"/>
      <c r="AH204" s="8001"/>
      <c r="AI204" s="7399"/>
      <c r="AJ204" s="7400"/>
      <c r="AK204" s="7400"/>
      <c r="AL204" s="7401"/>
      <c r="AM204" s="7993"/>
      <c r="AN204" s="7994"/>
      <c r="AO204" s="7994"/>
      <c r="AP204" s="2162"/>
      <c r="AQ204" s="808"/>
      <c r="AR204" s="808"/>
      <c r="AS204" s="808"/>
      <c r="AT204" s="808"/>
      <c r="AU204" s="808"/>
      <c r="AV204" s="808"/>
      <c r="AW204" s="808"/>
      <c r="AX204" s="2396"/>
      <c r="AY204" s="3057"/>
      <c r="AZ204" s="3057"/>
      <c r="BA204" s="3057"/>
      <c r="BB204" s="3057"/>
      <c r="BC204" s="3057"/>
      <c r="BD204" s="3057"/>
      <c r="BE204" s="3057"/>
      <c r="BF204" s="3057"/>
      <c r="BG204" s="3057"/>
      <c r="BH204" s="3057"/>
    </row>
    <row r="205" spans="1:60" ht="6.75" customHeight="1">
      <c r="A205" s="3107"/>
      <c r="B205" s="2196"/>
      <c r="C205" s="2200"/>
      <c r="D205" s="2181"/>
      <c r="E205" s="2181"/>
      <c r="F205" s="2181"/>
      <c r="G205" s="2201"/>
      <c r="H205" s="7402"/>
      <c r="I205" s="7403"/>
      <c r="J205" s="7403"/>
      <c r="K205" s="7402"/>
      <c r="L205" s="7403"/>
      <c r="M205" s="7403"/>
      <c r="N205" s="7403"/>
      <c r="O205" s="8010"/>
      <c r="P205" s="8003"/>
      <c r="Q205" s="8003"/>
      <c r="R205" s="8003"/>
      <c r="S205" s="8004"/>
      <c r="T205" s="7402"/>
      <c r="U205" s="7403"/>
      <c r="V205" s="7403"/>
      <c r="W205" s="7404"/>
      <c r="X205" s="7402"/>
      <c r="Y205" s="7403"/>
      <c r="Z205" s="7403"/>
      <c r="AA205" s="7402"/>
      <c r="AB205" s="7403"/>
      <c r="AC205" s="7403"/>
      <c r="AD205" s="7403"/>
      <c r="AE205" s="8002"/>
      <c r="AF205" s="8003"/>
      <c r="AG205" s="8003"/>
      <c r="AH205" s="8004"/>
      <c r="AI205" s="7402"/>
      <c r="AJ205" s="7403"/>
      <c r="AK205" s="7403"/>
      <c r="AL205" s="7404"/>
      <c r="AM205" s="7995"/>
      <c r="AN205" s="7996"/>
      <c r="AO205" s="7996"/>
      <c r="AP205" s="2162"/>
      <c r="AQ205" s="808"/>
      <c r="AR205" s="808"/>
      <c r="AS205" s="808"/>
      <c r="AT205" s="808"/>
      <c r="AU205" s="808"/>
      <c r="AV205" s="808"/>
      <c r="AW205" s="808"/>
      <c r="AX205" s="2396"/>
      <c r="AY205" s="3057"/>
      <c r="AZ205" s="3057"/>
      <c r="BA205" s="3057"/>
      <c r="BB205" s="3057"/>
      <c r="BC205" s="3057"/>
      <c r="BD205" s="3057"/>
      <c r="BE205" s="3057"/>
      <c r="BF205" s="3057"/>
      <c r="BG205" s="3057"/>
      <c r="BH205" s="3057"/>
    </row>
    <row r="206" spans="1:60" ht="15" customHeight="1">
      <c r="A206" s="3162">
        <f>SUM(X206:AL206)</f>
        <v>0</v>
      </c>
      <c r="B206" s="2149" t="s">
        <v>542</v>
      </c>
      <c r="C206" s="8121"/>
      <c r="D206" s="8122"/>
      <c r="E206" s="8122"/>
      <c r="F206" s="8122"/>
      <c r="G206" s="8123"/>
      <c r="H206" s="7931"/>
      <c r="I206" s="7899"/>
      <c r="J206" s="7932"/>
      <c r="K206" s="7899"/>
      <c r="L206" s="7900"/>
      <c r="M206" s="7900"/>
      <c r="N206" s="7900"/>
      <c r="O206" s="7931"/>
      <c r="P206" s="7899"/>
      <c r="Q206" s="7899"/>
      <c r="R206" s="7899"/>
      <c r="S206" s="7932"/>
      <c r="T206" s="7931"/>
      <c r="U206" s="7899"/>
      <c r="V206" s="7899"/>
      <c r="W206" s="7932"/>
      <c r="X206" s="7931"/>
      <c r="Y206" s="7900"/>
      <c r="Z206" s="8017"/>
      <c r="AA206" s="7899"/>
      <c r="AB206" s="7899"/>
      <c r="AC206" s="7899"/>
      <c r="AD206" s="7932"/>
      <c r="AE206" s="7931"/>
      <c r="AF206" s="7899"/>
      <c r="AG206" s="7899"/>
      <c r="AH206" s="7932"/>
      <c r="AI206" s="7931"/>
      <c r="AJ206" s="7899"/>
      <c r="AK206" s="7899"/>
      <c r="AL206" s="7932"/>
      <c r="AM206" s="7991">
        <f>ROUND(SUM(X206:AL206),0)</f>
        <v>0</v>
      </c>
      <c r="AN206" s="7991"/>
      <c r="AO206" s="7991"/>
      <c r="AP206" s="2162"/>
      <c r="AQ206" s="808"/>
      <c r="AR206" s="808"/>
      <c r="AS206" s="808"/>
      <c r="AT206" s="808"/>
      <c r="AU206" s="808"/>
      <c r="AV206" s="808"/>
      <c r="AW206" s="808"/>
      <c r="AX206" s="2396"/>
      <c r="AY206" s="3057"/>
      <c r="AZ206" s="3057"/>
      <c r="BA206" s="3057"/>
      <c r="BB206" s="3057"/>
      <c r="BC206" s="3057"/>
      <c r="BD206" s="3057"/>
      <c r="BE206" s="3057"/>
      <c r="BF206" s="3057"/>
      <c r="BG206" s="3057"/>
      <c r="BH206" s="3057"/>
    </row>
    <row r="207" spans="1:60" ht="15" customHeight="1">
      <c r="A207" s="3162">
        <f>SUM(X207:AL207)</f>
        <v>0</v>
      </c>
      <c r="B207" s="2149" t="s">
        <v>548</v>
      </c>
      <c r="C207" s="8121"/>
      <c r="D207" s="8122"/>
      <c r="E207" s="8122"/>
      <c r="F207" s="8122"/>
      <c r="G207" s="8123"/>
      <c r="H207" s="7931"/>
      <c r="I207" s="7899"/>
      <c r="J207" s="7932"/>
      <c r="K207" s="7899"/>
      <c r="L207" s="7900"/>
      <c r="M207" s="7900"/>
      <c r="N207" s="7900"/>
      <c r="O207" s="7931"/>
      <c r="P207" s="7899"/>
      <c r="Q207" s="7899"/>
      <c r="R207" s="7899"/>
      <c r="S207" s="7932"/>
      <c r="T207" s="7931"/>
      <c r="U207" s="7899"/>
      <c r="V207" s="7899"/>
      <c r="W207" s="7932"/>
      <c r="X207" s="7931"/>
      <c r="Y207" s="7900"/>
      <c r="Z207" s="8017"/>
      <c r="AA207" s="7899"/>
      <c r="AB207" s="7899"/>
      <c r="AC207" s="7899"/>
      <c r="AD207" s="7932"/>
      <c r="AE207" s="7931"/>
      <c r="AF207" s="7899"/>
      <c r="AG207" s="7899"/>
      <c r="AH207" s="7932"/>
      <c r="AI207" s="7931"/>
      <c r="AJ207" s="7899"/>
      <c r="AK207" s="7899"/>
      <c r="AL207" s="7932"/>
      <c r="AM207" s="7991">
        <f>ROUND(SUM(X207:AL207),0)</f>
        <v>0</v>
      </c>
      <c r="AN207" s="7991"/>
      <c r="AO207" s="7991"/>
      <c r="AP207" s="2162"/>
      <c r="AQ207" s="808"/>
      <c r="AR207" s="808"/>
      <c r="AS207" s="808"/>
      <c r="AT207" s="808"/>
      <c r="AU207" s="808"/>
      <c r="AV207" s="808"/>
      <c r="AW207" s="808"/>
      <c r="AX207" s="2396"/>
      <c r="AY207" s="3057"/>
      <c r="AZ207" s="3057"/>
      <c r="BA207" s="3057"/>
      <c r="BB207" s="3057"/>
      <c r="BC207" s="3057"/>
      <c r="BD207" s="3057"/>
      <c r="BE207" s="3057"/>
      <c r="BF207" s="3057"/>
      <c r="BG207" s="3057"/>
      <c r="BH207" s="3057"/>
    </row>
    <row r="208" spans="1:60" ht="15" customHeight="1">
      <c r="A208" s="3162">
        <f>SUM(X208:AL208)</f>
        <v>0</v>
      </c>
      <c r="B208" s="2149" t="s">
        <v>550</v>
      </c>
      <c r="C208" s="8121"/>
      <c r="D208" s="8122"/>
      <c r="E208" s="8122"/>
      <c r="F208" s="8122"/>
      <c r="G208" s="8123"/>
      <c r="H208" s="7931"/>
      <c r="I208" s="7899"/>
      <c r="J208" s="7932"/>
      <c r="K208" s="7899"/>
      <c r="L208" s="7900"/>
      <c r="M208" s="7900"/>
      <c r="N208" s="7900"/>
      <c r="O208" s="7931"/>
      <c r="P208" s="7899"/>
      <c r="Q208" s="7899"/>
      <c r="R208" s="7899"/>
      <c r="S208" s="7932"/>
      <c r="T208" s="7931"/>
      <c r="U208" s="7899"/>
      <c r="V208" s="7899"/>
      <c r="W208" s="7932"/>
      <c r="X208" s="7931"/>
      <c r="Y208" s="7900"/>
      <c r="Z208" s="8017"/>
      <c r="AA208" s="7899"/>
      <c r="AB208" s="7899"/>
      <c r="AC208" s="7899"/>
      <c r="AD208" s="7932"/>
      <c r="AE208" s="7931"/>
      <c r="AF208" s="7899"/>
      <c r="AG208" s="7899"/>
      <c r="AH208" s="7932"/>
      <c r="AI208" s="7931"/>
      <c r="AJ208" s="7899"/>
      <c r="AK208" s="7899"/>
      <c r="AL208" s="7932"/>
      <c r="AM208" s="7991">
        <f>ROUND(SUM(X208:AL208),0)</f>
        <v>0</v>
      </c>
      <c r="AN208" s="7991"/>
      <c r="AO208" s="7991"/>
      <c r="AP208" s="2162"/>
      <c r="AQ208" s="2162"/>
      <c r="AR208" s="2162"/>
      <c r="AS208" s="2162"/>
      <c r="AT208" s="2162"/>
      <c r="AU208" s="2162"/>
      <c r="AV208" s="808"/>
      <c r="AW208" s="808"/>
      <c r="AX208" s="2396"/>
      <c r="AY208" s="3057"/>
      <c r="AZ208" s="3057"/>
      <c r="BA208" s="3057"/>
      <c r="BB208" s="3057"/>
      <c r="BC208" s="3057"/>
      <c r="BD208" s="3057"/>
      <c r="BE208" s="3057"/>
      <c r="BF208" s="3057"/>
      <c r="BG208" s="3057"/>
      <c r="BH208" s="3057"/>
    </row>
    <row r="209" spans="1:60" s="2114" customFormat="1" ht="16.5" customHeight="1">
      <c r="A209" s="3113" t="b">
        <f>SUM(A206:A208)&gt;0</f>
        <v>0</v>
      </c>
      <c r="B209" s="8018">
        <v>8</v>
      </c>
      <c r="C209" s="8018"/>
      <c r="D209" s="2205" t="s">
        <v>3302</v>
      </c>
      <c r="E209" s="1122"/>
      <c r="F209" s="1122"/>
      <c r="G209" s="1122"/>
      <c r="H209" s="1122"/>
      <c r="I209" s="1122"/>
      <c r="J209" s="1122"/>
      <c r="K209" s="1122"/>
      <c r="L209" s="1122"/>
      <c r="M209" s="1122"/>
      <c r="N209" s="1122"/>
      <c r="O209" s="1122"/>
      <c r="P209" s="1122"/>
      <c r="Q209" s="1122"/>
      <c r="R209" s="1122"/>
      <c r="S209" s="1122"/>
      <c r="T209" s="1122"/>
      <c r="U209" s="1122"/>
      <c r="V209" s="1122"/>
      <c r="W209" s="1122"/>
      <c r="X209" s="1122"/>
      <c r="Y209" s="1122"/>
      <c r="Z209" s="1122"/>
      <c r="AA209" s="1122"/>
      <c r="AB209" s="1122"/>
      <c r="AC209" s="1122"/>
      <c r="AD209" s="1122"/>
      <c r="AE209" s="1122"/>
      <c r="AF209" s="1122"/>
      <c r="AG209" s="1122"/>
      <c r="AH209" s="1122"/>
      <c r="AI209" s="1122"/>
      <c r="AJ209" s="2999" t="s">
        <v>994</v>
      </c>
      <c r="AK209" s="7946">
        <v>8</v>
      </c>
      <c r="AL209" s="7947"/>
      <c r="AM209" s="8126">
        <f>IF(AQ209&lt;&gt;"",ROUND(AQ209,0),ROUND(SUM(AM206:AO208),0))</f>
        <v>0</v>
      </c>
      <c r="AN209" s="8127"/>
      <c r="AO209" s="8127"/>
      <c r="AP209" s="2162"/>
      <c r="AQ209" s="8144"/>
      <c r="AR209" s="8145"/>
      <c r="AS209" s="8145"/>
      <c r="AT209" s="8145"/>
      <c r="AU209" s="2162"/>
      <c r="AV209" s="808"/>
      <c r="AW209" s="808"/>
      <c r="AX209" s="2396"/>
      <c r="AY209" s="3057"/>
      <c r="AZ209" s="3057"/>
      <c r="BA209" s="3057"/>
      <c r="BB209" s="3057"/>
      <c r="BC209" s="3057"/>
      <c r="BD209" s="3057"/>
      <c r="BE209" s="3057"/>
      <c r="BF209" s="3057"/>
      <c r="BG209" s="3057"/>
      <c r="BH209" s="3057"/>
    </row>
    <row r="210" spans="1:60" ht="15.75" customHeight="1">
      <c r="A210" s="3107"/>
      <c r="B210" s="2121" t="s">
        <v>3227</v>
      </c>
      <c r="C210" s="2119"/>
      <c r="D210" s="808"/>
      <c r="E210" s="808"/>
      <c r="F210" s="808"/>
      <c r="G210" s="808"/>
      <c r="H210" s="808"/>
      <c r="I210" s="808"/>
      <c r="J210" s="808"/>
      <c r="K210" s="808"/>
      <c r="L210" s="808"/>
      <c r="M210" s="808"/>
      <c r="N210" s="808"/>
      <c r="O210" s="808"/>
      <c r="P210" s="808"/>
      <c r="Q210" s="808"/>
      <c r="R210" s="808"/>
      <c r="S210" s="808"/>
      <c r="T210" s="808"/>
      <c r="U210" s="808"/>
      <c r="V210" s="808"/>
      <c r="W210" s="808"/>
      <c r="X210" s="892" t="s">
        <v>3228</v>
      </c>
      <c r="Y210" s="808"/>
      <c r="Z210" s="808"/>
      <c r="AA210" s="808"/>
      <c r="AB210" s="808"/>
      <c r="AC210" s="808"/>
      <c r="AD210" s="808"/>
      <c r="AE210" s="808"/>
      <c r="AF210" s="808"/>
      <c r="AG210" s="808"/>
      <c r="AH210" s="808"/>
      <c r="AI210" s="808"/>
      <c r="AJ210" s="808"/>
      <c r="AK210" s="1585"/>
      <c r="AL210" s="808"/>
      <c r="AM210" s="1585"/>
      <c r="AN210" s="1585" t="s">
        <v>3229</v>
      </c>
      <c r="AO210" s="1461" t="str">
        <f>"("&amp;TaxYear&amp;")"</f>
        <v>(2023)</v>
      </c>
      <c r="AP210" s="2162"/>
      <c r="AQ210" s="2162"/>
      <c r="AR210" s="2162"/>
      <c r="AS210" s="2162"/>
      <c r="AT210" s="2162"/>
      <c r="AU210" s="2162"/>
      <c r="AV210" s="808"/>
      <c r="AW210" s="808"/>
      <c r="AX210" s="2396"/>
      <c r="AY210" s="3057"/>
      <c r="AZ210" s="3057"/>
      <c r="BA210" s="3057"/>
      <c r="BB210" s="3057"/>
      <c r="BC210" s="3057"/>
      <c r="BD210" s="3057"/>
      <c r="BE210" s="3057"/>
      <c r="BF210" s="3057"/>
      <c r="BG210" s="3057"/>
      <c r="BH210" s="3057"/>
    </row>
    <row r="211" spans="1:60" ht="16.5" thickBot="1">
      <c r="A211" s="3107"/>
      <c r="B211" s="878" t="str">
        <f>"Form 1116 ("&amp;TaxYear&amp;")"</f>
        <v>Form 1116 (2023)</v>
      </c>
      <c r="C211" s="808"/>
      <c r="D211" s="808"/>
      <c r="E211" s="808"/>
      <c r="F211" s="808"/>
      <c r="G211" s="808"/>
      <c r="H211" s="808"/>
      <c r="I211" s="808"/>
      <c r="J211" s="808"/>
      <c r="K211" s="808"/>
      <c r="L211" s="808"/>
      <c r="M211" s="808"/>
      <c r="N211" s="808"/>
      <c r="O211" s="808"/>
      <c r="P211" s="808"/>
      <c r="Q211" s="808"/>
      <c r="R211" s="808"/>
      <c r="S211" s="808"/>
      <c r="T211" s="808"/>
      <c r="U211" s="808"/>
      <c r="V211" s="808"/>
      <c r="W211" s="808"/>
      <c r="X211" s="808"/>
      <c r="Y211" s="808"/>
      <c r="Z211" s="808"/>
      <c r="AA211" s="808"/>
      <c r="AB211" s="808"/>
      <c r="AC211" s="808"/>
      <c r="AD211" s="808"/>
      <c r="AE211" s="808"/>
      <c r="AF211" s="808"/>
      <c r="AG211" s="808"/>
      <c r="AH211" s="808"/>
      <c r="AI211" s="808"/>
      <c r="AJ211" s="808"/>
      <c r="AK211" s="808"/>
      <c r="AL211" s="808"/>
      <c r="AM211" s="808"/>
      <c r="AN211" s="808"/>
      <c r="AO211" s="1585" t="s">
        <v>3230</v>
      </c>
      <c r="AP211" s="2162"/>
      <c r="AQ211" s="808"/>
      <c r="AR211" s="808"/>
      <c r="AS211" s="808"/>
      <c r="AT211" s="808"/>
      <c r="AU211" s="808"/>
      <c r="AV211" s="808"/>
      <c r="AW211" s="808"/>
      <c r="AX211" s="2396"/>
      <c r="AY211" s="3057"/>
      <c r="AZ211" s="3057"/>
      <c r="BA211" s="3057"/>
      <c r="BB211" s="3057"/>
      <c r="BC211" s="3057"/>
      <c r="BD211" s="3057"/>
      <c r="BE211" s="3057"/>
      <c r="BF211" s="3057"/>
      <c r="BG211" s="3057"/>
      <c r="BH211" s="3057"/>
    </row>
    <row r="212" spans="1:60" ht="15.75" customHeight="1" thickTop="1">
      <c r="A212" s="3109"/>
      <c r="B212" s="8128" t="s">
        <v>2243</v>
      </c>
      <c r="C212" s="8128"/>
      <c r="D212" s="8129"/>
      <c r="E212" s="5019"/>
      <c r="F212" s="5020" t="s">
        <v>3231</v>
      </c>
      <c r="G212" s="5019"/>
      <c r="H212" s="5019"/>
      <c r="I212" s="5019"/>
      <c r="J212" s="5019"/>
      <c r="K212" s="5019"/>
      <c r="L212" s="5019"/>
      <c r="M212" s="5019"/>
      <c r="N212" s="5019"/>
      <c r="O212" s="5019"/>
      <c r="P212" s="5019"/>
      <c r="Q212" s="5019"/>
      <c r="R212" s="5019"/>
      <c r="S212" s="5019"/>
      <c r="T212" s="5019"/>
      <c r="U212" s="5019"/>
      <c r="V212" s="5019"/>
      <c r="W212" s="5019"/>
      <c r="X212" s="5019"/>
      <c r="Y212" s="5019"/>
      <c r="Z212" s="5019"/>
      <c r="AA212" s="5019"/>
      <c r="AB212" s="5019"/>
      <c r="AC212" s="5019"/>
      <c r="AD212" s="5019"/>
      <c r="AE212" s="5019"/>
      <c r="AF212" s="5019"/>
      <c r="AG212" s="5019"/>
      <c r="AH212" s="5019"/>
      <c r="AI212" s="5019"/>
      <c r="AJ212" s="5019"/>
      <c r="AK212" s="5019"/>
      <c r="AL212" s="5019"/>
      <c r="AM212" s="5019"/>
      <c r="AN212" s="5019"/>
      <c r="AO212" s="5019"/>
      <c r="AP212" s="2162"/>
      <c r="AQ212" s="1108"/>
      <c r="AR212" s="1108"/>
      <c r="AS212" s="1108"/>
      <c r="AT212" s="1108"/>
      <c r="AU212" s="1108"/>
      <c r="AV212" s="1108"/>
      <c r="AW212" s="1108"/>
      <c r="AX212" s="2396"/>
      <c r="AY212" s="3057"/>
      <c r="AZ212" s="3057"/>
      <c r="BA212" s="3057"/>
      <c r="BB212" s="3057"/>
      <c r="BC212" s="3057"/>
      <c r="BD212" s="3057"/>
      <c r="BE212" s="3057"/>
      <c r="BF212" s="3057"/>
      <c r="BG212" s="3057"/>
      <c r="BH212" s="3057"/>
    </row>
    <row r="213" spans="1:60" ht="13.5" customHeight="1">
      <c r="A213" s="3107"/>
      <c r="B213" s="8130">
        <v>9</v>
      </c>
      <c r="C213" s="8130"/>
      <c r="D213" s="808" t="s">
        <v>3232</v>
      </c>
      <c r="E213" s="808"/>
      <c r="F213" s="2112"/>
      <c r="G213" s="808"/>
      <c r="H213" s="808"/>
      <c r="I213" s="808"/>
      <c r="J213" s="808"/>
      <c r="K213" s="808"/>
      <c r="L213" s="808"/>
      <c r="M213" s="808"/>
      <c r="N213" s="808"/>
      <c r="O213" s="808"/>
      <c r="P213" s="808"/>
      <c r="Q213" s="808"/>
      <c r="R213" s="808"/>
      <c r="S213" s="808"/>
      <c r="T213" s="808"/>
      <c r="U213" s="808"/>
      <c r="V213" s="808"/>
      <c r="W213" s="808"/>
      <c r="X213" s="808"/>
      <c r="Y213" s="808"/>
      <c r="Z213" s="8011"/>
      <c r="AA213" s="8012"/>
      <c r="AB213" s="1149"/>
      <c r="AC213" s="1142"/>
      <c r="AD213" s="1142"/>
      <c r="AE213" s="1142"/>
      <c r="AF213" s="1142"/>
      <c r="AG213" s="1142"/>
      <c r="AH213" s="1142"/>
      <c r="AI213" s="1143"/>
      <c r="AJ213" s="7925"/>
      <c r="AK213" s="7935"/>
      <c r="AL213" s="1149"/>
      <c r="AM213" s="1142"/>
      <c r="AN213" s="1142"/>
      <c r="AO213" s="1142"/>
      <c r="AP213" s="2162"/>
      <c r="AQ213" s="808"/>
      <c r="AR213" s="808"/>
      <c r="AS213" s="808"/>
      <c r="AT213" s="808"/>
      <c r="AU213" s="808"/>
      <c r="AV213" s="808"/>
      <c r="AW213" s="808"/>
      <c r="AX213" s="2396"/>
      <c r="AY213" s="3057"/>
      <c r="AZ213" s="3057"/>
      <c r="BA213" s="3057"/>
      <c r="BB213" s="3057"/>
      <c r="BC213" s="3057"/>
      <c r="BD213" s="3057"/>
      <c r="BE213" s="3057"/>
      <c r="BF213" s="3057"/>
      <c r="BG213" s="3057"/>
      <c r="BH213" s="3057"/>
    </row>
    <row r="214" spans="1:60" ht="13.5" customHeight="1">
      <c r="A214" s="3107"/>
      <c r="B214" s="808"/>
      <c r="C214" s="808"/>
      <c r="D214" s="808" t="s">
        <v>3233</v>
      </c>
      <c r="E214" s="808"/>
      <c r="F214" s="2112"/>
      <c r="G214" s="808"/>
      <c r="H214" s="808"/>
      <c r="I214" s="808"/>
      <c r="J214" s="808"/>
      <c r="K214" s="808"/>
      <c r="L214" s="808"/>
      <c r="M214" s="808"/>
      <c r="N214" s="808"/>
      <c r="O214" s="808"/>
      <c r="P214" s="808"/>
      <c r="Q214" s="808"/>
      <c r="R214" s="808"/>
      <c r="S214" s="808"/>
      <c r="T214" s="808"/>
      <c r="U214" s="808"/>
      <c r="V214" s="808"/>
      <c r="W214" s="808"/>
      <c r="X214" s="808"/>
      <c r="Y214" s="808"/>
      <c r="Z214" s="7979">
        <v>9</v>
      </c>
      <c r="AA214" s="7980"/>
      <c r="AB214" s="7985">
        <f>AM209</f>
        <v>0</v>
      </c>
      <c r="AC214" s="7986"/>
      <c r="AD214" s="7986"/>
      <c r="AE214" s="7986"/>
      <c r="AF214" s="7986"/>
      <c r="AG214" s="7986"/>
      <c r="AH214" s="7986"/>
      <c r="AI214" s="7987"/>
      <c r="AJ214" s="7925"/>
      <c r="AK214" s="7935"/>
      <c r="AL214" s="1150"/>
      <c r="AM214" s="808"/>
      <c r="AN214" s="808"/>
      <c r="AO214" s="808"/>
      <c r="AP214" s="2162"/>
      <c r="AQ214" s="808"/>
      <c r="AR214" s="808"/>
      <c r="AS214" s="808"/>
      <c r="AT214" s="808"/>
      <c r="AU214" s="808"/>
      <c r="AV214" s="808"/>
      <c r="AW214" s="808"/>
      <c r="AX214" s="2396"/>
      <c r="AY214" s="3057"/>
      <c r="AZ214" s="3057"/>
      <c r="BA214" s="3057"/>
      <c r="BB214" s="3057"/>
      <c r="BC214" s="3057"/>
      <c r="BD214" s="3057"/>
      <c r="BE214" s="3057"/>
      <c r="BF214" s="3057"/>
      <c r="BG214" s="3057"/>
      <c r="BH214" s="3057"/>
    </row>
    <row r="215" spans="1:60" ht="15" customHeight="1">
      <c r="A215" s="3107"/>
      <c r="B215" s="7978">
        <v>10</v>
      </c>
      <c r="C215" s="7978"/>
      <c r="D215" s="892" t="s">
        <v>3234</v>
      </c>
      <c r="E215" s="808"/>
      <c r="F215" s="2112"/>
      <c r="G215" s="808"/>
      <c r="H215" s="808"/>
      <c r="I215" s="808"/>
      <c r="J215" s="808"/>
      <c r="K215" s="808"/>
      <c r="L215" s="808"/>
      <c r="M215" s="808"/>
      <c r="N215" s="808"/>
      <c r="O215" s="808"/>
      <c r="P215" s="808"/>
      <c r="Q215" s="808"/>
      <c r="R215" s="808"/>
      <c r="S215" s="808"/>
      <c r="T215" s="808"/>
      <c r="U215" s="808"/>
      <c r="V215" s="808"/>
      <c r="W215" s="808"/>
      <c r="X215" s="808"/>
      <c r="Y215" s="808"/>
      <c r="Z215" s="8011"/>
      <c r="AA215" s="8012"/>
      <c r="AB215" s="1149"/>
      <c r="AC215" s="1142"/>
      <c r="AD215" s="1142"/>
      <c r="AE215" s="1142"/>
      <c r="AF215" s="1142"/>
      <c r="AG215" s="1142"/>
      <c r="AH215" s="1142"/>
      <c r="AI215" s="1143"/>
      <c r="AJ215" s="7925"/>
      <c r="AK215" s="7935"/>
      <c r="AL215" s="1150"/>
      <c r="AM215" s="808"/>
      <c r="AN215" s="808"/>
      <c r="AO215" s="808"/>
      <c r="AP215" s="2162"/>
      <c r="AQ215" s="1108"/>
      <c r="AR215" s="1108"/>
      <c r="AS215" s="1108"/>
      <c r="AT215" s="1108"/>
      <c r="AU215" s="1108"/>
      <c r="AV215" s="808"/>
      <c r="AW215" s="808"/>
      <c r="AX215" s="2396"/>
      <c r="AY215" s="3057"/>
      <c r="AZ215" s="3057"/>
      <c r="BA215" s="3057"/>
      <c r="BB215" s="3057"/>
      <c r="BC215" s="3057"/>
      <c r="BD215" s="3057"/>
      <c r="BE215" s="3057"/>
      <c r="BF215" s="3057"/>
      <c r="BG215" s="3057"/>
      <c r="BH215" s="3057"/>
    </row>
    <row r="216" spans="1:60" ht="13.5" customHeight="1" thickBot="1">
      <c r="A216" s="3107"/>
      <c r="B216" s="7978"/>
      <c r="C216" s="7978"/>
      <c r="D216" s="892" t="s">
        <v>3235</v>
      </c>
      <c r="E216" s="808"/>
      <c r="F216" s="2112"/>
      <c r="G216" s="808"/>
      <c r="H216" s="808"/>
      <c r="I216" s="808"/>
      <c r="J216" s="808"/>
      <c r="K216" s="808"/>
      <c r="L216" s="808"/>
      <c r="M216" s="808"/>
      <c r="N216" s="808"/>
      <c r="O216" s="808"/>
      <c r="P216" s="808"/>
      <c r="Q216" s="808"/>
      <c r="R216" s="808"/>
      <c r="S216" s="808"/>
      <c r="T216" s="808"/>
      <c r="U216" s="808"/>
      <c r="V216" s="808"/>
      <c r="W216" s="808"/>
      <c r="X216" s="808"/>
      <c r="Y216" s="1128"/>
      <c r="Z216" s="7933">
        <v>10</v>
      </c>
      <c r="AA216" s="7934"/>
      <c r="AB216" s="7988"/>
      <c r="AC216" s="7989"/>
      <c r="AD216" s="7989"/>
      <c r="AE216" s="7989"/>
      <c r="AF216" s="7989"/>
      <c r="AG216" s="7989"/>
      <c r="AH216" s="7989"/>
      <c r="AI216" s="7990"/>
      <c r="AJ216" s="7925"/>
      <c r="AK216" s="7935"/>
      <c r="AL216" s="1150"/>
      <c r="AM216" s="808"/>
      <c r="AN216" s="808"/>
      <c r="AO216" s="808"/>
      <c r="AP216" s="2162"/>
      <c r="AQ216" s="808"/>
      <c r="AR216" s="808"/>
      <c r="AS216" s="808"/>
      <c r="AT216" s="808"/>
      <c r="AU216" s="808"/>
      <c r="AV216" s="808"/>
      <c r="AW216" s="808"/>
      <c r="AX216" s="2396"/>
      <c r="AY216" s="3057"/>
      <c r="AZ216" s="3057"/>
      <c r="BA216" s="3057"/>
      <c r="BB216" s="3057"/>
      <c r="BC216" s="3057"/>
      <c r="BD216" s="3057"/>
      <c r="BE216" s="3057"/>
      <c r="BF216" s="3057"/>
      <c r="BG216" s="3057"/>
      <c r="BH216" s="3057"/>
    </row>
    <row r="217" spans="1:60" ht="16.5" customHeight="1">
      <c r="A217" s="3107"/>
      <c r="B217" s="7978"/>
      <c r="C217" s="7978"/>
      <c r="D217" s="892" t="s">
        <v>3236</v>
      </c>
      <c r="E217" s="808"/>
      <c r="F217" s="2112"/>
      <c r="G217" s="808"/>
      <c r="H217" s="808"/>
      <c r="I217" s="808"/>
      <c r="J217" s="808"/>
      <c r="K217" s="808"/>
      <c r="L217" s="808"/>
      <c r="M217" s="808"/>
      <c r="N217" s="808"/>
      <c r="O217" s="808"/>
      <c r="P217" s="808"/>
      <c r="Q217" s="808"/>
      <c r="R217" s="808"/>
      <c r="S217" s="808"/>
      <c r="T217" s="808"/>
      <c r="U217" s="808"/>
      <c r="V217" s="808"/>
      <c r="W217" s="808"/>
      <c r="X217" s="808"/>
      <c r="Y217" s="808"/>
      <c r="Z217" s="8045"/>
      <c r="AA217" s="8046"/>
      <c r="AB217" s="1120"/>
      <c r="AC217" s="890"/>
      <c r="AD217" s="890"/>
      <c r="AE217" s="890"/>
      <c r="AF217" s="890"/>
      <c r="AG217" s="890"/>
      <c r="AH217" s="890"/>
      <c r="AI217" s="2628"/>
      <c r="AJ217" s="7925"/>
      <c r="AK217" s="7935"/>
      <c r="AL217" s="1150"/>
      <c r="AM217" s="808"/>
      <c r="AN217" s="808"/>
      <c r="AO217" s="808"/>
      <c r="AP217" s="2162"/>
      <c r="AQ217" s="808"/>
      <c r="AR217" s="808"/>
      <c r="AS217" s="808"/>
      <c r="AT217" s="808"/>
      <c r="AU217" s="808"/>
      <c r="AV217" s="808"/>
      <c r="AW217" s="808"/>
      <c r="AX217" s="2396"/>
      <c r="AY217" s="3057"/>
      <c r="AZ217" s="3057"/>
      <c r="BA217" s="3057"/>
      <c r="BB217" s="3057"/>
      <c r="BC217" s="3057"/>
      <c r="BD217" s="3057"/>
      <c r="BE217" s="3057"/>
      <c r="BF217" s="3057"/>
      <c r="BG217" s="3057"/>
      <c r="BH217" s="3057"/>
    </row>
    <row r="218" spans="1:60" ht="13.5" customHeight="1">
      <c r="A218" s="3107"/>
      <c r="B218" s="7978"/>
      <c r="C218" s="7978"/>
      <c r="D218" s="892" t="s">
        <v>3237</v>
      </c>
      <c r="E218" s="808"/>
      <c r="F218" s="2112"/>
      <c r="G218" s="808"/>
      <c r="H218" s="808"/>
      <c r="I218" s="808"/>
      <c r="J218" s="808"/>
      <c r="K218" s="808"/>
      <c r="L218" s="808"/>
      <c r="M218" s="808"/>
      <c r="N218" s="808"/>
      <c r="O218" s="808"/>
      <c r="P218" s="808"/>
      <c r="Q218" s="808"/>
      <c r="R218" s="808"/>
      <c r="S218" s="808"/>
      <c r="T218" s="808"/>
      <c r="U218" s="808"/>
      <c r="V218" s="808"/>
      <c r="W218" s="808"/>
      <c r="X218" s="808"/>
      <c r="Y218" s="808"/>
      <c r="Z218" s="7933"/>
      <c r="AA218" s="7934"/>
      <c r="AB218" s="1150"/>
      <c r="AC218" s="808"/>
      <c r="AD218" s="808"/>
      <c r="AE218" s="808"/>
      <c r="AF218" s="808"/>
      <c r="AG218" s="808"/>
      <c r="AH218" s="808"/>
      <c r="AI218" s="1151"/>
      <c r="AJ218" s="7925"/>
      <c r="AK218" s="7935"/>
      <c r="AL218" s="1150"/>
      <c r="AM218" s="808"/>
      <c r="AN218" s="808"/>
      <c r="AO218" s="808"/>
      <c r="AP218" s="2162"/>
      <c r="AQ218" s="808"/>
      <c r="AR218" s="808"/>
      <c r="AS218" s="808"/>
      <c r="AT218" s="808"/>
      <c r="AU218" s="808"/>
      <c r="AV218" s="808"/>
      <c r="AW218" s="808"/>
      <c r="AX218" s="2396"/>
      <c r="AY218" s="3057"/>
      <c r="AZ218" s="3057"/>
      <c r="BA218" s="3057"/>
      <c r="BB218" s="3057"/>
      <c r="BC218" s="3057"/>
      <c r="BD218" s="3057"/>
      <c r="BE218" s="3057"/>
      <c r="BF218" s="3057"/>
      <c r="BG218" s="3057"/>
      <c r="BH218" s="3057"/>
    </row>
    <row r="219" spans="1:60" ht="13.5" customHeight="1">
      <c r="A219" s="3107"/>
      <c r="B219" s="8131">
        <v>11</v>
      </c>
      <c r="C219" s="8131"/>
      <c r="D219" s="808" t="s">
        <v>3238</v>
      </c>
      <c r="E219" s="808"/>
      <c r="F219" s="2112"/>
      <c r="G219" s="808"/>
      <c r="H219" s="808"/>
      <c r="I219" s="808"/>
      <c r="J219" s="808"/>
      <c r="K219" s="808"/>
      <c r="L219" s="808"/>
      <c r="M219" s="808"/>
      <c r="N219" s="808"/>
      <c r="O219" s="808"/>
      <c r="P219" s="808"/>
      <c r="Q219" s="808"/>
      <c r="R219" s="808"/>
      <c r="S219" s="808"/>
      <c r="T219" s="808"/>
      <c r="U219" s="808"/>
      <c r="V219" s="808"/>
      <c r="W219" s="808"/>
      <c r="X219" s="808"/>
      <c r="Y219" s="1128" t="s">
        <v>896</v>
      </c>
      <c r="Z219" s="7979">
        <v>11</v>
      </c>
      <c r="AA219" s="7980"/>
      <c r="AB219" s="7985">
        <f>ROUND(SUM(AB214,AB216),0)</f>
        <v>0</v>
      </c>
      <c r="AC219" s="7986"/>
      <c r="AD219" s="7986"/>
      <c r="AE219" s="7986"/>
      <c r="AF219" s="7986"/>
      <c r="AG219" s="7986"/>
      <c r="AH219" s="7986"/>
      <c r="AI219" s="7987"/>
      <c r="AJ219" s="7925"/>
      <c r="AK219" s="7935"/>
      <c r="AL219" s="1150"/>
      <c r="AM219" s="808"/>
      <c r="AN219" s="808"/>
      <c r="AO219" s="808"/>
      <c r="AP219" s="2162"/>
      <c r="AQ219" s="808"/>
      <c r="AR219" s="808"/>
      <c r="AS219" s="808"/>
      <c r="AT219" s="808"/>
      <c r="AU219" s="808"/>
      <c r="AV219" s="808"/>
      <c r="AW219" s="808"/>
      <c r="AX219" s="2396"/>
      <c r="AY219" s="3057"/>
      <c r="AZ219" s="3057"/>
      <c r="BA219" s="3057"/>
      <c r="BB219" s="3057"/>
      <c r="BC219" s="3057"/>
      <c r="BD219" s="3057"/>
      <c r="BE219" s="3057"/>
      <c r="BF219" s="3057"/>
      <c r="BG219" s="3057"/>
      <c r="BH219" s="3057"/>
    </row>
    <row r="220" spans="1:60" ht="13.5" customHeight="1">
      <c r="A220" s="3107"/>
      <c r="B220" s="8131"/>
      <c r="C220" s="8131"/>
      <c r="D220" s="808"/>
      <c r="E220" s="808"/>
      <c r="F220" s="2112"/>
      <c r="G220" s="808"/>
      <c r="H220" s="808"/>
      <c r="I220" s="808"/>
      <c r="J220" s="808"/>
      <c r="K220" s="808"/>
      <c r="L220" s="808"/>
      <c r="M220" s="808"/>
      <c r="N220" s="808"/>
      <c r="O220" s="808"/>
      <c r="P220" s="808"/>
      <c r="Q220" s="808"/>
      <c r="R220" s="808"/>
      <c r="S220" s="808"/>
      <c r="T220" s="808"/>
      <c r="U220" s="808"/>
      <c r="V220" s="808"/>
      <c r="W220" s="808"/>
      <c r="X220" s="808"/>
      <c r="Y220" s="808"/>
      <c r="Z220" s="8011"/>
      <c r="AA220" s="8012"/>
      <c r="AB220" s="1149"/>
      <c r="AC220" s="1142"/>
      <c r="AD220" s="1142"/>
      <c r="AE220" s="1142"/>
      <c r="AF220" s="1142"/>
      <c r="AG220" s="1142"/>
      <c r="AH220" s="1142"/>
      <c r="AI220" s="1143"/>
      <c r="AJ220" s="7925"/>
      <c r="AK220" s="7935"/>
      <c r="AL220" s="7944" t="str">
        <f>IF(AB221&gt;0,"Line 12 cannot be","")</f>
        <v/>
      </c>
      <c r="AM220" s="7945"/>
      <c r="AN220" s="7945"/>
      <c r="AO220" s="7945"/>
      <c r="AP220" s="2162"/>
      <c r="AQ220" s="808"/>
      <c r="AR220" s="808"/>
      <c r="AS220" s="808"/>
      <c r="AT220" s="808"/>
      <c r="AU220" s="808"/>
      <c r="AV220" s="808"/>
      <c r="AW220" s="808"/>
      <c r="AX220" s="2396"/>
      <c r="AY220" s="3057"/>
      <c r="AZ220" s="3057"/>
      <c r="BA220" s="3057"/>
      <c r="BB220" s="3057"/>
      <c r="BC220" s="3057"/>
      <c r="BD220" s="3057"/>
      <c r="BE220" s="3057"/>
      <c r="BF220" s="3057"/>
      <c r="BG220" s="3057"/>
      <c r="BH220" s="3057"/>
    </row>
    <row r="221" spans="1:60" ht="13.5" customHeight="1">
      <c r="A221" s="3107"/>
      <c r="B221" s="8131">
        <v>12</v>
      </c>
      <c r="C221" s="8131"/>
      <c r="D221" s="892" t="s">
        <v>3239</v>
      </c>
      <c r="E221" s="808"/>
      <c r="F221" s="2112"/>
      <c r="G221" s="808"/>
      <c r="H221" s="808"/>
      <c r="I221" s="808"/>
      <c r="J221" s="808"/>
      <c r="K221" s="808"/>
      <c r="L221" s="808"/>
      <c r="M221" s="808"/>
      <c r="N221" s="808"/>
      <c r="O221" s="808"/>
      <c r="P221" s="808"/>
      <c r="Q221" s="808"/>
      <c r="R221" s="808"/>
      <c r="S221" s="808"/>
      <c r="T221" s="808"/>
      <c r="U221" s="808"/>
      <c r="V221" s="808"/>
      <c r="W221" s="808"/>
      <c r="X221" s="808"/>
      <c r="Y221" s="1128" t="s">
        <v>990</v>
      </c>
      <c r="Z221" s="7979">
        <v>12</v>
      </c>
      <c r="AA221" s="7980"/>
      <c r="AB221" s="7918"/>
      <c r="AC221" s="7919"/>
      <c r="AD221" s="7919"/>
      <c r="AE221" s="7919"/>
      <c r="AF221" s="7919"/>
      <c r="AG221" s="7919"/>
      <c r="AH221" s="7919"/>
      <c r="AI221" s="7920"/>
      <c r="AJ221" s="7925"/>
      <c r="AK221" s="7935"/>
      <c r="AL221" s="7944" t="str">
        <f>IF(AB221&gt;0,"a positive number.","")</f>
        <v/>
      </c>
      <c r="AM221" s="7945"/>
      <c r="AN221" s="7945"/>
      <c r="AO221" s="7945"/>
      <c r="AP221" s="2162"/>
      <c r="AQ221" s="808"/>
      <c r="AR221" s="808"/>
      <c r="AS221" s="808"/>
      <c r="AT221" s="808"/>
      <c r="AU221" s="808"/>
      <c r="AV221" s="808"/>
      <c r="AW221" s="808"/>
      <c r="AX221" s="2396"/>
      <c r="AY221" s="3057"/>
      <c r="AZ221" s="3057"/>
      <c r="BA221" s="3057"/>
      <c r="BB221" s="3057"/>
      <c r="BC221" s="3057"/>
      <c r="BD221" s="3057"/>
      <c r="BE221" s="3057"/>
      <c r="BF221" s="3057"/>
      <c r="BG221" s="3057"/>
      <c r="BH221" s="3057"/>
    </row>
    <row r="222" spans="1:60" ht="18" customHeight="1">
      <c r="A222" s="3107"/>
      <c r="B222" s="8131"/>
      <c r="C222" s="8131"/>
      <c r="D222" s="808"/>
      <c r="E222" s="808"/>
      <c r="F222" s="2112"/>
      <c r="G222" s="808"/>
      <c r="H222" s="808"/>
      <c r="I222" s="808"/>
      <c r="J222" s="808"/>
      <c r="K222" s="808"/>
      <c r="L222" s="808"/>
      <c r="M222" s="808"/>
      <c r="N222" s="808"/>
      <c r="O222" s="808"/>
      <c r="P222" s="808"/>
      <c r="Q222" s="808"/>
      <c r="R222" s="808"/>
      <c r="S222" s="808"/>
      <c r="T222" s="808"/>
      <c r="U222" s="808"/>
      <c r="V222" s="808"/>
      <c r="W222" s="808"/>
      <c r="X222" s="808"/>
      <c r="Y222" s="808"/>
      <c r="Z222" s="8011"/>
      <c r="AA222" s="8012"/>
      <c r="AB222" s="1149"/>
      <c r="AC222" s="1142"/>
      <c r="AD222" s="1142"/>
      <c r="AE222" s="1142"/>
      <c r="AF222" s="1142"/>
      <c r="AG222" s="1142"/>
      <c r="AH222" s="1142"/>
      <c r="AI222" s="1143"/>
      <c r="AJ222" s="7925"/>
      <c r="AK222" s="7935"/>
      <c r="AL222" s="1150"/>
      <c r="AM222" s="808"/>
      <c r="AN222" s="808"/>
      <c r="AO222" s="808"/>
      <c r="AP222" s="2162"/>
      <c r="AQ222" s="808"/>
      <c r="AR222" s="808"/>
      <c r="AS222" s="808"/>
      <c r="AT222" s="808"/>
      <c r="AU222" s="808"/>
      <c r="AV222" s="808"/>
      <c r="AW222" s="808"/>
      <c r="AX222" s="2396"/>
      <c r="AY222" s="3057"/>
      <c r="AZ222" s="3057"/>
      <c r="BA222" s="3057"/>
      <c r="BB222" s="3057"/>
      <c r="BC222" s="3057"/>
      <c r="BD222" s="3057"/>
      <c r="BE222" s="3057"/>
      <c r="BF222" s="3057"/>
      <c r="BG222" s="3057"/>
      <c r="BH222" s="3057"/>
    </row>
    <row r="223" spans="1:60" ht="13.5" customHeight="1" thickBot="1">
      <c r="A223" s="3107"/>
      <c r="B223" s="8131">
        <v>13</v>
      </c>
      <c r="C223" s="8131"/>
      <c r="D223" s="892" t="s">
        <v>3240</v>
      </c>
      <c r="E223" s="808"/>
      <c r="F223" s="2112"/>
      <c r="G223" s="808"/>
      <c r="H223" s="808"/>
      <c r="I223" s="808"/>
      <c r="J223" s="808"/>
      <c r="K223" s="808"/>
      <c r="L223" s="808"/>
      <c r="M223" s="808"/>
      <c r="N223" s="808"/>
      <c r="O223" s="808"/>
      <c r="P223" s="808"/>
      <c r="Q223" s="808"/>
      <c r="R223" s="808"/>
      <c r="S223" s="808"/>
      <c r="T223" s="808"/>
      <c r="U223" s="808"/>
      <c r="V223" s="808"/>
      <c r="W223" s="808"/>
      <c r="X223" s="808"/>
      <c r="Y223" s="1128" t="s">
        <v>2114</v>
      </c>
      <c r="Z223" s="7979">
        <v>13</v>
      </c>
      <c r="AA223" s="7980"/>
      <c r="AB223" s="7918"/>
      <c r="AC223" s="7919"/>
      <c r="AD223" s="7919"/>
      <c r="AE223" s="7919"/>
      <c r="AF223" s="7919"/>
      <c r="AG223" s="7919"/>
      <c r="AH223" s="7919"/>
      <c r="AI223" s="7920"/>
      <c r="AJ223" s="7925"/>
      <c r="AK223" s="7935"/>
      <c r="AL223" s="1150"/>
      <c r="AM223" s="808"/>
      <c r="AN223" s="808"/>
      <c r="AO223" s="808"/>
      <c r="AP223" s="2162"/>
      <c r="AQ223" s="808"/>
      <c r="AR223" s="808"/>
      <c r="AS223" s="808"/>
      <c r="AT223" s="808"/>
      <c r="AU223" s="808"/>
      <c r="AV223" s="808"/>
      <c r="AW223" s="808"/>
      <c r="AX223" s="2396"/>
      <c r="AY223" s="3057"/>
      <c r="AZ223" s="3057"/>
      <c r="BA223" s="3057"/>
      <c r="BB223" s="3057"/>
      <c r="BC223" s="3057"/>
      <c r="BD223" s="3057"/>
      <c r="BE223" s="3057"/>
      <c r="BF223" s="3057"/>
      <c r="BG223" s="3057"/>
      <c r="BH223" s="3057"/>
    </row>
    <row r="224" spans="1:60" ht="13.5" customHeight="1">
      <c r="A224" s="3107"/>
      <c r="B224" s="8131"/>
      <c r="C224" s="8131"/>
      <c r="D224" s="808"/>
      <c r="E224" s="808"/>
      <c r="F224" s="2112"/>
      <c r="G224" s="808"/>
      <c r="H224" s="808"/>
      <c r="I224" s="808"/>
      <c r="J224" s="808"/>
      <c r="K224" s="808"/>
      <c r="L224" s="808"/>
      <c r="M224" s="808"/>
      <c r="N224" s="808"/>
      <c r="O224" s="808"/>
      <c r="P224" s="808"/>
      <c r="Q224" s="808"/>
      <c r="R224" s="808"/>
      <c r="S224" s="808"/>
      <c r="T224" s="808"/>
      <c r="U224" s="808"/>
      <c r="V224" s="808"/>
      <c r="W224" s="808"/>
      <c r="X224" s="808"/>
      <c r="Y224" s="808"/>
      <c r="Z224" s="808"/>
      <c r="AA224" s="808"/>
      <c r="AB224" s="808"/>
      <c r="AC224" s="808"/>
      <c r="AD224" s="808"/>
      <c r="AE224" s="808"/>
      <c r="AF224" s="808"/>
      <c r="AG224" s="808"/>
      <c r="AH224" s="808"/>
      <c r="AI224" s="808"/>
      <c r="AJ224" s="1149"/>
      <c r="AK224" s="1143"/>
      <c r="AL224" s="1149"/>
      <c r="AM224" s="1142"/>
      <c r="AN224" s="1142"/>
      <c r="AO224" s="1142"/>
      <c r="AP224" s="2162"/>
      <c r="AQ224" s="808"/>
      <c r="AR224" s="808"/>
      <c r="AS224" s="808"/>
      <c r="AT224" s="808"/>
      <c r="AU224" s="808"/>
      <c r="AV224" s="808"/>
      <c r="AW224" s="808"/>
      <c r="AX224" s="4817"/>
      <c r="AY224" s="4818"/>
      <c r="AZ224" s="4818"/>
      <c r="BA224" s="4818"/>
      <c r="BB224" s="4818"/>
      <c r="BC224" s="4818"/>
      <c r="BD224" s="4818"/>
      <c r="BE224" s="4818"/>
      <c r="BF224" s="4818"/>
      <c r="BG224" s="4818"/>
      <c r="BH224" s="4819"/>
    </row>
    <row r="225" spans="1:60" ht="13.5" customHeight="1">
      <c r="A225" s="3107"/>
      <c r="B225" s="8131">
        <v>14</v>
      </c>
      <c r="C225" s="8131"/>
      <c r="D225" s="892" t="s">
        <v>3241</v>
      </c>
      <c r="E225" s="808"/>
      <c r="F225" s="2112"/>
      <c r="G225" s="808"/>
      <c r="H225" s="808"/>
      <c r="I225" s="808"/>
      <c r="J225" s="808"/>
      <c r="K225" s="808"/>
      <c r="L225" s="808"/>
      <c r="M225" s="808"/>
      <c r="N225" s="808"/>
      <c r="O225" s="808"/>
      <c r="P225" s="808"/>
      <c r="Q225" s="808"/>
      <c r="R225" s="808"/>
      <c r="S225" s="808"/>
      <c r="T225" s="808"/>
      <c r="U225" s="808"/>
      <c r="V225" s="808"/>
      <c r="W225" s="808"/>
      <c r="X225" s="808"/>
      <c r="Y225" s="808"/>
      <c r="Z225" s="808"/>
      <c r="AA225" s="808"/>
      <c r="AB225" s="808"/>
      <c r="AC225" s="808"/>
      <c r="AD225" s="808"/>
      <c r="AE225" s="808"/>
      <c r="AF225" s="808"/>
      <c r="AG225" s="808"/>
      <c r="AH225" s="808"/>
      <c r="AI225" s="1128" t="s">
        <v>2114</v>
      </c>
      <c r="AJ225" s="7979">
        <v>14</v>
      </c>
      <c r="AK225" s="7980"/>
      <c r="AL225" s="7916">
        <f>SUM(AB219,AB221,AB223)</f>
        <v>0</v>
      </c>
      <c r="AM225" s="6829"/>
      <c r="AN225" s="6829"/>
      <c r="AO225" s="6829"/>
      <c r="AP225" s="2162"/>
      <c r="AQ225" s="808"/>
      <c r="AR225" s="808"/>
      <c r="AS225" s="808"/>
      <c r="AT225" s="808"/>
      <c r="AU225" s="808"/>
      <c r="AV225" s="808"/>
      <c r="AW225" s="808"/>
      <c r="AX225" s="4820" t="s">
        <v>3242</v>
      </c>
      <c r="AY225" s="4821"/>
      <c r="AZ225" s="3225"/>
      <c r="BA225" s="3225"/>
      <c r="BB225" s="3225"/>
      <c r="BC225" s="3225"/>
      <c r="BD225" s="3225"/>
      <c r="BE225" s="3225"/>
      <c r="BF225" s="3225"/>
      <c r="BG225" s="3225"/>
      <c r="BH225" s="4822"/>
    </row>
    <row r="226" spans="1:60" ht="18" customHeight="1">
      <c r="A226" s="3107"/>
      <c r="B226" s="8131">
        <v>15</v>
      </c>
      <c r="C226" s="8131"/>
      <c r="D226" s="808" t="s">
        <v>3243</v>
      </c>
      <c r="E226" s="808"/>
      <c r="F226" s="2112"/>
      <c r="G226" s="808"/>
      <c r="H226" s="808"/>
      <c r="I226" s="808"/>
      <c r="J226" s="808"/>
      <c r="K226" s="808"/>
      <c r="L226" s="808"/>
      <c r="M226" s="808"/>
      <c r="N226" s="808"/>
      <c r="O226" s="808"/>
      <c r="P226" s="808"/>
      <c r="Q226" s="808"/>
      <c r="R226" s="808"/>
      <c r="S226" s="808"/>
      <c r="T226" s="808"/>
      <c r="U226" s="808"/>
      <c r="V226" s="808"/>
      <c r="W226" s="808"/>
      <c r="X226" s="808"/>
      <c r="Y226" s="808"/>
      <c r="Z226" s="7933"/>
      <c r="AA226" s="7934"/>
      <c r="AB226" s="1150"/>
      <c r="AC226" s="808"/>
      <c r="AD226" s="808"/>
      <c r="AE226" s="808"/>
      <c r="AF226" s="808"/>
      <c r="AG226" s="808"/>
      <c r="AH226" s="808"/>
      <c r="AI226" s="1151"/>
      <c r="AJ226" s="7925"/>
      <c r="AK226" s="7935"/>
      <c r="AL226" s="1150"/>
      <c r="AM226" s="808"/>
      <c r="AN226" s="808"/>
      <c r="AO226" s="808"/>
      <c r="AP226" s="2162"/>
      <c r="AQ226" s="808"/>
      <c r="AR226" s="808"/>
      <c r="AS226" s="808"/>
      <c r="AT226" s="808"/>
      <c r="AU226" s="808"/>
      <c r="AV226" s="808"/>
      <c r="AW226" s="808"/>
      <c r="AX226" s="4823" t="b">
        <f>AND(CGTW_Line5&gt;0,CGTW_Line5&lt;&gt;"")</f>
        <v>0</v>
      </c>
      <c r="AY226" s="4821" t="s">
        <v>3244</v>
      </c>
      <c r="AZ226" s="3225"/>
      <c r="BA226" s="3225"/>
      <c r="BB226" s="3225"/>
      <c r="BC226" s="3225"/>
      <c r="BD226" s="3225"/>
      <c r="BE226" s="3225"/>
      <c r="BF226" s="3225"/>
      <c r="BG226" s="3225"/>
      <c r="BH226" s="4822"/>
    </row>
    <row r="227" spans="1:60" ht="13.5" customHeight="1">
      <c r="A227" s="3107"/>
      <c r="B227" s="8131"/>
      <c r="C227" s="8131"/>
      <c r="D227" s="808" t="s">
        <v>3245</v>
      </c>
      <c r="E227" s="808"/>
      <c r="F227" s="2112"/>
      <c r="G227" s="808"/>
      <c r="H227" s="808"/>
      <c r="I227" s="808"/>
      <c r="J227" s="808"/>
      <c r="K227" s="808"/>
      <c r="L227" s="808"/>
      <c r="M227" s="808"/>
      <c r="N227" s="808"/>
      <c r="O227" s="808"/>
      <c r="P227" s="808"/>
      <c r="Q227" s="808"/>
      <c r="R227" s="808"/>
      <c r="S227" s="808"/>
      <c r="T227" s="808"/>
      <c r="U227" s="808"/>
      <c r="V227" s="808"/>
      <c r="W227" s="808"/>
      <c r="X227" s="808"/>
      <c r="Y227" s="808"/>
      <c r="Z227" s="7933"/>
      <c r="AA227" s="7934"/>
      <c r="AB227" s="1150"/>
      <c r="AC227" s="808"/>
      <c r="AD227" s="808"/>
      <c r="AE227" s="808"/>
      <c r="AF227" s="808"/>
      <c r="AG227" s="808"/>
      <c r="AH227" s="808"/>
      <c r="AI227" s="1151"/>
      <c r="AJ227" s="7925"/>
      <c r="AK227" s="7935"/>
      <c r="AL227" s="1150"/>
      <c r="AM227" s="808"/>
      <c r="AN227" s="808"/>
      <c r="AO227" s="808"/>
      <c r="AP227" s="2162"/>
      <c r="AQ227" s="808"/>
      <c r="AR227" s="808"/>
      <c r="AS227" s="808"/>
      <c r="AT227" s="808"/>
      <c r="AU227" s="808"/>
      <c r="AV227" s="808"/>
      <c r="AW227" s="808"/>
      <c r="AX227" s="4823" t="b">
        <f>AND(CGTW_Line23&lt;CGTW_Line24,CGTW_Line23&lt;&gt;"",CGTW_Line24&lt;&gt;"")</f>
        <v>0</v>
      </c>
      <c r="AY227" s="4821" t="s">
        <v>3246</v>
      </c>
      <c r="AZ227" s="3225"/>
      <c r="BA227" s="3225"/>
      <c r="BB227" s="3225"/>
      <c r="BC227" s="3225"/>
      <c r="BD227" s="3225"/>
      <c r="BE227" s="3225"/>
      <c r="BF227" s="3225"/>
      <c r="BG227" s="3225"/>
      <c r="BH227" s="4822"/>
    </row>
    <row r="228" spans="1:60" ht="13.5" customHeight="1">
      <c r="A228" s="3107"/>
      <c r="B228" s="2194"/>
      <c r="C228" s="2194"/>
      <c r="D228" s="893" t="s">
        <v>3247</v>
      </c>
      <c r="E228" s="808"/>
      <c r="F228" s="808"/>
      <c r="G228" s="808"/>
      <c r="H228" s="808"/>
      <c r="I228" s="808"/>
      <c r="J228" s="808"/>
      <c r="K228" s="808"/>
      <c r="L228" s="808"/>
      <c r="M228" s="808"/>
      <c r="N228" s="808"/>
      <c r="O228" s="808"/>
      <c r="P228" s="808"/>
      <c r="Q228" s="808"/>
      <c r="R228" s="808"/>
      <c r="S228" s="808"/>
      <c r="T228" s="808"/>
      <c r="U228" s="808"/>
      <c r="V228" s="808"/>
      <c r="W228" s="808"/>
      <c r="X228" s="808"/>
      <c r="Y228" s="1128" t="s">
        <v>888</v>
      </c>
      <c r="Z228" s="7979">
        <v>15</v>
      </c>
      <c r="AA228" s="8041"/>
      <c r="AB228" s="7985" t="str">
        <f>AL193</f>
        <v/>
      </c>
      <c r="AC228" s="7986"/>
      <c r="AD228" s="7986"/>
      <c r="AE228" s="7986"/>
      <c r="AF228" s="7986"/>
      <c r="AG228" s="7986"/>
      <c r="AH228" s="7986"/>
      <c r="AI228" s="7987"/>
      <c r="AJ228" s="7925"/>
      <c r="AK228" s="7935"/>
      <c r="AL228" s="1150"/>
      <c r="AM228" s="808"/>
      <c r="AN228" s="808"/>
      <c r="AO228" s="808"/>
      <c r="AP228" s="2162"/>
      <c r="AQ228" s="808"/>
      <c r="AR228" s="808"/>
      <c r="AS228" s="808"/>
      <c r="AT228" s="808"/>
      <c r="AU228" s="808"/>
      <c r="AV228" s="808"/>
      <c r="AW228" s="808"/>
      <c r="AX228" s="4824" t="b">
        <f>AND(AX226,AX227)</f>
        <v>0</v>
      </c>
      <c r="AY228" s="4821"/>
      <c r="AZ228" s="3225"/>
      <c r="BA228" s="3225"/>
      <c r="BB228" s="3225"/>
      <c r="BC228" s="3225"/>
      <c r="BD228" s="3225"/>
      <c r="BE228" s="3225"/>
      <c r="BF228" s="3225"/>
      <c r="BG228" s="3225"/>
      <c r="BH228" s="4822"/>
    </row>
    <row r="229" spans="1:60" ht="13.5" customHeight="1">
      <c r="A229" s="3107"/>
      <c r="B229" s="8131">
        <v>16</v>
      </c>
      <c r="C229" s="8131"/>
      <c r="D229" s="1746" t="s">
        <v>3248</v>
      </c>
      <c r="E229" s="1040"/>
      <c r="F229" s="1410"/>
      <c r="G229" s="808"/>
      <c r="H229" s="808"/>
      <c r="I229" s="808"/>
      <c r="J229" s="808"/>
      <c r="K229" s="808"/>
      <c r="L229" s="808"/>
      <c r="M229" s="808"/>
      <c r="N229" s="808"/>
      <c r="O229" s="808"/>
      <c r="P229" s="2177"/>
      <c r="Q229" s="1040"/>
      <c r="R229" s="1410"/>
      <c r="S229" s="892"/>
      <c r="T229" s="808"/>
      <c r="U229" s="808"/>
      <c r="V229" s="808"/>
      <c r="W229" s="808"/>
      <c r="X229" s="808"/>
      <c r="Y229" s="1128" t="s">
        <v>922</v>
      </c>
      <c r="Z229" s="8042">
        <v>16</v>
      </c>
      <c r="AA229" s="7569"/>
      <c r="AB229" s="7918"/>
      <c r="AC229" s="7919"/>
      <c r="AD229" s="7919"/>
      <c r="AE229" s="7919"/>
      <c r="AF229" s="7919"/>
      <c r="AG229" s="7919"/>
      <c r="AH229" s="7919"/>
      <c r="AI229" s="7920"/>
      <c r="AJ229" s="7925"/>
      <c r="AK229" s="7935"/>
      <c r="AL229" s="1150"/>
      <c r="AM229" s="808"/>
      <c r="AN229" s="808"/>
      <c r="AO229" s="808"/>
      <c r="AP229" s="2162"/>
      <c r="AQ229" s="808"/>
      <c r="AR229" s="808"/>
      <c r="AS229" s="808"/>
      <c r="AT229" s="808"/>
      <c r="AU229" s="808"/>
      <c r="AV229" s="808"/>
      <c r="AW229" s="808"/>
      <c r="AX229" s="4825" t="s">
        <v>3249</v>
      </c>
      <c r="AY229" s="4821"/>
      <c r="AZ229" s="3225"/>
      <c r="BA229" s="3225"/>
      <c r="BB229" s="3225"/>
      <c r="BC229" s="3225"/>
      <c r="BD229" s="3225"/>
      <c r="BE229" s="3225"/>
      <c r="BF229" s="3225"/>
      <c r="BG229" s="3225"/>
      <c r="BH229" s="4822"/>
    </row>
    <row r="230" spans="1:60" ht="21" customHeight="1" thickBot="1">
      <c r="A230" s="3107"/>
      <c r="B230" s="8131">
        <v>17</v>
      </c>
      <c r="C230" s="8131"/>
      <c r="D230" s="892" t="s">
        <v>3250</v>
      </c>
      <c r="E230" s="808"/>
      <c r="F230" s="2112"/>
      <c r="G230" s="808"/>
      <c r="H230" s="808"/>
      <c r="I230" s="808"/>
      <c r="J230" s="808"/>
      <c r="K230" s="808"/>
      <c r="L230" s="808"/>
      <c r="M230" s="808"/>
      <c r="N230" s="808"/>
      <c r="O230" s="808"/>
      <c r="P230" s="808"/>
      <c r="Q230" s="808"/>
      <c r="R230" s="808"/>
      <c r="S230" s="808"/>
      <c r="T230" s="808"/>
      <c r="U230" s="808"/>
      <c r="V230" s="808"/>
      <c r="W230" s="808"/>
      <c r="X230" s="808"/>
      <c r="Y230" s="808"/>
      <c r="Z230" s="7933"/>
      <c r="AA230" s="7934"/>
      <c r="AB230" s="1150"/>
      <c r="AC230" s="808"/>
      <c r="AD230" s="808"/>
      <c r="AE230" s="808"/>
      <c r="AF230" s="808"/>
      <c r="AG230" s="808"/>
      <c r="AH230" s="808"/>
      <c r="AI230" s="1151"/>
      <c r="AJ230" s="7925"/>
      <c r="AK230" s="7935"/>
      <c r="AL230" s="1150"/>
      <c r="AM230" s="808"/>
      <c r="AN230" s="808"/>
      <c r="AO230" s="808"/>
      <c r="AP230" s="2162"/>
      <c r="AQ230" s="808"/>
      <c r="AR230" s="808"/>
      <c r="AS230" s="808"/>
      <c r="AT230" s="808"/>
      <c r="AU230" s="808"/>
      <c r="AV230" s="808"/>
      <c r="AW230" s="808"/>
      <c r="AX230" s="4826" t="s">
        <v>3251</v>
      </c>
      <c r="AY230" s="4827"/>
      <c r="AZ230" s="4828"/>
      <c r="BA230" s="4828"/>
      <c r="BB230" s="4828"/>
      <c r="BC230" s="4828"/>
      <c r="BD230" s="4828"/>
      <c r="BE230" s="4828"/>
      <c r="BF230" s="4828"/>
      <c r="BG230" s="4828"/>
      <c r="BH230" s="4829"/>
    </row>
    <row r="231" spans="1:60" ht="15">
      <c r="A231" s="3107"/>
      <c r="B231" s="8131"/>
      <c r="C231" s="8131"/>
      <c r="D231" s="808" t="s">
        <v>3252</v>
      </c>
      <c r="E231" s="808"/>
      <c r="F231" s="2112"/>
      <c r="G231" s="808"/>
      <c r="H231" s="808"/>
      <c r="I231" s="808"/>
      <c r="J231" s="808"/>
      <c r="K231" s="808"/>
      <c r="L231" s="808"/>
      <c r="M231" s="808"/>
      <c r="N231" s="808"/>
      <c r="O231" s="808"/>
      <c r="P231" s="808"/>
      <c r="Q231" s="808"/>
      <c r="R231" s="808"/>
      <c r="S231" s="808"/>
      <c r="T231" s="808"/>
      <c r="U231" s="808"/>
      <c r="V231" s="808"/>
      <c r="W231" s="808"/>
      <c r="X231" s="808"/>
      <c r="Y231" s="808"/>
      <c r="Z231" s="7933"/>
      <c r="AA231" s="7934"/>
      <c r="AB231" s="1150"/>
      <c r="AC231" s="808"/>
      <c r="AD231" s="808"/>
      <c r="AE231" s="808"/>
      <c r="AF231" s="808"/>
      <c r="AG231" s="808"/>
      <c r="AH231" s="808"/>
      <c r="AI231" s="1151"/>
      <c r="AJ231" s="7925"/>
      <c r="AK231" s="7935"/>
      <c r="AL231" s="1150"/>
      <c r="AM231" s="808"/>
      <c r="AN231" s="808"/>
      <c r="AO231" s="808"/>
      <c r="AP231" s="2162"/>
      <c r="AQ231" s="808"/>
      <c r="AR231" s="808"/>
      <c r="AS231" s="808"/>
      <c r="AT231" s="808"/>
      <c r="AU231" s="808"/>
      <c r="AV231" s="808"/>
      <c r="AW231" s="808"/>
      <c r="AX231" s="7902" t="s">
        <v>3253</v>
      </c>
      <c r="AY231" s="7903"/>
      <c r="AZ231" s="7903"/>
      <c r="BA231" s="7903"/>
      <c r="BB231" s="7903"/>
      <c r="BC231" s="7903"/>
      <c r="BD231" s="7903"/>
      <c r="BE231" s="7903"/>
      <c r="BF231" s="7906" t="s">
        <v>1057</v>
      </c>
      <c r="BG231" s="7906"/>
      <c r="BH231" s="3229"/>
    </row>
    <row r="232" spans="1:60" ht="12.75" customHeight="1">
      <c r="A232" s="3107"/>
      <c r="B232" s="8131"/>
      <c r="C232" s="8131"/>
      <c r="D232" s="808" t="s">
        <v>3254</v>
      </c>
      <c r="E232" s="808"/>
      <c r="F232" s="2112"/>
      <c r="G232" s="808"/>
      <c r="H232" s="808"/>
      <c r="I232" s="808"/>
      <c r="J232" s="808"/>
      <c r="K232" s="808"/>
      <c r="L232" s="808"/>
      <c r="M232" s="808"/>
      <c r="N232" s="808"/>
      <c r="O232" s="808"/>
      <c r="P232" s="808"/>
      <c r="Q232" s="808"/>
      <c r="R232" s="808"/>
      <c r="S232" s="808"/>
      <c r="T232" s="808"/>
      <c r="U232" s="808"/>
      <c r="V232" s="808"/>
      <c r="W232" s="808"/>
      <c r="X232" s="808"/>
      <c r="Y232" s="808"/>
      <c r="Z232" s="7933"/>
      <c r="AA232" s="7934"/>
      <c r="AB232" s="1150"/>
      <c r="AC232" s="808"/>
      <c r="AD232" s="808"/>
      <c r="AE232" s="808"/>
      <c r="AF232" s="808"/>
      <c r="AG232" s="808"/>
      <c r="AH232" s="808"/>
      <c r="AI232" s="1151"/>
      <c r="AJ232" s="7925"/>
      <c r="AK232" s="7935"/>
      <c r="AL232" s="1150"/>
      <c r="AM232" s="808"/>
      <c r="AN232" s="808"/>
      <c r="AO232" s="808"/>
      <c r="AP232" s="2162"/>
      <c r="AQ232" s="808"/>
      <c r="AR232" s="808"/>
      <c r="AS232" s="808"/>
      <c r="AT232" s="808"/>
      <c r="AU232" s="808"/>
      <c r="AV232" s="808"/>
      <c r="AW232" s="808"/>
      <c r="AX232" s="7904"/>
      <c r="AY232" s="7905"/>
      <c r="AZ232" s="7905"/>
      <c r="BA232" s="7905"/>
      <c r="BB232" s="7905"/>
      <c r="BC232" s="7905"/>
      <c r="BD232" s="7905"/>
      <c r="BE232" s="7905"/>
      <c r="BF232" s="7907"/>
      <c r="BG232" s="7907"/>
      <c r="BH232" s="3230"/>
    </row>
    <row r="233" spans="1:60" ht="12.75" customHeight="1">
      <c r="A233" s="3107"/>
      <c r="B233" s="8131"/>
      <c r="C233" s="8131"/>
      <c r="D233" s="808" t="s">
        <v>3255</v>
      </c>
      <c r="E233" s="808"/>
      <c r="F233" s="2112"/>
      <c r="G233" s="808"/>
      <c r="H233" s="808"/>
      <c r="I233" s="808"/>
      <c r="J233" s="808"/>
      <c r="K233" s="808"/>
      <c r="L233" s="808"/>
      <c r="M233" s="808"/>
      <c r="N233" s="808"/>
      <c r="O233" s="808"/>
      <c r="P233" s="808"/>
      <c r="Q233" s="808"/>
      <c r="R233" s="808"/>
      <c r="S233" s="808"/>
      <c r="T233" s="808"/>
      <c r="U233" s="808"/>
      <c r="V233" s="808"/>
      <c r="W233" s="808"/>
      <c r="X233" s="808"/>
      <c r="Y233" s="808"/>
      <c r="Z233" s="7933"/>
      <c r="AA233" s="7934"/>
      <c r="AB233" s="1150"/>
      <c r="AC233" s="808"/>
      <c r="AD233" s="808"/>
      <c r="AE233" s="808"/>
      <c r="AF233" s="808"/>
      <c r="AG233" s="808"/>
      <c r="AH233" s="808"/>
      <c r="AI233" s="1151"/>
      <c r="AJ233" s="7925"/>
      <c r="AK233" s="7935"/>
      <c r="AL233" s="1150"/>
      <c r="AM233" s="808"/>
      <c r="AN233" s="808"/>
      <c r="AO233" s="808"/>
      <c r="AP233" s="2162"/>
      <c r="AQ233" s="808"/>
      <c r="AR233" s="808"/>
      <c r="AS233" s="808"/>
      <c r="AT233" s="808"/>
      <c r="AU233" s="808"/>
      <c r="AV233" s="808"/>
      <c r="AW233" s="808"/>
      <c r="AX233" s="3231"/>
      <c r="AY233" s="1598"/>
      <c r="AZ233" s="1598"/>
      <c r="BA233" s="1598"/>
      <c r="BB233" s="1598"/>
      <c r="BC233" s="1598"/>
      <c r="BD233" s="1598"/>
      <c r="BE233" s="1598"/>
      <c r="BF233" s="1598"/>
      <c r="BG233" s="1598"/>
      <c r="BH233" s="3232"/>
    </row>
    <row r="234" spans="1:60" ht="12.75" customHeight="1">
      <c r="A234" s="3107"/>
      <c r="B234" s="2194"/>
      <c r="C234" s="2194"/>
      <c r="D234" s="893" t="s">
        <v>3256</v>
      </c>
      <c r="E234" s="808"/>
      <c r="F234" s="808"/>
      <c r="G234" s="808"/>
      <c r="H234" s="808"/>
      <c r="I234" s="808"/>
      <c r="J234" s="808"/>
      <c r="K234" s="808"/>
      <c r="L234" s="808"/>
      <c r="M234" s="808"/>
      <c r="N234" s="808"/>
      <c r="O234" s="808"/>
      <c r="P234" s="808"/>
      <c r="Q234" s="808"/>
      <c r="R234" s="808"/>
      <c r="S234" s="808"/>
      <c r="T234" s="808"/>
      <c r="U234" s="808"/>
      <c r="V234" s="808"/>
      <c r="W234" s="808"/>
      <c r="X234" s="808"/>
      <c r="Y234" s="1128" t="s">
        <v>990</v>
      </c>
      <c r="Z234" s="7979">
        <v>17</v>
      </c>
      <c r="AA234" s="8041"/>
      <c r="AB234" s="7985">
        <f>SUM(AB228,AB229)</f>
        <v>0</v>
      </c>
      <c r="AC234" s="7986"/>
      <c r="AD234" s="7986"/>
      <c r="AE234" s="7986"/>
      <c r="AF234" s="7986"/>
      <c r="AG234" s="7986"/>
      <c r="AH234" s="7986"/>
      <c r="AI234" s="7987"/>
      <c r="AJ234" s="7925"/>
      <c r="AK234" s="7935"/>
      <c r="AL234" s="7940"/>
      <c r="AM234" s="7941"/>
      <c r="AN234" s="7941"/>
      <c r="AO234" s="7941"/>
      <c r="AP234" s="2162"/>
      <c r="AQ234" s="8158" t="str">
        <f>IF(AND(AL225&gt;0,AB235),"Skip lines 18 through 24.","")</f>
        <v/>
      </c>
      <c r="AR234" s="8158"/>
      <c r="AS234" s="8158"/>
      <c r="AT234" s="8158"/>
      <c r="AU234" s="8158"/>
      <c r="AV234" s="808"/>
      <c r="AW234" s="808"/>
      <c r="AX234" s="3231"/>
      <c r="AY234" s="3233" t="s">
        <v>3257</v>
      </c>
      <c r="AZ234" s="1598"/>
      <c r="BA234" s="1598"/>
      <c r="BB234" s="1598"/>
      <c r="BC234" s="1598"/>
      <c r="BD234" s="1598"/>
      <c r="BE234" s="1598"/>
      <c r="BF234" s="1598"/>
      <c r="BG234" s="1598"/>
      <c r="BH234" s="3232"/>
    </row>
    <row r="235" spans="1:60" ht="20.25" customHeight="1">
      <c r="A235" s="3107"/>
      <c r="B235" s="8131">
        <v>18</v>
      </c>
      <c r="C235" s="8131"/>
      <c r="D235" s="892" t="s">
        <v>3258</v>
      </c>
      <c r="E235" s="808"/>
      <c r="F235" s="2112"/>
      <c r="G235" s="808"/>
      <c r="H235" s="808"/>
      <c r="I235" s="808"/>
      <c r="J235" s="808"/>
      <c r="K235" s="808"/>
      <c r="L235" s="808"/>
      <c r="M235" s="808"/>
      <c r="N235" s="808"/>
      <c r="O235" s="808"/>
      <c r="P235" s="808"/>
      <c r="Q235" s="808"/>
      <c r="R235" s="808"/>
      <c r="S235" s="808"/>
      <c r="T235" s="808"/>
      <c r="U235" s="808"/>
      <c r="V235" s="808"/>
      <c r="W235" s="808"/>
      <c r="X235" s="808"/>
      <c r="Y235" s="808"/>
      <c r="Z235" s="7933"/>
      <c r="AA235" s="7934"/>
      <c r="AB235" s="8043" t="b">
        <f>AND(AB234&lt;=0,AQ237="")</f>
        <v>1</v>
      </c>
      <c r="AC235" s="7694"/>
      <c r="AD235" s="7694"/>
      <c r="AE235" s="7694"/>
      <c r="AF235" s="7694"/>
      <c r="AG235" s="7694"/>
      <c r="AH235" s="7694"/>
      <c r="AI235" s="8044"/>
      <c r="AJ235" s="7925"/>
      <c r="AK235" s="7935"/>
      <c r="AL235" s="7936"/>
      <c r="AM235" s="7937"/>
      <c r="AN235" s="7937"/>
      <c r="AO235" s="7937"/>
      <c r="AP235" s="2162"/>
      <c r="AQ235" s="2931"/>
      <c r="AR235" s="3827"/>
      <c r="AS235" s="3827"/>
      <c r="AT235" s="3827"/>
      <c r="AU235" s="780"/>
      <c r="AV235" s="780"/>
      <c r="AW235" s="1079"/>
      <c r="AX235" s="3231"/>
      <c r="AY235" s="1598"/>
      <c r="AZ235" s="1598"/>
      <c r="BA235" s="1598"/>
      <c r="BB235" s="1598"/>
      <c r="BC235" s="1598"/>
      <c r="BD235" s="1598"/>
      <c r="BE235" s="1598"/>
      <c r="BF235" s="1598"/>
      <c r="BG235" s="1598"/>
      <c r="BH235" s="3232"/>
    </row>
    <row r="236" spans="1:60" ht="14.25" customHeight="1">
      <c r="A236" s="3107"/>
      <c r="B236" s="8131"/>
      <c r="C236" s="8131"/>
      <c r="D236" s="892" t="s">
        <v>3303</v>
      </c>
      <c r="E236" s="808"/>
      <c r="F236" s="2112"/>
      <c r="G236" s="808"/>
      <c r="H236" s="808"/>
      <c r="I236" s="808"/>
      <c r="J236" s="808"/>
      <c r="K236" s="808"/>
      <c r="L236" s="808"/>
      <c r="M236" s="808"/>
      <c r="N236" s="808"/>
      <c r="O236" s="808"/>
      <c r="P236" s="808"/>
      <c r="Q236" s="808"/>
      <c r="R236" s="808"/>
      <c r="S236" s="808"/>
      <c r="T236" s="808"/>
      <c r="U236" s="808"/>
      <c r="V236" s="808"/>
      <c r="W236" s="808"/>
      <c r="X236" s="808"/>
      <c r="Y236" s="808"/>
      <c r="Z236" s="7933"/>
      <c r="AA236" s="7934"/>
      <c r="AB236" s="1150"/>
      <c r="AC236" s="808"/>
      <c r="AD236" s="808"/>
      <c r="AE236" s="808"/>
      <c r="AF236" s="808"/>
      <c r="AG236" s="808"/>
      <c r="AH236" s="808"/>
      <c r="AI236" s="1151"/>
      <c r="AJ236" s="7925"/>
      <c r="AK236" s="7935"/>
      <c r="AL236" s="1150"/>
      <c r="AM236" s="808"/>
      <c r="AN236" s="808"/>
      <c r="AO236" s="808"/>
      <c r="AP236" s="2162"/>
      <c r="AQ236" s="2162"/>
      <c r="AR236" s="2162"/>
      <c r="AS236" s="2162"/>
      <c r="AT236" s="2162"/>
      <c r="AU236" s="2162"/>
      <c r="AV236" s="808"/>
      <c r="AW236" s="808"/>
      <c r="AX236" s="3234"/>
      <c r="AY236" s="3233"/>
      <c r="AZ236" s="1598"/>
      <c r="BA236" s="1598"/>
      <c r="BB236" s="1598"/>
      <c r="BC236" s="1598"/>
      <c r="BD236" s="1598"/>
      <c r="BE236" s="1598"/>
      <c r="BF236" s="1598"/>
      <c r="BG236" s="1598"/>
      <c r="BH236" s="3232"/>
    </row>
    <row r="237" spans="1:60" s="649" customFormat="1" ht="13.5" customHeight="1">
      <c r="A237" s="3110"/>
      <c r="B237" s="3831"/>
      <c r="C237" s="3831"/>
      <c r="D237" s="1460" t="s">
        <v>3260</v>
      </c>
      <c r="E237" s="893"/>
      <c r="F237" s="893"/>
      <c r="G237" s="893"/>
      <c r="H237" s="893"/>
      <c r="I237" s="893"/>
      <c r="J237" s="893"/>
      <c r="K237" s="893"/>
      <c r="L237" s="893"/>
      <c r="M237" s="893"/>
      <c r="N237" s="893"/>
      <c r="O237" s="893"/>
      <c r="P237" s="893"/>
      <c r="Q237" s="893"/>
      <c r="R237" s="893"/>
      <c r="S237" s="893"/>
      <c r="T237" s="893"/>
      <c r="U237" s="893"/>
      <c r="V237" s="893"/>
      <c r="W237" s="893"/>
      <c r="X237" s="893"/>
      <c r="Y237" s="2995" t="s">
        <v>888</v>
      </c>
      <c r="Z237" s="8152">
        <v>18</v>
      </c>
      <c r="AA237" s="8153"/>
      <c r="AB237" s="7985" t="str">
        <f>IF(AQ237&lt;&gt;"",ROUND(AQ237,0),IF(AB235,"",IF(AX228,BG250,Taxable_Inc)))</f>
        <v/>
      </c>
      <c r="AC237" s="7986"/>
      <c r="AD237" s="7986"/>
      <c r="AE237" s="7986"/>
      <c r="AF237" s="7986"/>
      <c r="AG237" s="7986"/>
      <c r="AH237" s="7986"/>
      <c r="AI237" s="7987"/>
      <c r="AJ237" s="8174"/>
      <c r="AK237" s="8175"/>
      <c r="AL237" s="3832"/>
      <c r="AM237" s="893"/>
      <c r="AN237" s="893"/>
      <c r="AO237" s="893"/>
      <c r="AP237" s="2191"/>
      <c r="AQ237" s="8146"/>
      <c r="AR237" s="8147"/>
      <c r="AS237" s="8147"/>
      <c r="AT237" s="8147"/>
      <c r="AU237" s="2191"/>
      <c r="AV237" s="893"/>
      <c r="AW237" s="893"/>
      <c r="AX237" s="3234" t="s">
        <v>167</v>
      </c>
      <c r="AY237" s="3233" t="s">
        <v>3261</v>
      </c>
      <c r="AZ237" s="1598"/>
      <c r="BA237" s="1598"/>
      <c r="BB237" s="1598"/>
      <c r="BC237" s="1598"/>
      <c r="BD237" s="1598"/>
      <c r="BE237" s="1598"/>
      <c r="BF237" s="1598"/>
      <c r="BG237" s="1598"/>
      <c r="BH237" s="3232"/>
    </row>
    <row r="238" spans="1:60" ht="13.5" customHeight="1">
      <c r="A238" s="3107"/>
      <c r="B238" s="2194"/>
      <c r="C238" s="2194"/>
      <c r="D238" s="1460" t="s">
        <v>3262</v>
      </c>
      <c r="E238" s="1040"/>
      <c r="F238" s="1410"/>
      <c r="G238" s="808"/>
      <c r="H238" s="808"/>
      <c r="I238" s="808"/>
      <c r="J238" s="808"/>
      <c r="K238" s="808"/>
      <c r="L238" s="808"/>
      <c r="M238" s="808"/>
      <c r="N238" s="808"/>
      <c r="O238" s="808"/>
      <c r="P238" s="2177"/>
      <c r="Q238" s="1040"/>
      <c r="R238" s="1410"/>
      <c r="S238" s="892"/>
      <c r="T238" s="808"/>
      <c r="U238" s="808"/>
      <c r="V238" s="808"/>
      <c r="W238" s="808"/>
      <c r="X238" s="808"/>
      <c r="Y238" s="808"/>
      <c r="Z238" s="808"/>
      <c r="AA238" s="808"/>
      <c r="AB238" s="808"/>
      <c r="AC238" s="808"/>
      <c r="AD238" s="2177"/>
      <c r="AE238" s="1040"/>
      <c r="AF238" s="1410"/>
      <c r="AG238" s="808"/>
      <c r="AH238" s="808"/>
      <c r="AI238" s="808"/>
      <c r="AJ238" s="1149"/>
      <c r="AK238" s="1143"/>
      <c r="AL238" s="808"/>
      <c r="AM238" s="808"/>
      <c r="AN238" s="808"/>
      <c r="AO238" s="808"/>
      <c r="AP238" s="2162"/>
      <c r="AQ238" s="2162"/>
      <c r="AR238" s="2162"/>
      <c r="AS238" s="2162"/>
      <c r="AT238" s="2162"/>
      <c r="AU238" s="2162"/>
      <c r="AV238" s="808"/>
      <c r="AW238" s="808"/>
      <c r="AX238" s="3231"/>
      <c r="AY238" s="3233" t="s">
        <v>3263</v>
      </c>
      <c r="AZ238" s="1598"/>
      <c r="BA238" s="1598"/>
      <c r="BB238" s="1598"/>
      <c r="BC238" s="1598"/>
      <c r="BD238" s="1598"/>
      <c r="BE238" s="3225"/>
      <c r="BF238" s="3226" t="s">
        <v>167</v>
      </c>
      <c r="BG238" s="3228" t="str">
        <f>IF(CGTW,Taxable_Inc,"")</f>
        <v/>
      </c>
      <c r="BH238" s="3232"/>
    </row>
    <row r="239" spans="1:60" ht="13.5" customHeight="1">
      <c r="A239" s="3107"/>
      <c r="B239" s="808"/>
      <c r="C239" s="814"/>
      <c r="D239" s="893" t="s">
        <v>3264</v>
      </c>
      <c r="E239" s="808"/>
      <c r="F239" s="808"/>
      <c r="G239" s="808"/>
      <c r="H239" s="808"/>
      <c r="I239" s="808"/>
      <c r="J239" s="808"/>
      <c r="K239" s="808"/>
      <c r="L239" s="808"/>
      <c r="M239" s="808"/>
      <c r="N239" s="808"/>
      <c r="O239" s="808"/>
      <c r="P239" s="808"/>
      <c r="Q239" s="808"/>
      <c r="R239" s="808"/>
      <c r="S239" s="808"/>
      <c r="T239" s="901"/>
      <c r="U239" s="808"/>
      <c r="V239" s="808"/>
      <c r="W239" s="808"/>
      <c r="X239" s="808"/>
      <c r="Y239" s="808"/>
      <c r="Z239" s="808"/>
      <c r="AA239" s="808"/>
      <c r="AB239" s="808"/>
      <c r="AC239" s="808"/>
      <c r="AD239" s="808"/>
      <c r="AE239" s="808"/>
      <c r="AF239" s="808"/>
      <c r="AG239" s="808"/>
      <c r="AH239" s="808"/>
      <c r="AI239" s="808"/>
      <c r="AJ239" s="1150"/>
      <c r="AK239" s="1151"/>
      <c r="AL239" s="808"/>
      <c r="AM239" s="808"/>
      <c r="AN239" s="808"/>
      <c r="AO239" s="808"/>
      <c r="AP239" s="2162"/>
      <c r="AQ239" s="2162"/>
      <c r="AR239" s="2162"/>
      <c r="AS239" s="2162"/>
      <c r="AT239" s="2162"/>
      <c r="AU239" s="2162"/>
      <c r="AV239" s="808"/>
      <c r="AW239" s="808"/>
      <c r="AX239" s="3234" t="s">
        <v>171</v>
      </c>
      <c r="AY239" s="3233" t="str">
        <f>"Enter your worldwide "&amp;TEXT(BF239,"0%")&amp;" gains (see instructions)"</f>
        <v>Enter your worldwide 28% gains (see instructions)</v>
      </c>
      <c r="AZ239" s="1598"/>
      <c r="BA239" s="1598"/>
      <c r="BB239" s="1598"/>
      <c r="BC239" s="1598"/>
      <c r="BD239" s="3235" t="s">
        <v>171</v>
      </c>
      <c r="BE239" s="1401"/>
      <c r="BF239" s="3238">
        <v>0.28000000000000003</v>
      </c>
      <c r="BG239" s="1598"/>
      <c r="BH239" s="3232"/>
    </row>
    <row r="240" spans="1:60" ht="18" customHeight="1">
      <c r="A240" s="3107"/>
      <c r="B240" s="8131">
        <v>19</v>
      </c>
      <c r="C240" s="8131"/>
      <c r="D240" s="892" t="s">
        <v>3265</v>
      </c>
      <c r="E240" s="808"/>
      <c r="F240" s="2112"/>
      <c r="G240" s="808"/>
      <c r="H240" s="808"/>
      <c r="I240" s="808"/>
      <c r="J240" s="808"/>
      <c r="K240" s="808"/>
      <c r="L240" s="808"/>
      <c r="M240" s="808"/>
      <c r="N240" s="808"/>
      <c r="O240" s="808"/>
      <c r="P240" s="808"/>
      <c r="Q240" s="808"/>
      <c r="R240" s="808"/>
      <c r="S240" s="808"/>
      <c r="T240" s="808"/>
      <c r="U240" s="808"/>
      <c r="V240" s="808"/>
      <c r="W240" s="808"/>
      <c r="X240" s="808"/>
      <c r="Y240" s="808"/>
      <c r="Z240" s="808"/>
      <c r="AA240" s="808"/>
      <c r="AB240" s="808"/>
      <c r="AC240" s="808"/>
      <c r="AD240" s="808"/>
      <c r="AE240" s="808"/>
      <c r="AF240" s="808"/>
      <c r="AG240" s="808"/>
      <c r="AH240" s="808"/>
      <c r="AI240" s="1128" t="s">
        <v>1012</v>
      </c>
      <c r="AJ240" s="7979">
        <v>19</v>
      </c>
      <c r="AK240" s="7980"/>
      <c r="AL240" s="7942" t="str">
        <f>IF(AQ240&lt;&gt;"",ROUND(AQ240,4),IF(AB235,"",IF(OR(AB237="",AB237=0),"                    ---",IF(AB234&gt;AB237,1,ROUND(AB234/AB237,4)))))</f>
        <v/>
      </c>
      <c r="AM240" s="7943"/>
      <c r="AN240" s="7943"/>
      <c r="AO240" s="7943"/>
      <c r="AP240" s="2162"/>
      <c r="AQ240" s="8136"/>
      <c r="AR240" s="8137"/>
      <c r="AS240" s="8137"/>
      <c r="AT240" s="8137"/>
      <c r="AU240" s="2162"/>
      <c r="AV240" s="808"/>
      <c r="AW240" s="808"/>
      <c r="AX240" s="3234" t="s">
        <v>177</v>
      </c>
      <c r="AY240" s="3233" t="str">
        <f>"Multiply line 2 by "&amp;TEXT(BF240,"0.0000")</f>
        <v>Multiply line 2 by 0.2432</v>
      </c>
      <c r="AZ240" s="1598"/>
      <c r="BA240" s="1598"/>
      <c r="BB240" s="1598"/>
      <c r="BC240" s="1598"/>
      <c r="BD240" s="3235" t="s">
        <v>177</v>
      </c>
      <c r="BE240" s="1568" t="str">
        <f>IF(BE239&lt;&gt;"",ROUND(BE239*BF240,0),"")</f>
        <v/>
      </c>
      <c r="BF240" s="3239">
        <v>0.2432</v>
      </c>
      <c r="BG240" s="1598"/>
      <c r="BH240" s="3232"/>
    </row>
    <row r="241" spans="1:60" ht="18" customHeight="1">
      <c r="A241" s="3107"/>
      <c r="B241" s="7978">
        <v>20</v>
      </c>
      <c r="C241" s="7978"/>
      <c r="D241" s="892" t="s">
        <v>3266</v>
      </c>
      <c r="E241" s="808"/>
      <c r="F241" s="2112"/>
      <c r="G241" s="808"/>
      <c r="H241" s="808"/>
      <c r="I241" s="808"/>
      <c r="J241" s="808"/>
      <c r="K241" s="808"/>
      <c r="L241" s="808"/>
      <c r="M241" s="808"/>
      <c r="N241" s="808"/>
      <c r="O241" s="808"/>
      <c r="P241" s="808"/>
      <c r="Q241" s="808"/>
      <c r="R241" s="808"/>
      <c r="S241" s="808"/>
      <c r="T241" s="808"/>
      <c r="U241" s="808"/>
      <c r="V241" s="808"/>
      <c r="W241" s="808"/>
      <c r="X241" s="808"/>
      <c r="Y241" s="808"/>
      <c r="Z241" s="808"/>
      <c r="AA241" s="808"/>
      <c r="AB241" s="808"/>
      <c r="AC241" s="808"/>
      <c r="AD241" s="808"/>
      <c r="AE241" s="808"/>
      <c r="AF241" s="808"/>
      <c r="AG241" s="808"/>
      <c r="AH241" s="808"/>
      <c r="AI241" s="808"/>
      <c r="AJ241" s="8076"/>
      <c r="AK241" s="8077"/>
      <c r="AL241" s="1150"/>
      <c r="AM241" s="808"/>
      <c r="AN241" s="808"/>
      <c r="AO241" s="808"/>
      <c r="AP241" s="2162"/>
      <c r="AQ241" s="2162"/>
      <c r="AR241" s="2162"/>
      <c r="AS241" s="2162"/>
      <c r="AT241" s="2162"/>
      <c r="AU241" s="2162"/>
      <c r="AV241" s="808"/>
      <c r="AW241" s="808"/>
      <c r="AX241" s="3234" t="s">
        <v>182</v>
      </c>
      <c r="AY241" s="3233" t="str">
        <f>"Enter your worldwide "&amp;TEXT(BF241,"0%")&amp;" gains (see instructions)"</f>
        <v>Enter your worldwide 25% gains (see instructions)</v>
      </c>
      <c r="AZ241" s="1598"/>
      <c r="BA241" s="1598"/>
      <c r="BB241" s="1598"/>
      <c r="BC241" s="1598"/>
      <c r="BD241" s="3235" t="s">
        <v>182</v>
      </c>
      <c r="BE241" s="1401"/>
      <c r="BF241" s="3238">
        <v>0.25</v>
      </c>
      <c r="BG241" s="1598"/>
      <c r="BH241" s="3232"/>
    </row>
    <row r="242" spans="1:60" ht="13.5" customHeight="1">
      <c r="A242" s="3107"/>
      <c r="B242" s="7978"/>
      <c r="C242" s="7978"/>
      <c r="D242" s="892" t="s">
        <v>3267</v>
      </c>
      <c r="E242" s="808"/>
      <c r="F242" s="2112"/>
      <c r="G242" s="808"/>
      <c r="H242" s="808"/>
      <c r="I242" s="808"/>
      <c r="J242" s="808"/>
      <c r="K242" s="808"/>
      <c r="L242" s="808"/>
      <c r="M242" s="808"/>
      <c r="N242" s="808"/>
      <c r="O242" s="808"/>
      <c r="P242" s="808"/>
      <c r="Q242" s="808"/>
      <c r="R242" s="808"/>
      <c r="S242" s="808"/>
      <c r="T242" s="808"/>
      <c r="U242" s="808"/>
      <c r="V242" s="808"/>
      <c r="W242" s="808"/>
      <c r="X242" s="808"/>
      <c r="Y242" s="808"/>
      <c r="Z242" s="808"/>
      <c r="AA242" s="808"/>
      <c r="AB242" s="808"/>
      <c r="AC242" s="808"/>
      <c r="AD242" s="808"/>
      <c r="AE242" s="808"/>
      <c r="AF242" s="808"/>
      <c r="AG242" s="808"/>
      <c r="AH242" s="808"/>
      <c r="AI242" s="808"/>
      <c r="AJ242" s="8076"/>
      <c r="AK242" s="8077"/>
      <c r="AL242" s="1150"/>
      <c r="AM242" s="808"/>
      <c r="AN242" s="808"/>
      <c r="AO242" s="808"/>
      <c r="AP242" s="2162"/>
      <c r="AQ242" s="2162"/>
      <c r="AR242" s="2162"/>
      <c r="AS242" s="2162"/>
      <c r="AT242" s="2162"/>
      <c r="AU242" s="2162"/>
      <c r="AV242" s="808"/>
      <c r="AW242" s="808"/>
      <c r="AX242" s="3234" t="s">
        <v>198</v>
      </c>
      <c r="AY242" s="3233" t="str">
        <f>"Multiply line 4 by "&amp;TEXT(BF242,"0.0000")</f>
        <v>Multiply line 4 by 0.3243</v>
      </c>
      <c r="AZ242" s="1598"/>
      <c r="BA242" s="1598"/>
      <c r="BB242" s="1598"/>
      <c r="BC242" s="1598"/>
      <c r="BD242" s="3235" t="s">
        <v>198</v>
      </c>
      <c r="BE242" s="1568" t="str">
        <f>IF(BE241&lt;&gt;"",ROUND(BE241*BF242,0),"")</f>
        <v/>
      </c>
      <c r="BF242" s="3239">
        <v>0.32429999999999998</v>
      </c>
      <c r="BG242" s="1598"/>
      <c r="BH242" s="3232"/>
    </row>
    <row r="243" spans="1:60" ht="13.5" customHeight="1">
      <c r="A243" s="3107"/>
      <c r="B243" s="3809"/>
      <c r="C243" s="3809"/>
      <c r="D243" s="1460" t="s">
        <v>3268</v>
      </c>
      <c r="E243" s="808"/>
      <c r="F243" s="2112"/>
      <c r="G243" s="808"/>
      <c r="H243" s="808"/>
      <c r="I243" s="808"/>
      <c r="J243" s="808"/>
      <c r="K243" s="808"/>
      <c r="L243" s="808"/>
      <c r="M243" s="808"/>
      <c r="N243" s="808"/>
      <c r="O243" s="808"/>
      <c r="P243" s="808"/>
      <c r="Q243" s="808"/>
      <c r="R243" s="808"/>
      <c r="S243" s="808"/>
      <c r="T243" s="808"/>
      <c r="U243" s="808"/>
      <c r="V243" s="808"/>
      <c r="W243" s="808"/>
      <c r="X243" s="808"/>
      <c r="Y243" s="808"/>
      <c r="Z243" s="808"/>
      <c r="AA243" s="808"/>
      <c r="AB243" s="808"/>
      <c r="AC243" s="808"/>
      <c r="AD243" s="808"/>
      <c r="AE243" s="808"/>
      <c r="AF243" s="808"/>
      <c r="AG243" s="808"/>
      <c r="AH243" s="808"/>
      <c r="AI243" s="808"/>
      <c r="AJ243" s="3806"/>
      <c r="AK243" s="2715"/>
      <c r="AL243" s="1150"/>
      <c r="AM243" s="808"/>
      <c r="AN243" s="808"/>
      <c r="AO243" s="808"/>
      <c r="AP243" s="2162"/>
      <c r="AQ243" s="2162"/>
      <c r="AR243" s="2162"/>
      <c r="AS243" s="2162"/>
      <c r="AT243" s="2162"/>
      <c r="AU243" s="2162"/>
      <c r="AV243" s="808"/>
      <c r="AW243" s="808"/>
      <c r="AX243" s="3234" t="s">
        <v>202</v>
      </c>
      <c r="AY243" s="3233" t="str">
        <f>"Enter your worldwide "&amp;TEXT(BF243,"0%")&amp;" gains (see instructions)"</f>
        <v>Enter your worldwide 20% gains (see instructions)</v>
      </c>
      <c r="AZ243" s="1598"/>
      <c r="BA243" s="1598"/>
      <c r="BB243" s="1598"/>
      <c r="BC243" s="1598"/>
      <c r="BD243" s="3235" t="s">
        <v>202</v>
      </c>
      <c r="BE243" s="1401"/>
      <c r="BF243" s="3238">
        <v>0.2</v>
      </c>
      <c r="BG243" s="1598"/>
      <c r="BH243" s="3232"/>
    </row>
    <row r="244" spans="1:60" ht="13.5" customHeight="1">
      <c r="A244" s="3107"/>
      <c r="B244" s="2335"/>
      <c r="C244" s="2335"/>
      <c r="D244" s="1460" t="s">
        <v>3269</v>
      </c>
      <c r="E244" s="808"/>
      <c r="F244" s="808"/>
      <c r="G244" s="808"/>
      <c r="H244" s="808"/>
      <c r="I244" s="808"/>
      <c r="J244" s="808"/>
      <c r="K244" s="808"/>
      <c r="L244" s="808"/>
      <c r="M244" s="808"/>
      <c r="N244" s="808"/>
      <c r="O244" s="808"/>
      <c r="P244" s="808"/>
      <c r="Q244" s="808"/>
      <c r="R244" s="808"/>
      <c r="S244" s="808"/>
      <c r="T244" s="808"/>
      <c r="U244" s="808"/>
      <c r="V244" s="808"/>
      <c r="W244" s="808"/>
      <c r="X244" s="808"/>
      <c r="Y244" s="808"/>
      <c r="Z244" s="808"/>
      <c r="AA244" s="808"/>
      <c r="AB244" s="808"/>
      <c r="AC244" s="808"/>
      <c r="AD244" s="808"/>
      <c r="AE244" s="808"/>
      <c r="AF244" s="808"/>
      <c r="AG244" s="808"/>
      <c r="AH244" s="808"/>
      <c r="AI244" s="1128" t="s">
        <v>908</v>
      </c>
      <c r="AJ244" s="7979">
        <v>20</v>
      </c>
      <c r="AK244" s="7980"/>
      <c r="AL244" s="7916" t="str">
        <f>IF(AQ244&lt;&gt;"",ROUND(AQ244,0),IF(AB235,"",IF(AO151&lt;&gt;1,"",SUM(Tax_SubTotal,PTC_ExcessAdv))))</f>
        <v/>
      </c>
      <c r="AM244" s="6829"/>
      <c r="AN244" s="6829"/>
      <c r="AO244" s="6829"/>
      <c r="AP244" s="2162"/>
      <c r="AQ244" s="7914"/>
      <c r="AR244" s="7915"/>
      <c r="AS244" s="7915"/>
      <c r="AT244" s="7915"/>
      <c r="AU244" s="2162"/>
      <c r="AV244" s="808"/>
      <c r="AW244" s="808"/>
      <c r="AX244" s="3234" t="s">
        <v>215</v>
      </c>
      <c r="AY244" s="3233" t="str">
        <f>"Multiply line 6 by "&amp;TEXT(BF244,"0.0000")</f>
        <v>Multiply line 6 by 0.4595</v>
      </c>
      <c r="AZ244" s="1598"/>
      <c r="BA244" s="1598"/>
      <c r="BB244" s="1598"/>
      <c r="BC244" s="1598"/>
      <c r="BD244" s="3235" t="s">
        <v>215</v>
      </c>
      <c r="BE244" s="1568" t="str">
        <f>IF(BE243&lt;&gt;"",ROUND(BE243*BF244,0),"")</f>
        <v/>
      </c>
      <c r="BF244" s="3239">
        <v>0.45950000000000002</v>
      </c>
      <c r="BG244" s="1598"/>
      <c r="BH244" s="3232"/>
    </row>
    <row r="245" spans="1:60" ht="15.75" customHeight="1">
      <c r="A245" s="3107"/>
      <c r="B245" s="7978"/>
      <c r="C245" s="7978"/>
      <c r="D245" s="892" t="s">
        <v>3270</v>
      </c>
      <c r="E245" s="808"/>
      <c r="F245" s="2112"/>
      <c r="G245" s="808"/>
      <c r="H245" s="808"/>
      <c r="I245" s="808"/>
      <c r="J245" s="808"/>
      <c r="K245" s="808"/>
      <c r="L245" s="808"/>
      <c r="M245" s="808"/>
      <c r="N245" s="808"/>
      <c r="O245" s="808"/>
      <c r="P245" s="808"/>
      <c r="Q245" s="808"/>
      <c r="R245" s="808"/>
      <c r="S245" s="808"/>
      <c r="T245" s="808"/>
      <c r="U245" s="808"/>
      <c r="V245" s="808"/>
      <c r="W245" s="808"/>
      <c r="X245" s="808"/>
      <c r="Y245" s="808"/>
      <c r="Z245" s="808"/>
      <c r="AA245" s="808"/>
      <c r="AB245" s="808"/>
      <c r="AC245" s="808"/>
      <c r="AD245" s="808"/>
      <c r="AE245" s="808"/>
      <c r="AF245" s="808"/>
      <c r="AG245" s="808"/>
      <c r="AH245" s="808"/>
      <c r="AI245" s="808"/>
      <c r="AJ245" s="1150"/>
      <c r="AK245" s="1151"/>
      <c r="AL245" s="808"/>
      <c r="AM245" s="808"/>
      <c r="AN245" s="808"/>
      <c r="AO245" s="808"/>
      <c r="AP245" s="2162"/>
      <c r="AQ245" s="2162"/>
      <c r="AR245" s="2162"/>
      <c r="AS245" s="2162"/>
      <c r="AT245" s="2162"/>
      <c r="AU245" s="2162"/>
      <c r="AV245" s="808"/>
      <c r="AW245" s="808"/>
      <c r="AX245" s="3234" t="s">
        <v>217</v>
      </c>
      <c r="AY245" s="3233" t="str">
        <f>"Enter your worldwide "&amp;TEXT(BF245,"0%")&amp;" gains (see instructions)"</f>
        <v>Enter your worldwide 15% gains (see instructions)</v>
      </c>
      <c r="AZ245" s="1598"/>
      <c r="BA245" s="1598"/>
      <c r="BB245" s="1598"/>
      <c r="BC245" s="1598"/>
      <c r="BD245" s="3235" t="s">
        <v>217</v>
      </c>
      <c r="BE245" s="1401"/>
      <c r="BF245" s="3238">
        <v>0.15</v>
      </c>
      <c r="BG245" s="1598"/>
      <c r="BH245" s="3232"/>
    </row>
    <row r="246" spans="1:60" ht="12.75" customHeight="1">
      <c r="A246" s="3107"/>
      <c r="B246" s="892"/>
      <c r="C246" s="892"/>
      <c r="D246" s="893" t="s">
        <v>3271</v>
      </c>
      <c r="E246" s="808"/>
      <c r="F246" s="808"/>
      <c r="G246" s="808"/>
      <c r="H246" s="808"/>
      <c r="I246" s="808"/>
      <c r="J246" s="808"/>
      <c r="K246" s="808"/>
      <c r="L246" s="808"/>
      <c r="M246" s="808"/>
      <c r="N246" s="808"/>
      <c r="O246" s="808"/>
      <c r="P246" s="808"/>
      <c r="Q246" s="808"/>
      <c r="R246" s="808"/>
      <c r="S246" s="808"/>
      <c r="T246" s="901"/>
      <c r="U246" s="808"/>
      <c r="V246" s="808"/>
      <c r="W246" s="808"/>
      <c r="X246" s="808"/>
      <c r="Y246" s="808"/>
      <c r="Z246" s="808"/>
      <c r="AA246" s="808"/>
      <c r="AB246" s="808"/>
      <c r="AC246" s="808"/>
      <c r="AD246" s="808"/>
      <c r="AE246" s="808"/>
      <c r="AF246" s="808"/>
      <c r="AG246" s="808"/>
      <c r="AH246" s="808"/>
      <c r="AI246" s="808"/>
      <c r="AJ246" s="1150"/>
      <c r="AK246" s="1151"/>
      <c r="AL246" s="808"/>
      <c r="AM246" s="808"/>
      <c r="AN246" s="808"/>
      <c r="AO246" s="808"/>
      <c r="AP246" s="2162"/>
      <c r="AQ246" s="2162"/>
      <c r="AR246" s="2162"/>
      <c r="AS246" s="2162"/>
      <c r="AT246" s="2162"/>
      <c r="AU246" s="2162"/>
      <c r="AV246" s="808"/>
      <c r="AW246" s="808"/>
      <c r="AX246" s="3234" t="s">
        <v>222</v>
      </c>
      <c r="AY246" s="3233" t="str">
        <f>"Multiply line 8 by "&amp;TEXT(BF246,"0.0000")</f>
        <v>Multiply line 8 by 0.5946</v>
      </c>
      <c r="AZ246" s="1598"/>
      <c r="BA246" s="1598"/>
      <c r="BB246" s="1598"/>
      <c r="BC246" s="1598"/>
      <c r="BD246" s="3235" t="s">
        <v>222</v>
      </c>
      <c r="BE246" s="1568" t="str">
        <f>IF(BE245&lt;&gt;"",ROUND(BE245*BF246,0),"")</f>
        <v/>
      </c>
      <c r="BF246" s="3239">
        <v>0.59460000000000002</v>
      </c>
      <c r="BG246" s="1598"/>
      <c r="BH246" s="3232"/>
    </row>
    <row r="247" spans="1:60" ht="13.5" customHeight="1">
      <c r="A247" s="3107"/>
      <c r="B247" s="7978"/>
      <c r="C247" s="7978"/>
      <c r="D247" s="892"/>
      <c r="E247" s="808"/>
      <c r="F247" s="2112"/>
      <c r="G247" s="808"/>
      <c r="H247" s="808"/>
      <c r="I247" s="808"/>
      <c r="J247" s="808"/>
      <c r="K247" s="808"/>
      <c r="L247" s="808"/>
      <c r="M247" s="808"/>
      <c r="N247" s="808"/>
      <c r="O247" s="808"/>
      <c r="P247" s="808"/>
      <c r="Q247" s="808"/>
      <c r="R247" s="808"/>
      <c r="S247" s="808"/>
      <c r="T247" s="808"/>
      <c r="U247" s="808"/>
      <c r="V247" s="808"/>
      <c r="W247" s="808"/>
      <c r="X247" s="808"/>
      <c r="Y247" s="808"/>
      <c r="Z247" s="808"/>
      <c r="AA247" s="808"/>
      <c r="AB247" s="808"/>
      <c r="AC247" s="808"/>
      <c r="AD247" s="808"/>
      <c r="AE247" s="808"/>
      <c r="AF247" s="808"/>
      <c r="AG247" s="808"/>
      <c r="AH247" s="808"/>
      <c r="AI247" s="808"/>
      <c r="AJ247" s="8076"/>
      <c r="AK247" s="8077"/>
      <c r="AL247" s="1150"/>
      <c r="AM247" s="808"/>
      <c r="AN247" s="808"/>
      <c r="AO247" s="808"/>
      <c r="AP247" s="2162"/>
      <c r="AQ247" s="2162"/>
      <c r="AR247" s="2162"/>
      <c r="AS247" s="2162"/>
      <c r="AT247" s="2162"/>
      <c r="AU247" s="2162"/>
      <c r="AV247" s="808"/>
      <c r="AW247" s="808"/>
      <c r="AX247" s="3234" t="s">
        <v>227</v>
      </c>
      <c r="AY247" s="3233" t="str">
        <f>"Enter your worldwide "&amp;TEXT(BF247,"0%")&amp;" gains and qualified dividends"</f>
        <v>Enter your worldwide 0% gains and qualified dividends</v>
      </c>
      <c r="AZ247" s="1598"/>
      <c r="BA247" s="1598"/>
      <c r="BB247" s="1598"/>
      <c r="BC247" s="1598"/>
      <c r="BD247" s="3235"/>
      <c r="BE247" s="3227"/>
      <c r="BF247" s="3238">
        <v>0</v>
      </c>
      <c r="BG247" s="1598"/>
      <c r="BH247" s="3232"/>
    </row>
    <row r="248" spans="1:60" ht="15">
      <c r="A248" s="3107"/>
      <c r="B248" s="8131">
        <v>21</v>
      </c>
      <c r="C248" s="8131"/>
      <c r="D248" s="808" t="s">
        <v>3272</v>
      </c>
      <c r="E248" s="808"/>
      <c r="F248" s="808"/>
      <c r="G248" s="808"/>
      <c r="H248" s="808"/>
      <c r="I248" s="808"/>
      <c r="J248" s="808"/>
      <c r="K248" s="808"/>
      <c r="L248" s="808"/>
      <c r="M248" s="808"/>
      <c r="N248" s="808"/>
      <c r="O248" s="808"/>
      <c r="P248" s="808"/>
      <c r="Q248" s="808"/>
      <c r="R248" s="808"/>
      <c r="S248" s="808"/>
      <c r="T248" s="901"/>
      <c r="U248" s="808"/>
      <c r="V248" s="808"/>
      <c r="W248" s="808"/>
      <c r="X248" s="808"/>
      <c r="Y248" s="808"/>
      <c r="Z248" s="808"/>
      <c r="AA248" s="808"/>
      <c r="AB248" s="808"/>
      <c r="AC248" s="808"/>
      <c r="AD248" s="808"/>
      <c r="AE248" s="808"/>
      <c r="AF248" s="808"/>
      <c r="AG248" s="808"/>
      <c r="AH248" s="808"/>
      <c r="AI248" s="1128" t="s">
        <v>896</v>
      </c>
      <c r="AJ248" s="7979">
        <v>21</v>
      </c>
      <c r="AK248" s="7980"/>
      <c r="AL248" s="7916" t="str">
        <f>IF(AB235,"",IF(ISERROR(AL240*AL245),"                    ---",ROUND(AL240*AL244,0)))</f>
        <v/>
      </c>
      <c r="AM248" s="6829"/>
      <c r="AN248" s="6829"/>
      <c r="AO248" s="6829"/>
      <c r="AP248" s="2162"/>
      <c r="AQ248" s="2162"/>
      <c r="AR248" s="2162"/>
      <c r="AS248" s="2162"/>
      <c r="AT248" s="2162"/>
      <c r="AU248" s="2162"/>
      <c r="AV248" s="808"/>
      <c r="AW248" s="808"/>
      <c r="AX248" s="3231"/>
      <c r="AY248" s="3233" t="s">
        <v>2326</v>
      </c>
      <c r="AZ248" s="1598"/>
      <c r="BA248" s="1598"/>
      <c r="BB248" s="1598"/>
      <c r="BC248" s="1598"/>
      <c r="BD248" s="3235" t="s">
        <v>227</v>
      </c>
      <c r="BE248" s="1401"/>
      <c r="BF248" s="1598"/>
      <c r="BG248" s="3166">
        <f>ROUND(BE248,0)</f>
        <v>0</v>
      </c>
      <c r="BH248" s="3232"/>
    </row>
    <row r="249" spans="1:60" ht="12" customHeight="1">
      <c r="A249" s="3107"/>
      <c r="B249" s="3809"/>
      <c r="C249" s="3809"/>
      <c r="D249" s="808"/>
      <c r="E249" s="808"/>
      <c r="F249" s="808"/>
      <c r="G249" s="808"/>
      <c r="H249" s="808"/>
      <c r="I249" s="808"/>
      <c r="J249" s="808"/>
      <c r="K249" s="808"/>
      <c r="L249" s="808"/>
      <c r="M249" s="808"/>
      <c r="N249" s="808"/>
      <c r="O249" s="808"/>
      <c r="P249" s="808"/>
      <c r="Q249" s="808"/>
      <c r="R249" s="808"/>
      <c r="S249" s="808"/>
      <c r="T249" s="901"/>
      <c r="U249" s="808"/>
      <c r="V249" s="808"/>
      <c r="W249" s="808"/>
      <c r="X249" s="808"/>
      <c r="Y249" s="808"/>
      <c r="Z249" s="808"/>
      <c r="AA249" s="808"/>
      <c r="AB249" s="808"/>
      <c r="AC249" s="808"/>
      <c r="AD249" s="808"/>
      <c r="AE249" s="808"/>
      <c r="AF249" s="808"/>
      <c r="AG249" s="808"/>
      <c r="AH249" s="808"/>
      <c r="AI249" s="1128"/>
      <c r="AJ249" s="3807"/>
      <c r="AK249" s="3808"/>
      <c r="AL249" s="808"/>
      <c r="AM249" s="808"/>
      <c r="AN249" s="808"/>
      <c r="AO249" s="808"/>
      <c r="AP249" s="2162"/>
      <c r="AQ249" s="2162"/>
      <c r="AR249" s="2162"/>
      <c r="AS249" s="2162"/>
      <c r="AT249" s="2162"/>
      <c r="AU249" s="2162"/>
      <c r="AV249" s="808"/>
      <c r="AW249" s="808"/>
      <c r="AX249" s="3234" t="s">
        <v>229</v>
      </c>
      <c r="AY249" s="3233" t="s">
        <v>3273</v>
      </c>
      <c r="AZ249" s="1598"/>
      <c r="BA249" s="1598"/>
      <c r="BB249" s="1598"/>
      <c r="BC249" s="1598"/>
      <c r="BD249" s="1598"/>
      <c r="BE249" s="3166" t="b">
        <f>OR(BE239&lt;&gt;"",BE241&lt;&gt;"",BE244&lt;&gt;"",BE246&lt;&gt;"",BE248&lt;&gt;"")</f>
        <v>0</v>
      </c>
      <c r="BF249" s="3235" t="s">
        <v>229</v>
      </c>
      <c r="BG249" s="1568" t="str">
        <f>IF(BE249,SUM(BE240,BE242,BE244,BE246,BG248),IF(AB235,"",0))</f>
        <v/>
      </c>
      <c r="BH249" s="3232"/>
    </row>
    <row r="250" spans="1:60" ht="14.25" customHeight="1">
      <c r="A250" s="3107"/>
      <c r="B250" s="7978">
        <v>22</v>
      </c>
      <c r="C250" s="7978"/>
      <c r="D250" s="892" t="s">
        <v>3274</v>
      </c>
      <c r="E250" s="808"/>
      <c r="F250" s="808"/>
      <c r="G250" s="808"/>
      <c r="H250" s="808"/>
      <c r="I250" s="808"/>
      <c r="J250" s="808"/>
      <c r="K250" s="808"/>
      <c r="L250" s="808"/>
      <c r="M250" s="808"/>
      <c r="N250" s="808"/>
      <c r="O250" s="808"/>
      <c r="P250" s="808"/>
      <c r="Q250" s="808"/>
      <c r="R250" s="808"/>
      <c r="S250" s="808"/>
      <c r="T250" s="901"/>
      <c r="U250" s="808"/>
      <c r="V250" s="808"/>
      <c r="W250" s="808"/>
      <c r="X250" s="808"/>
      <c r="Y250" s="808"/>
      <c r="Z250" s="808"/>
      <c r="AA250" s="808"/>
      <c r="AB250" s="808"/>
      <c r="AC250" s="808"/>
      <c r="AD250" s="808"/>
      <c r="AE250" s="808"/>
      <c r="AF250" s="808"/>
      <c r="AG250" s="808"/>
      <c r="AH250" s="808"/>
      <c r="AI250" s="1128" t="s">
        <v>988</v>
      </c>
      <c r="AJ250" s="7979">
        <v>22</v>
      </c>
      <c r="AK250" s="8138"/>
      <c r="AL250" s="8084"/>
      <c r="AM250" s="6827"/>
      <c r="AN250" s="6827"/>
      <c r="AO250" s="6827"/>
      <c r="AP250" s="2162"/>
      <c r="AQ250" s="3826">
        <f>ROUND(AL250,0)</f>
        <v>0</v>
      </c>
      <c r="AR250" s="2162"/>
      <c r="AS250" s="2162"/>
      <c r="AT250" s="2162"/>
      <c r="AU250" s="2162"/>
      <c r="AV250" s="808"/>
      <c r="AW250" s="808"/>
      <c r="AX250" s="3234" t="s">
        <v>1605</v>
      </c>
      <c r="AY250" s="3233" t="s">
        <v>3275</v>
      </c>
      <c r="AZ250" s="1598"/>
      <c r="BA250" s="1598"/>
      <c r="BB250" s="1598"/>
      <c r="BC250" s="1598"/>
      <c r="BD250" s="1598"/>
      <c r="BE250" s="1598"/>
      <c r="BF250" s="3235" t="s">
        <v>1605</v>
      </c>
      <c r="BG250" s="1568" t="str">
        <f>IF(BG249="","",SUM(BG238,-BG249))</f>
        <v/>
      </c>
      <c r="BH250" s="3232"/>
    </row>
    <row r="251" spans="1:60" ht="14.25" customHeight="1" thickBot="1">
      <c r="A251" s="3107"/>
      <c r="B251" s="3809"/>
      <c r="C251" s="3809"/>
      <c r="D251" s="808"/>
      <c r="E251" s="808"/>
      <c r="F251" s="808"/>
      <c r="G251" s="808"/>
      <c r="H251" s="808"/>
      <c r="I251" s="808"/>
      <c r="J251" s="808"/>
      <c r="K251" s="808"/>
      <c r="L251" s="808"/>
      <c r="M251" s="808"/>
      <c r="N251" s="808"/>
      <c r="O251" s="808"/>
      <c r="P251" s="808"/>
      <c r="Q251" s="808"/>
      <c r="R251" s="808"/>
      <c r="S251" s="808"/>
      <c r="T251" s="901"/>
      <c r="U251" s="808"/>
      <c r="V251" s="808"/>
      <c r="W251" s="808"/>
      <c r="X251" s="808"/>
      <c r="Y251" s="808"/>
      <c r="Z251" s="808"/>
      <c r="AA251" s="808"/>
      <c r="AB251" s="808"/>
      <c r="AC251" s="808"/>
      <c r="AD251" s="808"/>
      <c r="AE251" s="808"/>
      <c r="AF251" s="808"/>
      <c r="AG251" s="808"/>
      <c r="AH251" s="808"/>
      <c r="AI251" s="1128"/>
      <c r="AJ251" s="3807"/>
      <c r="AK251" s="3808"/>
      <c r="AL251" s="808"/>
      <c r="AM251" s="808"/>
      <c r="AN251" s="808"/>
      <c r="AO251" s="808"/>
      <c r="AP251" s="2162"/>
      <c r="AQ251" s="2162"/>
      <c r="AR251" s="2162"/>
      <c r="AS251" s="2162"/>
      <c r="AT251" s="2162"/>
      <c r="AU251" s="2162"/>
      <c r="AV251" s="808"/>
      <c r="AW251" s="808"/>
      <c r="AX251" s="3833"/>
      <c r="AY251" s="3834"/>
      <c r="AZ251" s="3834"/>
      <c r="BA251" s="3834"/>
      <c r="BB251" s="3834"/>
      <c r="BC251" s="3834"/>
      <c r="BD251" s="3834"/>
      <c r="BE251" s="3834"/>
      <c r="BF251" s="3834"/>
      <c r="BG251" s="3834"/>
      <c r="BH251" s="3835"/>
    </row>
    <row r="252" spans="1:60" ht="14.25" customHeight="1">
      <c r="A252" s="3107"/>
      <c r="B252" s="7978">
        <v>23</v>
      </c>
      <c r="C252" s="7978"/>
      <c r="D252" s="892" t="s">
        <v>1764</v>
      </c>
      <c r="E252" s="808"/>
      <c r="F252" s="808"/>
      <c r="G252" s="808"/>
      <c r="H252" s="808"/>
      <c r="I252" s="808"/>
      <c r="J252" s="808"/>
      <c r="K252" s="808"/>
      <c r="L252" s="808"/>
      <c r="M252" s="808"/>
      <c r="N252" s="808"/>
      <c r="O252" s="808"/>
      <c r="P252" s="808"/>
      <c r="Q252" s="808"/>
      <c r="R252" s="808"/>
      <c r="S252" s="808"/>
      <c r="T252" s="901"/>
      <c r="U252" s="808"/>
      <c r="V252" s="808"/>
      <c r="W252" s="808"/>
      <c r="X252" s="808"/>
      <c r="Y252" s="808"/>
      <c r="Z252" s="808"/>
      <c r="AA252" s="808"/>
      <c r="AB252" s="808"/>
      <c r="AC252" s="808"/>
      <c r="AD252" s="808"/>
      <c r="AE252" s="808"/>
      <c r="AF252" s="808"/>
      <c r="AG252" s="808"/>
      <c r="AH252" s="808"/>
      <c r="AI252" s="1128" t="s">
        <v>891</v>
      </c>
      <c r="AJ252" s="7979">
        <v>23</v>
      </c>
      <c r="AK252" s="8138"/>
      <c r="AL252" s="7916" t="str">
        <f>IF(AB235,"",SUM(AL248,AQ250))</f>
        <v/>
      </c>
      <c r="AM252" s="6828"/>
      <c r="AN252" s="6828"/>
      <c r="AO252" s="6828"/>
      <c r="AP252" s="2162"/>
      <c r="AQ252" s="2162"/>
      <c r="AR252" s="2162"/>
      <c r="AS252" s="2162"/>
      <c r="AT252" s="2162"/>
      <c r="AU252" s="2162"/>
      <c r="AV252" s="808"/>
      <c r="AW252" s="808"/>
      <c r="AX252" s="2396"/>
      <c r="AY252" s="3057"/>
      <c r="AZ252" s="3057"/>
      <c r="BA252" s="3057"/>
      <c r="BB252" s="3057"/>
      <c r="BC252" s="3057"/>
      <c r="BD252" s="3057"/>
      <c r="BE252" s="3057"/>
      <c r="BF252" s="3057"/>
      <c r="BG252" s="3057"/>
      <c r="BH252" s="3057"/>
    </row>
    <row r="253" spans="1:60" ht="14.25" customHeight="1">
      <c r="A253" s="3107"/>
      <c r="B253" s="7978">
        <v>24</v>
      </c>
      <c r="C253" s="7978"/>
      <c r="D253" s="892" t="s">
        <v>3276</v>
      </c>
      <c r="E253" s="808"/>
      <c r="F253" s="2112"/>
      <c r="G253" s="808"/>
      <c r="H253" s="808"/>
      <c r="I253" s="808"/>
      <c r="J253" s="808"/>
      <c r="K253" s="808"/>
      <c r="L253" s="808"/>
      <c r="M253" s="808"/>
      <c r="N253" s="808"/>
      <c r="O253" s="808"/>
      <c r="P253" s="808"/>
      <c r="Q253" s="808"/>
      <c r="R253" s="808"/>
      <c r="S253" s="808"/>
      <c r="T253" s="808"/>
      <c r="U253" s="808"/>
      <c r="V253" s="808"/>
      <c r="W253" s="808"/>
      <c r="X253" s="808"/>
      <c r="Y253" s="808"/>
      <c r="Z253" s="808"/>
      <c r="AA253" s="808"/>
      <c r="AB253" s="808"/>
      <c r="AC253" s="808"/>
      <c r="AD253" s="808"/>
      <c r="AE253" s="808"/>
      <c r="AF253" s="808"/>
      <c r="AG253" s="808"/>
      <c r="AH253" s="808"/>
      <c r="AI253" s="808"/>
      <c r="AJ253" s="1150"/>
      <c r="AK253" s="1151"/>
      <c r="AL253" s="808"/>
      <c r="AM253" s="808"/>
      <c r="AN253" s="808"/>
      <c r="AO253" s="808"/>
      <c r="AP253" s="2162"/>
      <c r="AQ253" s="2162"/>
      <c r="AR253" s="2162"/>
      <c r="AS253" s="2162"/>
      <c r="AT253" s="2162"/>
      <c r="AU253" s="2162"/>
      <c r="AV253" s="808"/>
      <c r="AW253" s="808"/>
      <c r="AX253" s="2396"/>
      <c r="AY253" s="3057"/>
      <c r="AZ253" s="3057"/>
      <c r="BA253" s="3057"/>
      <c r="BB253" s="3057"/>
      <c r="BC253" s="3057"/>
      <c r="BD253" s="3057"/>
      <c r="BE253" s="3057"/>
      <c r="BF253" s="3057"/>
      <c r="BG253" s="3057"/>
      <c r="BH253" s="3057"/>
    </row>
    <row r="254" spans="1:60" ht="14.25" customHeight="1">
      <c r="A254" s="3107"/>
      <c r="B254" s="808"/>
      <c r="C254" s="814"/>
      <c r="D254" s="1460" t="s">
        <v>3277</v>
      </c>
      <c r="E254" s="808"/>
      <c r="F254" s="808"/>
      <c r="G254" s="808"/>
      <c r="H254" s="808"/>
      <c r="I254" s="808"/>
      <c r="J254" s="808"/>
      <c r="K254" s="808"/>
      <c r="L254" s="808"/>
      <c r="M254" s="808"/>
      <c r="N254" s="808"/>
      <c r="O254" s="808"/>
      <c r="P254" s="808"/>
      <c r="Q254" s="808"/>
      <c r="R254" s="808"/>
      <c r="S254" s="808"/>
      <c r="T254" s="901"/>
      <c r="U254" s="808"/>
      <c r="V254" s="808"/>
      <c r="W254" s="808"/>
      <c r="X254" s="808"/>
      <c r="Y254" s="808"/>
      <c r="Z254" s="808"/>
      <c r="AA254" s="808"/>
      <c r="AB254" s="808"/>
      <c r="AC254" s="808"/>
      <c r="AD254" s="808"/>
      <c r="AE254" s="808"/>
      <c r="AF254" s="808"/>
      <c r="AG254" s="808"/>
      <c r="AH254" s="808"/>
      <c r="AI254" s="808"/>
      <c r="AJ254" s="1150"/>
      <c r="AK254" s="1151"/>
      <c r="AL254" s="8139">
        <f>SUM($AO$20,$AO$151,$AO$280)</f>
        <v>0</v>
      </c>
      <c r="AM254" s="8141"/>
      <c r="AN254" s="8141"/>
      <c r="AO254" s="8141"/>
      <c r="AP254" s="2162"/>
      <c r="AQ254" s="2162"/>
      <c r="AR254" s="2162"/>
      <c r="AS254" s="2162"/>
      <c r="AT254" s="2162"/>
      <c r="AU254" s="2162"/>
      <c r="AV254" s="808"/>
      <c r="AW254" s="808"/>
      <c r="AX254" s="2396"/>
      <c r="AY254" s="3057"/>
      <c r="AZ254" s="3057"/>
      <c r="BA254" s="3057"/>
      <c r="BB254" s="3057"/>
      <c r="BC254" s="3057"/>
      <c r="BD254" s="3057"/>
      <c r="BE254" s="3057"/>
      <c r="BF254" s="3057"/>
      <c r="BG254" s="3057"/>
      <c r="BH254" s="3057"/>
    </row>
    <row r="255" spans="1:60" ht="14.25" customHeight="1" thickBot="1">
      <c r="A255" s="3107"/>
      <c r="B255" s="8167"/>
      <c r="C255" s="8167"/>
      <c r="D255" s="808" t="s">
        <v>943</v>
      </c>
      <c r="E255" s="808"/>
      <c r="F255" s="808"/>
      <c r="G255" s="808"/>
      <c r="H255" s="808"/>
      <c r="I255" s="808"/>
      <c r="J255" s="808"/>
      <c r="K255" s="808"/>
      <c r="L255" s="808"/>
      <c r="M255" s="808"/>
      <c r="N255" s="808"/>
      <c r="O255" s="808"/>
      <c r="P255" s="808"/>
      <c r="Q255" s="808"/>
      <c r="R255" s="808"/>
      <c r="S255" s="808"/>
      <c r="T255" s="901"/>
      <c r="U255" s="808"/>
      <c r="V255" s="808"/>
      <c r="W255" s="808"/>
      <c r="X255" s="808"/>
      <c r="Y255" s="808"/>
      <c r="Z255" s="808"/>
      <c r="AA255" s="808"/>
      <c r="AB255" s="808"/>
      <c r="AC255" s="808"/>
      <c r="AD255" s="808"/>
      <c r="AE255" s="808"/>
      <c r="AF255" s="808"/>
      <c r="AG255" s="808"/>
      <c r="AH255" s="808"/>
      <c r="AI255" s="1128" t="s">
        <v>3304</v>
      </c>
      <c r="AJ255" s="7979">
        <v>24</v>
      </c>
      <c r="AK255" s="8138"/>
      <c r="AL255" s="7916" t="str">
        <f>IF(AQ255&lt;&gt;"",ROUND(AQ255,0),IF(AB235,"",IF(ISERROR(AL225*AL248),"                    ---",MIN(AL225,AL248))))</f>
        <v/>
      </c>
      <c r="AM255" s="6828"/>
      <c r="AN255" s="6828"/>
      <c r="AO255" s="6828"/>
      <c r="AP255" s="2162"/>
      <c r="AQ255" s="7914"/>
      <c r="AR255" s="7914"/>
      <c r="AS255" s="7914"/>
      <c r="AT255" s="7914"/>
      <c r="AU255" s="2162"/>
      <c r="AV255" s="808"/>
      <c r="AW255" s="808"/>
      <c r="AX255" s="2396"/>
      <c r="AY255" s="3066" t="s">
        <v>3282</v>
      </c>
      <c r="AZ255" s="3057"/>
      <c r="BA255" s="3057"/>
      <c r="BB255" s="3068" t="str">
        <f>IF(ISERROR(SUM(AL248,-ForeignTaxCredit_2))," ---",MAX(SUM(AL248,-ForeignTaxCredit_2),0))</f>
        <v xml:space="preserve"> ---</v>
      </c>
      <c r="BC255" s="3070" t="s">
        <v>3283</v>
      </c>
      <c r="BD255" s="3057"/>
      <c r="BE255" s="3057"/>
      <c r="BF255" s="3057"/>
      <c r="BG255" s="3057"/>
      <c r="BH255" s="3057"/>
    </row>
    <row r="256" spans="1:60" ht="14.25" customHeight="1">
      <c r="A256" s="3109"/>
      <c r="B256" s="8082" t="s">
        <v>2410</v>
      </c>
      <c r="C256" s="8082"/>
      <c r="D256" s="8083"/>
      <c r="E256" s="2115"/>
      <c r="F256" s="2212" t="s">
        <v>3278</v>
      </c>
      <c r="G256" s="2115"/>
      <c r="H256" s="2115"/>
      <c r="I256" s="2115"/>
      <c r="J256" s="2115"/>
      <c r="K256" s="2115"/>
      <c r="L256" s="2115"/>
      <c r="M256" s="2115"/>
      <c r="N256" s="2115"/>
      <c r="O256" s="2115"/>
      <c r="P256" s="2115"/>
      <c r="Q256" s="2115"/>
      <c r="R256" s="2115"/>
      <c r="S256" s="2115"/>
      <c r="T256" s="2115"/>
      <c r="U256" s="2115"/>
      <c r="V256" s="2115"/>
      <c r="W256" s="2115"/>
      <c r="X256" s="2115"/>
      <c r="Y256" s="2115"/>
      <c r="Z256" s="2115"/>
      <c r="AA256" s="2115"/>
      <c r="AB256" s="2115"/>
      <c r="AC256" s="2115"/>
      <c r="AD256" s="2115"/>
      <c r="AE256" s="2115"/>
      <c r="AF256" s="2115"/>
      <c r="AG256" s="2115"/>
      <c r="AH256" s="2115"/>
      <c r="AI256" s="2115"/>
      <c r="AJ256" s="2115"/>
      <c r="AK256" s="2115"/>
      <c r="AL256" s="8142" t="b">
        <f>IF(AND(AL254&gt;1,AL255=MAX($AL$125,$AL$255,$AL$384)),TRUE,FALSE)</f>
        <v>0</v>
      </c>
      <c r="AM256" s="8143"/>
      <c r="AN256" s="8143"/>
      <c r="AO256" s="8143"/>
      <c r="AP256" s="2162"/>
      <c r="AQ256" s="2162"/>
      <c r="AR256" s="2162"/>
      <c r="AS256" s="2162"/>
      <c r="AT256" s="2162"/>
      <c r="AU256" s="2162"/>
      <c r="AV256" s="1108"/>
      <c r="AW256" s="1108"/>
      <c r="AX256" s="2396"/>
      <c r="AY256" s="3066" t="s">
        <v>3285</v>
      </c>
      <c r="AZ256" s="3057"/>
      <c r="BA256" s="3057"/>
      <c r="BB256" s="3069" t="str">
        <f>IF(ISERROR(SUM(AL225,-ForeignTaxCredit_2))," ---",MAX(SUM(AL225,-ForeignTaxCredit_2),0))</f>
        <v xml:space="preserve"> ---</v>
      </c>
      <c r="BC256" s="3070" t="s">
        <v>3286</v>
      </c>
      <c r="BD256" s="3057"/>
      <c r="BE256" s="3057"/>
      <c r="BF256" s="3057"/>
      <c r="BG256" s="3057"/>
      <c r="BH256" s="3057"/>
    </row>
    <row r="257" spans="1:60" ht="14.25" customHeight="1">
      <c r="A257" s="3107"/>
      <c r="B257" s="7978">
        <v>25</v>
      </c>
      <c r="C257" s="7978"/>
      <c r="D257" s="892" t="s">
        <v>3279</v>
      </c>
      <c r="E257" s="808"/>
      <c r="F257" s="2112"/>
      <c r="G257" s="808"/>
      <c r="H257" s="808"/>
      <c r="I257" s="808"/>
      <c r="J257" s="808"/>
      <c r="K257" s="808"/>
      <c r="L257" s="808"/>
      <c r="M257" s="808"/>
      <c r="N257" s="808"/>
      <c r="O257" s="808"/>
      <c r="P257" s="808"/>
      <c r="Q257" s="808"/>
      <c r="R257" s="808"/>
      <c r="S257" s="808"/>
      <c r="T257" s="808"/>
      <c r="U257" s="808"/>
      <c r="V257" s="808"/>
      <c r="W257" s="808"/>
      <c r="X257" s="2405"/>
      <c r="Y257" s="1128" t="s">
        <v>1037</v>
      </c>
      <c r="Z257" s="7979">
        <v>25</v>
      </c>
      <c r="AA257" s="7980"/>
      <c r="AB257" s="7918" t="str">
        <f>IF(AL256,$AR$25,"")</f>
        <v/>
      </c>
      <c r="AC257" s="7919"/>
      <c r="AD257" s="7919"/>
      <c r="AE257" s="7919"/>
      <c r="AF257" s="7919"/>
      <c r="AG257" s="7919"/>
      <c r="AH257" s="7919"/>
      <c r="AI257" s="7920"/>
      <c r="AJ257" s="7925"/>
      <c r="AK257" s="7935"/>
      <c r="AL257" s="1150"/>
      <c r="AM257" s="808"/>
      <c r="AN257" s="808"/>
      <c r="AO257" s="808"/>
      <c r="AP257" s="2162"/>
      <c r="AQ257" s="900" t="s">
        <v>640</v>
      </c>
      <c r="AR257" s="7917">
        <f>IF(C152&lt;&gt;"",AL255,0)</f>
        <v>0</v>
      </c>
      <c r="AS257" s="7917"/>
      <c r="AT257" s="7917"/>
      <c r="AU257" s="7917"/>
      <c r="AV257" s="808"/>
      <c r="AW257" s="808"/>
      <c r="AX257" s="2396"/>
      <c r="AY257" s="3057"/>
      <c r="AZ257" s="3057"/>
      <c r="BA257" s="3057"/>
      <c r="BB257" s="3057"/>
      <c r="BC257" s="3057"/>
      <c r="BD257" s="3057"/>
      <c r="BE257" s="3057"/>
      <c r="BF257" s="3057"/>
      <c r="BG257" s="3057"/>
      <c r="BH257" s="3057"/>
    </row>
    <row r="258" spans="1:60" ht="14.25" customHeight="1">
      <c r="A258" s="3107"/>
      <c r="B258" s="7978">
        <v>26</v>
      </c>
      <c r="C258" s="7978"/>
      <c r="D258" s="892" t="s">
        <v>3280</v>
      </c>
      <c r="E258" s="808"/>
      <c r="F258" s="2112"/>
      <c r="G258" s="808"/>
      <c r="H258" s="808"/>
      <c r="I258" s="808"/>
      <c r="J258" s="808"/>
      <c r="K258" s="808"/>
      <c r="L258" s="808"/>
      <c r="M258" s="808"/>
      <c r="N258" s="808"/>
      <c r="O258" s="808"/>
      <c r="P258" s="808"/>
      <c r="Q258" s="808"/>
      <c r="R258" s="808"/>
      <c r="S258" s="808"/>
      <c r="T258" s="808"/>
      <c r="U258" s="808"/>
      <c r="V258" s="808"/>
      <c r="W258" s="808"/>
      <c r="X258" s="2405"/>
      <c r="Y258" s="1128" t="s">
        <v>990</v>
      </c>
      <c r="Z258" s="7979">
        <v>26</v>
      </c>
      <c r="AA258" s="7980"/>
      <c r="AB258" s="7918" t="str">
        <f>IF(AL256,$AR$26,"")</f>
        <v/>
      </c>
      <c r="AC258" s="7919"/>
      <c r="AD258" s="7919"/>
      <c r="AE258" s="7919"/>
      <c r="AF258" s="7919"/>
      <c r="AG258" s="7919"/>
      <c r="AH258" s="7919"/>
      <c r="AI258" s="7920"/>
      <c r="AJ258" s="7925"/>
      <c r="AK258" s="7935"/>
      <c r="AL258" s="1150"/>
      <c r="AM258" s="808"/>
      <c r="AN258" s="808"/>
      <c r="AO258" s="808"/>
      <c r="AP258" s="2162"/>
      <c r="AQ258" s="900" t="s">
        <v>644</v>
      </c>
      <c r="AR258" s="7917">
        <f>IF(C154&lt;&gt;"",AL255,0)</f>
        <v>0</v>
      </c>
      <c r="AS258" s="7917"/>
      <c r="AT258" s="7917"/>
      <c r="AU258" s="7917"/>
      <c r="AV258" s="808"/>
      <c r="AW258" s="808"/>
      <c r="AX258" s="2396"/>
      <c r="AY258" s="3066" t="s">
        <v>3289</v>
      </c>
      <c r="AZ258" s="3057"/>
      <c r="BA258" s="3057"/>
      <c r="BB258" s="3057"/>
      <c r="BC258" s="3057"/>
      <c r="BD258" s="3057"/>
      <c r="BE258" s="3057"/>
      <c r="BF258" s="3057"/>
      <c r="BG258" s="3057"/>
      <c r="BH258" s="3057"/>
    </row>
    <row r="259" spans="1:60" ht="14.25" customHeight="1">
      <c r="A259" s="3107"/>
      <c r="B259" s="7978">
        <v>27</v>
      </c>
      <c r="C259" s="7978"/>
      <c r="D259" s="892" t="s">
        <v>3281</v>
      </c>
      <c r="E259" s="808"/>
      <c r="F259" s="2112"/>
      <c r="G259" s="808"/>
      <c r="H259" s="808"/>
      <c r="I259" s="808"/>
      <c r="J259" s="808"/>
      <c r="K259" s="808"/>
      <c r="L259" s="808"/>
      <c r="M259" s="808"/>
      <c r="N259" s="808"/>
      <c r="O259" s="808"/>
      <c r="P259" s="808"/>
      <c r="Q259" s="808"/>
      <c r="R259" s="808"/>
      <c r="S259" s="808"/>
      <c r="T259" s="808"/>
      <c r="U259" s="808"/>
      <c r="V259" s="808"/>
      <c r="W259" s="808"/>
      <c r="X259" s="2405"/>
      <c r="Y259" s="1128" t="s">
        <v>930</v>
      </c>
      <c r="Z259" s="7979">
        <v>27</v>
      </c>
      <c r="AA259" s="7980"/>
      <c r="AB259" s="7918" t="str">
        <f>IF(AL256,$AR$27,"")</f>
        <v/>
      </c>
      <c r="AC259" s="7919"/>
      <c r="AD259" s="7919"/>
      <c r="AE259" s="7919"/>
      <c r="AF259" s="7919"/>
      <c r="AG259" s="7919"/>
      <c r="AH259" s="7919"/>
      <c r="AI259" s="7920"/>
      <c r="AJ259" s="7925"/>
      <c r="AK259" s="7935"/>
      <c r="AL259" s="1150"/>
      <c r="AM259" s="808"/>
      <c r="AN259" s="808"/>
      <c r="AO259" s="808"/>
      <c r="AP259" s="2162"/>
      <c r="AQ259" s="900" t="s">
        <v>648</v>
      </c>
      <c r="AR259" s="7917">
        <f>IF(K152&lt;&gt;"",AL255,0)</f>
        <v>0</v>
      </c>
      <c r="AS259" s="7917"/>
      <c r="AT259" s="7917"/>
      <c r="AU259" s="7917"/>
      <c r="AV259" s="808"/>
      <c r="AW259" s="808"/>
      <c r="AX259" s="2396"/>
      <c r="AY259" s="3066" t="s">
        <v>3291</v>
      </c>
      <c r="AZ259" s="3057"/>
      <c r="BA259" s="3057"/>
      <c r="BB259" s="3057"/>
      <c r="BC259" s="3057"/>
      <c r="BD259" s="3057"/>
      <c r="BE259" s="3057"/>
      <c r="BF259" s="3057"/>
      <c r="BG259" s="3057"/>
      <c r="BH259" s="3057"/>
    </row>
    <row r="260" spans="1:60" ht="14.25" customHeight="1">
      <c r="A260" s="3107"/>
      <c r="B260" s="7978">
        <v>28</v>
      </c>
      <c r="C260" s="7978"/>
      <c r="D260" s="892" t="s">
        <v>3284</v>
      </c>
      <c r="E260" s="808"/>
      <c r="F260" s="2112"/>
      <c r="G260" s="808"/>
      <c r="H260" s="808"/>
      <c r="I260" s="808"/>
      <c r="J260" s="808"/>
      <c r="K260" s="808"/>
      <c r="L260" s="808"/>
      <c r="M260" s="808"/>
      <c r="N260" s="808"/>
      <c r="O260" s="808"/>
      <c r="P260" s="808"/>
      <c r="Q260" s="808"/>
      <c r="R260" s="808"/>
      <c r="S260" s="808"/>
      <c r="T260" s="808"/>
      <c r="U260" s="808"/>
      <c r="V260" s="808"/>
      <c r="W260" s="808"/>
      <c r="X260" s="2405"/>
      <c r="Y260" s="1128" t="s">
        <v>930</v>
      </c>
      <c r="Z260" s="7979">
        <v>28</v>
      </c>
      <c r="AA260" s="7980"/>
      <c r="AB260" s="7918" t="str">
        <f>IF(AL256,$AR$28,"")</f>
        <v/>
      </c>
      <c r="AC260" s="7919"/>
      <c r="AD260" s="7919"/>
      <c r="AE260" s="7919"/>
      <c r="AF260" s="7919"/>
      <c r="AG260" s="7919"/>
      <c r="AH260" s="7919"/>
      <c r="AI260" s="7920"/>
      <c r="AJ260" s="7925"/>
      <c r="AK260" s="7935"/>
      <c r="AL260" s="1150"/>
      <c r="AM260" s="808"/>
      <c r="AN260" s="808"/>
      <c r="AO260" s="808"/>
      <c r="AP260" s="2162"/>
      <c r="AQ260" s="900" t="s">
        <v>652</v>
      </c>
      <c r="AR260" s="7917">
        <f>IF(K154&lt;&gt;"",AL255,0)</f>
        <v>0</v>
      </c>
      <c r="AS260" s="7917"/>
      <c r="AT260" s="7917"/>
      <c r="AU260" s="7917"/>
      <c r="AV260" s="808"/>
      <c r="AW260" s="808"/>
      <c r="AX260" s="2396"/>
      <c r="AY260" s="3067" t="s">
        <v>3293</v>
      </c>
      <c r="AZ260" s="3057"/>
      <c r="BA260" s="3057"/>
      <c r="BB260" s="3057"/>
      <c r="BC260" s="3057"/>
      <c r="BD260" s="3057"/>
      <c r="BE260" s="3057"/>
      <c r="BF260" s="3057"/>
      <c r="BG260" s="3057"/>
      <c r="BH260" s="3057"/>
    </row>
    <row r="261" spans="1:60" ht="15" customHeight="1">
      <c r="A261" s="3107"/>
      <c r="B261" s="7978">
        <v>29</v>
      </c>
      <c r="C261" s="7978"/>
      <c r="D261" s="892" t="s">
        <v>3287</v>
      </c>
      <c r="E261" s="808"/>
      <c r="F261" s="2112"/>
      <c r="G261" s="808"/>
      <c r="H261" s="808"/>
      <c r="I261" s="808"/>
      <c r="J261" s="808"/>
      <c r="K261" s="808"/>
      <c r="L261" s="808"/>
      <c r="M261" s="808"/>
      <c r="N261" s="808"/>
      <c r="O261" s="808"/>
      <c r="P261" s="808"/>
      <c r="Q261" s="808"/>
      <c r="R261" s="808"/>
      <c r="S261" s="808"/>
      <c r="T261" s="808"/>
      <c r="U261" s="808"/>
      <c r="V261" s="808"/>
      <c r="W261" s="808"/>
      <c r="X261" s="2405"/>
      <c r="Y261" s="1128" t="s">
        <v>990</v>
      </c>
      <c r="Z261" s="7979">
        <v>29</v>
      </c>
      <c r="AA261" s="7980"/>
      <c r="AB261" s="7918" t="str">
        <f>IF(AL256,$AR$29,"")</f>
        <v/>
      </c>
      <c r="AC261" s="7919"/>
      <c r="AD261" s="7919"/>
      <c r="AE261" s="7919"/>
      <c r="AF261" s="7919"/>
      <c r="AG261" s="7919"/>
      <c r="AH261" s="7919"/>
      <c r="AI261" s="7920"/>
      <c r="AJ261" s="7925"/>
      <c r="AK261" s="7935"/>
      <c r="AL261" s="1150"/>
      <c r="AM261" s="808"/>
      <c r="AN261" s="808"/>
      <c r="AO261" s="808"/>
      <c r="AP261" s="2162"/>
      <c r="AQ261" s="900" t="s">
        <v>656</v>
      </c>
      <c r="AR261" s="7917">
        <f>IF(W152&lt;&gt;"",AL255,0)</f>
        <v>0</v>
      </c>
      <c r="AS261" s="7917"/>
      <c r="AT261" s="7917"/>
      <c r="AU261" s="7917"/>
      <c r="AV261" s="808"/>
      <c r="AW261" s="808"/>
      <c r="AX261" s="2396"/>
      <c r="AY261" s="3067"/>
      <c r="AZ261" s="3057"/>
      <c r="BA261" s="3057"/>
      <c r="BB261" s="3057"/>
      <c r="BC261" s="3057"/>
      <c r="BD261" s="3057"/>
      <c r="BE261" s="3057"/>
      <c r="BF261" s="3057"/>
      <c r="BG261" s="3057"/>
      <c r="BH261" s="3057"/>
    </row>
    <row r="262" spans="1:60" ht="15">
      <c r="A262" s="3107"/>
      <c r="B262" s="7978">
        <v>30</v>
      </c>
      <c r="C262" s="7978"/>
      <c r="D262" s="892" t="s">
        <v>3288</v>
      </c>
      <c r="E262" s="808"/>
      <c r="F262" s="2112"/>
      <c r="G262" s="808"/>
      <c r="H262" s="808"/>
      <c r="I262" s="808"/>
      <c r="J262" s="808"/>
      <c r="K262" s="808"/>
      <c r="L262" s="808"/>
      <c r="M262" s="808"/>
      <c r="N262" s="808"/>
      <c r="O262" s="808"/>
      <c r="P262" s="808"/>
      <c r="Q262" s="808"/>
      <c r="R262" s="808"/>
      <c r="S262" s="808"/>
      <c r="T262" s="808"/>
      <c r="U262" s="808"/>
      <c r="V262" s="808"/>
      <c r="W262" s="808"/>
      <c r="X262" s="2405"/>
      <c r="Y262" s="1128" t="s">
        <v>914</v>
      </c>
      <c r="Z262" s="7979">
        <v>30</v>
      </c>
      <c r="AA262" s="7980"/>
      <c r="AB262" s="7918" t="str">
        <f>IF(AL256,$AR$30,"")</f>
        <v/>
      </c>
      <c r="AC262" s="7919"/>
      <c r="AD262" s="7919"/>
      <c r="AE262" s="7919"/>
      <c r="AF262" s="7919"/>
      <c r="AG262" s="7919"/>
      <c r="AH262" s="7919"/>
      <c r="AI262" s="7920"/>
      <c r="AJ262" s="7925"/>
      <c r="AK262" s="7935"/>
      <c r="AL262" s="1150"/>
      <c r="AM262" s="808"/>
      <c r="AN262" s="808"/>
      <c r="AO262" s="808"/>
      <c r="AP262" s="2162"/>
      <c r="AQ262" s="900" t="s">
        <v>659</v>
      </c>
      <c r="AR262" s="7917">
        <f>IF(W154&lt;&gt;"",AL255,0)</f>
        <v>0</v>
      </c>
      <c r="AS262" s="7917"/>
      <c r="AT262" s="7917"/>
      <c r="AU262" s="7917"/>
      <c r="AV262" s="808"/>
      <c r="AW262" s="808"/>
      <c r="AX262" s="2395"/>
      <c r="AY262" s="3057"/>
      <c r="AZ262" s="3057"/>
      <c r="BA262" s="3057"/>
      <c r="BB262" s="3057"/>
      <c r="BC262" s="3057"/>
      <c r="BD262" s="3057"/>
      <c r="BE262" s="3057"/>
      <c r="BF262" s="3057"/>
      <c r="BG262" s="3057"/>
      <c r="BH262" s="3057"/>
    </row>
    <row r="263" spans="1:60" ht="12.75" customHeight="1" thickBot="1">
      <c r="A263" s="3107"/>
      <c r="B263" s="7978">
        <v>31</v>
      </c>
      <c r="C263" s="7978"/>
      <c r="D263" s="892" t="s">
        <v>3290</v>
      </c>
      <c r="E263" s="808"/>
      <c r="F263" s="2112"/>
      <c r="G263" s="808"/>
      <c r="H263" s="808"/>
      <c r="I263" s="808"/>
      <c r="J263" s="808"/>
      <c r="K263" s="808"/>
      <c r="L263" s="808"/>
      <c r="M263" s="808"/>
      <c r="N263" s="808"/>
      <c r="O263" s="808"/>
      <c r="P263" s="808"/>
      <c r="Q263" s="808"/>
      <c r="R263" s="808"/>
      <c r="S263" s="808"/>
      <c r="T263" s="808"/>
      <c r="U263" s="808"/>
      <c r="V263" s="808"/>
      <c r="W263" s="808"/>
      <c r="X263" s="2405"/>
      <c r="Y263" s="1128" t="s">
        <v>990</v>
      </c>
      <c r="Z263" s="8085">
        <v>31</v>
      </c>
      <c r="AA263" s="8086"/>
      <c r="AB263" s="8087" t="str">
        <f>IF(AL256,$AR$31,"")</f>
        <v/>
      </c>
      <c r="AC263" s="8088"/>
      <c r="AD263" s="8088"/>
      <c r="AE263" s="8088"/>
      <c r="AF263" s="8088"/>
      <c r="AG263" s="8088"/>
      <c r="AH263" s="8088"/>
      <c r="AI263" s="8089"/>
      <c r="AJ263" s="7925"/>
      <c r="AK263" s="7935"/>
      <c r="AL263" s="1150"/>
      <c r="AM263" s="808"/>
      <c r="AN263" s="808"/>
      <c r="AO263" s="808"/>
      <c r="AP263" s="2162"/>
      <c r="AQ263" s="900" t="s">
        <v>663</v>
      </c>
      <c r="AR263" s="7917">
        <f>IF(AI152&lt;&gt;"",AL255,0)</f>
        <v>0</v>
      </c>
      <c r="AS263" s="7917"/>
      <c r="AT263" s="7917"/>
      <c r="AU263" s="7917"/>
      <c r="AV263" s="808"/>
      <c r="AW263" s="808"/>
      <c r="AX263" s="2395" t="s">
        <v>241</v>
      </c>
      <c r="AY263" s="3057"/>
      <c r="AZ263" s="3057"/>
      <c r="BA263" s="3057"/>
      <c r="BB263" s="3057"/>
      <c r="BC263" s="3057"/>
      <c r="BD263" s="3057"/>
      <c r="BE263" s="3057"/>
      <c r="BF263" s="3057"/>
      <c r="BG263" s="3057"/>
      <c r="BH263" s="3057"/>
    </row>
    <row r="264" spans="1:60" ht="13.5" customHeight="1">
      <c r="A264" s="3107"/>
      <c r="B264" s="7978">
        <v>32</v>
      </c>
      <c r="C264" s="7978"/>
      <c r="D264" s="892" t="s">
        <v>3292</v>
      </c>
      <c r="E264" s="808"/>
      <c r="F264" s="2112"/>
      <c r="G264" s="808"/>
      <c r="H264" s="808"/>
      <c r="I264" s="808"/>
      <c r="J264" s="808"/>
      <c r="K264" s="808"/>
      <c r="L264" s="808"/>
      <c r="M264" s="808"/>
      <c r="N264" s="808"/>
      <c r="O264" s="808"/>
      <c r="P264" s="808"/>
      <c r="Q264" s="808"/>
      <c r="R264" s="808"/>
      <c r="S264" s="808"/>
      <c r="T264" s="808"/>
      <c r="U264" s="808"/>
      <c r="V264" s="808"/>
      <c r="W264" s="808"/>
      <c r="X264" s="808"/>
      <c r="Y264" s="808"/>
      <c r="Z264" s="1376"/>
      <c r="AA264" s="1376"/>
      <c r="AB264" s="808"/>
      <c r="AC264" s="808"/>
      <c r="AD264" s="808"/>
      <c r="AE264" s="808"/>
      <c r="AF264" s="808"/>
      <c r="AG264" s="808"/>
      <c r="AH264" s="808"/>
      <c r="AI264" s="1128" t="s">
        <v>985</v>
      </c>
      <c r="AJ264" s="7979">
        <v>32</v>
      </c>
      <c r="AK264" s="7980"/>
      <c r="AL264" s="7916" t="str">
        <f>IF(AQ264&lt;&gt;"",ROUND(AQ264,0),IF(NOT(AL256),"",SUM(AB257:AI263)))</f>
        <v/>
      </c>
      <c r="AM264" s="6829"/>
      <c r="AN264" s="6829"/>
      <c r="AO264" s="6829"/>
      <c r="AP264" s="2162"/>
      <c r="AQ264" s="7914"/>
      <c r="AR264" s="7915"/>
      <c r="AS264" s="7915"/>
      <c r="AT264" s="7915"/>
      <c r="AU264" s="2162"/>
      <c r="AV264" s="808"/>
      <c r="AW264" s="808"/>
      <c r="AX264" s="2396"/>
      <c r="AY264" s="3057"/>
      <c r="AZ264" s="3057"/>
      <c r="BA264" s="3057"/>
      <c r="BB264" s="3057"/>
      <c r="BC264" s="3057"/>
      <c r="BD264" s="3057"/>
      <c r="BE264" s="3057"/>
      <c r="BF264" s="3057"/>
      <c r="BG264" s="3057"/>
      <c r="BH264" s="3057"/>
    </row>
    <row r="265" spans="1:60" ht="21" customHeight="1">
      <c r="A265" s="3107"/>
      <c r="B265" s="7978">
        <v>33</v>
      </c>
      <c r="C265" s="7978"/>
      <c r="D265" s="892" t="s">
        <v>3294</v>
      </c>
      <c r="E265" s="808"/>
      <c r="F265" s="2112"/>
      <c r="G265" s="808"/>
      <c r="H265" s="808"/>
      <c r="I265" s="808"/>
      <c r="J265" s="808"/>
      <c r="K265" s="808"/>
      <c r="L265" s="808"/>
      <c r="M265" s="808"/>
      <c r="N265" s="808"/>
      <c r="O265" s="808"/>
      <c r="P265" s="808"/>
      <c r="Q265" s="808"/>
      <c r="R265" s="808"/>
      <c r="S265" s="808"/>
      <c r="T265" s="808"/>
      <c r="U265" s="808"/>
      <c r="V265" s="808"/>
      <c r="W265" s="808"/>
      <c r="X265" s="808"/>
      <c r="Y265" s="808"/>
      <c r="Z265" s="1376"/>
      <c r="AA265" s="1376"/>
      <c r="AB265" s="808"/>
      <c r="AC265" s="808"/>
      <c r="AD265" s="808"/>
      <c r="AE265" s="808"/>
      <c r="AF265" s="808"/>
      <c r="AG265" s="808"/>
      <c r="AH265" s="808"/>
      <c r="AI265" s="1128" t="s">
        <v>908</v>
      </c>
      <c r="AJ265" s="7979">
        <v>33</v>
      </c>
      <c r="AK265" s="7980"/>
      <c r="AL265" s="7916" t="str">
        <f>IF(NOT(AL256),"",IF(ISERROR(MIN(AL245,AL264)),"",MIN(AL245,AL264)))</f>
        <v/>
      </c>
      <c r="AM265" s="6829"/>
      <c r="AN265" s="6829"/>
      <c r="AO265" s="6829"/>
      <c r="AP265" s="2162"/>
      <c r="AQ265" s="2162"/>
      <c r="AR265" s="2162"/>
      <c r="AS265" s="2162"/>
      <c r="AT265" s="2162"/>
      <c r="AU265" s="2162"/>
      <c r="AV265" s="808"/>
      <c r="AW265" s="808"/>
      <c r="AX265" s="3061" t="s">
        <v>251</v>
      </c>
      <c r="AY265" s="3057"/>
      <c r="AZ265" s="3057"/>
      <c r="BA265" s="3057"/>
      <c r="BB265" s="3057"/>
      <c r="BC265" s="3057"/>
      <c r="BD265" s="3057"/>
      <c r="BE265" s="3057"/>
      <c r="BF265" s="3057"/>
      <c r="BG265" s="3057"/>
      <c r="BH265" s="3057"/>
    </row>
    <row r="266" spans="1:60" ht="15" thickBot="1">
      <c r="A266" s="3107"/>
      <c r="B266" s="7978">
        <v>34</v>
      </c>
      <c r="C266" s="7978"/>
      <c r="D266" s="892" t="s">
        <v>3295</v>
      </c>
      <c r="E266" s="808"/>
      <c r="F266" s="2112"/>
      <c r="G266" s="808"/>
      <c r="H266" s="808"/>
      <c r="I266" s="808"/>
      <c r="J266" s="808"/>
      <c r="K266" s="808"/>
      <c r="L266" s="808"/>
      <c r="M266" s="808"/>
      <c r="N266" s="808"/>
      <c r="O266" s="808"/>
      <c r="P266" s="808"/>
      <c r="Q266" s="808"/>
      <c r="R266" s="808"/>
      <c r="S266" s="808"/>
      <c r="T266" s="808"/>
      <c r="U266" s="808"/>
      <c r="V266" s="808"/>
      <c r="W266" s="808"/>
      <c r="X266" s="808"/>
      <c r="Y266" s="808"/>
      <c r="Z266" s="1376"/>
      <c r="AA266" s="1376"/>
      <c r="AB266" s="808"/>
      <c r="AC266" s="808"/>
      <c r="AD266" s="808"/>
      <c r="AE266" s="808"/>
      <c r="AF266" s="808"/>
      <c r="AG266" s="808"/>
      <c r="AH266" s="808"/>
      <c r="AI266" s="1128" t="s">
        <v>914</v>
      </c>
      <c r="AJ266" s="8085">
        <v>34</v>
      </c>
      <c r="AK266" s="8086"/>
      <c r="AL266" s="8078"/>
      <c r="AM266" s="8079"/>
      <c r="AN266" s="8079"/>
      <c r="AO266" s="8079"/>
      <c r="AP266" s="2162"/>
      <c r="AQ266" s="808"/>
      <c r="AR266" s="808"/>
      <c r="AS266" s="808"/>
      <c r="AT266" s="808"/>
      <c r="AU266" s="808"/>
      <c r="AV266" s="808"/>
      <c r="AW266" s="808"/>
      <c r="AX266" s="2396"/>
      <c r="AY266" s="3057"/>
      <c r="AZ266" s="3057"/>
      <c r="BA266" s="3057"/>
      <c r="BB266" s="3057"/>
      <c r="BC266" s="3057"/>
      <c r="BD266" s="3057"/>
      <c r="BE266" s="3057"/>
      <c r="BF266" s="3057"/>
      <c r="BG266" s="3057"/>
      <c r="BH266" s="3057"/>
    </row>
    <row r="267" spans="1:60" ht="11.25" customHeight="1">
      <c r="A267" s="3107"/>
      <c r="B267" s="7978">
        <v>35</v>
      </c>
      <c r="C267" s="7978"/>
      <c r="D267" s="892" t="s">
        <v>3296</v>
      </c>
      <c r="E267" s="808"/>
      <c r="F267" s="808"/>
      <c r="G267" s="808"/>
      <c r="H267" s="808"/>
      <c r="I267" s="808"/>
      <c r="J267" s="808"/>
      <c r="K267" s="808"/>
      <c r="L267" s="808"/>
      <c r="M267" s="808"/>
      <c r="N267" s="808"/>
      <c r="O267" s="808"/>
      <c r="P267" s="808"/>
      <c r="Q267" s="808"/>
      <c r="R267" s="808"/>
      <c r="S267" s="808"/>
      <c r="T267" s="901"/>
      <c r="U267" s="808"/>
      <c r="V267" s="808"/>
      <c r="W267" s="808"/>
      <c r="X267" s="808"/>
      <c r="Y267" s="808"/>
      <c r="Z267" s="808"/>
      <c r="AA267" s="808"/>
      <c r="AB267" s="808"/>
      <c r="AC267" s="808"/>
      <c r="AD267" s="808"/>
      <c r="AE267" s="808"/>
      <c r="AF267" s="808"/>
      <c r="AG267" s="808"/>
      <c r="AH267" s="808"/>
      <c r="AI267" s="808"/>
      <c r="AJ267" s="8076"/>
      <c r="AK267" s="8077"/>
      <c r="AL267" s="1150"/>
      <c r="AM267" s="808"/>
      <c r="AN267" s="808"/>
      <c r="AO267" s="808"/>
      <c r="AP267" s="2162"/>
      <c r="AQ267" s="2162"/>
      <c r="AR267" s="2162"/>
      <c r="AS267" s="2162"/>
      <c r="AT267" s="2162"/>
      <c r="AU267" s="2162"/>
      <c r="AV267" s="808"/>
      <c r="AW267" s="808"/>
      <c r="AX267" s="2396"/>
      <c r="AY267" s="3057"/>
      <c r="AZ267" s="3057"/>
      <c r="BA267" s="3057"/>
      <c r="BB267" s="3057"/>
      <c r="BC267" s="3057"/>
      <c r="BD267" s="3057"/>
      <c r="BE267" s="3057"/>
      <c r="BF267" s="3057"/>
      <c r="BG267" s="3057"/>
      <c r="BH267" s="3057"/>
    </row>
    <row r="268" spans="1:60" ht="15.75" thickBot="1">
      <c r="A268" s="3107"/>
      <c r="B268" s="2210"/>
      <c r="C268" s="2210"/>
      <c r="D268" s="1257" t="s">
        <v>3297</v>
      </c>
      <c r="E268" s="896"/>
      <c r="F268" s="896"/>
      <c r="G268" s="896"/>
      <c r="H268" s="896"/>
      <c r="I268" s="896"/>
      <c r="J268" s="896"/>
      <c r="K268" s="896"/>
      <c r="L268" s="896"/>
      <c r="M268" s="896"/>
      <c r="N268" s="896"/>
      <c r="O268" s="896"/>
      <c r="P268" s="896"/>
      <c r="Q268" s="896"/>
      <c r="R268" s="896"/>
      <c r="S268" s="896"/>
      <c r="T268" s="2211"/>
      <c r="U268" s="896"/>
      <c r="V268" s="896"/>
      <c r="W268" s="896"/>
      <c r="X268" s="896"/>
      <c r="Y268" s="896"/>
      <c r="Z268" s="896"/>
      <c r="AA268" s="896"/>
      <c r="AB268" s="896"/>
      <c r="AC268" s="896"/>
      <c r="AD268" s="896"/>
      <c r="AE268" s="896"/>
      <c r="AF268" s="896"/>
      <c r="AG268" s="896"/>
      <c r="AH268" s="896"/>
      <c r="AI268" s="2629" t="s">
        <v>888</v>
      </c>
      <c r="AJ268" s="8080">
        <v>35</v>
      </c>
      <c r="AK268" s="8081"/>
      <c r="AL268" s="7912" t="str">
        <f>IF(AQ268&lt;&gt;"",ROUND(AQ268,0),IF(AND(AL254=1,AO151=1),AL255,IF(NOT(AL256),"",IF(ISERROR(SUM(AL265,-AL266)),"",SUM(AL265,-AL266)))))</f>
        <v/>
      </c>
      <c r="AM268" s="7913"/>
      <c r="AN268" s="7913"/>
      <c r="AO268" s="7913"/>
      <c r="AP268" s="2162"/>
      <c r="AQ268" s="7914"/>
      <c r="AR268" s="7915"/>
      <c r="AS268" s="7915"/>
      <c r="AT268" s="7915"/>
      <c r="AU268" s="2162"/>
      <c r="AV268" s="808"/>
      <c r="AW268" s="808"/>
      <c r="AX268" s="2396"/>
      <c r="AY268" s="3057"/>
      <c r="AZ268" s="3057"/>
      <c r="BA268" s="3057"/>
      <c r="BB268" s="3057"/>
      <c r="BC268" s="3057"/>
      <c r="BD268" s="3057"/>
      <c r="BE268" s="3057"/>
      <c r="BF268" s="3057"/>
      <c r="BG268" s="3057"/>
      <c r="BH268" s="3057"/>
    </row>
    <row r="269" spans="1:60" ht="18">
      <c r="A269" s="3107"/>
      <c r="B269" s="2121"/>
      <c r="C269" s="2119"/>
      <c r="D269" s="808"/>
      <c r="E269" s="808"/>
      <c r="F269" s="808"/>
      <c r="G269" s="808"/>
      <c r="H269" s="808"/>
      <c r="I269" s="808"/>
      <c r="J269" s="808"/>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8"/>
      <c r="AG269" s="808"/>
      <c r="AH269" s="808"/>
      <c r="AI269" s="808"/>
      <c r="AJ269" s="808"/>
      <c r="AK269" s="1585"/>
      <c r="AL269" s="808"/>
      <c r="AM269" s="808"/>
      <c r="AN269" s="1585" t="s">
        <v>3298</v>
      </c>
      <c r="AO269" s="1461" t="str">
        <f>"("&amp;TaxYear&amp;")"</f>
        <v>(2023)</v>
      </c>
      <c r="AP269" s="2162"/>
      <c r="AQ269" s="2162"/>
      <c r="AR269" s="2162"/>
      <c r="AS269" s="2162"/>
      <c r="AT269" s="2162"/>
      <c r="AU269" s="2162"/>
      <c r="AV269" s="808"/>
      <c r="AW269" s="808"/>
      <c r="AX269" s="2396"/>
      <c r="AY269" s="3057"/>
      <c r="AZ269" s="3057"/>
      <c r="BA269" s="3057"/>
      <c r="BB269" s="3057"/>
      <c r="BC269" s="3057"/>
      <c r="BD269" s="3057"/>
      <c r="BE269" s="3057"/>
      <c r="BF269" s="3057"/>
      <c r="BG269" s="3057"/>
      <c r="BH269" s="3057"/>
    </row>
    <row r="270" spans="1:60" ht="12.75" customHeight="1">
      <c r="A270" s="3107"/>
      <c r="B270" s="8053" t="s">
        <v>3305</v>
      </c>
      <c r="C270" s="6970"/>
      <c r="D270" s="6970"/>
      <c r="E270" s="6970"/>
      <c r="F270" s="6970"/>
      <c r="G270" s="6970"/>
      <c r="H270" s="8159" t="s">
        <v>3150</v>
      </c>
      <c r="I270" s="8160"/>
      <c r="J270" s="8160"/>
      <c r="K270" s="8160"/>
      <c r="L270" s="8160"/>
      <c r="M270" s="8160"/>
      <c r="N270" s="8160"/>
      <c r="O270" s="8160"/>
      <c r="P270" s="8160"/>
      <c r="Q270" s="8160"/>
      <c r="R270" s="8160"/>
      <c r="S270" s="8160"/>
      <c r="T270" s="8160"/>
      <c r="U270" s="8160"/>
      <c r="V270" s="8160"/>
      <c r="W270" s="8160"/>
      <c r="X270" s="8160"/>
      <c r="Y270" s="8160"/>
      <c r="Z270" s="8160"/>
      <c r="AA270" s="8160"/>
      <c r="AB270" s="8160"/>
      <c r="AC270" s="8160"/>
      <c r="AD270" s="8160"/>
      <c r="AE270" s="8160"/>
      <c r="AF270" s="8160"/>
      <c r="AG270" s="8160"/>
      <c r="AH270" s="8161"/>
      <c r="AI270" s="7540" t="s">
        <v>3151</v>
      </c>
      <c r="AJ270" s="7415"/>
      <c r="AK270" s="7415"/>
      <c r="AL270" s="7415"/>
      <c r="AM270" s="7415"/>
      <c r="AN270" s="7415"/>
      <c r="AO270" s="7415"/>
      <c r="AP270" s="2162"/>
      <c r="AQ270" s="808"/>
      <c r="AR270" s="808"/>
      <c r="AS270" s="808"/>
      <c r="AT270" s="808"/>
      <c r="AU270" s="808"/>
      <c r="AV270" s="808"/>
      <c r="AW270" s="808"/>
      <c r="AX270" s="2396"/>
      <c r="AY270" s="3057"/>
      <c r="AZ270" s="3057"/>
      <c r="BA270" s="3057"/>
      <c r="BB270" s="3057"/>
      <c r="BC270" s="3057"/>
      <c r="BD270" s="3057"/>
      <c r="BE270" s="3057"/>
      <c r="BF270" s="3057"/>
      <c r="BG270" s="3057"/>
      <c r="BH270" s="3057"/>
    </row>
    <row r="271" spans="1:60" ht="12.75" customHeight="1">
      <c r="A271" s="3106"/>
      <c r="B271" s="6970"/>
      <c r="C271" s="6970"/>
      <c r="D271" s="6970"/>
      <c r="E271" s="6970"/>
      <c r="F271" s="6970"/>
      <c r="G271" s="6970"/>
      <c r="H271" s="8159"/>
      <c r="I271" s="8160"/>
      <c r="J271" s="8160"/>
      <c r="K271" s="8160"/>
      <c r="L271" s="8160"/>
      <c r="M271" s="8160"/>
      <c r="N271" s="8160"/>
      <c r="O271" s="8160"/>
      <c r="P271" s="8160"/>
      <c r="Q271" s="8160"/>
      <c r="R271" s="8160"/>
      <c r="S271" s="8160"/>
      <c r="T271" s="8160"/>
      <c r="U271" s="8160"/>
      <c r="V271" s="8160"/>
      <c r="W271" s="8160"/>
      <c r="X271" s="8160"/>
      <c r="Y271" s="8160"/>
      <c r="Z271" s="8160"/>
      <c r="AA271" s="8160"/>
      <c r="AB271" s="8160"/>
      <c r="AC271" s="8160"/>
      <c r="AD271" s="8160"/>
      <c r="AE271" s="8160"/>
      <c r="AF271" s="8160"/>
      <c r="AG271" s="8160"/>
      <c r="AH271" s="8161"/>
      <c r="AI271" s="7895">
        <f>TaxYear</f>
        <v>2023</v>
      </c>
      <c r="AJ271" s="7896"/>
      <c r="AK271" s="7896"/>
      <c r="AL271" s="7896"/>
      <c r="AM271" s="7896"/>
      <c r="AN271" s="7896"/>
      <c r="AO271" s="7896"/>
      <c r="AP271" s="2162"/>
      <c r="AQ271" s="808"/>
      <c r="AR271" s="808"/>
      <c r="AS271" s="808"/>
      <c r="AT271" s="808"/>
      <c r="AU271" s="808"/>
      <c r="AV271" s="808"/>
      <c r="AW271" s="808"/>
      <c r="AX271" s="2396"/>
      <c r="AY271" s="3057"/>
      <c r="AZ271" s="3057"/>
      <c r="BA271" s="3057"/>
      <c r="BB271" s="3057"/>
      <c r="BC271" s="3057"/>
      <c r="BD271" s="3057"/>
      <c r="BE271" s="3057"/>
      <c r="BF271" s="3057"/>
      <c r="BG271" s="3057"/>
      <c r="BH271" s="3057"/>
    </row>
    <row r="272" spans="1:60">
      <c r="A272" s="3107"/>
      <c r="B272" s="1640"/>
      <c r="C272" s="808"/>
      <c r="D272" s="808"/>
      <c r="E272" s="808"/>
      <c r="F272" s="808"/>
      <c r="G272" s="808"/>
      <c r="H272" s="8061" t="s">
        <v>3152</v>
      </c>
      <c r="I272" s="6659"/>
      <c r="J272" s="6659"/>
      <c r="K272" s="6659"/>
      <c r="L272" s="6659"/>
      <c r="M272" s="6659"/>
      <c r="N272" s="6659"/>
      <c r="O272" s="6659"/>
      <c r="P272" s="6659"/>
      <c r="Q272" s="6659"/>
      <c r="R272" s="6659"/>
      <c r="S272" s="6659"/>
      <c r="T272" s="6659"/>
      <c r="U272" s="6659"/>
      <c r="V272" s="6659"/>
      <c r="W272" s="6659"/>
      <c r="X272" s="6659"/>
      <c r="Y272" s="6659"/>
      <c r="Z272" s="6659"/>
      <c r="AA272" s="6659"/>
      <c r="AB272" s="6659"/>
      <c r="AC272" s="6659"/>
      <c r="AD272" s="6659"/>
      <c r="AE272" s="6659"/>
      <c r="AF272" s="6659"/>
      <c r="AG272" s="6659"/>
      <c r="AH272" s="8062"/>
      <c r="AI272" s="7897"/>
      <c r="AJ272" s="7898"/>
      <c r="AK272" s="7898"/>
      <c r="AL272" s="7898"/>
      <c r="AM272" s="7898"/>
      <c r="AN272" s="7898"/>
      <c r="AO272" s="7898"/>
      <c r="AP272" s="2162"/>
      <c r="AQ272" s="808"/>
      <c r="AR272" s="808"/>
      <c r="AS272" s="808"/>
      <c r="AT272" s="808"/>
      <c r="AU272" s="808"/>
      <c r="AV272" s="808"/>
      <c r="AW272" s="808"/>
      <c r="AX272" s="2396"/>
      <c r="AY272" s="3057"/>
      <c r="AZ272" s="3057"/>
      <c r="BA272" s="3057"/>
      <c r="BB272" s="3057"/>
      <c r="BC272" s="3057"/>
      <c r="BD272" s="3057"/>
      <c r="BE272" s="3057"/>
      <c r="BF272" s="3057"/>
      <c r="BG272" s="3057"/>
      <c r="BH272" s="3057"/>
    </row>
    <row r="273" spans="1:60" ht="12.75" customHeight="1">
      <c r="A273" s="3107"/>
      <c r="B273" s="6763" t="s">
        <v>2661</v>
      </c>
      <c r="C273" s="6919"/>
      <c r="D273" s="6919"/>
      <c r="E273" s="6919"/>
      <c r="F273" s="6919"/>
      <c r="G273" s="7542"/>
      <c r="H273" s="8063" t="s">
        <v>3153</v>
      </c>
      <c r="I273" s="8064"/>
      <c r="J273" s="8064"/>
      <c r="K273" s="8064"/>
      <c r="L273" s="8064"/>
      <c r="M273" s="8064"/>
      <c r="N273" s="8064"/>
      <c r="O273" s="8064"/>
      <c r="P273" s="8064"/>
      <c r="Q273" s="8064"/>
      <c r="R273" s="8064"/>
      <c r="S273" s="8064"/>
      <c r="T273" s="8064"/>
      <c r="U273" s="8064"/>
      <c r="V273" s="8064"/>
      <c r="W273" s="8064"/>
      <c r="X273" s="8064"/>
      <c r="Y273" s="8064"/>
      <c r="Z273" s="8064"/>
      <c r="AA273" s="8064"/>
      <c r="AB273" s="8064"/>
      <c r="AC273" s="8064"/>
      <c r="AD273" s="8064"/>
      <c r="AE273" s="8064"/>
      <c r="AF273" s="8064"/>
      <c r="AG273" s="8064"/>
      <c r="AH273" s="8065"/>
      <c r="AI273" s="8163" t="s">
        <v>3306</v>
      </c>
      <c r="AJ273" s="8164"/>
      <c r="AK273" s="8164"/>
      <c r="AL273" s="8164"/>
      <c r="AM273" s="8164"/>
      <c r="AN273" s="8164"/>
      <c r="AO273" s="8073">
        <v>19</v>
      </c>
      <c r="AP273" s="2162"/>
      <c r="AQ273" s="808"/>
      <c r="AR273" s="808"/>
      <c r="AS273" s="808"/>
      <c r="AT273" s="808"/>
      <c r="AU273" s="808"/>
      <c r="AV273" s="808"/>
      <c r="AW273" s="808"/>
      <c r="AX273" s="2396"/>
      <c r="AY273" s="3057"/>
      <c r="AZ273" s="3057"/>
      <c r="BA273" s="3057"/>
      <c r="BB273" s="3057"/>
      <c r="BC273" s="3057"/>
      <c r="BD273" s="3057"/>
      <c r="BE273" s="3057"/>
      <c r="BF273" s="3057"/>
      <c r="BG273" s="3057"/>
      <c r="BH273" s="3057"/>
    </row>
    <row r="274" spans="1:60" ht="13.5" customHeight="1" thickBot="1">
      <c r="A274" s="3107"/>
      <c r="B274" s="6920"/>
      <c r="C274" s="6920"/>
      <c r="D274" s="6920"/>
      <c r="E274" s="6920"/>
      <c r="F274" s="6920"/>
      <c r="G274" s="7543"/>
      <c r="H274" s="8066" t="s">
        <v>3154</v>
      </c>
      <c r="I274" s="8067"/>
      <c r="J274" s="8067"/>
      <c r="K274" s="8067"/>
      <c r="L274" s="8067"/>
      <c r="M274" s="8067"/>
      <c r="N274" s="8067"/>
      <c r="O274" s="8067"/>
      <c r="P274" s="8067"/>
      <c r="Q274" s="8067"/>
      <c r="R274" s="8067"/>
      <c r="S274" s="8067"/>
      <c r="T274" s="8067"/>
      <c r="U274" s="8067"/>
      <c r="V274" s="8067"/>
      <c r="W274" s="8067"/>
      <c r="X274" s="8067"/>
      <c r="Y274" s="8067"/>
      <c r="Z274" s="8067"/>
      <c r="AA274" s="8067"/>
      <c r="AB274" s="8067"/>
      <c r="AC274" s="8067"/>
      <c r="AD274" s="8067"/>
      <c r="AE274" s="8067"/>
      <c r="AF274" s="8067"/>
      <c r="AG274" s="8067"/>
      <c r="AH274" s="8068"/>
      <c r="AI274" s="8165"/>
      <c r="AJ274" s="8166"/>
      <c r="AK274" s="8166"/>
      <c r="AL274" s="8166"/>
      <c r="AM274" s="8166"/>
      <c r="AN274" s="8166"/>
      <c r="AO274" s="8162"/>
      <c r="AP274" s="2162"/>
      <c r="AQ274" s="808"/>
      <c r="AR274" s="808"/>
      <c r="AS274" s="808"/>
      <c r="AT274" s="808"/>
      <c r="AU274" s="808"/>
      <c r="AV274" s="808"/>
      <c r="AW274" s="808"/>
      <c r="AX274" s="2396"/>
      <c r="AY274" s="3057"/>
      <c r="AZ274" s="3057"/>
      <c r="BA274" s="3057"/>
      <c r="BB274" s="3057"/>
      <c r="BC274" s="3057"/>
      <c r="BD274" s="3057"/>
      <c r="BE274" s="3057"/>
      <c r="BF274" s="3057"/>
      <c r="BG274" s="3057"/>
      <c r="BH274" s="3057"/>
    </row>
    <row r="275" spans="1:60" ht="13.5" customHeight="1">
      <c r="A275" s="3107"/>
      <c r="B275" s="1119" t="s">
        <v>3155</v>
      </c>
      <c r="C275" s="890"/>
      <c r="D275" s="890"/>
      <c r="E275" s="890"/>
      <c r="F275" s="890"/>
      <c r="G275" s="890"/>
      <c r="H275" s="890"/>
      <c r="I275" s="890"/>
      <c r="J275" s="890"/>
      <c r="K275" s="890"/>
      <c r="L275" s="890"/>
      <c r="M275" s="890"/>
      <c r="N275" s="890"/>
      <c r="O275" s="890"/>
      <c r="P275" s="890"/>
      <c r="Q275" s="890"/>
      <c r="R275" s="890"/>
      <c r="S275" s="890"/>
      <c r="T275" s="890"/>
      <c r="U275" s="890"/>
      <c r="V275" s="890"/>
      <c r="W275" s="890"/>
      <c r="X275" s="890"/>
      <c r="Y275" s="890"/>
      <c r="Z275" s="890"/>
      <c r="AA275" s="7949" t="s">
        <v>3156</v>
      </c>
      <c r="AB275" s="7950"/>
      <c r="AC275" s="7950"/>
      <c r="AD275" s="7950"/>
      <c r="AE275" s="7950"/>
      <c r="AF275" s="7950"/>
      <c r="AG275" s="7950"/>
      <c r="AH275" s="7950"/>
      <c r="AI275" s="7950"/>
      <c r="AJ275" s="7950"/>
      <c r="AK275" s="7950"/>
      <c r="AL275" s="7950"/>
      <c r="AM275" s="7950"/>
      <c r="AN275" s="7950"/>
      <c r="AO275" s="7950"/>
      <c r="AP275" s="2162"/>
      <c r="AQ275" s="808"/>
      <c r="AR275" s="808"/>
      <c r="AS275" s="808"/>
      <c r="AT275" s="808"/>
      <c r="AU275" s="808"/>
      <c r="AV275" s="808"/>
      <c r="AW275" s="808"/>
      <c r="AX275" s="2396"/>
      <c r="AY275" s="3057"/>
      <c r="AZ275" s="3057"/>
      <c r="BA275" s="3057"/>
      <c r="BB275" s="3057"/>
      <c r="BC275" s="3057"/>
      <c r="BD275" s="3057"/>
      <c r="BE275" s="3057"/>
      <c r="BF275" s="3057"/>
      <c r="BG275" s="3057"/>
      <c r="BH275" s="3057"/>
    </row>
    <row r="276" spans="1:60">
      <c r="A276" s="3107"/>
      <c r="B276" s="7948" t="str">
        <f>Names</f>
        <v/>
      </c>
      <c r="C276" s="6970"/>
      <c r="D276" s="6970"/>
      <c r="E276" s="6970"/>
      <c r="F276" s="6970"/>
      <c r="G276" s="6970"/>
      <c r="H276" s="6970"/>
      <c r="I276" s="6970"/>
      <c r="J276" s="6970"/>
      <c r="K276" s="6970"/>
      <c r="L276" s="6970"/>
      <c r="M276" s="6970"/>
      <c r="N276" s="6970"/>
      <c r="O276" s="6970"/>
      <c r="P276" s="6970"/>
      <c r="Q276" s="6970"/>
      <c r="R276" s="6970"/>
      <c r="S276" s="6970"/>
      <c r="T276" s="6970"/>
      <c r="U276" s="6970"/>
      <c r="V276" s="6970"/>
      <c r="W276" s="6970"/>
      <c r="X276" s="6970"/>
      <c r="Y276" s="6970"/>
      <c r="Z276" s="6970"/>
      <c r="AA276" s="7951">
        <f>IF(NoSSN,"",SS_Yours)</f>
        <v>1010001</v>
      </c>
      <c r="AB276" s="7952"/>
      <c r="AC276" s="7952"/>
      <c r="AD276" s="7952"/>
      <c r="AE276" s="7952"/>
      <c r="AF276" s="7952"/>
      <c r="AG276" s="7952"/>
      <c r="AH276" s="7952"/>
      <c r="AI276" s="7952"/>
      <c r="AJ276" s="7952"/>
      <c r="AK276" s="7952"/>
      <c r="AL276" s="7952"/>
      <c r="AM276" s="7952"/>
      <c r="AN276" s="7952"/>
      <c r="AO276" s="7952"/>
      <c r="AP276" s="2162"/>
      <c r="AQ276" s="808"/>
      <c r="AR276" s="808"/>
      <c r="AS276" s="808"/>
      <c r="AT276" s="808"/>
      <c r="AU276" s="808"/>
      <c r="AV276" s="808"/>
      <c r="AW276" s="808"/>
      <c r="AX276" s="2396"/>
      <c r="AY276" s="3057"/>
      <c r="AZ276" s="3057"/>
      <c r="BA276" s="3057"/>
      <c r="BB276" s="3057"/>
      <c r="BC276" s="3057"/>
      <c r="BD276" s="3057"/>
      <c r="BE276" s="3057"/>
      <c r="BF276" s="3057"/>
      <c r="BG276" s="3057"/>
      <c r="BH276" s="3057"/>
    </row>
    <row r="277" spans="1:60" ht="16.5" customHeight="1">
      <c r="A277" s="3107"/>
      <c r="B277" s="7293"/>
      <c r="C277" s="7293"/>
      <c r="D277" s="7293"/>
      <c r="E277" s="7293"/>
      <c r="F277" s="7293"/>
      <c r="G277" s="7293"/>
      <c r="H277" s="7293"/>
      <c r="I277" s="7293"/>
      <c r="J277" s="7293"/>
      <c r="K277" s="7293"/>
      <c r="L277" s="7293"/>
      <c r="M277" s="7293"/>
      <c r="N277" s="7293"/>
      <c r="O277" s="7293"/>
      <c r="P277" s="7293"/>
      <c r="Q277" s="7293"/>
      <c r="R277" s="7293"/>
      <c r="S277" s="7293"/>
      <c r="T277" s="7293"/>
      <c r="U277" s="7293"/>
      <c r="V277" s="7293"/>
      <c r="W277" s="7293"/>
      <c r="X277" s="7293"/>
      <c r="Y277" s="7293"/>
      <c r="Z277" s="7293"/>
      <c r="AA277" s="7953"/>
      <c r="AB277" s="7954"/>
      <c r="AC277" s="7954"/>
      <c r="AD277" s="7954"/>
      <c r="AE277" s="7954"/>
      <c r="AF277" s="7954"/>
      <c r="AG277" s="7954"/>
      <c r="AH277" s="7954"/>
      <c r="AI277" s="7954"/>
      <c r="AJ277" s="7954"/>
      <c r="AK277" s="7954"/>
      <c r="AL277" s="7954"/>
      <c r="AM277" s="7954"/>
      <c r="AN277" s="7954"/>
      <c r="AO277" s="7954"/>
      <c r="AP277" s="2162"/>
      <c r="AQ277" s="808"/>
      <c r="AR277" s="808"/>
      <c r="AS277" s="808"/>
      <c r="AT277" s="808"/>
      <c r="AU277" s="808"/>
      <c r="AV277" s="808"/>
      <c r="AW277" s="808"/>
      <c r="AX277" s="2396"/>
      <c r="AY277" s="3057"/>
      <c r="AZ277" s="3057"/>
      <c r="BA277" s="3057"/>
      <c r="BB277" s="3057"/>
      <c r="BC277" s="3057"/>
      <c r="BD277" s="3057"/>
      <c r="BE277" s="3057"/>
      <c r="BF277" s="3057"/>
      <c r="BG277" s="3057"/>
      <c r="BH277" s="3057"/>
    </row>
    <row r="278" spans="1:60" ht="12.75" customHeight="1">
      <c r="A278" s="3107"/>
      <c r="B278" s="2145" t="s">
        <v>3157</v>
      </c>
      <c r="C278" s="1142"/>
      <c r="D278" s="1142"/>
      <c r="E278" s="1142"/>
      <c r="F278" s="1142"/>
      <c r="G278" s="1142"/>
      <c r="H278" s="1142"/>
      <c r="I278" s="1142"/>
      <c r="J278" s="1142"/>
      <c r="K278" s="1142"/>
      <c r="L278" s="1142"/>
      <c r="M278" s="1142"/>
      <c r="N278" s="1142"/>
      <c r="O278" s="1142"/>
      <c r="P278" s="1142"/>
      <c r="Q278" s="1142"/>
      <c r="R278" s="1142"/>
      <c r="S278" s="1142"/>
      <c r="T278" s="1142"/>
      <c r="U278" s="1142"/>
      <c r="V278" s="1142"/>
      <c r="W278" s="1142"/>
      <c r="X278" s="1142"/>
      <c r="Y278" s="1142"/>
      <c r="Z278" s="1142"/>
      <c r="AA278" s="1142"/>
      <c r="AB278" s="1142"/>
      <c r="AC278" s="1142"/>
      <c r="AD278" s="1142"/>
      <c r="AE278" s="1142"/>
      <c r="AF278" s="1142"/>
      <c r="AG278" s="1142"/>
      <c r="AH278" s="1142"/>
      <c r="AI278" s="2892" t="s">
        <v>3158</v>
      </c>
      <c r="AJ278" s="1142"/>
      <c r="AK278" s="1142"/>
      <c r="AL278" s="1142"/>
      <c r="AM278" s="1142"/>
      <c r="AN278" s="1142"/>
      <c r="AO278" s="1142"/>
      <c r="AP278" s="2162"/>
      <c r="AQ278" s="808"/>
      <c r="AR278" s="808"/>
      <c r="AS278" s="808"/>
      <c r="AT278" s="808"/>
      <c r="AU278" s="808"/>
      <c r="AV278" s="808"/>
      <c r="AW278" s="808"/>
      <c r="AX278" s="2396"/>
      <c r="AY278" s="3057"/>
      <c r="AZ278" s="3057"/>
      <c r="BA278" s="3057"/>
      <c r="BB278" s="3057"/>
      <c r="BC278" s="3057"/>
      <c r="BD278" s="3057"/>
      <c r="BE278" s="3057"/>
      <c r="BF278" s="3057"/>
      <c r="BG278" s="3057"/>
      <c r="BH278" s="3057"/>
    </row>
    <row r="279" spans="1:60" ht="12.75" customHeight="1">
      <c r="A279" s="3106" t="b">
        <f>AO280=0</f>
        <v>1</v>
      </c>
      <c r="B279" s="878" t="s">
        <v>3159</v>
      </c>
      <c r="C279" s="808"/>
      <c r="D279" s="808"/>
      <c r="E279" s="808" t="s">
        <v>3160</v>
      </c>
      <c r="F279" s="1108"/>
      <c r="G279" s="808"/>
      <c r="H279" s="808"/>
      <c r="I279" s="808"/>
      <c r="J279" s="808"/>
      <c r="K279" s="808"/>
      <c r="L279" s="808"/>
      <c r="M279" s="808"/>
      <c r="N279" s="808"/>
      <c r="O279" s="808"/>
      <c r="P279" s="808"/>
      <c r="Q279" s="808"/>
      <c r="R279" s="808"/>
      <c r="S279" s="808"/>
      <c r="T279" s="808"/>
      <c r="U279" s="808"/>
      <c r="V279" s="808"/>
      <c r="W279" s="808"/>
      <c r="X279" s="808"/>
      <c r="Y279" s="808"/>
      <c r="Z279" s="808"/>
      <c r="AA279" s="808"/>
      <c r="AB279" s="808"/>
      <c r="AC279" s="808"/>
      <c r="AD279" s="808"/>
      <c r="AE279" s="808"/>
      <c r="AF279" s="808"/>
      <c r="AG279" s="808"/>
      <c r="AH279" s="808"/>
      <c r="AI279" s="808"/>
      <c r="AJ279" s="808"/>
      <c r="AK279" s="808"/>
      <c r="AL279" s="808"/>
      <c r="AM279" s="808"/>
      <c r="AN279" s="808"/>
      <c r="AO279" s="808"/>
      <c r="AP279" s="2162"/>
      <c r="AQ279" s="900"/>
      <c r="AR279" s="3810"/>
      <c r="AS279" s="3811"/>
      <c r="AT279" s="3811"/>
      <c r="AU279" s="3811"/>
      <c r="AV279" s="808"/>
      <c r="AW279" s="808"/>
      <c r="AX279" s="2396"/>
      <c r="AY279" s="3057"/>
      <c r="AZ279" s="3057"/>
      <c r="BA279" s="3057"/>
      <c r="BB279" s="3057"/>
      <c r="BC279" s="3057"/>
      <c r="BD279" s="3057"/>
      <c r="BE279" s="3057"/>
      <c r="BF279" s="3057"/>
      <c r="BG279" s="3057"/>
      <c r="BH279" s="3057"/>
    </row>
    <row r="280" spans="1:60" s="2114" customFormat="1" ht="8.25" customHeight="1">
      <c r="A280" s="3107"/>
      <c r="B280" s="808"/>
      <c r="C280" s="1754">
        <f>IF(C281&lt;&gt;"",1,0)</f>
        <v>0</v>
      </c>
      <c r="D280" s="900"/>
      <c r="E280" s="900"/>
      <c r="F280" s="2213"/>
      <c r="G280" s="900"/>
      <c r="H280" s="900"/>
      <c r="I280" s="900"/>
      <c r="J280" s="900"/>
      <c r="K280" s="1754">
        <f>IF(K281&lt;&gt;"",1,0)</f>
        <v>0</v>
      </c>
      <c r="L280" s="900"/>
      <c r="M280" s="900"/>
      <c r="N280" s="1754"/>
      <c r="O280" s="900"/>
      <c r="P280" s="900"/>
      <c r="Q280" s="900"/>
      <c r="R280" s="900"/>
      <c r="S280" s="900"/>
      <c r="T280" s="900"/>
      <c r="U280" s="900"/>
      <c r="V280" s="900"/>
      <c r="W280" s="1754">
        <f>IF(W281&lt;&gt;"",1,0)</f>
        <v>0</v>
      </c>
      <c r="X280" s="900"/>
      <c r="Y280" s="900"/>
      <c r="Z280" s="900"/>
      <c r="AA280" s="900"/>
      <c r="AB280" s="1754"/>
      <c r="AC280" s="808"/>
      <c r="AD280" s="808"/>
      <c r="AE280" s="808"/>
      <c r="AF280" s="808"/>
      <c r="AG280" s="808"/>
      <c r="AH280" s="808"/>
      <c r="AI280" s="1754">
        <f>IF(AI281&lt;&gt;"",1,0)</f>
        <v>0</v>
      </c>
      <c r="AJ280" s="808"/>
      <c r="AK280" s="808"/>
      <c r="AL280" s="808"/>
      <c r="AM280" s="808"/>
      <c r="AN280" s="808"/>
      <c r="AO280" s="1994">
        <f>SUM(C280,K280,W280,AI280,C282,K282,W282)</f>
        <v>0</v>
      </c>
      <c r="AP280" s="2162"/>
      <c r="AQ280" s="900"/>
      <c r="AR280" s="900"/>
      <c r="AS280" s="900"/>
      <c r="AT280" s="900"/>
      <c r="AU280" s="900"/>
      <c r="AV280" s="808"/>
      <c r="AW280" s="808"/>
      <c r="AX280" s="2396"/>
      <c r="AY280" s="3057"/>
      <c r="AZ280" s="3057"/>
      <c r="BA280" s="3057"/>
      <c r="BB280" s="3057"/>
      <c r="BC280" s="3057"/>
      <c r="BD280" s="3057"/>
      <c r="BE280" s="3057"/>
      <c r="BF280" s="3057"/>
      <c r="BG280" s="3057"/>
      <c r="BH280" s="3057"/>
    </row>
    <row r="281" spans="1:60" ht="14.25" customHeight="1">
      <c r="A281" s="3106" t="b">
        <f>AND(K281&lt;&gt;"",AO280=1,A338)</f>
        <v>0</v>
      </c>
      <c r="B281" s="2177" t="s">
        <v>640</v>
      </c>
      <c r="C281" s="941"/>
      <c r="D281" s="2186" t="s">
        <v>3161</v>
      </c>
      <c r="E281" s="808"/>
      <c r="F281" s="808"/>
      <c r="G281" s="808"/>
      <c r="H281" s="808"/>
      <c r="I281" s="808"/>
      <c r="J281" s="2177" t="s">
        <v>648</v>
      </c>
      <c r="K281" s="941"/>
      <c r="L281" s="2186" t="s">
        <v>3162</v>
      </c>
      <c r="M281" s="2186"/>
      <c r="N281" s="892"/>
      <c r="O281" s="2186"/>
      <c r="P281" s="892"/>
      <c r="Q281" s="808"/>
      <c r="R281" s="808"/>
      <c r="S281" s="808"/>
      <c r="T281" s="808"/>
      <c r="U281" s="808"/>
      <c r="V281" s="2177" t="s">
        <v>656</v>
      </c>
      <c r="W281" s="941"/>
      <c r="X281" s="2186" t="s">
        <v>3163</v>
      </c>
      <c r="Y281" s="808"/>
      <c r="Z281" s="808"/>
      <c r="AA281" s="2177"/>
      <c r="AB281" s="808"/>
      <c r="AC281" s="2186"/>
      <c r="AD281" s="2177"/>
      <c r="AE281" s="808"/>
      <c r="AF281" s="2177"/>
      <c r="AG281" s="808"/>
      <c r="AH281" s="2177" t="s">
        <v>663</v>
      </c>
      <c r="AI281" s="941"/>
      <c r="AJ281" s="2186" t="s">
        <v>3164</v>
      </c>
      <c r="AK281" s="808"/>
      <c r="AL281" s="808"/>
      <c r="AM281" s="808"/>
      <c r="AN281" s="808"/>
      <c r="AO281" s="874"/>
      <c r="AP281" s="2162"/>
      <c r="AQ281" s="900"/>
      <c r="AR281" s="3810"/>
      <c r="AS281" s="3811"/>
      <c r="AT281" s="3811"/>
      <c r="AU281" s="3811"/>
      <c r="AV281" s="808"/>
      <c r="AW281" s="808"/>
      <c r="AX281" s="2396"/>
      <c r="AY281" s="3057"/>
      <c r="AZ281" s="3057"/>
      <c r="BA281" s="3057"/>
      <c r="BB281" s="3057"/>
      <c r="BC281" s="3057"/>
      <c r="BD281" s="3057"/>
      <c r="BE281" s="3057"/>
      <c r="BF281" s="3057"/>
      <c r="BG281" s="3057"/>
      <c r="BH281" s="3057"/>
    </row>
    <row r="282" spans="1:60" ht="7.5" customHeight="1">
      <c r="A282" s="3107"/>
      <c r="B282" s="2120"/>
      <c r="C282" s="1754">
        <f>IF(C283&lt;&gt;"",1,0)</f>
        <v>0</v>
      </c>
      <c r="D282" s="2214"/>
      <c r="E282" s="900"/>
      <c r="F282" s="900"/>
      <c r="G282" s="900"/>
      <c r="H282" s="900"/>
      <c r="I282" s="900"/>
      <c r="J282" s="900"/>
      <c r="K282" s="1754">
        <f>IF(K283&lt;&gt;"",1,0)</f>
        <v>0</v>
      </c>
      <c r="L282" s="900"/>
      <c r="M282" s="900"/>
      <c r="N282" s="1754"/>
      <c r="O282" s="808"/>
      <c r="P282" s="808"/>
      <c r="Q282" s="808"/>
      <c r="R282" s="808"/>
      <c r="S282" s="808"/>
      <c r="T282" s="808"/>
      <c r="U282" s="808"/>
      <c r="V282" s="808"/>
      <c r="W282" s="1754">
        <f>IF(W283&lt;&gt;"",1,0)</f>
        <v>0</v>
      </c>
      <c r="X282" s="808"/>
      <c r="Y282" s="808"/>
      <c r="Z282" s="808"/>
      <c r="AA282" s="808"/>
      <c r="AB282" s="808"/>
      <c r="AC282" s="808"/>
      <c r="AD282" s="808"/>
      <c r="AE282" s="808"/>
      <c r="AF282" s="808"/>
      <c r="AG282" s="808"/>
      <c r="AH282" s="808"/>
      <c r="AI282" s="808"/>
      <c r="AJ282" s="808"/>
      <c r="AK282" s="808"/>
      <c r="AL282" s="808"/>
      <c r="AM282" s="808"/>
      <c r="AN282" s="808"/>
      <c r="AO282" s="808"/>
      <c r="AP282" s="2162"/>
      <c r="AQ282" s="900"/>
      <c r="AR282" s="900"/>
      <c r="AS282" s="900"/>
      <c r="AT282" s="900"/>
      <c r="AU282" s="900"/>
      <c r="AV282" s="808"/>
      <c r="AW282" s="808"/>
      <c r="AX282" s="2396"/>
      <c r="AY282" s="3057"/>
      <c r="AZ282" s="3057"/>
      <c r="BA282" s="3057"/>
      <c r="BB282" s="3057"/>
      <c r="BC282" s="3057"/>
      <c r="BD282" s="3057"/>
      <c r="BE282" s="3057"/>
      <c r="BF282" s="3057"/>
      <c r="BG282" s="3057"/>
      <c r="BH282" s="3057"/>
    </row>
    <row r="283" spans="1:60" s="649" customFormat="1" ht="13.5" customHeight="1">
      <c r="A283" s="3107"/>
      <c r="B283" s="2177" t="s">
        <v>644</v>
      </c>
      <c r="C283" s="941"/>
      <c r="D283" s="2186" t="s">
        <v>3165</v>
      </c>
      <c r="E283" s="808"/>
      <c r="F283" s="808"/>
      <c r="G283" s="808"/>
      <c r="H283" s="808"/>
      <c r="I283" s="808"/>
      <c r="J283" s="2177" t="s">
        <v>652</v>
      </c>
      <c r="K283" s="941"/>
      <c r="L283" s="2186" t="s">
        <v>3166</v>
      </c>
      <c r="M283" s="2186"/>
      <c r="N283" s="892"/>
      <c r="O283" s="2186"/>
      <c r="P283" s="892"/>
      <c r="Q283" s="808"/>
      <c r="R283" s="808"/>
      <c r="S283" s="808"/>
      <c r="T283" s="808"/>
      <c r="U283" s="808"/>
      <c r="V283" s="2177" t="s">
        <v>659</v>
      </c>
      <c r="W283" s="941"/>
      <c r="X283" s="2186" t="s">
        <v>3167</v>
      </c>
      <c r="Y283" s="808"/>
      <c r="Z283" s="808"/>
      <c r="AA283" s="808"/>
      <c r="AB283" s="808"/>
      <c r="AC283" s="808"/>
      <c r="AD283" s="808"/>
      <c r="AE283" s="808"/>
      <c r="AF283" s="808"/>
      <c r="AG283" s="808"/>
      <c r="AH283" s="808"/>
      <c r="AI283" s="808"/>
      <c r="AJ283" s="808"/>
      <c r="AK283" s="808"/>
      <c r="AL283" s="808"/>
      <c r="AM283" s="808"/>
      <c r="AN283" s="808"/>
      <c r="AO283" s="900" t="b">
        <f>IF(AO280&lt;&gt;1,TRUE,FALSE)</f>
        <v>1</v>
      </c>
      <c r="AP283" s="2162"/>
      <c r="AQ283" s="900"/>
      <c r="AR283" s="3810"/>
      <c r="AS283" s="3811"/>
      <c r="AT283" s="3811"/>
      <c r="AU283" s="3811"/>
      <c r="AV283" s="808"/>
      <c r="AW283" s="808"/>
      <c r="AX283" s="3060"/>
      <c r="AY283" s="3058"/>
      <c r="AZ283" s="3058"/>
      <c r="BA283" s="3058"/>
      <c r="BB283" s="3058"/>
      <c r="BC283" s="3058"/>
      <c r="BD283" s="3058"/>
      <c r="BE283" s="3058"/>
      <c r="BF283" s="3058"/>
      <c r="BG283" s="3058"/>
      <c r="BH283" s="3058"/>
    </row>
    <row r="284" spans="1:60" ht="7.5" customHeight="1">
      <c r="A284" s="3107"/>
      <c r="B284" s="2120"/>
      <c r="C284" s="2178"/>
      <c r="D284" s="2112"/>
      <c r="E284" s="808"/>
      <c r="F284" s="808"/>
      <c r="G284" s="808"/>
      <c r="H284" s="808"/>
      <c r="I284" s="808"/>
      <c r="J284" s="808"/>
      <c r="K284" s="808"/>
      <c r="L284" s="808"/>
      <c r="M284" s="808"/>
      <c r="N284" s="808"/>
      <c r="O284" s="808"/>
      <c r="P284" s="808"/>
      <c r="Q284" s="808"/>
      <c r="R284" s="808"/>
      <c r="S284" s="808"/>
      <c r="T284" s="808"/>
      <c r="U284" s="808"/>
      <c r="V284" s="808"/>
      <c r="W284" s="808"/>
      <c r="X284" s="808"/>
      <c r="Y284" s="808"/>
      <c r="Z284" s="808"/>
      <c r="AA284" s="808"/>
      <c r="AB284" s="808"/>
      <c r="AC284" s="808"/>
      <c r="AD284" s="808"/>
      <c r="AE284" s="808"/>
      <c r="AF284" s="808"/>
      <c r="AG284" s="808"/>
      <c r="AH284" s="808"/>
      <c r="AI284" s="808"/>
      <c r="AJ284" s="808"/>
      <c r="AK284" s="808"/>
      <c r="AL284" s="808"/>
      <c r="AM284" s="808"/>
      <c r="AN284" s="808"/>
      <c r="AO284" s="808"/>
      <c r="AP284" s="2162"/>
      <c r="AQ284" s="900"/>
      <c r="AR284" s="900"/>
      <c r="AS284" s="900"/>
      <c r="AT284" s="900"/>
      <c r="AU284" s="900"/>
      <c r="AV284" s="808"/>
      <c r="AW284" s="808"/>
      <c r="AX284" s="2396"/>
      <c r="AY284" s="3057"/>
      <c r="AZ284" s="3057"/>
      <c r="BA284" s="3057"/>
      <c r="BB284" s="3057"/>
      <c r="BC284" s="3057"/>
      <c r="BD284" s="3057"/>
      <c r="BE284" s="3057"/>
      <c r="BF284" s="3057"/>
      <c r="BG284" s="3057"/>
      <c r="BH284" s="3057"/>
    </row>
    <row r="285" spans="1:60" ht="12" customHeight="1">
      <c r="A285" s="3107"/>
      <c r="B285" s="2187" t="s">
        <v>668</v>
      </c>
      <c r="C285" s="2188" t="s">
        <v>3168</v>
      </c>
      <c r="D285" s="1122"/>
      <c r="E285" s="1122"/>
      <c r="F285" s="1122"/>
      <c r="G285" s="1122"/>
      <c r="H285" s="1122"/>
      <c r="I285" s="1122"/>
      <c r="J285" s="1122"/>
      <c r="K285" s="1122"/>
      <c r="L285" s="8098"/>
      <c r="M285" s="8098"/>
      <c r="N285" s="8098"/>
      <c r="O285" s="8098"/>
      <c r="P285" s="8098"/>
      <c r="Q285" s="8098"/>
      <c r="R285" s="8098"/>
      <c r="S285" s="8098"/>
      <c r="T285" s="8098"/>
      <c r="U285" s="8098"/>
      <c r="V285" s="8098"/>
      <c r="W285" s="8098"/>
      <c r="X285" s="8098"/>
      <c r="Y285" s="8098"/>
      <c r="Z285" s="8098"/>
      <c r="AA285" s="8098"/>
      <c r="AB285" s="8098"/>
      <c r="AC285" s="8098"/>
      <c r="AD285" s="8098"/>
      <c r="AE285" s="8098"/>
      <c r="AF285" s="8098"/>
      <c r="AG285" s="8098"/>
      <c r="AH285" s="8098"/>
      <c r="AI285" s="8098"/>
      <c r="AJ285" s="8098"/>
      <c r="AK285" s="8098"/>
      <c r="AL285" s="8098"/>
      <c r="AM285" s="8098"/>
      <c r="AN285" s="8098"/>
      <c r="AO285" s="8098"/>
      <c r="AP285" s="2162"/>
      <c r="AQ285" s="808"/>
      <c r="AR285" s="808"/>
      <c r="AS285" s="808"/>
      <c r="AT285" s="808"/>
      <c r="AU285" s="808"/>
      <c r="AV285" s="808"/>
      <c r="AW285" s="808"/>
      <c r="AX285" s="2396"/>
      <c r="AY285" s="3057"/>
      <c r="AZ285" s="3057"/>
      <c r="BA285" s="3057"/>
      <c r="BB285" s="3057"/>
      <c r="BC285" s="3057"/>
      <c r="BD285" s="3057"/>
      <c r="BE285" s="3057"/>
      <c r="BF285" s="3057"/>
      <c r="BG285" s="3057"/>
      <c r="BH285" s="3057"/>
    </row>
    <row r="286" spans="1:60" ht="12" customHeight="1">
      <c r="A286" s="3107"/>
      <c r="B286" s="8019" t="s">
        <v>2224</v>
      </c>
      <c r="C286" s="8020"/>
      <c r="D286" s="892" t="s">
        <v>3169</v>
      </c>
      <c r="E286" s="808"/>
      <c r="F286" s="808"/>
      <c r="G286" s="808"/>
      <c r="H286" s="808"/>
      <c r="I286" s="808"/>
      <c r="J286" s="808"/>
      <c r="K286" s="808"/>
      <c r="L286" s="808"/>
      <c r="M286" s="808"/>
      <c r="N286" s="808"/>
      <c r="O286" s="808"/>
      <c r="P286" s="808"/>
      <c r="Q286" s="808"/>
      <c r="R286" s="808"/>
      <c r="S286" s="808"/>
      <c r="T286" s="808"/>
      <c r="U286" s="808"/>
      <c r="V286" s="808"/>
      <c r="W286" s="808"/>
      <c r="X286" s="808"/>
      <c r="Y286" s="808"/>
      <c r="Z286" s="808"/>
      <c r="AA286" s="808"/>
      <c r="AB286" s="808"/>
      <c r="AC286" s="808"/>
      <c r="AD286" s="808"/>
      <c r="AE286" s="808"/>
      <c r="AF286" s="808"/>
      <c r="AG286" s="808"/>
      <c r="AH286" s="808"/>
      <c r="AI286" s="808"/>
      <c r="AJ286" s="808"/>
      <c r="AK286" s="808"/>
      <c r="AL286" s="808"/>
      <c r="AM286" s="808"/>
      <c r="AN286" s="808"/>
      <c r="AO286" s="808"/>
      <c r="AP286" s="2162"/>
      <c r="AQ286" s="808"/>
      <c r="AR286" s="808"/>
      <c r="AS286" s="808"/>
      <c r="AT286" s="808"/>
      <c r="AU286" s="808"/>
      <c r="AV286" s="808"/>
      <c r="AW286" s="808"/>
      <c r="AX286" s="2396"/>
      <c r="AY286" s="3057"/>
      <c r="AZ286" s="3057"/>
      <c r="BA286" s="3057"/>
      <c r="BB286" s="3057"/>
      <c r="BC286" s="3057"/>
      <c r="BD286" s="3057"/>
      <c r="BE286" s="3057"/>
      <c r="BF286" s="3057"/>
      <c r="BG286" s="3057"/>
      <c r="BH286" s="3057"/>
    </row>
    <row r="287" spans="1:60" ht="12" customHeight="1">
      <c r="A287" s="3107"/>
      <c r="B287" s="2202" t="s">
        <v>3170</v>
      </c>
      <c r="C287" s="2189"/>
      <c r="D287" s="2190"/>
      <c r="E287" s="1121"/>
      <c r="F287" s="1121"/>
      <c r="G287" s="1121"/>
      <c r="H287" s="1121"/>
      <c r="I287" s="1121"/>
      <c r="J287" s="1121"/>
      <c r="K287" s="1121"/>
      <c r="L287" s="1121"/>
      <c r="M287" s="1121"/>
      <c r="N287" s="1121"/>
      <c r="O287" s="1121"/>
      <c r="P287" s="1121"/>
      <c r="Q287" s="1121"/>
      <c r="R287" s="1121"/>
      <c r="S287" s="1121"/>
      <c r="T287" s="1121"/>
      <c r="U287" s="1121"/>
      <c r="V287" s="1121"/>
      <c r="W287" s="1121"/>
      <c r="X287" s="1121"/>
      <c r="Y287" s="1121"/>
      <c r="Z287" s="1121"/>
      <c r="AA287" s="1121"/>
      <c r="AB287" s="1121"/>
      <c r="AC287" s="1121"/>
      <c r="AD287" s="1121"/>
      <c r="AE287" s="1121"/>
      <c r="AF287" s="1121"/>
      <c r="AG287" s="1121"/>
      <c r="AH287" s="1121"/>
      <c r="AI287" s="1121"/>
      <c r="AJ287" s="1121"/>
      <c r="AK287" s="1121"/>
      <c r="AL287" s="1121"/>
      <c r="AM287" s="1121"/>
      <c r="AN287" s="1121"/>
      <c r="AO287" s="1121"/>
      <c r="AP287" s="2162"/>
      <c r="AQ287" s="808"/>
      <c r="AR287" s="808"/>
      <c r="AS287" s="808"/>
      <c r="AT287" s="808"/>
      <c r="AU287" s="808"/>
      <c r="AV287" s="808"/>
      <c r="AW287" s="808"/>
      <c r="AX287" s="2396"/>
      <c r="AY287" s="3057"/>
      <c r="AZ287" s="3057"/>
      <c r="BA287" s="3057"/>
      <c r="BB287" s="3057"/>
      <c r="BC287" s="3057"/>
      <c r="BD287" s="3057"/>
      <c r="BE287" s="3057"/>
      <c r="BF287" s="3057"/>
      <c r="BG287" s="3057"/>
      <c r="BH287" s="3057"/>
    </row>
    <row r="288" spans="1:60" ht="15.75">
      <c r="A288" s="3109"/>
      <c r="B288" s="8099" t="s">
        <v>884</v>
      </c>
      <c r="C288" s="8099"/>
      <c r="D288" s="8132"/>
      <c r="E288" s="8059" t="s">
        <v>3171</v>
      </c>
      <c r="F288" s="8060"/>
      <c r="G288" s="8060"/>
      <c r="H288" s="8060"/>
      <c r="I288" s="8060"/>
      <c r="J288" s="8060"/>
      <c r="K288" s="8060"/>
      <c r="L288" s="8060"/>
      <c r="M288" s="8060"/>
      <c r="N288" s="8060"/>
      <c r="O288" s="8060"/>
      <c r="P288" s="8060"/>
      <c r="Q288" s="8060"/>
      <c r="R288" s="8060"/>
      <c r="S288" s="8060"/>
      <c r="T288" s="8060"/>
      <c r="U288" s="8060"/>
      <c r="V288" s="8060"/>
      <c r="W288" s="8060"/>
      <c r="X288" s="8060"/>
      <c r="Y288" s="8060"/>
      <c r="Z288" s="8060"/>
      <c r="AA288" s="8060"/>
      <c r="AB288" s="8060"/>
      <c r="AC288" s="8060"/>
      <c r="AD288" s="8060"/>
      <c r="AE288" s="8060"/>
      <c r="AF288" s="8060"/>
      <c r="AG288" s="8060"/>
      <c r="AH288" s="8060"/>
      <c r="AI288" s="8060"/>
      <c r="AJ288" s="8060"/>
      <c r="AK288" s="8060"/>
      <c r="AL288" s="8060"/>
      <c r="AM288" s="8060"/>
      <c r="AN288" s="8060"/>
      <c r="AO288" s="8060"/>
      <c r="AP288" s="2162"/>
      <c r="AQ288" s="1108"/>
      <c r="AR288" s="1108"/>
      <c r="AS288" s="1108"/>
      <c r="AT288" s="1108"/>
      <c r="AU288" s="1108"/>
      <c r="AV288" s="1108"/>
      <c r="AW288" s="1108"/>
      <c r="AX288" s="2396"/>
      <c r="AY288" s="3057"/>
      <c r="AZ288" s="3057"/>
      <c r="BA288" s="3057"/>
      <c r="BB288" s="3057"/>
      <c r="BC288" s="3057"/>
      <c r="BD288" s="3057"/>
      <c r="BE288" s="3057"/>
      <c r="BF288" s="3057"/>
      <c r="BG288" s="3057"/>
      <c r="BH288" s="3057"/>
    </row>
    <row r="289" spans="1:60" ht="12" customHeight="1">
      <c r="A289" s="3107"/>
      <c r="B289" s="7977"/>
      <c r="C289" s="7977"/>
      <c r="D289" s="2112"/>
      <c r="E289" s="808"/>
      <c r="F289" s="808"/>
      <c r="G289" s="808"/>
      <c r="H289" s="808"/>
      <c r="I289" s="808"/>
      <c r="J289" s="808"/>
      <c r="K289" s="808"/>
      <c r="L289" s="808"/>
      <c r="M289" s="808"/>
      <c r="N289" s="808"/>
      <c r="O289" s="808"/>
      <c r="P289" s="7960" t="s">
        <v>3172</v>
      </c>
      <c r="Q289" s="7961"/>
      <c r="R289" s="7961"/>
      <c r="S289" s="7961"/>
      <c r="T289" s="7961"/>
      <c r="U289" s="7961"/>
      <c r="V289" s="7961"/>
      <c r="W289" s="7961"/>
      <c r="X289" s="7961"/>
      <c r="Y289" s="7961"/>
      <c r="Z289" s="7961"/>
      <c r="AA289" s="7961"/>
      <c r="AB289" s="7961"/>
      <c r="AC289" s="7961"/>
      <c r="AD289" s="7961"/>
      <c r="AE289" s="7961"/>
      <c r="AF289" s="7961"/>
      <c r="AG289" s="7961"/>
      <c r="AH289" s="7961"/>
      <c r="AI289" s="7962"/>
      <c r="AJ289" s="7410" t="s">
        <v>3173</v>
      </c>
      <c r="AK289" s="7411"/>
      <c r="AL289" s="7411"/>
      <c r="AM289" s="7411"/>
      <c r="AN289" s="7411"/>
      <c r="AO289" s="7411"/>
      <c r="AP289" s="2162"/>
      <c r="AQ289" s="808"/>
      <c r="AR289" s="808"/>
      <c r="AS289" s="808"/>
      <c r="AT289" s="808"/>
      <c r="AU289" s="808"/>
      <c r="AV289" s="808"/>
      <c r="AW289" s="808"/>
      <c r="AX289" s="2396"/>
      <c r="AY289" s="3057"/>
      <c r="AZ289" s="3057"/>
      <c r="BA289" s="3057"/>
      <c r="BB289" s="3057"/>
      <c r="BC289" s="3057"/>
      <c r="BD289" s="3057"/>
      <c r="BE289" s="3057"/>
      <c r="BF289" s="3057"/>
      <c r="BG289" s="3057"/>
      <c r="BH289" s="3057"/>
    </row>
    <row r="290" spans="1:60" ht="12" customHeight="1">
      <c r="A290" s="3107"/>
      <c r="B290" s="8005" t="str">
        <f>B30</f>
        <v>i</v>
      </c>
      <c r="C290" s="8005"/>
      <c r="D290" s="2206" t="s">
        <v>3174</v>
      </c>
      <c r="E290" s="808"/>
      <c r="F290" s="808"/>
      <c r="G290" s="808"/>
      <c r="H290" s="808"/>
      <c r="I290" s="808"/>
      <c r="J290" s="808"/>
      <c r="K290" s="808"/>
      <c r="L290" s="808"/>
      <c r="M290" s="808"/>
      <c r="N290" s="808"/>
      <c r="O290" s="808"/>
      <c r="P290" s="7946" t="s">
        <v>542</v>
      </c>
      <c r="Q290" s="8057"/>
      <c r="R290" s="8057"/>
      <c r="S290" s="8057"/>
      <c r="T290" s="8057"/>
      <c r="U290" s="8057"/>
      <c r="V290" s="8058"/>
      <c r="W290" s="7946" t="s">
        <v>548</v>
      </c>
      <c r="X290" s="8057"/>
      <c r="Y290" s="8057"/>
      <c r="Z290" s="8057"/>
      <c r="AA290" s="8057"/>
      <c r="AB290" s="8057"/>
      <c r="AC290" s="8058"/>
      <c r="AD290" s="7946" t="s">
        <v>550</v>
      </c>
      <c r="AE290" s="8057"/>
      <c r="AF290" s="8057"/>
      <c r="AG290" s="8057"/>
      <c r="AH290" s="8057"/>
      <c r="AI290" s="8058"/>
      <c r="AJ290" s="7414"/>
      <c r="AK290" s="7415"/>
      <c r="AL290" s="7415"/>
      <c r="AM290" s="7415"/>
      <c r="AN290" s="7415"/>
      <c r="AO290" s="7415"/>
      <c r="AP290" s="2162"/>
      <c r="AQ290" s="808"/>
      <c r="AR290" s="808"/>
      <c r="AS290" s="808"/>
      <c r="AT290" s="808"/>
      <c r="AU290" s="808"/>
      <c r="AV290" s="808"/>
      <c r="AW290" s="808"/>
      <c r="AX290" s="2396"/>
      <c r="AY290" s="3057"/>
      <c r="AZ290" s="3057"/>
      <c r="BA290" s="3057"/>
      <c r="BB290" s="3057"/>
      <c r="BC290" s="3057"/>
      <c r="BD290" s="3057"/>
      <c r="BE290" s="3057"/>
      <c r="BF290" s="3057"/>
      <c r="BG290" s="3057"/>
      <c r="BH290" s="3057"/>
    </row>
    <row r="291" spans="1:60" ht="12" customHeight="1">
      <c r="A291" s="3110"/>
      <c r="B291" s="8101"/>
      <c r="C291" s="8101"/>
      <c r="D291" s="2207" t="s">
        <v>3175</v>
      </c>
      <c r="E291" s="893"/>
      <c r="F291" s="893"/>
      <c r="G291" s="893"/>
      <c r="H291" s="893"/>
      <c r="I291" s="893"/>
      <c r="J291" s="893"/>
      <c r="K291" s="893"/>
      <c r="L291" s="893"/>
      <c r="M291" s="893"/>
      <c r="N291" s="893"/>
      <c r="O291" s="2995" t="s">
        <v>1012</v>
      </c>
      <c r="P291" s="7921"/>
      <c r="Q291" s="7922"/>
      <c r="R291" s="7922"/>
      <c r="S291" s="7922"/>
      <c r="T291" s="7922"/>
      <c r="U291" s="7922"/>
      <c r="V291" s="7923"/>
      <c r="W291" s="7921"/>
      <c r="X291" s="7922"/>
      <c r="Y291" s="7922"/>
      <c r="Z291" s="7922"/>
      <c r="AA291" s="7922"/>
      <c r="AB291" s="7922"/>
      <c r="AC291" s="7923"/>
      <c r="AD291" s="7921"/>
      <c r="AE291" s="7922"/>
      <c r="AF291" s="7922"/>
      <c r="AG291" s="7922"/>
      <c r="AH291" s="7922"/>
      <c r="AI291" s="7923"/>
      <c r="AJ291" s="7957"/>
      <c r="AK291" s="7958"/>
      <c r="AL291" s="2216"/>
      <c r="AM291" s="893"/>
      <c r="AN291" s="893"/>
      <c r="AO291" s="893"/>
      <c r="AP291" s="2191"/>
      <c r="AQ291" s="893"/>
      <c r="AR291" s="893"/>
      <c r="AS291" s="893"/>
      <c r="AT291" s="893"/>
      <c r="AU291" s="893"/>
      <c r="AV291" s="893"/>
      <c r="AW291" s="893"/>
      <c r="AX291" s="2396"/>
      <c r="AY291" s="3057"/>
      <c r="AZ291" s="3057"/>
      <c r="BA291" s="3057"/>
      <c r="BB291" s="3057"/>
      <c r="BC291" s="3057"/>
      <c r="BD291" s="3057"/>
      <c r="BE291" s="3057"/>
      <c r="BF291" s="3057"/>
      <c r="BG291" s="3057"/>
      <c r="BH291" s="3057"/>
    </row>
    <row r="292" spans="1:60" ht="12" customHeight="1">
      <c r="A292" s="3107"/>
      <c r="B292" s="7924" t="s">
        <v>363</v>
      </c>
      <c r="C292" s="7924"/>
      <c r="D292" s="878" t="s">
        <v>3176</v>
      </c>
      <c r="E292" s="808"/>
      <c r="F292" s="808"/>
      <c r="G292" s="808"/>
      <c r="H292" s="808"/>
      <c r="I292" s="808"/>
      <c r="J292" s="808"/>
      <c r="K292" s="808"/>
      <c r="L292" s="808"/>
      <c r="M292" s="808"/>
      <c r="N292" s="808"/>
      <c r="O292" s="808"/>
      <c r="P292" s="1377"/>
      <c r="Q292" s="1130"/>
      <c r="R292" s="1130"/>
      <c r="S292" s="1130"/>
      <c r="T292" s="1130"/>
      <c r="U292" s="1130"/>
      <c r="V292" s="1378"/>
      <c r="W292" s="1377"/>
      <c r="X292" s="1130"/>
      <c r="Y292" s="1130"/>
      <c r="Z292" s="1130"/>
      <c r="AA292" s="1130"/>
      <c r="AB292" s="1130"/>
      <c r="AC292" s="1378"/>
      <c r="AD292" s="1377"/>
      <c r="AE292" s="1130"/>
      <c r="AF292" s="1130"/>
      <c r="AG292" s="1130"/>
      <c r="AH292" s="1130"/>
      <c r="AI292" s="1378"/>
      <c r="AJ292" s="7925"/>
      <c r="AK292" s="6970"/>
      <c r="AL292" s="1150"/>
      <c r="AM292" s="808"/>
      <c r="AN292" s="808"/>
      <c r="AO292" s="808"/>
      <c r="AP292" s="2162"/>
      <c r="AQ292" s="808"/>
      <c r="AR292" s="808"/>
      <c r="AS292" s="808"/>
      <c r="AT292" s="808"/>
      <c r="AU292" s="808"/>
      <c r="AV292" s="808"/>
      <c r="AW292" s="808"/>
      <c r="AX292" s="2396"/>
      <c r="AY292" s="3057"/>
      <c r="AZ292" s="3057"/>
      <c r="BA292" s="3057"/>
      <c r="BB292" s="3057"/>
      <c r="BC292" s="3057"/>
      <c r="BD292" s="3057"/>
      <c r="BE292" s="3057"/>
      <c r="BF292" s="3057"/>
      <c r="BG292" s="3057"/>
      <c r="BH292" s="3057"/>
    </row>
    <row r="293" spans="1:60" ht="12" customHeight="1">
      <c r="A293" s="3107"/>
      <c r="B293" s="2998"/>
      <c r="C293" s="2998"/>
      <c r="D293" s="892" t="s">
        <v>3177</v>
      </c>
      <c r="E293" s="808"/>
      <c r="F293" s="808"/>
      <c r="G293" s="808"/>
      <c r="H293" s="808"/>
      <c r="I293" s="808"/>
      <c r="J293" s="808"/>
      <c r="K293" s="808"/>
      <c r="L293" s="808"/>
      <c r="M293" s="808"/>
      <c r="N293" s="808"/>
      <c r="O293" s="808"/>
      <c r="P293" s="1379"/>
      <c r="Q293" s="1130"/>
      <c r="R293" s="1130"/>
      <c r="S293" s="1130"/>
      <c r="T293" s="1130"/>
      <c r="U293" s="1130"/>
      <c r="V293" s="1380"/>
      <c r="W293" s="1379"/>
      <c r="X293" s="1130"/>
      <c r="Y293" s="1130"/>
      <c r="Z293" s="1130"/>
      <c r="AA293" s="1130"/>
      <c r="AB293" s="1130"/>
      <c r="AC293" s="1380"/>
      <c r="AD293" s="1379"/>
      <c r="AE293" s="1130"/>
      <c r="AF293" s="1130"/>
      <c r="AG293" s="1130"/>
      <c r="AH293" s="1130"/>
      <c r="AI293" s="1380"/>
      <c r="AJ293" s="7925"/>
      <c r="AK293" s="6970"/>
      <c r="AL293" s="1150"/>
      <c r="AM293" s="808"/>
      <c r="AN293" s="808"/>
      <c r="AO293" s="808"/>
      <c r="AP293" s="2162"/>
      <c r="AQ293" s="808"/>
      <c r="AR293" s="808"/>
      <c r="AS293" s="808"/>
      <c r="AT293" s="808"/>
      <c r="AU293" s="808"/>
      <c r="AV293" s="808"/>
      <c r="AW293" s="808"/>
      <c r="AX293" s="2396"/>
      <c r="AY293" s="3057"/>
      <c r="AZ293" s="3057"/>
      <c r="BA293" s="3057"/>
      <c r="BB293" s="3057"/>
      <c r="BC293" s="3057"/>
      <c r="BD293" s="3057"/>
      <c r="BE293" s="3057"/>
      <c r="BF293" s="3057"/>
      <c r="BG293" s="3057"/>
      <c r="BH293" s="3057"/>
    </row>
    <row r="294" spans="1:60">
      <c r="A294" s="3107"/>
      <c r="B294" s="2998"/>
      <c r="C294" s="2998"/>
      <c r="D294" s="1460" t="s">
        <v>3178</v>
      </c>
      <c r="E294" s="808"/>
      <c r="F294" s="808"/>
      <c r="G294" s="808"/>
      <c r="H294" s="7966"/>
      <c r="I294" s="7967"/>
      <c r="J294" s="7967"/>
      <c r="K294" s="7967"/>
      <c r="L294" s="7967"/>
      <c r="M294" s="7967"/>
      <c r="N294" s="7967"/>
      <c r="O294" s="808"/>
      <c r="P294" s="1379"/>
      <c r="Q294" s="1130"/>
      <c r="R294" s="1130"/>
      <c r="S294" s="1130"/>
      <c r="T294" s="1130"/>
      <c r="U294" s="1130"/>
      <c r="V294" s="1380"/>
      <c r="W294" s="1379"/>
      <c r="X294" s="1130"/>
      <c r="Y294" s="1130"/>
      <c r="Z294" s="1130"/>
      <c r="AA294" s="1130"/>
      <c r="AB294" s="1130"/>
      <c r="AC294" s="1380"/>
      <c r="AD294" s="1379"/>
      <c r="AE294" s="1130"/>
      <c r="AF294" s="1130"/>
      <c r="AG294" s="1130"/>
      <c r="AH294" s="1130"/>
      <c r="AI294" s="1380"/>
      <c r="AJ294" s="7925"/>
      <c r="AK294" s="6970"/>
      <c r="AL294" s="1150"/>
      <c r="AM294" s="808"/>
      <c r="AN294" s="808"/>
      <c r="AO294" s="808"/>
      <c r="AP294" s="2162"/>
      <c r="AQ294" s="808"/>
      <c r="AR294" s="808"/>
      <c r="AS294" s="808"/>
      <c r="AT294" s="808"/>
      <c r="AU294" s="808"/>
      <c r="AV294" s="808"/>
      <c r="AW294" s="808"/>
      <c r="AX294" s="2396"/>
      <c r="AY294" s="3057"/>
      <c r="AZ294" s="3057"/>
      <c r="BA294" s="3057"/>
      <c r="BB294" s="3057"/>
      <c r="BC294" s="3057"/>
      <c r="BD294" s="3057"/>
      <c r="BE294" s="3057"/>
      <c r="BF294" s="3057"/>
      <c r="BG294" s="3057"/>
      <c r="BH294" s="3057"/>
    </row>
    <row r="295" spans="1:60" ht="13.5" customHeight="1">
      <c r="A295" s="3107"/>
      <c r="B295" s="2998"/>
      <c r="C295" s="2998"/>
      <c r="D295" s="8102"/>
      <c r="E295" s="8103"/>
      <c r="F295" s="8103"/>
      <c r="G295" s="8103"/>
      <c r="H295" s="8103"/>
      <c r="I295" s="8103"/>
      <c r="J295" s="8103"/>
      <c r="K295" s="8103"/>
      <c r="L295" s="8103"/>
      <c r="M295" s="8103"/>
      <c r="N295" s="8103"/>
      <c r="O295" s="808"/>
      <c r="P295" s="1379"/>
      <c r="Q295" s="1130"/>
      <c r="R295" s="1130"/>
      <c r="S295" s="1130"/>
      <c r="T295" s="1130"/>
      <c r="U295" s="1130"/>
      <c r="V295" s="1380"/>
      <c r="W295" s="1379"/>
      <c r="X295" s="1130"/>
      <c r="Y295" s="1130"/>
      <c r="Z295" s="1130"/>
      <c r="AA295" s="1130"/>
      <c r="AB295" s="1130"/>
      <c r="AC295" s="1380"/>
      <c r="AD295" s="1379"/>
      <c r="AE295" s="1130"/>
      <c r="AF295" s="1130"/>
      <c r="AG295" s="1130"/>
      <c r="AH295" s="1130"/>
      <c r="AI295" s="1380"/>
      <c r="AJ295" s="7925"/>
      <c r="AK295" s="6970"/>
      <c r="AL295" s="1150"/>
      <c r="AM295" s="808"/>
      <c r="AN295" s="808"/>
      <c r="AO295" s="808"/>
      <c r="AP295" s="2162"/>
      <c r="AQ295" s="808"/>
      <c r="AR295" s="808"/>
      <c r="AS295" s="808"/>
      <c r="AT295" s="808"/>
      <c r="AU295" s="808"/>
      <c r="AV295" s="808"/>
      <c r="AW295" s="808"/>
      <c r="AX295" s="2396"/>
      <c r="AY295" s="3057"/>
      <c r="AZ295" s="3057"/>
      <c r="BA295" s="3057"/>
      <c r="BB295" s="3057"/>
      <c r="BC295" s="3057"/>
      <c r="BD295" s="3057"/>
      <c r="BE295" s="3057"/>
      <c r="BF295" s="3057"/>
      <c r="BG295" s="3057"/>
      <c r="BH295" s="3057"/>
    </row>
    <row r="296" spans="1:60" ht="13.5" customHeight="1">
      <c r="A296" s="3107"/>
      <c r="B296" s="2998"/>
      <c r="C296" s="2998"/>
      <c r="D296" s="7974"/>
      <c r="E296" s="7975"/>
      <c r="F296" s="7975"/>
      <c r="G296" s="7975"/>
      <c r="H296" s="7975"/>
      <c r="I296" s="7975"/>
      <c r="J296" s="7975"/>
      <c r="K296" s="7975"/>
      <c r="L296" s="7975"/>
      <c r="M296" s="7975"/>
      <c r="N296" s="7975"/>
      <c r="O296" s="808"/>
      <c r="P296" s="7963"/>
      <c r="Q296" s="7964"/>
      <c r="R296" s="7964"/>
      <c r="S296" s="7964"/>
      <c r="T296" s="7964"/>
      <c r="U296" s="7964"/>
      <c r="V296" s="7965"/>
      <c r="W296" s="7963"/>
      <c r="X296" s="7964"/>
      <c r="Y296" s="7964"/>
      <c r="Z296" s="7964"/>
      <c r="AA296" s="7964"/>
      <c r="AB296" s="7964"/>
      <c r="AC296" s="7965"/>
      <c r="AD296" s="7963"/>
      <c r="AE296" s="7964"/>
      <c r="AF296" s="7964"/>
      <c r="AG296" s="7964"/>
      <c r="AH296" s="7964"/>
      <c r="AI296" s="7965"/>
      <c r="AJ296" s="7930" t="s">
        <v>363</v>
      </c>
      <c r="AK296" s="7294"/>
      <c r="AL296" s="7955">
        <f>IF(AND(SUM(P296,W296,AD296)&gt;0,AO280=0),"Check one box.",ROUND(SUM(P296,W296,AD296),0))</f>
        <v>0</v>
      </c>
      <c r="AM296" s="7956"/>
      <c r="AN296" s="7956"/>
      <c r="AO296" s="7956"/>
      <c r="AP296" s="2162"/>
      <c r="AQ296" s="808"/>
      <c r="AR296" s="808"/>
      <c r="AS296" s="808"/>
      <c r="AT296" s="808"/>
      <c r="AU296" s="808"/>
      <c r="AV296" s="808"/>
      <c r="AW296" s="808"/>
      <c r="AX296" s="2396"/>
      <c r="AY296" s="3057"/>
      <c r="AZ296" s="3057"/>
      <c r="BA296" s="3057"/>
      <c r="BB296" s="3057"/>
      <c r="BC296" s="3057"/>
      <c r="BD296" s="3057"/>
      <c r="BE296" s="3057"/>
      <c r="BF296" s="3057"/>
      <c r="BG296" s="3057"/>
      <c r="BH296" s="3057"/>
    </row>
    <row r="297" spans="1:60" ht="13.5" customHeight="1">
      <c r="A297" s="3107"/>
      <c r="B297" s="7924" t="s">
        <v>644</v>
      </c>
      <c r="C297" s="7924"/>
      <c r="D297" s="1460" t="s">
        <v>3179</v>
      </c>
      <c r="E297" s="808"/>
      <c r="F297" s="808"/>
      <c r="G297" s="808"/>
      <c r="H297" s="808"/>
      <c r="I297" s="808"/>
      <c r="J297" s="808"/>
      <c r="K297" s="808"/>
      <c r="L297" s="808"/>
      <c r="M297" s="808"/>
      <c r="N297" s="808"/>
      <c r="O297" s="808"/>
      <c r="P297" s="2217"/>
      <c r="Q297" s="2218"/>
      <c r="R297" s="2218"/>
      <c r="S297" s="2218"/>
      <c r="T297" s="2218"/>
      <c r="U297" s="2218"/>
      <c r="V297" s="2219"/>
      <c r="W297" s="2217"/>
      <c r="X297" s="2218"/>
      <c r="Y297" s="2218"/>
      <c r="Z297" s="2218"/>
      <c r="AA297" s="2218"/>
      <c r="AB297" s="2218"/>
      <c r="AC297" s="2219"/>
      <c r="AD297" s="2217"/>
      <c r="AE297" s="2218"/>
      <c r="AF297" s="2218"/>
      <c r="AG297" s="2218"/>
      <c r="AH297" s="2218"/>
      <c r="AI297" s="2219"/>
      <c r="AJ297" s="7976"/>
      <c r="AK297" s="7291"/>
      <c r="AL297" s="1149"/>
      <c r="AM297" s="808"/>
      <c r="AN297" s="808"/>
      <c r="AO297" s="808"/>
      <c r="AP297" s="2162"/>
      <c r="AQ297" s="808"/>
      <c r="AR297" s="808"/>
      <c r="AS297" s="808"/>
      <c r="AT297" s="808"/>
      <c r="AU297" s="808"/>
      <c r="AV297" s="808"/>
      <c r="AW297" s="808"/>
      <c r="AX297" s="2396"/>
      <c r="AY297" s="3057"/>
      <c r="AZ297" s="3057"/>
      <c r="BA297" s="3057"/>
      <c r="BB297" s="3057"/>
      <c r="BC297" s="3057"/>
      <c r="BD297" s="3057"/>
      <c r="BE297" s="3057"/>
      <c r="BF297" s="3057"/>
      <c r="BG297" s="3057"/>
      <c r="BH297" s="3057"/>
    </row>
    <row r="298" spans="1:60" ht="13.5" customHeight="1">
      <c r="A298" s="3107"/>
      <c r="B298" s="2998"/>
      <c r="C298" s="2998"/>
      <c r="D298" s="1460" t="s">
        <v>3180</v>
      </c>
      <c r="E298" s="808"/>
      <c r="F298" s="808"/>
      <c r="G298" s="808"/>
      <c r="H298" s="808"/>
      <c r="I298" s="808"/>
      <c r="J298" s="808"/>
      <c r="K298" s="808"/>
      <c r="L298" s="808"/>
      <c r="M298" s="808"/>
      <c r="N298" s="808"/>
      <c r="O298" s="808"/>
      <c r="P298" s="2217"/>
      <c r="Q298" s="2218"/>
      <c r="R298" s="2218"/>
      <c r="S298" s="2218"/>
      <c r="T298" s="2218"/>
      <c r="U298" s="2218"/>
      <c r="V298" s="2219"/>
      <c r="W298" s="2217"/>
      <c r="X298" s="2218"/>
      <c r="Y298" s="2218"/>
      <c r="Z298" s="2218"/>
      <c r="AA298" s="2218"/>
      <c r="AB298" s="2218"/>
      <c r="AC298" s="2219"/>
      <c r="AD298" s="2217"/>
      <c r="AE298" s="2218"/>
      <c r="AF298" s="2218"/>
      <c r="AG298" s="2218"/>
      <c r="AH298" s="2218"/>
      <c r="AI298" s="2219"/>
      <c r="AJ298" s="7925"/>
      <c r="AK298" s="6970"/>
      <c r="AL298" s="1150"/>
      <c r="AM298" s="808"/>
      <c r="AN298" s="808"/>
      <c r="AO298" s="808"/>
      <c r="AP298" s="2162"/>
      <c r="AQ298" s="808"/>
      <c r="AR298" s="808"/>
      <c r="AS298" s="808"/>
      <c r="AT298" s="808"/>
      <c r="AU298" s="808"/>
      <c r="AV298" s="808"/>
      <c r="AW298" s="808"/>
      <c r="AX298" s="2396"/>
      <c r="AY298" s="3057"/>
      <c r="AZ298" s="3057"/>
      <c r="BA298" s="3057"/>
      <c r="BB298" s="3057"/>
      <c r="BC298" s="3057"/>
      <c r="BD298" s="3057"/>
      <c r="BE298" s="3057"/>
      <c r="BF298" s="3057"/>
      <c r="BG298" s="3057"/>
      <c r="BH298" s="3057"/>
    </row>
    <row r="299" spans="1:60" ht="13.5" customHeight="1">
      <c r="A299" s="3107"/>
      <c r="B299" s="2998"/>
      <c r="C299" s="2998"/>
      <c r="D299" s="1460" t="s">
        <v>3181</v>
      </c>
      <c r="E299" s="808"/>
      <c r="F299" s="808"/>
      <c r="G299" s="808"/>
      <c r="H299" s="808"/>
      <c r="I299" s="808"/>
      <c r="J299" s="808"/>
      <c r="K299" s="808"/>
      <c r="L299" s="808"/>
      <c r="M299" s="808"/>
      <c r="N299" s="808"/>
      <c r="O299" s="808"/>
      <c r="P299" s="2217"/>
      <c r="Q299" s="2218"/>
      <c r="R299" s="2218"/>
      <c r="S299" s="2218"/>
      <c r="T299" s="2218"/>
      <c r="U299" s="2218"/>
      <c r="V299" s="2219"/>
      <c r="W299" s="2217"/>
      <c r="X299" s="2218"/>
      <c r="Y299" s="2218"/>
      <c r="Z299" s="2218"/>
      <c r="AA299" s="2218"/>
      <c r="AB299" s="2218"/>
      <c r="AC299" s="2219"/>
      <c r="AD299" s="2217"/>
      <c r="AE299" s="2218"/>
      <c r="AF299" s="2218"/>
      <c r="AG299" s="2218"/>
      <c r="AH299" s="2218"/>
      <c r="AI299" s="2219"/>
      <c r="AJ299" s="7925"/>
      <c r="AK299" s="6970"/>
      <c r="AL299" s="1150"/>
      <c r="AM299" s="808"/>
      <c r="AN299" s="808"/>
      <c r="AO299" s="808"/>
      <c r="AP299" s="2162"/>
      <c r="AQ299" s="808"/>
      <c r="AR299" s="808"/>
      <c r="AS299" s="808"/>
      <c r="AT299" s="808"/>
      <c r="AU299" s="808"/>
      <c r="AV299" s="808"/>
      <c r="AW299" s="808"/>
      <c r="AX299" s="2396"/>
      <c r="AY299" s="3057"/>
      <c r="AZ299" s="3057"/>
      <c r="BA299" s="3057"/>
      <c r="BB299" s="3057"/>
      <c r="BC299" s="3057"/>
      <c r="BD299" s="3057"/>
      <c r="BE299" s="3057"/>
      <c r="BF299" s="3057"/>
      <c r="BG299" s="3057"/>
      <c r="BH299" s="3057"/>
    </row>
    <row r="300" spans="1:60" ht="13.5" customHeight="1">
      <c r="A300" s="3107"/>
      <c r="B300" s="2998"/>
      <c r="C300" s="2998"/>
      <c r="D300" s="1460" t="s">
        <v>3182</v>
      </c>
      <c r="E300" s="808"/>
      <c r="F300" s="808"/>
      <c r="G300" s="808"/>
      <c r="H300" s="808"/>
      <c r="I300" s="808"/>
      <c r="J300" s="808"/>
      <c r="K300" s="808"/>
      <c r="L300" s="808"/>
      <c r="M300" s="808"/>
      <c r="N300" s="808"/>
      <c r="O300" s="808"/>
      <c r="P300" s="2217"/>
      <c r="Q300" s="2218"/>
      <c r="R300" s="2218"/>
      <c r="S300" s="2218"/>
      <c r="T300" s="2218"/>
      <c r="U300" s="2218"/>
      <c r="V300" s="2219"/>
      <c r="W300" s="2217"/>
      <c r="X300" s="2218"/>
      <c r="Y300" s="2218"/>
      <c r="Z300" s="2218"/>
      <c r="AA300" s="2218"/>
      <c r="AB300" s="2218"/>
      <c r="AC300" s="2219"/>
      <c r="AD300" s="2217"/>
      <c r="AE300" s="2218"/>
      <c r="AF300" s="2218"/>
      <c r="AG300" s="2218"/>
      <c r="AH300" s="2218"/>
      <c r="AI300" s="2219"/>
      <c r="AJ300" s="7925"/>
      <c r="AK300" s="6970"/>
      <c r="AL300" s="1150"/>
      <c r="AM300" s="808"/>
      <c r="AN300" s="808"/>
      <c r="AO300" s="808"/>
      <c r="AP300" s="2162"/>
      <c r="AQ300" s="808"/>
      <c r="AR300" s="808"/>
      <c r="AS300" s="808"/>
      <c r="AT300" s="808"/>
      <c r="AU300" s="808"/>
      <c r="AV300" s="808"/>
      <c r="AW300" s="808"/>
      <c r="AX300" s="2396"/>
      <c r="AY300" s="3057"/>
      <c r="AZ300" s="3057"/>
      <c r="BA300" s="3057"/>
      <c r="BB300" s="3057"/>
      <c r="BC300" s="3057"/>
      <c r="BD300" s="3057"/>
      <c r="BE300" s="3057"/>
      <c r="BF300" s="3057"/>
      <c r="BG300" s="3057"/>
      <c r="BH300" s="3057"/>
    </row>
    <row r="301" spans="1:60" ht="13.5" customHeight="1">
      <c r="A301" s="3107"/>
      <c r="B301" s="2998"/>
      <c r="C301" s="2998"/>
      <c r="D301" s="1460" t="s">
        <v>3183</v>
      </c>
      <c r="E301" s="808"/>
      <c r="F301" s="808"/>
      <c r="G301" s="808"/>
      <c r="H301" s="808"/>
      <c r="I301" s="808"/>
      <c r="J301" s="808"/>
      <c r="K301" s="808"/>
      <c r="L301" s="808"/>
      <c r="M301" s="1128" t="s">
        <v>2734</v>
      </c>
      <c r="N301" s="809"/>
      <c r="O301" s="808"/>
      <c r="P301" s="2217"/>
      <c r="Q301" s="2218"/>
      <c r="R301" s="2218"/>
      <c r="S301" s="2218"/>
      <c r="T301" s="2218"/>
      <c r="U301" s="2218"/>
      <c r="V301" s="2219"/>
      <c r="W301" s="2217"/>
      <c r="X301" s="2218"/>
      <c r="Y301" s="2218"/>
      <c r="Z301" s="2218"/>
      <c r="AA301" s="2218"/>
      <c r="AB301" s="2218"/>
      <c r="AC301" s="2219"/>
      <c r="AD301" s="2217"/>
      <c r="AE301" s="2218"/>
      <c r="AF301" s="2218"/>
      <c r="AG301" s="2218"/>
      <c r="AH301" s="2218"/>
      <c r="AI301" s="2219"/>
      <c r="AJ301" s="7925"/>
      <c r="AK301" s="6970"/>
      <c r="AL301" s="1150"/>
      <c r="AM301" s="808"/>
      <c r="AN301" s="808"/>
      <c r="AO301" s="808"/>
      <c r="AP301" s="2162"/>
      <c r="AQ301" s="808"/>
      <c r="AR301" s="808"/>
      <c r="AS301" s="808"/>
      <c r="AT301" s="808"/>
      <c r="AU301" s="808"/>
      <c r="AV301" s="808"/>
      <c r="AW301" s="808"/>
      <c r="AX301" s="2396"/>
      <c r="AY301" s="3057"/>
      <c r="AZ301" s="3057"/>
      <c r="BA301" s="3057"/>
      <c r="BB301" s="3057"/>
      <c r="BC301" s="3057"/>
      <c r="BD301" s="3057"/>
      <c r="BE301" s="3057"/>
      <c r="BF301" s="3057"/>
      <c r="BG301" s="3057"/>
      <c r="BH301" s="3057"/>
    </row>
    <row r="302" spans="1:60" ht="5.25" customHeight="1">
      <c r="A302" s="3107"/>
      <c r="B302" s="2189"/>
      <c r="C302" s="2189"/>
      <c r="D302" s="2192"/>
      <c r="E302" s="1121"/>
      <c r="F302" s="1121"/>
      <c r="G302" s="1121"/>
      <c r="H302" s="1121"/>
      <c r="I302" s="1121"/>
      <c r="J302" s="1121"/>
      <c r="K302" s="1121"/>
      <c r="L302" s="1121"/>
      <c r="M302" s="1121"/>
      <c r="N302" s="1121"/>
      <c r="O302" s="1121"/>
      <c r="P302" s="2222"/>
      <c r="Q302" s="2223"/>
      <c r="R302" s="2223"/>
      <c r="S302" s="2223"/>
      <c r="T302" s="2223"/>
      <c r="U302" s="2223"/>
      <c r="V302" s="2224"/>
      <c r="W302" s="2222"/>
      <c r="X302" s="2223"/>
      <c r="Y302" s="2223"/>
      <c r="Z302" s="2223"/>
      <c r="AA302" s="2223"/>
      <c r="AB302" s="2223"/>
      <c r="AC302" s="2224"/>
      <c r="AD302" s="2222"/>
      <c r="AE302" s="2223"/>
      <c r="AF302" s="2223"/>
      <c r="AG302" s="2223"/>
      <c r="AH302" s="2223"/>
      <c r="AI302" s="2224"/>
      <c r="AJ302" s="7925"/>
      <c r="AK302" s="6970"/>
      <c r="AL302" s="1150"/>
      <c r="AM302" s="808"/>
      <c r="AN302" s="808"/>
      <c r="AO302" s="808"/>
      <c r="AP302" s="2162"/>
      <c r="AQ302" s="808"/>
      <c r="AR302" s="808"/>
      <c r="AS302" s="808"/>
      <c r="AT302" s="808"/>
      <c r="AU302" s="808"/>
      <c r="AV302" s="808"/>
      <c r="AW302" s="808"/>
      <c r="AX302" s="2396"/>
      <c r="AY302" s="3057"/>
      <c r="AZ302" s="3057"/>
      <c r="BA302" s="3057"/>
      <c r="BB302" s="3057"/>
      <c r="BC302" s="3057"/>
      <c r="BD302" s="3057"/>
      <c r="BE302" s="3057"/>
      <c r="BF302" s="3057"/>
      <c r="BG302" s="3057"/>
      <c r="BH302" s="3057"/>
    </row>
    <row r="303" spans="1:60" ht="13.5" customHeight="1">
      <c r="A303" s="3107"/>
      <c r="B303" s="878" t="s">
        <v>3184</v>
      </c>
      <c r="C303" s="2119"/>
      <c r="D303" s="2112"/>
      <c r="E303" s="808"/>
      <c r="F303" s="808"/>
      <c r="G303" s="808"/>
      <c r="H303" s="808"/>
      <c r="I303" s="808"/>
      <c r="J303" s="808"/>
      <c r="K303" s="808"/>
      <c r="L303" s="808"/>
      <c r="M303" s="808"/>
      <c r="N303" s="808"/>
      <c r="O303" s="808"/>
      <c r="P303" s="2217"/>
      <c r="Q303" s="2218"/>
      <c r="R303" s="2218"/>
      <c r="S303" s="2218"/>
      <c r="T303" s="2218"/>
      <c r="U303" s="2218"/>
      <c r="V303" s="2219"/>
      <c r="W303" s="2217"/>
      <c r="X303" s="2218"/>
      <c r="Y303" s="2218"/>
      <c r="Z303" s="2218"/>
      <c r="AA303" s="2218"/>
      <c r="AB303" s="2218"/>
      <c r="AC303" s="2219"/>
      <c r="AD303" s="2217"/>
      <c r="AE303" s="2218"/>
      <c r="AF303" s="2218"/>
      <c r="AG303" s="2218"/>
      <c r="AH303" s="2218"/>
      <c r="AI303" s="2219"/>
      <c r="AJ303" s="7925"/>
      <c r="AK303" s="6970"/>
      <c r="AL303" s="1150"/>
      <c r="AM303" s="808"/>
      <c r="AN303" s="808"/>
      <c r="AO303" s="808"/>
      <c r="AP303" s="2162"/>
      <c r="AQ303" s="808"/>
      <c r="AR303" s="808"/>
      <c r="AS303" s="808"/>
      <c r="AT303" s="808"/>
      <c r="AU303" s="808"/>
      <c r="AV303" s="808"/>
      <c r="AW303" s="808"/>
      <c r="AX303" s="2396"/>
      <c r="AY303" s="3057"/>
      <c r="AZ303" s="3057"/>
      <c r="BA303" s="3057"/>
      <c r="BB303" s="3057"/>
      <c r="BC303" s="3057"/>
      <c r="BD303" s="3057"/>
      <c r="BE303" s="3057"/>
      <c r="BF303" s="3057"/>
      <c r="BG303" s="3057"/>
      <c r="BH303" s="3057"/>
    </row>
    <row r="304" spans="1:60" ht="13.5" customHeight="1">
      <c r="A304" s="3107"/>
      <c r="B304" s="8005">
        <v>2</v>
      </c>
      <c r="C304" s="8005"/>
      <c r="D304" s="878" t="s">
        <v>3185</v>
      </c>
      <c r="E304" s="808"/>
      <c r="F304" s="808"/>
      <c r="G304" s="808"/>
      <c r="H304" s="808"/>
      <c r="I304" s="808"/>
      <c r="J304" s="808"/>
      <c r="K304" s="808"/>
      <c r="L304" s="808"/>
      <c r="M304" s="808"/>
      <c r="N304" s="808"/>
      <c r="O304" s="808"/>
      <c r="P304" s="2220"/>
      <c r="Q304" s="892"/>
      <c r="R304" s="892"/>
      <c r="S304" s="892"/>
      <c r="T304" s="892"/>
      <c r="U304" s="892"/>
      <c r="V304" s="2221"/>
      <c r="W304" s="892"/>
      <c r="X304" s="892"/>
      <c r="Y304" s="892"/>
      <c r="Z304" s="892"/>
      <c r="AA304" s="892"/>
      <c r="AB304" s="892"/>
      <c r="AC304" s="2221"/>
      <c r="AD304" s="892"/>
      <c r="AE304" s="892"/>
      <c r="AF304" s="892"/>
      <c r="AG304" s="892"/>
      <c r="AH304" s="892"/>
      <c r="AI304" s="2221"/>
      <c r="AJ304" s="7925"/>
      <c r="AK304" s="6970"/>
      <c r="AL304" s="1150"/>
      <c r="AM304" s="808"/>
      <c r="AN304" s="808"/>
      <c r="AO304" s="808"/>
      <c r="AP304" s="2162"/>
      <c r="AQ304" s="808"/>
      <c r="AR304" s="808"/>
      <c r="AS304" s="808"/>
      <c r="AT304" s="808"/>
      <c r="AU304" s="808"/>
      <c r="AV304" s="808"/>
      <c r="AW304" s="808"/>
      <c r="AX304" s="2396"/>
      <c r="AY304" s="3057"/>
      <c r="AZ304" s="3057"/>
      <c r="BA304" s="3057"/>
      <c r="BB304" s="3057"/>
      <c r="BC304" s="3057"/>
      <c r="BD304" s="3057"/>
      <c r="BE304" s="3057"/>
      <c r="BF304" s="3057"/>
      <c r="BG304" s="3057"/>
      <c r="BH304" s="3057"/>
    </row>
    <row r="305" spans="1:60" ht="13.5" customHeight="1">
      <c r="A305" s="3107"/>
      <c r="B305" s="8005"/>
      <c r="C305" s="8005"/>
      <c r="D305" s="892" t="s">
        <v>3186</v>
      </c>
      <c r="E305" s="808"/>
      <c r="F305" s="808"/>
      <c r="G305" s="808"/>
      <c r="H305" s="808"/>
      <c r="I305" s="808"/>
      <c r="J305" s="808"/>
      <c r="K305" s="808"/>
      <c r="L305" s="808"/>
      <c r="M305" s="808"/>
      <c r="N305" s="808"/>
      <c r="O305" s="1128" t="s">
        <v>950</v>
      </c>
      <c r="P305" s="7963"/>
      <c r="Q305" s="7964"/>
      <c r="R305" s="7964"/>
      <c r="S305" s="7964"/>
      <c r="T305" s="7964"/>
      <c r="U305" s="7964"/>
      <c r="V305" s="7965"/>
      <c r="W305" s="7963"/>
      <c r="X305" s="7964"/>
      <c r="Y305" s="7964"/>
      <c r="Z305" s="7964"/>
      <c r="AA305" s="7964"/>
      <c r="AB305" s="7964"/>
      <c r="AC305" s="7965"/>
      <c r="AD305" s="7963"/>
      <c r="AE305" s="7964"/>
      <c r="AF305" s="7964"/>
      <c r="AG305" s="7964"/>
      <c r="AH305" s="7964"/>
      <c r="AI305" s="7965"/>
      <c r="AJ305" s="7925"/>
      <c r="AK305" s="6970"/>
      <c r="AL305" s="1150"/>
      <c r="AM305" s="808"/>
      <c r="AN305" s="808"/>
      <c r="AO305" s="808"/>
      <c r="AP305" s="2162"/>
      <c r="AQ305" s="808"/>
      <c r="AR305" s="808"/>
      <c r="AS305" s="808"/>
      <c r="AT305" s="808"/>
      <c r="AU305" s="808"/>
      <c r="AV305" s="808"/>
      <c r="AW305" s="808"/>
      <c r="AX305" s="2396"/>
      <c r="AY305" s="3057"/>
      <c r="AZ305" s="3057"/>
      <c r="BA305" s="3057"/>
      <c r="BB305" s="3057"/>
      <c r="BC305" s="3057"/>
      <c r="BD305" s="3057"/>
      <c r="BE305" s="3057"/>
      <c r="BF305" s="3057"/>
      <c r="BG305" s="3057"/>
      <c r="BH305" s="3057"/>
    </row>
    <row r="306" spans="1:60" ht="13.5" customHeight="1">
      <c r="A306" s="3107"/>
      <c r="B306" s="8005">
        <v>3</v>
      </c>
      <c r="C306" s="8005"/>
      <c r="D306" s="878" t="s">
        <v>3187</v>
      </c>
      <c r="E306" s="808"/>
      <c r="F306" s="808"/>
      <c r="G306" s="808"/>
      <c r="H306" s="808"/>
      <c r="I306" s="808"/>
      <c r="J306" s="808"/>
      <c r="K306" s="808"/>
      <c r="L306" s="808"/>
      <c r="M306" s="808"/>
      <c r="N306" s="808"/>
      <c r="O306" s="808"/>
      <c r="P306" s="2217"/>
      <c r="Q306" s="2218"/>
      <c r="R306" s="2218"/>
      <c r="S306" s="2218"/>
      <c r="T306" s="2218"/>
      <c r="U306" s="2218"/>
      <c r="V306" s="2219"/>
      <c r="W306" s="2217"/>
      <c r="X306" s="2218"/>
      <c r="Y306" s="2218"/>
      <c r="Z306" s="2218"/>
      <c r="AA306" s="2218"/>
      <c r="AB306" s="2218"/>
      <c r="AC306" s="2219"/>
      <c r="AD306" s="2217"/>
      <c r="AE306" s="2218"/>
      <c r="AF306" s="2218"/>
      <c r="AG306" s="2218"/>
      <c r="AH306" s="2218"/>
      <c r="AI306" s="2219"/>
      <c r="AJ306" s="7925"/>
      <c r="AK306" s="6970"/>
      <c r="AL306" s="1150"/>
      <c r="AM306" s="808"/>
      <c r="AN306" s="808"/>
      <c r="AO306" s="808"/>
      <c r="AP306" s="2162"/>
      <c r="AQ306" s="808"/>
      <c r="AR306" s="808"/>
      <c r="AS306" s="808"/>
      <c r="AT306" s="808"/>
      <c r="AU306" s="808"/>
      <c r="AV306" s="808"/>
      <c r="AW306" s="808"/>
      <c r="AX306" s="2396"/>
      <c r="AY306" s="3057"/>
      <c r="AZ306" s="3057"/>
      <c r="BA306" s="3057"/>
      <c r="BB306" s="3057"/>
      <c r="BC306" s="3057"/>
      <c r="BD306" s="3057"/>
      <c r="BE306" s="3057"/>
      <c r="BF306" s="3057"/>
      <c r="BG306" s="3057"/>
      <c r="BH306" s="3057"/>
    </row>
    <row r="307" spans="1:60" ht="13.5" customHeight="1">
      <c r="A307" s="3107"/>
      <c r="B307" s="7924"/>
      <c r="C307" s="7924"/>
      <c r="D307" s="2206" t="s">
        <v>3188</v>
      </c>
      <c r="E307" s="808"/>
      <c r="F307" s="808"/>
      <c r="G307" s="808"/>
      <c r="H307" s="808"/>
      <c r="I307" s="808"/>
      <c r="J307" s="808"/>
      <c r="K307" s="808"/>
      <c r="L307" s="808"/>
      <c r="M307" s="808"/>
      <c r="N307" s="808"/>
      <c r="O307" s="808"/>
      <c r="P307" s="2217"/>
      <c r="Q307" s="2218"/>
      <c r="R307" s="2218"/>
      <c r="S307" s="2218"/>
      <c r="T307" s="2218"/>
      <c r="U307" s="2218"/>
      <c r="V307" s="2219"/>
      <c r="W307" s="2217"/>
      <c r="X307" s="2218"/>
      <c r="Y307" s="2218"/>
      <c r="Z307" s="2218"/>
      <c r="AA307" s="2218"/>
      <c r="AB307" s="2218"/>
      <c r="AC307" s="2219"/>
      <c r="AD307" s="2217"/>
      <c r="AE307" s="2218"/>
      <c r="AF307" s="2218"/>
      <c r="AG307" s="2218"/>
      <c r="AH307" s="2218"/>
      <c r="AI307" s="2219"/>
      <c r="AJ307" s="7925"/>
      <c r="AK307" s="6970"/>
      <c r="AL307" s="1150"/>
      <c r="AM307" s="808"/>
      <c r="AN307" s="808"/>
      <c r="AO307" s="808"/>
      <c r="AP307" s="2162"/>
      <c r="AQ307" s="808"/>
      <c r="AR307" s="808"/>
      <c r="AS307" s="808"/>
      <c r="AT307" s="808"/>
      <c r="AU307" s="808"/>
      <c r="AV307" s="808"/>
      <c r="AW307" s="808"/>
      <c r="AX307" s="2396"/>
      <c r="AY307" s="3057"/>
      <c r="AZ307" s="3057"/>
      <c r="BA307" s="3057"/>
      <c r="BB307" s="3057"/>
      <c r="BC307" s="3057"/>
      <c r="BD307" s="3057"/>
      <c r="BE307" s="3057"/>
      <c r="BF307" s="3057"/>
      <c r="BG307" s="3057"/>
      <c r="BH307" s="3057"/>
    </row>
    <row r="308" spans="1:60" ht="13.5" customHeight="1">
      <c r="A308" s="3107"/>
      <c r="B308" s="7924" t="s">
        <v>640</v>
      </c>
      <c r="C308" s="7924"/>
      <c r="D308" s="878" t="s">
        <v>3189</v>
      </c>
      <c r="E308" s="808"/>
      <c r="F308" s="808"/>
      <c r="G308" s="808"/>
      <c r="H308" s="808"/>
      <c r="I308" s="808"/>
      <c r="J308" s="808"/>
      <c r="K308" s="808"/>
      <c r="L308" s="808"/>
      <c r="M308" s="808"/>
      <c r="N308" s="808"/>
      <c r="O308" s="808"/>
      <c r="P308" s="2220"/>
      <c r="Q308" s="892"/>
      <c r="R308" s="892"/>
      <c r="S308" s="892"/>
      <c r="T308" s="892"/>
      <c r="U308" s="892"/>
      <c r="V308" s="2221"/>
      <c r="W308" s="892"/>
      <c r="X308" s="892"/>
      <c r="Y308" s="892"/>
      <c r="Z308" s="892"/>
      <c r="AA308" s="892"/>
      <c r="AB308" s="892"/>
      <c r="AC308" s="2221"/>
      <c r="AD308" s="892"/>
      <c r="AE308" s="892"/>
      <c r="AF308" s="892"/>
      <c r="AG308" s="892"/>
      <c r="AH308" s="892"/>
      <c r="AI308" s="2221"/>
      <c r="AJ308" s="7925"/>
      <c r="AK308" s="6970"/>
      <c r="AL308" s="1150"/>
      <c r="AM308" s="808"/>
      <c r="AN308" s="808"/>
      <c r="AO308" s="808"/>
      <c r="AP308" s="2162"/>
      <c r="AQ308" s="808"/>
      <c r="AR308" s="808"/>
      <c r="AS308" s="808"/>
      <c r="AT308" s="808"/>
      <c r="AU308" s="808"/>
      <c r="AV308" s="808"/>
      <c r="AW308" s="808"/>
      <c r="AX308" s="2396"/>
      <c r="AY308" s="3057"/>
      <c r="AZ308" s="3057"/>
      <c r="BA308" s="3057"/>
      <c r="BB308" s="3057"/>
      <c r="BC308" s="3057"/>
      <c r="BD308" s="3057"/>
      <c r="BE308" s="3057"/>
      <c r="BF308" s="3057"/>
      <c r="BG308" s="3057"/>
      <c r="BH308" s="3057"/>
    </row>
    <row r="309" spans="1:60" ht="13.5" customHeight="1">
      <c r="A309" s="3107"/>
      <c r="B309" s="2996"/>
      <c r="C309" s="2996"/>
      <c r="D309" s="878" t="s">
        <v>2326</v>
      </c>
      <c r="E309" s="808"/>
      <c r="F309" s="808"/>
      <c r="G309" s="808"/>
      <c r="H309" s="808"/>
      <c r="I309" s="808"/>
      <c r="J309" s="808"/>
      <c r="K309" s="808"/>
      <c r="L309" s="808"/>
      <c r="M309" s="808"/>
      <c r="N309" s="808"/>
      <c r="O309" s="1128" t="s">
        <v>930</v>
      </c>
      <c r="P309" s="7963"/>
      <c r="Q309" s="7964"/>
      <c r="R309" s="7964"/>
      <c r="S309" s="7964"/>
      <c r="T309" s="7964"/>
      <c r="U309" s="7964"/>
      <c r="V309" s="7965"/>
      <c r="W309" s="7963"/>
      <c r="X309" s="7964"/>
      <c r="Y309" s="7964"/>
      <c r="Z309" s="7964"/>
      <c r="AA309" s="7964"/>
      <c r="AB309" s="7964"/>
      <c r="AC309" s="7965"/>
      <c r="AD309" s="7963"/>
      <c r="AE309" s="7964"/>
      <c r="AF309" s="7964"/>
      <c r="AG309" s="7964"/>
      <c r="AH309" s="7964"/>
      <c r="AI309" s="7965"/>
      <c r="AJ309" s="7925"/>
      <c r="AK309" s="6970"/>
      <c r="AL309" s="1150"/>
      <c r="AM309" s="808"/>
      <c r="AN309" s="808"/>
      <c r="AO309" s="808"/>
      <c r="AP309" s="2162"/>
      <c r="AQ309" s="808"/>
      <c r="AR309" s="808"/>
      <c r="AS309" s="808"/>
      <c r="AT309" s="808"/>
      <c r="AU309" s="808"/>
      <c r="AV309" s="808"/>
      <c r="AW309" s="808"/>
      <c r="AX309" s="2396"/>
      <c r="AY309" s="3057"/>
      <c r="AZ309" s="3057"/>
      <c r="BA309" s="3057"/>
      <c r="BB309" s="3057"/>
      <c r="BC309" s="3057"/>
      <c r="BD309" s="3057"/>
      <c r="BE309" s="3057"/>
      <c r="BF309" s="3057"/>
      <c r="BG309" s="3057"/>
      <c r="BH309" s="3057"/>
    </row>
    <row r="310" spans="1:60" ht="13.5" customHeight="1">
      <c r="A310" s="3107"/>
      <c r="B310" s="7924" t="s">
        <v>644</v>
      </c>
      <c r="C310" s="7924"/>
      <c r="D310" s="878" t="s">
        <v>3190</v>
      </c>
      <c r="E310" s="808"/>
      <c r="F310" s="808"/>
      <c r="G310" s="808"/>
      <c r="H310" s="808"/>
      <c r="I310" s="808"/>
      <c r="J310" s="808"/>
      <c r="K310" s="808"/>
      <c r="L310" s="808"/>
      <c r="M310" s="808"/>
      <c r="N310" s="808"/>
      <c r="O310" s="1128" t="s">
        <v>1026</v>
      </c>
      <c r="P310" s="7963"/>
      <c r="Q310" s="7964"/>
      <c r="R310" s="7964"/>
      <c r="S310" s="7964"/>
      <c r="T310" s="7964"/>
      <c r="U310" s="7964"/>
      <c r="V310" s="7965"/>
      <c r="W310" s="7963"/>
      <c r="X310" s="7964"/>
      <c r="Y310" s="7964"/>
      <c r="Z310" s="7964"/>
      <c r="AA310" s="7964"/>
      <c r="AB310" s="7964"/>
      <c r="AC310" s="7965"/>
      <c r="AD310" s="7963"/>
      <c r="AE310" s="7964"/>
      <c r="AF310" s="7964"/>
      <c r="AG310" s="7964"/>
      <c r="AH310" s="7964"/>
      <c r="AI310" s="7965"/>
      <c r="AJ310" s="7925"/>
      <c r="AK310" s="6970"/>
      <c r="AL310" s="1150"/>
      <c r="AM310" s="808"/>
      <c r="AN310" s="808"/>
      <c r="AO310" s="808"/>
      <c r="AP310" s="2162"/>
      <c r="AQ310" s="808"/>
      <c r="AR310" s="808"/>
      <c r="AS310" s="808"/>
      <c r="AT310" s="808"/>
      <c r="AU310" s="808"/>
      <c r="AV310" s="808"/>
      <c r="AW310" s="808"/>
      <c r="AX310" s="2396"/>
      <c r="AY310" s="3057"/>
      <c r="AZ310" s="3057"/>
      <c r="BA310" s="3057"/>
      <c r="BB310" s="3057"/>
      <c r="BC310" s="3057"/>
      <c r="BD310" s="3057"/>
      <c r="BE310" s="3057"/>
      <c r="BF310" s="3057"/>
      <c r="BG310" s="3057"/>
      <c r="BH310" s="3057"/>
    </row>
    <row r="311" spans="1:60" ht="13.5" customHeight="1">
      <c r="A311" s="3107"/>
      <c r="B311" s="7924" t="s">
        <v>648</v>
      </c>
      <c r="C311" s="7924"/>
      <c r="D311" s="878" t="s">
        <v>3191</v>
      </c>
      <c r="E311" s="808"/>
      <c r="F311" s="808"/>
      <c r="G311" s="808"/>
      <c r="H311" s="808"/>
      <c r="I311" s="808"/>
      <c r="J311" s="808"/>
      <c r="K311" s="808"/>
      <c r="L311" s="808"/>
      <c r="M311" s="808"/>
      <c r="N311" s="808"/>
      <c r="O311" s="1128" t="s">
        <v>888</v>
      </c>
      <c r="P311" s="7968">
        <f>SUM(P309:P310)</f>
        <v>0</v>
      </c>
      <c r="Q311" s="7969"/>
      <c r="R311" s="7969"/>
      <c r="S311" s="7969"/>
      <c r="T311" s="7969"/>
      <c r="U311" s="7969"/>
      <c r="V311" s="7970"/>
      <c r="W311" s="7968">
        <f>SUM(W309:W310)</f>
        <v>0</v>
      </c>
      <c r="X311" s="7969"/>
      <c r="Y311" s="7969"/>
      <c r="Z311" s="7969"/>
      <c r="AA311" s="7969"/>
      <c r="AB311" s="7969"/>
      <c r="AC311" s="7970"/>
      <c r="AD311" s="7968">
        <f>SUM(AD309:AD310)</f>
        <v>0</v>
      </c>
      <c r="AE311" s="7969"/>
      <c r="AF311" s="7969"/>
      <c r="AG311" s="7969"/>
      <c r="AH311" s="7969"/>
      <c r="AI311" s="7970"/>
      <c r="AJ311" s="7925"/>
      <c r="AK311" s="6970"/>
      <c r="AL311" s="1150"/>
      <c r="AM311" s="808"/>
      <c r="AN311" s="808"/>
      <c r="AO311" s="808"/>
      <c r="AP311" s="2162"/>
      <c r="AQ311" s="808"/>
      <c r="AR311" s="808"/>
      <c r="AS311" s="808"/>
      <c r="AT311" s="808"/>
      <c r="AU311" s="808"/>
      <c r="AV311" s="808"/>
      <c r="AW311" s="808"/>
      <c r="AX311" s="2396"/>
      <c r="AY311" s="3057"/>
      <c r="AZ311" s="3057"/>
      <c r="BA311" s="3057"/>
      <c r="BB311" s="3057"/>
      <c r="BC311" s="3057"/>
      <c r="BD311" s="3057"/>
      <c r="BE311" s="3057"/>
      <c r="BF311" s="3057"/>
      <c r="BG311" s="3057"/>
      <c r="BH311" s="3057"/>
    </row>
    <row r="312" spans="1:60" ht="13.5" customHeight="1">
      <c r="A312" s="3107"/>
      <c r="B312" s="7924" t="s">
        <v>652</v>
      </c>
      <c r="C312" s="7924"/>
      <c r="D312" s="878" t="s">
        <v>3192</v>
      </c>
      <c r="E312" s="808"/>
      <c r="F312" s="808"/>
      <c r="G312" s="808"/>
      <c r="H312" s="808"/>
      <c r="I312" s="808"/>
      <c r="J312" s="808"/>
      <c r="K312" s="808"/>
      <c r="L312" s="808"/>
      <c r="M312" s="808"/>
      <c r="N312" s="808"/>
      <c r="O312" s="1128" t="s">
        <v>3193</v>
      </c>
      <c r="P312" s="7963"/>
      <c r="Q312" s="7964"/>
      <c r="R312" s="7964"/>
      <c r="S312" s="7964"/>
      <c r="T312" s="7964"/>
      <c r="U312" s="7964"/>
      <c r="V312" s="7965"/>
      <c r="W312" s="7963"/>
      <c r="X312" s="7964"/>
      <c r="Y312" s="7964"/>
      <c r="Z312" s="7964"/>
      <c r="AA312" s="7964"/>
      <c r="AB312" s="7964"/>
      <c r="AC312" s="7965"/>
      <c r="AD312" s="7963"/>
      <c r="AE312" s="7964"/>
      <c r="AF312" s="7964"/>
      <c r="AG312" s="7964"/>
      <c r="AH312" s="7964"/>
      <c r="AI312" s="7965"/>
      <c r="AJ312" s="7925"/>
      <c r="AK312" s="6970"/>
      <c r="AL312" s="1150"/>
      <c r="AM312" s="808"/>
      <c r="AN312" s="808"/>
      <c r="AO312" s="808"/>
      <c r="AP312" s="2162"/>
      <c r="AQ312" s="808"/>
      <c r="AR312" s="808"/>
      <c r="AS312" s="808"/>
      <c r="AT312" s="808"/>
      <c r="AU312" s="808"/>
      <c r="AV312" s="808"/>
      <c r="AW312" s="808"/>
      <c r="AX312" s="2396"/>
      <c r="AY312" s="3057"/>
      <c r="AZ312" s="3057"/>
      <c r="BA312" s="3057"/>
      <c r="BB312" s="3057"/>
      <c r="BC312" s="3057"/>
      <c r="BD312" s="3057"/>
      <c r="BE312" s="3057"/>
      <c r="BF312" s="3057"/>
      <c r="BG312" s="3057"/>
      <c r="BH312" s="3057"/>
    </row>
    <row r="313" spans="1:60" ht="13.5" customHeight="1">
      <c r="A313" s="3107"/>
      <c r="B313" s="7924" t="s">
        <v>656</v>
      </c>
      <c r="C313" s="7924"/>
      <c r="D313" s="878" t="s">
        <v>3194</v>
      </c>
      <c r="E313" s="808"/>
      <c r="F313" s="808"/>
      <c r="G313" s="808"/>
      <c r="H313" s="808"/>
      <c r="I313" s="808"/>
      <c r="J313" s="808"/>
      <c r="K313" s="808"/>
      <c r="L313" s="808"/>
      <c r="M313" s="808"/>
      <c r="N313" s="808"/>
      <c r="O313" s="1128" t="s">
        <v>3193</v>
      </c>
      <c r="P313" s="7963"/>
      <c r="Q313" s="7964"/>
      <c r="R313" s="7964"/>
      <c r="S313" s="7964"/>
      <c r="T313" s="7964"/>
      <c r="U313" s="7964"/>
      <c r="V313" s="7965"/>
      <c r="W313" s="7963"/>
      <c r="X313" s="7964"/>
      <c r="Y313" s="7964"/>
      <c r="Z313" s="7964"/>
      <c r="AA313" s="7964"/>
      <c r="AB313" s="7964"/>
      <c r="AC313" s="7965"/>
      <c r="AD313" s="7963"/>
      <c r="AE313" s="7964"/>
      <c r="AF313" s="7964"/>
      <c r="AG313" s="7964"/>
      <c r="AH313" s="7964"/>
      <c r="AI313" s="7965"/>
      <c r="AJ313" s="7925"/>
      <c r="AK313" s="6970"/>
      <c r="AL313" s="1150"/>
      <c r="AM313" s="808"/>
      <c r="AN313" s="808"/>
      <c r="AO313" s="808"/>
      <c r="AP313" s="2162"/>
      <c r="AQ313" s="808"/>
      <c r="AR313" s="808"/>
      <c r="AS313" s="808"/>
      <c r="AT313" s="808"/>
      <c r="AU313" s="808"/>
      <c r="AV313" s="808"/>
      <c r="AW313" s="808"/>
      <c r="AX313" s="2396"/>
      <c r="AY313" s="3057"/>
      <c r="AZ313" s="3057"/>
      <c r="BA313" s="3057"/>
      <c r="BB313" s="3057"/>
      <c r="BC313" s="3057"/>
      <c r="BD313" s="3057"/>
      <c r="BE313" s="3057"/>
      <c r="BF313" s="3057"/>
      <c r="BG313" s="3057"/>
      <c r="BH313" s="3057"/>
    </row>
    <row r="314" spans="1:60" ht="16.5" customHeight="1">
      <c r="A314" s="3107"/>
      <c r="B314" s="7924" t="s">
        <v>659</v>
      </c>
      <c r="C314" s="7924"/>
      <c r="D314" s="878" t="s">
        <v>3195</v>
      </c>
      <c r="E314" s="808"/>
      <c r="F314" s="808"/>
      <c r="G314" s="808"/>
      <c r="H314" s="808"/>
      <c r="I314" s="808"/>
      <c r="J314" s="808"/>
      <c r="K314" s="808"/>
      <c r="L314" s="808"/>
      <c r="M314" s="808"/>
      <c r="N314" s="808"/>
      <c r="O314" s="1128" t="s">
        <v>939</v>
      </c>
      <c r="P314" s="8107" t="str">
        <f>IF(P313=0,"",ROUND(P312/P313,4))</f>
        <v/>
      </c>
      <c r="Q314" s="8108"/>
      <c r="R314" s="8108"/>
      <c r="S314" s="8108"/>
      <c r="T314" s="8108"/>
      <c r="U314" s="8108"/>
      <c r="V314" s="8109"/>
      <c r="W314" s="8107" t="str">
        <f>IF(W313=0,"",ROUND(W312/W313,4))</f>
        <v/>
      </c>
      <c r="X314" s="8108"/>
      <c r="Y314" s="8108"/>
      <c r="Z314" s="8108"/>
      <c r="AA314" s="8108"/>
      <c r="AB314" s="8108"/>
      <c r="AC314" s="8109"/>
      <c r="AD314" s="8110" t="str">
        <f>IF(AD313=0,"",ROUND(AD312/AD313,4))</f>
        <v/>
      </c>
      <c r="AE314" s="8111"/>
      <c r="AF314" s="8111"/>
      <c r="AG314" s="8111"/>
      <c r="AH314" s="8111"/>
      <c r="AI314" s="8112"/>
      <c r="AJ314" s="7925"/>
      <c r="AK314" s="6970"/>
      <c r="AL314" s="1150"/>
      <c r="AM314" s="808"/>
      <c r="AN314" s="808"/>
      <c r="AO314" s="808"/>
      <c r="AP314" s="2162"/>
      <c r="AQ314" s="808"/>
      <c r="AR314" s="808"/>
      <c r="AS314" s="808"/>
      <c r="AT314" s="808"/>
      <c r="AU314" s="808"/>
      <c r="AV314" s="808"/>
      <c r="AW314" s="808"/>
      <c r="AX314" s="2396"/>
      <c r="AY314" s="3057"/>
      <c r="AZ314" s="3057"/>
      <c r="BA314" s="3057"/>
      <c r="BB314" s="3057"/>
      <c r="BC314" s="3057"/>
      <c r="BD314" s="3057"/>
      <c r="BE314" s="3057"/>
      <c r="BF314" s="3057"/>
      <c r="BG314" s="3057"/>
      <c r="BH314" s="3057"/>
    </row>
    <row r="315" spans="1:60" s="2114" customFormat="1" ht="17.25" customHeight="1">
      <c r="A315" s="3107"/>
      <c r="B315" s="7924" t="s">
        <v>663</v>
      </c>
      <c r="C315" s="7924"/>
      <c r="D315" s="878" t="s">
        <v>3196</v>
      </c>
      <c r="E315" s="808"/>
      <c r="F315" s="808"/>
      <c r="G315" s="808"/>
      <c r="H315" s="808"/>
      <c r="I315" s="808"/>
      <c r="J315" s="808"/>
      <c r="K315" s="808"/>
      <c r="L315" s="808"/>
      <c r="M315" s="808"/>
      <c r="N315" s="808"/>
      <c r="O315" s="1128" t="s">
        <v>994</v>
      </c>
      <c r="P315" s="8113" t="str">
        <f>IF(OR(P311="",P314=""),"",P311*P314)</f>
        <v/>
      </c>
      <c r="Q315" s="8114"/>
      <c r="R315" s="8114"/>
      <c r="S315" s="8114"/>
      <c r="T315" s="8114"/>
      <c r="U315" s="8114"/>
      <c r="V315" s="8115"/>
      <c r="W315" s="8113" t="str">
        <f>IF(OR(W311="",W314=""),"",W311*W314)</f>
        <v/>
      </c>
      <c r="X315" s="8114"/>
      <c r="Y315" s="8114"/>
      <c r="Z315" s="8114"/>
      <c r="AA315" s="8114"/>
      <c r="AB315" s="8114"/>
      <c r="AC315" s="8115"/>
      <c r="AD315" s="8113" t="str">
        <f>IF(OR(AD311="",AD314=""),"",AD311*AD314)</f>
        <v/>
      </c>
      <c r="AE315" s="8114"/>
      <c r="AF315" s="8114"/>
      <c r="AG315" s="8114"/>
      <c r="AH315" s="8114"/>
      <c r="AI315" s="8115"/>
      <c r="AJ315" s="7925"/>
      <c r="AK315" s="6970"/>
      <c r="AL315" s="1150"/>
      <c r="AM315" s="808"/>
      <c r="AN315" s="808"/>
      <c r="AO315" s="808"/>
      <c r="AP315" s="2162"/>
      <c r="AQ315" s="808"/>
      <c r="AR315" s="808"/>
      <c r="AS315" s="808"/>
      <c r="AT315" s="808"/>
      <c r="AU315" s="808"/>
      <c r="AV315" s="808"/>
      <c r="AW315" s="808"/>
      <c r="AX315" s="2396"/>
      <c r="AY315" s="3057"/>
      <c r="AZ315" s="3057"/>
      <c r="BA315" s="3057"/>
      <c r="BB315" s="3057"/>
      <c r="BC315" s="3057"/>
      <c r="BD315" s="3057"/>
      <c r="BE315" s="3057"/>
      <c r="BF315" s="3057"/>
      <c r="BG315" s="3057"/>
      <c r="BH315" s="3057"/>
    </row>
    <row r="316" spans="1:60" s="2114" customFormat="1" ht="12" customHeight="1">
      <c r="A316" s="3107"/>
      <c r="B316" s="8005">
        <v>4</v>
      </c>
      <c r="C316" s="8005"/>
      <c r="D316" s="878" t="s">
        <v>3197</v>
      </c>
      <c r="E316" s="808"/>
      <c r="F316" s="808"/>
      <c r="G316" s="808"/>
      <c r="H316" s="808"/>
      <c r="I316" s="808"/>
      <c r="J316" s="808"/>
      <c r="K316" s="808"/>
      <c r="L316" s="808"/>
      <c r="M316" s="808"/>
      <c r="N316" s="808"/>
      <c r="O316" s="808"/>
      <c r="P316" s="2217"/>
      <c r="Q316" s="2218"/>
      <c r="R316" s="2218"/>
      <c r="S316" s="2218"/>
      <c r="T316" s="2218"/>
      <c r="U316" s="2218"/>
      <c r="V316" s="2219"/>
      <c r="W316" s="2217"/>
      <c r="X316" s="2218"/>
      <c r="Y316" s="2218"/>
      <c r="Z316" s="2218"/>
      <c r="AA316" s="2218"/>
      <c r="AB316" s="2218"/>
      <c r="AC316" s="2219"/>
      <c r="AD316" s="2217"/>
      <c r="AE316" s="2218"/>
      <c r="AF316" s="2218"/>
      <c r="AG316" s="2218"/>
      <c r="AH316" s="2218"/>
      <c r="AI316" s="2219"/>
      <c r="AJ316" s="7925"/>
      <c r="AK316" s="6970"/>
      <c r="AL316" s="1150"/>
      <c r="AM316" s="808"/>
      <c r="AN316" s="808"/>
      <c r="AO316" s="808"/>
      <c r="AP316" s="2162"/>
      <c r="AQ316" s="808"/>
      <c r="AR316" s="808"/>
      <c r="AS316" s="808"/>
      <c r="AT316" s="808"/>
      <c r="AU316" s="808"/>
      <c r="AV316" s="808"/>
      <c r="AW316" s="808"/>
      <c r="AX316" s="2396"/>
      <c r="AY316" s="3057"/>
      <c r="AZ316" s="3057"/>
      <c r="BA316" s="3057"/>
      <c r="BB316" s="3057"/>
      <c r="BC316" s="3057"/>
      <c r="BD316" s="3057"/>
      <c r="BE316" s="3057"/>
      <c r="BF316" s="3057"/>
      <c r="BG316" s="3057"/>
      <c r="BH316" s="3057"/>
    </row>
    <row r="317" spans="1:60" s="2114" customFormat="1" ht="12" customHeight="1">
      <c r="A317" s="3107"/>
      <c r="B317" s="7924" t="s">
        <v>640</v>
      </c>
      <c r="C317" s="7924"/>
      <c r="D317" s="892" t="s">
        <v>3198</v>
      </c>
      <c r="E317" s="808"/>
      <c r="F317" s="808"/>
      <c r="G317" s="808"/>
      <c r="H317" s="808"/>
      <c r="I317" s="808"/>
      <c r="J317" s="808"/>
      <c r="K317" s="808"/>
      <c r="L317" s="808"/>
      <c r="M317" s="808"/>
      <c r="N317" s="808"/>
      <c r="O317" s="808"/>
      <c r="P317" s="2220"/>
      <c r="Q317" s="892"/>
      <c r="R317" s="892"/>
      <c r="S317" s="892"/>
      <c r="T317" s="892"/>
      <c r="U317" s="892"/>
      <c r="V317" s="2221"/>
      <c r="W317" s="892"/>
      <c r="X317" s="892"/>
      <c r="Y317" s="892"/>
      <c r="Z317" s="892"/>
      <c r="AA317" s="892"/>
      <c r="AB317" s="892"/>
      <c r="AC317" s="2221"/>
      <c r="AD317" s="892"/>
      <c r="AE317" s="892"/>
      <c r="AF317" s="892"/>
      <c r="AG317" s="892"/>
      <c r="AH317" s="892"/>
      <c r="AI317" s="2221"/>
      <c r="AJ317" s="7925"/>
      <c r="AK317" s="6970"/>
      <c r="AL317" s="1150"/>
      <c r="AM317" s="808"/>
      <c r="AN317" s="808"/>
      <c r="AO317" s="808"/>
      <c r="AP317" s="2162"/>
      <c r="AQ317" s="808"/>
      <c r="AR317" s="808"/>
      <c r="AS317" s="808"/>
      <c r="AT317" s="808"/>
      <c r="AU317" s="808"/>
      <c r="AV317" s="808"/>
      <c r="AW317" s="808"/>
      <c r="AX317" s="2396"/>
      <c r="AY317" s="3057"/>
      <c r="AZ317" s="3057"/>
      <c r="BA317" s="3057"/>
      <c r="BB317" s="3057"/>
      <c r="BC317" s="3057"/>
      <c r="BD317" s="3057"/>
      <c r="BE317" s="3057"/>
      <c r="BF317" s="3057"/>
      <c r="BG317" s="3057"/>
      <c r="BH317" s="3057"/>
    </row>
    <row r="318" spans="1:60" s="2114" customFormat="1" ht="12" customHeight="1">
      <c r="A318" s="3107"/>
      <c r="B318" s="2996"/>
      <c r="C318" s="2996"/>
      <c r="D318" s="892" t="s">
        <v>3199</v>
      </c>
      <c r="E318" s="808"/>
      <c r="F318" s="808"/>
      <c r="G318" s="808"/>
      <c r="H318" s="808"/>
      <c r="I318" s="808"/>
      <c r="J318" s="808"/>
      <c r="K318" s="808"/>
      <c r="L318" s="808"/>
      <c r="M318" s="808"/>
      <c r="N318" s="808"/>
      <c r="O318" s="1128" t="s">
        <v>934</v>
      </c>
      <c r="P318" s="7963"/>
      <c r="Q318" s="7964"/>
      <c r="R318" s="7964"/>
      <c r="S318" s="7964"/>
      <c r="T318" s="7964"/>
      <c r="U318" s="7964"/>
      <c r="V318" s="7965"/>
      <c r="W318" s="7963"/>
      <c r="X318" s="7964"/>
      <c r="Y318" s="7964"/>
      <c r="Z318" s="7964"/>
      <c r="AA318" s="7964"/>
      <c r="AB318" s="7964"/>
      <c r="AC318" s="7965"/>
      <c r="AD318" s="7963"/>
      <c r="AE318" s="7964"/>
      <c r="AF318" s="7964"/>
      <c r="AG318" s="7964"/>
      <c r="AH318" s="7964"/>
      <c r="AI318" s="7965"/>
      <c r="AJ318" s="7925"/>
      <c r="AK318" s="6970"/>
      <c r="AL318" s="1150"/>
      <c r="AM318" s="808"/>
      <c r="AN318" s="808"/>
      <c r="AO318" s="808"/>
      <c r="AP318" s="2162"/>
      <c r="AQ318" s="808"/>
      <c r="AR318" s="808"/>
      <c r="AS318" s="808"/>
      <c r="AT318" s="808"/>
      <c r="AU318" s="808"/>
      <c r="AV318" s="808"/>
      <c r="AW318" s="808"/>
      <c r="AX318" s="2396"/>
      <c r="AY318" s="3057"/>
      <c r="AZ318" s="3057"/>
      <c r="BA318" s="3057"/>
      <c r="BB318" s="3057"/>
      <c r="BC318" s="3057"/>
      <c r="BD318" s="3057"/>
      <c r="BE318" s="3057"/>
      <c r="BF318" s="3057"/>
      <c r="BG318" s="3057"/>
      <c r="BH318" s="3057"/>
    </row>
    <row r="319" spans="1:60" s="2114" customFormat="1" ht="10.5" customHeight="1">
      <c r="A319" s="3107"/>
      <c r="B319" s="7924" t="s">
        <v>644</v>
      </c>
      <c r="C319" s="7924"/>
      <c r="D319" s="892" t="s">
        <v>3200</v>
      </c>
      <c r="E319" s="808"/>
      <c r="F319" s="808"/>
      <c r="G319" s="808"/>
      <c r="H319" s="808"/>
      <c r="I319" s="808"/>
      <c r="J319" s="808"/>
      <c r="K319" s="808"/>
      <c r="L319" s="808"/>
      <c r="M319" s="808"/>
      <c r="N319" s="808"/>
      <c r="O319" s="1128" t="s">
        <v>994</v>
      </c>
      <c r="P319" s="7963"/>
      <c r="Q319" s="7964"/>
      <c r="R319" s="7964"/>
      <c r="S319" s="7964"/>
      <c r="T319" s="7964"/>
      <c r="U319" s="7964"/>
      <c r="V319" s="7965"/>
      <c r="W319" s="7963"/>
      <c r="X319" s="7964"/>
      <c r="Y319" s="7964"/>
      <c r="Z319" s="7964"/>
      <c r="AA319" s="7964"/>
      <c r="AB319" s="7964"/>
      <c r="AC319" s="7965"/>
      <c r="AD319" s="7963"/>
      <c r="AE319" s="7964"/>
      <c r="AF319" s="7964"/>
      <c r="AG319" s="7964"/>
      <c r="AH319" s="7964"/>
      <c r="AI319" s="7965"/>
      <c r="AJ319" s="7925"/>
      <c r="AK319" s="6970"/>
      <c r="AL319" s="1150"/>
      <c r="AM319" s="808"/>
      <c r="AN319" s="808"/>
      <c r="AO319" s="808"/>
      <c r="AP319" s="2162"/>
      <c r="AQ319" s="808"/>
      <c r="AR319" s="808"/>
      <c r="AS319" s="808"/>
      <c r="AT319" s="808"/>
      <c r="AU319" s="808"/>
      <c r="AV319" s="808"/>
      <c r="AW319" s="808"/>
      <c r="AX319" s="2396"/>
      <c r="AY319" s="3057"/>
      <c r="AZ319" s="3057"/>
      <c r="BA319" s="3057"/>
      <c r="BB319" s="3057"/>
      <c r="BC319" s="3057"/>
      <c r="BD319" s="3057"/>
      <c r="BE319" s="3057"/>
      <c r="BF319" s="3057"/>
      <c r="BG319" s="3057"/>
      <c r="BH319" s="3057"/>
    </row>
    <row r="320" spans="1:60">
      <c r="A320" s="3107"/>
      <c r="B320" s="8005">
        <v>5</v>
      </c>
      <c r="C320" s="8005"/>
      <c r="D320" s="892" t="s">
        <v>3201</v>
      </c>
      <c r="E320" s="808"/>
      <c r="F320" s="808"/>
      <c r="G320" s="808"/>
      <c r="H320" s="808"/>
      <c r="I320" s="808"/>
      <c r="J320" s="808"/>
      <c r="K320" s="808"/>
      <c r="L320" s="808"/>
      <c r="M320" s="808"/>
      <c r="N320" s="808"/>
      <c r="O320" s="1128" t="s">
        <v>914</v>
      </c>
      <c r="P320" s="7963"/>
      <c r="Q320" s="7964"/>
      <c r="R320" s="7964"/>
      <c r="S320" s="7964"/>
      <c r="T320" s="7964"/>
      <c r="U320" s="7964"/>
      <c r="V320" s="7965"/>
      <c r="W320" s="7963"/>
      <c r="X320" s="7964"/>
      <c r="Y320" s="7964"/>
      <c r="Z320" s="7964"/>
      <c r="AA320" s="7964"/>
      <c r="AB320" s="7964"/>
      <c r="AC320" s="7965"/>
      <c r="AD320" s="7963"/>
      <c r="AE320" s="7964"/>
      <c r="AF320" s="7964"/>
      <c r="AG320" s="7964"/>
      <c r="AH320" s="7964"/>
      <c r="AI320" s="7965"/>
      <c r="AJ320" s="7925"/>
      <c r="AK320" s="6970"/>
      <c r="AL320" s="1150"/>
      <c r="AM320" s="808"/>
      <c r="AN320" s="808"/>
      <c r="AO320" s="808"/>
      <c r="AP320" s="2162"/>
      <c r="AQ320" s="2162"/>
      <c r="AR320" s="2162"/>
      <c r="AS320" s="2162"/>
      <c r="AT320" s="2162"/>
      <c r="AU320" s="2162"/>
      <c r="AV320" s="808"/>
      <c r="AW320" s="808"/>
      <c r="AX320" s="2396"/>
      <c r="AY320" s="3057"/>
      <c r="AZ320" s="3057"/>
      <c r="BA320" s="3057"/>
      <c r="BB320" s="3057"/>
      <c r="BC320" s="3057"/>
      <c r="BD320" s="3057"/>
      <c r="BE320" s="3057"/>
      <c r="BF320" s="3057"/>
      <c r="BG320" s="3057"/>
      <c r="BH320" s="3057"/>
    </row>
    <row r="321" spans="1:60" ht="13.5" customHeight="1">
      <c r="A321" s="3107"/>
      <c r="B321" s="8005">
        <v>6</v>
      </c>
      <c r="C321" s="8005"/>
      <c r="D321" s="892" t="s">
        <v>3202</v>
      </c>
      <c r="E321" s="808"/>
      <c r="F321" s="808"/>
      <c r="G321" s="808"/>
      <c r="H321" s="808"/>
      <c r="I321" s="808"/>
      <c r="J321" s="808"/>
      <c r="K321" s="808"/>
      <c r="L321" s="808"/>
      <c r="M321" s="808"/>
      <c r="N321" s="808"/>
      <c r="O321" s="1128" t="s">
        <v>914</v>
      </c>
      <c r="P321" s="8113">
        <f>SUM(P305,P315,P318,P319,P320)</f>
        <v>0</v>
      </c>
      <c r="Q321" s="8114"/>
      <c r="R321" s="8114"/>
      <c r="S321" s="8114"/>
      <c r="T321" s="8114"/>
      <c r="U321" s="8114"/>
      <c r="V321" s="8115"/>
      <c r="W321" s="8113">
        <f>SUM(W305,W315,W318,W319,W320)</f>
        <v>0</v>
      </c>
      <c r="X321" s="8114"/>
      <c r="Y321" s="8114"/>
      <c r="Z321" s="8114"/>
      <c r="AA321" s="8114"/>
      <c r="AB321" s="8114"/>
      <c r="AC321" s="8115"/>
      <c r="AD321" s="8113">
        <f>SUM(AD305,AD315,AD318,AD319,AD320)</f>
        <v>0</v>
      </c>
      <c r="AE321" s="8114"/>
      <c r="AF321" s="8114"/>
      <c r="AG321" s="8114"/>
      <c r="AH321" s="8114"/>
      <c r="AI321" s="8115"/>
      <c r="AJ321" s="7930">
        <v>6</v>
      </c>
      <c r="AK321" s="7294"/>
      <c r="AL321" s="7955" t="str">
        <f>IF(AQ321&lt;&gt;"",ROUND(AQ321,0),IF(AO280=0,"",ROUND(SUM(P321,W321,AD321),0)))</f>
        <v/>
      </c>
      <c r="AM321" s="7956"/>
      <c r="AN321" s="7956"/>
      <c r="AO321" s="7956"/>
      <c r="AP321" s="2162"/>
      <c r="AQ321" s="7914"/>
      <c r="AR321" s="7915"/>
      <c r="AS321" s="7915"/>
      <c r="AT321" s="7915"/>
      <c r="AU321" s="2162"/>
      <c r="AV321" s="808"/>
      <c r="AW321" s="808"/>
      <c r="AX321" s="2396"/>
      <c r="AY321" s="3057"/>
      <c r="AZ321" s="3057"/>
      <c r="BA321" s="3057"/>
      <c r="BB321" s="3057"/>
      <c r="BC321" s="3057"/>
      <c r="BD321" s="3057"/>
      <c r="BE321" s="3057"/>
      <c r="BF321" s="3057"/>
      <c r="BG321" s="3057"/>
      <c r="BH321" s="3057"/>
    </row>
    <row r="322" spans="1:60">
      <c r="A322" s="3107"/>
      <c r="B322" s="8135">
        <v>7</v>
      </c>
      <c r="C322" s="8135"/>
      <c r="D322" s="2215" t="s">
        <v>3203</v>
      </c>
      <c r="E322" s="1122"/>
      <c r="F322" s="1122"/>
      <c r="G322" s="1122"/>
      <c r="H322" s="1122"/>
      <c r="I322" s="1122"/>
      <c r="J322" s="1122"/>
      <c r="K322" s="1122"/>
      <c r="L322" s="1122"/>
      <c r="M322" s="1122"/>
      <c r="N322" s="1122"/>
      <c r="O322" s="1122"/>
      <c r="P322" s="1122"/>
      <c r="Q322" s="1122"/>
      <c r="R322" s="1122"/>
      <c r="S322" s="1122"/>
      <c r="T322" s="1122"/>
      <c r="U322" s="1122"/>
      <c r="V322" s="1122"/>
      <c r="W322" s="1122"/>
      <c r="X322" s="1122"/>
      <c r="Y322" s="1122"/>
      <c r="Z322" s="1122"/>
      <c r="AA322" s="1122"/>
      <c r="AB322" s="1122"/>
      <c r="AC322" s="1122"/>
      <c r="AD322" s="1122"/>
      <c r="AE322" s="1122"/>
      <c r="AF322" s="1122"/>
      <c r="AG322" s="1122"/>
      <c r="AH322" s="1122"/>
      <c r="AI322" s="1128" t="s">
        <v>922</v>
      </c>
      <c r="AJ322" s="7946">
        <v>7</v>
      </c>
      <c r="AK322" s="7947"/>
      <c r="AL322" s="7955" t="str">
        <f>IF(AQ322&lt;&gt;"",ROUND(AQ322,0),IF(AO280=0,"",ROUND(SUM(AL296,-AL321),0)))</f>
        <v/>
      </c>
      <c r="AM322" s="7956"/>
      <c r="AN322" s="7956"/>
      <c r="AO322" s="7956"/>
      <c r="AP322" s="2162"/>
      <c r="AQ322" s="7914"/>
      <c r="AR322" s="7915"/>
      <c r="AS322" s="7915"/>
      <c r="AT322" s="7915"/>
      <c r="AU322" s="2162"/>
      <c r="AV322" s="808"/>
      <c r="AW322" s="808"/>
      <c r="AX322" s="2396"/>
      <c r="AY322" s="3057"/>
      <c r="AZ322" s="3057"/>
      <c r="BA322" s="3057"/>
      <c r="BB322" s="3057"/>
      <c r="BC322" s="3057"/>
      <c r="BD322" s="3057"/>
      <c r="BE322" s="3057"/>
      <c r="BF322" s="3057"/>
      <c r="BG322" s="3057"/>
      <c r="BH322" s="3057"/>
    </row>
    <row r="323" spans="1:60" ht="18">
      <c r="A323" s="3109"/>
      <c r="B323" s="8099" t="s">
        <v>982</v>
      </c>
      <c r="C323" s="8099"/>
      <c r="D323" s="8132"/>
      <c r="E323" s="8133" t="s">
        <v>3307</v>
      </c>
      <c r="F323" s="8134"/>
      <c r="G323" s="8134"/>
      <c r="H323" s="8134"/>
      <c r="I323" s="8134"/>
      <c r="J323" s="8134"/>
      <c r="K323" s="8134"/>
      <c r="L323" s="8134"/>
      <c r="M323" s="8134"/>
      <c r="N323" s="8134"/>
      <c r="O323" s="8134"/>
      <c r="P323" s="8134"/>
      <c r="Q323" s="8134"/>
      <c r="R323" s="8134"/>
      <c r="S323" s="8134"/>
      <c r="T323" s="8134"/>
      <c r="U323" s="8134"/>
      <c r="V323" s="8134"/>
      <c r="W323" s="8134"/>
      <c r="X323" s="8134"/>
      <c r="Y323" s="8134"/>
      <c r="Z323" s="8134"/>
      <c r="AA323" s="8134"/>
      <c r="AB323" s="8134"/>
      <c r="AC323" s="8134"/>
      <c r="AD323" s="8134"/>
      <c r="AE323" s="8134"/>
      <c r="AF323" s="8134"/>
      <c r="AG323" s="8134"/>
      <c r="AH323" s="8134"/>
      <c r="AI323" s="8134"/>
      <c r="AJ323" s="8134"/>
      <c r="AK323" s="8134"/>
      <c r="AL323" s="8134"/>
      <c r="AM323" s="8134"/>
      <c r="AN323" s="8134"/>
      <c r="AO323" s="8134"/>
      <c r="AP323" s="2162"/>
      <c r="AQ323" s="2162"/>
      <c r="AR323" s="2162"/>
      <c r="AS323" s="2162"/>
      <c r="AT323" s="2162"/>
      <c r="AU323" s="2162"/>
      <c r="AV323" s="1108"/>
      <c r="AW323" s="1108"/>
      <c r="AX323" s="2396"/>
      <c r="AY323" s="3057"/>
      <c r="AZ323" s="3057"/>
      <c r="BA323" s="3057"/>
      <c r="BB323" s="3057"/>
      <c r="BC323" s="3057"/>
      <c r="BD323" s="3057"/>
      <c r="BE323" s="3057"/>
      <c r="BF323" s="3057"/>
      <c r="BG323" s="3057"/>
      <c r="BH323" s="3057"/>
    </row>
    <row r="324" spans="1:60" ht="13.5" customHeight="1">
      <c r="A324" s="3109"/>
      <c r="B324" s="8021" t="s">
        <v>3205</v>
      </c>
      <c r="C324" s="8006" t="s">
        <v>3206</v>
      </c>
      <c r="D324" s="7397"/>
      <c r="E324" s="7397"/>
      <c r="F324" s="7397"/>
      <c r="G324" s="7398"/>
      <c r="H324" s="8027" t="s">
        <v>3207</v>
      </c>
      <c r="I324" s="8028"/>
      <c r="J324" s="8028"/>
      <c r="K324" s="8028"/>
      <c r="L324" s="8028"/>
      <c r="M324" s="8028"/>
      <c r="N324" s="8028"/>
      <c r="O324" s="8028"/>
      <c r="P324" s="8028"/>
      <c r="Q324" s="8028"/>
      <c r="R324" s="8028"/>
      <c r="S324" s="8028"/>
      <c r="T324" s="8028"/>
      <c r="U324" s="8028"/>
      <c r="V324" s="8028"/>
      <c r="W324" s="8028"/>
      <c r="X324" s="8028"/>
      <c r="Y324" s="8028"/>
      <c r="Z324" s="8028"/>
      <c r="AA324" s="8028"/>
      <c r="AB324" s="8028"/>
      <c r="AC324" s="8028"/>
      <c r="AD324" s="8028"/>
      <c r="AE324" s="8028"/>
      <c r="AF324" s="8028"/>
      <c r="AG324" s="8028"/>
      <c r="AH324" s="8028"/>
      <c r="AI324" s="8028"/>
      <c r="AJ324" s="8028"/>
      <c r="AK324" s="8028"/>
      <c r="AL324" s="8028"/>
      <c r="AM324" s="8028"/>
      <c r="AN324" s="8028"/>
      <c r="AO324" s="8028"/>
      <c r="AP324" s="2162"/>
      <c r="AQ324" s="1108"/>
      <c r="AR324" s="1108"/>
      <c r="AS324" s="1108"/>
      <c r="AT324" s="1108"/>
      <c r="AU324" s="1108"/>
      <c r="AV324" s="1108"/>
      <c r="AW324" s="1108"/>
      <c r="AX324" s="2396"/>
      <c r="AY324" s="3057"/>
      <c r="AZ324" s="3057"/>
      <c r="BA324" s="3057"/>
      <c r="BB324" s="3057"/>
      <c r="BC324" s="3057"/>
      <c r="BD324" s="3057"/>
      <c r="BE324" s="3057"/>
      <c r="BF324" s="3057"/>
      <c r="BG324" s="3057"/>
      <c r="BH324" s="3057"/>
    </row>
    <row r="325" spans="1:60" ht="13.5" customHeight="1">
      <c r="A325" s="3109"/>
      <c r="B325" s="8022"/>
      <c r="C325" s="7412"/>
      <c r="D325" s="7413"/>
      <c r="E325" s="7413"/>
      <c r="F325" s="7413"/>
      <c r="G325" s="7305"/>
      <c r="H325" s="8029"/>
      <c r="I325" s="8030"/>
      <c r="J325" s="8030"/>
      <c r="K325" s="8030"/>
      <c r="L325" s="8030"/>
      <c r="M325" s="8030"/>
      <c r="N325" s="8030"/>
      <c r="O325" s="8030"/>
      <c r="P325" s="8030"/>
      <c r="Q325" s="8030"/>
      <c r="R325" s="8030"/>
      <c r="S325" s="8030"/>
      <c r="T325" s="8030"/>
      <c r="U325" s="8030"/>
      <c r="V325" s="8030"/>
      <c r="W325" s="8030"/>
      <c r="X325" s="8030"/>
      <c r="Y325" s="8030"/>
      <c r="Z325" s="8030"/>
      <c r="AA325" s="8030"/>
      <c r="AB325" s="8030"/>
      <c r="AC325" s="8030"/>
      <c r="AD325" s="8030"/>
      <c r="AE325" s="8030"/>
      <c r="AF325" s="8030"/>
      <c r="AG325" s="8030"/>
      <c r="AH325" s="8030"/>
      <c r="AI325" s="8030"/>
      <c r="AJ325" s="8030"/>
      <c r="AK325" s="8030"/>
      <c r="AL325" s="8030"/>
      <c r="AM325" s="8030"/>
      <c r="AN325" s="8030"/>
      <c r="AO325" s="8030"/>
      <c r="AP325" s="2162"/>
      <c r="AQ325" s="1108"/>
      <c r="AR325" s="1108"/>
      <c r="AS325" s="1108"/>
      <c r="AT325" s="1108"/>
      <c r="AU325" s="1108"/>
      <c r="AV325" s="1108"/>
      <c r="AW325" s="1108"/>
      <c r="AX325" s="2396"/>
      <c r="AY325" s="3057"/>
      <c r="AZ325" s="3057"/>
      <c r="BA325" s="3057"/>
      <c r="BB325" s="3057"/>
      <c r="BC325" s="3057"/>
      <c r="BD325" s="3057"/>
      <c r="BE325" s="3057"/>
      <c r="BF325" s="3057"/>
      <c r="BG325" s="3057"/>
      <c r="BH325" s="3057"/>
    </row>
    <row r="326" spans="1:60" ht="6.75" customHeight="1">
      <c r="A326" s="3109"/>
      <c r="B326" s="8022"/>
      <c r="C326" s="7412"/>
      <c r="D326" s="7413"/>
      <c r="E326" s="7413"/>
      <c r="F326" s="7413"/>
      <c r="G326" s="7305"/>
      <c r="H326" s="8031"/>
      <c r="I326" s="8032"/>
      <c r="J326" s="8032"/>
      <c r="K326" s="8032"/>
      <c r="L326" s="8032"/>
      <c r="M326" s="8032"/>
      <c r="N326" s="8032"/>
      <c r="O326" s="8032"/>
      <c r="P326" s="8032"/>
      <c r="Q326" s="8032"/>
      <c r="R326" s="8032"/>
      <c r="S326" s="8032"/>
      <c r="T326" s="8032"/>
      <c r="U326" s="8032"/>
      <c r="V326" s="8032"/>
      <c r="W326" s="8032"/>
      <c r="X326" s="8032"/>
      <c r="Y326" s="8032"/>
      <c r="Z326" s="8032"/>
      <c r="AA326" s="8032"/>
      <c r="AB326" s="8032"/>
      <c r="AC326" s="8032"/>
      <c r="AD326" s="8032"/>
      <c r="AE326" s="8032"/>
      <c r="AF326" s="8032"/>
      <c r="AG326" s="8032"/>
      <c r="AH326" s="8032"/>
      <c r="AI326" s="8032"/>
      <c r="AJ326" s="8032"/>
      <c r="AK326" s="8032"/>
      <c r="AL326" s="8032"/>
      <c r="AM326" s="8032"/>
      <c r="AN326" s="8032"/>
      <c r="AO326" s="8032"/>
      <c r="AP326" s="2162"/>
      <c r="AQ326" s="1108"/>
      <c r="AR326" s="1108"/>
      <c r="AS326" s="1108"/>
      <c r="AT326" s="1108"/>
      <c r="AU326" s="1108"/>
      <c r="AV326" s="1108"/>
      <c r="AW326" s="1108"/>
      <c r="AX326" s="2396"/>
      <c r="AY326" s="3057"/>
      <c r="AZ326" s="3057"/>
      <c r="BA326" s="3057"/>
      <c r="BB326" s="3057"/>
      <c r="BC326" s="3057"/>
      <c r="BD326" s="3057"/>
      <c r="BE326" s="3057"/>
      <c r="BF326" s="3057"/>
      <c r="BG326" s="3057"/>
      <c r="BH326" s="3057"/>
    </row>
    <row r="327" spans="1:60" ht="11.25" customHeight="1">
      <c r="A327" s="3109"/>
      <c r="B327" s="8022"/>
      <c r="C327" s="2208">
        <f>IF(E327&lt;&gt;"",1,0)</f>
        <v>0</v>
      </c>
      <c r="D327" s="1376" t="s">
        <v>3208</v>
      </c>
      <c r="E327" s="811"/>
      <c r="F327" s="1410" t="s">
        <v>3209</v>
      </c>
      <c r="G327" s="2195"/>
      <c r="H327" s="7373" t="s">
        <v>3210</v>
      </c>
      <c r="I327" s="7374"/>
      <c r="J327" s="7374"/>
      <c r="K327" s="7374"/>
      <c r="L327" s="7374"/>
      <c r="M327" s="7374"/>
      <c r="N327" s="7374"/>
      <c r="O327" s="7374"/>
      <c r="P327" s="7374"/>
      <c r="Q327" s="7374"/>
      <c r="R327" s="7374"/>
      <c r="S327" s="7374"/>
      <c r="T327" s="7374"/>
      <c r="U327" s="7374"/>
      <c r="V327" s="7374"/>
      <c r="W327" s="7468"/>
      <c r="X327" s="7373" t="s">
        <v>3211</v>
      </c>
      <c r="Y327" s="7345"/>
      <c r="Z327" s="7345"/>
      <c r="AA327" s="7345"/>
      <c r="AB327" s="7345"/>
      <c r="AC327" s="7345"/>
      <c r="AD327" s="7345"/>
      <c r="AE327" s="7345"/>
      <c r="AF327" s="7345"/>
      <c r="AG327" s="7345"/>
      <c r="AH327" s="7345"/>
      <c r="AI327" s="7345"/>
      <c r="AJ327" s="7345"/>
      <c r="AK327" s="7345"/>
      <c r="AL327" s="7345"/>
      <c r="AM327" s="7345"/>
      <c r="AN327" s="7345"/>
      <c r="AO327" s="7345"/>
      <c r="AP327" s="2162"/>
      <c r="AQ327" s="1108"/>
      <c r="AR327" s="1108"/>
      <c r="AS327" s="1108"/>
      <c r="AT327" s="1108"/>
      <c r="AU327" s="1108"/>
      <c r="AV327" s="1108"/>
      <c r="AW327" s="1108"/>
      <c r="AX327" s="2396"/>
      <c r="AY327" s="3057"/>
      <c r="AZ327" s="3057"/>
      <c r="BA327" s="3057"/>
      <c r="BB327" s="3057"/>
      <c r="BC327" s="3057"/>
      <c r="BD327" s="3057"/>
      <c r="BE327" s="3057"/>
      <c r="BF327" s="3057"/>
      <c r="BG327" s="3057"/>
      <c r="BH327" s="3057"/>
    </row>
    <row r="328" spans="1:60" ht="6.75" customHeight="1">
      <c r="A328" s="3107"/>
      <c r="B328" s="8022"/>
      <c r="C328" s="2209"/>
      <c r="D328" s="892"/>
      <c r="E328" s="808"/>
      <c r="F328" s="808"/>
      <c r="G328" s="1151"/>
      <c r="H328" s="7377"/>
      <c r="I328" s="7378"/>
      <c r="J328" s="7378"/>
      <c r="K328" s="7378"/>
      <c r="L328" s="7378"/>
      <c r="M328" s="7378"/>
      <c r="N328" s="7378"/>
      <c r="O328" s="7378"/>
      <c r="P328" s="7378"/>
      <c r="Q328" s="7378"/>
      <c r="R328" s="7378"/>
      <c r="S328" s="7378"/>
      <c r="T328" s="7378"/>
      <c r="U328" s="7378"/>
      <c r="V328" s="7378"/>
      <c r="W328" s="7470"/>
      <c r="X328" s="8033"/>
      <c r="Y328" s="8034"/>
      <c r="Z328" s="8034"/>
      <c r="AA328" s="8034"/>
      <c r="AB328" s="8034"/>
      <c r="AC328" s="8034"/>
      <c r="AD328" s="8034"/>
      <c r="AE328" s="8034"/>
      <c r="AF328" s="8034"/>
      <c r="AG328" s="8034"/>
      <c r="AH328" s="8034"/>
      <c r="AI328" s="8034"/>
      <c r="AJ328" s="8034"/>
      <c r="AK328" s="8034"/>
      <c r="AL328" s="8034"/>
      <c r="AM328" s="8034"/>
      <c r="AN328" s="8034"/>
      <c r="AO328" s="8034"/>
      <c r="AP328" s="2162"/>
      <c r="AQ328" s="808"/>
      <c r="AR328" s="808"/>
      <c r="AS328" s="808"/>
      <c r="AT328" s="808"/>
      <c r="AU328" s="808"/>
      <c r="AV328" s="808"/>
      <c r="AW328" s="808"/>
      <c r="AX328" s="2396"/>
      <c r="AY328" s="3057"/>
      <c r="AZ328" s="3057"/>
      <c r="BA328" s="3057"/>
      <c r="BB328" s="3057"/>
      <c r="BC328" s="3057"/>
      <c r="BD328" s="3057"/>
      <c r="BE328" s="3057"/>
      <c r="BF328" s="3057"/>
      <c r="BG328" s="3057"/>
      <c r="BH328" s="3057"/>
    </row>
    <row r="329" spans="1:60" ht="12" customHeight="1">
      <c r="A329" s="3107"/>
      <c r="B329" s="8022"/>
      <c r="C329" s="2208">
        <f>IF(E329&lt;&gt;"",1,0)</f>
        <v>0</v>
      </c>
      <c r="D329" s="1040" t="s">
        <v>3212</v>
      </c>
      <c r="E329" s="811"/>
      <c r="F329" s="1410" t="s">
        <v>3213</v>
      </c>
      <c r="G329" s="2197"/>
      <c r="H329" s="7396" t="s">
        <v>3214</v>
      </c>
      <c r="I329" s="7397"/>
      <c r="J329" s="7397"/>
      <c r="K329" s="7397"/>
      <c r="L329" s="7397"/>
      <c r="M329" s="7397"/>
      <c r="N329" s="7397"/>
      <c r="O329" s="7397"/>
      <c r="P329" s="7397"/>
      <c r="Q329" s="7397"/>
      <c r="R329" s="7397"/>
      <c r="S329" s="7398"/>
      <c r="T329" s="7396" t="s">
        <v>3215</v>
      </c>
      <c r="U329" s="7397"/>
      <c r="V329" s="7397"/>
      <c r="W329" s="7398"/>
      <c r="X329" s="7396" t="s">
        <v>3214</v>
      </c>
      <c r="Y329" s="7397"/>
      <c r="Z329" s="7397"/>
      <c r="AA329" s="7397"/>
      <c r="AB329" s="7397"/>
      <c r="AC329" s="7397"/>
      <c r="AD329" s="7397"/>
      <c r="AE329" s="7397"/>
      <c r="AF329" s="7397"/>
      <c r="AG329" s="7397"/>
      <c r="AH329" s="7398"/>
      <c r="AI329" s="7396" t="s">
        <v>3216</v>
      </c>
      <c r="AJ329" s="7397"/>
      <c r="AK329" s="7397"/>
      <c r="AL329" s="7398"/>
      <c r="AM329" s="7396" t="s">
        <v>3217</v>
      </c>
      <c r="AN329" s="7992"/>
      <c r="AO329" s="7992"/>
      <c r="AP329" s="2162"/>
      <c r="AQ329" s="808"/>
      <c r="AR329" s="808"/>
      <c r="AS329" s="808"/>
      <c r="AT329" s="808"/>
      <c r="AU329" s="808"/>
      <c r="AV329" s="808"/>
      <c r="AW329" s="808"/>
      <c r="AX329" s="2396"/>
      <c r="AY329" s="3057"/>
      <c r="AZ329" s="3057"/>
      <c r="BA329" s="3057"/>
      <c r="BB329" s="3057"/>
      <c r="BC329" s="3057"/>
      <c r="BD329" s="3057"/>
      <c r="BE329" s="3057"/>
      <c r="BF329" s="3057"/>
      <c r="BG329" s="3057"/>
      <c r="BH329" s="3057"/>
    </row>
    <row r="330" spans="1:60" ht="6.75" customHeight="1">
      <c r="A330" s="3107"/>
      <c r="B330" s="8023"/>
      <c r="C330" s="2198"/>
      <c r="D330" s="1138"/>
      <c r="E330" s="1138"/>
      <c r="F330" s="1138"/>
      <c r="G330" s="2199"/>
      <c r="H330" s="7402"/>
      <c r="I330" s="7403"/>
      <c r="J330" s="7403"/>
      <c r="K330" s="7403"/>
      <c r="L330" s="7403"/>
      <c r="M330" s="7403"/>
      <c r="N330" s="7403"/>
      <c r="O330" s="7403"/>
      <c r="P330" s="7403"/>
      <c r="Q330" s="7403"/>
      <c r="R330" s="7403"/>
      <c r="S330" s="7404"/>
      <c r="T330" s="7399"/>
      <c r="U330" s="7400"/>
      <c r="V330" s="7400"/>
      <c r="W330" s="7401"/>
      <c r="X330" s="7402"/>
      <c r="Y330" s="7403"/>
      <c r="Z330" s="7403"/>
      <c r="AA330" s="7403"/>
      <c r="AB330" s="7403"/>
      <c r="AC330" s="7403"/>
      <c r="AD330" s="7403"/>
      <c r="AE330" s="7403"/>
      <c r="AF330" s="7403"/>
      <c r="AG330" s="7403"/>
      <c r="AH330" s="7404"/>
      <c r="AI330" s="7399"/>
      <c r="AJ330" s="7400"/>
      <c r="AK330" s="7400"/>
      <c r="AL330" s="7401"/>
      <c r="AM330" s="7993"/>
      <c r="AN330" s="7994"/>
      <c r="AO330" s="7994"/>
      <c r="AP330" s="2162"/>
      <c r="AQ330" s="808"/>
      <c r="AR330" s="808"/>
      <c r="AS330" s="808"/>
      <c r="AT330" s="808"/>
      <c r="AU330" s="808"/>
      <c r="AV330" s="808"/>
      <c r="AW330" s="808"/>
      <c r="AX330" s="2396"/>
      <c r="AY330" s="3057"/>
      <c r="AZ330" s="3057"/>
      <c r="BA330" s="3057"/>
      <c r="BB330" s="3057"/>
      <c r="BC330" s="3057"/>
      <c r="BD330" s="3057"/>
      <c r="BE330" s="3057"/>
      <c r="BF330" s="3057"/>
      <c r="BG330" s="3057"/>
      <c r="BH330" s="3057"/>
    </row>
    <row r="331" spans="1:60" ht="15">
      <c r="A331" s="3107"/>
      <c r="B331" s="2194"/>
      <c r="C331" s="8047" t="str">
        <f>C202</f>
        <v>(l) Date paid</v>
      </c>
      <c r="D331" s="8048"/>
      <c r="E331" s="8048"/>
      <c r="F331" s="8048"/>
      <c r="G331" s="8049"/>
      <c r="H331" s="7396" t="s">
        <v>3219</v>
      </c>
      <c r="I331" s="7397"/>
      <c r="J331" s="7397"/>
      <c r="K331" s="7396" t="s">
        <v>3220</v>
      </c>
      <c r="L331" s="7397"/>
      <c r="M331" s="7397"/>
      <c r="N331" s="7397"/>
      <c r="O331" s="7396" t="s">
        <v>3221</v>
      </c>
      <c r="P331" s="7397"/>
      <c r="Q331" s="7397"/>
      <c r="R331" s="7397"/>
      <c r="S331" s="7998"/>
      <c r="T331" s="7399"/>
      <c r="U331" s="7400"/>
      <c r="V331" s="7400"/>
      <c r="W331" s="7401"/>
      <c r="X331" s="7396" t="s">
        <v>3222</v>
      </c>
      <c r="Y331" s="7397"/>
      <c r="Z331" s="7397"/>
      <c r="AA331" s="7396" t="s">
        <v>3223</v>
      </c>
      <c r="AB331" s="7397"/>
      <c r="AC331" s="7397"/>
      <c r="AD331" s="7397"/>
      <c r="AE331" s="7396" t="s">
        <v>3224</v>
      </c>
      <c r="AF331" s="7997"/>
      <c r="AG331" s="7997"/>
      <c r="AH331" s="7998"/>
      <c r="AI331" s="7399"/>
      <c r="AJ331" s="7400"/>
      <c r="AK331" s="7400"/>
      <c r="AL331" s="7401"/>
      <c r="AM331" s="7993"/>
      <c r="AN331" s="7994"/>
      <c r="AO331" s="7994"/>
      <c r="AP331" s="2162"/>
      <c r="AQ331" s="808"/>
      <c r="AR331" s="808"/>
      <c r="AS331" s="808"/>
      <c r="AT331" s="808"/>
      <c r="AU331" s="808"/>
      <c r="AV331" s="808"/>
      <c r="AW331" s="808"/>
      <c r="AX331" s="2396"/>
      <c r="AY331" s="3057"/>
      <c r="AZ331" s="3057"/>
      <c r="BA331" s="3057"/>
      <c r="BB331" s="3057"/>
      <c r="BC331" s="3057"/>
      <c r="BD331" s="3057"/>
      <c r="BE331" s="3057"/>
      <c r="BF331" s="3057"/>
      <c r="BG331" s="3057"/>
      <c r="BH331" s="3057"/>
    </row>
    <row r="332" spans="1:60" ht="6" customHeight="1">
      <c r="A332" s="3107"/>
      <c r="B332" s="2194"/>
      <c r="C332" s="8050"/>
      <c r="D332" s="8051"/>
      <c r="E332" s="8051"/>
      <c r="F332" s="8051"/>
      <c r="G332" s="8052"/>
      <c r="H332" s="7399"/>
      <c r="I332" s="7400"/>
      <c r="J332" s="7400"/>
      <c r="K332" s="7399"/>
      <c r="L332" s="7400"/>
      <c r="M332" s="7400"/>
      <c r="N332" s="7400"/>
      <c r="O332" s="7399"/>
      <c r="P332" s="7400"/>
      <c r="Q332" s="7400"/>
      <c r="R332" s="7400"/>
      <c r="S332" s="8001"/>
      <c r="T332" s="7399"/>
      <c r="U332" s="7400"/>
      <c r="V332" s="7400"/>
      <c r="W332" s="7401"/>
      <c r="X332" s="7399"/>
      <c r="Y332" s="7400"/>
      <c r="Z332" s="7400"/>
      <c r="AA332" s="7399"/>
      <c r="AB332" s="7400"/>
      <c r="AC332" s="7400"/>
      <c r="AD332" s="7400"/>
      <c r="AE332" s="7999"/>
      <c r="AF332" s="8000"/>
      <c r="AG332" s="8000"/>
      <c r="AH332" s="8001"/>
      <c r="AI332" s="7399"/>
      <c r="AJ332" s="7400"/>
      <c r="AK332" s="7400"/>
      <c r="AL332" s="7401"/>
      <c r="AM332" s="7993"/>
      <c r="AN332" s="7994"/>
      <c r="AO332" s="7994"/>
      <c r="AP332" s="2162"/>
      <c r="AQ332" s="808"/>
      <c r="AR332" s="808"/>
      <c r="AS332" s="808"/>
      <c r="AT332" s="808"/>
      <c r="AU332" s="808"/>
      <c r="AV332" s="808"/>
      <c r="AW332" s="808"/>
      <c r="AX332" s="2396"/>
      <c r="AY332" s="3057"/>
      <c r="AZ332" s="3057"/>
      <c r="BA332" s="3057"/>
      <c r="BB332" s="3057"/>
      <c r="BC332" s="3057"/>
      <c r="BD332" s="3057"/>
      <c r="BE332" s="3057"/>
      <c r="BF332" s="3057"/>
      <c r="BG332" s="3057"/>
      <c r="BH332" s="3057"/>
    </row>
    <row r="333" spans="1:60" ht="18" customHeight="1">
      <c r="A333" s="3107"/>
      <c r="B333" s="2194"/>
      <c r="C333" s="8007" t="s">
        <v>3225</v>
      </c>
      <c r="D333" s="8008"/>
      <c r="E333" s="8008"/>
      <c r="F333" s="8008"/>
      <c r="G333" s="8009"/>
      <c r="H333" s="7399"/>
      <c r="I333" s="7400"/>
      <c r="J333" s="7400"/>
      <c r="K333" s="7399"/>
      <c r="L333" s="7400"/>
      <c r="M333" s="7400"/>
      <c r="N333" s="7400"/>
      <c r="O333" s="7399"/>
      <c r="P333" s="7400"/>
      <c r="Q333" s="7400"/>
      <c r="R333" s="7400"/>
      <c r="S333" s="8001"/>
      <c r="T333" s="7399"/>
      <c r="U333" s="7400"/>
      <c r="V333" s="7400"/>
      <c r="W333" s="7401"/>
      <c r="X333" s="7399"/>
      <c r="Y333" s="7400"/>
      <c r="Z333" s="7400"/>
      <c r="AA333" s="7399"/>
      <c r="AB333" s="7400"/>
      <c r="AC333" s="7400"/>
      <c r="AD333" s="7400"/>
      <c r="AE333" s="7999"/>
      <c r="AF333" s="8000"/>
      <c r="AG333" s="8000"/>
      <c r="AH333" s="8001"/>
      <c r="AI333" s="7399"/>
      <c r="AJ333" s="7400"/>
      <c r="AK333" s="7400"/>
      <c r="AL333" s="7401"/>
      <c r="AM333" s="7993"/>
      <c r="AN333" s="7994"/>
      <c r="AO333" s="7994"/>
      <c r="AP333" s="2162"/>
      <c r="AQ333" s="808"/>
      <c r="AR333" s="808"/>
      <c r="AS333" s="808"/>
      <c r="AT333" s="808"/>
      <c r="AU333" s="808"/>
      <c r="AV333" s="808"/>
      <c r="AW333" s="808"/>
      <c r="AX333" s="2396"/>
      <c r="AY333" s="3057"/>
      <c r="AZ333" s="3057"/>
      <c r="BA333" s="3057"/>
      <c r="BB333" s="3057"/>
      <c r="BC333" s="3057"/>
      <c r="BD333" s="3057"/>
      <c r="BE333" s="3057"/>
      <c r="BF333" s="3057"/>
      <c r="BG333" s="3057"/>
      <c r="BH333" s="3057"/>
    </row>
    <row r="334" spans="1:60" s="2114" customFormat="1" ht="16.5" customHeight="1">
      <c r="A334" s="3107"/>
      <c r="B334" s="2196"/>
      <c r="C334" s="2200"/>
      <c r="D334" s="2181"/>
      <c r="E334" s="2181"/>
      <c r="F334" s="2181"/>
      <c r="G334" s="2201"/>
      <c r="H334" s="7402"/>
      <c r="I334" s="7403"/>
      <c r="J334" s="7403"/>
      <c r="K334" s="7402"/>
      <c r="L334" s="7403"/>
      <c r="M334" s="7403"/>
      <c r="N334" s="7403"/>
      <c r="O334" s="8010"/>
      <c r="P334" s="8003"/>
      <c r="Q334" s="8003"/>
      <c r="R334" s="8003"/>
      <c r="S334" s="8004"/>
      <c r="T334" s="7402"/>
      <c r="U334" s="7403"/>
      <c r="V334" s="7403"/>
      <c r="W334" s="7404"/>
      <c r="X334" s="7402"/>
      <c r="Y334" s="7403"/>
      <c r="Z334" s="7403"/>
      <c r="AA334" s="7402"/>
      <c r="AB334" s="7403"/>
      <c r="AC334" s="7403"/>
      <c r="AD334" s="7403"/>
      <c r="AE334" s="8002"/>
      <c r="AF334" s="8003"/>
      <c r="AG334" s="8003"/>
      <c r="AH334" s="8004"/>
      <c r="AI334" s="7402"/>
      <c r="AJ334" s="7403"/>
      <c r="AK334" s="7403"/>
      <c r="AL334" s="7404"/>
      <c r="AM334" s="7995"/>
      <c r="AN334" s="7996"/>
      <c r="AO334" s="7996"/>
      <c r="AP334" s="2162"/>
      <c r="AQ334" s="808"/>
      <c r="AR334" s="808"/>
      <c r="AS334" s="808"/>
      <c r="AT334" s="808"/>
      <c r="AU334" s="808"/>
      <c r="AV334" s="808"/>
      <c r="AW334" s="808"/>
      <c r="AX334" s="2396"/>
      <c r="AY334" s="3057"/>
      <c r="AZ334" s="3057"/>
      <c r="BA334" s="3057"/>
      <c r="BB334" s="3057"/>
      <c r="BC334" s="3057"/>
      <c r="BD334" s="3057"/>
      <c r="BE334" s="3057"/>
      <c r="BF334" s="3057"/>
      <c r="BG334" s="3057"/>
      <c r="BH334" s="3057"/>
    </row>
    <row r="335" spans="1:60" ht="15.75" customHeight="1">
      <c r="A335" s="3162">
        <f>SUM(X335:AL335)</f>
        <v>0</v>
      </c>
      <c r="B335" s="2149" t="s">
        <v>542</v>
      </c>
      <c r="C335" s="8121"/>
      <c r="D335" s="8122"/>
      <c r="E335" s="8122"/>
      <c r="F335" s="8122"/>
      <c r="G335" s="8123"/>
      <c r="H335" s="7931"/>
      <c r="I335" s="7899"/>
      <c r="J335" s="7932"/>
      <c r="K335" s="7899"/>
      <c r="L335" s="7900"/>
      <c r="M335" s="7900"/>
      <c r="N335" s="7900"/>
      <c r="O335" s="7931"/>
      <c r="P335" s="7899"/>
      <c r="Q335" s="7899"/>
      <c r="R335" s="7899"/>
      <c r="S335" s="7932"/>
      <c r="T335" s="7931"/>
      <c r="U335" s="7899"/>
      <c r="V335" s="7899"/>
      <c r="W335" s="7932"/>
      <c r="X335" s="7931"/>
      <c r="Y335" s="7900"/>
      <c r="Z335" s="8017"/>
      <c r="AA335" s="7899"/>
      <c r="AB335" s="7899"/>
      <c r="AC335" s="7899"/>
      <c r="AD335" s="7932"/>
      <c r="AE335" s="7931"/>
      <c r="AF335" s="7899"/>
      <c r="AG335" s="7899"/>
      <c r="AH335" s="7932"/>
      <c r="AI335" s="7931"/>
      <c r="AJ335" s="7899"/>
      <c r="AK335" s="7899"/>
      <c r="AL335" s="7932"/>
      <c r="AM335" s="7991">
        <f>ROUND(SUM(X335:AL335),0)</f>
        <v>0</v>
      </c>
      <c r="AN335" s="7991"/>
      <c r="AO335" s="7991"/>
      <c r="AP335" s="2162"/>
      <c r="AQ335" s="808"/>
      <c r="AR335" s="808"/>
      <c r="AS335" s="808"/>
      <c r="AT335" s="808"/>
      <c r="AU335" s="808"/>
      <c r="AV335" s="808"/>
      <c r="AW335" s="808"/>
      <c r="AX335" s="2396"/>
      <c r="AY335" s="3057"/>
      <c r="AZ335" s="3057"/>
      <c r="BA335" s="3057"/>
      <c r="BB335" s="3057"/>
      <c r="BC335" s="3057"/>
      <c r="BD335" s="3057"/>
      <c r="BE335" s="3057"/>
      <c r="BF335" s="3057"/>
      <c r="BG335" s="3057"/>
      <c r="BH335" s="3057"/>
    </row>
    <row r="336" spans="1:60" ht="14.25" customHeight="1">
      <c r="A336" s="3162">
        <f>SUM(X336:AL336)</f>
        <v>0</v>
      </c>
      <c r="B336" s="2149" t="s">
        <v>548</v>
      </c>
      <c r="C336" s="8121"/>
      <c r="D336" s="8122"/>
      <c r="E336" s="8122"/>
      <c r="F336" s="8122"/>
      <c r="G336" s="8123"/>
      <c r="H336" s="7931"/>
      <c r="I336" s="7899"/>
      <c r="J336" s="7932"/>
      <c r="K336" s="7899"/>
      <c r="L336" s="7900"/>
      <c r="M336" s="7900"/>
      <c r="N336" s="7900"/>
      <c r="O336" s="7931"/>
      <c r="P336" s="7899"/>
      <c r="Q336" s="7899"/>
      <c r="R336" s="7899"/>
      <c r="S336" s="7932"/>
      <c r="T336" s="7931"/>
      <c r="U336" s="7899"/>
      <c r="V336" s="7899"/>
      <c r="W336" s="7932"/>
      <c r="X336" s="7931"/>
      <c r="Y336" s="7900"/>
      <c r="Z336" s="8017"/>
      <c r="AA336" s="7899"/>
      <c r="AB336" s="7899"/>
      <c r="AC336" s="7899"/>
      <c r="AD336" s="7932"/>
      <c r="AE336" s="7931"/>
      <c r="AF336" s="7899"/>
      <c r="AG336" s="7899"/>
      <c r="AH336" s="7932"/>
      <c r="AI336" s="7931"/>
      <c r="AJ336" s="7899"/>
      <c r="AK336" s="7899"/>
      <c r="AL336" s="7932"/>
      <c r="AM336" s="7991">
        <f>ROUND(SUM(X336:AL336),0)</f>
        <v>0</v>
      </c>
      <c r="AN336" s="7991"/>
      <c r="AO336" s="7991"/>
      <c r="AP336" s="2162"/>
      <c r="AQ336" s="808"/>
      <c r="AR336" s="808"/>
      <c r="AS336" s="808"/>
      <c r="AT336" s="808"/>
      <c r="AU336" s="808"/>
      <c r="AV336" s="808"/>
      <c r="AW336" s="808"/>
      <c r="AX336" s="2396"/>
      <c r="AY336" s="3057"/>
      <c r="AZ336" s="3057"/>
      <c r="BA336" s="3057"/>
      <c r="BB336" s="3057"/>
      <c r="BC336" s="3057"/>
      <c r="BD336" s="3057"/>
      <c r="BE336" s="3057"/>
      <c r="BF336" s="3057"/>
      <c r="BG336" s="3057"/>
      <c r="BH336" s="3057"/>
    </row>
    <row r="337" spans="1:60" ht="15.75">
      <c r="A337" s="3162">
        <f>SUM(X337:AL337)</f>
        <v>0</v>
      </c>
      <c r="B337" s="2149" t="s">
        <v>550</v>
      </c>
      <c r="C337" s="8121"/>
      <c r="D337" s="8122"/>
      <c r="E337" s="8122"/>
      <c r="F337" s="8122"/>
      <c r="G337" s="8123"/>
      <c r="H337" s="7931"/>
      <c r="I337" s="7899"/>
      <c r="J337" s="7932"/>
      <c r="K337" s="7899"/>
      <c r="L337" s="7900"/>
      <c r="M337" s="7900"/>
      <c r="N337" s="7900"/>
      <c r="O337" s="7931"/>
      <c r="P337" s="7899"/>
      <c r="Q337" s="7899"/>
      <c r="R337" s="7899"/>
      <c r="S337" s="7932"/>
      <c r="T337" s="7931"/>
      <c r="U337" s="7899"/>
      <c r="V337" s="7899"/>
      <c r="W337" s="7932"/>
      <c r="X337" s="7931"/>
      <c r="Y337" s="7900"/>
      <c r="Z337" s="8017"/>
      <c r="AA337" s="7899"/>
      <c r="AB337" s="7899"/>
      <c r="AC337" s="7899"/>
      <c r="AD337" s="7932"/>
      <c r="AE337" s="7931"/>
      <c r="AF337" s="7899"/>
      <c r="AG337" s="7899"/>
      <c r="AH337" s="7932"/>
      <c r="AI337" s="7931"/>
      <c r="AJ337" s="7899"/>
      <c r="AK337" s="7899"/>
      <c r="AL337" s="7932"/>
      <c r="AM337" s="7991">
        <f>ROUND(SUM(X337:AL337),0)</f>
        <v>0</v>
      </c>
      <c r="AN337" s="7991"/>
      <c r="AO337" s="7991"/>
      <c r="AP337" s="2162"/>
      <c r="AQ337" s="2162"/>
      <c r="AR337" s="2162"/>
      <c r="AS337" s="2162"/>
      <c r="AT337" s="2162"/>
      <c r="AU337" s="2162"/>
      <c r="AV337" s="808"/>
      <c r="AW337" s="808"/>
      <c r="AX337" s="2396"/>
      <c r="AY337" s="3057"/>
      <c r="AZ337" s="3057"/>
      <c r="BA337" s="3057"/>
      <c r="BB337" s="3057"/>
      <c r="BC337" s="3057"/>
      <c r="BD337" s="3057"/>
      <c r="BE337" s="3057"/>
      <c r="BF337" s="3057"/>
      <c r="BG337" s="3057"/>
      <c r="BH337" s="3057"/>
    </row>
    <row r="338" spans="1:60" ht="13.5" customHeight="1">
      <c r="A338" s="3113" t="b">
        <f>SUM(A335:A337)&gt;0</f>
        <v>0</v>
      </c>
      <c r="B338" s="8018">
        <v>8</v>
      </c>
      <c r="C338" s="8018"/>
      <c r="D338" s="2205" t="s">
        <v>3226</v>
      </c>
      <c r="E338" s="1122"/>
      <c r="F338" s="1122"/>
      <c r="G338" s="1122"/>
      <c r="H338" s="1122"/>
      <c r="I338" s="1122"/>
      <c r="J338" s="1122"/>
      <c r="K338" s="1122"/>
      <c r="L338" s="1122"/>
      <c r="M338" s="1122"/>
      <c r="N338" s="1122"/>
      <c r="O338" s="1122"/>
      <c r="P338" s="1122"/>
      <c r="Q338" s="1122"/>
      <c r="R338" s="1122"/>
      <c r="S338" s="1122"/>
      <c r="T338" s="1122"/>
      <c r="U338" s="1122"/>
      <c r="V338" s="1122"/>
      <c r="W338" s="1122"/>
      <c r="X338" s="1122"/>
      <c r="Y338" s="1122"/>
      <c r="Z338" s="1122"/>
      <c r="AA338" s="1122"/>
      <c r="AB338" s="1122"/>
      <c r="AC338" s="1122"/>
      <c r="AD338" s="1122"/>
      <c r="AE338" s="1122"/>
      <c r="AF338" s="1122"/>
      <c r="AG338" s="1122"/>
      <c r="AH338" s="1122"/>
      <c r="AI338" s="1122"/>
      <c r="AJ338" s="2999" t="s">
        <v>994</v>
      </c>
      <c r="AK338" s="7946">
        <v>8</v>
      </c>
      <c r="AL338" s="7947"/>
      <c r="AM338" s="8126">
        <f>IF(AQ338&lt;&gt;"",ROUND(AQ338,0),ROUND(SUM(AM335:AO337),0))</f>
        <v>0</v>
      </c>
      <c r="AN338" s="8127"/>
      <c r="AO338" s="8127"/>
      <c r="AP338" s="2162"/>
      <c r="AQ338" s="8144"/>
      <c r="AR338" s="8145"/>
      <c r="AS338" s="8145"/>
      <c r="AT338" s="8145"/>
      <c r="AU338" s="2162"/>
      <c r="AV338" s="808"/>
      <c r="AW338" s="808"/>
      <c r="AX338" s="2396"/>
      <c r="AY338" s="3057"/>
      <c r="AZ338" s="3057"/>
      <c r="BA338" s="3057"/>
      <c r="BB338" s="3057"/>
      <c r="BC338" s="3057"/>
      <c r="BD338" s="3057"/>
      <c r="BE338" s="3057"/>
      <c r="BF338" s="3057"/>
      <c r="BG338" s="3057"/>
      <c r="BH338" s="3057"/>
    </row>
    <row r="339" spans="1:60" ht="13.5" customHeight="1">
      <c r="A339" s="3107"/>
      <c r="B339" s="2121" t="s">
        <v>3227</v>
      </c>
      <c r="C339" s="2119"/>
      <c r="D339" s="808"/>
      <c r="E339" s="808"/>
      <c r="F339" s="808"/>
      <c r="G339" s="808"/>
      <c r="H339" s="808"/>
      <c r="I339" s="808"/>
      <c r="J339" s="808"/>
      <c r="K339" s="808"/>
      <c r="L339" s="808"/>
      <c r="M339" s="808"/>
      <c r="N339" s="808"/>
      <c r="O339" s="808"/>
      <c r="P339" s="808"/>
      <c r="Q339" s="808"/>
      <c r="R339" s="808"/>
      <c r="S339" s="808"/>
      <c r="T339" s="808"/>
      <c r="U339" s="808"/>
      <c r="V339" s="808"/>
      <c r="W339" s="808"/>
      <c r="X339" s="892" t="s">
        <v>3228</v>
      </c>
      <c r="Y339" s="808"/>
      <c r="Z339" s="808"/>
      <c r="AA339" s="808"/>
      <c r="AB339" s="808"/>
      <c r="AC339" s="808"/>
      <c r="AD339" s="808"/>
      <c r="AE339" s="808"/>
      <c r="AF339" s="808"/>
      <c r="AG339" s="808"/>
      <c r="AH339" s="808"/>
      <c r="AI339" s="808"/>
      <c r="AJ339" s="808"/>
      <c r="AK339" s="1585"/>
      <c r="AL339" s="808"/>
      <c r="AM339" s="1585"/>
      <c r="AN339" s="1585" t="s">
        <v>3229</v>
      </c>
      <c r="AO339" s="1461" t="str">
        <f>"("&amp;TaxYear&amp;")"</f>
        <v>(2023)</v>
      </c>
      <c r="AP339" s="2162"/>
      <c r="AQ339" s="2162"/>
      <c r="AR339" s="2162"/>
      <c r="AS339" s="2162"/>
      <c r="AT339" s="2162"/>
      <c r="AU339" s="2162"/>
      <c r="AV339" s="808"/>
      <c r="AW339" s="808"/>
      <c r="AX339" s="2396"/>
      <c r="AY339" s="3057"/>
      <c r="AZ339" s="3057"/>
      <c r="BA339" s="3057"/>
      <c r="BB339" s="3057"/>
      <c r="BC339" s="3057"/>
      <c r="BD339" s="3057"/>
      <c r="BE339" s="3057"/>
      <c r="BF339" s="3057"/>
      <c r="BG339" s="3057"/>
      <c r="BH339" s="3057"/>
    </row>
    <row r="340" spans="1:60" ht="13.5" customHeight="1" thickBot="1">
      <c r="A340" s="3107"/>
      <c r="B340" s="892" t="str">
        <f>"Form 1116 ("&amp;TaxYear&amp;")"</f>
        <v>Form 1116 (2023)</v>
      </c>
      <c r="C340" s="808"/>
      <c r="D340" s="808"/>
      <c r="E340" s="808"/>
      <c r="F340" s="808"/>
      <c r="G340" s="808"/>
      <c r="H340" s="808"/>
      <c r="I340" s="808"/>
      <c r="J340" s="808"/>
      <c r="K340" s="808"/>
      <c r="L340" s="808"/>
      <c r="M340" s="808"/>
      <c r="N340" s="808"/>
      <c r="O340" s="808"/>
      <c r="P340" s="808"/>
      <c r="Q340" s="808"/>
      <c r="R340" s="808"/>
      <c r="S340" s="808"/>
      <c r="T340" s="808"/>
      <c r="U340" s="808"/>
      <c r="V340" s="808"/>
      <c r="W340" s="808"/>
      <c r="X340" s="808"/>
      <c r="Y340" s="808"/>
      <c r="Z340" s="808"/>
      <c r="AA340" s="808"/>
      <c r="AB340" s="808"/>
      <c r="AC340" s="808"/>
      <c r="AD340" s="808"/>
      <c r="AE340" s="808"/>
      <c r="AF340" s="808"/>
      <c r="AG340" s="808"/>
      <c r="AH340" s="808"/>
      <c r="AI340" s="808"/>
      <c r="AJ340" s="808"/>
      <c r="AK340" s="808"/>
      <c r="AL340" s="808"/>
      <c r="AM340" s="808"/>
      <c r="AN340" s="808"/>
      <c r="AO340" s="1585" t="s">
        <v>981</v>
      </c>
      <c r="AP340" s="2162"/>
      <c r="AQ340" s="808"/>
      <c r="AR340" s="808"/>
      <c r="AS340" s="808"/>
      <c r="AT340" s="808"/>
      <c r="AU340" s="808"/>
      <c r="AV340" s="808"/>
      <c r="AW340" s="808"/>
      <c r="AX340" s="2396"/>
      <c r="AY340" s="3057"/>
      <c r="AZ340" s="3057"/>
      <c r="BA340" s="3057"/>
      <c r="BB340" s="3057"/>
      <c r="BC340" s="3057"/>
      <c r="BD340" s="3057"/>
      <c r="BE340" s="3057"/>
      <c r="BF340" s="3057"/>
      <c r="BG340" s="3057"/>
      <c r="BH340" s="3057"/>
    </row>
    <row r="341" spans="1:60" ht="16.5" thickTop="1">
      <c r="A341" s="3109"/>
      <c r="B341" s="8128" t="s">
        <v>2243</v>
      </c>
      <c r="C341" s="8128"/>
      <c r="D341" s="8129"/>
      <c r="E341" s="5019"/>
      <c r="F341" s="5020" t="s">
        <v>3231</v>
      </c>
      <c r="G341" s="5019"/>
      <c r="H341" s="5019"/>
      <c r="I341" s="5019"/>
      <c r="J341" s="5019"/>
      <c r="K341" s="5019"/>
      <c r="L341" s="5019"/>
      <c r="M341" s="5019"/>
      <c r="N341" s="5019"/>
      <c r="O341" s="5019"/>
      <c r="P341" s="5019"/>
      <c r="Q341" s="5019"/>
      <c r="R341" s="5019"/>
      <c r="S341" s="5019"/>
      <c r="T341" s="5019"/>
      <c r="U341" s="5019"/>
      <c r="V341" s="5019"/>
      <c r="W341" s="5019"/>
      <c r="X341" s="5019"/>
      <c r="Y341" s="5019"/>
      <c r="Z341" s="5019"/>
      <c r="AA341" s="5019"/>
      <c r="AB341" s="5019"/>
      <c r="AC341" s="5019"/>
      <c r="AD341" s="5019"/>
      <c r="AE341" s="5019"/>
      <c r="AF341" s="5019"/>
      <c r="AG341" s="5019"/>
      <c r="AH341" s="5019"/>
      <c r="AI341" s="5019"/>
      <c r="AJ341" s="5019"/>
      <c r="AK341" s="5019"/>
      <c r="AL341" s="5019"/>
      <c r="AM341" s="5019"/>
      <c r="AN341" s="5019"/>
      <c r="AO341" s="5019"/>
      <c r="AP341" s="2162"/>
      <c r="AQ341" s="1108"/>
      <c r="AR341" s="1108"/>
      <c r="AS341" s="1108"/>
      <c r="AT341" s="1108"/>
      <c r="AU341" s="1108"/>
      <c r="AV341" s="1108"/>
      <c r="AW341" s="1108"/>
      <c r="AX341" s="2396"/>
      <c r="AY341" s="3057"/>
      <c r="AZ341" s="3057"/>
      <c r="BA341" s="3057"/>
      <c r="BB341" s="3057"/>
      <c r="BC341" s="3057"/>
      <c r="BD341" s="3057"/>
      <c r="BE341" s="3057"/>
      <c r="BF341" s="3057"/>
      <c r="BG341" s="3057"/>
      <c r="BH341" s="3057"/>
    </row>
    <row r="342" spans="1:60" ht="13.5" customHeight="1">
      <c r="A342" s="3107"/>
      <c r="B342" s="8130">
        <v>9</v>
      </c>
      <c r="C342" s="8130"/>
      <c r="D342" s="808" t="s">
        <v>3232</v>
      </c>
      <c r="E342" s="808"/>
      <c r="F342" s="2112"/>
      <c r="G342" s="808"/>
      <c r="H342" s="808"/>
      <c r="I342" s="808"/>
      <c r="J342" s="808"/>
      <c r="K342" s="808"/>
      <c r="L342" s="808"/>
      <c r="M342" s="808"/>
      <c r="N342" s="808"/>
      <c r="O342" s="808"/>
      <c r="P342" s="808"/>
      <c r="Q342" s="808"/>
      <c r="R342" s="808"/>
      <c r="S342" s="808"/>
      <c r="T342" s="808"/>
      <c r="U342" s="808"/>
      <c r="V342" s="808"/>
      <c r="W342" s="808"/>
      <c r="X342" s="808"/>
      <c r="Y342" s="808"/>
      <c r="Z342" s="8011"/>
      <c r="AA342" s="8012"/>
      <c r="AB342" s="1149"/>
      <c r="AC342" s="1142"/>
      <c r="AD342" s="1142"/>
      <c r="AE342" s="1142"/>
      <c r="AF342" s="1142"/>
      <c r="AG342" s="1142"/>
      <c r="AH342" s="1142"/>
      <c r="AI342" s="1143"/>
      <c r="AJ342" s="7925"/>
      <c r="AK342" s="7935"/>
      <c r="AL342" s="1149"/>
      <c r="AM342" s="1142"/>
      <c r="AN342" s="1142"/>
      <c r="AO342" s="1142"/>
      <c r="AP342" s="2162"/>
      <c r="AQ342" s="808"/>
      <c r="AR342" s="808"/>
      <c r="AS342" s="808"/>
      <c r="AT342" s="808"/>
      <c r="AU342" s="808"/>
      <c r="AV342" s="808"/>
      <c r="AW342" s="808"/>
      <c r="AX342" s="2396"/>
      <c r="AY342" s="3057"/>
      <c r="AZ342" s="3057"/>
      <c r="BA342" s="3057"/>
      <c r="BB342" s="3057"/>
      <c r="BC342" s="3057"/>
      <c r="BD342" s="3057"/>
      <c r="BE342" s="3057"/>
      <c r="BF342" s="3057"/>
      <c r="BG342" s="3057"/>
      <c r="BH342" s="3057"/>
    </row>
    <row r="343" spans="1:60" ht="13.5" customHeight="1">
      <c r="A343" s="3107"/>
      <c r="B343" s="808"/>
      <c r="C343" s="808"/>
      <c r="D343" s="808" t="s">
        <v>3233</v>
      </c>
      <c r="E343" s="808"/>
      <c r="F343" s="2112"/>
      <c r="G343" s="808"/>
      <c r="H343" s="808"/>
      <c r="I343" s="808"/>
      <c r="J343" s="808"/>
      <c r="K343" s="808"/>
      <c r="L343" s="808"/>
      <c r="M343" s="808"/>
      <c r="N343" s="808"/>
      <c r="O343" s="808"/>
      <c r="P343" s="808"/>
      <c r="Q343" s="808"/>
      <c r="R343" s="808"/>
      <c r="S343" s="808"/>
      <c r="T343" s="808"/>
      <c r="U343" s="808"/>
      <c r="V343" s="808"/>
      <c r="W343" s="808"/>
      <c r="X343" s="808"/>
      <c r="Y343" s="1128" t="s">
        <v>2114</v>
      </c>
      <c r="Z343" s="7979">
        <v>9</v>
      </c>
      <c r="AA343" s="7980"/>
      <c r="AB343" s="7985">
        <f>AM338</f>
        <v>0</v>
      </c>
      <c r="AC343" s="7986"/>
      <c r="AD343" s="7986"/>
      <c r="AE343" s="7986"/>
      <c r="AF343" s="7986"/>
      <c r="AG343" s="7986"/>
      <c r="AH343" s="7986"/>
      <c r="AI343" s="7987"/>
      <c r="AJ343" s="7925"/>
      <c r="AK343" s="7935"/>
      <c r="AL343" s="1150"/>
      <c r="AM343" s="808"/>
      <c r="AN343" s="808"/>
      <c r="AO343" s="808"/>
      <c r="AP343" s="2162"/>
      <c r="AQ343" s="808"/>
      <c r="AR343" s="808"/>
      <c r="AS343" s="808"/>
      <c r="AT343" s="808"/>
      <c r="AU343" s="808"/>
      <c r="AV343" s="808"/>
      <c r="AW343" s="808"/>
      <c r="AX343" s="2396"/>
      <c r="AY343" s="3057"/>
      <c r="AZ343" s="3057"/>
      <c r="BA343" s="3057"/>
      <c r="BB343" s="3057"/>
      <c r="BC343" s="3057"/>
      <c r="BD343" s="3057"/>
      <c r="BE343" s="3057"/>
      <c r="BF343" s="3057"/>
      <c r="BG343" s="3057"/>
      <c r="BH343" s="3057"/>
    </row>
    <row r="344" spans="1:60" ht="15" customHeight="1">
      <c r="A344" s="3107"/>
      <c r="B344" s="7978">
        <v>10</v>
      </c>
      <c r="C344" s="7978"/>
      <c r="D344" s="892" t="s">
        <v>3234</v>
      </c>
      <c r="E344" s="808"/>
      <c r="F344" s="2112"/>
      <c r="G344" s="808"/>
      <c r="H344" s="808"/>
      <c r="I344" s="808"/>
      <c r="J344" s="808"/>
      <c r="K344" s="808"/>
      <c r="L344" s="808"/>
      <c r="M344" s="808"/>
      <c r="N344" s="808"/>
      <c r="O344" s="808"/>
      <c r="P344" s="808"/>
      <c r="Q344" s="808"/>
      <c r="R344" s="808"/>
      <c r="S344" s="808"/>
      <c r="T344" s="808"/>
      <c r="U344" s="808"/>
      <c r="V344" s="808"/>
      <c r="W344" s="808"/>
      <c r="X344" s="808"/>
      <c r="Y344" s="808"/>
      <c r="Z344" s="8011"/>
      <c r="AA344" s="8012"/>
      <c r="AB344" s="1149"/>
      <c r="AC344" s="1142"/>
      <c r="AD344" s="1142"/>
      <c r="AE344" s="1142"/>
      <c r="AF344" s="1142"/>
      <c r="AG344" s="1142"/>
      <c r="AH344" s="1142"/>
      <c r="AI344" s="1143"/>
      <c r="AJ344" s="7925"/>
      <c r="AK344" s="7935"/>
      <c r="AL344" s="1150"/>
      <c r="AM344" s="808"/>
      <c r="AN344" s="808"/>
      <c r="AO344" s="808"/>
      <c r="AP344" s="2162"/>
      <c r="AQ344" s="1108"/>
      <c r="AR344" s="1108"/>
      <c r="AS344" s="1108"/>
      <c r="AT344" s="1108"/>
      <c r="AU344" s="1108"/>
      <c r="AV344" s="808"/>
      <c r="AW344" s="808"/>
      <c r="AX344" s="2396"/>
      <c r="AY344" s="3057"/>
      <c r="AZ344" s="3057"/>
      <c r="BA344" s="3057"/>
      <c r="BB344" s="3057"/>
      <c r="BC344" s="3057"/>
      <c r="BD344" s="3057"/>
      <c r="BE344" s="3057"/>
      <c r="BF344" s="3057"/>
      <c r="BG344" s="3057"/>
      <c r="BH344" s="3057"/>
    </row>
    <row r="345" spans="1:60" ht="13.5" customHeight="1" thickBot="1">
      <c r="A345" s="3107"/>
      <c r="B345" s="7978"/>
      <c r="C345" s="7978"/>
      <c r="D345" s="892" t="s">
        <v>3235</v>
      </c>
      <c r="E345" s="808"/>
      <c r="F345" s="2112"/>
      <c r="G345" s="808"/>
      <c r="H345" s="808"/>
      <c r="I345" s="808"/>
      <c r="J345" s="808"/>
      <c r="K345" s="808"/>
      <c r="L345" s="808"/>
      <c r="M345" s="808"/>
      <c r="N345" s="808"/>
      <c r="O345" s="808"/>
      <c r="P345" s="808"/>
      <c r="Q345" s="808"/>
      <c r="R345" s="808"/>
      <c r="S345" s="808"/>
      <c r="T345" s="808"/>
      <c r="U345" s="808"/>
      <c r="V345" s="808"/>
      <c r="W345" s="808"/>
      <c r="X345" s="808"/>
      <c r="Y345" s="1128"/>
      <c r="Z345" s="7933">
        <v>10</v>
      </c>
      <c r="AA345" s="7934"/>
      <c r="AB345" s="7988"/>
      <c r="AC345" s="7989"/>
      <c r="AD345" s="7989"/>
      <c r="AE345" s="7989"/>
      <c r="AF345" s="7989"/>
      <c r="AG345" s="7989"/>
      <c r="AH345" s="7989"/>
      <c r="AI345" s="7990"/>
      <c r="AJ345" s="7925"/>
      <c r="AK345" s="7935"/>
      <c r="AL345" s="1150"/>
      <c r="AM345" s="808"/>
      <c r="AN345" s="808"/>
      <c r="AO345" s="808"/>
      <c r="AP345" s="2162"/>
      <c r="AQ345" s="808"/>
      <c r="AR345" s="808"/>
      <c r="AS345" s="808"/>
      <c r="AT345" s="808"/>
      <c r="AU345" s="808"/>
      <c r="AV345" s="808"/>
      <c r="AW345" s="808"/>
      <c r="AX345" s="2396"/>
      <c r="AY345" s="3057"/>
      <c r="AZ345" s="3057"/>
      <c r="BA345" s="3057"/>
      <c r="BB345" s="3057"/>
      <c r="BC345" s="3057"/>
      <c r="BD345" s="3057"/>
      <c r="BE345" s="3057"/>
      <c r="BF345" s="3057"/>
      <c r="BG345" s="3057"/>
      <c r="BH345" s="3057"/>
    </row>
    <row r="346" spans="1:60" ht="16.5" customHeight="1">
      <c r="A346" s="3107"/>
      <c r="B346" s="7978"/>
      <c r="C346" s="7978"/>
      <c r="D346" s="892" t="s">
        <v>3236</v>
      </c>
      <c r="E346" s="808"/>
      <c r="F346" s="2112"/>
      <c r="G346" s="808"/>
      <c r="H346" s="808"/>
      <c r="I346" s="808"/>
      <c r="J346" s="808"/>
      <c r="K346" s="808"/>
      <c r="L346" s="808"/>
      <c r="M346" s="808"/>
      <c r="N346" s="808"/>
      <c r="O346" s="808"/>
      <c r="P346" s="808"/>
      <c r="Q346" s="808"/>
      <c r="R346" s="808"/>
      <c r="S346" s="808"/>
      <c r="T346" s="808"/>
      <c r="U346" s="808"/>
      <c r="V346" s="808"/>
      <c r="W346" s="808"/>
      <c r="X346" s="808"/>
      <c r="Y346" s="808"/>
      <c r="Z346" s="8045"/>
      <c r="AA346" s="8046"/>
      <c r="AB346" s="1120"/>
      <c r="AC346" s="890"/>
      <c r="AD346" s="890"/>
      <c r="AE346" s="890"/>
      <c r="AF346" s="890"/>
      <c r="AG346" s="890"/>
      <c r="AH346" s="890"/>
      <c r="AI346" s="2628"/>
      <c r="AJ346" s="7925"/>
      <c r="AK346" s="7935"/>
      <c r="AL346" s="1150"/>
      <c r="AM346" s="808"/>
      <c r="AN346" s="808"/>
      <c r="AO346" s="808"/>
      <c r="AP346" s="2162"/>
      <c r="AQ346" s="808"/>
      <c r="AR346" s="808"/>
      <c r="AS346" s="808"/>
      <c r="AT346" s="808"/>
      <c r="AU346" s="808"/>
      <c r="AV346" s="808"/>
      <c r="AW346" s="808"/>
      <c r="AX346" s="2396"/>
      <c r="AY346" s="3057"/>
      <c r="AZ346" s="3057"/>
      <c r="BA346" s="3057"/>
      <c r="BB346" s="3057"/>
      <c r="BC346" s="3057"/>
      <c r="BD346" s="3057"/>
      <c r="BE346" s="3057"/>
      <c r="BF346" s="3057"/>
      <c r="BG346" s="3057"/>
      <c r="BH346" s="3057"/>
    </row>
    <row r="347" spans="1:60" ht="13.5" customHeight="1">
      <c r="A347" s="3107"/>
      <c r="B347" s="7978"/>
      <c r="C347" s="7978"/>
      <c r="D347" s="892" t="s">
        <v>3237</v>
      </c>
      <c r="E347" s="808"/>
      <c r="F347" s="2112"/>
      <c r="G347" s="808"/>
      <c r="H347" s="808"/>
      <c r="I347" s="808"/>
      <c r="J347" s="808"/>
      <c r="K347" s="808"/>
      <c r="L347" s="808"/>
      <c r="M347" s="808"/>
      <c r="N347" s="808"/>
      <c r="O347" s="808"/>
      <c r="P347" s="808"/>
      <c r="Q347" s="808"/>
      <c r="R347" s="808"/>
      <c r="S347" s="808"/>
      <c r="T347" s="808"/>
      <c r="U347" s="808"/>
      <c r="V347" s="808"/>
      <c r="W347" s="808"/>
      <c r="X347" s="808"/>
      <c r="Y347" s="808"/>
      <c r="Z347" s="7933"/>
      <c r="AA347" s="7934"/>
      <c r="AB347" s="1150"/>
      <c r="AC347" s="808"/>
      <c r="AD347" s="808"/>
      <c r="AE347" s="808"/>
      <c r="AF347" s="808"/>
      <c r="AG347" s="808"/>
      <c r="AH347" s="808"/>
      <c r="AI347" s="1151"/>
      <c r="AJ347" s="7925"/>
      <c r="AK347" s="7935"/>
      <c r="AL347" s="1150"/>
      <c r="AM347" s="808"/>
      <c r="AN347" s="808"/>
      <c r="AO347" s="808"/>
      <c r="AP347" s="2162"/>
      <c r="AQ347" s="808"/>
      <c r="AR347" s="808"/>
      <c r="AS347" s="808"/>
      <c r="AT347" s="808"/>
      <c r="AU347" s="808"/>
      <c r="AV347" s="808"/>
      <c r="AW347" s="808"/>
      <c r="AX347" s="2396"/>
      <c r="AY347" s="3057"/>
      <c r="AZ347" s="3057"/>
      <c r="BA347" s="3057"/>
      <c r="BB347" s="3057"/>
      <c r="BC347" s="3057"/>
      <c r="BD347" s="3057"/>
      <c r="BE347" s="3057"/>
      <c r="BF347" s="3057"/>
      <c r="BG347" s="3057"/>
      <c r="BH347" s="3057"/>
    </row>
    <row r="348" spans="1:60" ht="13.5" customHeight="1">
      <c r="A348" s="3107"/>
      <c r="B348" s="8131">
        <v>11</v>
      </c>
      <c r="C348" s="8131"/>
      <c r="D348" s="808" t="s">
        <v>3238</v>
      </c>
      <c r="E348" s="808"/>
      <c r="F348" s="2112"/>
      <c r="G348" s="808"/>
      <c r="H348" s="808"/>
      <c r="I348" s="808"/>
      <c r="J348" s="808"/>
      <c r="K348" s="808"/>
      <c r="L348" s="808"/>
      <c r="M348" s="808"/>
      <c r="N348" s="808"/>
      <c r="O348" s="808"/>
      <c r="P348" s="808"/>
      <c r="Q348" s="808"/>
      <c r="R348" s="808"/>
      <c r="S348" s="808"/>
      <c r="T348" s="808"/>
      <c r="U348" s="808"/>
      <c r="V348" s="808"/>
      <c r="W348" s="808"/>
      <c r="X348" s="808"/>
      <c r="Y348" s="1128" t="s">
        <v>908</v>
      </c>
      <c r="Z348" s="7979">
        <v>11</v>
      </c>
      <c r="AA348" s="7980"/>
      <c r="AB348" s="7985">
        <f>ROUND(SUM(AB343,AB345),0)</f>
        <v>0</v>
      </c>
      <c r="AC348" s="7986"/>
      <c r="AD348" s="7986"/>
      <c r="AE348" s="7986"/>
      <c r="AF348" s="7986"/>
      <c r="AG348" s="7986"/>
      <c r="AH348" s="7986"/>
      <c r="AI348" s="7987"/>
      <c r="AJ348" s="7925"/>
      <c r="AK348" s="7935"/>
      <c r="AL348" s="1150"/>
      <c r="AM348" s="808"/>
      <c r="AN348" s="808"/>
      <c r="AO348" s="808"/>
      <c r="AP348" s="2162"/>
      <c r="AQ348" s="808"/>
      <c r="AR348" s="808"/>
      <c r="AS348" s="808"/>
      <c r="AT348" s="808"/>
      <c r="AU348" s="808"/>
      <c r="AV348" s="808"/>
      <c r="AW348" s="808"/>
      <c r="AX348" s="2396"/>
      <c r="AY348" s="3067"/>
      <c r="AZ348" s="3057"/>
      <c r="BA348" s="3057"/>
      <c r="BB348" s="3057"/>
      <c r="BC348" s="3057"/>
      <c r="BD348" s="3057"/>
      <c r="BE348" s="3057"/>
      <c r="BF348" s="3057"/>
      <c r="BG348" s="3057"/>
      <c r="BH348" s="3057"/>
    </row>
    <row r="349" spans="1:60" ht="13.5" customHeight="1">
      <c r="A349" s="3107"/>
      <c r="B349" s="8131"/>
      <c r="C349" s="8131"/>
      <c r="D349" s="808"/>
      <c r="E349" s="808"/>
      <c r="F349" s="2112"/>
      <c r="G349" s="808"/>
      <c r="H349" s="808"/>
      <c r="I349" s="808"/>
      <c r="J349" s="808"/>
      <c r="K349" s="808"/>
      <c r="L349" s="808"/>
      <c r="M349" s="808"/>
      <c r="N349" s="808"/>
      <c r="O349" s="808"/>
      <c r="P349" s="808"/>
      <c r="Q349" s="808"/>
      <c r="R349" s="808"/>
      <c r="S349" s="808"/>
      <c r="T349" s="808"/>
      <c r="U349" s="808"/>
      <c r="V349" s="808"/>
      <c r="W349" s="808"/>
      <c r="X349" s="808"/>
      <c r="Y349" s="808"/>
      <c r="Z349" s="8011"/>
      <c r="AA349" s="8012"/>
      <c r="AB349" s="1149"/>
      <c r="AC349" s="1142"/>
      <c r="AD349" s="1142"/>
      <c r="AE349" s="1142"/>
      <c r="AF349" s="1142"/>
      <c r="AG349" s="1142"/>
      <c r="AH349" s="1142"/>
      <c r="AI349" s="1143"/>
      <c r="AJ349" s="7925"/>
      <c r="AK349" s="7935"/>
      <c r="AL349" s="7944" t="str">
        <f>IF(AB350&gt;0,"Line 12 cannot be","")</f>
        <v/>
      </c>
      <c r="AM349" s="7945"/>
      <c r="AN349" s="7945"/>
      <c r="AO349" s="7945"/>
      <c r="AP349" s="2162"/>
      <c r="AQ349" s="808"/>
      <c r="AR349" s="808"/>
      <c r="AS349" s="808"/>
      <c r="AT349" s="808"/>
      <c r="AU349" s="808"/>
      <c r="AV349" s="808"/>
      <c r="AW349" s="808"/>
      <c r="AX349" s="2396"/>
      <c r="AY349" s="3066"/>
      <c r="AZ349" s="3057"/>
      <c r="BA349" s="3057"/>
      <c r="BB349" s="3057"/>
      <c r="BC349" s="3057"/>
      <c r="BD349" s="3057"/>
      <c r="BE349" s="3057"/>
      <c r="BF349" s="3057"/>
      <c r="BG349" s="3057"/>
      <c r="BH349" s="3057"/>
    </row>
    <row r="350" spans="1:60" ht="13.5" customHeight="1">
      <c r="A350" s="3107"/>
      <c r="B350" s="8131">
        <v>12</v>
      </c>
      <c r="C350" s="8131"/>
      <c r="D350" s="892" t="s">
        <v>3239</v>
      </c>
      <c r="E350" s="808"/>
      <c r="F350" s="2112"/>
      <c r="G350" s="808"/>
      <c r="H350" s="808"/>
      <c r="I350" s="808"/>
      <c r="J350" s="808"/>
      <c r="K350" s="808"/>
      <c r="L350" s="808"/>
      <c r="M350" s="808"/>
      <c r="N350" s="808"/>
      <c r="O350" s="808"/>
      <c r="P350" s="808"/>
      <c r="Q350" s="808"/>
      <c r="R350" s="808"/>
      <c r="S350" s="808"/>
      <c r="T350" s="808"/>
      <c r="U350" s="808"/>
      <c r="V350" s="808"/>
      <c r="W350" s="808"/>
      <c r="X350" s="808"/>
      <c r="Y350" s="1128" t="s">
        <v>990</v>
      </c>
      <c r="Z350" s="7979">
        <v>12</v>
      </c>
      <c r="AA350" s="7980"/>
      <c r="AB350" s="7918"/>
      <c r="AC350" s="7919"/>
      <c r="AD350" s="7919"/>
      <c r="AE350" s="7919"/>
      <c r="AF350" s="7919"/>
      <c r="AG350" s="7919"/>
      <c r="AH350" s="7919"/>
      <c r="AI350" s="7920"/>
      <c r="AJ350" s="7925"/>
      <c r="AK350" s="7935"/>
      <c r="AL350" s="7944" t="str">
        <f>IF(AB350&gt;0,"a positive number.","")</f>
        <v/>
      </c>
      <c r="AM350" s="7945"/>
      <c r="AN350" s="7945"/>
      <c r="AO350" s="7945"/>
      <c r="AP350" s="2162"/>
      <c r="AQ350" s="808"/>
      <c r="AR350" s="808"/>
      <c r="AS350" s="808"/>
      <c r="AT350" s="808"/>
      <c r="AU350" s="808"/>
      <c r="AV350" s="808"/>
      <c r="AW350" s="808"/>
      <c r="AX350" s="2396"/>
      <c r="AY350" s="3057"/>
      <c r="AZ350" s="3057"/>
      <c r="BA350" s="3057"/>
      <c r="BB350" s="3057"/>
      <c r="BC350" s="3057"/>
      <c r="BD350" s="3057"/>
      <c r="BE350" s="3057"/>
      <c r="BF350" s="3057"/>
      <c r="BG350" s="3057"/>
      <c r="BH350" s="3057"/>
    </row>
    <row r="351" spans="1:60" ht="18" customHeight="1">
      <c r="A351" s="3107"/>
      <c r="B351" s="8131"/>
      <c r="C351" s="8131"/>
      <c r="D351" s="808"/>
      <c r="E351" s="808"/>
      <c r="F351" s="2112"/>
      <c r="G351" s="808"/>
      <c r="H351" s="808"/>
      <c r="I351" s="808"/>
      <c r="J351" s="808"/>
      <c r="K351" s="808"/>
      <c r="L351" s="808"/>
      <c r="M351" s="808"/>
      <c r="N351" s="808"/>
      <c r="O351" s="808"/>
      <c r="P351" s="808"/>
      <c r="Q351" s="808"/>
      <c r="R351" s="808"/>
      <c r="S351" s="808"/>
      <c r="T351" s="808"/>
      <c r="U351" s="808"/>
      <c r="V351" s="808"/>
      <c r="W351" s="808"/>
      <c r="X351" s="808"/>
      <c r="Y351" s="808"/>
      <c r="Z351" s="8011"/>
      <c r="AA351" s="8012"/>
      <c r="AB351" s="1149"/>
      <c r="AC351" s="1142"/>
      <c r="AD351" s="1142"/>
      <c r="AE351" s="1142"/>
      <c r="AF351" s="1142"/>
      <c r="AG351" s="1142"/>
      <c r="AH351" s="1142"/>
      <c r="AI351" s="1143"/>
      <c r="AJ351" s="7925"/>
      <c r="AK351" s="7935"/>
      <c r="AL351" s="1150"/>
      <c r="AM351" s="808"/>
      <c r="AN351" s="808"/>
      <c r="AO351" s="808"/>
      <c r="AP351" s="2162"/>
      <c r="AQ351" s="808"/>
      <c r="AR351" s="808"/>
      <c r="AS351" s="808"/>
      <c r="AT351" s="808"/>
      <c r="AU351" s="808"/>
      <c r="AV351" s="808"/>
      <c r="AW351" s="808"/>
      <c r="AX351" s="2396"/>
      <c r="AY351" s="3057"/>
      <c r="AZ351" s="3057"/>
      <c r="BA351" s="3057"/>
      <c r="BB351" s="3057"/>
      <c r="BC351" s="3057"/>
      <c r="BD351" s="3057"/>
      <c r="BE351" s="3057"/>
      <c r="BF351" s="3057"/>
      <c r="BG351" s="3057"/>
      <c r="BH351" s="3057"/>
    </row>
    <row r="352" spans="1:60" ht="13.5" customHeight="1" thickBot="1">
      <c r="A352" s="3107"/>
      <c r="B352" s="8131">
        <v>13</v>
      </c>
      <c r="C352" s="8131"/>
      <c r="D352" s="892" t="s">
        <v>3240</v>
      </c>
      <c r="E352" s="808"/>
      <c r="F352" s="2112"/>
      <c r="G352" s="808"/>
      <c r="H352" s="808"/>
      <c r="I352" s="808"/>
      <c r="J352" s="808"/>
      <c r="K352" s="808"/>
      <c r="L352" s="808"/>
      <c r="M352" s="808"/>
      <c r="N352" s="808"/>
      <c r="O352" s="808"/>
      <c r="P352" s="808"/>
      <c r="Q352" s="808"/>
      <c r="R352" s="808"/>
      <c r="S352" s="808"/>
      <c r="T352" s="808"/>
      <c r="U352" s="808"/>
      <c r="V352" s="808"/>
      <c r="W352" s="808"/>
      <c r="X352" s="808"/>
      <c r="Y352" s="1128" t="s">
        <v>2114</v>
      </c>
      <c r="Z352" s="7979">
        <v>13</v>
      </c>
      <c r="AA352" s="7980"/>
      <c r="AB352" s="7918"/>
      <c r="AC352" s="7919"/>
      <c r="AD352" s="7919"/>
      <c r="AE352" s="7919"/>
      <c r="AF352" s="7919"/>
      <c r="AG352" s="7919"/>
      <c r="AH352" s="7919"/>
      <c r="AI352" s="7920"/>
      <c r="AJ352" s="7925"/>
      <c r="AK352" s="7935"/>
      <c r="AL352" s="1150"/>
      <c r="AM352" s="808"/>
      <c r="AN352" s="808"/>
      <c r="AO352" s="808"/>
      <c r="AP352" s="2162"/>
      <c r="AQ352" s="808"/>
      <c r="AR352" s="808"/>
      <c r="AS352" s="808"/>
      <c r="AT352" s="808"/>
      <c r="AU352" s="808"/>
      <c r="AV352" s="808"/>
      <c r="AW352" s="808"/>
      <c r="AX352" s="2396"/>
      <c r="AY352" s="3057"/>
      <c r="AZ352" s="3057"/>
      <c r="BA352" s="3057"/>
      <c r="BB352" s="3057"/>
      <c r="BC352" s="3057"/>
      <c r="BD352" s="3057"/>
      <c r="BE352" s="3057"/>
      <c r="BF352" s="3057"/>
      <c r="BG352" s="3057"/>
      <c r="BH352" s="3057"/>
    </row>
    <row r="353" spans="1:60" ht="13.5" customHeight="1">
      <c r="A353" s="3107"/>
      <c r="B353" s="8131"/>
      <c r="C353" s="8131"/>
      <c r="D353" s="808"/>
      <c r="E353" s="808"/>
      <c r="F353" s="2112"/>
      <c r="G353" s="808"/>
      <c r="H353" s="808"/>
      <c r="I353" s="808"/>
      <c r="J353" s="808"/>
      <c r="K353" s="808"/>
      <c r="L353" s="808"/>
      <c r="M353" s="808"/>
      <c r="N353" s="808"/>
      <c r="O353" s="808"/>
      <c r="P353" s="808"/>
      <c r="Q353" s="808"/>
      <c r="R353" s="808"/>
      <c r="S353" s="808"/>
      <c r="T353" s="808"/>
      <c r="U353" s="808"/>
      <c r="V353" s="808"/>
      <c r="W353" s="808"/>
      <c r="X353" s="808"/>
      <c r="Y353" s="808"/>
      <c r="Z353" s="808"/>
      <c r="AA353" s="808"/>
      <c r="AB353" s="808"/>
      <c r="AC353" s="808"/>
      <c r="AD353" s="808"/>
      <c r="AE353" s="808"/>
      <c r="AF353" s="808"/>
      <c r="AG353" s="808"/>
      <c r="AH353" s="808"/>
      <c r="AI353" s="808"/>
      <c r="AJ353" s="1149"/>
      <c r="AK353" s="1143"/>
      <c r="AL353" s="1149"/>
      <c r="AM353" s="1142"/>
      <c r="AN353" s="1142"/>
      <c r="AO353" s="1142"/>
      <c r="AP353" s="2162"/>
      <c r="AQ353" s="808"/>
      <c r="AR353" s="808"/>
      <c r="AS353" s="808"/>
      <c r="AT353" s="808"/>
      <c r="AU353" s="808"/>
      <c r="AV353" s="808"/>
      <c r="AW353" s="808"/>
      <c r="AX353" s="4817"/>
      <c r="AY353" s="4818"/>
      <c r="AZ353" s="4818"/>
      <c r="BA353" s="4818"/>
      <c r="BB353" s="4818"/>
      <c r="BC353" s="4818"/>
      <c r="BD353" s="4818"/>
      <c r="BE353" s="4818"/>
      <c r="BF353" s="4818"/>
      <c r="BG353" s="4818"/>
      <c r="BH353" s="4819"/>
    </row>
    <row r="354" spans="1:60" ht="13.5" customHeight="1">
      <c r="A354" s="3107"/>
      <c r="B354" s="8131">
        <v>14</v>
      </c>
      <c r="C354" s="8131"/>
      <c r="D354" s="892" t="s">
        <v>3241</v>
      </c>
      <c r="E354" s="808"/>
      <c r="F354" s="2112"/>
      <c r="G354" s="808"/>
      <c r="H354" s="808"/>
      <c r="I354" s="808"/>
      <c r="J354" s="808"/>
      <c r="K354" s="808"/>
      <c r="L354" s="808"/>
      <c r="M354" s="808"/>
      <c r="N354" s="808"/>
      <c r="O354" s="808"/>
      <c r="P354" s="808"/>
      <c r="Q354" s="808"/>
      <c r="R354" s="808"/>
      <c r="S354" s="808"/>
      <c r="T354" s="808"/>
      <c r="U354" s="808"/>
      <c r="V354" s="808"/>
      <c r="W354" s="808"/>
      <c r="X354" s="808"/>
      <c r="Y354" s="808"/>
      <c r="Z354" s="808"/>
      <c r="AA354" s="808"/>
      <c r="AB354" s="808"/>
      <c r="AC354" s="808"/>
      <c r="AD354" s="808"/>
      <c r="AE354" s="808"/>
      <c r="AF354" s="808"/>
      <c r="AG354" s="808"/>
      <c r="AH354" s="808"/>
      <c r="AI354" s="1151"/>
      <c r="AJ354" s="7979">
        <v>14</v>
      </c>
      <c r="AK354" s="7980"/>
      <c r="AL354" s="7916">
        <f>SUM(AB348,AB350,AB352)</f>
        <v>0</v>
      </c>
      <c r="AM354" s="6829"/>
      <c r="AN354" s="6829"/>
      <c r="AO354" s="6829"/>
      <c r="AP354" s="2162"/>
      <c r="AQ354" s="808"/>
      <c r="AR354" s="808"/>
      <c r="AS354" s="808"/>
      <c r="AT354" s="808"/>
      <c r="AU354" s="808"/>
      <c r="AV354" s="808"/>
      <c r="AW354" s="808"/>
      <c r="AX354" s="4820" t="s">
        <v>3242</v>
      </c>
      <c r="AY354" s="4821"/>
      <c r="AZ354" s="3225"/>
      <c r="BA354" s="3225"/>
      <c r="BB354" s="3225"/>
      <c r="BC354" s="3225"/>
      <c r="BD354" s="3225"/>
      <c r="BE354" s="3225"/>
      <c r="BF354" s="3225"/>
      <c r="BG354" s="3225"/>
      <c r="BH354" s="4822"/>
    </row>
    <row r="355" spans="1:60" ht="18" customHeight="1">
      <c r="A355" s="3107"/>
      <c r="B355" s="8131">
        <v>15</v>
      </c>
      <c r="C355" s="8131"/>
      <c r="D355" s="808" t="s">
        <v>3243</v>
      </c>
      <c r="E355" s="808"/>
      <c r="F355" s="2112"/>
      <c r="G355" s="808"/>
      <c r="H355" s="808"/>
      <c r="I355" s="808"/>
      <c r="J355" s="808"/>
      <c r="K355" s="808"/>
      <c r="L355" s="808"/>
      <c r="M355" s="808"/>
      <c r="N355" s="808"/>
      <c r="O355" s="808"/>
      <c r="P355" s="808"/>
      <c r="Q355" s="808"/>
      <c r="R355" s="808"/>
      <c r="S355" s="808"/>
      <c r="T355" s="808"/>
      <c r="U355" s="808"/>
      <c r="V355" s="808"/>
      <c r="W355" s="808"/>
      <c r="X355" s="808"/>
      <c r="Y355" s="808"/>
      <c r="Z355" s="7933"/>
      <c r="AA355" s="7934"/>
      <c r="AB355" s="1150"/>
      <c r="AC355" s="808"/>
      <c r="AD355" s="808"/>
      <c r="AE355" s="808"/>
      <c r="AF355" s="808"/>
      <c r="AG355" s="808"/>
      <c r="AH355" s="808"/>
      <c r="AI355" s="1151"/>
      <c r="AJ355" s="7925"/>
      <c r="AK355" s="7935"/>
      <c r="AL355" s="1150"/>
      <c r="AM355" s="808"/>
      <c r="AN355" s="808"/>
      <c r="AO355" s="808"/>
      <c r="AP355" s="2162"/>
      <c r="AQ355" s="808"/>
      <c r="AR355" s="808"/>
      <c r="AS355" s="808"/>
      <c r="AT355" s="808"/>
      <c r="AU355" s="808"/>
      <c r="AV355" s="808"/>
      <c r="AW355" s="808"/>
      <c r="AX355" s="4823" t="b">
        <f>AND(CGTW_Line5&gt;0,CGTW_Line5&lt;&gt;"")</f>
        <v>0</v>
      </c>
      <c r="AY355" s="4821" t="s">
        <v>3244</v>
      </c>
      <c r="AZ355" s="3225"/>
      <c r="BA355" s="3225"/>
      <c r="BB355" s="3225"/>
      <c r="BC355" s="3225"/>
      <c r="BD355" s="3225"/>
      <c r="BE355" s="3225"/>
      <c r="BF355" s="3225"/>
      <c r="BG355" s="3225"/>
      <c r="BH355" s="4822"/>
    </row>
    <row r="356" spans="1:60" ht="13.5" customHeight="1">
      <c r="A356" s="3107"/>
      <c r="B356" s="8131"/>
      <c r="C356" s="8131"/>
      <c r="D356" s="808" t="s">
        <v>3245</v>
      </c>
      <c r="E356" s="808"/>
      <c r="F356" s="2112"/>
      <c r="G356" s="808"/>
      <c r="H356" s="808"/>
      <c r="I356" s="808"/>
      <c r="J356" s="808"/>
      <c r="K356" s="808"/>
      <c r="L356" s="808"/>
      <c r="M356" s="808"/>
      <c r="N356" s="808"/>
      <c r="O356" s="808"/>
      <c r="P356" s="808"/>
      <c r="Q356" s="808"/>
      <c r="R356" s="808"/>
      <c r="S356" s="808"/>
      <c r="T356" s="808"/>
      <c r="U356" s="808"/>
      <c r="V356" s="808"/>
      <c r="W356" s="808"/>
      <c r="X356" s="808"/>
      <c r="Y356" s="808"/>
      <c r="Z356" s="7933"/>
      <c r="AA356" s="7934"/>
      <c r="AB356" s="1150"/>
      <c r="AC356" s="808"/>
      <c r="AD356" s="808"/>
      <c r="AE356" s="808"/>
      <c r="AF356" s="808"/>
      <c r="AG356" s="808"/>
      <c r="AH356" s="808"/>
      <c r="AI356" s="1151"/>
      <c r="AJ356" s="7925"/>
      <c r="AK356" s="7935"/>
      <c r="AL356" s="1150"/>
      <c r="AM356" s="808"/>
      <c r="AN356" s="808"/>
      <c r="AO356" s="808"/>
      <c r="AP356" s="2162"/>
      <c r="AQ356" s="808"/>
      <c r="AR356" s="808"/>
      <c r="AS356" s="808"/>
      <c r="AT356" s="808"/>
      <c r="AU356" s="808"/>
      <c r="AV356" s="808"/>
      <c r="AW356" s="808"/>
      <c r="AX356" s="4823" t="b">
        <f>AND(CGTW_Line23&lt;CGTW_Line24,CGTW_Line23&lt;&gt;"",CGTW_Line24&lt;&gt;"")</f>
        <v>0</v>
      </c>
      <c r="AY356" s="4821" t="s">
        <v>3246</v>
      </c>
      <c r="AZ356" s="3225"/>
      <c r="BA356" s="3225"/>
      <c r="BB356" s="3225"/>
      <c r="BC356" s="3225"/>
      <c r="BD356" s="3225"/>
      <c r="BE356" s="3225"/>
      <c r="BF356" s="3225"/>
      <c r="BG356" s="3225"/>
      <c r="BH356" s="4822"/>
    </row>
    <row r="357" spans="1:60" ht="12.75" customHeight="1">
      <c r="A357" s="3107"/>
      <c r="B357" s="2194"/>
      <c r="C357" s="2194"/>
      <c r="D357" s="893" t="s">
        <v>3247</v>
      </c>
      <c r="E357" s="808"/>
      <c r="F357" s="808"/>
      <c r="G357" s="808"/>
      <c r="H357" s="808"/>
      <c r="I357" s="808"/>
      <c r="J357" s="808"/>
      <c r="K357" s="808"/>
      <c r="L357" s="808"/>
      <c r="M357" s="808"/>
      <c r="N357" s="808"/>
      <c r="O357" s="808"/>
      <c r="P357" s="808"/>
      <c r="Q357" s="808"/>
      <c r="R357" s="808"/>
      <c r="S357" s="808"/>
      <c r="T357" s="808"/>
      <c r="U357" s="808"/>
      <c r="V357" s="808"/>
      <c r="W357" s="808"/>
      <c r="X357" s="808"/>
      <c r="Y357" s="1128" t="s">
        <v>888</v>
      </c>
      <c r="Z357" s="7979">
        <v>15</v>
      </c>
      <c r="AA357" s="8041"/>
      <c r="AB357" s="7985" t="str">
        <f>AL322</f>
        <v/>
      </c>
      <c r="AC357" s="7986"/>
      <c r="AD357" s="7986"/>
      <c r="AE357" s="7986"/>
      <c r="AF357" s="7986"/>
      <c r="AG357" s="7986"/>
      <c r="AH357" s="7986"/>
      <c r="AI357" s="7987"/>
      <c r="AJ357" s="7925"/>
      <c r="AK357" s="7935"/>
      <c r="AL357" s="1150"/>
      <c r="AM357" s="808"/>
      <c r="AN357" s="808"/>
      <c r="AO357" s="808"/>
      <c r="AP357" s="2162"/>
      <c r="AQ357" s="808"/>
      <c r="AR357" s="808"/>
      <c r="AS357" s="808"/>
      <c r="AT357" s="808"/>
      <c r="AU357" s="808"/>
      <c r="AV357" s="808"/>
      <c r="AW357" s="808"/>
      <c r="AX357" s="4824" t="b">
        <f>AND(AX355,AX356)</f>
        <v>0</v>
      </c>
      <c r="AY357" s="4821"/>
      <c r="AZ357" s="3225"/>
      <c r="BA357" s="3225"/>
      <c r="BB357" s="3225"/>
      <c r="BC357" s="3225"/>
      <c r="BD357" s="3225"/>
      <c r="BE357" s="3225"/>
      <c r="BF357" s="3225"/>
      <c r="BG357" s="3225"/>
      <c r="BH357" s="4822"/>
    </row>
    <row r="358" spans="1:60" ht="12.75" customHeight="1">
      <c r="A358" s="3107"/>
      <c r="B358" s="8131">
        <v>16</v>
      </c>
      <c r="C358" s="8131"/>
      <c r="D358" s="1746" t="s">
        <v>3248</v>
      </c>
      <c r="E358" s="1040"/>
      <c r="F358" s="1410"/>
      <c r="G358" s="808"/>
      <c r="H358" s="808"/>
      <c r="I358" s="808"/>
      <c r="J358" s="808"/>
      <c r="K358" s="808"/>
      <c r="L358" s="808"/>
      <c r="M358" s="808"/>
      <c r="N358" s="808"/>
      <c r="O358" s="808"/>
      <c r="P358" s="2177"/>
      <c r="Q358" s="1040"/>
      <c r="R358" s="1410"/>
      <c r="S358" s="892"/>
      <c r="T358" s="808"/>
      <c r="U358" s="808"/>
      <c r="V358" s="808"/>
      <c r="W358" s="808"/>
      <c r="X358" s="808"/>
      <c r="Y358" s="1128" t="s">
        <v>922</v>
      </c>
      <c r="Z358" s="8042">
        <v>16</v>
      </c>
      <c r="AA358" s="7569"/>
      <c r="AB358" s="7918"/>
      <c r="AC358" s="7919"/>
      <c r="AD358" s="7919"/>
      <c r="AE358" s="7919"/>
      <c r="AF358" s="7919"/>
      <c r="AG358" s="7919"/>
      <c r="AH358" s="7919"/>
      <c r="AI358" s="7920"/>
      <c r="AJ358" s="7925"/>
      <c r="AK358" s="7935"/>
      <c r="AL358" s="1150"/>
      <c r="AM358" s="808"/>
      <c r="AN358" s="808"/>
      <c r="AO358" s="808"/>
      <c r="AP358" s="2162"/>
      <c r="AQ358" s="808"/>
      <c r="AR358" s="808"/>
      <c r="AS358" s="808"/>
      <c r="AT358" s="808"/>
      <c r="AU358" s="808"/>
      <c r="AV358" s="808"/>
      <c r="AW358" s="808"/>
      <c r="AX358" s="4825" t="s">
        <v>3249</v>
      </c>
      <c r="AY358" s="4821"/>
      <c r="AZ358" s="3225"/>
      <c r="BA358" s="3225"/>
      <c r="BB358" s="3225"/>
      <c r="BC358" s="3225"/>
      <c r="BD358" s="3225"/>
      <c r="BE358" s="3225"/>
      <c r="BF358" s="3225"/>
      <c r="BG358" s="3225"/>
      <c r="BH358" s="4822"/>
    </row>
    <row r="359" spans="1:60" ht="18.75" customHeight="1" thickBot="1">
      <c r="A359" s="3107"/>
      <c r="B359" s="8131">
        <v>17</v>
      </c>
      <c r="C359" s="8131"/>
      <c r="D359" s="892" t="s">
        <v>3250</v>
      </c>
      <c r="E359" s="808"/>
      <c r="F359" s="2112"/>
      <c r="G359" s="808"/>
      <c r="H359" s="808"/>
      <c r="I359" s="808"/>
      <c r="J359" s="808"/>
      <c r="K359" s="808"/>
      <c r="L359" s="808"/>
      <c r="M359" s="808"/>
      <c r="N359" s="808"/>
      <c r="O359" s="808"/>
      <c r="P359" s="808"/>
      <c r="Q359" s="808"/>
      <c r="R359" s="808"/>
      <c r="S359" s="808"/>
      <c r="T359" s="808"/>
      <c r="U359" s="808"/>
      <c r="V359" s="808"/>
      <c r="W359" s="808"/>
      <c r="X359" s="808"/>
      <c r="Y359" s="808"/>
      <c r="Z359" s="7933"/>
      <c r="AA359" s="7934"/>
      <c r="AB359" s="1150"/>
      <c r="AC359" s="808"/>
      <c r="AD359" s="808"/>
      <c r="AE359" s="808"/>
      <c r="AF359" s="808"/>
      <c r="AG359" s="808"/>
      <c r="AH359" s="808"/>
      <c r="AI359" s="1151"/>
      <c r="AJ359" s="7925"/>
      <c r="AK359" s="7935"/>
      <c r="AL359" s="1150"/>
      <c r="AM359" s="808"/>
      <c r="AN359" s="808"/>
      <c r="AO359" s="808"/>
      <c r="AP359" s="2162"/>
      <c r="AQ359" s="808"/>
      <c r="AR359" s="808"/>
      <c r="AS359" s="808"/>
      <c r="AT359" s="808"/>
      <c r="AU359" s="808"/>
      <c r="AV359" s="808"/>
      <c r="AW359" s="808"/>
      <c r="AX359" s="4826" t="s">
        <v>3251</v>
      </c>
      <c r="AY359" s="4827"/>
      <c r="AZ359" s="4828"/>
      <c r="BA359" s="4828"/>
      <c r="BB359" s="4828"/>
      <c r="BC359" s="4828"/>
      <c r="BD359" s="4828"/>
      <c r="BE359" s="4828"/>
      <c r="BF359" s="4828"/>
      <c r="BG359" s="4828"/>
      <c r="BH359" s="4829"/>
    </row>
    <row r="360" spans="1:60" ht="12.75" customHeight="1">
      <c r="A360" s="3107"/>
      <c r="B360" s="8131"/>
      <c r="C360" s="8131"/>
      <c r="D360" s="808" t="s">
        <v>3252</v>
      </c>
      <c r="E360" s="808"/>
      <c r="F360" s="2112"/>
      <c r="G360" s="808"/>
      <c r="H360" s="808"/>
      <c r="I360" s="808"/>
      <c r="J360" s="808"/>
      <c r="K360" s="808"/>
      <c r="L360" s="808"/>
      <c r="M360" s="808"/>
      <c r="N360" s="808"/>
      <c r="O360" s="808"/>
      <c r="P360" s="808"/>
      <c r="Q360" s="808"/>
      <c r="R360" s="808"/>
      <c r="S360" s="808"/>
      <c r="T360" s="808"/>
      <c r="U360" s="808"/>
      <c r="V360" s="808"/>
      <c r="W360" s="808"/>
      <c r="X360" s="808"/>
      <c r="Y360" s="808"/>
      <c r="Z360" s="7933"/>
      <c r="AA360" s="7934"/>
      <c r="AB360" s="1150"/>
      <c r="AC360" s="808"/>
      <c r="AD360" s="808"/>
      <c r="AE360" s="808"/>
      <c r="AF360" s="808"/>
      <c r="AG360" s="808"/>
      <c r="AH360" s="808"/>
      <c r="AI360" s="1151"/>
      <c r="AJ360" s="7925"/>
      <c r="AK360" s="7935"/>
      <c r="AL360" s="1150"/>
      <c r="AM360" s="808"/>
      <c r="AN360" s="808"/>
      <c r="AO360" s="808"/>
      <c r="AP360" s="2162"/>
      <c r="AQ360" s="808"/>
      <c r="AR360" s="808"/>
      <c r="AS360" s="808"/>
      <c r="AT360" s="808"/>
      <c r="AU360" s="808"/>
      <c r="AV360" s="808"/>
      <c r="AW360" s="808"/>
      <c r="AX360" s="7902" t="s">
        <v>3253</v>
      </c>
      <c r="AY360" s="7903"/>
      <c r="AZ360" s="7903"/>
      <c r="BA360" s="7903"/>
      <c r="BB360" s="7903"/>
      <c r="BC360" s="7903"/>
      <c r="BD360" s="7903"/>
      <c r="BE360" s="7903"/>
      <c r="BF360" s="7906" t="s">
        <v>1057</v>
      </c>
      <c r="BG360" s="7906"/>
      <c r="BH360" s="3229"/>
    </row>
    <row r="361" spans="1:60" ht="16.5" customHeight="1">
      <c r="A361" s="3107"/>
      <c r="B361" s="8131"/>
      <c r="C361" s="8131"/>
      <c r="D361" s="808" t="s">
        <v>3254</v>
      </c>
      <c r="E361" s="808"/>
      <c r="F361" s="2112"/>
      <c r="G361" s="808"/>
      <c r="H361" s="808"/>
      <c r="I361" s="808"/>
      <c r="J361" s="808"/>
      <c r="K361" s="808"/>
      <c r="L361" s="808"/>
      <c r="M361" s="808"/>
      <c r="N361" s="808"/>
      <c r="O361" s="808"/>
      <c r="P361" s="808"/>
      <c r="Q361" s="808"/>
      <c r="R361" s="808"/>
      <c r="S361" s="808"/>
      <c r="T361" s="808"/>
      <c r="U361" s="808"/>
      <c r="V361" s="808"/>
      <c r="W361" s="808"/>
      <c r="X361" s="808"/>
      <c r="Y361" s="808"/>
      <c r="Z361" s="7933"/>
      <c r="AA361" s="7934"/>
      <c r="AB361" s="1150"/>
      <c r="AC361" s="808"/>
      <c r="AD361" s="808"/>
      <c r="AE361" s="808"/>
      <c r="AF361" s="808"/>
      <c r="AG361" s="808"/>
      <c r="AH361" s="808"/>
      <c r="AI361" s="1151"/>
      <c r="AJ361" s="7925"/>
      <c r="AK361" s="7935"/>
      <c r="AL361" s="1150"/>
      <c r="AM361" s="808"/>
      <c r="AN361" s="808"/>
      <c r="AO361" s="808"/>
      <c r="AP361" s="2162"/>
      <c r="AQ361" s="808"/>
      <c r="AR361" s="808"/>
      <c r="AS361" s="808"/>
      <c r="AT361" s="808"/>
      <c r="AU361" s="808"/>
      <c r="AV361" s="808"/>
      <c r="AW361" s="808"/>
      <c r="AX361" s="7904"/>
      <c r="AY361" s="7905"/>
      <c r="AZ361" s="7905"/>
      <c r="BA361" s="7905"/>
      <c r="BB361" s="7905"/>
      <c r="BC361" s="7905"/>
      <c r="BD361" s="7905"/>
      <c r="BE361" s="7905"/>
      <c r="BF361" s="7907"/>
      <c r="BG361" s="7907"/>
      <c r="BH361" s="3230"/>
    </row>
    <row r="362" spans="1:60" ht="18" customHeight="1">
      <c r="A362" s="3107"/>
      <c r="B362" s="8131"/>
      <c r="C362" s="8131"/>
      <c r="D362" s="808" t="s">
        <v>3255</v>
      </c>
      <c r="E362" s="808"/>
      <c r="F362" s="2112"/>
      <c r="G362" s="808"/>
      <c r="H362" s="808"/>
      <c r="I362" s="808"/>
      <c r="J362" s="808"/>
      <c r="K362" s="808"/>
      <c r="L362" s="808"/>
      <c r="M362" s="808"/>
      <c r="N362" s="808"/>
      <c r="O362" s="808"/>
      <c r="P362" s="808"/>
      <c r="Q362" s="808"/>
      <c r="R362" s="808"/>
      <c r="S362" s="808"/>
      <c r="T362" s="808"/>
      <c r="U362" s="808"/>
      <c r="V362" s="808"/>
      <c r="W362" s="808"/>
      <c r="X362" s="808"/>
      <c r="Y362" s="808"/>
      <c r="Z362" s="7933"/>
      <c r="AA362" s="7934"/>
      <c r="AB362" s="1150"/>
      <c r="AC362" s="808"/>
      <c r="AD362" s="808"/>
      <c r="AE362" s="808"/>
      <c r="AF362" s="808"/>
      <c r="AG362" s="808"/>
      <c r="AH362" s="808"/>
      <c r="AI362" s="1151"/>
      <c r="AJ362" s="7925"/>
      <c r="AK362" s="7935"/>
      <c r="AL362" s="1150"/>
      <c r="AM362" s="808"/>
      <c r="AN362" s="808"/>
      <c r="AO362" s="808"/>
      <c r="AP362" s="2162"/>
      <c r="AQ362" s="808"/>
      <c r="AR362" s="808"/>
      <c r="AS362" s="808"/>
      <c r="AT362" s="808"/>
      <c r="AU362" s="808"/>
      <c r="AV362" s="808"/>
      <c r="AW362" s="808"/>
      <c r="AX362" s="3231"/>
      <c r="AY362" s="1598"/>
      <c r="AZ362" s="1598"/>
      <c r="BA362" s="1598"/>
      <c r="BB362" s="1598"/>
      <c r="BC362" s="1598"/>
      <c r="BD362" s="1598"/>
      <c r="BE362" s="1598"/>
      <c r="BF362" s="1598"/>
      <c r="BG362" s="1598"/>
      <c r="BH362" s="3232"/>
    </row>
    <row r="363" spans="1:60" ht="13.5" customHeight="1">
      <c r="A363" s="3107"/>
      <c r="B363" s="2194"/>
      <c r="C363" s="2194"/>
      <c r="D363" s="893" t="s">
        <v>3256</v>
      </c>
      <c r="E363" s="808"/>
      <c r="F363" s="808"/>
      <c r="G363" s="808"/>
      <c r="H363" s="808"/>
      <c r="I363" s="808"/>
      <c r="J363" s="808"/>
      <c r="K363" s="808"/>
      <c r="L363" s="808"/>
      <c r="M363" s="808"/>
      <c r="N363" s="808"/>
      <c r="O363" s="808"/>
      <c r="P363" s="808"/>
      <c r="Q363" s="808"/>
      <c r="R363" s="808"/>
      <c r="S363" s="808"/>
      <c r="T363" s="808"/>
      <c r="U363" s="808"/>
      <c r="V363" s="808"/>
      <c r="W363" s="808"/>
      <c r="X363" s="808"/>
      <c r="Y363" s="1128" t="s">
        <v>990</v>
      </c>
      <c r="Z363" s="7979">
        <v>17</v>
      </c>
      <c r="AA363" s="8041"/>
      <c r="AB363" s="7985">
        <f>SUM(AB357,AB358)</f>
        <v>0</v>
      </c>
      <c r="AC363" s="7986"/>
      <c r="AD363" s="7986"/>
      <c r="AE363" s="7986"/>
      <c r="AF363" s="7986"/>
      <c r="AG363" s="7986"/>
      <c r="AH363" s="7986"/>
      <c r="AI363" s="7987"/>
      <c r="AJ363" s="7925"/>
      <c r="AK363" s="7935"/>
      <c r="AL363" s="7940"/>
      <c r="AM363" s="7941"/>
      <c r="AN363" s="7941"/>
      <c r="AO363" s="7941"/>
      <c r="AP363" s="2162"/>
      <c r="AQ363" s="8154" t="str">
        <f>IF(AND(AL354&gt;0,AB364),"Skip lines 18 through 24.","")</f>
        <v/>
      </c>
      <c r="AR363" s="8155"/>
      <c r="AS363" s="8155"/>
      <c r="AT363" s="8155"/>
      <c r="AU363" s="7690"/>
      <c r="AV363" s="7690"/>
      <c r="AW363" s="7690"/>
      <c r="AX363" s="3231"/>
      <c r="AY363" s="3233" t="s">
        <v>3257</v>
      </c>
      <c r="AZ363" s="1598"/>
      <c r="BA363" s="1598"/>
      <c r="BB363" s="1598"/>
      <c r="BC363" s="1598"/>
      <c r="BD363" s="1598"/>
      <c r="BE363" s="1598"/>
      <c r="BF363" s="1598"/>
      <c r="BG363" s="1598"/>
      <c r="BH363" s="3232"/>
    </row>
    <row r="364" spans="1:60" ht="19.5" customHeight="1">
      <c r="A364" s="3107"/>
      <c r="B364" s="8131">
        <v>18</v>
      </c>
      <c r="C364" s="8131"/>
      <c r="D364" s="892" t="s">
        <v>3258</v>
      </c>
      <c r="E364" s="808"/>
      <c r="F364" s="2112"/>
      <c r="G364" s="808"/>
      <c r="H364" s="808"/>
      <c r="I364" s="808"/>
      <c r="J364" s="808"/>
      <c r="K364" s="808"/>
      <c r="L364" s="808"/>
      <c r="M364" s="808"/>
      <c r="N364" s="808"/>
      <c r="O364" s="808"/>
      <c r="P364" s="808"/>
      <c r="Q364" s="808"/>
      <c r="R364" s="808"/>
      <c r="S364" s="808"/>
      <c r="T364" s="808"/>
      <c r="U364" s="808"/>
      <c r="V364" s="808"/>
      <c r="W364" s="808"/>
      <c r="X364" s="808"/>
      <c r="Y364" s="808"/>
      <c r="Z364" s="7933"/>
      <c r="AA364" s="7934"/>
      <c r="AB364" s="8043" t="b">
        <f>AND(AB363&lt;=0,AQ366="")</f>
        <v>1</v>
      </c>
      <c r="AC364" s="7694"/>
      <c r="AD364" s="7694"/>
      <c r="AE364" s="7694"/>
      <c r="AF364" s="7694"/>
      <c r="AG364" s="7694"/>
      <c r="AH364" s="7694"/>
      <c r="AI364" s="8044"/>
      <c r="AJ364" s="7925"/>
      <c r="AK364" s="7935"/>
      <c r="AL364" s="7936"/>
      <c r="AM364" s="7937"/>
      <c r="AN364" s="7937"/>
      <c r="AO364" s="7937"/>
      <c r="AP364" s="2162"/>
      <c r="AQ364" s="8151"/>
      <c r="AR364" s="7937"/>
      <c r="AS364" s="7937"/>
      <c r="AT364" s="7937"/>
      <c r="AU364" s="6751"/>
      <c r="AV364" s="6751"/>
      <c r="AW364" s="6751"/>
      <c r="AX364" s="3231"/>
      <c r="AY364" s="1598"/>
      <c r="AZ364" s="1598"/>
      <c r="BA364" s="1598"/>
      <c r="BB364" s="1598"/>
      <c r="BC364" s="1598"/>
      <c r="BD364" s="1598"/>
      <c r="BE364" s="1598"/>
      <c r="BF364" s="1598"/>
      <c r="BG364" s="1598"/>
      <c r="BH364" s="3232"/>
    </row>
    <row r="365" spans="1:60" ht="13.5" customHeight="1">
      <c r="A365" s="3107"/>
      <c r="B365" s="8131"/>
      <c r="C365" s="8131"/>
      <c r="D365" s="892" t="s">
        <v>3303</v>
      </c>
      <c r="E365" s="808"/>
      <c r="F365" s="2112"/>
      <c r="G365" s="808"/>
      <c r="H365" s="808"/>
      <c r="I365" s="808"/>
      <c r="J365" s="808"/>
      <c r="K365" s="808"/>
      <c r="L365" s="808"/>
      <c r="M365" s="808"/>
      <c r="N365" s="808"/>
      <c r="O365" s="808"/>
      <c r="P365" s="808"/>
      <c r="Q365" s="808"/>
      <c r="R365" s="808"/>
      <c r="S365" s="808"/>
      <c r="T365" s="808"/>
      <c r="U365" s="808"/>
      <c r="V365" s="808"/>
      <c r="W365" s="808"/>
      <c r="X365" s="808"/>
      <c r="Y365" s="808"/>
      <c r="Z365" s="7933"/>
      <c r="AA365" s="7934"/>
      <c r="AB365" s="1150"/>
      <c r="AC365" s="808"/>
      <c r="AD365" s="808"/>
      <c r="AE365" s="808"/>
      <c r="AF365" s="808"/>
      <c r="AG365" s="808"/>
      <c r="AH365" s="808"/>
      <c r="AI365" s="1151"/>
      <c r="AJ365" s="7925"/>
      <c r="AK365" s="7935"/>
      <c r="AL365" s="1150"/>
      <c r="AM365" s="808"/>
      <c r="AN365" s="808"/>
      <c r="AO365" s="808"/>
      <c r="AP365" s="2162"/>
      <c r="AQ365" s="2162"/>
      <c r="AR365" s="2162"/>
      <c r="AS365" s="2162"/>
      <c r="AT365" s="2162"/>
      <c r="AU365" s="2162"/>
      <c r="AV365" s="808"/>
      <c r="AW365" s="808"/>
      <c r="AX365" s="3234"/>
      <c r="AY365" s="3233"/>
      <c r="AZ365" s="1598"/>
      <c r="BA365" s="1598"/>
      <c r="BB365" s="1598"/>
      <c r="BC365" s="1598"/>
      <c r="BD365" s="1598"/>
      <c r="BE365" s="1598"/>
      <c r="BF365" s="1598"/>
      <c r="BG365" s="1598"/>
      <c r="BH365" s="3232"/>
    </row>
    <row r="366" spans="1:60" ht="13.5" customHeight="1">
      <c r="A366" s="3107"/>
      <c r="B366" s="2194"/>
      <c r="C366" s="2194"/>
      <c r="D366" s="1460" t="s">
        <v>3260</v>
      </c>
      <c r="E366" s="808"/>
      <c r="F366" s="808"/>
      <c r="G366" s="808"/>
      <c r="H366" s="808"/>
      <c r="I366" s="808"/>
      <c r="J366" s="808"/>
      <c r="K366" s="808"/>
      <c r="L366" s="808"/>
      <c r="M366" s="808"/>
      <c r="N366" s="808"/>
      <c r="O366" s="808"/>
      <c r="P366" s="808"/>
      <c r="Q366" s="808"/>
      <c r="R366" s="808"/>
      <c r="S366" s="808"/>
      <c r="T366" s="808"/>
      <c r="U366" s="808"/>
      <c r="V366" s="808"/>
      <c r="W366" s="808"/>
      <c r="X366" s="808"/>
      <c r="Y366" s="1128" t="s">
        <v>930</v>
      </c>
      <c r="Z366" s="7979">
        <v>18</v>
      </c>
      <c r="AA366" s="8041"/>
      <c r="AB366" s="7985" t="str">
        <f>IF(AQ366&lt;&gt;"",ROUND(AQ366,0),IF(AB364,"",IF(AX357,BG379,Taxable_Inc)))</f>
        <v/>
      </c>
      <c r="AC366" s="7986"/>
      <c r="AD366" s="7986"/>
      <c r="AE366" s="7986"/>
      <c r="AF366" s="7986"/>
      <c r="AG366" s="7986"/>
      <c r="AH366" s="7986"/>
      <c r="AI366" s="7987"/>
      <c r="AJ366" s="7925"/>
      <c r="AK366" s="7935"/>
      <c r="AL366" s="1150"/>
      <c r="AM366" s="808"/>
      <c r="AN366" s="808"/>
      <c r="AO366" s="808"/>
      <c r="AP366" s="2162"/>
      <c r="AQ366" s="7914"/>
      <c r="AR366" s="7915"/>
      <c r="AS366" s="7915"/>
      <c r="AT366" s="7915"/>
      <c r="AU366" s="2162"/>
      <c r="AV366" s="808"/>
      <c r="AW366" s="808"/>
      <c r="AX366" s="3234" t="s">
        <v>167</v>
      </c>
      <c r="AY366" s="3233" t="s">
        <v>3261</v>
      </c>
      <c r="AZ366" s="1598"/>
      <c r="BA366" s="1598"/>
      <c r="BB366" s="1598"/>
      <c r="BC366" s="1598"/>
      <c r="BD366" s="1598"/>
      <c r="BE366" s="1598"/>
      <c r="BF366" s="1598"/>
      <c r="BG366" s="1598"/>
      <c r="BH366" s="3232"/>
    </row>
    <row r="367" spans="1:60" ht="13.5" customHeight="1">
      <c r="A367" s="3107"/>
      <c r="B367" s="2194"/>
      <c r="C367" s="2194"/>
      <c r="D367" s="1460" t="s">
        <v>3262</v>
      </c>
      <c r="E367" s="1040"/>
      <c r="F367" s="1410"/>
      <c r="G367" s="808"/>
      <c r="H367" s="808"/>
      <c r="I367" s="808"/>
      <c r="J367" s="808"/>
      <c r="K367" s="808"/>
      <c r="L367" s="808"/>
      <c r="M367" s="808"/>
      <c r="N367" s="808"/>
      <c r="O367" s="808"/>
      <c r="P367" s="2177"/>
      <c r="Q367" s="1040"/>
      <c r="R367" s="1410"/>
      <c r="S367" s="892"/>
      <c r="T367" s="808"/>
      <c r="U367" s="808"/>
      <c r="V367" s="808"/>
      <c r="W367" s="808"/>
      <c r="X367" s="808"/>
      <c r="Y367" s="808"/>
      <c r="Z367" s="808"/>
      <c r="AA367" s="808"/>
      <c r="AB367" s="808"/>
      <c r="AC367" s="808"/>
      <c r="AD367" s="2177"/>
      <c r="AE367" s="1040"/>
      <c r="AF367" s="1410"/>
      <c r="AG367" s="808"/>
      <c r="AH367" s="808"/>
      <c r="AI367" s="808"/>
      <c r="AJ367" s="1149"/>
      <c r="AK367" s="1143"/>
      <c r="AL367" s="808"/>
      <c r="AM367" s="808"/>
      <c r="AN367" s="808"/>
      <c r="AO367" s="808"/>
      <c r="AP367" s="2162"/>
      <c r="AQ367" s="2162"/>
      <c r="AR367" s="2162"/>
      <c r="AS367" s="2162"/>
      <c r="AT367" s="2162"/>
      <c r="AU367" s="2162"/>
      <c r="AV367" s="808"/>
      <c r="AW367" s="808"/>
      <c r="AX367" s="3231"/>
      <c r="AY367" s="3825" t="s">
        <v>3263</v>
      </c>
      <c r="AZ367" s="1598"/>
      <c r="BA367" s="1598"/>
      <c r="BB367" s="1598"/>
      <c r="BC367" s="1598"/>
      <c r="BD367" s="1598"/>
      <c r="BE367" s="3225"/>
      <c r="BF367" s="3226" t="s">
        <v>167</v>
      </c>
      <c r="BG367" s="3228" t="str">
        <f>IF(CGTW,Taxable_Inc,"")</f>
        <v/>
      </c>
      <c r="BH367" s="3232"/>
    </row>
    <row r="368" spans="1:60" ht="13.5" customHeight="1">
      <c r="A368" s="3107"/>
      <c r="B368" s="808"/>
      <c r="C368" s="814"/>
      <c r="D368" s="893" t="s">
        <v>3264</v>
      </c>
      <c r="E368" s="808"/>
      <c r="F368" s="808"/>
      <c r="G368" s="808"/>
      <c r="H368" s="808"/>
      <c r="I368" s="808"/>
      <c r="J368" s="808"/>
      <c r="K368" s="808"/>
      <c r="L368" s="808"/>
      <c r="M368" s="808"/>
      <c r="N368" s="808"/>
      <c r="O368" s="808"/>
      <c r="P368" s="808"/>
      <c r="Q368" s="808"/>
      <c r="R368" s="808"/>
      <c r="S368" s="808"/>
      <c r="T368" s="901"/>
      <c r="U368" s="808"/>
      <c r="V368" s="808"/>
      <c r="W368" s="808"/>
      <c r="X368" s="808"/>
      <c r="Y368" s="808"/>
      <c r="Z368" s="808"/>
      <c r="AA368" s="808"/>
      <c r="AB368" s="808"/>
      <c r="AC368" s="808"/>
      <c r="AD368" s="808"/>
      <c r="AE368" s="808"/>
      <c r="AF368" s="808"/>
      <c r="AG368" s="808"/>
      <c r="AH368" s="808"/>
      <c r="AI368" s="808"/>
      <c r="AJ368" s="1150"/>
      <c r="AK368" s="1151"/>
      <c r="AL368" s="808"/>
      <c r="AM368" s="808"/>
      <c r="AN368" s="808"/>
      <c r="AO368" s="808"/>
      <c r="AP368" s="2162"/>
      <c r="AQ368" s="2162"/>
      <c r="AR368" s="2162"/>
      <c r="AS368" s="2162"/>
      <c r="AT368" s="2162"/>
      <c r="AU368" s="2162"/>
      <c r="AV368" s="808"/>
      <c r="AW368" s="808"/>
      <c r="AX368" s="3234" t="s">
        <v>171</v>
      </c>
      <c r="AY368" s="3233" t="str">
        <f>"Enter your worldwide "&amp;TEXT(BF368,"0%")&amp;" gains (see instructions)"</f>
        <v>Enter your worldwide 28% gains (see instructions)</v>
      </c>
      <c r="AZ368" s="1598"/>
      <c r="BA368" s="1598"/>
      <c r="BB368" s="1598"/>
      <c r="BC368" s="1598"/>
      <c r="BD368" s="3235" t="s">
        <v>171</v>
      </c>
      <c r="BE368" s="1401"/>
      <c r="BF368" s="3238">
        <v>0.28000000000000003</v>
      </c>
      <c r="BG368" s="1598"/>
      <c r="BH368" s="3232"/>
    </row>
    <row r="369" spans="1:60" ht="13.5" customHeight="1">
      <c r="A369" s="3107"/>
      <c r="B369" s="8131">
        <v>19</v>
      </c>
      <c r="C369" s="8131"/>
      <c r="D369" s="892" t="s">
        <v>3265</v>
      </c>
      <c r="E369" s="808"/>
      <c r="F369" s="2112"/>
      <c r="G369" s="808"/>
      <c r="H369" s="808"/>
      <c r="I369" s="808"/>
      <c r="J369" s="808"/>
      <c r="K369" s="808"/>
      <c r="L369" s="808"/>
      <c r="M369" s="808"/>
      <c r="N369" s="808"/>
      <c r="O369" s="808"/>
      <c r="P369" s="808"/>
      <c r="Q369" s="808"/>
      <c r="R369" s="808"/>
      <c r="S369" s="808"/>
      <c r="T369" s="808"/>
      <c r="U369" s="808"/>
      <c r="V369" s="808"/>
      <c r="W369" s="808"/>
      <c r="X369" s="808"/>
      <c r="Y369" s="808"/>
      <c r="Z369" s="808"/>
      <c r="AA369" s="808"/>
      <c r="AB369" s="808"/>
      <c r="AC369" s="808"/>
      <c r="AD369" s="808"/>
      <c r="AE369" s="808"/>
      <c r="AF369" s="808"/>
      <c r="AG369" s="808"/>
      <c r="AH369" s="808"/>
      <c r="AI369" s="1128" t="s">
        <v>1012</v>
      </c>
      <c r="AJ369" s="7979">
        <v>19</v>
      </c>
      <c r="AK369" s="7980"/>
      <c r="AL369" s="7942" t="str">
        <f>IF(AQ369&lt;&gt;"",ROUND(AQ369,4),IF(AB364,"",IF(OR(AB366="",AB366=0),"                    ---",IF(AB363&gt;AB366,1,ROUND(AB363/AB366,4)))))</f>
        <v/>
      </c>
      <c r="AM369" s="7943"/>
      <c r="AN369" s="7943"/>
      <c r="AO369" s="7943"/>
      <c r="AP369" s="2162"/>
      <c r="AQ369" s="8136"/>
      <c r="AR369" s="8137"/>
      <c r="AS369" s="8137"/>
      <c r="AT369" s="8137"/>
      <c r="AU369" s="2162"/>
      <c r="AV369" s="808"/>
      <c r="AW369" s="808"/>
      <c r="AX369" s="3234" t="s">
        <v>177</v>
      </c>
      <c r="AY369" s="3233" t="str">
        <f>"Multiply line 2 by "&amp;TEXT(BF369,"0.0000")</f>
        <v>Multiply line 2 by 0.2432</v>
      </c>
      <c r="AZ369" s="1598"/>
      <c r="BA369" s="1598"/>
      <c r="BB369" s="1598"/>
      <c r="BC369" s="1598"/>
      <c r="BD369" s="3235" t="s">
        <v>177</v>
      </c>
      <c r="BE369" s="1568" t="str">
        <f>IF(BE368&lt;&gt;"",ROUND(BE368*BF369,0),"")</f>
        <v/>
      </c>
      <c r="BF369" s="3239">
        <v>0.2432</v>
      </c>
      <c r="BG369" s="1598"/>
      <c r="BH369" s="3232"/>
    </row>
    <row r="370" spans="1:60" ht="18" customHeight="1">
      <c r="A370" s="3107"/>
      <c r="B370" s="7978">
        <v>20</v>
      </c>
      <c r="C370" s="7978"/>
      <c r="D370" s="892" t="s">
        <v>3266</v>
      </c>
      <c r="E370" s="808"/>
      <c r="F370" s="2112"/>
      <c r="G370" s="808"/>
      <c r="H370" s="808"/>
      <c r="I370" s="808"/>
      <c r="J370" s="808"/>
      <c r="K370" s="808"/>
      <c r="L370" s="808"/>
      <c r="M370" s="808"/>
      <c r="N370" s="808"/>
      <c r="O370" s="808"/>
      <c r="P370" s="808"/>
      <c r="Q370" s="808"/>
      <c r="R370" s="808"/>
      <c r="S370" s="808"/>
      <c r="T370" s="808"/>
      <c r="U370" s="808"/>
      <c r="V370" s="808"/>
      <c r="W370" s="808"/>
      <c r="X370" s="808"/>
      <c r="Y370" s="808"/>
      <c r="Z370" s="808"/>
      <c r="AA370" s="808"/>
      <c r="AB370" s="808"/>
      <c r="AC370" s="808"/>
      <c r="AD370" s="808"/>
      <c r="AE370" s="808"/>
      <c r="AF370" s="808"/>
      <c r="AG370" s="808"/>
      <c r="AH370" s="808"/>
      <c r="AI370" s="808"/>
      <c r="AJ370" s="8076"/>
      <c r="AK370" s="8077"/>
      <c r="AL370" s="1150"/>
      <c r="AM370" s="808"/>
      <c r="AN370" s="808"/>
      <c r="AO370" s="808"/>
      <c r="AP370" s="2162"/>
      <c r="AQ370" s="2162"/>
      <c r="AR370" s="2162"/>
      <c r="AS370" s="2162"/>
      <c r="AT370" s="2162"/>
      <c r="AU370" s="2162"/>
      <c r="AV370" s="808"/>
      <c r="AW370" s="808"/>
      <c r="AX370" s="3234" t="s">
        <v>182</v>
      </c>
      <c r="AY370" s="3233" t="str">
        <f>"Enter your worldwide "&amp;TEXT(BF370,"0%")&amp;" gains (see instructions)"</f>
        <v>Enter your worldwide 25% gains (see instructions)</v>
      </c>
      <c r="AZ370" s="1598"/>
      <c r="BA370" s="1598"/>
      <c r="BB370" s="1598"/>
      <c r="BC370" s="1598"/>
      <c r="BD370" s="3235" t="s">
        <v>182</v>
      </c>
      <c r="BE370" s="1401"/>
      <c r="BF370" s="3238">
        <v>0.25</v>
      </c>
      <c r="BG370" s="1598"/>
      <c r="BH370" s="3232"/>
    </row>
    <row r="371" spans="1:60" ht="13.5" customHeight="1">
      <c r="A371" s="3107"/>
      <c r="B371" s="7978"/>
      <c r="C371" s="7978"/>
      <c r="D371" s="892" t="s">
        <v>3267</v>
      </c>
      <c r="E371" s="808"/>
      <c r="F371" s="2112"/>
      <c r="G371" s="808"/>
      <c r="H371" s="808"/>
      <c r="I371" s="808"/>
      <c r="J371" s="808"/>
      <c r="K371" s="808"/>
      <c r="L371" s="808"/>
      <c r="M371" s="808"/>
      <c r="N371" s="808"/>
      <c r="O371" s="808"/>
      <c r="P371" s="808"/>
      <c r="Q371" s="808"/>
      <c r="R371" s="808"/>
      <c r="S371" s="808"/>
      <c r="T371" s="808"/>
      <c r="U371" s="808"/>
      <c r="V371" s="808"/>
      <c r="W371" s="808"/>
      <c r="X371" s="808"/>
      <c r="Y371" s="808"/>
      <c r="Z371" s="808"/>
      <c r="AA371" s="808"/>
      <c r="AB371" s="808"/>
      <c r="AC371" s="808"/>
      <c r="AD371" s="808"/>
      <c r="AE371" s="808"/>
      <c r="AF371" s="808"/>
      <c r="AG371" s="808"/>
      <c r="AH371" s="808"/>
      <c r="AI371" s="808"/>
      <c r="AJ371" s="8076"/>
      <c r="AK371" s="8077"/>
      <c r="AL371" s="1150"/>
      <c r="AM371" s="808"/>
      <c r="AN371" s="808"/>
      <c r="AO371" s="808"/>
      <c r="AP371" s="2162"/>
      <c r="AQ371" s="2162"/>
      <c r="AR371" s="2162"/>
      <c r="AS371" s="2162"/>
      <c r="AT371" s="2162"/>
      <c r="AU371" s="2162"/>
      <c r="AV371" s="808"/>
      <c r="AW371" s="808"/>
      <c r="AX371" s="3234" t="s">
        <v>198</v>
      </c>
      <c r="AY371" s="3233" t="str">
        <f>"Multiply line 4 by "&amp;TEXT(BF371,"0.0000")</f>
        <v>Multiply line 4 by 0.3243</v>
      </c>
      <c r="AZ371" s="1598"/>
      <c r="BA371" s="1598"/>
      <c r="BB371" s="1598"/>
      <c r="BC371" s="1598"/>
      <c r="BD371" s="3235" t="s">
        <v>198</v>
      </c>
      <c r="BE371" s="1568" t="str">
        <f>IF(BE370&lt;&gt;"",ROUND(BE370*BF371,0),"")</f>
        <v/>
      </c>
      <c r="BF371" s="3239">
        <v>0.32429999999999998</v>
      </c>
      <c r="BG371" s="1598"/>
      <c r="BH371" s="3232"/>
    </row>
    <row r="372" spans="1:60" ht="13.5" customHeight="1">
      <c r="A372" s="3107"/>
      <c r="B372" s="3809"/>
      <c r="C372" s="3809"/>
      <c r="D372" s="1460" t="s">
        <v>3268</v>
      </c>
      <c r="E372" s="808"/>
      <c r="F372" s="2112"/>
      <c r="G372" s="808"/>
      <c r="H372" s="808"/>
      <c r="I372" s="808"/>
      <c r="J372" s="808"/>
      <c r="K372" s="808"/>
      <c r="L372" s="808"/>
      <c r="M372" s="808"/>
      <c r="N372" s="808"/>
      <c r="O372" s="808"/>
      <c r="P372" s="808"/>
      <c r="Q372" s="808"/>
      <c r="R372" s="808"/>
      <c r="S372" s="808"/>
      <c r="T372" s="808"/>
      <c r="U372" s="808"/>
      <c r="V372" s="808"/>
      <c r="W372" s="808"/>
      <c r="X372" s="808"/>
      <c r="Y372" s="808"/>
      <c r="Z372" s="808"/>
      <c r="AA372" s="808"/>
      <c r="AB372" s="808"/>
      <c r="AC372" s="808"/>
      <c r="AD372" s="808"/>
      <c r="AE372" s="808"/>
      <c r="AF372" s="808"/>
      <c r="AG372" s="808"/>
      <c r="AH372" s="808"/>
      <c r="AI372" s="808"/>
      <c r="AJ372" s="3806"/>
      <c r="AK372" s="2715"/>
      <c r="AL372" s="1150"/>
      <c r="AM372" s="808"/>
      <c r="AN372" s="808"/>
      <c r="AO372" s="808"/>
      <c r="AP372" s="2162"/>
      <c r="AQ372" s="2162"/>
      <c r="AR372" s="2162"/>
      <c r="AS372" s="2162"/>
      <c r="AT372" s="2162"/>
      <c r="AU372" s="2162"/>
      <c r="AV372" s="808"/>
      <c r="AW372" s="808"/>
      <c r="AX372" s="3234" t="s">
        <v>202</v>
      </c>
      <c r="AY372" s="3233" t="str">
        <f>"Enter your worldwide "&amp;TEXT(BF372,"0%")&amp;" gains (see instructions)"</f>
        <v>Enter your worldwide 20% gains (see instructions)</v>
      </c>
      <c r="AZ372" s="1598"/>
      <c r="BA372" s="1598"/>
      <c r="BB372" s="1598"/>
      <c r="BC372" s="1598"/>
      <c r="BD372" s="3235" t="s">
        <v>202</v>
      </c>
      <c r="BE372" s="1401"/>
      <c r="BF372" s="3238">
        <v>0.2</v>
      </c>
      <c r="BG372" s="1598"/>
      <c r="BH372" s="3232"/>
    </row>
    <row r="373" spans="1:60" ht="13.5" customHeight="1">
      <c r="A373" s="3107"/>
      <c r="B373" s="2335"/>
      <c r="C373" s="2335"/>
      <c r="D373" s="1460" t="s">
        <v>3269</v>
      </c>
      <c r="E373" s="808"/>
      <c r="F373" s="808"/>
      <c r="G373" s="808"/>
      <c r="H373" s="808"/>
      <c r="I373" s="808"/>
      <c r="J373" s="808"/>
      <c r="K373" s="808"/>
      <c r="L373" s="808"/>
      <c r="M373" s="808"/>
      <c r="N373" s="808"/>
      <c r="O373" s="808"/>
      <c r="P373" s="808"/>
      <c r="Q373" s="808"/>
      <c r="R373" s="808"/>
      <c r="S373" s="808"/>
      <c r="T373" s="808"/>
      <c r="U373" s="808"/>
      <c r="V373" s="808"/>
      <c r="W373" s="808"/>
      <c r="X373" s="808"/>
      <c r="Y373" s="808"/>
      <c r="Z373" s="808"/>
      <c r="AA373" s="808"/>
      <c r="AB373" s="808"/>
      <c r="AC373" s="808"/>
      <c r="AD373" s="808"/>
      <c r="AE373" s="808"/>
      <c r="AF373" s="808"/>
      <c r="AG373" s="808"/>
      <c r="AH373" s="808"/>
      <c r="AI373" s="1128" t="s">
        <v>908</v>
      </c>
      <c r="AJ373" s="7979">
        <v>20</v>
      </c>
      <c r="AK373" s="7980"/>
      <c r="AL373" s="7916" t="str">
        <f>IF(AQ373&lt;&gt;"",ROUND(AQ373,0),IF(AB364,"",IF(AO280&lt;&gt;1,"",SUM(Tax_SubTotal,PTC_ExcessAdv))))</f>
        <v/>
      </c>
      <c r="AM373" s="6829"/>
      <c r="AN373" s="6829"/>
      <c r="AO373" s="6829"/>
      <c r="AP373" s="2162"/>
      <c r="AQ373" s="7914"/>
      <c r="AR373" s="7915"/>
      <c r="AS373" s="7915"/>
      <c r="AT373" s="7915"/>
      <c r="AU373" s="2162"/>
      <c r="AV373" s="808"/>
      <c r="AW373" s="808"/>
      <c r="AX373" s="3234" t="s">
        <v>215</v>
      </c>
      <c r="AY373" s="3233" t="str">
        <f>"Multiply line 6 by "&amp;TEXT(BF373,"0.0000")</f>
        <v>Multiply line 6 by 0.4595</v>
      </c>
      <c r="AZ373" s="1598"/>
      <c r="BA373" s="1598"/>
      <c r="BB373" s="1598"/>
      <c r="BC373" s="1598"/>
      <c r="BD373" s="3235" t="s">
        <v>215</v>
      </c>
      <c r="BE373" s="1568" t="str">
        <f>IF(BE372&lt;&gt;"",ROUND(BE372*BF373,0),"")</f>
        <v/>
      </c>
      <c r="BF373" s="3239">
        <v>0.45950000000000002</v>
      </c>
      <c r="BG373" s="1598"/>
      <c r="BH373" s="3232"/>
    </row>
    <row r="374" spans="1:60" ht="15.75" customHeight="1">
      <c r="A374" s="3107"/>
      <c r="B374" s="7978"/>
      <c r="C374" s="7978"/>
      <c r="D374" s="892" t="s">
        <v>3270</v>
      </c>
      <c r="E374" s="808"/>
      <c r="F374" s="2112"/>
      <c r="G374" s="808"/>
      <c r="H374" s="808"/>
      <c r="I374" s="808"/>
      <c r="J374" s="808"/>
      <c r="K374" s="808"/>
      <c r="L374" s="808"/>
      <c r="M374" s="808"/>
      <c r="N374" s="808"/>
      <c r="O374" s="808"/>
      <c r="P374" s="808"/>
      <c r="Q374" s="808"/>
      <c r="R374" s="808"/>
      <c r="S374" s="808"/>
      <c r="T374" s="808"/>
      <c r="U374" s="808"/>
      <c r="V374" s="808"/>
      <c r="W374" s="808"/>
      <c r="X374" s="808"/>
      <c r="Y374" s="808"/>
      <c r="Z374" s="808"/>
      <c r="AA374" s="808"/>
      <c r="AB374" s="808"/>
      <c r="AC374" s="808"/>
      <c r="AD374" s="808"/>
      <c r="AE374" s="808"/>
      <c r="AF374" s="808"/>
      <c r="AG374" s="808"/>
      <c r="AH374" s="808"/>
      <c r="AI374" s="808"/>
      <c r="AJ374" s="1150"/>
      <c r="AK374" s="1151"/>
      <c r="AL374" s="808"/>
      <c r="AM374" s="808"/>
      <c r="AN374" s="808"/>
      <c r="AO374" s="808"/>
      <c r="AP374" s="2162"/>
      <c r="AQ374" s="2162"/>
      <c r="AR374" s="2162"/>
      <c r="AS374" s="2162"/>
      <c r="AT374" s="2162"/>
      <c r="AU374" s="2162"/>
      <c r="AV374" s="808"/>
      <c r="AW374" s="808"/>
      <c r="AX374" s="3234" t="s">
        <v>217</v>
      </c>
      <c r="AY374" s="3233" t="str">
        <f>"Enter your worldwide "&amp;TEXT(BF374,"0%")&amp;" gains (see instructions)"</f>
        <v>Enter your worldwide 15% gains (see instructions)</v>
      </c>
      <c r="AZ374" s="1598"/>
      <c r="BA374" s="1598"/>
      <c r="BB374" s="1598"/>
      <c r="BC374" s="1598"/>
      <c r="BD374" s="3235" t="s">
        <v>217</v>
      </c>
      <c r="BE374" s="1401"/>
      <c r="BF374" s="3238">
        <v>0.15</v>
      </c>
      <c r="BG374" s="1598"/>
      <c r="BH374" s="3232"/>
    </row>
    <row r="375" spans="1:60" ht="12.75" customHeight="1">
      <c r="A375" s="3107"/>
      <c r="B375" s="892"/>
      <c r="C375" s="892"/>
      <c r="D375" s="893" t="s">
        <v>3271</v>
      </c>
      <c r="E375" s="808"/>
      <c r="F375" s="808"/>
      <c r="G375" s="808"/>
      <c r="H375" s="808"/>
      <c r="I375" s="808"/>
      <c r="J375" s="808"/>
      <c r="K375" s="808"/>
      <c r="L375" s="808"/>
      <c r="M375" s="808"/>
      <c r="N375" s="808"/>
      <c r="O375" s="808"/>
      <c r="P375" s="808"/>
      <c r="Q375" s="808"/>
      <c r="R375" s="808"/>
      <c r="S375" s="808"/>
      <c r="T375" s="901"/>
      <c r="U375" s="808"/>
      <c r="V375" s="808"/>
      <c r="W375" s="808"/>
      <c r="X375" s="808"/>
      <c r="Y375" s="808"/>
      <c r="Z375" s="808"/>
      <c r="AA375" s="808"/>
      <c r="AB375" s="808"/>
      <c r="AC375" s="808"/>
      <c r="AD375" s="808"/>
      <c r="AE375" s="808"/>
      <c r="AF375" s="808"/>
      <c r="AG375" s="808"/>
      <c r="AH375" s="808"/>
      <c r="AI375" s="808"/>
      <c r="AJ375" s="1150"/>
      <c r="AK375" s="1151"/>
      <c r="AL375" s="808"/>
      <c r="AM375" s="808"/>
      <c r="AN375" s="808"/>
      <c r="AO375" s="808"/>
      <c r="AP375" s="2162"/>
      <c r="AQ375" s="2162"/>
      <c r="AR375" s="2162"/>
      <c r="AS375" s="2162"/>
      <c r="AT375" s="2162"/>
      <c r="AU375" s="2162"/>
      <c r="AV375" s="808"/>
      <c r="AW375" s="808"/>
      <c r="AX375" s="3234" t="s">
        <v>222</v>
      </c>
      <c r="AY375" s="3233" t="str">
        <f>"Multiply line 8 by "&amp;TEXT(BF375,"0.0000")</f>
        <v>Multiply line 8 by 0.5946</v>
      </c>
      <c r="AZ375" s="1598"/>
      <c r="BA375" s="1598"/>
      <c r="BB375" s="1598"/>
      <c r="BC375" s="1598"/>
      <c r="BD375" s="3235" t="s">
        <v>222</v>
      </c>
      <c r="BE375" s="1568" t="str">
        <f>IF(BE374&lt;&gt;"",ROUND(BE374*BF375,0),"")</f>
        <v/>
      </c>
      <c r="BF375" s="3239">
        <v>0.59460000000000002</v>
      </c>
      <c r="BG375" s="1598"/>
      <c r="BH375" s="3232"/>
    </row>
    <row r="376" spans="1:60" ht="13.5" customHeight="1">
      <c r="A376" s="3107"/>
      <c r="B376" s="7978"/>
      <c r="C376" s="7978"/>
      <c r="D376" s="892"/>
      <c r="E376" s="808"/>
      <c r="F376" s="2112"/>
      <c r="G376" s="808"/>
      <c r="H376" s="808"/>
      <c r="I376" s="808"/>
      <c r="J376" s="808"/>
      <c r="K376" s="808"/>
      <c r="L376" s="808"/>
      <c r="M376" s="808"/>
      <c r="N376" s="808"/>
      <c r="O376" s="808"/>
      <c r="P376" s="808"/>
      <c r="Q376" s="808"/>
      <c r="R376" s="808"/>
      <c r="S376" s="808"/>
      <c r="T376" s="808"/>
      <c r="U376" s="808"/>
      <c r="V376" s="808"/>
      <c r="W376" s="808"/>
      <c r="X376" s="808"/>
      <c r="Y376" s="808"/>
      <c r="Z376" s="808"/>
      <c r="AA376" s="808"/>
      <c r="AB376" s="808"/>
      <c r="AC376" s="808"/>
      <c r="AD376" s="808"/>
      <c r="AE376" s="808"/>
      <c r="AF376" s="808"/>
      <c r="AG376" s="808"/>
      <c r="AH376" s="808"/>
      <c r="AI376" s="808"/>
      <c r="AJ376" s="8076"/>
      <c r="AK376" s="8077"/>
      <c r="AL376" s="1150"/>
      <c r="AM376" s="808"/>
      <c r="AN376" s="808"/>
      <c r="AO376" s="808"/>
      <c r="AP376" s="2162"/>
      <c r="AQ376" s="2162"/>
      <c r="AR376" s="2162"/>
      <c r="AS376" s="2162"/>
      <c r="AT376" s="2162"/>
      <c r="AU376" s="2162"/>
      <c r="AV376" s="808"/>
      <c r="AW376" s="808"/>
      <c r="AX376" s="3234" t="s">
        <v>227</v>
      </c>
      <c r="AY376" s="3233" t="str">
        <f>"Enter your worldwide "&amp;TEXT(BF376,"0%")&amp;" gains and qualified dividends"</f>
        <v>Enter your worldwide 0% gains and qualified dividends</v>
      </c>
      <c r="AZ376" s="1598"/>
      <c r="BA376" s="1598"/>
      <c r="BB376" s="1598"/>
      <c r="BC376" s="1598"/>
      <c r="BD376" s="3235"/>
      <c r="BE376" s="3227"/>
      <c r="BF376" s="3238">
        <v>0</v>
      </c>
      <c r="BG376" s="1598"/>
      <c r="BH376" s="3232"/>
    </row>
    <row r="377" spans="1:60" ht="14.25" customHeight="1">
      <c r="A377" s="3107"/>
      <c r="B377" s="8131">
        <v>21</v>
      </c>
      <c r="C377" s="8131"/>
      <c r="D377" s="808" t="s">
        <v>3272</v>
      </c>
      <c r="E377" s="808"/>
      <c r="F377" s="808"/>
      <c r="G377" s="808"/>
      <c r="H377" s="808"/>
      <c r="I377" s="808"/>
      <c r="J377" s="808"/>
      <c r="K377" s="808"/>
      <c r="L377" s="808"/>
      <c r="M377" s="808"/>
      <c r="N377" s="808"/>
      <c r="O377" s="808"/>
      <c r="P377" s="808"/>
      <c r="Q377" s="808"/>
      <c r="R377" s="808"/>
      <c r="S377" s="808"/>
      <c r="T377" s="901"/>
      <c r="U377" s="808"/>
      <c r="V377" s="808"/>
      <c r="W377" s="808"/>
      <c r="X377" s="808"/>
      <c r="Y377" s="808"/>
      <c r="Z377" s="808"/>
      <c r="AA377" s="808"/>
      <c r="AB377" s="808"/>
      <c r="AC377" s="808"/>
      <c r="AD377" s="808"/>
      <c r="AE377" s="808"/>
      <c r="AF377" s="808"/>
      <c r="AG377" s="808"/>
      <c r="AH377" s="808"/>
      <c r="AI377" s="1128" t="s">
        <v>896</v>
      </c>
      <c r="AJ377" s="7979">
        <v>21</v>
      </c>
      <c r="AK377" s="7980"/>
      <c r="AL377" s="7916" t="str">
        <f>IF(AB364,"",IF(ISERROR(AL369*AL373),"                    ---",ROUND(AL369*AL373,0)))</f>
        <v/>
      </c>
      <c r="AM377" s="6829"/>
      <c r="AN377" s="6829"/>
      <c r="AO377" s="6829"/>
      <c r="AP377" s="2162"/>
      <c r="AQ377" s="808"/>
      <c r="AR377" s="808"/>
      <c r="AS377" s="808"/>
      <c r="AT377" s="808"/>
      <c r="AU377" s="808"/>
      <c r="AV377" s="808"/>
      <c r="AW377" s="808"/>
      <c r="AX377" s="3231"/>
      <c r="AY377" s="3233" t="s">
        <v>2326</v>
      </c>
      <c r="AZ377" s="1598"/>
      <c r="BA377" s="1598"/>
      <c r="BB377" s="1598"/>
      <c r="BC377" s="1598"/>
      <c r="BD377" s="3235" t="s">
        <v>227</v>
      </c>
      <c r="BE377" s="1401"/>
      <c r="BF377" s="1598"/>
      <c r="BG377" s="3166">
        <f>ROUND(BE377,0)</f>
        <v>0</v>
      </c>
      <c r="BH377" s="3232"/>
    </row>
    <row r="378" spans="1:60" ht="14.25" customHeight="1">
      <c r="A378" s="3107"/>
      <c r="B378" s="3809"/>
      <c r="C378" s="3809"/>
      <c r="D378" s="808"/>
      <c r="E378" s="808"/>
      <c r="F378" s="808"/>
      <c r="G378" s="808"/>
      <c r="H378" s="808"/>
      <c r="I378" s="808"/>
      <c r="J378" s="808"/>
      <c r="K378" s="808"/>
      <c r="L378" s="808"/>
      <c r="M378" s="808"/>
      <c r="N378" s="808"/>
      <c r="O378" s="808"/>
      <c r="P378" s="808"/>
      <c r="Q378" s="808"/>
      <c r="R378" s="808"/>
      <c r="S378" s="808"/>
      <c r="T378" s="901"/>
      <c r="U378" s="808"/>
      <c r="V378" s="808"/>
      <c r="W378" s="808"/>
      <c r="X378" s="808"/>
      <c r="Y378" s="808"/>
      <c r="Z378" s="808"/>
      <c r="AA378" s="808"/>
      <c r="AB378" s="808"/>
      <c r="AC378" s="808"/>
      <c r="AD378" s="808"/>
      <c r="AE378" s="808"/>
      <c r="AF378" s="808"/>
      <c r="AG378" s="808"/>
      <c r="AH378" s="808"/>
      <c r="AI378" s="1128"/>
      <c r="AJ378" s="3807"/>
      <c r="AK378" s="3808"/>
      <c r="AL378" s="808"/>
      <c r="AM378" s="808"/>
      <c r="AN378" s="808"/>
      <c r="AO378" s="808"/>
      <c r="AP378" s="2162"/>
      <c r="AQ378" s="808"/>
      <c r="AR378" s="808"/>
      <c r="AS378" s="808"/>
      <c r="AT378" s="808"/>
      <c r="AU378" s="808"/>
      <c r="AV378" s="808"/>
      <c r="AW378" s="808"/>
      <c r="AX378" s="3234" t="s">
        <v>229</v>
      </c>
      <c r="AY378" s="3233" t="s">
        <v>3273</v>
      </c>
      <c r="AZ378" s="1598"/>
      <c r="BA378" s="1598"/>
      <c r="BB378" s="1598"/>
      <c r="BC378" s="1598"/>
      <c r="BD378" s="1598"/>
      <c r="BE378" s="3166" t="b">
        <f>OR(BE368&lt;&gt;"",BE370&lt;&gt;"",BE373&lt;&gt;"",BE375&lt;&gt;"",BE377&lt;&gt;"")</f>
        <v>0</v>
      </c>
      <c r="BF378" s="3235" t="s">
        <v>229</v>
      </c>
      <c r="BG378" s="1568" t="str">
        <f>IF(BE378,SUM(BE369,BE371,BE373,BE375,BG377),IF(AB364,"",0))</f>
        <v/>
      </c>
      <c r="BH378" s="3232"/>
    </row>
    <row r="379" spans="1:60" ht="14.25" customHeight="1">
      <c r="A379" s="3107"/>
      <c r="B379" s="7978">
        <v>22</v>
      </c>
      <c r="C379" s="7978"/>
      <c r="D379" s="892" t="s">
        <v>3274</v>
      </c>
      <c r="E379" s="808"/>
      <c r="F379" s="808"/>
      <c r="G379" s="808"/>
      <c r="H379" s="808"/>
      <c r="I379" s="808"/>
      <c r="J379" s="808"/>
      <c r="K379" s="808"/>
      <c r="L379" s="808"/>
      <c r="M379" s="808"/>
      <c r="N379" s="808"/>
      <c r="O379" s="808"/>
      <c r="P379" s="808"/>
      <c r="Q379" s="808"/>
      <c r="R379" s="808"/>
      <c r="S379" s="808"/>
      <c r="T379" s="901"/>
      <c r="U379" s="808"/>
      <c r="V379" s="808"/>
      <c r="W379" s="808"/>
      <c r="X379" s="808"/>
      <c r="Y379" s="808"/>
      <c r="Z379" s="808"/>
      <c r="AA379" s="808"/>
      <c r="AB379" s="808"/>
      <c r="AC379" s="808"/>
      <c r="AD379" s="808"/>
      <c r="AE379" s="808"/>
      <c r="AF379" s="808"/>
      <c r="AG379" s="808"/>
      <c r="AH379" s="808"/>
      <c r="AI379" s="1128" t="s">
        <v>988</v>
      </c>
      <c r="AJ379" s="7979">
        <v>22</v>
      </c>
      <c r="AK379" s="8138"/>
      <c r="AL379" s="8084"/>
      <c r="AM379" s="6827"/>
      <c r="AN379" s="6827"/>
      <c r="AO379" s="6827"/>
      <c r="AP379" s="2162"/>
      <c r="AQ379" s="808"/>
      <c r="AR379" s="808"/>
      <c r="AS379" s="808"/>
      <c r="AT379" s="808"/>
      <c r="AU379" s="808"/>
      <c r="AV379" s="808"/>
      <c r="AW379" s="808"/>
      <c r="AX379" s="3234" t="s">
        <v>1605</v>
      </c>
      <c r="AY379" s="3233" t="s">
        <v>3275</v>
      </c>
      <c r="AZ379" s="1598"/>
      <c r="BA379" s="1598"/>
      <c r="BB379" s="1598"/>
      <c r="BC379" s="1598"/>
      <c r="BD379" s="1598"/>
      <c r="BE379" s="1598"/>
      <c r="BF379" s="3235" t="s">
        <v>1605</v>
      </c>
      <c r="BG379" s="1568" t="str">
        <f>IF(BG378="","",SUM(BG367,-BG378))</f>
        <v/>
      </c>
      <c r="BH379" s="3232"/>
    </row>
    <row r="380" spans="1:60" ht="14.25" customHeight="1" thickBot="1">
      <c r="A380" s="3107"/>
      <c r="B380" s="3809"/>
      <c r="C380" s="3809"/>
      <c r="D380" s="808"/>
      <c r="E380" s="808"/>
      <c r="F380" s="808"/>
      <c r="G380" s="808"/>
      <c r="H380" s="808"/>
      <c r="I380" s="808"/>
      <c r="J380" s="808"/>
      <c r="K380" s="808"/>
      <c r="L380" s="808"/>
      <c r="M380" s="808"/>
      <c r="N380" s="808"/>
      <c r="O380" s="808"/>
      <c r="P380" s="808"/>
      <c r="Q380" s="808"/>
      <c r="R380" s="808"/>
      <c r="S380" s="808"/>
      <c r="T380" s="901"/>
      <c r="U380" s="808"/>
      <c r="V380" s="808"/>
      <c r="W380" s="808"/>
      <c r="X380" s="808"/>
      <c r="Y380" s="808"/>
      <c r="Z380" s="808"/>
      <c r="AA380" s="808"/>
      <c r="AB380" s="808"/>
      <c r="AC380" s="808"/>
      <c r="AD380" s="808"/>
      <c r="AE380" s="808"/>
      <c r="AF380" s="808"/>
      <c r="AG380" s="808"/>
      <c r="AH380" s="808"/>
      <c r="AI380" s="1128"/>
      <c r="AJ380" s="3807"/>
      <c r="AK380" s="3808"/>
      <c r="AL380" s="808"/>
      <c r="AM380" s="808"/>
      <c r="AN380" s="808"/>
      <c r="AO380" s="808"/>
      <c r="AP380" s="2162"/>
      <c r="AQ380" s="808"/>
      <c r="AR380" s="808"/>
      <c r="AS380" s="808"/>
      <c r="AT380" s="808"/>
      <c r="AU380" s="808"/>
      <c r="AV380" s="808"/>
      <c r="AW380" s="808"/>
      <c r="AX380" s="3236"/>
      <c r="AY380" s="3237"/>
      <c r="AZ380" s="3237"/>
      <c r="BA380" s="3237"/>
      <c r="BB380" s="3237"/>
      <c r="BC380" s="3237"/>
      <c r="BD380" s="3237"/>
      <c r="BE380" s="3237"/>
      <c r="BF380" s="3237"/>
      <c r="BG380" s="3237"/>
      <c r="BH380" s="3240"/>
    </row>
    <row r="381" spans="1:60" ht="14.25" customHeight="1">
      <c r="A381" s="3107"/>
      <c r="B381" s="7978">
        <v>23</v>
      </c>
      <c r="C381" s="7978"/>
      <c r="D381" s="892" t="s">
        <v>1764</v>
      </c>
      <c r="E381" s="808"/>
      <c r="F381" s="808"/>
      <c r="G381" s="808"/>
      <c r="H381" s="808"/>
      <c r="I381" s="808"/>
      <c r="J381" s="808"/>
      <c r="K381" s="808"/>
      <c r="L381" s="808"/>
      <c r="M381" s="808"/>
      <c r="N381" s="808"/>
      <c r="O381" s="808"/>
      <c r="P381" s="808"/>
      <c r="Q381" s="808"/>
      <c r="R381" s="808"/>
      <c r="S381" s="808"/>
      <c r="T381" s="901"/>
      <c r="U381" s="808"/>
      <c r="V381" s="808"/>
      <c r="W381" s="808"/>
      <c r="X381" s="808"/>
      <c r="Y381" s="808"/>
      <c r="Z381" s="808"/>
      <c r="AA381" s="808"/>
      <c r="AB381" s="808"/>
      <c r="AC381" s="808"/>
      <c r="AD381" s="808"/>
      <c r="AE381" s="808"/>
      <c r="AF381" s="808"/>
      <c r="AG381" s="808"/>
      <c r="AH381" s="808"/>
      <c r="AI381" s="1128" t="s">
        <v>3013</v>
      </c>
      <c r="AJ381" s="7979">
        <v>23</v>
      </c>
      <c r="AK381" s="8138"/>
      <c r="AL381" s="7916" t="str">
        <f>IF(AB364,"",SUM(AL377,AQ379))</f>
        <v/>
      </c>
      <c r="AM381" s="6828"/>
      <c r="AN381" s="6828"/>
      <c r="AO381" s="6828"/>
      <c r="AP381" s="2162"/>
      <c r="AQ381" s="808"/>
      <c r="AR381" s="808"/>
      <c r="AS381" s="808"/>
      <c r="AT381" s="808"/>
      <c r="AU381" s="808"/>
      <c r="AV381" s="808"/>
      <c r="AW381" s="808"/>
      <c r="AX381" s="2396"/>
      <c r="AY381" s="3057"/>
      <c r="AZ381" s="3057"/>
      <c r="BA381" s="3057"/>
      <c r="BB381" s="3057"/>
      <c r="BC381" s="3057"/>
      <c r="BD381" s="3057"/>
      <c r="BE381" s="3057"/>
      <c r="BF381" s="3057"/>
      <c r="BG381" s="3057"/>
      <c r="BH381" s="3057"/>
    </row>
    <row r="382" spans="1:60" ht="14.25" customHeight="1">
      <c r="A382" s="3107"/>
      <c r="B382" s="7978">
        <v>24</v>
      </c>
      <c r="C382" s="7978"/>
      <c r="D382" s="892" t="s">
        <v>3276</v>
      </c>
      <c r="E382" s="808"/>
      <c r="F382" s="2112"/>
      <c r="G382" s="808"/>
      <c r="H382" s="808"/>
      <c r="I382" s="808"/>
      <c r="J382" s="808"/>
      <c r="K382" s="808"/>
      <c r="L382" s="808"/>
      <c r="M382" s="808"/>
      <c r="N382" s="808"/>
      <c r="O382" s="808"/>
      <c r="P382" s="808"/>
      <c r="Q382" s="808"/>
      <c r="R382" s="808"/>
      <c r="S382" s="808"/>
      <c r="T382" s="808"/>
      <c r="U382" s="808"/>
      <c r="V382" s="808"/>
      <c r="W382" s="808"/>
      <c r="X382" s="808"/>
      <c r="Y382" s="808"/>
      <c r="Z382" s="808"/>
      <c r="AA382" s="808"/>
      <c r="AB382" s="808"/>
      <c r="AC382" s="808"/>
      <c r="AD382" s="808"/>
      <c r="AE382" s="808"/>
      <c r="AF382" s="808"/>
      <c r="AG382" s="808"/>
      <c r="AH382" s="808"/>
      <c r="AI382" s="808"/>
      <c r="AJ382" s="1150"/>
      <c r="AK382" s="1151"/>
      <c r="AL382" s="808"/>
      <c r="AM382" s="808"/>
      <c r="AN382" s="808"/>
      <c r="AO382" s="808"/>
      <c r="AP382" s="2162"/>
      <c r="AQ382" s="808"/>
      <c r="AR382" s="808"/>
      <c r="AS382" s="808"/>
      <c r="AT382" s="808"/>
      <c r="AU382" s="808"/>
      <c r="AV382" s="808"/>
      <c r="AW382" s="808"/>
      <c r="AX382" s="2396"/>
      <c r="AY382" s="3057"/>
      <c r="AZ382" s="3057"/>
      <c r="BA382" s="3057"/>
      <c r="BB382" s="3057"/>
      <c r="BC382" s="3057"/>
      <c r="BD382" s="3057"/>
      <c r="BE382" s="3057"/>
      <c r="BF382" s="3057"/>
      <c r="BG382" s="3057"/>
      <c r="BH382" s="3057"/>
    </row>
    <row r="383" spans="1:60" ht="14.25" customHeight="1">
      <c r="A383" s="3107"/>
      <c r="B383" s="808"/>
      <c r="C383" s="814"/>
      <c r="D383" s="1460" t="s">
        <v>3277</v>
      </c>
      <c r="E383" s="808"/>
      <c r="F383" s="808"/>
      <c r="G383" s="808"/>
      <c r="H383" s="808"/>
      <c r="I383" s="808"/>
      <c r="J383" s="808"/>
      <c r="K383" s="808"/>
      <c r="L383" s="808"/>
      <c r="M383" s="808"/>
      <c r="N383" s="808"/>
      <c r="O383" s="808"/>
      <c r="P383" s="808"/>
      <c r="Q383" s="808"/>
      <c r="R383" s="808"/>
      <c r="S383" s="808"/>
      <c r="T383" s="901"/>
      <c r="U383" s="808"/>
      <c r="V383" s="808"/>
      <c r="W383" s="808"/>
      <c r="X383" s="808"/>
      <c r="Y383" s="808"/>
      <c r="Z383" s="808"/>
      <c r="AA383" s="808"/>
      <c r="AB383" s="808"/>
      <c r="AC383" s="808"/>
      <c r="AD383" s="808"/>
      <c r="AE383" s="808"/>
      <c r="AF383" s="808"/>
      <c r="AG383" s="808"/>
      <c r="AH383" s="808"/>
      <c r="AI383" s="808"/>
      <c r="AJ383" s="1150"/>
      <c r="AK383" s="1151"/>
      <c r="AL383" s="8139">
        <f>SUM($AO$20,$AO$151,$AO$280)</f>
        <v>0</v>
      </c>
      <c r="AM383" s="8140"/>
      <c r="AN383" s="8140"/>
      <c r="AO383" s="8140"/>
      <c r="AP383" s="2162"/>
      <c r="AQ383" s="2162"/>
      <c r="AR383" s="2162"/>
      <c r="AS383" s="2162"/>
      <c r="AT383" s="2162"/>
      <c r="AU383" s="2162"/>
      <c r="AV383" s="808"/>
      <c r="AW383" s="808"/>
      <c r="AX383" s="2396"/>
      <c r="AY383" s="3057"/>
      <c r="AZ383" s="3057"/>
      <c r="BA383" s="3057"/>
      <c r="BB383" s="3057"/>
      <c r="BC383" s="3057"/>
      <c r="BD383" s="3057"/>
      <c r="BE383" s="3057"/>
      <c r="BF383" s="3057"/>
      <c r="BG383" s="3057"/>
      <c r="BH383" s="3057"/>
    </row>
    <row r="384" spans="1:60" ht="14.25" customHeight="1" thickBot="1">
      <c r="A384" s="3107"/>
      <c r="B384" s="8131"/>
      <c r="C384" s="8131"/>
      <c r="D384" s="808" t="s">
        <v>943</v>
      </c>
      <c r="E384" s="808"/>
      <c r="F384" s="808"/>
      <c r="G384" s="808"/>
      <c r="H384" s="808"/>
      <c r="I384" s="808"/>
      <c r="J384" s="808"/>
      <c r="K384" s="808"/>
      <c r="L384" s="808"/>
      <c r="M384" s="808"/>
      <c r="N384" s="808"/>
      <c r="O384" s="808"/>
      <c r="P384" s="808"/>
      <c r="Q384" s="808"/>
      <c r="R384" s="808"/>
      <c r="S384" s="808"/>
      <c r="T384" s="901"/>
      <c r="U384" s="808"/>
      <c r="V384" s="808"/>
      <c r="W384" s="808"/>
      <c r="X384" s="808"/>
      <c r="Y384" s="808"/>
      <c r="Z384" s="808"/>
      <c r="AA384" s="808"/>
      <c r="AB384" s="808"/>
      <c r="AC384" s="808"/>
      <c r="AD384" s="808"/>
      <c r="AE384" s="808"/>
      <c r="AF384" s="808"/>
      <c r="AG384" s="808"/>
      <c r="AH384" s="808"/>
      <c r="AI384" s="1128" t="s">
        <v>2298</v>
      </c>
      <c r="AJ384" s="7979">
        <v>24</v>
      </c>
      <c r="AK384" s="7980"/>
      <c r="AL384" s="7916" t="str">
        <f>IF(AQ384&lt;&gt;"",ROUND(AQ384,0),IF(AB364,"",IF(ISERROR(AL354*AL377),"                    ---",MIN(AL354,AL377))))</f>
        <v/>
      </c>
      <c r="AM384" s="6829"/>
      <c r="AN384" s="6829"/>
      <c r="AO384" s="6829"/>
      <c r="AP384" s="2162"/>
      <c r="AQ384" s="7914"/>
      <c r="AR384" s="7915"/>
      <c r="AS384" s="7915"/>
      <c r="AT384" s="7915"/>
      <c r="AU384" s="2162"/>
      <c r="AV384" s="808"/>
      <c r="AW384" s="808"/>
      <c r="AX384" s="2396"/>
      <c r="AY384" s="3066" t="s">
        <v>3282</v>
      </c>
      <c r="AZ384" s="3057"/>
      <c r="BA384" s="3057"/>
      <c r="BB384" s="3068" t="str">
        <f>IF(ISERROR(SUM(AL377,-ForeignTaxCredit_3))," ---",MAX(SUM(AL377,-ForeignTaxCredit_3),0))</f>
        <v xml:space="preserve"> ---</v>
      </c>
      <c r="BC384" s="3070" t="s">
        <v>3283</v>
      </c>
      <c r="BD384" s="3057"/>
      <c r="BE384" s="3057"/>
      <c r="BF384" s="3057"/>
      <c r="BG384" s="3057"/>
      <c r="BH384" s="3057"/>
    </row>
    <row r="385" spans="1:60" ht="14.25" customHeight="1">
      <c r="A385" s="3109"/>
      <c r="B385" s="8082" t="s">
        <v>2410</v>
      </c>
      <c r="C385" s="8082"/>
      <c r="D385" s="8083"/>
      <c r="E385" s="2115"/>
      <c r="F385" s="2212" t="s">
        <v>3278</v>
      </c>
      <c r="G385" s="2115"/>
      <c r="H385" s="2115"/>
      <c r="I385" s="2115"/>
      <c r="J385" s="2115"/>
      <c r="K385" s="2115"/>
      <c r="L385" s="2115"/>
      <c r="M385" s="2115"/>
      <c r="N385" s="2115"/>
      <c r="O385" s="2115"/>
      <c r="P385" s="2115"/>
      <c r="Q385" s="2115"/>
      <c r="R385" s="2115"/>
      <c r="S385" s="2115"/>
      <c r="T385" s="2115"/>
      <c r="U385" s="2115"/>
      <c r="V385" s="2115"/>
      <c r="W385" s="2115"/>
      <c r="X385" s="2115"/>
      <c r="Y385" s="2115"/>
      <c r="Z385" s="2115"/>
      <c r="AA385" s="2115"/>
      <c r="AB385" s="2115"/>
      <c r="AC385" s="2115"/>
      <c r="AD385" s="2115"/>
      <c r="AE385" s="2115"/>
      <c r="AF385" s="2115"/>
      <c r="AG385" s="2115"/>
      <c r="AH385" s="2115"/>
      <c r="AI385" s="2115"/>
      <c r="AJ385" s="2115"/>
      <c r="AK385" s="2115"/>
      <c r="AL385" s="8142" t="b">
        <f>IF(AND(AL383&gt;1,AL384=MAX($AL$125,$AL$255,$AL$384)),TRUE,FALSE)</f>
        <v>0</v>
      </c>
      <c r="AM385" s="8143"/>
      <c r="AN385" s="8143"/>
      <c r="AO385" s="8143"/>
      <c r="AP385" s="2162"/>
      <c r="AQ385" s="2162"/>
      <c r="AR385" s="2162"/>
      <c r="AS385" s="2162"/>
      <c r="AT385" s="2162"/>
      <c r="AU385" s="2162"/>
      <c r="AV385" s="1108"/>
      <c r="AW385" s="1108"/>
      <c r="AX385" s="2396"/>
      <c r="AY385" s="3066" t="s">
        <v>3285</v>
      </c>
      <c r="AZ385" s="3057"/>
      <c r="BA385" s="3057"/>
      <c r="BB385" s="3069" t="str">
        <f>IF(ISERROR(SUM(AL354,-ForeignTaxCredit_3))," ---",MAX(SUM(AL354,-ForeignTaxCredit_3),0))</f>
        <v xml:space="preserve"> ---</v>
      </c>
      <c r="BC385" s="3070" t="s">
        <v>3286</v>
      </c>
      <c r="BD385" s="3057"/>
      <c r="BE385" s="3057"/>
      <c r="BF385" s="3057"/>
      <c r="BG385" s="3057"/>
      <c r="BH385" s="3057"/>
    </row>
    <row r="386" spans="1:60" ht="18" customHeight="1">
      <c r="A386" s="3107"/>
      <c r="B386" s="7978">
        <v>25</v>
      </c>
      <c r="C386" s="7978"/>
      <c r="D386" s="892" t="s">
        <v>3279</v>
      </c>
      <c r="E386" s="808"/>
      <c r="F386" s="2112"/>
      <c r="G386" s="808"/>
      <c r="H386" s="808"/>
      <c r="I386" s="808"/>
      <c r="J386" s="808"/>
      <c r="K386" s="808"/>
      <c r="L386" s="808"/>
      <c r="M386" s="808"/>
      <c r="N386" s="808"/>
      <c r="O386" s="808"/>
      <c r="P386" s="808"/>
      <c r="Q386" s="808"/>
      <c r="R386" s="808"/>
      <c r="S386" s="808"/>
      <c r="T386" s="808"/>
      <c r="U386" s="808"/>
      <c r="V386" s="808"/>
      <c r="W386" s="808"/>
      <c r="X386" s="2405"/>
      <c r="Y386" s="1128" t="s">
        <v>1037</v>
      </c>
      <c r="Z386" s="7979">
        <v>25</v>
      </c>
      <c r="AA386" s="7980"/>
      <c r="AB386" s="7918" t="str">
        <f>IF(AL385,$AR$25,"")</f>
        <v/>
      </c>
      <c r="AC386" s="7919"/>
      <c r="AD386" s="7919"/>
      <c r="AE386" s="7919"/>
      <c r="AF386" s="7919"/>
      <c r="AG386" s="7919"/>
      <c r="AH386" s="7919"/>
      <c r="AI386" s="7920"/>
      <c r="AJ386" s="7925"/>
      <c r="AK386" s="7935"/>
      <c r="AL386" s="1150"/>
      <c r="AM386" s="808"/>
      <c r="AN386" s="808"/>
      <c r="AO386" s="808"/>
      <c r="AP386" s="2162"/>
      <c r="AQ386" s="900" t="s">
        <v>640</v>
      </c>
      <c r="AR386" s="7917">
        <f>IF(C281&lt;&gt;"",AL384,0)</f>
        <v>0</v>
      </c>
      <c r="AS386" s="7917"/>
      <c r="AT386" s="7917"/>
      <c r="AU386" s="7917"/>
      <c r="AV386" s="808"/>
      <c r="AW386" s="808"/>
      <c r="AX386" s="2396"/>
      <c r="AY386" s="3066"/>
      <c r="AZ386" s="3057"/>
      <c r="BA386" s="3057"/>
      <c r="BB386" s="3057"/>
      <c r="BC386" s="3057"/>
      <c r="BD386" s="3057"/>
      <c r="BE386" s="3057"/>
      <c r="BF386" s="3057"/>
      <c r="BG386" s="3057"/>
      <c r="BH386" s="3057"/>
    </row>
    <row r="387" spans="1:60" ht="14.25">
      <c r="A387" s="3107"/>
      <c r="B387" s="7978">
        <v>26</v>
      </c>
      <c r="C387" s="7978"/>
      <c r="D387" s="892" t="s">
        <v>3280</v>
      </c>
      <c r="E387" s="808"/>
      <c r="F387" s="2112"/>
      <c r="G387" s="808"/>
      <c r="H387" s="808"/>
      <c r="I387" s="808"/>
      <c r="J387" s="808"/>
      <c r="K387" s="808"/>
      <c r="L387" s="808"/>
      <c r="M387" s="808"/>
      <c r="N387" s="808"/>
      <c r="O387" s="808"/>
      <c r="P387" s="808"/>
      <c r="Q387" s="808"/>
      <c r="R387" s="808"/>
      <c r="S387" s="808"/>
      <c r="T387" s="808"/>
      <c r="U387" s="808"/>
      <c r="V387" s="808"/>
      <c r="W387" s="808"/>
      <c r="X387" s="2405"/>
      <c r="Y387" s="1128" t="s">
        <v>990</v>
      </c>
      <c r="Z387" s="7979">
        <v>26</v>
      </c>
      <c r="AA387" s="7980"/>
      <c r="AB387" s="7918" t="str">
        <f>IF(AL385,$AR$26,"")</f>
        <v/>
      </c>
      <c r="AC387" s="7919"/>
      <c r="AD387" s="7919"/>
      <c r="AE387" s="7919"/>
      <c r="AF387" s="7919"/>
      <c r="AG387" s="7919"/>
      <c r="AH387" s="7919"/>
      <c r="AI387" s="7920"/>
      <c r="AJ387" s="7925"/>
      <c r="AK387" s="7935"/>
      <c r="AL387" s="1150"/>
      <c r="AM387" s="808"/>
      <c r="AN387" s="808"/>
      <c r="AO387" s="808"/>
      <c r="AP387" s="2162"/>
      <c r="AQ387" s="900" t="s">
        <v>644</v>
      </c>
      <c r="AR387" s="7917">
        <f>IF(C283&lt;&gt;"",AL384,0)</f>
        <v>0</v>
      </c>
      <c r="AS387" s="7917"/>
      <c r="AT387" s="7917"/>
      <c r="AU387" s="7917"/>
      <c r="AV387" s="808"/>
      <c r="AW387" s="808"/>
      <c r="AX387" s="2396"/>
      <c r="AY387" s="3066" t="s">
        <v>3289</v>
      </c>
      <c r="AZ387" s="3057"/>
      <c r="BA387" s="3057"/>
      <c r="BB387" s="3057"/>
      <c r="BC387" s="3057"/>
      <c r="BD387" s="3057"/>
      <c r="BE387" s="3057"/>
      <c r="BF387" s="3057"/>
      <c r="BG387" s="3057"/>
      <c r="BH387" s="3057"/>
    </row>
    <row r="388" spans="1:60" ht="14.25">
      <c r="A388" s="3107"/>
      <c r="B388" s="7978">
        <v>27</v>
      </c>
      <c r="C388" s="7978"/>
      <c r="D388" s="892" t="s">
        <v>3281</v>
      </c>
      <c r="E388" s="808"/>
      <c r="F388" s="2112"/>
      <c r="G388" s="808"/>
      <c r="H388" s="808"/>
      <c r="I388" s="808"/>
      <c r="J388" s="808"/>
      <c r="K388" s="808"/>
      <c r="L388" s="808"/>
      <c r="M388" s="808"/>
      <c r="N388" s="808"/>
      <c r="O388" s="808"/>
      <c r="P388" s="808"/>
      <c r="Q388" s="808"/>
      <c r="R388" s="808"/>
      <c r="S388" s="808"/>
      <c r="T388" s="808"/>
      <c r="U388" s="808"/>
      <c r="V388" s="808"/>
      <c r="W388" s="808"/>
      <c r="X388" s="2405"/>
      <c r="Y388" s="1128" t="s">
        <v>930</v>
      </c>
      <c r="Z388" s="7979">
        <v>27</v>
      </c>
      <c r="AA388" s="7980"/>
      <c r="AB388" s="7918" t="str">
        <f>IF(AL385,$AR$27,"")</f>
        <v/>
      </c>
      <c r="AC388" s="7919"/>
      <c r="AD388" s="7919"/>
      <c r="AE388" s="7919"/>
      <c r="AF388" s="7919"/>
      <c r="AG388" s="7919"/>
      <c r="AH388" s="7919"/>
      <c r="AI388" s="7920"/>
      <c r="AJ388" s="7925"/>
      <c r="AK388" s="7935"/>
      <c r="AL388" s="1150"/>
      <c r="AM388" s="808"/>
      <c r="AN388" s="808"/>
      <c r="AO388" s="808"/>
      <c r="AP388" s="2162"/>
      <c r="AQ388" s="900" t="s">
        <v>648</v>
      </c>
      <c r="AR388" s="7917">
        <f>IF(K281&lt;&gt;"",AL384,0)</f>
        <v>0</v>
      </c>
      <c r="AS388" s="7917"/>
      <c r="AT388" s="7917"/>
      <c r="AU388" s="7917"/>
      <c r="AV388" s="808"/>
      <c r="AW388" s="808"/>
      <c r="AX388" s="2396"/>
      <c r="AY388" s="3066" t="s">
        <v>3291</v>
      </c>
      <c r="AZ388" s="3057"/>
      <c r="BA388" s="3057"/>
      <c r="BB388" s="3057"/>
      <c r="BC388" s="3057"/>
      <c r="BD388" s="3057"/>
      <c r="BE388" s="3057"/>
      <c r="BF388" s="3057"/>
      <c r="BG388" s="3057"/>
      <c r="BH388" s="3057"/>
    </row>
    <row r="389" spans="1:60" ht="14.25">
      <c r="A389" s="3107"/>
      <c r="B389" s="7978">
        <v>28</v>
      </c>
      <c r="C389" s="7978"/>
      <c r="D389" s="892" t="s">
        <v>3284</v>
      </c>
      <c r="E389" s="808"/>
      <c r="F389" s="2112"/>
      <c r="G389" s="808"/>
      <c r="H389" s="808"/>
      <c r="I389" s="808"/>
      <c r="J389" s="808"/>
      <c r="K389" s="808"/>
      <c r="L389" s="808"/>
      <c r="M389" s="808"/>
      <c r="N389" s="808"/>
      <c r="O389" s="808"/>
      <c r="P389" s="808"/>
      <c r="Q389" s="808"/>
      <c r="R389" s="808"/>
      <c r="S389" s="808"/>
      <c r="T389" s="808"/>
      <c r="U389" s="808"/>
      <c r="V389" s="808"/>
      <c r="W389" s="808"/>
      <c r="X389" s="2405"/>
      <c r="Y389" s="1128" t="s">
        <v>930</v>
      </c>
      <c r="Z389" s="7979">
        <v>28</v>
      </c>
      <c r="AA389" s="7980"/>
      <c r="AB389" s="7918" t="str">
        <f>IF(AL385,$AR$28,"")</f>
        <v/>
      </c>
      <c r="AC389" s="7919"/>
      <c r="AD389" s="7919"/>
      <c r="AE389" s="7919"/>
      <c r="AF389" s="7919"/>
      <c r="AG389" s="7919"/>
      <c r="AH389" s="7919"/>
      <c r="AI389" s="7920"/>
      <c r="AJ389" s="7925"/>
      <c r="AK389" s="7935"/>
      <c r="AL389" s="1150"/>
      <c r="AM389" s="808"/>
      <c r="AN389" s="808"/>
      <c r="AO389" s="808"/>
      <c r="AP389" s="2162"/>
      <c r="AQ389" s="900" t="s">
        <v>652</v>
      </c>
      <c r="AR389" s="7917">
        <f>IF(K283&lt;&gt;"",AL384,0)</f>
        <v>0</v>
      </c>
      <c r="AS389" s="7917"/>
      <c r="AT389" s="7917"/>
      <c r="AU389" s="7917"/>
      <c r="AV389" s="808"/>
      <c r="AW389" s="808"/>
      <c r="AX389" s="2396"/>
      <c r="AY389" s="3067" t="s">
        <v>3293</v>
      </c>
      <c r="AZ389" s="3057"/>
      <c r="BA389" s="3057"/>
      <c r="BB389" s="3057"/>
      <c r="BC389" s="3057"/>
      <c r="BD389" s="3057"/>
      <c r="BE389" s="3057"/>
      <c r="BF389" s="3057"/>
      <c r="BG389" s="3057"/>
      <c r="BH389" s="3057"/>
    </row>
    <row r="390" spans="1:60" ht="14.25">
      <c r="A390" s="3107"/>
      <c r="B390" s="7978">
        <v>29</v>
      </c>
      <c r="C390" s="7978"/>
      <c r="D390" s="892" t="s">
        <v>3287</v>
      </c>
      <c r="E390" s="808"/>
      <c r="F390" s="2112"/>
      <c r="G390" s="808"/>
      <c r="H390" s="808"/>
      <c r="I390" s="808"/>
      <c r="J390" s="808"/>
      <c r="K390" s="808"/>
      <c r="L390" s="808"/>
      <c r="M390" s="808"/>
      <c r="N390" s="808"/>
      <c r="O390" s="808"/>
      <c r="P390" s="808"/>
      <c r="Q390" s="808"/>
      <c r="R390" s="808"/>
      <c r="S390" s="808"/>
      <c r="T390" s="808"/>
      <c r="U390" s="808"/>
      <c r="V390" s="808"/>
      <c r="W390" s="808"/>
      <c r="X390" s="2405"/>
      <c r="Y390" s="1128" t="s">
        <v>990</v>
      </c>
      <c r="Z390" s="7979">
        <v>29</v>
      </c>
      <c r="AA390" s="7980"/>
      <c r="AB390" s="7918" t="str">
        <f>IF(AL385,$AR$29,"")</f>
        <v/>
      </c>
      <c r="AC390" s="7919"/>
      <c r="AD390" s="7919"/>
      <c r="AE390" s="7919"/>
      <c r="AF390" s="7919"/>
      <c r="AG390" s="7919"/>
      <c r="AH390" s="7919"/>
      <c r="AI390" s="7920"/>
      <c r="AJ390" s="7925"/>
      <c r="AK390" s="7935"/>
      <c r="AL390" s="1150"/>
      <c r="AM390" s="808"/>
      <c r="AN390" s="808"/>
      <c r="AO390" s="808"/>
      <c r="AP390" s="2162"/>
      <c r="AQ390" s="900" t="s">
        <v>656</v>
      </c>
      <c r="AR390" s="7917">
        <f>IF(W281&lt;&gt;"",AL384,0)</f>
        <v>0</v>
      </c>
      <c r="AS390" s="7917"/>
      <c r="AT390" s="7917"/>
      <c r="AU390" s="7917"/>
      <c r="AV390" s="808"/>
      <c r="AW390" s="808"/>
      <c r="AX390" s="2396"/>
      <c r="AY390" s="3067"/>
      <c r="AZ390" s="3057"/>
      <c r="BA390" s="3057"/>
      <c r="BB390" s="3057"/>
      <c r="BC390" s="3057"/>
      <c r="BD390" s="3057"/>
      <c r="BE390" s="3057"/>
      <c r="BF390" s="3057"/>
      <c r="BG390" s="3057"/>
      <c r="BH390" s="3057"/>
    </row>
    <row r="391" spans="1:60" ht="14.25">
      <c r="A391" s="3107"/>
      <c r="B391" s="7978">
        <v>30</v>
      </c>
      <c r="C391" s="7978"/>
      <c r="D391" s="892" t="s">
        <v>3288</v>
      </c>
      <c r="E391" s="808"/>
      <c r="F391" s="2112"/>
      <c r="G391" s="808"/>
      <c r="H391" s="808"/>
      <c r="I391" s="808"/>
      <c r="J391" s="808"/>
      <c r="K391" s="808"/>
      <c r="L391" s="808"/>
      <c r="M391" s="808"/>
      <c r="N391" s="808"/>
      <c r="O391" s="808"/>
      <c r="P391" s="808"/>
      <c r="Q391" s="808"/>
      <c r="R391" s="808"/>
      <c r="S391" s="808"/>
      <c r="T391" s="808"/>
      <c r="U391" s="808"/>
      <c r="V391" s="808"/>
      <c r="W391" s="808"/>
      <c r="X391" s="2405"/>
      <c r="Y391" s="1128" t="s">
        <v>914</v>
      </c>
      <c r="Z391" s="7979">
        <v>30</v>
      </c>
      <c r="AA391" s="7980"/>
      <c r="AB391" s="7918" t="str">
        <f>IF(AL385,$AR$30,"")</f>
        <v/>
      </c>
      <c r="AC391" s="7919"/>
      <c r="AD391" s="7919"/>
      <c r="AE391" s="7919"/>
      <c r="AF391" s="7919"/>
      <c r="AG391" s="7919"/>
      <c r="AH391" s="7919"/>
      <c r="AI391" s="7920"/>
      <c r="AJ391" s="7925"/>
      <c r="AK391" s="7935"/>
      <c r="AL391" s="1150"/>
      <c r="AM391" s="808"/>
      <c r="AN391" s="808"/>
      <c r="AO391" s="808"/>
      <c r="AP391" s="2162"/>
      <c r="AQ391" s="900" t="s">
        <v>659</v>
      </c>
      <c r="AR391" s="7917">
        <f>IF(W283&lt;&gt;"",AL384,0)</f>
        <v>0</v>
      </c>
      <c r="AS391" s="7917"/>
      <c r="AT391" s="7917"/>
      <c r="AU391" s="7917"/>
      <c r="AV391" s="808"/>
      <c r="AW391" s="808"/>
      <c r="AX391" s="2396"/>
      <c r="AY391" s="3066"/>
      <c r="AZ391" s="3057"/>
      <c r="BA391" s="3057"/>
      <c r="BB391" s="3057"/>
      <c r="BC391" s="3057"/>
      <c r="BD391" s="3057"/>
      <c r="BE391" s="3057"/>
      <c r="BF391" s="3057"/>
      <c r="BG391" s="3057"/>
      <c r="BH391" s="3057"/>
    </row>
    <row r="392" spans="1:60" ht="15" thickBot="1">
      <c r="A392" s="3107"/>
      <c r="B392" s="7978">
        <v>31</v>
      </c>
      <c r="C392" s="7978"/>
      <c r="D392" s="892" t="s">
        <v>3290</v>
      </c>
      <c r="E392" s="808"/>
      <c r="F392" s="2112"/>
      <c r="G392" s="808"/>
      <c r="H392" s="808"/>
      <c r="I392" s="808"/>
      <c r="J392" s="808"/>
      <c r="K392" s="808"/>
      <c r="L392" s="808"/>
      <c r="M392" s="808"/>
      <c r="N392" s="808"/>
      <c r="O392" s="808"/>
      <c r="P392" s="808"/>
      <c r="Q392" s="808"/>
      <c r="R392" s="808"/>
      <c r="S392" s="808"/>
      <c r="T392" s="808"/>
      <c r="U392" s="808"/>
      <c r="V392" s="808"/>
      <c r="W392" s="808"/>
      <c r="X392" s="2405"/>
      <c r="Y392" s="1128" t="s">
        <v>990</v>
      </c>
      <c r="Z392" s="8085">
        <v>31</v>
      </c>
      <c r="AA392" s="8086"/>
      <c r="AB392" s="8087" t="str">
        <f>IF(AL385,$AR$31,"")</f>
        <v/>
      </c>
      <c r="AC392" s="8088"/>
      <c r="AD392" s="8088"/>
      <c r="AE392" s="8088"/>
      <c r="AF392" s="8088"/>
      <c r="AG392" s="8088"/>
      <c r="AH392" s="8088"/>
      <c r="AI392" s="8089"/>
      <c r="AJ392" s="7925"/>
      <c r="AK392" s="7935"/>
      <c r="AL392" s="1150"/>
      <c r="AM392" s="808"/>
      <c r="AN392" s="808"/>
      <c r="AO392" s="808"/>
      <c r="AP392" s="2162"/>
      <c r="AQ392" s="900" t="s">
        <v>663</v>
      </c>
      <c r="AR392" s="7917">
        <f>IF(AI281&lt;&gt;"",AL384,0)</f>
        <v>0</v>
      </c>
      <c r="AS392" s="7917"/>
      <c r="AT392" s="7917"/>
      <c r="AU392" s="7917"/>
      <c r="AV392" s="808"/>
      <c r="AW392" s="808"/>
      <c r="AX392" s="2396"/>
      <c r="AY392" s="3066"/>
      <c r="AZ392" s="3057"/>
      <c r="BA392" s="3057"/>
      <c r="BB392" s="3057"/>
      <c r="BC392" s="3057"/>
      <c r="BD392" s="3057"/>
      <c r="BE392" s="3057"/>
      <c r="BF392" s="3057"/>
      <c r="BG392" s="3057"/>
      <c r="BH392" s="3057"/>
    </row>
    <row r="393" spans="1:60" ht="14.25">
      <c r="A393" s="3107"/>
      <c r="B393" s="7978">
        <v>32</v>
      </c>
      <c r="C393" s="7978"/>
      <c r="D393" s="892" t="s">
        <v>3292</v>
      </c>
      <c r="E393" s="808"/>
      <c r="F393" s="2112"/>
      <c r="G393" s="808"/>
      <c r="H393" s="808"/>
      <c r="I393" s="808"/>
      <c r="J393" s="808"/>
      <c r="K393" s="808"/>
      <c r="L393" s="808"/>
      <c r="M393" s="808"/>
      <c r="N393" s="808"/>
      <c r="O393" s="808"/>
      <c r="P393" s="808"/>
      <c r="Q393" s="808"/>
      <c r="R393" s="808"/>
      <c r="S393" s="808"/>
      <c r="T393" s="808"/>
      <c r="U393" s="808"/>
      <c r="V393" s="808"/>
      <c r="W393" s="808"/>
      <c r="X393" s="808"/>
      <c r="Y393" s="808"/>
      <c r="Z393" s="2203"/>
      <c r="AA393" s="2203"/>
      <c r="AB393" s="1142"/>
      <c r="AC393" s="1142"/>
      <c r="AD393" s="1142"/>
      <c r="AE393" s="1142"/>
      <c r="AF393" s="1142"/>
      <c r="AG393" s="1142"/>
      <c r="AH393" s="1142"/>
      <c r="AI393" s="1128" t="s">
        <v>985</v>
      </c>
      <c r="AJ393" s="7979">
        <v>32</v>
      </c>
      <c r="AK393" s="7980"/>
      <c r="AL393" s="7916" t="str">
        <f>IF(AQ393&lt;&gt;"",ROUND(AQ393,0),IF(NOT(AL385),"",SUM(AB386:AI392)))</f>
        <v/>
      </c>
      <c r="AM393" s="6829"/>
      <c r="AN393" s="6829"/>
      <c r="AO393" s="6829"/>
      <c r="AP393" s="2162"/>
      <c r="AQ393" s="7914"/>
      <c r="AR393" s="7915"/>
      <c r="AS393" s="7915"/>
      <c r="AT393" s="7915"/>
      <c r="AU393" s="2162"/>
      <c r="AV393" s="808"/>
      <c r="AW393" s="808"/>
      <c r="AX393" s="2396"/>
      <c r="AY393" s="3066"/>
      <c r="AZ393" s="3057"/>
      <c r="BA393" s="3057"/>
      <c r="BB393" s="3057"/>
      <c r="BC393" s="3057"/>
      <c r="BD393" s="3057"/>
      <c r="BE393" s="3057"/>
      <c r="BF393" s="3057"/>
      <c r="BG393" s="3057"/>
      <c r="BH393" s="3057"/>
    </row>
    <row r="394" spans="1:60" ht="14.25">
      <c r="A394" s="3107"/>
      <c r="B394" s="7978">
        <v>33</v>
      </c>
      <c r="C394" s="7978"/>
      <c r="D394" s="892" t="s">
        <v>3294</v>
      </c>
      <c r="E394" s="808"/>
      <c r="F394" s="2112"/>
      <c r="G394" s="808"/>
      <c r="H394" s="808"/>
      <c r="I394" s="808"/>
      <c r="J394" s="808"/>
      <c r="K394" s="808"/>
      <c r="L394" s="808"/>
      <c r="M394" s="808"/>
      <c r="N394" s="808"/>
      <c r="O394" s="808"/>
      <c r="P394" s="808"/>
      <c r="Q394" s="808"/>
      <c r="R394" s="808"/>
      <c r="S394" s="808"/>
      <c r="T394" s="808"/>
      <c r="U394" s="808"/>
      <c r="V394" s="808"/>
      <c r="W394" s="808"/>
      <c r="X394" s="808"/>
      <c r="Y394" s="808"/>
      <c r="Z394" s="1376"/>
      <c r="AA394" s="1376"/>
      <c r="AB394" s="808"/>
      <c r="AC394" s="808"/>
      <c r="AD394" s="808"/>
      <c r="AE394" s="808"/>
      <c r="AF394" s="808"/>
      <c r="AG394" s="808"/>
      <c r="AH394" s="808"/>
      <c r="AI394" s="1128" t="s">
        <v>2143</v>
      </c>
      <c r="AJ394" s="7979">
        <v>33</v>
      </c>
      <c r="AK394" s="7980"/>
      <c r="AL394" s="7916" t="str">
        <f>IF(NOT(AL385),"",IF(ISERROR(MIN(AL373,AL393)),"",MIN(AL373,AL393)))</f>
        <v/>
      </c>
      <c r="AM394" s="6829"/>
      <c r="AN394" s="6829"/>
      <c r="AO394" s="6829"/>
      <c r="AP394" s="2162"/>
      <c r="AQ394" s="2162"/>
      <c r="AR394" s="2162"/>
      <c r="AS394" s="2162"/>
      <c r="AT394" s="2162"/>
      <c r="AU394" s="2162"/>
      <c r="AV394" s="808"/>
      <c r="AW394" s="808"/>
      <c r="AX394" s="2396"/>
      <c r="AY394" s="3066"/>
      <c r="AZ394" s="3057"/>
      <c r="BA394" s="3057"/>
      <c r="BB394" s="3057"/>
      <c r="BC394" s="3057"/>
      <c r="BD394" s="3057"/>
      <c r="BE394" s="3057"/>
      <c r="BF394" s="3057"/>
      <c r="BG394" s="3057"/>
      <c r="BH394" s="3057"/>
    </row>
    <row r="395" spans="1:60" ht="15" thickBot="1">
      <c r="A395" s="3107"/>
      <c r="B395" s="7978">
        <v>34</v>
      </c>
      <c r="C395" s="7978"/>
      <c r="D395" s="892" t="s">
        <v>3295</v>
      </c>
      <c r="E395" s="808"/>
      <c r="F395" s="2112"/>
      <c r="G395" s="808"/>
      <c r="H395" s="808"/>
      <c r="I395" s="808"/>
      <c r="J395" s="808"/>
      <c r="K395" s="808"/>
      <c r="L395" s="808"/>
      <c r="M395" s="808"/>
      <c r="N395" s="808"/>
      <c r="O395" s="808"/>
      <c r="P395" s="808"/>
      <c r="Q395" s="808"/>
      <c r="R395" s="808"/>
      <c r="S395" s="808"/>
      <c r="T395" s="808"/>
      <c r="U395" s="808"/>
      <c r="V395" s="808"/>
      <c r="W395" s="808"/>
      <c r="X395" s="808"/>
      <c r="Y395" s="808"/>
      <c r="Z395" s="1376"/>
      <c r="AA395" s="1376"/>
      <c r="AB395" s="808"/>
      <c r="AC395" s="808"/>
      <c r="AD395" s="808"/>
      <c r="AE395" s="808"/>
      <c r="AF395" s="808"/>
      <c r="AG395" s="808"/>
      <c r="AH395" s="808"/>
      <c r="AI395" s="1128" t="s">
        <v>914</v>
      </c>
      <c r="AJ395" s="8085">
        <v>34</v>
      </c>
      <c r="AK395" s="8086"/>
      <c r="AL395" s="8078"/>
      <c r="AM395" s="8079"/>
      <c r="AN395" s="8079"/>
      <c r="AO395" s="8079"/>
      <c r="AP395" s="2162"/>
      <c r="AQ395" s="808"/>
      <c r="AR395" s="808"/>
      <c r="AS395" s="808"/>
      <c r="AT395" s="808"/>
      <c r="AU395" s="808"/>
      <c r="AV395" s="808"/>
      <c r="AW395" s="808"/>
      <c r="AX395" s="2396"/>
      <c r="AY395" s="3066"/>
      <c r="AZ395" s="3057"/>
      <c r="BA395" s="3057"/>
      <c r="BB395" s="3057"/>
      <c r="BC395" s="3057"/>
      <c r="BD395" s="3057"/>
      <c r="BE395" s="3057"/>
      <c r="BF395" s="3057"/>
      <c r="BG395" s="3057"/>
      <c r="BH395" s="3057"/>
    </row>
    <row r="396" spans="1:60">
      <c r="A396" s="3107"/>
      <c r="B396" s="7978">
        <v>35</v>
      </c>
      <c r="C396" s="7978"/>
      <c r="D396" s="892" t="s">
        <v>3296</v>
      </c>
      <c r="E396" s="808"/>
      <c r="F396" s="808"/>
      <c r="G396" s="808"/>
      <c r="H396" s="808"/>
      <c r="I396" s="808"/>
      <c r="J396" s="808"/>
      <c r="K396" s="808"/>
      <c r="L396" s="808"/>
      <c r="M396" s="808"/>
      <c r="N396" s="808"/>
      <c r="O396" s="808"/>
      <c r="P396" s="808"/>
      <c r="Q396" s="808"/>
      <c r="R396" s="808"/>
      <c r="S396" s="808"/>
      <c r="T396" s="901"/>
      <c r="U396" s="808"/>
      <c r="V396" s="808"/>
      <c r="W396" s="808"/>
      <c r="X396" s="808"/>
      <c r="Y396" s="808"/>
      <c r="Z396" s="808"/>
      <c r="AA396" s="808"/>
      <c r="AB396" s="808"/>
      <c r="AC396" s="808"/>
      <c r="AD396" s="808"/>
      <c r="AE396" s="808"/>
      <c r="AF396" s="808"/>
      <c r="AG396" s="808"/>
      <c r="AH396" s="808"/>
      <c r="AI396" s="808"/>
      <c r="AJ396" s="8076"/>
      <c r="AK396" s="8077"/>
      <c r="AL396" s="1150"/>
      <c r="AM396" s="808"/>
      <c r="AN396" s="808"/>
      <c r="AO396" s="808"/>
      <c r="AP396" s="2162"/>
      <c r="AQ396" s="2162"/>
      <c r="AR396" s="2162"/>
      <c r="AS396" s="2162"/>
      <c r="AT396" s="2162"/>
      <c r="AU396" s="2162"/>
      <c r="AV396" s="808"/>
      <c r="AW396" s="808"/>
      <c r="AX396" s="2396"/>
      <c r="AY396" s="3066"/>
      <c r="AZ396" s="3057"/>
      <c r="BA396" s="3057"/>
      <c r="BB396" s="3057"/>
      <c r="BC396" s="3057"/>
      <c r="BD396" s="3057"/>
      <c r="BE396" s="3057"/>
      <c r="BF396" s="3057"/>
      <c r="BG396" s="3057"/>
      <c r="BH396" s="3057"/>
    </row>
    <row r="397" spans="1:60" ht="15.75" thickBot="1">
      <c r="A397" s="3107"/>
      <c r="B397" s="2210"/>
      <c r="C397" s="2210"/>
      <c r="D397" s="1257" t="s">
        <v>3297</v>
      </c>
      <c r="E397" s="896"/>
      <c r="F397" s="896"/>
      <c r="G397" s="896"/>
      <c r="H397" s="896"/>
      <c r="I397" s="896"/>
      <c r="J397" s="896"/>
      <c r="K397" s="896"/>
      <c r="L397" s="896"/>
      <c r="M397" s="896"/>
      <c r="N397" s="896"/>
      <c r="O397" s="896"/>
      <c r="P397" s="896"/>
      <c r="Q397" s="896"/>
      <c r="R397" s="896"/>
      <c r="S397" s="896"/>
      <c r="T397" s="2211"/>
      <c r="U397" s="896"/>
      <c r="V397" s="896"/>
      <c r="W397" s="896"/>
      <c r="X397" s="896"/>
      <c r="Y397" s="896"/>
      <c r="Z397" s="896"/>
      <c r="AA397" s="896"/>
      <c r="AB397" s="896"/>
      <c r="AC397" s="896"/>
      <c r="AD397" s="896"/>
      <c r="AE397" s="896"/>
      <c r="AF397" s="896"/>
      <c r="AG397" s="896"/>
      <c r="AH397" s="896"/>
      <c r="AI397" s="2629" t="s">
        <v>888</v>
      </c>
      <c r="AJ397" s="8080">
        <v>35</v>
      </c>
      <c r="AK397" s="8081"/>
      <c r="AL397" s="7912" t="str">
        <f>IF(AQ397&lt;&gt;"",ROUND(AQ397,0),IF(AND(AL383=1,AO281=1),AL384,IF(NOT(AL385),"",IF(ISERROR(SUM(AL394,-AL395)),"",SUM(AL394,-AL395)))))</f>
        <v/>
      </c>
      <c r="AM397" s="7913"/>
      <c r="AN397" s="7913"/>
      <c r="AO397" s="7913"/>
      <c r="AP397" s="2162"/>
      <c r="AQ397" s="7914"/>
      <c r="AR397" s="7915"/>
      <c r="AS397" s="7915"/>
      <c r="AT397" s="7915"/>
      <c r="AU397" s="2162"/>
      <c r="AV397" s="808"/>
      <c r="AW397" s="808"/>
      <c r="AX397" s="2396"/>
      <c r="AY397" s="3066"/>
      <c r="AZ397" s="3057"/>
      <c r="BA397" s="3057"/>
      <c r="BB397" s="3057"/>
      <c r="BC397" s="3057"/>
      <c r="BD397" s="3057"/>
      <c r="BE397" s="3057"/>
      <c r="BF397" s="3057"/>
      <c r="BG397" s="3057"/>
      <c r="BH397" s="3057"/>
    </row>
    <row r="398" spans="1:60" ht="18">
      <c r="A398" s="3107"/>
      <c r="B398" s="2121"/>
      <c r="C398" s="2119"/>
      <c r="D398" s="808"/>
      <c r="E398" s="808"/>
      <c r="F398" s="808"/>
      <c r="G398" s="808"/>
      <c r="H398" s="808"/>
      <c r="I398" s="808"/>
      <c r="J398" s="808"/>
      <c r="K398" s="808"/>
      <c r="L398" s="808"/>
      <c r="M398" s="808"/>
      <c r="N398" s="808"/>
      <c r="O398" s="808"/>
      <c r="P398" s="808"/>
      <c r="Q398" s="808"/>
      <c r="R398" s="808"/>
      <c r="S398" s="808"/>
      <c r="T398" s="808"/>
      <c r="U398" s="808"/>
      <c r="V398" s="808"/>
      <c r="W398" s="808"/>
      <c r="X398" s="808"/>
      <c r="Y398" s="808"/>
      <c r="Z398" s="808"/>
      <c r="AA398" s="808"/>
      <c r="AB398" s="808"/>
      <c r="AC398" s="808"/>
      <c r="AD398" s="808"/>
      <c r="AE398" s="808"/>
      <c r="AF398" s="808"/>
      <c r="AG398" s="808"/>
      <c r="AH398" s="808"/>
      <c r="AI398" s="808"/>
      <c r="AJ398" s="808"/>
      <c r="AK398" s="1585"/>
      <c r="AL398" s="808"/>
      <c r="AM398" s="808"/>
      <c r="AN398" s="1585" t="s">
        <v>3298</v>
      </c>
      <c r="AO398" s="1461" t="str">
        <f>"("&amp;TaxYear&amp;")"</f>
        <v>(2023)</v>
      </c>
      <c r="AP398" s="2162"/>
      <c r="AQ398" s="2162"/>
      <c r="AR398" s="2162"/>
      <c r="AS398" s="2162"/>
      <c r="AT398" s="2162"/>
      <c r="AU398" s="2162"/>
      <c r="AV398" s="808"/>
      <c r="AW398" s="808"/>
      <c r="AX398" s="2396"/>
      <c r="AY398" s="3066"/>
      <c r="AZ398" s="3057"/>
      <c r="BA398" s="3057"/>
      <c r="BB398" s="3057"/>
      <c r="BC398" s="3057"/>
      <c r="BD398" s="3057"/>
      <c r="BE398" s="3057"/>
      <c r="BF398" s="3057"/>
      <c r="BG398" s="3057"/>
      <c r="BH398" s="3057"/>
    </row>
    <row r="399" spans="1:60">
      <c r="A399" s="3107"/>
      <c r="B399" s="2162"/>
      <c r="C399" s="2162"/>
      <c r="D399" s="2162"/>
      <c r="E399" s="2162"/>
      <c r="F399" s="2162"/>
      <c r="G399" s="2162"/>
      <c r="H399" s="2162"/>
      <c r="I399" s="2162"/>
      <c r="J399" s="2162"/>
      <c r="K399" s="2162"/>
      <c r="L399" s="2162"/>
      <c r="M399" s="2162"/>
      <c r="N399" s="2162"/>
      <c r="O399" s="2162"/>
      <c r="P399" s="2162"/>
      <c r="Q399" s="2162"/>
      <c r="R399" s="2162"/>
      <c r="S399" s="2162"/>
      <c r="T399" s="2162"/>
      <c r="U399" s="2162"/>
      <c r="V399" s="2162"/>
      <c r="W399" s="2162"/>
      <c r="X399" s="2162"/>
      <c r="Y399" s="2162"/>
      <c r="Z399" s="2162"/>
      <c r="AA399" s="2162"/>
      <c r="AB399" s="2162"/>
      <c r="AC399" s="2162"/>
      <c r="AD399" s="2162"/>
      <c r="AE399" s="2162"/>
      <c r="AF399" s="2162"/>
      <c r="AG399" s="2162"/>
      <c r="AH399" s="2162"/>
      <c r="AI399" s="2162"/>
      <c r="AJ399" s="2162"/>
      <c r="AK399" s="2162"/>
      <c r="AL399" s="2162"/>
      <c r="AM399" s="2162"/>
      <c r="AN399" s="2162"/>
      <c r="AO399" s="2162"/>
      <c r="AP399" s="2162"/>
      <c r="AQ399" s="808"/>
      <c r="AR399" s="808"/>
      <c r="AS399" s="808"/>
      <c r="AT399" s="808"/>
      <c r="AU399" s="808"/>
      <c r="AV399" s="808"/>
      <c r="AW399" s="808"/>
      <c r="AX399" s="2396"/>
      <c r="AY399" s="3066"/>
      <c r="AZ399" s="3057"/>
      <c r="BA399" s="3057"/>
      <c r="BB399" s="3057"/>
      <c r="BC399" s="3057"/>
      <c r="BD399" s="3057"/>
      <c r="BE399" s="3057"/>
      <c r="BF399" s="3057"/>
      <c r="BG399" s="3057"/>
      <c r="BH399" s="3057"/>
    </row>
  </sheetData>
  <sheetProtection password="F07E" sheet="1" objects="1" scenarios="1"/>
  <mergeCells count="1071">
    <mergeCell ref="AR6:AS6"/>
    <mergeCell ref="AT6:AU6"/>
    <mergeCell ref="M10:Z11"/>
    <mergeCell ref="B4:C4"/>
    <mergeCell ref="B6:C6"/>
    <mergeCell ref="B8:C8"/>
    <mergeCell ref="B297:C297"/>
    <mergeCell ref="B264:C264"/>
    <mergeCell ref="B291:C291"/>
    <mergeCell ref="P291:V291"/>
    <mergeCell ref="W291:AC291"/>
    <mergeCell ref="AD291:AI291"/>
    <mergeCell ref="AJ291:AK291"/>
    <mergeCell ref="B292:C292"/>
    <mergeCell ref="AJ292:AK292"/>
    <mergeCell ref="AJ293:AK293"/>
    <mergeCell ref="H294:N294"/>
    <mergeCell ref="AJ294:AK294"/>
    <mergeCell ref="B276:Z277"/>
    <mergeCell ref="AG8:AN8"/>
    <mergeCell ref="B263:C263"/>
    <mergeCell ref="Z263:AA263"/>
    <mergeCell ref="AB263:AI263"/>
    <mergeCell ref="AJ263:AK263"/>
    <mergeCell ref="B232:C232"/>
    <mergeCell ref="AJ237:AK237"/>
    <mergeCell ref="Z234:AA234"/>
    <mergeCell ref="AB234:AI234"/>
    <mergeCell ref="AJ234:AK234"/>
    <mergeCell ref="B235:C235"/>
    <mergeCell ref="AJ235:AK235"/>
    <mergeCell ref="B236:C236"/>
    <mergeCell ref="AA276:AO277"/>
    <mergeCell ref="L285:AO285"/>
    <mergeCell ref="AJ241:AK241"/>
    <mergeCell ref="B242:C242"/>
    <mergeCell ref="AJ242:AK242"/>
    <mergeCell ref="AJ244:AK244"/>
    <mergeCell ref="Z261:AA261"/>
    <mergeCell ref="AB261:AI261"/>
    <mergeCell ref="AJ261:AK261"/>
    <mergeCell ref="H272:AH272"/>
    <mergeCell ref="AO273:AO274"/>
    <mergeCell ref="AI273:AN274"/>
    <mergeCell ref="B255:C255"/>
    <mergeCell ref="AJ255:AK255"/>
    <mergeCell ref="B261:C261"/>
    <mergeCell ref="AQ244:AT244"/>
    <mergeCell ref="B245:C245"/>
    <mergeCell ref="AJ268:AK268"/>
    <mergeCell ref="B253:C253"/>
    <mergeCell ref="AR25:AU25"/>
    <mergeCell ref="AR26:AU26"/>
    <mergeCell ref="AR27:AU27"/>
    <mergeCell ref="AR28:AU28"/>
    <mergeCell ref="AQ104:AU104"/>
    <mergeCell ref="AQ234:AU234"/>
    <mergeCell ref="B250:C250"/>
    <mergeCell ref="AJ250:AK250"/>
    <mergeCell ref="AL250:AO250"/>
    <mergeCell ref="B252:C252"/>
    <mergeCell ref="AJ252:AK252"/>
    <mergeCell ref="AL252:AO252"/>
    <mergeCell ref="AB235:AI235"/>
    <mergeCell ref="AL235:AO235"/>
    <mergeCell ref="AL244:AO244"/>
    <mergeCell ref="AQ240:AT240"/>
    <mergeCell ref="B231:C231"/>
    <mergeCell ref="Z231:AA231"/>
    <mergeCell ref="AJ231:AK231"/>
    <mergeCell ref="AL225:AO225"/>
    <mergeCell ref="B226:C226"/>
    <mergeCell ref="Z226:AA226"/>
    <mergeCell ref="AJ226:AK226"/>
    <mergeCell ref="B227:C227"/>
    <mergeCell ref="Z227:AA227"/>
    <mergeCell ref="AJ227:AK227"/>
    <mergeCell ref="AL296:AO296"/>
    <mergeCell ref="AR30:AU30"/>
    <mergeCell ref="AR31:AU31"/>
    <mergeCell ref="AL220:AO220"/>
    <mergeCell ref="AL221:AO221"/>
    <mergeCell ref="AR259:AU259"/>
    <mergeCell ref="B260:C260"/>
    <mergeCell ref="Z260:AA260"/>
    <mergeCell ref="AB260:AI260"/>
    <mergeCell ref="AJ260:AK260"/>
    <mergeCell ref="AD296:AI296"/>
    <mergeCell ref="B262:C262"/>
    <mergeCell ref="Z262:AA262"/>
    <mergeCell ref="AB262:AI262"/>
    <mergeCell ref="AJ262:AK262"/>
    <mergeCell ref="AR262:AU262"/>
    <mergeCell ref="AR263:AU263"/>
    <mergeCell ref="B273:G274"/>
    <mergeCell ref="H273:AH273"/>
    <mergeCell ref="B288:D288"/>
    <mergeCell ref="B289:C289"/>
    <mergeCell ref="P289:AI289"/>
    <mergeCell ref="AJ289:AO290"/>
    <mergeCell ref="B290:C290"/>
    <mergeCell ref="P290:V290"/>
    <mergeCell ref="B240:C240"/>
    <mergeCell ref="AJ240:AK240"/>
    <mergeCell ref="AL240:AO240"/>
    <mergeCell ref="B241:C241"/>
    <mergeCell ref="Z236:AA236"/>
    <mergeCell ref="AJ236:AK236"/>
    <mergeCell ref="H270:AH271"/>
    <mergeCell ref="B306:C306"/>
    <mergeCell ref="Z257:AA257"/>
    <mergeCell ref="AB257:AI257"/>
    <mergeCell ref="AJ257:AK257"/>
    <mergeCell ref="AR257:AU257"/>
    <mergeCell ref="B258:C258"/>
    <mergeCell ref="Z258:AA258"/>
    <mergeCell ref="AB258:AI258"/>
    <mergeCell ref="AJ258:AK258"/>
    <mergeCell ref="AR258:AU258"/>
    <mergeCell ref="B259:C259"/>
    <mergeCell ref="Z259:AA259"/>
    <mergeCell ref="AB259:AI259"/>
    <mergeCell ref="B305:C305"/>
    <mergeCell ref="P305:V305"/>
    <mergeCell ref="B286:C286"/>
    <mergeCell ref="AQ268:AT268"/>
    <mergeCell ref="B270:G271"/>
    <mergeCell ref="AI270:AO270"/>
    <mergeCell ref="AI271:AO272"/>
    <mergeCell ref="B257:C257"/>
    <mergeCell ref="D295:N295"/>
    <mergeCell ref="D296:N296"/>
    <mergeCell ref="P296:V296"/>
    <mergeCell ref="AR260:AU260"/>
    <mergeCell ref="B304:C304"/>
    <mergeCell ref="AR261:AU261"/>
    <mergeCell ref="B265:C265"/>
    <mergeCell ref="B266:C266"/>
    <mergeCell ref="B267:C267"/>
    <mergeCell ref="AJ259:AK259"/>
    <mergeCell ref="AJ296:AK296"/>
    <mergeCell ref="AR391:AU391"/>
    <mergeCell ref="AR386:AU386"/>
    <mergeCell ref="B387:C387"/>
    <mergeCell ref="Z387:AA387"/>
    <mergeCell ref="AB387:AI387"/>
    <mergeCell ref="AJ387:AK387"/>
    <mergeCell ref="B377:C377"/>
    <mergeCell ref="AJ377:AK377"/>
    <mergeCell ref="AL377:AO377"/>
    <mergeCell ref="B382:C382"/>
    <mergeCell ref="B384:C384"/>
    <mergeCell ref="AJ384:AK384"/>
    <mergeCell ref="AL384:AO384"/>
    <mergeCell ref="AR389:AU389"/>
    <mergeCell ref="AR390:AU390"/>
    <mergeCell ref="AQ366:AT366"/>
    <mergeCell ref="B369:C369"/>
    <mergeCell ref="AJ369:AK369"/>
    <mergeCell ref="AL369:AO369"/>
    <mergeCell ref="B370:C370"/>
    <mergeCell ref="AJ370:AK370"/>
    <mergeCell ref="B371:C371"/>
    <mergeCell ref="AQ363:AW363"/>
    <mergeCell ref="AB364:AI364"/>
    <mergeCell ref="AL364:AO364"/>
    <mergeCell ref="AQ364:AW364"/>
    <mergeCell ref="AL354:AO354"/>
    <mergeCell ref="AM337:AO337"/>
    <mergeCell ref="AI335:AL335"/>
    <mergeCell ref="AM335:AO335"/>
    <mergeCell ref="AM336:AO336"/>
    <mergeCell ref="AE331:AH334"/>
    <mergeCell ref="AE335:AH335"/>
    <mergeCell ref="AL321:AO321"/>
    <mergeCell ref="AQ321:AT321"/>
    <mergeCell ref="AJ306:AK306"/>
    <mergeCell ref="AA275:AO275"/>
    <mergeCell ref="AA335:AD335"/>
    <mergeCell ref="AJ248:AK248"/>
    <mergeCell ref="AL248:AO248"/>
    <mergeCell ref="AJ299:AK299"/>
    <mergeCell ref="AJ300:AK300"/>
    <mergeCell ref="AJ301:AK301"/>
    <mergeCell ref="AJ302:AK302"/>
    <mergeCell ref="AJ303:AK303"/>
    <mergeCell ref="AJ304:AK304"/>
    <mergeCell ref="AL349:AO349"/>
    <mergeCell ref="AL350:AO350"/>
    <mergeCell ref="W290:AC290"/>
    <mergeCell ref="AQ264:AT264"/>
    <mergeCell ref="W305:AC305"/>
    <mergeCell ref="AD305:AI305"/>
    <mergeCell ref="AJ305:AK305"/>
    <mergeCell ref="AJ295:AK295"/>
    <mergeCell ref="W296:AC296"/>
    <mergeCell ref="Z346:AA346"/>
    <mergeCell ref="E288:AO288"/>
    <mergeCell ref="C337:G337"/>
    <mergeCell ref="H337:J337"/>
    <mergeCell ref="K337:N337"/>
    <mergeCell ref="O337:S337"/>
    <mergeCell ref="T337:W337"/>
    <mergeCell ref="X337:Z337"/>
    <mergeCell ref="AA337:AD337"/>
    <mergeCell ref="AE337:AH337"/>
    <mergeCell ref="AI337:AL337"/>
    <mergeCell ref="C335:G335"/>
    <mergeCell ref="H335:J335"/>
    <mergeCell ref="K335:N335"/>
    <mergeCell ref="O335:S335"/>
    <mergeCell ref="T335:W335"/>
    <mergeCell ref="X335:Z335"/>
    <mergeCell ref="AD290:AI290"/>
    <mergeCell ref="C336:G336"/>
    <mergeCell ref="H336:J336"/>
    <mergeCell ref="K336:N336"/>
    <mergeCell ref="O336:S336"/>
    <mergeCell ref="T336:W336"/>
    <mergeCell ref="X336:Z336"/>
    <mergeCell ref="AA336:AD336"/>
    <mergeCell ref="AE336:AH336"/>
    <mergeCell ref="AI336:AL336"/>
    <mergeCell ref="B344:C344"/>
    <mergeCell ref="Z344:AA344"/>
    <mergeCell ref="AJ344:AK344"/>
    <mergeCell ref="B345:C345"/>
    <mergeCell ref="AR19:AU19"/>
    <mergeCell ref="AR29:AU29"/>
    <mergeCell ref="AR129:AU129"/>
    <mergeCell ref="AR127:AU127"/>
    <mergeCell ref="AR128:AU128"/>
    <mergeCell ref="AQ125:AT125"/>
    <mergeCell ref="AQ78:AT78"/>
    <mergeCell ref="AQ105:AW105"/>
    <mergeCell ref="AQ110:AT110"/>
    <mergeCell ref="H274:AH274"/>
    <mergeCell ref="Z230:AA230"/>
    <mergeCell ref="AJ171:AK171"/>
    <mergeCell ref="AJ172:AK172"/>
    <mergeCell ref="AJ173:AK173"/>
    <mergeCell ref="AJ174:AK174"/>
    <mergeCell ref="AJ265:AK265"/>
    <mergeCell ref="AL265:AO265"/>
    <mergeCell ref="AJ266:AK266"/>
    <mergeCell ref="AL266:AO266"/>
    <mergeCell ref="AJ267:AK267"/>
    <mergeCell ref="AJ264:AK264"/>
    <mergeCell ref="AL255:AO255"/>
    <mergeCell ref="D35:N35"/>
    <mergeCell ref="L25:AO25"/>
    <mergeCell ref="Z235:AA235"/>
    <mergeCell ref="B256:D256"/>
    <mergeCell ref="B248:C248"/>
    <mergeCell ref="B247:C247"/>
    <mergeCell ref="AJ247:AK247"/>
    <mergeCell ref="Z237:AA237"/>
    <mergeCell ref="AB237:AI237"/>
    <mergeCell ref="AL234:AO234"/>
    <mergeCell ref="AJ397:AK397"/>
    <mergeCell ref="AL397:AO397"/>
    <mergeCell ref="AQ397:AT397"/>
    <mergeCell ref="AL124:AO124"/>
    <mergeCell ref="AL254:AO254"/>
    <mergeCell ref="AL383:AO383"/>
    <mergeCell ref="AL126:AO126"/>
    <mergeCell ref="AL256:AO256"/>
    <mergeCell ref="AL385:AO385"/>
    <mergeCell ref="AR130:AU130"/>
    <mergeCell ref="AQ384:AT384"/>
    <mergeCell ref="AQ255:AT255"/>
    <mergeCell ref="AQ209:AT209"/>
    <mergeCell ref="AQ338:AT338"/>
    <mergeCell ref="AL393:AO393"/>
    <mergeCell ref="AJ373:AK373"/>
    <mergeCell ref="AL373:AO373"/>
    <mergeCell ref="AQ373:AT373"/>
    <mergeCell ref="AJ297:AK297"/>
    <mergeCell ref="AL264:AO264"/>
    <mergeCell ref="AQ237:AT237"/>
    <mergeCell ref="AJ230:AK230"/>
    <mergeCell ref="AM208:AO208"/>
    <mergeCell ref="AI206:AL206"/>
    <mergeCell ref="AM206:AO206"/>
    <mergeCell ref="AL192:AO192"/>
    <mergeCell ref="AQ192:AT192"/>
    <mergeCell ref="AJ169:AK169"/>
    <mergeCell ref="AJ170:AK170"/>
    <mergeCell ref="AL363:AO363"/>
    <mergeCell ref="AL268:AO268"/>
    <mergeCell ref="AJ298:AK298"/>
    <mergeCell ref="B395:C395"/>
    <mergeCell ref="AJ395:AK395"/>
    <mergeCell ref="AL395:AO395"/>
    <mergeCell ref="B396:C396"/>
    <mergeCell ref="AJ396:AK396"/>
    <mergeCell ref="B393:C393"/>
    <mergeCell ref="AJ393:AK393"/>
    <mergeCell ref="B385:D385"/>
    <mergeCell ref="B386:C386"/>
    <mergeCell ref="Z386:AA386"/>
    <mergeCell ref="AB386:AI386"/>
    <mergeCell ref="AJ386:AK386"/>
    <mergeCell ref="B389:C389"/>
    <mergeCell ref="Z389:AA389"/>
    <mergeCell ref="AB389:AI389"/>
    <mergeCell ref="AJ389:AK389"/>
    <mergeCell ref="B392:C392"/>
    <mergeCell ref="Z392:AA392"/>
    <mergeCell ref="AB392:AI392"/>
    <mergeCell ref="AJ392:AK392"/>
    <mergeCell ref="B388:C388"/>
    <mergeCell ref="Z388:AA388"/>
    <mergeCell ref="AB388:AI388"/>
    <mergeCell ref="AJ388:AK388"/>
    <mergeCell ref="B390:C390"/>
    <mergeCell ref="Z390:AA390"/>
    <mergeCell ref="AB390:AI390"/>
    <mergeCell ref="AJ390:AK390"/>
    <mergeCell ref="B391:C391"/>
    <mergeCell ref="Z391:AA391"/>
    <mergeCell ref="AB391:AI391"/>
    <mergeCell ref="AJ391:AK391"/>
    <mergeCell ref="AJ371:AK371"/>
    <mergeCell ref="B361:C361"/>
    <mergeCell ref="Z361:AA361"/>
    <mergeCell ref="AJ361:AK361"/>
    <mergeCell ref="B362:C362"/>
    <mergeCell ref="Z362:AA362"/>
    <mergeCell ref="AQ369:AT369"/>
    <mergeCell ref="B394:C394"/>
    <mergeCell ref="AJ394:AK394"/>
    <mergeCell ref="AL394:AO394"/>
    <mergeCell ref="AR387:AU387"/>
    <mergeCell ref="AR388:AU388"/>
    <mergeCell ref="B379:C379"/>
    <mergeCell ref="B381:C381"/>
    <mergeCell ref="AJ379:AK379"/>
    <mergeCell ref="AL379:AO379"/>
    <mergeCell ref="AJ381:AK381"/>
    <mergeCell ref="AL381:AO381"/>
    <mergeCell ref="AR392:AU392"/>
    <mergeCell ref="B364:C364"/>
    <mergeCell ref="Z364:AA364"/>
    <mergeCell ref="AJ364:AK364"/>
    <mergeCell ref="B365:C365"/>
    <mergeCell ref="Z365:AA365"/>
    <mergeCell ref="AJ365:AK365"/>
    <mergeCell ref="Z366:AA366"/>
    <mergeCell ref="AB366:AI366"/>
    <mergeCell ref="AJ366:AK366"/>
    <mergeCell ref="B374:C374"/>
    <mergeCell ref="B376:C376"/>
    <mergeCell ref="AJ376:AK376"/>
    <mergeCell ref="AQ393:AT393"/>
    <mergeCell ref="AJ362:AK362"/>
    <mergeCell ref="Z363:AA363"/>
    <mergeCell ref="AB363:AI363"/>
    <mergeCell ref="AJ363:AK363"/>
    <mergeCell ref="B358:C358"/>
    <mergeCell ref="Z358:AA358"/>
    <mergeCell ref="AB358:AI358"/>
    <mergeCell ref="AJ358:AK358"/>
    <mergeCell ref="B359:C359"/>
    <mergeCell ref="Z359:AA359"/>
    <mergeCell ref="AJ359:AK359"/>
    <mergeCell ref="B360:C360"/>
    <mergeCell ref="Z360:AA360"/>
    <mergeCell ref="AJ360:AK360"/>
    <mergeCell ref="B355:C355"/>
    <mergeCell ref="Z355:AA355"/>
    <mergeCell ref="AJ355:AK355"/>
    <mergeCell ref="B356:C356"/>
    <mergeCell ref="Z356:AA356"/>
    <mergeCell ref="AJ356:AK356"/>
    <mergeCell ref="Z357:AA357"/>
    <mergeCell ref="AB357:AI357"/>
    <mergeCell ref="AJ357:AK357"/>
    <mergeCell ref="B351:C351"/>
    <mergeCell ref="Z351:AA351"/>
    <mergeCell ref="AJ351:AK351"/>
    <mergeCell ref="B352:C352"/>
    <mergeCell ref="Z352:AA352"/>
    <mergeCell ref="AB352:AI352"/>
    <mergeCell ref="AJ352:AK352"/>
    <mergeCell ref="B353:C353"/>
    <mergeCell ref="B354:C354"/>
    <mergeCell ref="AJ354:AK354"/>
    <mergeCell ref="B348:C348"/>
    <mergeCell ref="Z348:AA348"/>
    <mergeCell ref="AB348:AI348"/>
    <mergeCell ref="AJ348:AK348"/>
    <mergeCell ref="B349:C349"/>
    <mergeCell ref="Z349:AA349"/>
    <mergeCell ref="AJ349:AK349"/>
    <mergeCell ref="B350:C350"/>
    <mergeCell ref="Z350:AA350"/>
    <mergeCell ref="AB350:AI350"/>
    <mergeCell ref="AJ350:AK350"/>
    <mergeCell ref="Z345:AA345"/>
    <mergeCell ref="AB345:AI345"/>
    <mergeCell ref="AJ345:AK345"/>
    <mergeCell ref="B347:C347"/>
    <mergeCell ref="Z347:AA347"/>
    <mergeCell ref="AJ347:AK347"/>
    <mergeCell ref="B346:C346"/>
    <mergeCell ref="B338:C338"/>
    <mergeCell ref="AK338:AL338"/>
    <mergeCell ref="AM338:AO338"/>
    <mergeCell ref="B341:D341"/>
    <mergeCell ref="B342:C342"/>
    <mergeCell ref="Z342:AA342"/>
    <mergeCell ref="AJ342:AK342"/>
    <mergeCell ref="Z343:AA343"/>
    <mergeCell ref="AB343:AI343"/>
    <mergeCell ref="AJ343:AK343"/>
    <mergeCell ref="AJ346:AK346"/>
    <mergeCell ref="AQ322:AT322"/>
    <mergeCell ref="B323:D323"/>
    <mergeCell ref="E323:AO323"/>
    <mergeCell ref="B324:B330"/>
    <mergeCell ref="C324:G326"/>
    <mergeCell ref="H324:AO326"/>
    <mergeCell ref="H327:W328"/>
    <mergeCell ref="X327:AO328"/>
    <mergeCell ref="H329:S330"/>
    <mergeCell ref="T329:W334"/>
    <mergeCell ref="X329:AH330"/>
    <mergeCell ref="AI329:AL334"/>
    <mergeCell ref="AM329:AO334"/>
    <mergeCell ref="C331:G332"/>
    <mergeCell ref="H331:J334"/>
    <mergeCell ref="K331:N334"/>
    <mergeCell ref="O331:S333"/>
    <mergeCell ref="X331:Z334"/>
    <mergeCell ref="AA331:AD334"/>
    <mergeCell ref="C333:G333"/>
    <mergeCell ref="O334:S334"/>
    <mergeCell ref="B322:C322"/>
    <mergeCell ref="AJ322:AK322"/>
    <mergeCell ref="AL322:AO322"/>
    <mergeCell ref="W320:AC320"/>
    <mergeCell ref="AD320:AI320"/>
    <mergeCell ref="AJ320:AK320"/>
    <mergeCell ref="B321:C321"/>
    <mergeCell ref="P321:V321"/>
    <mergeCell ref="W321:AC321"/>
    <mergeCell ref="AD321:AI321"/>
    <mergeCell ref="AJ321:AK321"/>
    <mergeCell ref="B316:C316"/>
    <mergeCell ref="AJ316:AK316"/>
    <mergeCell ref="B317:C317"/>
    <mergeCell ref="AJ317:AK317"/>
    <mergeCell ref="P318:V318"/>
    <mergeCell ref="W318:AC318"/>
    <mergeCell ref="AD318:AI318"/>
    <mergeCell ref="AJ318:AK318"/>
    <mergeCell ref="B319:C319"/>
    <mergeCell ref="P319:V319"/>
    <mergeCell ref="W319:AC319"/>
    <mergeCell ref="AD319:AI319"/>
    <mergeCell ref="AJ319:AK319"/>
    <mergeCell ref="B320:C320"/>
    <mergeCell ref="P320:V320"/>
    <mergeCell ref="B314:C314"/>
    <mergeCell ref="P314:V314"/>
    <mergeCell ref="W314:AC314"/>
    <mergeCell ref="AD314:AI314"/>
    <mergeCell ref="AJ314:AK314"/>
    <mergeCell ref="B315:C315"/>
    <mergeCell ref="P315:V315"/>
    <mergeCell ref="W315:AC315"/>
    <mergeCell ref="AD315:AI315"/>
    <mergeCell ref="AJ315:AK315"/>
    <mergeCell ref="B312:C312"/>
    <mergeCell ref="P312:V312"/>
    <mergeCell ref="W312:AC312"/>
    <mergeCell ref="AD312:AI312"/>
    <mergeCell ref="AJ312:AK312"/>
    <mergeCell ref="B313:C313"/>
    <mergeCell ref="P313:V313"/>
    <mergeCell ref="W313:AC313"/>
    <mergeCell ref="AD313:AI313"/>
    <mergeCell ref="AJ313:AK313"/>
    <mergeCell ref="B310:C310"/>
    <mergeCell ref="P310:V310"/>
    <mergeCell ref="W310:AC310"/>
    <mergeCell ref="AD310:AI310"/>
    <mergeCell ref="AJ310:AK310"/>
    <mergeCell ref="B311:C311"/>
    <mergeCell ref="P311:V311"/>
    <mergeCell ref="W311:AC311"/>
    <mergeCell ref="AD311:AI311"/>
    <mergeCell ref="AJ311:AK311"/>
    <mergeCell ref="B307:C307"/>
    <mergeCell ref="AJ307:AK307"/>
    <mergeCell ref="B308:C308"/>
    <mergeCell ref="AJ308:AK308"/>
    <mergeCell ref="P309:V309"/>
    <mergeCell ref="W309:AC309"/>
    <mergeCell ref="AD309:AI309"/>
    <mergeCell ref="AJ309:AK309"/>
    <mergeCell ref="Z228:AA228"/>
    <mergeCell ref="AB228:AI228"/>
    <mergeCell ref="AJ228:AK228"/>
    <mergeCell ref="AJ232:AK232"/>
    <mergeCell ref="B233:C233"/>
    <mergeCell ref="Z233:AA233"/>
    <mergeCell ref="AJ233:AK233"/>
    <mergeCell ref="Z232:AA232"/>
    <mergeCell ref="B222:C222"/>
    <mergeCell ref="Z222:AA222"/>
    <mergeCell ref="AJ222:AK222"/>
    <mergeCell ref="B223:C223"/>
    <mergeCell ref="Z223:AA223"/>
    <mergeCell ref="AB223:AI223"/>
    <mergeCell ref="AJ223:AK223"/>
    <mergeCell ref="B224:C224"/>
    <mergeCell ref="B225:C225"/>
    <mergeCell ref="AJ225:AK225"/>
    <mergeCell ref="B229:C229"/>
    <mergeCell ref="Z229:AA229"/>
    <mergeCell ref="AB229:AI229"/>
    <mergeCell ref="AJ229:AK229"/>
    <mergeCell ref="B230:C230"/>
    <mergeCell ref="B219:C219"/>
    <mergeCell ref="Z219:AA219"/>
    <mergeCell ref="AB219:AI219"/>
    <mergeCell ref="AJ219:AK219"/>
    <mergeCell ref="B220:C220"/>
    <mergeCell ref="Z220:AA220"/>
    <mergeCell ref="AJ220:AK220"/>
    <mergeCell ref="B221:C221"/>
    <mergeCell ref="Z221:AA221"/>
    <mergeCell ref="AB221:AI221"/>
    <mergeCell ref="AJ221:AK221"/>
    <mergeCell ref="B215:C215"/>
    <mergeCell ref="Z215:AA215"/>
    <mergeCell ref="AJ215:AK215"/>
    <mergeCell ref="B216:C216"/>
    <mergeCell ref="Z216:AA216"/>
    <mergeCell ref="AB216:AI216"/>
    <mergeCell ref="AJ216:AK216"/>
    <mergeCell ref="B218:C218"/>
    <mergeCell ref="Z218:AA218"/>
    <mergeCell ref="AJ218:AK218"/>
    <mergeCell ref="AJ217:AK217"/>
    <mergeCell ref="B209:C209"/>
    <mergeCell ref="AK209:AL209"/>
    <mergeCell ref="AM209:AO209"/>
    <mergeCell ref="B212:D212"/>
    <mergeCell ref="B213:C213"/>
    <mergeCell ref="Z213:AA213"/>
    <mergeCell ref="AJ213:AK213"/>
    <mergeCell ref="Z214:AA214"/>
    <mergeCell ref="AB214:AI214"/>
    <mergeCell ref="AJ214:AK214"/>
    <mergeCell ref="B217:C217"/>
    <mergeCell ref="Z217:AA217"/>
    <mergeCell ref="C208:G208"/>
    <mergeCell ref="H208:J208"/>
    <mergeCell ref="K208:N208"/>
    <mergeCell ref="O208:S208"/>
    <mergeCell ref="T208:W208"/>
    <mergeCell ref="X208:Z208"/>
    <mergeCell ref="AA208:AD208"/>
    <mergeCell ref="AE208:AH208"/>
    <mergeCell ref="AI208:AL208"/>
    <mergeCell ref="C207:G207"/>
    <mergeCell ref="H207:J207"/>
    <mergeCell ref="K207:N207"/>
    <mergeCell ref="O207:S207"/>
    <mergeCell ref="T207:W207"/>
    <mergeCell ref="X207:Z207"/>
    <mergeCell ref="AA207:AD207"/>
    <mergeCell ref="AE207:AH207"/>
    <mergeCell ref="AI207:AL207"/>
    <mergeCell ref="AM207:AO207"/>
    <mergeCell ref="AE202:AH205"/>
    <mergeCell ref="C204:G204"/>
    <mergeCell ref="O205:S205"/>
    <mergeCell ref="C206:G206"/>
    <mergeCell ref="H206:J206"/>
    <mergeCell ref="K206:N206"/>
    <mergeCell ref="O206:S206"/>
    <mergeCell ref="T206:W206"/>
    <mergeCell ref="X206:Z206"/>
    <mergeCell ref="AA206:AD206"/>
    <mergeCell ref="AE206:AH206"/>
    <mergeCell ref="B193:C193"/>
    <mergeCell ref="AJ193:AK193"/>
    <mergeCell ref="AL193:AO193"/>
    <mergeCell ref="AQ193:AT193"/>
    <mergeCell ref="B194:D194"/>
    <mergeCell ref="E194:AO194"/>
    <mergeCell ref="B195:B201"/>
    <mergeCell ref="C195:G197"/>
    <mergeCell ref="H195:AO197"/>
    <mergeCell ref="H198:W199"/>
    <mergeCell ref="X198:AO199"/>
    <mergeCell ref="H200:S201"/>
    <mergeCell ref="T200:W205"/>
    <mergeCell ref="X200:AH201"/>
    <mergeCell ref="AI200:AL205"/>
    <mergeCell ref="AM200:AO205"/>
    <mergeCell ref="C202:G203"/>
    <mergeCell ref="H202:J205"/>
    <mergeCell ref="K202:N205"/>
    <mergeCell ref="O202:S204"/>
    <mergeCell ref="X202:Z205"/>
    <mergeCell ref="AA202:AD205"/>
    <mergeCell ref="B191:C191"/>
    <mergeCell ref="P191:V191"/>
    <mergeCell ref="W191:AC191"/>
    <mergeCell ref="AD191:AI191"/>
    <mergeCell ref="AJ191:AK191"/>
    <mergeCell ref="B192:C192"/>
    <mergeCell ref="P192:V192"/>
    <mergeCell ref="W192:AC192"/>
    <mergeCell ref="AD192:AI192"/>
    <mergeCell ref="AJ192:AK192"/>
    <mergeCell ref="B187:C187"/>
    <mergeCell ref="AJ187:AK187"/>
    <mergeCell ref="B188:C188"/>
    <mergeCell ref="AJ188:AK188"/>
    <mergeCell ref="P189:V189"/>
    <mergeCell ref="W189:AC189"/>
    <mergeCell ref="AD189:AI189"/>
    <mergeCell ref="AJ189:AK189"/>
    <mergeCell ref="B190:C190"/>
    <mergeCell ref="P190:V190"/>
    <mergeCell ref="W190:AC190"/>
    <mergeCell ref="AD190:AI190"/>
    <mergeCell ref="AJ190:AK190"/>
    <mergeCell ref="B185:C185"/>
    <mergeCell ref="P185:V185"/>
    <mergeCell ref="W185:AC185"/>
    <mergeCell ref="AD185:AI185"/>
    <mergeCell ref="AJ185:AK185"/>
    <mergeCell ref="B186:C186"/>
    <mergeCell ref="P186:V186"/>
    <mergeCell ref="W186:AC186"/>
    <mergeCell ref="AD186:AI186"/>
    <mergeCell ref="AJ186:AK186"/>
    <mergeCell ref="B183:C183"/>
    <mergeCell ref="P183:V183"/>
    <mergeCell ref="W183:AC183"/>
    <mergeCell ref="AD183:AI183"/>
    <mergeCell ref="AJ183:AK183"/>
    <mergeCell ref="B184:C184"/>
    <mergeCell ref="P184:V184"/>
    <mergeCell ref="W184:AC184"/>
    <mergeCell ref="AD184:AI184"/>
    <mergeCell ref="AJ184:AK184"/>
    <mergeCell ref="B181:C181"/>
    <mergeCell ref="P181:V181"/>
    <mergeCell ref="W181:AC181"/>
    <mergeCell ref="AD181:AI181"/>
    <mergeCell ref="AJ181:AK181"/>
    <mergeCell ref="B182:C182"/>
    <mergeCell ref="P182:V182"/>
    <mergeCell ref="W182:AC182"/>
    <mergeCell ref="AD182:AI182"/>
    <mergeCell ref="AJ182:AK182"/>
    <mergeCell ref="AJ177:AK177"/>
    <mergeCell ref="B178:C178"/>
    <mergeCell ref="AJ178:AK178"/>
    <mergeCell ref="B179:C179"/>
    <mergeCell ref="AJ179:AK179"/>
    <mergeCell ref="P180:V180"/>
    <mergeCell ref="W180:AC180"/>
    <mergeCell ref="AD180:AI180"/>
    <mergeCell ref="AJ180:AK180"/>
    <mergeCell ref="B175:C175"/>
    <mergeCell ref="AJ175:AK175"/>
    <mergeCell ref="B176:C176"/>
    <mergeCell ref="P176:V176"/>
    <mergeCell ref="W176:AC176"/>
    <mergeCell ref="AD176:AI176"/>
    <mergeCell ref="AJ176:AK176"/>
    <mergeCell ref="D166:N166"/>
    <mergeCell ref="AJ166:AK166"/>
    <mergeCell ref="D167:N167"/>
    <mergeCell ref="P167:V167"/>
    <mergeCell ref="W167:AC167"/>
    <mergeCell ref="AD167:AI167"/>
    <mergeCell ref="AJ167:AK167"/>
    <mergeCell ref="AL167:AO167"/>
    <mergeCell ref="B168:C168"/>
    <mergeCell ref="AJ168:AK168"/>
    <mergeCell ref="B163:C163"/>
    <mergeCell ref="AJ163:AK163"/>
    <mergeCell ref="AJ164:AK164"/>
    <mergeCell ref="H165:N165"/>
    <mergeCell ref="AJ165:AK165"/>
    <mergeCell ref="AA146:AO146"/>
    <mergeCell ref="B147:Z148"/>
    <mergeCell ref="AA147:AO148"/>
    <mergeCell ref="L156:AO156"/>
    <mergeCell ref="B157:C157"/>
    <mergeCell ref="B159:D159"/>
    <mergeCell ref="E159:AO159"/>
    <mergeCell ref="B160:C160"/>
    <mergeCell ref="P160:AI160"/>
    <mergeCell ref="AJ160:AO161"/>
    <mergeCell ref="B161:C161"/>
    <mergeCell ref="P161:V161"/>
    <mergeCell ref="W161:AC161"/>
    <mergeCell ref="AD161:AI161"/>
    <mergeCell ref="B162:C162"/>
    <mergeCell ref="P162:V162"/>
    <mergeCell ref="W162:AC162"/>
    <mergeCell ref="AD162:AI162"/>
    <mergeCell ref="AJ162:AK162"/>
    <mergeCell ref="B141:G142"/>
    <mergeCell ref="AI141:AO141"/>
    <mergeCell ref="AI142:AO143"/>
    <mergeCell ref="H143:AH143"/>
    <mergeCell ref="Z131:AA131"/>
    <mergeCell ref="AB131:AI131"/>
    <mergeCell ref="AJ131:AK131"/>
    <mergeCell ref="B132:C132"/>
    <mergeCell ref="Z132:AA132"/>
    <mergeCell ref="AB132:AI132"/>
    <mergeCell ref="AJ132:AK132"/>
    <mergeCell ref="B133:C133"/>
    <mergeCell ref="Z133:AA133"/>
    <mergeCell ref="AB133:AI133"/>
    <mergeCell ref="AJ133:AK133"/>
    <mergeCell ref="B144:G145"/>
    <mergeCell ref="H144:AH144"/>
    <mergeCell ref="AI144:AM145"/>
    <mergeCell ref="AN144:AO145"/>
    <mergeCell ref="H145:AH145"/>
    <mergeCell ref="B134:C134"/>
    <mergeCell ref="AJ134:AK134"/>
    <mergeCell ref="B135:C135"/>
    <mergeCell ref="AJ135:AK135"/>
    <mergeCell ref="B136:C136"/>
    <mergeCell ref="AJ136:AK136"/>
    <mergeCell ref="B137:C137"/>
    <mergeCell ref="AJ137:AK137"/>
    <mergeCell ref="M141:Z142"/>
    <mergeCell ref="B128:C128"/>
    <mergeCell ref="Z128:AA128"/>
    <mergeCell ref="AJ128:AK128"/>
    <mergeCell ref="AL135:AO135"/>
    <mergeCell ref="AL136:AO136"/>
    <mergeCell ref="AJ138:AK138"/>
    <mergeCell ref="B129:C129"/>
    <mergeCell ref="Z129:AA129"/>
    <mergeCell ref="AJ129:AK129"/>
    <mergeCell ref="B130:C130"/>
    <mergeCell ref="Z130:AA130"/>
    <mergeCell ref="AJ130:AK130"/>
    <mergeCell ref="B131:C131"/>
    <mergeCell ref="B118:C118"/>
    <mergeCell ref="AJ118:AK118"/>
    <mergeCell ref="B123:C123"/>
    <mergeCell ref="B126:D126"/>
    <mergeCell ref="B127:C127"/>
    <mergeCell ref="Z127:AA127"/>
    <mergeCell ref="AJ127:AK127"/>
    <mergeCell ref="B120:C120"/>
    <mergeCell ref="B122:C122"/>
    <mergeCell ref="AJ120:AK120"/>
    <mergeCell ref="AL120:AO120"/>
    <mergeCell ref="AJ122:AK122"/>
    <mergeCell ref="AL122:AO122"/>
    <mergeCell ref="AB128:AI128"/>
    <mergeCell ref="AL125:AO125"/>
    <mergeCell ref="B115:C115"/>
    <mergeCell ref="B111:C111"/>
    <mergeCell ref="AJ111:AK111"/>
    <mergeCell ref="B117:C117"/>
    <mergeCell ref="AJ117:AK117"/>
    <mergeCell ref="B112:C112"/>
    <mergeCell ref="AJ112:AK112"/>
    <mergeCell ref="AJ114:AK114"/>
    <mergeCell ref="AB127:AI127"/>
    <mergeCell ref="AJ105:AK105"/>
    <mergeCell ref="AJ106:AK106"/>
    <mergeCell ref="AJ107:AK107"/>
    <mergeCell ref="B105:C105"/>
    <mergeCell ref="Z105:AA105"/>
    <mergeCell ref="B106:C106"/>
    <mergeCell ref="Z106:AA106"/>
    <mergeCell ref="Z107:AA107"/>
    <mergeCell ref="B125:C125"/>
    <mergeCell ref="AJ125:AK125"/>
    <mergeCell ref="B110:C110"/>
    <mergeCell ref="AB107:AI107"/>
    <mergeCell ref="AJ110:AK110"/>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E28:AO28"/>
    <mergeCell ref="AJ45:AK45"/>
    <mergeCell ref="AJ46:AK46"/>
    <mergeCell ref="P31:V31"/>
    <mergeCell ref="W31:AC31"/>
    <mergeCell ref="P45:V45"/>
    <mergeCell ref="W45:AC45"/>
    <mergeCell ref="H12:AH12"/>
    <mergeCell ref="H13:AH13"/>
    <mergeCell ref="H14:AH14"/>
    <mergeCell ref="AI13:AM14"/>
    <mergeCell ref="AN13:AO14"/>
    <mergeCell ref="B59:C59"/>
    <mergeCell ref="P59:V59"/>
    <mergeCell ref="B103:C103"/>
    <mergeCell ref="Z98:AA98"/>
    <mergeCell ref="Z99:AA99"/>
    <mergeCell ref="AB105:AI105"/>
    <mergeCell ref="Z103:AA103"/>
    <mergeCell ref="Z104:AA104"/>
    <mergeCell ref="B102:C102"/>
    <mergeCell ref="Z102:AA102"/>
    <mergeCell ref="B101:C101"/>
    <mergeCell ref="Z101:AA101"/>
    <mergeCell ref="AJ104:AK104"/>
    <mergeCell ref="B97:C97"/>
    <mergeCell ref="B99:C99"/>
    <mergeCell ref="B100:C100"/>
    <mergeCell ref="AE75:AH75"/>
    <mergeCell ref="X71:Z74"/>
    <mergeCell ref="Z88:AA88"/>
    <mergeCell ref="AB89:AI89"/>
    <mergeCell ref="AJ85:AK85"/>
    <mergeCell ref="AJ103:AK103"/>
    <mergeCell ref="Z97:AA97"/>
    <mergeCell ref="AJ95:AK95"/>
    <mergeCell ref="AB98:AI98"/>
    <mergeCell ref="AB99:AI99"/>
    <mergeCell ref="AB104:AI104"/>
    <mergeCell ref="B91:C91"/>
    <mergeCell ref="Z91:AA91"/>
    <mergeCell ref="B92:C92"/>
    <mergeCell ref="Z92:AA92"/>
    <mergeCell ref="Z87:AA87"/>
    <mergeCell ref="Z89:AA89"/>
    <mergeCell ref="C71:G72"/>
    <mergeCell ref="B51:C51"/>
    <mergeCell ref="AJ86:AK86"/>
    <mergeCell ref="AJ87:AK87"/>
    <mergeCell ref="AJ89:AK89"/>
    <mergeCell ref="K71:N74"/>
    <mergeCell ref="T69:W74"/>
    <mergeCell ref="B78:C78"/>
    <mergeCell ref="C77:G77"/>
    <mergeCell ref="C76:G76"/>
    <mergeCell ref="H67:W68"/>
    <mergeCell ref="H75:J75"/>
    <mergeCell ref="K75:N75"/>
    <mergeCell ref="O75:S75"/>
    <mergeCell ref="B26:C26"/>
    <mergeCell ref="AJ56:AK56"/>
    <mergeCell ref="B28:D28"/>
    <mergeCell ref="H77:J77"/>
    <mergeCell ref="T77:W77"/>
    <mergeCell ref="B64:B70"/>
    <mergeCell ref="P61:V61"/>
    <mergeCell ref="W61:AC61"/>
    <mergeCell ref="AD61:AI61"/>
    <mergeCell ref="H64:AO66"/>
    <mergeCell ref="X67:AO68"/>
    <mergeCell ref="P54:V54"/>
    <mergeCell ref="W54:AC54"/>
    <mergeCell ref="AD54:AI54"/>
    <mergeCell ref="B53:C53"/>
    <mergeCell ref="P53:V53"/>
    <mergeCell ref="W53:AC53"/>
    <mergeCell ref="B52:C52"/>
    <mergeCell ref="W59:AC59"/>
    <mergeCell ref="AM75:AO75"/>
    <mergeCell ref="C73:G73"/>
    <mergeCell ref="O71:S73"/>
    <mergeCell ref="O74:S74"/>
    <mergeCell ref="H71:J74"/>
    <mergeCell ref="B90:C90"/>
    <mergeCell ref="Z90:AA90"/>
    <mergeCell ref="AB91:AI91"/>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B88:C88"/>
    <mergeCell ref="B96:C96"/>
    <mergeCell ref="Z96:AA96"/>
    <mergeCell ref="B86:C86"/>
    <mergeCell ref="B89:C89"/>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C64:G66"/>
    <mergeCell ref="B50:C50"/>
    <mergeCell ref="Z86:AA86"/>
    <mergeCell ref="B87:C87"/>
    <mergeCell ref="P52:V52"/>
    <mergeCell ref="W52:AC52"/>
    <mergeCell ref="AD53:AI53"/>
    <mergeCell ref="B54:C54"/>
    <mergeCell ref="B61:C61"/>
    <mergeCell ref="B60:C60"/>
    <mergeCell ref="P60:V60"/>
    <mergeCell ref="W60:AC60"/>
    <mergeCell ref="W50:AC50"/>
    <mergeCell ref="AD49:AI49"/>
    <mergeCell ref="AD51:AI51"/>
    <mergeCell ref="AJ47:AK47"/>
    <mergeCell ref="AJ51:AK51"/>
    <mergeCell ref="AD45:AI45"/>
    <mergeCell ref="AJ44:AK44"/>
    <mergeCell ref="D36:N36"/>
    <mergeCell ref="AJ37:AK37"/>
    <mergeCell ref="B47:C47"/>
    <mergeCell ref="P49:V49"/>
    <mergeCell ref="W49:AC49"/>
    <mergeCell ref="B29:C29"/>
    <mergeCell ref="B93:C93"/>
    <mergeCell ref="Z93:AA93"/>
    <mergeCell ref="B94:C94"/>
    <mergeCell ref="B95:C95"/>
    <mergeCell ref="AJ53:AK53"/>
    <mergeCell ref="AJ54:AK54"/>
    <mergeCell ref="B63:D63"/>
    <mergeCell ref="E63:AO63"/>
    <mergeCell ref="AD60:AI60"/>
    <mergeCell ref="AB84:AI84"/>
    <mergeCell ref="AB86:AI86"/>
    <mergeCell ref="AA77:AD77"/>
    <mergeCell ref="AM77:AO77"/>
    <mergeCell ref="AJ52:AK52"/>
    <mergeCell ref="AJ57:AK57"/>
    <mergeCell ref="AJ55:AK55"/>
    <mergeCell ref="AI69:AL74"/>
    <mergeCell ref="AM69:AO74"/>
    <mergeCell ref="AM76:AO76"/>
    <mergeCell ref="AJ100:AK100"/>
    <mergeCell ref="AJ101:AK101"/>
    <mergeCell ref="AJ102:AK102"/>
    <mergeCell ref="AL110:AO110"/>
    <mergeCell ref="AL114:AO114"/>
    <mergeCell ref="AL118:AO118"/>
    <mergeCell ref="AJ88:AK88"/>
    <mergeCell ref="AL90:AO90"/>
    <mergeCell ref="AL91:AO91"/>
    <mergeCell ref="AQ114:AT114"/>
    <mergeCell ref="AK78:AL78"/>
    <mergeCell ref="AI77:AL77"/>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AJ38:AK38"/>
    <mergeCell ref="AJ39:AK39"/>
    <mergeCell ref="AJ40:AK40"/>
    <mergeCell ref="AJ41:AK41"/>
    <mergeCell ref="AJ42:AK42"/>
    <mergeCell ref="AJ43:AK43"/>
    <mergeCell ref="AJ58:AK58"/>
    <mergeCell ref="AJ59:AK59"/>
    <mergeCell ref="AJ60:AK60"/>
    <mergeCell ref="AL61:AO61"/>
    <mergeCell ref="AL62:AO62"/>
    <mergeCell ref="AJ62:AK62"/>
    <mergeCell ref="AJ61:AK61"/>
    <mergeCell ref="AQ134:AT134"/>
    <mergeCell ref="AB93:AI93"/>
    <mergeCell ref="AE77:AH77"/>
    <mergeCell ref="Z100:AA100"/>
    <mergeCell ref="AJ93:AK93"/>
    <mergeCell ref="AJ83:AK83"/>
    <mergeCell ref="AJ84:AK84"/>
    <mergeCell ref="AI75:AL75"/>
    <mergeCell ref="AL105:AO105"/>
    <mergeCell ref="AI76:AL76"/>
    <mergeCell ref="AM78:AO78"/>
    <mergeCell ref="AL104:AO104"/>
    <mergeCell ref="AJ90:AK90"/>
    <mergeCell ref="AJ91:AK91"/>
    <mergeCell ref="AJ92:AK92"/>
    <mergeCell ref="AJ96:AK96"/>
    <mergeCell ref="AJ97:AK97"/>
    <mergeCell ref="AJ98:AK98"/>
    <mergeCell ref="AJ99:AK99"/>
    <mergeCell ref="AI11:AO12"/>
    <mergeCell ref="K77:N77"/>
    <mergeCell ref="B62:C62"/>
    <mergeCell ref="AX101:BE102"/>
    <mergeCell ref="BF101:BG102"/>
    <mergeCell ref="AX231:BE232"/>
    <mergeCell ref="BF231:BG232"/>
    <mergeCell ref="AX360:BE361"/>
    <mergeCell ref="BF360:BG361"/>
    <mergeCell ref="AQ69:AW69"/>
    <mergeCell ref="AQ67:AQ68"/>
    <mergeCell ref="AQ13:AW13"/>
    <mergeCell ref="AQ11:AW12"/>
    <mergeCell ref="AQ14:AW14"/>
    <mergeCell ref="AQ15:AW15"/>
    <mergeCell ref="AL138:AO138"/>
    <mergeCell ref="AQ138:AT138"/>
    <mergeCell ref="AQ61:AT61"/>
    <mergeCell ref="AQ62:AT62"/>
    <mergeCell ref="AL95:AO95"/>
    <mergeCell ref="AQ107:AT107"/>
    <mergeCell ref="AR131:AU131"/>
    <mergeCell ref="AR132:AU132"/>
    <mergeCell ref="AR133:AU133"/>
    <mergeCell ref="AB129:AI129"/>
    <mergeCell ref="AB130:AI130"/>
    <mergeCell ref="AL134:AO134"/>
    <mergeCell ref="AD31:AI31"/>
    <mergeCell ref="B46:C46"/>
    <mergeCell ref="AJ48:AK48"/>
    <mergeCell ref="AJ49:AK49"/>
    <mergeCell ref="AJ50:AK50"/>
  </mergeCells>
  <conditionalFormatting sqref="B2">
    <cfRule type="expression" dxfId="1760" priority="116">
      <formula>$A$2</formula>
    </cfRule>
  </conditionalFormatting>
  <conditionalFormatting sqref="B16 AA16 BE109:BE116">
    <cfRule type="expression" dxfId="1759" priority="625">
      <formula>NoColor</formula>
    </cfRule>
  </conditionalFormatting>
  <conditionalFormatting sqref="B18">
    <cfRule type="expression" dxfId="1758" priority="415">
      <formula>$AO$23</formula>
    </cfRule>
  </conditionalFormatting>
  <conditionalFormatting sqref="B19">
    <cfRule type="expression" dxfId="1757" priority="164">
      <formula>$AO$20&gt;1</formula>
    </cfRule>
  </conditionalFormatting>
  <conditionalFormatting sqref="B147 AA147">
    <cfRule type="expression" dxfId="1756" priority="483">
      <formula>NoColor</formula>
    </cfRule>
  </conditionalFormatting>
  <conditionalFormatting sqref="B149">
    <cfRule type="expression" dxfId="1755" priority="160">
      <formula>$AO$154</formula>
    </cfRule>
  </conditionalFormatting>
  <conditionalFormatting sqref="B150">
    <cfRule type="expression" dxfId="1754" priority="151">
      <formula>$AO$20&gt;1</formula>
    </cfRule>
  </conditionalFormatting>
  <conditionalFormatting sqref="B276 AA276">
    <cfRule type="expression" dxfId="1753" priority="406">
      <formula>NoColor</formula>
    </cfRule>
  </conditionalFormatting>
  <conditionalFormatting sqref="B278">
    <cfRule type="expression" dxfId="1752" priority="150">
      <formula>$AO$283</formula>
    </cfRule>
  </conditionalFormatting>
  <conditionalFormatting sqref="B279">
    <cfRule type="expression" dxfId="1751" priority="141">
      <formula>$AO$20&gt;1</formula>
    </cfRule>
  </conditionalFormatting>
  <conditionalFormatting sqref="B4:C4">
    <cfRule type="expression" dxfId="1750" priority="113">
      <formula>NoColor</formula>
    </cfRule>
  </conditionalFormatting>
  <conditionalFormatting sqref="B6:C6">
    <cfRule type="expression" dxfId="1749" priority="112">
      <formula>NoColor</formula>
    </cfRule>
  </conditionalFormatting>
  <conditionalFormatting sqref="B8:C8">
    <cfRule type="expression" dxfId="1748" priority="111">
      <formula>NoColor</formula>
    </cfRule>
  </conditionalFormatting>
  <conditionalFormatting sqref="C21">
    <cfRule type="expression" dxfId="1747" priority="263">
      <formula>NoColor</formula>
    </cfRule>
  </conditionalFormatting>
  <conditionalFormatting sqref="C23">
    <cfRule type="expression" dxfId="1746" priority="260">
      <formula>NoColor</formula>
    </cfRule>
  </conditionalFormatting>
  <conditionalFormatting sqref="C152">
    <cfRule type="expression" dxfId="1745" priority="159">
      <formula>NoColor</formula>
    </cfRule>
  </conditionalFormatting>
  <conditionalFormatting sqref="C154">
    <cfRule type="expression" dxfId="1744" priority="158">
      <formula>NoColor</formula>
    </cfRule>
  </conditionalFormatting>
  <conditionalFormatting sqref="C281">
    <cfRule type="expression" dxfId="1743" priority="149">
      <formula>NoColor</formula>
    </cfRule>
  </conditionalFormatting>
  <conditionalFormatting sqref="C283">
    <cfRule type="expression" dxfId="1742" priority="148">
      <formula>NoColor</formula>
    </cfRule>
  </conditionalFormatting>
  <conditionalFormatting sqref="C64:G66">
    <cfRule type="expression" dxfId="1741" priority="534">
      <formula>NOT($B$72)</formula>
    </cfRule>
  </conditionalFormatting>
  <conditionalFormatting sqref="C195:G197">
    <cfRule type="expression" dxfId="1740" priority="249">
      <formula>IF(SUM(C198,C200)&lt;&gt;1,1,0)</formula>
    </cfRule>
  </conditionalFormatting>
  <conditionalFormatting sqref="C324:G326">
    <cfRule type="expression" dxfId="1739" priority="233">
      <formula>IF(SUM(C327,C329)&lt;&gt;1,1,0)</formula>
    </cfRule>
  </conditionalFormatting>
  <conditionalFormatting sqref="C75:H77 K75:K77 O75:O77">
    <cfRule type="expression" dxfId="1738" priority="535">
      <formula>NoColor</formula>
    </cfRule>
  </conditionalFormatting>
  <conditionalFormatting sqref="C206:H208 K206:K208 O206:O208">
    <cfRule type="expression" dxfId="1737" priority="87">
      <formula>NoColor</formula>
    </cfRule>
  </conditionalFormatting>
  <conditionalFormatting sqref="C335:H337 K335:K337 O335:O337">
    <cfRule type="expression" dxfId="1736" priority="78">
      <formula>NoColor</formula>
    </cfRule>
  </conditionalFormatting>
  <conditionalFormatting sqref="D35:N36">
    <cfRule type="expression" dxfId="1735" priority="275">
      <formula>NoColor</formula>
    </cfRule>
  </conditionalFormatting>
  <conditionalFormatting sqref="D166:N167">
    <cfRule type="expression" dxfId="1734" priority="277">
      <formula>NoColor</formula>
    </cfRule>
  </conditionalFormatting>
  <conditionalFormatting sqref="D295:N296">
    <cfRule type="expression" dxfId="1733" priority="279">
      <formula>NoColor</formula>
    </cfRule>
  </conditionalFormatting>
  <conditionalFormatting sqref="E67">
    <cfRule type="expression" dxfId="1732" priority="514">
      <formula>NoColor</formula>
    </cfRule>
  </conditionalFormatting>
  <conditionalFormatting sqref="E69">
    <cfRule type="expression" dxfId="1731" priority="513">
      <formula>NoColor</formula>
    </cfRule>
  </conditionalFormatting>
  <conditionalFormatting sqref="E99">
    <cfRule type="expression" dxfId="1730" priority="596">
      <formula>NoColor</formula>
    </cfRule>
  </conditionalFormatting>
  <conditionalFormatting sqref="E108">
    <cfRule type="expression" dxfId="1729" priority="594">
      <formula>NoColor</formula>
    </cfRule>
  </conditionalFormatting>
  <conditionalFormatting sqref="E198">
    <cfRule type="expression" dxfId="1728" priority="248">
      <formula>NoColor</formula>
    </cfRule>
  </conditionalFormatting>
  <conditionalFormatting sqref="E200">
    <cfRule type="expression" dxfId="1727" priority="247">
      <formula>NoColor</formula>
    </cfRule>
  </conditionalFormatting>
  <conditionalFormatting sqref="E229">
    <cfRule type="expression" dxfId="1726" priority="482">
      <formula>NoColor</formula>
    </cfRule>
  </conditionalFormatting>
  <conditionalFormatting sqref="E238">
    <cfRule type="expression" dxfId="1725" priority="216">
      <formula>NoColor</formula>
    </cfRule>
  </conditionalFormatting>
  <conditionalFormatting sqref="E327">
    <cfRule type="expression" dxfId="1724" priority="232">
      <formula>NoColor</formula>
    </cfRule>
  </conditionalFormatting>
  <conditionalFormatting sqref="E329">
    <cfRule type="expression" dxfId="1723" priority="231">
      <formula>NoColor</formula>
    </cfRule>
  </conditionalFormatting>
  <conditionalFormatting sqref="E358">
    <cfRule type="expression" dxfId="1722" priority="405">
      <formula>NoColor</formula>
    </cfRule>
  </conditionalFormatting>
  <conditionalFormatting sqref="E367">
    <cfRule type="expression" dxfId="1721" priority="205">
      <formula>NoColor</formula>
    </cfRule>
  </conditionalFormatting>
  <conditionalFormatting sqref="H34:N34">
    <cfRule type="expression" dxfId="1720" priority="276">
      <formula>NoColor</formula>
    </cfRule>
  </conditionalFormatting>
  <conditionalFormatting sqref="H165:N165">
    <cfRule type="expression" dxfId="1719" priority="278">
      <formula>NoColor</formula>
    </cfRule>
  </conditionalFormatting>
  <conditionalFormatting sqref="H294:N294">
    <cfRule type="expression" dxfId="1718" priority="280">
      <formula>NoColor</formula>
    </cfRule>
  </conditionalFormatting>
  <conditionalFormatting sqref="K21">
    <cfRule type="expression" dxfId="1717" priority="166">
      <formula>NoColor</formula>
    </cfRule>
  </conditionalFormatting>
  <conditionalFormatting sqref="K23">
    <cfRule type="expression" dxfId="1716" priority="167">
      <formula>NoColor</formula>
    </cfRule>
  </conditionalFormatting>
  <conditionalFormatting sqref="K152">
    <cfRule type="expression" dxfId="1715" priority="153">
      <formula>NoColor</formula>
    </cfRule>
  </conditionalFormatting>
  <conditionalFormatting sqref="K154">
    <cfRule type="expression" dxfId="1714" priority="154">
      <formula>NoColor</formula>
    </cfRule>
  </conditionalFormatting>
  <conditionalFormatting sqref="K281">
    <cfRule type="expression" dxfId="1713" priority="143">
      <formula>NoColor</formula>
    </cfRule>
  </conditionalFormatting>
  <conditionalFormatting sqref="K283">
    <cfRule type="expression" dxfId="1712" priority="144">
      <formula>NoColor</formula>
    </cfRule>
  </conditionalFormatting>
  <conditionalFormatting sqref="L25:AO25">
    <cfRule type="expression" dxfId="1711" priority="533">
      <formula>NoColor</formula>
    </cfRule>
  </conditionalFormatting>
  <conditionalFormatting sqref="L156:AO156">
    <cfRule type="expression" dxfId="1710" priority="465">
      <formula>NoColor</formula>
    </cfRule>
  </conditionalFormatting>
  <conditionalFormatting sqref="L285:AO285">
    <cfRule type="expression" dxfId="1709" priority="393">
      <formula>NoColor</formula>
    </cfRule>
  </conditionalFormatting>
  <conditionalFormatting sqref="N41">
    <cfRule type="expression" dxfId="1708" priority="516">
      <formula>NoColor</formula>
    </cfRule>
  </conditionalFormatting>
  <conditionalFormatting sqref="N172">
    <cfRule type="expression" dxfId="1707" priority="274">
      <formula>NoColor</formula>
    </cfRule>
  </conditionalFormatting>
  <conditionalFormatting sqref="N301">
    <cfRule type="expression" dxfId="1706" priority="273">
      <formula>NoColor</formula>
    </cfRule>
  </conditionalFormatting>
  <conditionalFormatting sqref="P31:AI31">
    <cfRule type="expression" dxfId="1705" priority="532">
      <formula>NoColor</formula>
    </cfRule>
  </conditionalFormatting>
  <conditionalFormatting sqref="P36:AI36">
    <cfRule type="expression" dxfId="1704" priority="529">
      <formula>NoColor</formula>
    </cfRule>
  </conditionalFormatting>
  <conditionalFormatting sqref="P45:AI45">
    <cfRule type="expression" dxfId="1703" priority="528">
      <formula>NoColor</formula>
    </cfRule>
  </conditionalFormatting>
  <conditionalFormatting sqref="P49:AI55">
    <cfRule type="expression" dxfId="1702" priority="521">
      <formula>NoColor</formula>
    </cfRule>
  </conditionalFormatting>
  <conditionalFormatting sqref="P58:AI61">
    <cfRule type="expression" dxfId="1701" priority="520">
      <formula>NoColor</formula>
    </cfRule>
  </conditionalFormatting>
  <conditionalFormatting sqref="P162:AI162">
    <cfRule type="expression" dxfId="1700" priority="301">
      <formula>NoColor</formula>
    </cfRule>
  </conditionalFormatting>
  <conditionalFormatting sqref="P167:AI167">
    <cfRule type="expression" dxfId="1699" priority="193">
      <formula>NoColor</formula>
    </cfRule>
  </conditionalFormatting>
  <conditionalFormatting sqref="P176:AI176">
    <cfRule type="expression" dxfId="1698" priority="460">
      <formula>NoColor</formula>
    </cfRule>
  </conditionalFormatting>
  <conditionalFormatting sqref="P180:AI186">
    <cfRule type="expression" dxfId="1697" priority="118">
      <formula>NoColor</formula>
    </cfRule>
  </conditionalFormatting>
  <conditionalFormatting sqref="P189:AI192">
    <cfRule type="expression" dxfId="1696" priority="452">
      <formula>NoColor</formula>
    </cfRule>
  </conditionalFormatting>
  <conditionalFormatting sqref="P291:AI291">
    <cfRule type="expression" dxfId="1695" priority="300">
      <formula>NoColor</formula>
    </cfRule>
  </conditionalFormatting>
  <conditionalFormatting sqref="P296:AI296">
    <cfRule type="expression" dxfId="1694" priority="191">
      <formula>NoColor</formula>
    </cfRule>
  </conditionalFormatting>
  <conditionalFormatting sqref="P305:AI305">
    <cfRule type="expression" dxfId="1693" priority="388">
      <formula>NoColor</formula>
    </cfRule>
  </conditionalFormatting>
  <conditionalFormatting sqref="P309:AI315">
    <cfRule type="expression" dxfId="1692" priority="117">
      <formula>NoColor</formula>
    </cfRule>
  </conditionalFormatting>
  <conditionalFormatting sqref="P318:AI321">
    <cfRule type="expression" dxfId="1691" priority="380">
      <formula>NoColor</formula>
    </cfRule>
  </conditionalFormatting>
  <conditionalFormatting sqref="Q99">
    <cfRule type="expression" dxfId="1690" priority="593">
      <formula>NoColor</formula>
    </cfRule>
  </conditionalFormatting>
  <conditionalFormatting sqref="Q108">
    <cfRule type="expression" dxfId="1689" priority="591">
      <formula>NoColor</formula>
    </cfRule>
  </conditionalFormatting>
  <conditionalFormatting sqref="Q229">
    <cfRule type="expression" dxfId="1688" priority="480">
      <formula>NoColor</formula>
    </cfRule>
  </conditionalFormatting>
  <conditionalFormatting sqref="Q238">
    <cfRule type="expression" dxfId="1687" priority="215">
      <formula>NoColor</formula>
    </cfRule>
  </conditionalFormatting>
  <conditionalFormatting sqref="Q358">
    <cfRule type="expression" dxfId="1686" priority="403">
      <formula>NoColor</formula>
    </cfRule>
  </conditionalFormatting>
  <conditionalFormatting sqref="Q367">
    <cfRule type="expression" dxfId="1685" priority="204">
      <formula>NoColor</formula>
    </cfRule>
  </conditionalFormatting>
  <conditionalFormatting sqref="T75:X77">
    <cfRule type="expression" dxfId="1684" priority="510">
      <formula>NoColor</formula>
    </cfRule>
  </conditionalFormatting>
  <conditionalFormatting sqref="T206:X208">
    <cfRule type="expression" dxfId="1683" priority="84">
      <formula>NoColor</formula>
    </cfRule>
  </conditionalFormatting>
  <conditionalFormatting sqref="T335:X337">
    <cfRule type="expression" dxfId="1682" priority="75">
      <formula>NoColor</formula>
    </cfRule>
  </conditionalFormatting>
  <conditionalFormatting sqref="W21">
    <cfRule type="expression" dxfId="1681" priority="171">
      <formula>NoColor</formula>
    </cfRule>
  </conditionalFormatting>
  <conditionalFormatting sqref="W23">
    <cfRule type="expression" dxfId="1680" priority="172">
      <formula>NoColor</formula>
    </cfRule>
  </conditionalFormatting>
  <conditionalFormatting sqref="W152">
    <cfRule type="expression" dxfId="1679" priority="156">
      <formula>NoColor</formula>
    </cfRule>
  </conditionalFormatting>
  <conditionalFormatting sqref="W154">
    <cfRule type="expression" dxfId="1678" priority="157">
      <formula>NoColor</formula>
    </cfRule>
  </conditionalFormatting>
  <conditionalFormatting sqref="W281">
    <cfRule type="expression" dxfId="1677" priority="146">
      <formula>NoColor</formula>
    </cfRule>
  </conditionalFormatting>
  <conditionalFormatting sqref="W283">
    <cfRule type="expression" dxfId="1676" priority="147">
      <formula>NoColor</formula>
    </cfRule>
  </conditionalFormatting>
  <conditionalFormatting sqref="AA75:AA77 AE75:AE77 AI75:AI77">
    <cfRule type="expression" dxfId="1675" priority="536">
      <formula>NoColor</formula>
    </cfRule>
  </conditionalFormatting>
  <conditionalFormatting sqref="AA206:AA208 AE206:AE208 AI206:AI208">
    <cfRule type="expression" dxfId="1674" priority="88">
      <formula>NoColor</formula>
    </cfRule>
  </conditionalFormatting>
  <conditionalFormatting sqref="AA335:AA337 AE335:AE337 AI335:AI337">
    <cfRule type="expression" dxfId="1673" priority="79">
      <formula>NoColor</formula>
    </cfRule>
  </conditionalFormatting>
  <conditionalFormatting sqref="AB84:AI84">
    <cfRule type="expression" dxfId="1672" priority="508">
      <formula>NoColor</formula>
    </cfRule>
  </conditionalFormatting>
  <conditionalFormatting sqref="AB86:AI86">
    <cfRule type="expression" dxfId="1671" priority="283">
      <formula>NoColor</formula>
    </cfRule>
  </conditionalFormatting>
  <conditionalFormatting sqref="AB89:AI89">
    <cfRule type="expression" dxfId="1670" priority="503">
      <formula>NoColor</formula>
    </cfRule>
  </conditionalFormatting>
  <conditionalFormatting sqref="AB91:AI91">
    <cfRule type="expression" dxfId="1669" priority="506">
      <formula>NoColor</formula>
    </cfRule>
  </conditionalFormatting>
  <conditionalFormatting sqref="AB93:AI93">
    <cfRule type="expression" dxfId="1668" priority="505">
      <formula>NoColor</formula>
    </cfRule>
  </conditionalFormatting>
  <conditionalFormatting sqref="AB98:AI99">
    <cfRule type="expression" dxfId="1667" priority="502">
      <formula>NoColor</formula>
    </cfRule>
  </conditionalFormatting>
  <conditionalFormatting sqref="AB104:AI104">
    <cfRule type="expression" dxfId="1666" priority="501">
      <formula>NoColor</formula>
    </cfRule>
  </conditionalFormatting>
  <conditionalFormatting sqref="AB107:AI107">
    <cfRule type="expression" dxfId="1665" priority="500">
      <formula>NoColor</formula>
    </cfRule>
  </conditionalFormatting>
  <conditionalFormatting sqref="AB127:AI133">
    <cfRule type="expression" dxfId="1664" priority="28">
      <formula>NoColor</formula>
    </cfRule>
  </conditionalFormatting>
  <conditionalFormatting sqref="AB214:AI214">
    <cfRule type="expression" dxfId="1663" priority="219">
      <formula>NoColor</formula>
    </cfRule>
  </conditionalFormatting>
  <conditionalFormatting sqref="AB216:AI216">
    <cfRule type="expression" dxfId="1662" priority="6">
      <formula>NoColor</formula>
    </cfRule>
  </conditionalFormatting>
  <conditionalFormatting sqref="AB219:AI219">
    <cfRule type="expression" dxfId="1661" priority="435">
      <formula>NoColor</formula>
    </cfRule>
  </conditionalFormatting>
  <conditionalFormatting sqref="AB221:AI221">
    <cfRule type="expression" dxfId="1660" priority="438">
      <formula>NoColor</formula>
    </cfRule>
  </conditionalFormatting>
  <conditionalFormatting sqref="AB223:AI223">
    <cfRule type="expression" dxfId="1659" priority="437">
      <formula>NoColor</formula>
    </cfRule>
  </conditionalFormatting>
  <conditionalFormatting sqref="AB228:AI229">
    <cfRule type="expression" dxfId="1658" priority="434">
      <formula>NoColor</formula>
    </cfRule>
  </conditionalFormatting>
  <conditionalFormatting sqref="AB234:AI234">
    <cfRule type="expression" dxfId="1657" priority="213">
      <formula>NoColor</formula>
    </cfRule>
  </conditionalFormatting>
  <conditionalFormatting sqref="AB237:AI237">
    <cfRule type="expression" dxfId="1656" priority="16">
      <formula>NoColor</formula>
    </cfRule>
  </conditionalFormatting>
  <conditionalFormatting sqref="AB257:AI263">
    <cfRule type="expression" dxfId="1655" priority="29">
      <formula>NoColor</formula>
    </cfRule>
  </conditionalFormatting>
  <conditionalFormatting sqref="AB343:AI343">
    <cfRule type="expression" dxfId="1654" priority="218">
      <formula>NoColor</formula>
    </cfRule>
  </conditionalFormatting>
  <conditionalFormatting sqref="AB345:AI345">
    <cfRule type="expression" dxfId="1653" priority="5">
      <formula>NoColor</formula>
    </cfRule>
  </conditionalFormatting>
  <conditionalFormatting sqref="AB348:AI348">
    <cfRule type="expression" dxfId="1652" priority="363">
      <formula>NoColor</formula>
    </cfRule>
  </conditionalFormatting>
  <conditionalFormatting sqref="AB350:AI350">
    <cfRule type="expression" dxfId="1651" priority="366">
      <formula>NoColor</formula>
    </cfRule>
  </conditionalFormatting>
  <conditionalFormatting sqref="AB352:AI352">
    <cfRule type="expression" dxfId="1650" priority="365">
      <formula>NoColor</formula>
    </cfRule>
  </conditionalFormatting>
  <conditionalFormatting sqref="AB357:AI358">
    <cfRule type="expression" dxfId="1649" priority="362">
      <formula>NoColor</formula>
    </cfRule>
  </conditionalFormatting>
  <conditionalFormatting sqref="AB363:AI363">
    <cfRule type="expression" dxfId="1648" priority="202">
      <formula>NoColor</formula>
    </cfRule>
  </conditionalFormatting>
  <conditionalFormatting sqref="AB366:AI366">
    <cfRule type="expression" dxfId="1647" priority="15">
      <formula>NoColor</formula>
    </cfRule>
  </conditionalFormatting>
  <conditionalFormatting sqref="AB386:AI392">
    <cfRule type="expression" dxfId="1646" priority="121">
      <formula>NoColor</formula>
    </cfRule>
  </conditionalFormatting>
  <conditionalFormatting sqref="AE108">
    <cfRule type="expression" dxfId="1645" priority="588">
      <formula>NoColor</formula>
    </cfRule>
  </conditionalFormatting>
  <conditionalFormatting sqref="AE238">
    <cfRule type="expression" dxfId="1644" priority="214">
      <formula>NoColor</formula>
    </cfRule>
  </conditionalFormatting>
  <conditionalFormatting sqref="AE367">
    <cfRule type="expression" dxfId="1643" priority="203">
      <formula>NoColor</formula>
    </cfRule>
  </conditionalFormatting>
  <conditionalFormatting sqref="AH18">
    <cfRule type="expression" dxfId="1642" priority="165">
      <formula>$AO$20&gt;1</formula>
    </cfRule>
  </conditionalFormatting>
  <conditionalFormatting sqref="AH149">
    <cfRule type="expression" dxfId="1641" priority="152">
      <formula>$AO$20&gt;1</formula>
    </cfRule>
  </conditionalFormatting>
  <conditionalFormatting sqref="AH278">
    <cfRule type="expression" dxfId="1640" priority="142">
      <formula>$AO$20&gt;1</formula>
    </cfRule>
  </conditionalFormatting>
  <conditionalFormatting sqref="AI18">
    <cfRule type="expression" dxfId="1639" priority="123">
      <formula>AO20&gt;1</formula>
    </cfRule>
  </conditionalFormatting>
  <conditionalFormatting sqref="AI21">
    <cfRule type="expression" dxfId="1638" priority="168">
      <formula>NoColor</formula>
    </cfRule>
  </conditionalFormatting>
  <conditionalFormatting sqref="AI149">
    <cfRule type="expression" dxfId="1637" priority="120">
      <formula>AO151&gt;1</formula>
    </cfRule>
  </conditionalFormatting>
  <conditionalFormatting sqref="AI152">
    <cfRule type="expression" dxfId="1636" priority="155">
      <formula>NoColor</formula>
    </cfRule>
  </conditionalFormatting>
  <conditionalFormatting sqref="AI278">
    <cfRule type="expression" dxfId="1635" priority="119">
      <formula>AO280&gt;1</formula>
    </cfRule>
  </conditionalFormatting>
  <conditionalFormatting sqref="AI281">
    <cfRule type="expression" dxfId="1634" priority="145">
      <formula>NoColor</formula>
    </cfRule>
  </conditionalFormatting>
  <conditionalFormatting sqref="AL36:AO36 AL167:AO167 AL296:AO296">
    <cfRule type="expression" dxfId="1633" priority="185">
      <formula>IF(AND(SUM(P36,W36,AD36)&gt;0,AO20=0),1,0)</formula>
    </cfRule>
    <cfRule type="expression" dxfId="1632" priority="186">
      <formula>NoColor</formula>
    </cfRule>
  </conditionalFormatting>
  <conditionalFormatting sqref="AL61:AO62">
    <cfRule type="expression" dxfId="1631" priority="517">
      <formula>NoColor</formula>
    </cfRule>
  </conditionalFormatting>
  <conditionalFormatting sqref="AL95:AO95">
    <cfRule type="expression" dxfId="1630" priority="499">
      <formula>NoColor</formula>
    </cfRule>
  </conditionalFormatting>
  <conditionalFormatting sqref="AL110:AO110">
    <cfRule type="expression" dxfId="1629" priority="498">
      <formula>NoColor</formula>
    </cfRule>
  </conditionalFormatting>
  <conditionalFormatting sqref="AL114:AO114">
    <cfRule type="expression" dxfId="1628" priority="302">
      <formula>NoColor</formula>
    </cfRule>
  </conditionalFormatting>
  <conditionalFormatting sqref="AL118:AO118">
    <cfRule type="expression" dxfId="1627" priority="496">
      <formula>NoColor</formula>
    </cfRule>
  </conditionalFormatting>
  <conditionalFormatting sqref="AL120:AO120">
    <cfRule type="expression" dxfId="1626" priority="37">
      <formula>NoColor</formula>
    </cfRule>
  </conditionalFormatting>
  <conditionalFormatting sqref="AL122:AO122">
    <cfRule type="expression" dxfId="1625" priority="36">
      <formula>NoColor</formula>
    </cfRule>
  </conditionalFormatting>
  <conditionalFormatting sqref="AL125:AO125">
    <cfRule type="expression" dxfId="1624" priority="495">
      <formula>NoColor</formula>
    </cfRule>
  </conditionalFormatting>
  <conditionalFormatting sqref="AL134:AO136">
    <cfRule type="expression" dxfId="1623" priority="487">
      <formula>NoColor</formula>
    </cfRule>
  </conditionalFormatting>
  <conditionalFormatting sqref="AL138:AO138">
    <cfRule type="expression" dxfId="1622" priority="492">
      <formula>NoColor</formula>
    </cfRule>
  </conditionalFormatting>
  <conditionalFormatting sqref="AL192:AO193">
    <cfRule type="expression" dxfId="1621" priority="177">
      <formula>NoColor</formula>
    </cfRule>
  </conditionalFormatting>
  <conditionalFormatting sqref="AL225:AO225">
    <cfRule type="expression" dxfId="1620" priority="431">
      <formula>NoColor</formula>
    </cfRule>
  </conditionalFormatting>
  <conditionalFormatting sqref="AL240:AO240">
    <cfRule type="expression" dxfId="1619" priority="211">
      <formula>NoColor</formula>
    </cfRule>
  </conditionalFormatting>
  <conditionalFormatting sqref="AL244:AO244">
    <cfRule type="expression" dxfId="1618" priority="10">
      <formula>NoColor</formula>
    </cfRule>
  </conditionalFormatting>
  <conditionalFormatting sqref="AL248:AO248">
    <cfRule type="expression" dxfId="1617" priority="210">
      <formula>NoColor</formula>
    </cfRule>
  </conditionalFormatting>
  <conditionalFormatting sqref="AL250:AO250">
    <cfRule type="expression" dxfId="1616" priority="34">
      <formula>NoColor</formula>
    </cfRule>
  </conditionalFormatting>
  <conditionalFormatting sqref="AL252:AO252">
    <cfRule type="expression" dxfId="1615" priority="33">
      <formula>NoColor</formula>
    </cfRule>
  </conditionalFormatting>
  <conditionalFormatting sqref="AL255:AO255">
    <cfRule type="expression" dxfId="1614" priority="309">
      <formula>NoColor</formula>
    </cfRule>
  </conditionalFormatting>
  <conditionalFormatting sqref="AL264:AO266">
    <cfRule type="expression" dxfId="1613" priority="419">
      <formula>NoColor</formula>
    </cfRule>
  </conditionalFormatting>
  <conditionalFormatting sqref="AL268:AO268">
    <cfRule type="expression" dxfId="1612" priority="288">
      <formula>NoColor</formula>
    </cfRule>
  </conditionalFormatting>
  <conditionalFormatting sqref="AL321:AO322">
    <cfRule type="expression" dxfId="1611" priority="175">
      <formula>NoColor</formula>
    </cfRule>
  </conditionalFormatting>
  <conditionalFormatting sqref="AL354:AO354">
    <cfRule type="expression" dxfId="1610" priority="359">
      <formula>NoColor</formula>
    </cfRule>
  </conditionalFormatting>
  <conditionalFormatting sqref="AL369:AO369">
    <cfRule type="expression" dxfId="1609" priority="200">
      <formula>NoColor</formula>
    </cfRule>
  </conditionalFormatting>
  <conditionalFormatting sqref="AL373:AO373">
    <cfRule type="expression" dxfId="1608" priority="7">
      <formula>NoColor</formula>
    </cfRule>
  </conditionalFormatting>
  <conditionalFormatting sqref="AL377:AO377">
    <cfRule type="expression" dxfId="1607" priority="199">
      <formula>NoColor</formula>
    </cfRule>
  </conditionalFormatting>
  <conditionalFormatting sqref="AL379:AO379">
    <cfRule type="expression" dxfId="1606" priority="32">
      <formula>NoColor</formula>
    </cfRule>
  </conditionalFormatting>
  <conditionalFormatting sqref="AL381:AO381">
    <cfRule type="expression" dxfId="1605" priority="31">
      <formula>NoColor</formula>
    </cfRule>
  </conditionalFormatting>
  <conditionalFormatting sqref="AL384:AO384">
    <cfRule type="expression" dxfId="1604" priority="194">
      <formula>NoColor</formula>
    </cfRule>
  </conditionalFormatting>
  <conditionalFormatting sqref="AL393:AO395">
    <cfRule type="expression" dxfId="1603" priority="347">
      <formula>NoColor</formula>
    </cfRule>
  </conditionalFormatting>
  <conditionalFormatting sqref="AL397:AO397">
    <cfRule type="expression" dxfId="1602" priority="287">
      <formula>NoColor</formula>
    </cfRule>
  </conditionalFormatting>
  <conditionalFormatting sqref="AM75:AM77">
    <cfRule type="expression" dxfId="1601" priority="256">
      <formula>NoColor</formula>
    </cfRule>
  </conditionalFormatting>
  <conditionalFormatting sqref="AM206:AM208">
    <cfRule type="expression" dxfId="1600" priority="71">
      <formula>NoColor</formula>
    </cfRule>
  </conditionalFormatting>
  <conditionalFormatting sqref="AM335:AM337">
    <cfRule type="expression" dxfId="1599" priority="68">
      <formula>NoColor</formula>
    </cfRule>
  </conditionalFormatting>
  <conditionalFormatting sqref="AM78:AO78">
    <cfRule type="expression" dxfId="1598" priority="180">
      <formula>NoColor</formula>
    </cfRule>
  </conditionalFormatting>
  <conditionalFormatting sqref="AM209:AO209">
    <cfRule type="expression" dxfId="1597" priority="243">
      <formula>NoColor</formula>
    </cfRule>
  </conditionalFormatting>
  <conditionalFormatting sqref="AM338:AO338">
    <cfRule type="expression" dxfId="1596" priority="179">
      <formula>NoColor</formula>
    </cfRule>
  </conditionalFormatting>
  <conditionalFormatting sqref="AO8">
    <cfRule type="expression" dxfId="1595" priority="114">
      <formula>AND(AO8&lt;&gt;0,AO8&lt;&gt;"",NoColor)</formula>
    </cfRule>
    <cfRule type="expression" dxfId="1594" priority="115">
      <formula>AND(AO8&lt;&gt;0,AO8&lt;&gt;"")</formula>
    </cfRule>
  </conditionalFormatting>
  <conditionalFormatting sqref="AO18">
    <cfRule type="expression" dxfId="1593" priority="124">
      <formula>$AO$20&gt;1</formula>
    </cfRule>
  </conditionalFormatting>
  <conditionalFormatting sqref="AQ61:AT62">
    <cfRule type="expression" dxfId="1592" priority="515">
      <formula>NoColor</formula>
    </cfRule>
  </conditionalFormatting>
  <conditionalFormatting sqref="AQ78:AT78">
    <cfRule type="expression" dxfId="1591" priority="258">
      <formula>NoColor</formula>
    </cfRule>
  </conditionalFormatting>
  <conditionalFormatting sqref="AQ107:AT107">
    <cfRule type="expression" dxfId="1590" priority="486">
      <formula>NoColor</formula>
    </cfRule>
  </conditionalFormatting>
  <conditionalFormatting sqref="AQ110:AT110">
    <cfRule type="expression" dxfId="1589" priority="217">
      <formula>NoColor</formula>
    </cfRule>
  </conditionalFormatting>
  <conditionalFormatting sqref="AQ114:AT114">
    <cfRule type="expression" dxfId="1588" priority="485">
      <formula>NoColor</formula>
    </cfRule>
  </conditionalFormatting>
  <conditionalFormatting sqref="AQ125:AT125">
    <cfRule type="expression" dxfId="1587" priority="310">
      <formula>NoColor</formula>
    </cfRule>
  </conditionalFormatting>
  <conditionalFormatting sqref="AQ134:AT134">
    <cfRule type="expression" dxfId="1586" priority="27">
      <formula>NoColor</formula>
    </cfRule>
  </conditionalFormatting>
  <conditionalFormatting sqref="AQ138:AT138">
    <cfRule type="expression" dxfId="1585" priority="484">
      <formula>NoColor</formula>
    </cfRule>
  </conditionalFormatting>
  <conditionalFormatting sqref="AQ192:AT193">
    <cfRule type="expression" dxfId="1584" priority="447">
      <formula>NoColor</formula>
    </cfRule>
  </conditionalFormatting>
  <conditionalFormatting sqref="AQ209:AT209">
    <cfRule type="expression" dxfId="1583" priority="242">
      <formula>NoColor</formula>
    </cfRule>
  </conditionalFormatting>
  <conditionalFormatting sqref="AQ237:AT237">
    <cfRule type="expression" dxfId="1582" priority="209">
      <formula>NoColor</formula>
    </cfRule>
  </conditionalFormatting>
  <conditionalFormatting sqref="AQ240:AT240">
    <cfRule type="expression" dxfId="1581" priority="206">
      <formula>NoColor</formula>
    </cfRule>
  </conditionalFormatting>
  <conditionalFormatting sqref="AQ244:AT244">
    <cfRule type="expression" dxfId="1580" priority="11">
      <formula>NoColor</formula>
    </cfRule>
  </conditionalFormatting>
  <conditionalFormatting sqref="AQ255:AT255">
    <cfRule type="expression" dxfId="1579" priority="306">
      <formula>NoColor</formula>
    </cfRule>
  </conditionalFormatting>
  <conditionalFormatting sqref="AQ264:AT264">
    <cfRule type="expression" dxfId="1578" priority="26">
      <formula>NoColor</formula>
    </cfRule>
  </conditionalFormatting>
  <conditionalFormatting sqref="AQ268:AT268">
    <cfRule type="expression" dxfId="1577" priority="416">
      <formula>NoColor</formula>
    </cfRule>
  </conditionalFormatting>
  <conditionalFormatting sqref="AQ321:AT322">
    <cfRule type="expression" dxfId="1576" priority="375">
      <formula>NoColor</formula>
    </cfRule>
  </conditionalFormatting>
  <conditionalFormatting sqref="AQ338:AT338">
    <cfRule type="expression" dxfId="1575" priority="226">
      <formula>NoColor</formula>
    </cfRule>
  </conditionalFormatting>
  <conditionalFormatting sqref="AQ366:AT366">
    <cfRule type="expression" dxfId="1574" priority="198">
      <formula>NoColor</formula>
    </cfRule>
  </conditionalFormatting>
  <conditionalFormatting sqref="AQ369:AT369">
    <cfRule type="expression" dxfId="1573" priority="195">
      <formula>NoColor</formula>
    </cfRule>
  </conditionalFormatting>
  <conditionalFormatting sqref="AQ373:AT373">
    <cfRule type="expression" dxfId="1572" priority="8">
      <formula>NoColor</formula>
    </cfRule>
  </conditionalFormatting>
  <conditionalFormatting sqref="AQ384:AT384">
    <cfRule type="expression" dxfId="1571" priority="307">
      <formula>NoColor</formula>
    </cfRule>
  </conditionalFormatting>
  <conditionalFormatting sqref="AQ393:AT393">
    <cfRule type="expression" dxfId="1570" priority="25">
      <formula>NoColor</formula>
    </cfRule>
  </conditionalFormatting>
  <conditionalFormatting sqref="AQ397:AT397">
    <cfRule type="expression" dxfId="1569" priority="344">
      <formula>NoColor</formula>
    </cfRule>
  </conditionalFormatting>
  <conditionalFormatting sqref="AQ11:AW15">
    <cfRule type="expression" dxfId="1568" priority="74">
      <formula>$AQ$10</formula>
    </cfRule>
  </conditionalFormatting>
  <conditionalFormatting sqref="AX96:AX97">
    <cfRule type="expression" dxfId="1567" priority="21">
      <formula>NOT(AX96)</formula>
    </cfRule>
    <cfRule type="expression" dxfId="1566" priority="22">
      <formula>AX96</formula>
    </cfRule>
  </conditionalFormatting>
  <conditionalFormatting sqref="AX226:AX227">
    <cfRule type="expression" dxfId="1565" priority="19">
      <formula>NOT(AX226)</formula>
    </cfRule>
    <cfRule type="expression" dxfId="1564" priority="20">
      <formula>AX226</formula>
    </cfRule>
  </conditionalFormatting>
  <conditionalFormatting sqref="AX355:AX356">
    <cfRule type="expression" dxfId="1563" priority="17">
      <formula>NOT(AX355)</formula>
    </cfRule>
    <cfRule type="expression" dxfId="1562" priority="18">
      <formula>AX355</formula>
    </cfRule>
  </conditionalFormatting>
  <conditionalFormatting sqref="BE118">
    <cfRule type="expression" dxfId="1561" priority="23">
      <formula>NoColor</formula>
    </cfRule>
  </conditionalFormatting>
  <conditionalFormatting sqref="BE239:BE246">
    <cfRule type="expression" dxfId="1560" priority="12">
      <formula>NoColor</formula>
    </cfRule>
  </conditionalFormatting>
  <conditionalFormatting sqref="BE248">
    <cfRule type="expression" dxfId="1559" priority="24">
      <formula>NoColor</formula>
    </cfRule>
  </conditionalFormatting>
  <conditionalFormatting sqref="BE368:BE375">
    <cfRule type="expression" dxfId="1558" priority="9">
      <formula>NoColor</formula>
    </cfRule>
  </conditionalFormatting>
  <conditionalFormatting sqref="BE377">
    <cfRule type="expression" dxfId="1557" priority="39">
      <formula>NoColor</formula>
    </cfRule>
  </conditionalFormatting>
  <conditionalFormatting sqref="BG108">
    <cfRule type="expression" dxfId="1556" priority="57">
      <formula>NoColor</formula>
    </cfRule>
  </conditionalFormatting>
  <conditionalFormatting sqref="BG119:BG120">
    <cfRule type="expression" dxfId="1555" priority="54">
      <formula>NoColor</formula>
    </cfRule>
  </conditionalFormatting>
  <conditionalFormatting sqref="BG238">
    <cfRule type="expression" dxfId="1554" priority="45">
      <formula>NoColor</formula>
    </cfRule>
  </conditionalFormatting>
  <conditionalFormatting sqref="BG249:BG250">
    <cfRule type="expression" dxfId="1553" priority="3">
      <formula>NoColor</formula>
    </cfRule>
  </conditionalFormatting>
  <conditionalFormatting sqref="BG367">
    <cfRule type="expression" dxfId="1552" priority="41">
      <formula>NoColor</formula>
    </cfRule>
  </conditionalFormatting>
  <conditionalFormatting sqref="BG378:BG379">
    <cfRule type="expression" dxfId="1551" priority="2">
      <formula>NoColor</formula>
    </cfRule>
  </conditionalFormatting>
  <pageMargins left="0.75" right="0.25" top="0.36" bottom="0.28999999999999998" header="0.36" footer="0.21"/>
  <pageSetup scale="82" fitToHeight="0" orientation="portrait" r:id="rId1"/>
  <rowBreaks count="5" manualBreakCount="5">
    <brk id="79" max="16383" man="1"/>
    <brk id="140" min="1" max="40" man="1"/>
    <brk id="210" min="1" max="40" man="1"/>
    <brk id="269" min="1" max="40" man="1"/>
    <brk id="339"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CJ391"/>
  <sheetViews>
    <sheetView zoomScaleNormal="100" zoomScaleSheetLayoutView="100" workbookViewId="0">
      <pane ySplit="4" topLeftCell="A5" activePane="bottomLeft" state="frozen"/>
      <selection pane="bottomLeft"/>
    </sheetView>
  </sheetViews>
  <sheetFormatPr defaultRowHeight="12.75"/>
  <cols>
    <col min="1" max="2" width="2.140625" customWidth="1"/>
    <col min="3" max="3" width="4.140625" customWidth="1"/>
    <col min="4" max="4" width="3.140625" customWidth="1"/>
    <col min="5" max="5" width="10.5703125" customWidth="1"/>
    <col min="6" max="6" width="5.28515625" customWidth="1"/>
    <col min="7" max="7" width="8" customWidth="1"/>
    <col min="8" max="8" width="3" customWidth="1"/>
    <col min="9" max="9" width="7.5703125" customWidth="1"/>
    <col min="10" max="10" width="4.140625" customWidth="1"/>
    <col min="11" max="11" width="5.42578125" customWidth="1"/>
    <col min="12" max="12" width="1.28515625" customWidth="1"/>
    <col min="13" max="13" width="3.5703125" customWidth="1"/>
    <col min="14" max="14" width="5.28515625" customWidth="1"/>
    <col min="15" max="15" width="3.85546875" customWidth="1"/>
    <col min="16" max="16" width="4" customWidth="1"/>
    <col min="17" max="17" width="10.7109375" customWidth="1"/>
    <col min="18" max="18" width="3.28515625" customWidth="1"/>
    <col min="19" max="19" width="10.7109375" customWidth="1"/>
    <col min="20" max="20" width="3.28515625" customWidth="1"/>
    <col min="21" max="21" width="10.7109375" customWidth="1"/>
    <col min="22" max="22" width="3.28515625" customWidth="1"/>
    <col min="23" max="23" width="10.7109375" customWidth="1"/>
    <col min="24" max="24" width="5" customWidth="1"/>
    <col min="25" max="25" width="2.85546875" style="3" customWidth="1"/>
    <col min="26" max="26" width="13.85546875" customWidth="1"/>
    <col min="27" max="27" width="4.7109375" customWidth="1"/>
    <col min="28" max="28" width="3.5703125" customWidth="1"/>
    <col min="29" max="29" width="4.7109375" customWidth="1"/>
    <col min="30" max="30" width="2" customWidth="1"/>
    <col min="31" max="31" width="11.85546875" customWidth="1"/>
    <col min="32" max="32" width="5.5703125" customWidth="1"/>
    <col min="33" max="33" width="4.140625" customWidth="1"/>
    <col min="34" max="34" width="4.7109375" customWidth="1"/>
    <col min="35" max="35" width="21" customWidth="1"/>
    <col min="36" max="36" width="2.7109375" customWidth="1"/>
    <col min="37" max="37" width="10.7109375" customWidth="1"/>
    <col min="38" max="38" width="1.7109375" customWidth="1"/>
    <col min="39" max="39" width="10.7109375" customWidth="1"/>
    <col min="40" max="40" width="1.7109375" customWidth="1"/>
    <col min="41" max="41" width="10.7109375" customWidth="1"/>
    <col min="42" max="42" width="1.7109375" customWidth="1"/>
    <col min="43" max="43" width="10.7109375" customWidth="1"/>
    <col min="44" max="44" width="1.7109375" customWidth="1"/>
    <col min="45" max="45" width="3.42578125" customWidth="1"/>
    <col min="46" max="46" width="2.7109375" customWidth="1"/>
    <col min="47" max="47" width="5.85546875" customWidth="1"/>
    <col min="48" max="58" width="10.7109375" style="2038" customWidth="1"/>
    <col min="59" max="71" width="9" customWidth="1"/>
    <col min="72" max="83" width="9.140625" customWidth="1"/>
  </cols>
  <sheetData>
    <row r="1" spans="1:58" ht="12.75" customHeight="1">
      <c r="A1" s="808"/>
      <c r="B1" s="808"/>
      <c r="C1" s="808"/>
      <c r="D1" s="808"/>
      <c r="E1" s="808"/>
      <c r="F1" s="808"/>
      <c r="G1" s="808"/>
      <c r="H1" s="808"/>
      <c r="I1" s="808"/>
      <c r="J1" s="808"/>
      <c r="K1" s="808"/>
      <c r="L1" s="808"/>
      <c r="M1" s="808"/>
      <c r="N1" s="808"/>
      <c r="O1" s="808"/>
      <c r="P1" s="808"/>
      <c r="Q1" s="808"/>
      <c r="R1" s="808"/>
      <c r="S1" s="808"/>
      <c r="T1" s="808"/>
      <c r="U1" s="808"/>
      <c r="V1" s="808"/>
      <c r="W1" s="808"/>
      <c r="X1" s="808"/>
      <c r="Y1" s="814"/>
      <c r="Z1" s="808"/>
      <c r="AA1" s="780"/>
      <c r="AB1" s="780"/>
      <c r="AC1" s="780"/>
      <c r="AD1" s="780"/>
      <c r="AE1" s="780"/>
      <c r="AF1" s="780"/>
      <c r="AG1" s="780"/>
      <c r="AH1" s="780"/>
      <c r="AI1" s="780"/>
      <c r="AJ1" s="780"/>
      <c r="AK1" s="780"/>
      <c r="AL1" s="780"/>
      <c r="AM1" s="780"/>
      <c r="AN1" s="780"/>
      <c r="AO1" s="780"/>
      <c r="AP1" s="780"/>
      <c r="AQ1" s="780"/>
      <c r="AR1" s="780"/>
      <c r="AS1" s="780"/>
      <c r="AT1" s="780"/>
      <c r="AU1" s="1009"/>
      <c r="AV1" s="2037" t="s">
        <v>241</v>
      </c>
    </row>
    <row r="2" spans="1:58" ht="16.5" customHeight="1">
      <c r="A2" s="808"/>
      <c r="B2" s="808"/>
      <c r="C2" s="1901"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(not included here)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Line 4 is less than $1,000, don't file Form 2210.</v>
      </c>
      <c r="D2" s="808"/>
      <c r="E2" s="808"/>
      <c r="F2" s="808"/>
      <c r="G2" s="808"/>
      <c r="H2" s="808"/>
      <c r="I2" s="808"/>
      <c r="J2" s="808"/>
      <c r="K2" s="808"/>
      <c r="L2" s="808"/>
      <c r="M2" s="808"/>
      <c r="N2" s="808"/>
      <c r="O2" s="808"/>
      <c r="P2" s="808"/>
      <c r="Q2" s="808"/>
      <c r="R2" s="808"/>
      <c r="S2" s="808"/>
      <c r="T2" s="808"/>
      <c r="U2" s="3939"/>
      <c r="V2" s="808"/>
      <c r="W2" s="808"/>
      <c r="X2" s="808"/>
      <c r="Y2" s="814"/>
      <c r="Z2" s="808"/>
      <c r="AA2" s="780"/>
      <c r="AB2" s="780"/>
      <c r="AC2" s="780"/>
      <c r="AD2" s="780"/>
      <c r="AE2" s="780"/>
      <c r="AF2" s="780"/>
      <c r="AG2" s="780"/>
      <c r="AH2" s="780"/>
      <c r="AI2" s="780"/>
      <c r="AJ2" s="780"/>
      <c r="AK2" s="780"/>
      <c r="AL2" s="780"/>
      <c r="AM2" s="780"/>
      <c r="AN2" s="780"/>
      <c r="AO2" s="780"/>
      <c r="AP2" s="780"/>
      <c r="AQ2" s="780"/>
      <c r="AR2" s="780"/>
      <c r="AS2" s="780"/>
      <c r="AT2" s="780"/>
      <c r="AU2" s="1009"/>
    </row>
    <row r="3" spans="1:58" ht="7.5" customHeight="1">
      <c r="A3" s="808"/>
      <c r="B3" s="2405"/>
      <c r="C3" s="5204"/>
      <c r="D3" s="808"/>
      <c r="E3" s="808"/>
      <c r="F3" s="808"/>
      <c r="G3" s="808"/>
      <c r="H3" s="808"/>
      <c r="I3" s="2182"/>
      <c r="J3" s="808"/>
      <c r="K3" s="808"/>
      <c r="L3" s="808"/>
      <c r="M3" s="808"/>
      <c r="N3" s="808"/>
      <c r="O3" s="808"/>
      <c r="P3" s="808"/>
      <c r="Q3" s="808"/>
      <c r="R3" s="808"/>
      <c r="S3" s="808"/>
      <c r="T3" s="808"/>
      <c r="U3" s="808"/>
      <c r="V3" s="808"/>
      <c r="W3" s="808"/>
      <c r="X3" s="808"/>
      <c r="Y3" s="814"/>
      <c r="Z3" s="808"/>
      <c r="AA3" s="780"/>
      <c r="AB3" s="780"/>
      <c r="AC3" s="780"/>
      <c r="AD3" s="780"/>
      <c r="AE3" s="780"/>
      <c r="AF3" s="780"/>
      <c r="AG3" s="780"/>
      <c r="AH3" s="780"/>
      <c r="AI3" s="780"/>
      <c r="AJ3" s="780"/>
      <c r="AK3" s="780"/>
      <c r="AL3" s="780"/>
      <c r="AM3" s="780"/>
      <c r="AN3" s="780"/>
      <c r="AO3" s="780"/>
      <c r="AP3" s="780"/>
      <c r="AQ3" s="780"/>
      <c r="AR3" s="780"/>
      <c r="AS3" s="780"/>
      <c r="AT3" s="780"/>
      <c r="AU3" s="1009"/>
    </row>
    <row r="4" spans="1:58" ht="9.75" customHeight="1">
      <c r="A4" s="808"/>
      <c r="B4" s="808"/>
      <c r="C4" s="808"/>
      <c r="D4" s="808"/>
      <c r="E4" s="808"/>
      <c r="F4" s="808"/>
      <c r="G4" s="808"/>
      <c r="H4" s="808"/>
      <c r="I4" s="808"/>
      <c r="J4" s="808"/>
      <c r="K4" s="808"/>
      <c r="L4" s="808"/>
      <c r="M4" s="808"/>
      <c r="N4" s="808"/>
      <c r="O4" s="808"/>
      <c r="P4" s="808"/>
      <c r="Q4" s="808"/>
      <c r="R4" s="808"/>
      <c r="S4" s="808"/>
      <c r="T4" s="808"/>
      <c r="U4" s="808"/>
      <c r="V4" s="808"/>
      <c r="W4" s="808"/>
      <c r="X4" s="808"/>
      <c r="Y4" s="814"/>
      <c r="Z4" s="808"/>
      <c r="AA4" s="780"/>
      <c r="AB4" s="780"/>
      <c r="AC4" s="780"/>
      <c r="AD4" s="780"/>
      <c r="AE4" s="780"/>
      <c r="AF4" s="780"/>
      <c r="AG4" s="780"/>
      <c r="AH4" s="780"/>
      <c r="AI4" s="780"/>
      <c r="AJ4" s="780"/>
      <c r="AK4" s="780"/>
      <c r="AL4" s="780"/>
      <c r="AM4" s="780"/>
      <c r="AN4" s="780"/>
      <c r="AO4" s="780"/>
      <c r="AP4" s="780"/>
      <c r="AQ4" s="780"/>
      <c r="AR4" s="780"/>
      <c r="AS4" s="780"/>
      <c r="AT4" s="780"/>
      <c r="AU4" s="1009"/>
    </row>
    <row r="5" spans="1:58" ht="9" customHeight="1" thickBot="1">
      <c r="A5" s="394"/>
      <c r="B5" s="394"/>
      <c r="C5" s="394"/>
      <c r="D5" s="394"/>
      <c r="E5" s="394"/>
      <c r="F5" s="394"/>
      <c r="G5" s="394"/>
      <c r="H5" s="394"/>
      <c r="I5" s="394"/>
      <c r="J5" s="394"/>
      <c r="K5" s="394"/>
      <c r="L5" s="394"/>
      <c r="M5" s="394"/>
      <c r="N5" s="394"/>
      <c r="O5" s="394"/>
      <c r="P5" s="394"/>
      <c r="Q5" s="394"/>
      <c r="R5" s="394"/>
      <c r="S5" s="394"/>
      <c r="T5" s="394"/>
      <c r="U5" s="394"/>
      <c r="V5" s="394"/>
      <c r="W5" s="394"/>
      <c r="X5" s="394"/>
      <c r="Y5" s="814"/>
      <c r="Z5" s="292"/>
      <c r="AA5" s="292"/>
      <c r="AB5" s="292"/>
      <c r="AC5" s="292"/>
      <c r="AD5" s="292"/>
      <c r="AE5" s="292"/>
      <c r="AF5" s="292"/>
      <c r="AG5" s="292"/>
      <c r="AH5" s="292"/>
      <c r="AI5" s="292"/>
      <c r="AJ5" s="292"/>
      <c r="AK5" s="292"/>
      <c r="AL5" s="292"/>
      <c r="AM5" s="292"/>
      <c r="AN5" s="292"/>
      <c r="AO5" s="292"/>
      <c r="AP5" s="292"/>
      <c r="AQ5" s="292"/>
      <c r="AR5" s="292"/>
      <c r="AS5" s="292"/>
      <c r="AT5" s="292"/>
      <c r="AU5" s="1009"/>
    </row>
    <row r="6" spans="1:58" ht="21.75" customHeight="1" thickBot="1">
      <c r="A6" s="394"/>
      <c r="B6" s="8358"/>
      <c r="C6" s="8358"/>
      <c r="D6" s="8358"/>
      <c r="E6" s="8359">
        <v>2210</v>
      </c>
      <c r="F6" s="8360"/>
      <c r="G6" s="8324" t="s">
        <v>3308</v>
      </c>
      <c r="H6" s="8325"/>
      <c r="I6" s="8325"/>
      <c r="J6" s="8325"/>
      <c r="K6" s="8325"/>
      <c r="L6" s="8325"/>
      <c r="M6" s="8325"/>
      <c r="N6" s="8325"/>
      <c r="O6" s="8325"/>
      <c r="P6" s="8325"/>
      <c r="Q6" s="8325"/>
      <c r="R6" s="8325"/>
      <c r="S6" s="8326"/>
      <c r="T6" s="8385" t="s">
        <v>576</v>
      </c>
      <c r="U6" s="6587"/>
      <c r="V6" s="6587"/>
      <c r="W6" s="6587"/>
      <c r="X6" s="66"/>
      <c r="Y6" s="814"/>
      <c r="Z6" s="3434"/>
      <c r="AA6" s="1001"/>
      <c r="AB6" s="8320">
        <f>TaxYear-1</f>
        <v>2022</v>
      </c>
      <c r="AC6" s="8320"/>
      <c r="AD6" s="8320"/>
      <c r="AE6" s="8320"/>
      <c r="AF6" s="1078"/>
      <c r="AG6" s="292"/>
      <c r="AH6" s="292"/>
      <c r="AI6" s="292"/>
      <c r="AJ6" s="292"/>
      <c r="AK6" s="292"/>
      <c r="AL6" s="292"/>
      <c r="AM6" s="292"/>
      <c r="AN6" s="292"/>
      <c r="AO6" s="292"/>
      <c r="AP6" s="292"/>
      <c r="AQ6" s="292"/>
      <c r="AR6" s="292"/>
      <c r="AS6" s="292"/>
      <c r="AT6" s="292"/>
      <c r="AU6" s="1009"/>
    </row>
    <row r="7" spans="1:58" ht="27.75" customHeight="1" thickBot="1">
      <c r="A7" s="394"/>
      <c r="B7" s="235"/>
      <c r="C7" s="8362" t="s">
        <v>50</v>
      </c>
      <c r="D7" s="8363"/>
      <c r="E7" s="8361"/>
      <c r="F7" s="8360"/>
      <c r="G7" s="8324"/>
      <c r="H7" s="8325"/>
      <c r="I7" s="8325"/>
      <c r="J7" s="8325"/>
      <c r="K7" s="8325"/>
      <c r="L7" s="8325"/>
      <c r="M7" s="8325"/>
      <c r="N7" s="8325"/>
      <c r="O7" s="8325"/>
      <c r="P7" s="8325"/>
      <c r="Q7" s="8325"/>
      <c r="R7" s="8325"/>
      <c r="S7" s="8326"/>
      <c r="T7" s="7812">
        <f>TaxYear</f>
        <v>2023</v>
      </c>
      <c r="U7" s="6864"/>
      <c r="V7" s="6864"/>
      <c r="W7" s="6864"/>
      <c r="X7" s="66"/>
      <c r="Y7" s="814"/>
      <c r="Z7" s="1902" t="str">
        <f>IF($AC$8="","Enter taxes","")</f>
        <v>Enter taxes</v>
      </c>
      <c r="AA7" s="1004"/>
      <c r="AB7" s="780"/>
      <c r="AC7" s="8314" t="str">
        <f>" Taxes Paid"</f>
        <v xml:space="preserve"> Taxes Paid</v>
      </c>
      <c r="AD7" s="8117"/>
      <c r="AE7" s="8117"/>
      <c r="AF7" s="1079"/>
      <c r="AG7" s="292"/>
      <c r="AH7" s="8261" t="s">
        <v>3309</v>
      </c>
      <c r="AI7" s="8262"/>
      <c r="AJ7" s="8262"/>
      <c r="AK7" s="8262"/>
      <c r="AL7" s="8262"/>
      <c r="AM7" s="8262"/>
      <c r="AN7" s="8262"/>
      <c r="AO7" s="8262"/>
      <c r="AP7" s="8263"/>
      <c r="AQ7" s="292"/>
      <c r="AR7" s="292"/>
      <c r="AS7" s="292"/>
      <c r="AT7" s="292"/>
      <c r="AU7" s="1009"/>
    </row>
    <row r="8" spans="1:58" ht="13.5" customHeight="1">
      <c r="A8" s="394"/>
      <c r="B8" s="32"/>
      <c r="C8" s="32" t="s">
        <v>535</v>
      </c>
      <c r="D8" s="32"/>
      <c r="E8" s="32"/>
      <c r="F8" s="83"/>
      <c r="G8" s="8327" t="s">
        <v>3311</v>
      </c>
      <c r="H8" s="8328"/>
      <c r="I8" s="8328"/>
      <c r="J8" s="8328"/>
      <c r="K8" s="8328"/>
      <c r="L8" s="8328"/>
      <c r="M8" s="8328"/>
      <c r="N8" s="8328"/>
      <c r="O8" s="8328"/>
      <c r="P8" s="8328"/>
      <c r="Q8" s="8328"/>
      <c r="R8" s="8328"/>
      <c r="S8" s="8328"/>
      <c r="T8" s="8395" t="s">
        <v>1194</v>
      </c>
      <c r="U8" s="6970"/>
      <c r="V8" s="6970"/>
      <c r="W8" s="6970"/>
      <c r="X8" s="66"/>
      <c r="Y8" s="814"/>
      <c r="Z8" s="1903" t="str">
        <f>IF($AC$8="","paid for Tax","")</f>
        <v>paid for Tax</v>
      </c>
      <c r="AA8" s="1004"/>
      <c r="AB8" s="2269" t="s">
        <v>3310</v>
      </c>
      <c r="AC8" s="8340"/>
      <c r="AD8" s="8341"/>
      <c r="AE8" s="8342"/>
      <c r="AF8" s="1079"/>
      <c r="AG8" s="292"/>
      <c r="AH8" s="8264" t="s">
        <v>5810</v>
      </c>
      <c r="AI8" s="8265"/>
      <c r="AJ8" s="8265"/>
      <c r="AK8" s="8265" t="s">
        <v>5811</v>
      </c>
      <c r="AL8" s="8265"/>
      <c r="AM8" s="8265"/>
      <c r="AN8" s="8265"/>
      <c r="AO8" s="8265"/>
      <c r="AP8" s="8268"/>
      <c r="AQ8" s="292"/>
      <c r="AR8" s="292"/>
      <c r="AS8" s="292"/>
      <c r="AT8" s="292"/>
      <c r="AU8" s="1009"/>
    </row>
    <row r="9" spans="1:58" ht="12.75" customHeight="1" thickBot="1">
      <c r="A9" s="394"/>
      <c r="B9" s="285"/>
      <c r="C9" s="7853" t="str">
        <f>"Internal Revenue Service"</f>
        <v>Internal Revenue Service</v>
      </c>
      <c r="D9" s="8398"/>
      <c r="E9" s="8398"/>
      <c r="F9" s="8399"/>
      <c r="G9" s="8366" t="s">
        <v>5808</v>
      </c>
      <c r="H9" s="8367"/>
      <c r="I9" s="8367"/>
      <c r="J9" s="8367"/>
      <c r="K9" s="8367"/>
      <c r="L9" s="8367"/>
      <c r="M9" s="8367"/>
      <c r="N9" s="8367"/>
      <c r="O9" s="8367"/>
      <c r="P9" s="8367"/>
      <c r="Q9" s="8367"/>
      <c r="R9" s="8367"/>
      <c r="S9" s="8368"/>
      <c r="T9" s="8396" t="s">
        <v>3312</v>
      </c>
      <c r="U9" s="8397"/>
      <c r="V9" s="8397"/>
      <c r="W9" s="8397"/>
      <c r="X9" s="66"/>
      <c r="Y9" s="814"/>
      <c r="Z9" s="1904" t="str">
        <f>IF($AC$8="","Year "&amp;TaxYear-1&amp;" &gt;&gt;&gt;","")</f>
        <v>Year 2022 &gt;&gt;&gt;</v>
      </c>
      <c r="AA9" s="1004"/>
      <c r="AB9" s="780"/>
      <c r="AC9" s="8343"/>
      <c r="AD9" s="8344"/>
      <c r="AE9" s="8345"/>
      <c r="AF9" s="1079"/>
      <c r="AG9" s="292"/>
      <c r="AH9" s="8266"/>
      <c r="AI9" s="8267"/>
      <c r="AJ9" s="8267"/>
      <c r="AK9" s="8267"/>
      <c r="AL9" s="8267"/>
      <c r="AM9" s="8267"/>
      <c r="AN9" s="8267"/>
      <c r="AO9" s="8267"/>
      <c r="AP9" s="8269"/>
      <c r="AQ9" s="292"/>
      <c r="AR9" s="292"/>
      <c r="AS9" s="292"/>
      <c r="AT9" s="292"/>
      <c r="AU9" s="1009"/>
    </row>
    <row r="10" spans="1:58" ht="12" customHeight="1">
      <c r="A10" s="394"/>
      <c r="B10" s="51" t="s">
        <v>3313</v>
      </c>
      <c r="C10" s="51"/>
      <c r="D10" s="51"/>
      <c r="E10" s="51"/>
      <c r="F10" s="22"/>
      <c r="G10" s="22"/>
      <c r="H10" s="22"/>
      <c r="I10" s="22"/>
      <c r="J10" s="22"/>
      <c r="K10" s="22"/>
      <c r="L10" s="216"/>
      <c r="M10" s="216"/>
      <c r="N10" s="216"/>
      <c r="O10" s="216"/>
      <c r="P10" s="216"/>
      <c r="Q10" s="216"/>
      <c r="R10" s="216"/>
      <c r="S10" s="8315" t="s">
        <v>3314</v>
      </c>
      <c r="T10" s="8316"/>
      <c r="U10" s="8316"/>
      <c r="V10" s="8316"/>
      <c r="W10" s="8316"/>
      <c r="X10" s="66"/>
      <c r="Y10" s="814"/>
      <c r="Z10" s="292"/>
      <c r="AA10" s="1004"/>
      <c r="AB10" s="8312"/>
      <c r="AC10" s="8313"/>
      <c r="AD10" s="8313"/>
      <c r="AE10" s="8313"/>
      <c r="AF10" s="1079"/>
      <c r="AG10" s="292"/>
      <c r="AH10" s="8266"/>
      <c r="AI10" s="8267"/>
      <c r="AJ10" s="8267"/>
      <c r="AK10" s="8267"/>
      <c r="AL10" s="8267"/>
      <c r="AM10" s="8267"/>
      <c r="AN10" s="8267"/>
      <c r="AO10" s="8267"/>
      <c r="AP10" s="8269"/>
      <c r="AQ10" s="292"/>
      <c r="AR10" s="292"/>
      <c r="AS10" s="292"/>
      <c r="AT10" s="292"/>
      <c r="AU10" s="1009"/>
    </row>
    <row r="11" spans="1:58" ht="18" customHeight="1">
      <c r="A11" s="394"/>
      <c r="B11" s="8416" t="str">
        <f>Names</f>
        <v/>
      </c>
      <c r="C11" s="8417"/>
      <c r="D11" s="8417"/>
      <c r="E11" s="8417"/>
      <c r="F11" s="8417"/>
      <c r="G11" s="8417"/>
      <c r="H11" s="8417"/>
      <c r="I11" s="8417"/>
      <c r="J11" s="8417"/>
      <c r="K11" s="8417"/>
      <c r="L11" s="8417"/>
      <c r="M11" s="8417"/>
      <c r="N11" s="8417"/>
      <c r="O11" s="8417"/>
      <c r="P11" s="8417"/>
      <c r="Q11" s="8417"/>
      <c r="R11" s="8418"/>
      <c r="S11" s="8290">
        <f>IF(NoSSN,"",SS_Yours)</f>
        <v>1010001</v>
      </c>
      <c r="T11" s="8291"/>
      <c r="U11" s="8291"/>
      <c r="V11" s="8291"/>
      <c r="W11" s="8291"/>
      <c r="X11" s="66"/>
      <c r="Y11" s="814"/>
      <c r="Z11" s="292"/>
      <c r="AA11" s="1004"/>
      <c r="AB11" s="8312">
        <f>TaxYear-1</f>
        <v>2022</v>
      </c>
      <c r="AC11" s="8313"/>
      <c r="AD11" s="8313"/>
      <c r="AE11" s="8313"/>
      <c r="AF11" s="1079"/>
      <c r="AG11" s="292"/>
      <c r="AH11" s="8266"/>
      <c r="AI11" s="8267"/>
      <c r="AJ11" s="8267"/>
      <c r="AK11" s="8267"/>
      <c r="AL11" s="8267"/>
      <c r="AM11" s="8267"/>
      <c r="AN11" s="8267"/>
      <c r="AO11" s="8267"/>
      <c r="AP11" s="8269"/>
      <c r="AQ11" s="292"/>
      <c r="AR11" s="292"/>
      <c r="AS11" s="292"/>
      <c r="AT11" s="292"/>
      <c r="AU11" s="1009"/>
    </row>
    <row r="12" spans="1:58" ht="19.5" customHeight="1">
      <c r="A12" s="394"/>
      <c r="B12" s="8292" t="s">
        <v>3315</v>
      </c>
      <c r="C12" s="8292"/>
      <c r="D12" s="8292"/>
      <c r="E12" s="8292"/>
      <c r="F12" s="8292"/>
      <c r="G12" s="8292"/>
      <c r="H12" s="8292"/>
      <c r="I12" s="8292"/>
      <c r="J12" s="8292"/>
      <c r="K12" s="8292"/>
      <c r="L12" s="8292"/>
      <c r="M12" s="8292"/>
      <c r="N12" s="8292"/>
      <c r="O12" s="8292"/>
      <c r="P12" s="8292"/>
      <c r="Q12" s="8292"/>
      <c r="R12" s="8292"/>
      <c r="S12" s="8292"/>
      <c r="T12" s="8292"/>
      <c r="U12" s="8292"/>
      <c r="V12" s="8292"/>
      <c r="W12" s="8292"/>
      <c r="X12" s="66"/>
      <c r="Y12" s="814"/>
      <c r="Z12" s="8346" t="str">
        <f>IF($AC$14="","Enter "&amp;TaxYear-1&amp;" Refundable Tax Credits &gt;&gt;&gt;","")</f>
        <v>Enter 2022 Refundable Tax Credits &gt;&gt;&gt;</v>
      </c>
      <c r="AA12" s="1004"/>
      <c r="AB12" s="8335" t="s">
        <v>3316</v>
      </c>
      <c r="AC12" s="7367"/>
      <c r="AD12" s="7367"/>
      <c r="AE12" s="7367"/>
      <c r="AF12" s="1079"/>
      <c r="AG12" s="292"/>
      <c r="AH12" s="8266"/>
      <c r="AI12" s="8267"/>
      <c r="AJ12" s="8267"/>
      <c r="AK12" s="8267"/>
      <c r="AL12" s="8267"/>
      <c r="AM12" s="8267"/>
      <c r="AN12" s="8267"/>
      <c r="AO12" s="8267"/>
      <c r="AP12" s="8269"/>
      <c r="AQ12" s="292"/>
      <c r="AR12" s="292"/>
      <c r="AS12" s="292"/>
      <c r="AT12" s="292"/>
      <c r="AU12" s="1009"/>
    </row>
    <row r="13" spans="1:58" s="392" customFormat="1" ht="10.5" customHeight="1" thickBot="1">
      <c r="A13" s="432"/>
      <c r="B13" s="872"/>
      <c r="C13" s="572"/>
      <c r="D13" s="572"/>
      <c r="E13" s="572"/>
      <c r="F13" s="86"/>
      <c r="G13" s="86"/>
      <c r="H13" s="86"/>
      <c r="I13" s="86"/>
      <c r="J13" s="86"/>
      <c r="K13" s="86"/>
      <c r="L13" s="86"/>
      <c r="M13" s="86"/>
      <c r="N13" s="86"/>
      <c r="O13" s="86"/>
      <c r="P13" s="86"/>
      <c r="Q13" s="86"/>
      <c r="R13" s="86"/>
      <c r="S13" s="86"/>
      <c r="T13" s="86"/>
      <c r="U13" s="86"/>
      <c r="V13" s="86"/>
      <c r="W13" s="86"/>
      <c r="X13" s="443"/>
      <c r="Y13" s="1750"/>
      <c r="Z13" s="8346"/>
      <c r="AA13" s="2270"/>
      <c r="AB13" s="7367"/>
      <c r="AC13" s="7367"/>
      <c r="AD13" s="7367"/>
      <c r="AE13" s="7367"/>
      <c r="AF13" s="3118"/>
      <c r="AG13" s="292"/>
      <c r="AH13" s="8266"/>
      <c r="AI13" s="8267"/>
      <c r="AJ13" s="8267"/>
      <c r="AK13" s="8267"/>
      <c r="AL13" s="8267"/>
      <c r="AM13" s="8267"/>
      <c r="AN13" s="8267"/>
      <c r="AO13" s="8267"/>
      <c r="AP13" s="8269"/>
      <c r="AQ13" s="292"/>
      <c r="AR13" s="292"/>
      <c r="AS13" s="292"/>
      <c r="AT13" s="292"/>
      <c r="AU13" s="3095"/>
      <c r="AV13" s="2038"/>
      <c r="AW13" s="2038"/>
      <c r="AX13" s="2038"/>
      <c r="AY13" s="2038"/>
      <c r="AZ13" s="2038"/>
      <c r="BA13" s="2038"/>
      <c r="BB13" s="2038"/>
      <c r="BC13" s="2038"/>
      <c r="BD13" s="2038"/>
      <c r="BE13" s="2038"/>
      <c r="BF13" s="2038"/>
    </row>
    <row r="14" spans="1:58" ht="12" customHeight="1">
      <c r="A14" s="394"/>
      <c r="B14" s="1653"/>
      <c r="C14" s="8301" t="str">
        <f>"Complete lines 1 through 7 below. Is line 4 or line 7 less than "&amp;TEXT($W$43,"$0,000")&amp;"?"</f>
        <v>Complete lines 1 through 7 below. Is line 4 or line 7 less than $1,000?</v>
      </c>
      <c r="D14" s="8302"/>
      <c r="E14" s="8302"/>
      <c r="F14" s="8302"/>
      <c r="G14" s="8302"/>
      <c r="H14" s="8302"/>
      <c r="I14" s="8302"/>
      <c r="J14" s="8302"/>
      <c r="K14" s="8303"/>
      <c r="L14" s="8347" t="s">
        <v>608</v>
      </c>
      <c r="M14" s="6733"/>
      <c r="N14" s="7452"/>
      <c r="O14" s="8293" t="s">
        <v>3317</v>
      </c>
      <c r="P14" s="8294"/>
      <c r="Q14" s="8294"/>
      <c r="R14" s="8294"/>
      <c r="S14" s="8294"/>
      <c r="T14" s="8294"/>
      <c r="U14" s="8294"/>
      <c r="V14" s="8295"/>
      <c r="W14" s="5051"/>
      <c r="X14" s="441"/>
      <c r="Y14" s="1692"/>
      <c r="Z14" s="8346"/>
      <c r="AA14" s="8414" t="s">
        <v>3318</v>
      </c>
      <c r="AB14" s="6751"/>
      <c r="AC14" s="8329"/>
      <c r="AD14" s="8330"/>
      <c r="AE14" s="8331"/>
      <c r="AF14" s="1079"/>
      <c r="AG14" s="292"/>
      <c r="AH14" s="8266"/>
      <c r="AI14" s="8267"/>
      <c r="AJ14" s="8267"/>
      <c r="AK14" s="8267"/>
      <c r="AL14" s="8267"/>
      <c r="AM14" s="8267"/>
      <c r="AN14" s="8267"/>
      <c r="AO14" s="8267"/>
      <c r="AP14" s="8269"/>
      <c r="AQ14" s="292"/>
      <c r="AR14" s="292"/>
      <c r="AS14" s="292"/>
      <c r="AT14" s="292"/>
      <c r="AU14" s="1009"/>
    </row>
    <row r="15" spans="1:58" ht="18" customHeight="1" thickBot="1">
      <c r="A15" s="394"/>
      <c r="B15" s="1652"/>
      <c r="C15" s="8304"/>
      <c r="D15" s="8305"/>
      <c r="E15" s="8305"/>
      <c r="F15" s="8305"/>
      <c r="G15" s="8305"/>
      <c r="H15" s="8305"/>
      <c r="I15" s="8305"/>
      <c r="J15" s="8305"/>
      <c r="K15" s="8306"/>
      <c r="L15" s="103"/>
      <c r="M15" s="103"/>
      <c r="N15" s="103"/>
      <c r="O15" s="8296"/>
      <c r="P15" s="8297"/>
      <c r="Q15" s="8297"/>
      <c r="R15" s="8297"/>
      <c r="S15" s="8297"/>
      <c r="T15" s="8297"/>
      <c r="U15" s="8297"/>
      <c r="V15" s="8298"/>
      <c r="W15" s="103"/>
      <c r="X15" s="441"/>
      <c r="Y15" s="1692"/>
      <c r="Z15" s="8346"/>
      <c r="AA15" s="1004"/>
      <c r="AB15" s="780"/>
      <c r="AC15" s="8332"/>
      <c r="AD15" s="8333"/>
      <c r="AE15" s="8334"/>
      <c r="AF15" s="1079"/>
      <c r="AG15" s="292"/>
      <c r="AH15" s="8266"/>
      <c r="AI15" s="8267"/>
      <c r="AJ15" s="8267"/>
      <c r="AK15" s="8267"/>
      <c r="AL15" s="8267"/>
      <c r="AM15" s="8267"/>
      <c r="AN15" s="8267"/>
      <c r="AO15" s="8267"/>
      <c r="AP15" s="8269"/>
      <c r="AQ15" s="292"/>
      <c r="AR15" s="292"/>
      <c r="AS15" s="292"/>
      <c r="AT15" s="292"/>
      <c r="AU15" s="1009"/>
    </row>
    <row r="16" spans="1:58" ht="6.75" customHeight="1">
      <c r="A16" s="394"/>
      <c r="B16" s="22"/>
      <c r="C16" s="22"/>
      <c r="D16" s="22"/>
      <c r="E16" s="22"/>
      <c r="F16" s="8383" t="s">
        <v>609</v>
      </c>
      <c r="G16" s="22"/>
      <c r="H16" s="22"/>
      <c r="I16" s="22"/>
      <c r="J16" s="22"/>
      <c r="K16" s="22"/>
      <c r="L16" s="22"/>
      <c r="M16" s="22"/>
      <c r="N16" s="22"/>
      <c r="O16" s="22"/>
      <c r="P16" s="22"/>
      <c r="Q16" s="22"/>
      <c r="R16" s="22"/>
      <c r="S16" s="22"/>
      <c r="T16" s="22"/>
      <c r="U16" s="22"/>
      <c r="V16" s="22"/>
      <c r="W16" s="22"/>
      <c r="X16" s="66"/>
      <c r="Y16" s="814"/>
      <c r="Z16" s="292"/>
      <c r="AA16" s="1004"/>
      <c r="AB16" s="780"/>
      <c r="AC16" s="780"/>
      <c r="AD16" s="780"/>
      <c r="AE16" s="780"/>
      <c r="AF16" s="1079"/>
      <c r="AG16" s="292"/>
      <c r="AH16" s="8266"/>
      <c r="AI16" s="8267"/>
      <c r="AJ16" s="8267"/>
      <c r="AK16" s="8267"/>
      <c r="AL16" s="8267"/>
      <c r="AM16" s="8267"/>
      <c r="AN16" s="8267"/>
      <c r="AO16" s="8267"/>
      <c r="AP16" s="8269"/>
      <c r="AQ16" s="292"/>
      <c r="AR16" s="292"/>
      <c r="AS16" s="292"/>
      <c r="AT16" s="292"/>
      <c r="AU16" s="1009"/>
    </row>
    <row r="17" spans="1:47">
      <c r="A17" s="394"/>
      <c r="B17" s="22"/>
      <c r="C17" s="22"/>
      <c r="D17" s="22"/>
      <c r="E17" s="22"/>
      <c r="F17" s="8384"/>
      <c r="G17" s="22"/>
      <c r="H17" s="22"/>
      <c r="I17" s="22"/>
      <c r="J17" s="22"/>
      <c r="K17" s="22"/>
      <c r="L17" s="22"/>
      <c r="M17" s="22"/>
      <c r="N17" s="22"/>
      <c r="O17" s="22"/>
      <c r="P17" s="22"/>
      <c r="Q17" s="22"/>
      <c r="R17" s="22"/>
      <c r="S17" s="22"/>
      <c r="T17" s="22"/>
      <c r="U17" s="22"/>
      <c r="V17" s="22"/>
      <c r="W17" s="22"/>
      <c r="X17" s="66"/>
      <c r="Y17" s="3108"/>
      <c r="Z17" s="3657" t="str">
        <f>IF(OR(AND($U$42&lt;$W$43,NOT(NoColor)),AND($U$48,NOT(NoColor))),"Remove highlite.","")</f>
        <v>Remove highlite.</v>
      </c>
      <c r="AA17" s="8336">
        <v>150000</v>
      </c>
      <c r="AB17" s="8337"/>
      <c r="AC17" s="2271"/>
      <c r="AD17" s="2271"/>
      <c r="AE17" s="3087">
        <v>75000</v>
      </c>
      <c r="AF17" s="1079"/>
      <c r="AG17" s="292"/>
      <c r="AH17" s="8266"/>
      <c r="AI17" s="8267"/>
      <c r="AJ17" s="8267"/>
      <c r="AK17" s="8267"/>
      <c r="AL17" s="8267"/>
      <c r="AM17" s="8267"/>
      <c r="AN17" s="8267"/>
      <c r="AO17" s="8267"/>
      <c r="AP17" s="8269"/>
      <c r="AQ17" s="292"/>
      <c r="AR17" s="292"/>
      <c r="AS17" s="292"/>
      <c r="AT17" s="292"/>
      <c r="AU17" s="1009"/>
    </row>
    <row r="18" spans="1:47" ht="6" customHeight="1">
      <c r="A18" s="394"/>
      <c r="B18" s="290"/>
      <c r="C18" s="8386" t="s">
        <v>3319</v>
      </c>
      <c r="D18" s="8387"/>
      <c r="E18" s="8387"/>
      <c r="F18" s="8387"/>
      <c r="G18" s="8387"/>
      <c r="H18" s="8387"/>
      <c r="I18" s="8387"/>
      <c r="J18" s="8387"/>
      <c r="K18" s="8388"/>
      <c r="L18" s="22"/>
      <c r="M18" s="22"/>
      <c r="N18" s="22"/>
      <c r="O18" s="8301" t="s">
        <v>3320</v>
      </c>
      <c r="P18" s="8435"/>
      <c r="Q18" s="8435"/>
      <c r="R18" s="8435"/>
      <c r="S18" s="8435"/>
      <c r="T18" s="8435"/>
      <c r="U18" s="8435"/>
      <c r="V18" s="8436"/>
      <c r="W18" s="22"/>
      <c r="X18" s="66"/>
      <c r="Y18" s="814"/>
      <c r="Z18" s="292"/>
      <c r="AA18" s="3080"/>
      <c r="AB18" s="1745"/>
      <c r="AC18" s="2271"/>
      <c r="AD18" s="2271"/>
      <c r="AE18" s="780"/>
      <c r="AF18" s="1079"/>
      <c r="AG18" s="292"/>
      <c r="AH18" s="8266"/>
      <c r="AI18" s="8267"/>
      <c r="AJ18" s="8267"/>
      <c r="AK18" s="8267"/>
      <c r="AL18" s="8267"/>
      <c r="AM18" s="8267"/>
      <c r="AN18" s="8267"/>
      <c r="AO18" s="8267"/>
      <c r="AP18" s="8269"/>
      <c r="AQ18" s="292"/>
      <c r="AR18" s="292"/>
      <c r="AS18" s="292"/>
      <c r="AT18" s="292"/>
      <c r="AU18" s="1009"/>
    </row>
    <row r="19" spans="1:47" ht="15.75" customHeight="1">
      <c r="A19" s="394"/>
      <c r="B19" s="277"/>
      <c r="C19" s="8389"/>
      <c r="D19" s="8390"/>
      <c r="E19" s="8390"/>
      <c r="F19" s="8390"/>
      <c r="G19" s="8390"/>
      <c r="H19" s="8390"/>
      <c r="I19" s="8390"/>
      <c r="J19" s="8390"/>
      <c r="K19" s="8391"/>
      <c r="L19" s="8347" t="s">
        <v>608</v>
      </c>
      <c r="M19" s="6733"/>
      <c r="N19" s="7452"/>
      <c r="O19" s="8437"/>
      <c r="P19" s="8438"/>
      <c r="Q19" s="8438"/>
      <c r="R19" s="8438"/>
      <c r="S19" s="8438"/>
      <c r="T19" s="8438"/>
      <c r="U19" s="8438"/>
      <c r="V19" s="8439"/>
      <c r="W19" s="22"/>
      <c r="X19" s="66"/>
      <c r="Y19" s="814"/>
      <c r="Z19" s="292"/>
      <c r="AA19" s="8338">
        <f>IF(File_Marr_Sep&lt;&gt;"",AE17,AA17)</f>
        <v>150000</v>
      </c>
      <c r="AB19" s="8339"/>
      <c r="AC19" s="8321">
        <f>TaxYear-1</f>
        <v>2022</v>
      </c>
      <c r="AD19" s="7585"/>
      <c r="AE19" s="7585"/>
      <c r="AF19" s="1079"/>
      <c r="AG19" s="292"/>
      <c r="AH19" s="8266"/>
      <c r="AI19" s="8267"/>
      <c r="AJ19" s="8267"/>
      <c r="AK19" s="8267"/>
      <c r="AL19" s="8267"/>
      <c r="AM19" s="8267"/>
      <c r="AN19" s="8267"/>
      <c r="AO19" s="8267"/>
      <c r="AP19" s="8269"/>
      <c r="AQ19" s="292"/>
      <c r="AR19" s="292"/>
      <c r="AS19" s="292"/>
      <c r="AT19" s="292"/>
      <c r="AU19" s="1009"/>
    </row>
    <row r="20" spans="1:47" ht="12" customHeight="1">
      <c r="A20" s="394"/>
      <c r="B20" s="277"/>
      <c r="C20" s="8389"/>
      <c r="D20" s="8390"/>
      <c r="E20" s="8390"/>
      <c r="F20" s="8390"/>
      <c r="G20" s="8390"/>
      <c r="H20" s="8390"/>
      <c r="I20" s="8390"/>
      <c r="J20" s="8390"/>
      <c r="K20" s="8391"/>
      <c r="L20" s="22"/>
      <c r="M20" s="22"/>
      <c r="N20" s="22"/>
      <c r="O20" s="8437"/>
      <c r="P20" s="8438"/>
      <c r="Q20" s="8438"/>
      <c r="R20" s="8438"/>
      <c r="S20" s="8438"/>
      <c r="T20" s="8438"/>
      <c r="U20" s="8438"/>
      <c r="V20" s="8439"/>
      <c r="W20" s="22"/>
      <c r="X20" s="66"/>
      <c r="Y20" s="814"/>
      <c r="Z20" s="8346" t="str">
        <f>IF($AC$23="","Enter Adjusted Gross Income for "&amp;TaxYear-1&amp;" &gt;&gt;&gt;","")</f>
        <v>Enter Adjusted Gross Income for 2022 &gt;&gt;&gt;</v>
      </c>
      <c r="AA20" s="1004"/>
      <c r="AB20" s="2268"/>
      <c r="AC20" s="8322" t="s">
        <v>12</v>
      </c>
      <c r="AD20" s="8322"/>
      <c r="AE20" s="8322"/>
      <c r="AF20" s="1079"/>
      <c r="AG20" s="292"/>
      <c r="AH20" s="8270" t="s">
        <v>3321</v>
      </c>
      <c r="AI20" s="8271"/>
      <c r="AJ20" s="8271"/>
      <c r="AK20" s="8271"/>
      <c r="AL20" s="8271"/>
      <c r="AM20" s="8271"/>
      <c r="AN20" s="8271"/>
      <c r="AO20" s="8271"/>
      <c r="AP20" s="8272"/>
      <c r="AQ20" s="292"/>
      <c r="AR20" s="292"/>
      <c r="AS20" s="292"/>
      <c r="AT20" s="292"/>
      <c r="AU20" s="1009"/>
    </row>
    <row r="21" spans="1:47">
      <c r="A21" s="394"/>
      <c r="B21" s="277"/>
      <c r="C21" s="8392"/>
      <c r="D21" s="8393"/>
      <c r="E21" s="8393"/>
      <c r="F21" s="8393"/>
      <c r="G21" s="8393"/>
      <c r="H21" s="8393"/>
      <c r="I21" s="8393"/>
      <c r="J21" s="8393"/>
      <c r="K21" s="8394"/>
      <c r="L21" s="22"/>
      <c r="M21" s="22"/>
      <c r="N21" s="22"/>
      <c r="O21" s="8440"/>
      <c r="P21" s="8441"/>
      <c r="Q21" s="8441"/>
      <c r="R21" s="8441"/>
      <c r="S21" s="8441"/>
      <c r="T21" s="8441"/>
      <c r="U21" s="8441"/>
      <c r="V21" s="8442"/>
      <c r="W21" s="22"/>
      <c r="X21" s="66"/>
      <c r="Y21" s="814"/>
      <c r="Z21" s="8346"/>
      <c r="AA21" s="1004"/>
      <c r="AB21" s="2268"/>
      <c r="AC21" s="8322"/>
      <c r="AD21" s="8322"/>
      <c r="AE21" s="8322"/>
      <c r="AF21" s="1079"/>
      <c r="AG21" s="292"/>
      <c r="AH21" s="8270"/>
      <c r="AI21" s="8271"/>
      <c r="AJ21" s="8271"/>
      <c r="AK21" s="8271"/>
      <c r="AL21" s="8271"/>
      <c r="AM21" s="8271"/>
      <c r="AN21" s="8271"/>
      <c r="AO21" s="8271"/>
      <c r="AP21" s="8272"/>
      <c r="AQ21" s="292"/>
      <c r="AR21" s="292"/>
      <c r="AS21" s="292"/>
      <c r="AT21" s="292"/>
      <c r="AU21" s="1009"/>
    </row>
    <row r="22" spans="1:47" ht="13.5" thickBot="1">
      <c r="A22" s="394"/>
      <c r="B22" s="22"/>
      <c r="C22" s="22"/>
      <c r="D22" s="22"/>
      <c r="E22" s="22"/>
      <c r="F22" s="8383" t="s">
        <v>609</v>
      </c>
      <c r="G22" s="22"/>
      <c r="H22" s="22"/>
      <c r="I22" s="22"/>
      <c r="J22" s="22"/>
      <c r="K22" s="22"/>
      <c r="L22" s="22"/>
      <c r="M22" s="22"/>
      <c r="N22" s="22"/>
      <c r="O22" s="22"/>
      <c r="P22" s="22"/>
      <c r="Q22" s="22"/>
      <c r="R22" s="22"/>
      <c r="S22" s="22"/>
      <c r="T22" s="22"/>
      <c r="U22" s="22"/>
      <c r="V22" s="22"/>
      <c r="W22" s="22"/>
      <c r="X22" s="66"/>
      <c r="Y22" s="814"/>
      <c r="Z22" s="8346"/>
      <c r="AA22" s="3077"/>
      <c r="AB22" s="1111"/>
      <c r="AC22" s="8323"/>
      <c r="AD22" s="8323"/>
      <c r="AE22" s="8323"/>
      <c r="AF22" s="2823"/>
      <c r="AG22" s="292"/>
      <c r="AH22" s="8270"/>
      <c r="AI22" s="8271"/>
      <c r="AJ22" s="8271"/>
      <c r="AK22" s="8271"/>
      <c r="AL22" s="8271"/>
      <c r="AM22" s="8271"/>
      <c r="AN22" s="8271"/>
      <c r="AO22" s="8271"/>
      <c r="AP22" s="8272"/>
      <c r="AQ22" s="292"/>
      <c r="AR22" s="292"/>
      <c r="AS22" s="292"/>
      <c r="AT22" s="292"/>
      <c r="AU22" s="1009"/>
    </row>
    <row r="23" spans="1:47" ht="16.5" thickBot="1">
      <c r="A23" s="394"/>
      <c r="B23" s="22"/>
      <c r="C23" s="22"/>
      <c r="D23" s="22"/>
      <c r="E23" s="5680">
        <v>108.28</v>
      </c>
      <c r="F23" s="8384"/>
      <c r="G23" s="22"/>
      <c r="H23" s="22"/>
      <c r="I23" s="22"/>
      <c r="J23" s="22"/>
      <c r="K23" s="22"/>
      <c r="L23" s="22"/>
      <c r="M23" s="22"/>
      <c r="N23" s="22"/>
      <c r="O23" s="22"/>
      <c r="P23" s="22"/>
      <c r="Q23" s="22"/>
      <c r="R23" s="22"/>
      <c r="S23" s="22"/>
      <c r="T23" s="288"/>
      <c r="U23" s="22"/>
      <c r="V23" s="22"/>
      <c r="W23" s="22"/>
      <c r="X23" s="66"/>
      <c r="Y23" s="814"/>
      <c r="Z23" s="8346"/>
      <c r="AA23" s="3079" t="b">
        <f>IF(Y35&lt;&gt;1,FALSE,IF(AC23&gt;AA19,TRUE,FALSE))</f>
        <v>0</v>
      </c>
      <c r="AB23" s="900" t="b">
        <f>IF(Y35&lt;&gt;1,FALSE,AND((OR(AND(AB31&lt;&gt;"",File_Marr_Joint=""),AND(AB31="",File_Marr_Joint&lt;&gt;""))),NOT(AND(AB31&lt;&gt;"",File_Marr_Joint&lt;&gt;""))))</f>
        <v>0</v>
      </c>
      <c r="AC23" s="8287"/>
      <c r="AD23" s="8288"/>
      <c r="AE23" s="8289"/>
      <c r="AF23" s="1079"/>
      <c r="AG23" s="292"/>
      <c r="AH23" s="8270"/>
      <c r="AI23" s="8271"/>
      <c r="AJ23" s="8271"/>
      <c r="AK23" s="8271"/>
      <c r="AL23" s="8271"/>
      <c r="AM23" s="8271"/>
      <c r="AN23" s="8271"/>
      <c r="AO23" s="8271"/>
      <c r="AP23" s="8272"/>
      <c r="AQ23" s="292"/>
      <c r="AR23" s="292"/>
      <c r="AS23" s="292"/>
      <c r="AT23" s="292"/>
      <c r="AU23" s="1009"/>
    </row>
    <row r="24" spans="1:47" ht="6" customHeight="1">
      <c r="A24" s="394"/>
      <c r="B24" s="290"/>
      <c r="C24" s="8422" t="s">
        <v>3322</v>
      </c>
      <c r="D24" s="8423"/>
      <c r="E24" s="8423"/>
      <c r="F24" s="8423"/>
      <c r="G24" s="8423"/>
      <c r="H24" s="8423"/>
      <c r="I24" s="8423"/>
      <c r="J24" s="8423"/>
      <c r="K24" s="8424"/>
      <c r="L24" s="8431" t="s">
        <v>608</v>
      </c>
      <c r="M24" s="8432"/>
      <c r="N24" s="8433"/>
      <c r="O24" s="8301" t="s">
        <v>3323</v>
      </c>
      <c r="P24" s="8435"/>
      <c r="Q24" s="8435"/>
      <c r="R24" s="8435"/>
      <c r="S24" s="8435"/>
      <c r="T24" s="8435"/>
      <c r="U24" s="8435"/>
      <c r="V24" s="8436"/>
      <c r="W24" s="22"/>
      <c r="X24" s="66"/>
      <c r="Y24" s="814"/>
      <c r="Z24" s="292"/>
      <c r="AA24" s="3080"/>
      <c r="AB24" s="780"/>
      <c r="AC24" s="1755"/>
      <c r="AD24" s="1755"/>
      <c r="AE24" s="780"/>
      <c r="AF24" s="1079"/>
      <c r="AG24" s="292"/>
      <c r="AH24" s="8270"/>
      <c r="AI24" s="8271"/>
      <c r="AJ24" s="8271"/>
      <c r="AK24" s="8271"/>
      <c r="AL24" s="8271"/>
      <c r="AM24" s="8271"/>
      <c r="AN24" s="8271"/>
      <c r="AO24" s="8271"/>
      <c r="AP24" s="8272"/>
      <c r="AQ24" s="292"/>
      <c r="AR24" s="292"/>
      <c r="AS24" s="292"/>
      <c r="AT24" s="292"/>
      <c r="AU24" s="1009"/>
    </row>
    <row r="25" spans="1:47" ht="14.25" customHeight="1">
      <c r="A25" s="394"/>
      <c r="B25" s="277"/>
      <c r="C25" s="8425"/>
      <c r="D25" s="8426"/>
      <c r="E25" s="8426"/>
      <c r="F25" s="8426"/>
      <c r="G25" s="8426"/>
      <c r="H25" s="8426"/>
      <c r="I25" s="8426"/>
      <c r="J25" s="8426"/>
      <c r="K25" s="8427"/>
      <c r="L25" s="8434"/>
      <c r="M25" s="8432"/>
      <c r="N25" s="8433"/>
      <c r="O25" s="8437"/>
      <c r="P25" s="8438"/>
      <c r="Q25" s="8438"/>
      <c r="R25" s="8438"/>
      <c r="S25" s="8438"/>
      <c r="T25" s="8438"/>
      <c r="U25" s="8438"/>
      <c r="V25" s="8439"/>
      <c r="W25" s="5051"/>
      <c r="X25" s="66"/>
      <c r="Y25" s="814"/>
      <c r="Z25" s="292"/>
      <c r="AA25" s="3080">
        <v>1.1000000000000001</v>
      </c>
      <c r="AB25" s="8307">
        <f>TaxYear-1</f>
        <v>2022</v>
      </c>
      <c r="AC25" s="8307"/>
      <c r="AD25" s="8307"/>
      <c r="AE25" s="8307"/>
      <c r="AF25" s="1079"/>
      <c r="AG25" s="292"/>
      <c r="AH25" s="8270"/>
      <c r="AI25" s="8271"/>
      <c r="AJ25" s="8271"/>
      <c r="AK25" s="8271"/>
      <c r="AL25" s="8271"/>
      <c r="AM25" s="8271"/>
      <c r="AN25" s="8271"/>
      <c r="AO25" s="8271"/>
      <c r="AP25" s="8272"/>
      <c r="AQ25" s="292"/>
      <c r="AR25" s="292"/>
      <c r="AS25" s="292"/>
      <c r="AT25" s="292"/>
      <c r="AU25" s="1009"/>
    </row>
    <row r="26" spans="1:47" ht="6.75" customHeight="1">
      <c r="A26" s="394"/>
      <c r="B26" s="277"/>
      <c r="C26" s="8428"/>
      <c r="D26" s="8429"/>
      <c r="E26" s="8429"/>
      <c r="F26" s="8429"/>
      <c r="G26" s="8429"/>
      <c r="H26" s="8429"/>
      <c r="I26" s="8429"/>
      <c r="J26" s="8429"/>
      <c r="K26" s="8430"/>
      <c r="L26" s="22"/>
      <c r="M26" s="22"/>
      <c r="N26" s="22"/>
      <c r="O26" s="8440"/>
      <c r="P26" s="8441"/>
      <c r="Q26" s="8441"/>
      <c r="R26" s="8441"/>
      <c r="S26" s="8441"/>
      <c r="T26" s="8441"/>
      <c r="U26" s="8441"/>
      <c r="V26" s="8442"/>
      <c r="W26" s="22"/>
      <c r="X26" s="66"/>
      <c r="Y26" s="814"/>
      <c r="Z26" s="292"/>
      <c r="AA26" s="1004"/>
      <c r="AB26" s="8307"/>
      <c r="AC26" s="8307"/>
      <c r="AD26" s="8307"/>
      <c r="AE26" s="8307"/>
      <c r="AF26" s="1079"/>
      <c r="AG26" s="292"/>
      <c r="AH26" s="8270"/>
      <c r="AI26" s="8271"/>
      <c r="AJ26" s="8271"/>
      <c r="AK26" s="8271"/>
      <c r="AL26" s="8271"/>
      <c r="AM26" s="8271"/>
      <c r="AN26" s="8271"/>
      <c r="AO26" s="8271"/>
      <c r="AP26" s="8272"/>
      <c r="AQ26" s="292"/>
      <c r="AR26" s="292"/>
      <c r="AS26" s="292"/>
      <c r="AT26" s="292"/>
      <c r="AU26" s="1009"/>
    </row>
    <row r="27" spans="1:47" ht="6.75" customHeight="1">
      <c r="A27" s="394"/>
      <c r="B27" s="22"/>
      <c r="C27" s="22"/>
      <c r="D27" s="22"/>
      <c r="E27" s="22"/>
      <c r="F27" s="8383" t="s">
        <v>609</v>
      </c>
      <c r="G27" s="22"/>
      <c r="H27" s="22"/>
      <c r="I27" s="22"/>
      <c r="J27" s="22"/>
      <c r="K27" s="22"/>
      <c r="L27" s="22"/>
      <c r="M27" s="22"/>
      <c r="N27" s="22"/>
      <c r="O27" s="22"/>
      <c r="P27" s="6410" t="s">
        <v>609</v>
      </c>
      <c r="Q27" s="8446" t="s">
        <v>3324</v>
      </c>
      <c r="R27" s="8447"/>
      <c r="S27" s="22"/>
      <c r="T27" s="22"/>
      <c r="U27" s="22"/>
      <c r="V27" s="22"/>
      <c r="W27" s="22"/>
      <c r="X27" s="66"/>
      <c r="Y27" s="814"/>
      <c r="Z27" s="292"/>
      <c r="AA27" s="3078"/>
      <c r="AB27" s="8307"/>
      <c r="AC27" s="8307"/>
      <c r="AD27" s="8307"/>
      <c r="AE27" s="8307"/>
      <c r="AF27" s="1079"/>
      <c r="AG27" s="292"/>
      <c r="AH27" s="8270"/>
      <c r="AI27" s="8271"/>
      <c r="AJ27" s="8271"/>
      <c r="AK27" s="8271"/>
      <c r="AL27" s="8271"/>
      <c r="AM27" s="8271"/>
      <c r="AN27" s="8271"/>
      <c r="AO27" s="8271"/>
      <c r="AP27" s="8272"/>
      <c r="AQ27" s="292"/>
      <c r="AR27" s="292"/>
      <c r="AS27" s="292"/>
      <c r="AT27" s="292"/>
      <c r="AU27" s="1009"/>
    </row>
    <row r="28" spans="1:47" ht="16.5" customHeight="1">
      <c r="A28" s="394"/>
      <c r="B28" s="22"/>
      <c r="C28" s="22"/>
      <c r="D28" s="22"/>
      <c r="E28" s="22"/>
      <c r="F28" s="8415"/>
      <c r="G28" s="22"/>
      <c r="H28" s="22"/>
      <c r="I28" s="22"/>
      <c r="J28" s="22"/>
      <c r="K28" s="22"/>
      <c r="L28" s="22"/>
      <c r="M28" s="22"/>
      <c r="N28" s="22"/>
      <c r="O28" s="22"/>
      <c r="P28" s="7039"/>
      <c r="Q28" s="8448"/>
      <c r="R28" s="8448"/>
      <c r="S28" s="8443" t="s">
        <v>3325</v>
      </c>
      <c r="T28" s="8444"/>
      <c r="U28" s="8444"/>
      <c r="V28" s="8445"/>
      <c r="W28" s="22"/>
      <c r="X28" s="66"/>
      <c r="Y28" s="814"/>
      <c r="Z28" s="292"/>
      <c r="AA28" s="1004"/>
      <c r="AB28" s="7855" t="s">
        <v>578</v>
      </c>
      <c r="AC28" s="7855"/>
      <c r="AD28" s="7855"/>
      <c r="AE28" s="7855"/>
      <c r="AF28" s="1079"/>
      <c r="AG28" s="292"/>
      <c r="AH28" s="8270"/>
      <c r="AI28" s="8271"/>
      <c r="AJ28" s="8271"/>
      <c r="AK28" s="8271"/>
      <c r="AL28" s="8271"/>
      <c r="AM28" s="8271"/>
      <c r="AN28" s="8271"/>
      <c r="AO28" s="8271"/>
      <c r="AP28" s="8272"/>
      <c r="AQ28" s="292"/>
      <c r="AR28" s="292"/>
      <c r="AS28" s="292"/>
      <c r="AT28" s="292"/>
      <c r="AU28" s="1009"/>
    </row>
    <row r="29" spans="1:47" ht="6.75" customHeight="1" thickBot="1">
      <c r="A29" s="394"/>
      <c r="B29" s="22"/>
      <c r="C29" s="22"/>
      <c r="D29" s="22"/>
      <c r="E29" s="22"/>
      <c r="F29" s="8384"/>
      <c r="G29" s="22"/>
      <c r="H29" s="22"/>
      <c r="I29" s="22"/>
      <c r="J29" s="22"/>
      <c r="K29" s="22"/>
      <c r="L29" s="22"/>
      <c r="M29" s="22"/>
      <c r="N29" s="22"/>
      <c r="O29" s="326"/>
      <c r="P29" s="22"/>
      <c r="Q29" s="22"/>
      <c r="R29" s="22"/>
      <c r="S29" s="22"/>
      <c r="T29" s="22"/>
      <c r="U29" s="22"/>
      <c r="V29" s="22"/>
      <c r="W29" s="22"/>
      <c r="X29" s="66"/>
      <c r="Y29" s="814"/>
      <c r="Z29" s="292"/>
      <c r="AA29" s="1004"/>
      <c r="AB29" s="2694"/>
      <c r="AC29" s="2694"/>
      <c r="AD29" s="2694"/>
      <c r="AE29" s="2694"/>
      <c r="AF29" s="1079"/>
      <c r="AG29" s="292"/>
      <c r="AH29" s="8273"/>
      <c r="AI29" s="8274"/>
      <c r="AJ29" s="8274"/>
      <c r="AK29" s="8274"/>
      <c r="AL29" s="8274"/>
      <c r="AM29" s="8274"/>
      <c r="AN29" s="8274"/>
      <c r="AO29" s="8274"/>
      <c r="AP29" s="8275"/>
      <c r="AQ29" s="292"/>
      <c r="AR29" s="292"/>
      <c r="AS29" s="292"/>
      <c r="AT29" s="292"/>
      <c r="AU29" s="1009"/>
    </row>
    <row r="30" spans="1:47" ht="21.75" customHeight="1" thickBot="1">
      <c r="A30" s="394"/>
      <c r="B30" s="290"/>
      <c r="C30" s="8405" t="s">
        <v>3326</v>
      </c>
      <c r="D30" s="8406"/>
      <c r="E30" s="8406"/>
      <c r="F30" s="8406"/>
      <c r="G30" s="8406"/>
      <c r="H30" s="8406"/>
      <c r="I30" s="8406"/>
      <c r="J30" s="8406"/>
      <c r="K30" s="8407"/>
      <c r="L30" s="22"/>
      <c r="M30" s="22"/>
      <c r="N30" s="8369" t="s">
        <v>3327</v>
      </c>
      <c r="O30" s="8370"/>
      <c r="P30" s="8370"/>
      <c r="Q30" s="8370"/>
      <c r="R30" s="8370"/>
      <c r="S30" s="8370"/>
      <c r="T30" s="8370"/>
      <c r="U30" s="8370"/>
      <c r="V30" s="8371"/>
      <c r="W30" s="22"/>
      <c r="X30" s="66"/>
      <c r="Y30" s="1994">
        <f>IF(AB30&lt;&gt;"",1,0)</f>
        <v>0</v>
      </c>
      <c r="Z30" s="8404" t="str">
        <f>IF(Y35=0,"Indicate filing status for tax year "&amp;TaxYear-1&amp;" &gt;&gt;&gt;","")</f>
        <v>Indicate filing status for tax year 2022 &gt;&gt;&gt;</v>
      </c>
      <c r="AA30" s="1004"/>
      <c r="AB30" s="810"/>
      <c r="AC30" s="1009" t="s">
        <v>14</v>
      </c>
      <c r="AD30" s="1009"/>
      <c r="AE30" s="780"/>
      <c r="AF30" s="1079"/>
      <c r="AG30" s="292"/>
      <c r="AH30" s="292"/>
      <c r="AI30" s="292"/>
      <c r="AJ30" s="292"/>
      <c r="AK30" s="292"/>
      <c r="AL30" s="292"/>
      <c r="AM30" s="292"/>
      <c r="AN30" s="292"/>
      <c r="AO30" s="292"/>
      <c r="AP30" s="292"/>
      <c r="AQ30" s="292"/>
      <c r="AR30" s="292"/>
      <c r="AS30" s="292"/>
      <c r="AT30" s="292"/>
      <c r="AU30" s="1009"/>
    </row>
    <row r="31" spans="1:47" ht="21.75" customHeight="1" thickBot="1">
      <c r="A31" s="394"/>
      <c r="B31" s="277"/>
      <c r="C31" s="8408"/>
      <c r="D31" s="8409"/>
      <c r="E31" s="8409"/>
      <c r="F31" s="8409"/>
      <c r="G31" s="8409"/>
      <c r="H31" s="8409"/>
      <c r="I31" s="8409"/>
      <c r="J31" s="8409"/>
      <c r="K31" s="8410"/>
      <c r="L31" s="22"/>
      <c r="M31" s="22"/>
      <c r="N31" s="8372"/>
      <c r="O31" s="8373"/>
      <c r="P31" s="8373"/>
      <c r="Q31" s="8373"/>
      <c r="R31" s="8373"/>
      <c r="S31" s="8373"/>
      <c r="T31" s="8373"/>
      <c r="U31" s="8373"/>
      <c r="V31" s="8374"/>
      <c r="W31" s="22"/>
      <c r="X31" s="66"/>
      <c r="Y31" s="1994">
        <f>IF(AB31&lt;&gt;"",1,0)</f>
        <v>0</v>
      </c>
      <c r="Z31" s="8404"/>
      <c r="AA31" s="1004"/>
      <c r="AB31" s="810"/>
      <c r="AC31" s="1009" t="s">
        <v>3328</v>
      </c>
      <c r="AD31" s="1009"/>
      <c r="AE31" s="780"/>
      <c r="AF31" s="1079"/>
      <c r="AG31" s="292"/>
      <c r="AH31" s="8400" t="s">
        <v>3329</v>
      </c>
      <c r="AI31" s="8401"/>
      <c r="AJ31" s="8401"/>
      <c r="AK31" s="8401"/>
      <c r="AL31" s="8401"/>
      <c r="AM31" s="8401"/>
      <c r="AN31" s="8401"/>
      <c r="AO31" s="8402"/>
      <c r="AP31" s="8403"/>
      <c r="AQ31" s="292"/>
      <c r="AR31" s="292"/>
      <c r="AS31" s="292"/>
      <c r="AT31" s="292"/>
      <c r="AU31" s="1009"/>
    </row>
    <row r="32" spans="1:47" ht="24.75" customHeight="1" thickBot="1">
      <c r="A32" s="394"/>
      <c r="B32" s="277"/>
      <c r="C32" s="8408"/>
      <c r="D32" s="8409"/>
      <c r="E32" s="8409"/>
      <c r="F32" s="8409"/>
      <c r="G32" s="8409"/>
      <c r="H32" s="8409"/>
      <c r="I32" s="8409"/>
      <c r="J32" s="8409"/>
      <c r="K32" s="8410"/>
      <c r="L32" s="22"/>
      <c r="M32" s="22"/>
      <c r="N32" s="8372"/>
      <c r="O32" s="8373"/>
      <c r="P32" s="8373"/>
      <c r="Q32" s="8373"/>
      <c r="R32" s="8373"/>
      <c r="S32" s="8373"/>
      <c r="T32" s="8373"/>
      <c r="U32" s="8373"/>
      <c r="V32" s="8374"/>
      <c r="W32" s="22"/>
      <c r="X32" s="66"/>
      <c r="Y32" s="1994">
        <f>IF(AB32&lt;&gt;"",1,0)</f>
        <v>0</v>
      </c>
      <c r="Z32" s="3082"/>
      <c r="AA32" s="1004"/>
      <c r="AB32" s="810"/>
      <c r="AC32" s="1009" t="s">
        <v>3330</v>
      </c>
      <c r="AD32" s="1009"/>
      <c r="AE32" s="780"/>
      <c r="AF32" s="1079"/>
      <c r="AG32" s="292"/>
      <c r="AH32" s="8419" t="str">
        <f>"Subtract the total of the following refundable credits, if any, that you claimed on your "&amp;TaxYear-1&amp;" tax return:"</f>
        <v>Subtract the total of the following refundable credits, if any, that you claimed on your 2022 tax return:</v>
      </c>
      <c r="AI32" s="8420"/>
      <c r="AJ32" s="8420"/>
      <c r="AK32" s="8420"/>
      <c r="AL32" s="8420"/>
      <c r="AM32" s="8420"/>
      <c r="AN32" s="8420"/>
      <c r="AO32" s="8420"/>
      <c r="AP32" s="8421"/>
      <c r="AQ32" s="292"/>
      <c r="AR32" s="292"/>
      <c r="AS32" s="292"/>
      <c r="AT32" s="292"/>
      <c r="AU32" s="1009"/>
    </row>
    <row r="33" spans="1:47" ht="16.5" customHeight="1" thickBot="1">
      <c r="A33" s="394"/>
      <c r="B33" s="277"/>
      <c r="C33" s="8411"/>
      <c r="D33" s="8412"/>
      <c r="E33" s="8412"/>
      <c r="F33" s="8412"/>
      <c r="G33" s="8412"/>
      <c r="H33" s="8412"/>
      <c r="I33" s="8412"/>
      <c r="J33" s="8412"/>
      <c r="K33" s="8413"/>
      <c r="L33" s="22"/>
      <c r="M33" s="22"/>
      <c r="N33" s="8375"/>
      <c r="O33" s="8376"/>
      <c r="P33" s="8376"/>
      <c r="Q33" s="8376"/>
      <c r="R33" s="8376"/>
      <c r="S33" s="8376"/>
      <c r="T33" s="8376"/>
      <c r="U33" s="8376"/>
      <c r="V33" s="8377"/>
      <c r="W33" s="22"/>
      <c r="X33" s="66"/>
      <c r="Y33" s="1994">
        <f>IF(AB33&lt;&gt;"",1,0)</f>
        <v>0</v>
      </c>
      <c r="Z33" s="3082"/>
      <c r="AA33" s="1004"/>
      <c r="AB33" s="810"/>
      <c r="AC33" s="1009" t="s">
        <v>3331</v>
      </c>
      <c r="AD33" s="1009"/>
      <c r="AE33" s="780"/>
      <c r="AF33" s="1079"/>
      <c r="AG33" s="292"/>
      <c r="AH33" s="3163" t="s">
        <v>668</v>
      </c>
      <c r="AI33" s="780" t="s">
        <v>3332</v>
      </c>
      <c r="AJ33" s="2570"/>
      <c r="AK33" s="2570"/>
      <c r="AL33" s="2570"/>
      <c r="AM33" s="2570"/>
      <c r="AN33" s="2570"/>
      <c r="AO33" s="2570"/>
      <c r="AP33" s="2626"/>
      <c r="AQ33" s="292"/>
      <c r="AR33" s="292"/>
      <c r="AS33" s="292"/>
      <c r="AT33" s="292"/>
      <c r="AU33" s="1009"/>
    </row>
    <row r="34" spans="1:47" ht="13.5" customHeight="1" thickBot="1">
      <c r="A34" s="394"/>
      <c r="B34" s="22"/>
      <c r="C34" s="22"/>
      <c r="D34" s="22"/>
      <c r="E34" s="22"/>
      <c r="F34" s="22"/>
      <c r="G34" s="22"/>
      <c r="H34" s="22"/>
      <c r="I34" s="1646"/>
      <c r="J34" s="1646"/>
      <c r="K34" s="1646"/>
      <c r="L34" s="217"/>
      <c r="M34" s="334"/>
      <c r="N34" s="217"/>
      <c r="O34" s="22"/>
      <c r="P34" s="22"/>
      <c r="Q34" s="22"/>
      <c r="R34" s="22"/>
      <c r="S34" s="22"/>
      <c r="T34" s="22"/>
      <c r="U34" s="22"/>
      <c r="V34" s="22"/>
      <c r="W34" s="22"/>
      <c r="X34" s="66"/>
      <c r="Y34" s="1994">
        <f>IF(AB34&lt;&gt;"",1,0)</f>
        <v>0</v>
      </c>
      <c r="Z34" s="3081" t="s">
        <v>790</v>
      </c>
      <c r="AA34" s="1004"/>
      <c r="AB34" s="810"/>
      <c r="AC34" s="1009" t="s">
        <v>3333</v>
      </c>
      <c r="AD34" s="1009"/>
      <c r="AE34" s="780"/>
      <c r="AF34" s="1079"/>
      <c r="AG34" s="292"/>
      <c r="AH34" s="3163" t="s">
        <v>668</v>
      </c>
      <c r="AI34" s="780" t="s">
        <v>3334</v>
      </c>
      <c r="AJ34" s="780"/>
      <c r="AK34" s="780"/>
      <c r="AL34" s="780"/>
      <c r="AM34" s="780"/>
      <c r="AN34" s="780"/>
      <c r="AO34" s="780"/>
      <c r="AP34" s="1079"/>
      <c r="AQ34" s="292"/>
      <c r="AR34" s="292"/>
      <c r="AS34" s="292"/>
      <c r="AT34" s="292"/>
      <c r="AU34" s="1009"/>
    </row>
    <row r="35" spans="1:47" ht="16.5" customHeight="1">
      <c r="A35" s="394"/>
      <c r="B35" s="1658" t="s">
        <v>3335</v>
      </c>
      <c r="C35" s="1654"/>
      <c r="D35" s="1654"/>
      <c r="E35" s="1668" t="s">
        <v>3336</v>
      </c>
      <c r="F35" s="1655"/>
      <c r="G35" s="1655"/>
      <c r="H35" s="1655"/>
      <c r="I35" s="1655"/>
      <c r="J35" s="1655"/>
      <c r="K35" s="1655"/>
      <c r="L35" s="1655"/>
      <c r="M35" s="1655"/>
      <c r="N35" s="1655"/>
      <c r="O35" s="1655"/>
      <c r="P35" s="1655"/>
      <c r="Q35" s="1655"/>
      <c r="R35" s="1655"/>
      <c r="S35" s="1655"/>
      <c r="T35" s="1655"/>
      <c r="U35" s="1655"/>
      <c r="V35" s="1655"/>
      <c r="W35" s="1655"/>
      <c r="X35" s="441"/>
      <c r="Y35" s="4104">
        <f>SUM(Y30:Y34)</f>
        <v>0</v>
      </c>
      <c r="Z35" s="292"/>
      <c r="AA35" s="1004"/>
      <c r="AB35" s="780"/>
      <c r="AC35" s="780"/>
      <c r="AD35" s="780"/>
      <c r="AE35" s="780"/>
      <c r="AF35" s="1079"/>
      <c r="AG35" s="292"/>
      <c r="AH35" s="3163" t="s">
        <v>668</v>
      </c>
      <c r="AI35" s="1687" t="s">
        <v>3337</v>
      </c>
      <c r="AJ35" s="780"/>
      <c r="AK35" s="780"/>
      <c r="AL35" s="780"/>
      <c r="AM35" s="780"/>
      <c r="AN35" s="780"/>
      <c r="AO35" s="780"/>
      <c r="AP35" s="1079"/>
      <c r="AQ35" s="292"/>
      <c r="AR35" s="292"/>
      <c r="AS35" s="292"/>
      <c r="AT35" s="292"/>
      <c r="AU35" s="1009"/>
    </row>
    <row r="36" spans="1:47" ht="13.5" customHeight="1" thickBot="1">
      <c r="A36" s="394"/>
      <c r="B36" s="103"/>
      <c r="C36" s="37">
        <v>1</v>
      </c>
      <c r="D36" s="103" t="str">
        <f>"Enter your "&amp;TaxYear&amp;" tax after credits from Form 1040, 1040-SR, or 1040-NR, line 22. (See the"</f>
        <v>Enter your 2023 tax after credits from Form 1040, 1040-SR, or 1040-NR, line 22. (See the</v>
      </c>
      <c r="E36" s="103"/>
      <c r="F36" s="103"/>
      <c r="G36" s="103"/>
      <c r="H36" s="103"/>
      <c r="I36" s="103"/>
      <c r="J36" s="103"/>
      <c r="K36" s="103"/>
      <c r="L36" s="103"/>
      <c r="M36" s="103"/>
      <c r="N36" s="103"/>
      <c r="O36" s="103"/>
      <c r="P36" s="103"/>
      <c r="Q36" s="103"/>
      <c r="R36" s="103"/>
      <c r="S36" s="103"/>
      <c r="T36" s="3399"/>
      <c r="U36" s="8311"/>
      <c r="V36" s="6844"/>
      <c r="W36" s="6844"/>
      <c r="X36" s="441"/>
      <c r="Y36" s="1692"/>
      <c r="Z36" s="6197" t="s">
        <v>2705</v>
      </c>
      <c r="AA36" s="1004"/>
      <c r="AB36" s="780"/>
      <c r="AC36" s="780"/>
      <c r="AD36" s="780"/>
      <c r="AE36" s="780"/>
      <c r="AF36" s="1079"/>
      <c r="AG36" s="292"/>
      <c r="AH36" s="3163" t="s">
        <v>668</v>
      </c>
      <c r="AI36" s="1009" t="s">
        <v>3339</v>
      </c>
      <c r="AJ36" s="780"/>
      <c r="AK36" s="780"/>
      <c r="AL36" s="780"/>
      <c r="AM36" s="780"/>
      <c r="AN36" s="780"/>
      <c r="AO36" s="780"/>
      <c r="AP36" s="1079"/>
      <c r="AQ36" s="292"/>
      <c r="AR36" s="292"/>
      <c r="AS36" s="292"/>
      <c r="AT36" s="292"/>
      <c r="AU36" s="1009"/>
    </row>
    <row r="37" spans="1:47" ht="13.5" customHeight="1" thickBot="1">
      <c r="A37" s="394"/>
      <c r="B37" s="103"/>
      <c r="C37" s="37"/>
      <c r="D37" s="683" t="s">
        <v>3338</v>
      </c>
      <c r="E37" s="103"/>
      <c r="F37" s="103"/>
      <c r="G37" s="103"/>
      <c r="H37" s="103"/>
      <c r="I37" s="103"/>
      <c r="J37" s="103"/>
      <c r="K37" s="103"/>
      <c r="L37" s="103"/>
      <c r="M37" s="103"/>
      <c r="N37" s="103"/>
      <c r="O37" s="103"/>
      <c r="P37" s="103"/>
      <c r="Q37" s="103"/>
      <c r="R37" s="103"/>
      <c r="S37" s="960" t="s">
        <v>754</v>
      </c>
      <c r="T37" s="3400" t="s">
        <v>252</v>
      </c>
      <c r="U37" s="7788">
        <f>IF(Z37&lt;&gt;"",ROUND(Z37,0),'1040'!AD78)</f>
        <v>0</v>
      </c>
      <c r="V37" s="8310"/>
      <c r="W37" s="8310"/>
      <c r="X37" s="441"/>
      <c r="Y37" s="1692"/>
      <c r="Z37" s="3167"/>
      <c r="AA37" s="1004"/>
      <c r="AB37" s="780"/>
      <c r="AC37" s="780"/>
      <c r="AD37" s="780"/>
      <c r="AE37" s="780"/>
      <c r="AF37" s="1079"/>
      <c r="AG37" s="292"/>
      <c r="AH37" s="3163" t="s">
        <v>668</v>
      </c>
      <c r="AI37" s="1009" t="s">
        <v>3341</v>
      </c>
      <c r="AJ37" s="780"/>
      <c r="AK37" s="780"/>
      <c r="AL37" s="780"/>
      <c r="AM37" s="780"/>
      <c r="AN37" s="780"/>
      <c r="AO37" s="780"/>
      <c r="AP37" s="1079"/>
      <c r="AQ37" s="292"/>
      <c r="AR37" s="292"/>
      <c r="AS37" s="292"/>
      <c r="AT37" s="292"/>
      <c r="AU37" s="1009"/>
    </row>
    <row r="38" spans="1:47" ht="13.5" customHeight="1" thickBot="1">
      <c r="A38" s="394"/>
      <c r="B38" s="22"/>
      <c r="C38" s="37">
        <v>2</v>
      </c>
      <c r="D38" s="61" t="s">
        <v>3340</v>
      </c>
      <c r="E38" s="22"/>
      <c r="F38" s="22"/>
      <c r="G38" s="22"/>
      <c r="H38" s="22"/>
      <c r="I38" s="22"/>
      <c r="J38" s="22"/>
      <c r="K38" s="22"/>
      <c r="L38" s="22"/>
      <c r="M38" s="22"/>
      <c r="N38" s="22"/>
      <c r="O38" s="22"/>
      <c r="P38" s="22"/>
      <c r="Q38" s="22"/>
      <c r="R38" s="22"/>
      <c r="S38" s="22"/>
      <c r="T38" s="289"/>
      <c r="U38" s="8382">
        <f>SUM('Sch. 2'!AC15,'Sch. 2'!AC21,'Sch. 2'!AC23,'Sch. 2'!AC24,'Sch. 2'!AC25,'Sch. 2'!AC26,'Sch. 2'!AC30,'Sch. 2'!AC32,'Sch. 2'!AC33,'Sch. 2'!W40,'Sch. 2'!W43,'Sch. 2'!W45,'Sch. 2'!W46,'Sch. 2'!W48,'Sch. 2'!W50,'Sch. 2'!W52,'Sch. 2'!W54,'Sch. 2'!W55,'Sch. 2'!W57,'Sch. 2'!W68)</f>
        <v>0</v>
      </c>
      <c r="V38" s="7694"/>
      <c r="W38" s="7694"/>
      <c r="X38" s="66"/>
      <c r="Y38" s="814"/>
      <c r="Z38" s="292"/>
      <c r="AA38" s="1012"/>
      <c r="AB38" s="1081"/>
      <c r="AC38" s="8308" t="b">
        <f>AND(AC8&lt;&gt;"",AC14&lt;&gt;"",AC23&lt;&gt;"")</f>
        <v>0</v>
      </c>
      <c r="AD38" s="8309"/>
      <c r="AE38" s="8309"/>
      <c r="AF38" s="1082"/>
      <c r="AG38" s="292"/>
      <c r="AH38" s="3163" t="s">
        <v>668</v>
      </c>
      <c r="AI38" s="1009" t="s">
        <v>5812</v>
      </c>
      <c r="AJ38" s="780"/>
      <c r="AK38" s="780"/>
      <c r="AL38" s="780"/>
      <c r="AM38" s="780"/>
      <c r="AN38" s="780"/>
      <c r="AO38" s="780"/>
      <c r="AP38" s="1079"/>
      <c r="AQ38" s="292"/>
      <c r="AR38" s="292"/>
      <c r="AS38" s="292"/>
      <c r="AT38" s="292"/>
      <c r="AU38" s="1009"/>
    </row>
    <row r="39" spans="1:47" ht="13.5" customHeight="1" thickBot="1">
      <c r="A39" s="394"/>
      <c r="B39" s="103"/>
      <c r="C39" s="3908"/>
      <c r="D39" s="61" t="s">
        <v>3342</v>
      </c>
      <c r="E39" s="103"/>
      <c r="F39" s="103"/>
      <c r="G39" s="103"/>
      <c r="H39" s="103"/>
      <c r="I39" s="103"/>
      <c r="J39" s="103"/>
      <c r="K39" s="103"/>
      <c r="L39" s="103"/>
      <c r="M39" s="103"/>
      <c r="N39" s="103"/>
      <c r="O39" s="103"/>
      <c r="P39" s="103"/>
      <c r="Q39" s="103"/>
      <c r="R39" s="103"/>
      <c r="S39" s="960" t="s">
        <v>705</v>
      </c>
      <c r="T39" s="5675">
        <v>2</v>
      </c>
      <c r="U39" s="7788">
        <f>IF(Z39&lt;&gt;"",ROUND(Z39,0),U38)</f>
        <v>0</v>
      </c>
      <c r="V39" s="7789"/>
      <c r="W39" s="7789"/>
      <c r="X39" s="441"/>
      <c r="Y39" s="1692"/>
      <c r="Z39" s="2642"/>
      <c r="AA39" s="292"/>
      <c r="AB39" s="292"/>
      <c r="AC39" s="292"/>
      <c r="AD39" s="292"/>
      <c r="AE39" s="292"/>
      <c r="AF39" s="292"/>
      <c r="AG39" s="292"/>
      <c r="AH39" s="3163"/>
      <c r="AI39" s="1009" t="s">
        <v>5813</v>
      </c>
      <c r="AJ39" s="780"/>
      <c r="AK39" s="780"/>
      <c r="AL39" s="780"/>
      <c r="AM39" s="780"/>
      <c r="AN39" s="780"/>
      <c r="AO39" s="780"/>
      <c r="AP39" s="1079"/>
      <c r="AQ39" s="292"/>
      <c r="AR39" s="292"/>
      <c r="AS39" s="292"/>
      <c r="AT39" s="292"/>
      <c r="AU39" s="1009"/>
    </row>
    <row r="40" spans="1:47" ht="13.5" customHeight="1" thickBot="1">
      <c r="A40" s="394"/>
      <c r="B40" s="22"/>
      <c r="C40" s="3908">
        <v>3</v>
      </c>
      <c r="D40" s="61" t="s">
        <v>3343</v>
      </c>
      <c r="E40" s="22"/>
      <c r="F40" s="22"/>
      <c r="G40" s="22"/>
      <c r="H40" s="22"/>
      <c r="I40" s="22"/>
      <c r="J40" s="22"/>
      <c r="K40" s="22"/>
      <c r="L40" s="22"/>
      <c r="M40" s="22"/>
      <c r="N40" s="22"/>
      <c r="O40" s="22"/>
      <c r="P40" s="22"/>
      <c r="Q40" s="22"/>
      <c r="R40" s="22"/>
      <c r="S40" s="960" t="str">
        <f>IF(U40&gt;0,"Line 3 should be negative.",".   .   .   .   .   .   .   .   .   .   . ")</f>
        <v xml:space="preserve">.   .   .   .   .   .   .   .   .   .   . </v>
      </c>
      <c r="T40" s="5675">
        <v>3</v>
      </c>
      <c r="U40" s="7788">
        <f>IF(Z40&lt;&gt;"",ROUND(Z40,0),-SUM(EarnedIncomeCredit,AdditionalCTC,Form8863,FedFuelTaxCredit,PTCNet))</f>
        <v>0</v>
      </c>
      <c r="V40" s="7789"/>
      <c r="W40" s="7789"/>
      <c r="X40" s="66"/>
      <c r="Y40" s="814"/>
      <c r="Z40" s="2642"/>
      <c r="AA40" s="292"/>
      <c r="AB40" s="808"/>
      <c r="AC40" s="808"/>
      <c r="AD40" s="808"/>
      <c r="AE40" s="808"/>
      <c r="AF40" s="808"/>
      <c r="AG40" s="292"/>
      <c r="AH40" s="3163" t="s">
        <v>668</v>
      </c>
      <c r="AI40" s="1009" t="s">
        <v>5814</v>
      </c>
      <c r="AJ40" s="780"/>
      <c r="AK40" s="780"/>
      <c r="AL40" s="780"/>
      <c r="AM40" s="780"/>
      <c r="AN40" s="780"/>
      <c r="AO40" s="780"/>
      <c r="AP40" s="1079"/>
      <c r="AQ40" s="292"/>
      <c r="AR40" s="292"/>
      <c r="AS40" s="292"/>
      <c r="AT40" s="292"/>
      <c r="AU40" s="1009"/>
    </row>
    <row r="41" spans="1:47" ht="13.5" customHeight="1" thickBot="1">
      <c r="A41" s="394"/>
      <c r="B41" s="22"/>
      <c r="C41" s="37">
        <v>4</v>
      </c>
      <c r="D41" s="61" t="s">
        <v>3344</v>
      </c>
      <c r="E41" s="22"/>
      <c r="F41" s="22"/>
      <c r="G41" s="22"/>
      <c r="H41" s="22"/>
      <c r="I41" s="22"/>
      <c r="J41" s="22"/>
      <c r="K41" s="22"/>
      <c r="L41" s="22"/>
      <c r="M41" s="22"/>
      <c r="N41" s="110" t="str">
        <f>"If less than "&amp;TEXT($W$43,"$0,000")&amp;","</f>
        <v>If less than $1,000,</v>
      </c>
      <c r="O41" s="61" t="s">
        <v>3345</v>
      </c>
      <c r="P41" s="22"/>
      <c r="Q41" s="22"/>
      <c r="R41" s="22"/>
      <c r="S41" s="22"/>
      <c r="T41" s="291"/>
      <c r="U41" s="8378" t="b">
        <f>AND($U$42&lt;$W$43)</f>
        <v>1</v>
      </c>
      <c r="V41" s="8379"/>
      <c r="W41" s="8379"/>
      <c r="X41" s="66"/>
      <c r="Y41" s="814"/>
      <c r="Z41" s="292"/>
      <c r="AA41" s="292"/>
      <c r="AB41" s="808"/>
      <c r="AC41" s="808"/>
      <c r="AD41" s="808"/>
      <c r="AE41" s="900" t="b">
        <f>AND(U47&lt;&gt;"",U47&lt;&gt;0)</f>
        <v>0</v>
      </c>
      <c r="AF41" s="808"/>
      <c r="AG41" s="292"/>
      <c r="AH41" s="3164"/>
      <c r="AI41" s="1644" t="s">
        <v>5815</v>
      </c>
      <c r="AJ41" s="1081"/>
      <c r="AK41" s="1081"/>
      <c r="AL41" s="1081"/>
      <c r="AM41" s="1081"/>
      <c r="AN41" s="1081"/>
      <c r="AO41" s="1081"/>
      <c r="AP41" s="1082"/>
      <c r="AQ41" s="292"/>
      <c r="AR41" s="292"/>
      <c r="AS41" s="292"/>
      <c r="AT41" s="292"/>
      <c r="AU41" s="1009"/>
    </row>
    <row r="42" spans="1:47" ht="13.5" customHeight="1" thickBot="1">
      <c r="A42" s="394"/>
      <c r="B42" s="22"/>
      <c r="C42" s="37"/>
      <c r="D42" s="61" t="s">
        <v>3346</v>
      </c>
      <c r="E42" s="22"/>
      <c r="F42" s="22"/>
      <c r="G42" s="22"/>
      <c r="H42" s="22"/>
      <c r="I42" s="22"/>
      <c r="J42" s="22"/>
      <c r="K42" s="22"/>
      <c r="L42" s="22"/>
      <c r="M42" s="22"/>
      <c r="N42" s="22"/>
      <c r="O42" s="22"/>
      <c r="P42" s="22"/>
      <c r="Q42" s="22"/>
      <c r="R42" s="22"/>
      <c r="S42" s="960" t="s">
        <v>744</v>
      </c>
      <c r="T42" s="3788">
        <v>4</v>
      </c>
      <c r="U42" s="8299">
        <f>SUM(U37,U39,U40)</f>
        <v>0</v>
      </c>
      <c r="V42" s="8300"/>
      <c r="W42" s="8300"/>
      <c r="X42" s="66"/>
      <c r="Y42" s="814"/>
      <c r="Z42" s="292"/>
      <c r="AA42" s="292"/>
      <c r="AB42" s="808"/>
      <c r="AC42" s="8476" t="str">
        <f>IF(AND($AE$41,$AC$38),U47,"")</f>
        <v/>
      </c>
      <c r="AD42" s="8477"/>
      <c r="AE42" s="8478"/>
      <c r="AF42" s="808"/>
      <c r="AG42" s="292"/>
      <c r="AH42" s="292"/>
      <c r="AI42" s="292"/>
      <c r="AJ42" s="292"/>
      <c r="AK42" s="292"/>
      <c r="AL42" s="292"/>
      <c r="AM42" s="292"/>
      <c r="AN42" s="292"/>
      <c r="AO42" s="292"/>
      <c r="AP42" s="292"/>
      <c r="AQ42" s="292"/>
      <c r="AR42" s="292"/>
      <c r="AS42" s="292"/>
      <c r="AT42" s="292"/>
      <c r="AU42" s="1009"/>
    </row>
    <row r="43" spans="1:47" ht="15.75" thickBot="1">
      <c r="A43" s="394"/>
      <c r="B43" s="22"/>
      <c r="C43" s="37">
        <v>5</v>
      </c>
      <c r="D43" s="22" t="str">
        <f>"Multiply line 4 by "&amp;TEXT(U43,"0%")&amp;" ("&amp;TEXT(U43,"0.00")&amp;")"</f>
        <v>Multiply line 4 by 90% (0.90)</v>
      </c>
      <c r="E43" s="22"/>
      <c r="F43" s="22"/>
      <c r="G43" s="22"/>
      <c r="H43" s="22"/>
      <c r="I43" s="22"/>
      <c r="J43" s="22"/>
      <c r="K43" s="22"/>
      <c r="L43" s="22"/>
      <c r="M43" s="22"/>
      <c r="N43" s="22"/>
      <c r="O43" s="960"/>
      <c r="P43" s="37"/>
      <c r="Q43" s="960" t="s">
        <v>898</v>
      </c>
      <c r="R43" s="1695">
        <v>5</v>
      </c>
      <c r="S43" s="1568" t="str">
        <f>IF($V$43,"",ROUND(U42*U43,0))</f>
        <v/>
      </c>
      <c r="T43" s="293"/>
      <c r="U43" s="1686">
        <v>0.9</v>
      </c>
      <c r="V43" s="1756" t="b">
        <f>IF($U$42&lt;$W$43,TRUE,FALSE)</f>
        <v>1</v>
      </c>
      <c r="W43" s="805">
        <v>1000</v>
      </c>
      <c r="X43" s="66"/>
      <c r="Y43" s="814"/>
      <c r="Z43" s="292"/>
      <c r="AA43" s="292"/>
      <c r="AB43" s="808"/>
      <c r="AC43" s="7450" t="s">
        <v>3336</v>
      </c>
      <c r="AD43" s="7450"/>
      <c r="AE43" s="7450"/>
      <c r="AF43" s="808"/>
      <c r="AG43" s="292"/>
      <c r="AH43" s="8317" t="s">
        <v>3353</v>
      </c>
      <c r="AI43" s="8318"/>
      <c r="AJ43" s="8318"/>
      <c r="AK43" s="8318"/>
      <c r="AL43" s="8318"/>
      <c r="AM43" s="8318"/>
      <c r="AN43" s="8318"/>
      <c r="AO43" s="8318"/>
      <c r="AP43" s="8319"/>
      <c r="AQ43" s="292"/>
      <c r="AR43" s="292"/>
      <c r="AS43" s="292"/>
      <c r="AT43" s="292"/>
      <c r="AU43" s="1009"/>
    </row>
    <row r="44" spans="1:47" ht="15" customHeight="1" thickBot="1">
      <c r="A44" s="394"/>
      <c r="B44" s="103"/>
      <c r="C44" s="37">
        <v>6</v>
      </c>
      <c r="D44" s="61" t="s">
        <v>3347</v>
      </c>
      <c r="E44" s="103"/>
      <c r="F44" s="103"/>
      <c r="G44" s="103"/>
      <c r="H44" s="103"/>
      <c r="I44" s="103"/>
      <c r="J44" s="103"/>
      <c r="K44" s="103"/>
      <c r="L44" s="103"/>
      <c r="M44" s="103"/>
      <c r="N44" s="103"/>
      <c r="O44" s="103"/>
      <c r="P44" s="103"/>
      <c r="Q44" s="103"/>
      <c r="R44" s="103"/>
      <c r="S44" s="960" t="s">
        <v>2317</v>
      </c>
      <c r="T44" s="3788">
        <v>6</v>
      </c>
      <c r="U44" s="7788" t="str">
        <f>IF(Z44&lt;&gt;"",ROUND(Z44,0),IF($V$43,"",SUM(Fed_Inc_Tax_WH_Line_25d,ExcessSSTax)))</f>
        <v/>
      </c>
      <c r="V44" s="7789"/>
      <c r="W44" s="7789"/>
      <c r="X44" s="441"/>
      <c r="Y44" s="1692"/>
      <c r="Z44" s="2642"/>
      <c r="AA44" s="292"/>
      <c r="AB44" s="808"/>
      <c r="AC44" s="8469"/>
      <c r="AD44" s="8469"/>
      <c r="AE44" s="8469"/>
      <c r="AF44" s="808"/>
      <c r="AG44" s="292"/>
      <c r="AH44" s="8284" t="str">
        <f>"To figure your "&amp;TaxYear-1&amp;" tax, first add the amounts listed in (1) (see below),
then subtract from that total amount the refundable credits listed
in (2) (see below) that are shown on your "&amp;TaxYear-1&amp;" tax return."</f>
        <v>To figure your 2022 tax, first add the amounts listed in (1) (see below),
then subtract from that total amount the refundable credits listed
in (2) (see below) that are shown on your 2022 tax return.</v>
      </c>
      <c r="AI44" s="7324"/>
      <c r="AJ44" s="7324"/>
      <c r="AK44" s="7324"/>
      <c r="AL44" s="7324"/>
      <c r="AM44" s="7324"/>
      <c r="AN44" s="7324"/>
      <c r="AO44" s="6970"/>
      <c r="AP44" s="8285"/>
      <c r="AQ44" s="292"/>
      <c r="AR44" s="292"/>
      <c r="AS44" s="292"/>
      <c r="AT44" s="292"/>
      <c r="AU44" s="1009"/>
    </row>
    <row r="45" spans="1:47" ht="13.5" customHeight="1" thickBot="1">
      <c r="A45" s="394"/>
      <c r="B45" s="22"/>
      <c r="C45" s="37">
        <v>7</v>
      </c>
      <c r="D45" s="683" t="s">
        <v>3349</v>
      </c>
      <c r="E45" s="5051"/>
      <c r="F45" s="103"/>
      <c r="G45" s="103"/>
      <c r="H45" s="683"/>
      <c r="I45" s="683"/>
      <c r="J45" s="1749" t="str">
        <f>"If less than "&amp;TEXT($W$43,"$0,000")&amp;","</f>
        <v>If less than $1,000,</v>
      </c>
      <c r="K45" s="2657" t="s">
        <v>3350</v>
      </c>
      <c r="L45" s="103"/>
      <c r="M45" s="103"/>
      <c r="N45" s="103"/>
      <c r="O45" s="103"/>
      <c r="P45" s="683"/>
      <c r="Q45" s="103"/>
      <c r="R45" s="103"/>
      <c r="S45" s="1749"/>
      <c r="T45" s="3788">
        <v>7</v>
      </c>
      <c r="U45" s="7786" t="str">
        <f>IF(Z45&lt;&gt;"",ROUND(Z45,0),IF($V$43,"",SUM(U42,-U44)))</f>
        <v/>
      </c>
      <c r="V45" s="7787"/>
      <c r="W45" s="7787"/>
      <c r="X45" s="66"/>
      <c r="Y45" s="814"/>
      <c r="Z45" s="2642"/>
      <c r="AA45" s="292"/>
      <c r="AB45" s="808"/>
      <c r="AC45" s="808"/>
      <c r="AD45" s="808"/>
      <c r="AE45" s="808"/>
      <c r="AF45" s="808"/>
      <c r="AG45" s="292"/>
      <c r="AH45" s="8286"/>
      <c r="AI45" s="7250"/>
      <c r="AJ45" s="7250"/>
      <c r="AK45" s="7250"/>
      <c r="AL45" s="7250"/>
      <c r="AM45" s="7250"/>
      <c r="AN45" s="7250"/>
      <c r="AO45" s="7293"/>
      <c r="AP45" s="7724"/>
      <c r="AQ45" s="292"/>
      <c r="AR45" s="292"/>
      <c r="AS45" s="292"/>
      <c r="AT45" s="292"/>
      <c r="AU45" s="1009"/>
    </row>
    <row r="46" spans="1:47" ht="13.5" customHeight="1" thickBot="1">
      <c r="A46" s="394"/>
      <c r="B46" s="22"/>
      <c r="C46" s="37">
        <v>8</v>
      </c>
      <c r="D46" s="22" t="s">
        <v>3351</v>
      </c>
      <c r="E46" s="23"/>
      <c r="F46" s="22"/>
      <c r="G46" s="22"/>
      <c r="H46" s="22"/>
      <c r="I46" s="22"/>
      <c r="J46" s="22"/>
      <c r="K46" s="22"/>
      <c r="L46" s="22"/>
      <c r="M46" s="22"/>
      <c r="N46" s="22"/>
      <c r="O46" s="22"/>
      <c r="P46" s="22"/>
      <c r="Q46" s="22"/>
      <c r="R46" s="22"/>
      <c r="S46" s="960" t="s">
        <v>3352</v>
      </c>
      <c r="T46" s="3788">
        <v>8</v>
      </c>
      <c r="U46" s="7788" t="str">
        <f>IF(Z46&lt;&gt;"",ROUND(Z46,0),IF(OR($V$43,$U$48,NOT($AC$38)),"",IF(AA23,AA25*SUM(AC8,-AC14),SUM(AC8,-AC14))))</f>
        <v/>
      </c>
      <c r="V46" s="7789"/>
      <c r="W46" s="7789"/>
      <c r="X46" s="66"/>
      <c r="Y46" s="814"/>
      <c r="Z46" s="2642"/>
      <c r="AA46" s="292"/>
      <c r="AB46" s="808"/>
      <c r="AC46" s="8476" t="str">
        <f>IF(AND($AC$38,$AE$41),U44,"")</f>
        <v/>
      </c>
      <c r="AD46" s="8477"/>
      <c r="AE46" s="8478"/>
      <c r="AF46" s="808"/>
      <c r="AG46" s="292"/>
      <c r="AH46" s="8276" t="str">
        <f>"(1) Add the amounts listed in the '1040' chart in the instructions based on which tax return you filed for "&amp;TaxYear-1&amp;"."</f>
        <v>(1) Add the amounts listed in the '1040' chart in the instructions based on which tax return you filed for 2022.</v>
      </c>
      <c r="AI46" s="8277"/>
      <c r="AJ46" s="8277"/>
      <c r="AK46" s="8277"/>
      <c r="AL46" s="8277"/>
      <c r="AM46" s="8277"/>
      <c r="AN46" s="8277"/>
      <c r="AO46" s="8278"/>
      <c r="AP46" s="8279"/>
      <c r="AQ46" s="292"/>
      <c r="AR46" s="292"/>
      <c r="AS46" s="292"/>
      <c r="AT46" s="292"/>
      <c r="AU46" s="1009"/>
    </row>
    <row r="47" spans="1:47" ht="13.5" customHeight="1" thickBot="1">
      <c r="A47" s="394"/>
      <c r="B47" s="22"/>
      <c r="C47" s="37">
        <v>9</v>
      </c>
      <c r="D47" s="61" t="s">
        <v>3354</v>
      </c>
      <c r="E47" s="23"/>
      <c r="F47" s="22"/>
      <c r="G47" s="22"/>
      <c r="H47" s="22"/>
      <c r="I47" s="22"/>
      <c r="J47" s="22"/>
      <c r="K47" s="22"/>
      <c r="L47" s="22"/>
      <c r="M47" s="22"/>
      <c r="N47" s="22"/>
      <c r="O47" s="22"/>
      <c r="P47" s="22"/>
      <c r="Q47" s="22"/>
      <c r="R47" s="22"/>
      <c r="S47" s="960" t="s">
        <v>2858</v>
      </c>
      <c r="T47" s="3788">
        <v>9</v>
      </c>
      <c r="U47" s="8380" t="str">
        <f>IF(Z47&lt;&gt;"",ROUND(Z47,0),IF(OR($V$43,$U$48),"",MIN(S43,U46)))</f>
        <v/>
      </c>
      <c r="V47" s="8381"/>
      <c r="W47" s="8381"/>
      <c r="X47" s="66"/>
      <c r="Y47" s="814"/>
      <c r="Z47" s="2642"/>
      <c r="AA47" s="292"/>
      <c r="AB47" s="808"/>
      <c r="AC47" s="8482" t="s">
        <v>5834</v>
      </c>
      <c r="AD47" s="8482"/>
      <c r="AE47" s="8482"/>
      <c r="AF47" s="808"/>
      <c r="AG47" s="292"/>
      <c r="AH47" s="8280"/>
      <c r="AI47" s="8281"/>
      <c r="AJ47" s="8281"/>
      <c r="AK47" s="8281"/>
      <c r="AL47" s="8281"/>
      <c r="AM47" s="8281"/>
      <c r="AN47" s="8281"/>
      <c r="AO47" s="8282"/>
      <c r="AP47" s="8283"/>
      <c r="AQ47" s="292"/>
      <c r="AR47" s="292"/>
      <c r="AS47" s="292"/>
      <c r="AT47" s="292"/>
      <c r="AU47" s="1009"/>
    </row>
    <row r="48" spans="1:47" ht="15" customHeight="1">
      <c r="A48" s="394"/>
      <c r="B48" s="22"/>
      <c r="C48" s="37"/>
      <c r="D48" s="688" t="s">
        <v>3355</v>
      </c>
      <c r="E48" s="23"/>
      <c r="F48" s="22"/>
      <c r="G48" s="22"/>
      <c r="H48" s="22"/>
      <c r="I48" s="22"/>
      <c r="J48" s="22"/>
      <c r="K48" s="22"/>
      <c r="L48" s="22"/>
      <c r="M48" s="22"/>
      <c r="N48" s="22"/>
      <c r="O48" s="22"/>
      <c r="P48" s="22"/>
      <c r="Q48" s="22"/>
      <c r="R48" s="22"/>
      <c r="S48" s="960"/>
      <c r="T48" s="960"/>
      <c r="U48" s="1756" t="b">
        <f>$U$45&lt;$W$43</f>
        <v>0</v>
      </c>
      <c r="V48" s="1757"/>
      <c r="W48" s="1756" t="b">
        <f>U47&gt;U44</f>
        <v>0</v>
      </c>
      <c r="X48" s="66"/>
      <c r="Y48" s="814"/>
      <c r="Z48" s="292"/>
      <c r="AA48" s="292"/>
      <c r="AB48" s="808"/>
      <c r="AC48" s="8483"/>
      <c r="AD48" s="8483"/>
      <c r="AE48" s="8483"/>
      <c r="AF48" s="808"/>
      <c r="AG48" s="292"/>
      <c r="AH48" s="8276" t="s">
        <v>5816</v>
      </c>
      <c r="AI48" s="8277"/>
      <c r="AJ48" s="8277"/>
      <c r="AK48" s="8277"/>
      <c r="AL48" s="8277"/>
      <c r="AM48" s="8277"/>
      <c r="AN48" s="8277"/>
      <c r="AO48" s="8278"/>
      <c r="AP48" s="8279"/>
      <c r="AQ48" s="292"/>
      <c r="AR48" s="292"/>
      <c r="AS48" s="292"/>
      <c r="AT48" s="292"/>
      <c r="AU48" s="1009"/>
    </row>
    <row r="49" spans="1:47" ht="13.5" customHeight="1">
      <c r="A49" s="394"/>
      <c r="B49" s="22"/>
      <c r="C49" s="37"/>
      <c r="D49" s="1665" t="str">
        <f>IF(NOT(AC38),"",IF(OR($V$43,$U$48),"",IF($W$48,"","X")))</f>
        <v/>
      </c>
      <c r="E49" s="61" t="s">
        <v>3356</v>
      </c>
      <c r="F49" s="22"/>
      <c r="G49" s="22"/>
      <c r="H49" s="22"/>
      <c r="I49" s="61"/>
      <c r="J49" s="22"/>
      <c r="K49" s="22"/>
      <c r="L49" s="22"/>
      <c r="M49" s="22"/>
      <c r="N49" s="705" t="s">
        <v>3357</v>
      </c>
      <c r="O49" s="61" t="s">
        <v>3358</v>
      </c>
      <c r="P49" s="22"/>
      <c r="Q49" s="22"/>
      <c r="R49" s="22"/>
      <c r="S49" s="13"/>
      <c r="T49" s="13"/>
      <c r="U49" s="13"/>
      <c r="V49" s="13"/>
      <c r="W49" s="29"/>
      <c r="X49" s="66"/>
      <c r="Y49" s="814"/>
      <c r="Z49" s="1902"/>
      <c r="AA49" s="292"/>
      <c r="AB49" s="808"/>
      <c r="AC49" s="808"/>
      <c r="AD49" s="808"/>
      <c r="AE49" s="808"/>
      <c r="AF49" s="808"/>
      <c r="AG49" s="292"/>
      <c r="AH49" s="8280"/>
      <c r="AI49" s="8281"/>
      <c r="AJ49" s="8281"/>
      <c r="AK49" s="8281"/>
      <c r="AL49" s="8281"/>
      <c r="AM49" s="8281"/>
      <c r="AN49" s="8281"/>
      <c r="AO49" s="8282"/>
      <c r="AP49" s="8283"/>
      <c r="AQ49" s="292"/>
      <c r="AR49" s="292"/>
      <c r="AS49" s="292"/>
      <c r="AT49" s="292"/>
      <c r="AU49" s="1009"/>
    </row>
    <row r="50" spans="1:47" ht="12.75" customHeight="1">
      <c r="A50" s="394"/>
      <c r="B50" s="22"/>
      <c r="C50" s="61"/>
      <c r="D50" s="61"/>
      <c r="E50" s="61"/>
      <c r="F50" s="22"/>
      <c r="G50" s="22"/>
      <c r="H50" s="22"/>
      <c r="I50" s="22"/>
      <c r="J50" s="22"/>
      <c r="K50" s="22"/>
      <c r="L50" s="22"/>
      <c r="M50" s="22"/>
      <c r="N50" s="22"/>
      <c r="O50" s="22"/>
      <c r="P50" s="22"/>
      <c r="Q50" s="22"/>
      <c r="R50" s="22"/>
      <c r="S50" s="13"/>
      <c r="T50" s="13"/>
      <c r="U50" s="13"/>
      <c r="V50" s="13"/>
      <c r="W50" s="13"/>
      <c r="X50" s="66"/>
      <c r="Y50" s="814"/>
      <c r="Z50" s="1902"/>
      <c r="AA50" s="292"/>
      <c r="AB50" s="808"/>
      <c r="AC50" s="8484" t="str">
        <f>IF(AND($AC$41,$AC$38),SUM(AC42,-AC46),"")</f>
        <v/>
      </c>
      <c r="AD50" s="8485"/>
      <c r="AE50" s="8486"/>
      <c r="AF50" s="808"/>
      <c r="AG50" s="292"/>
      <c r="AH50" s="6178" t="s">
        <v>5817</v>
      </c>
      <c r="AI50" s="3803"/>
      <c r="AJ50" s="3803"/>
      <c r="AK50" s="3803"/>
      <c r="AL50" s="3803"/>
      <c r="AM50" s="3803"/>
      <c r="AN50" s="3803"/>
      <c r="AO50" s="3803"/>
      <c r="AP50" s="6177"/>
      <c r="AQ50" s="292"/>
      <c r="AR50" s="292"/>
      <c r="AS50" s="292"/>
      <c r="AT50" s="292"/>
      <c r="AU50" s="1009"/>
    </row>
    <row r="51" spans="1:47" ht="13.5" customHeight="1">
      <c r="A51" s="394"/>
      <c r="B51" s="29"/>
      <c r="C51" s="1688"/>
      <c r="D51" s="1665" t="str">
        <f>IF(NOT(AC38),"",IF(OR($V$43,$U$48),"",IF($W$48,"X","")))</f>
        <v/>
      </c>
      <c r="E51" s="61" t="s">
        <v>3359</v>
      </c>
      <c r="F51" s="22"/>
      <c r="G51" s="22"/>
      <c r="H51" s="22"/>
      <c r="I51" s="22"/>
      <c r="J51" s="22"/>
      <c r="K51" s="22"/>
      <c r="L51" s="22"/>
      <c r="M51" s="51"/>
      <c r="N51" s="22"/>
      <c r="O51" s="22"/>
      <c r="P51" s="22"/>
      <c r="Q51" s="22"/>
      <c r="R51" s="23"/>
      <c r="S51" s="13"/>
      <c r="T51" s="37"/>
      <c r="U51" s="5681"/>
      <c r="V51" s="29"/>
      <c r="W51" s="1756" t="b">
        <f>$W$48</f>
        <v>0</v>
      </c>
      <c r="X51" s="66"/>
      <c r="Y51" s="814"/>
      <c r="Z51" s="1902"/>
      <c r="AA51" s="292"/>
      <c r="AB51" s="808"/>
      <c r="AC51" s="8482" t="s">
        <v>3439</v>
      </c>
      <c r="AD51" s="8482"/>
      <c r="AE51" s="8482"/>
      <c r="AF51" s="808"/>
      <c r="AG51" s="292"/>
      <c r="AH51" s="6178" t="str">
        <f>"claimed on your "&amp;TaxYear-1&amp;" tax return."</f>
        <v>claimed on your 2022 tax return.</v>
      </c>
      <c r="AI51" s="3803"/>
      <c r="AJ51" s="3803"/>
      <c r="AK51" s="3803"/>
      <c r="AL51" s="3803"/>
      <c r="AM51" s="3803"/>
      <c r="AN51" s="3803"/>
      <c r="AO51" s="3803"/>
      <c r="AP51" s="6177"/>
      <c r="AQ51" s="292"/>
      <c r="AR51" s="292"/>
      <c r="AS51" s="292"/>
      <c r="AT51" s="292"/>
      <c r="AU51" s="1009"/>
    </row>
    <row r="52" spans="1:47" ht="13.5" customHeight="1">
      <c r="A52" s="394"/>
      <c r="B52" s="8364" t="str">
        <f>IF(W52,"®","")</f>
        <v/>
      </c>
      <c r="C52" s="8365"/>
      <c r="D52" s="287" t="s">
        <v>668</v>
      </c>
      <c r="E52" s="61" t="s">
        <v>3360</v>
      </c>
      <c r="F52" s="22"/>
      <c r="G52" s="22"/>
      <c r="H52" s="22"/>
      <c r="I52" s="22"/>
      <c r="J52" s="22"/>
      <c r="K52" s="22"/>
      <c r="L52" s="22"/>
      <c r="M52" s="22"/>
      <c r="N52" s="22"/>
      <c r="O52" s="22"/>
      <c r="P52" s="22"/>
      <c r="Q52" s="22"/>
      <c r="R52" s="22"/>
      <c r="S52" s="22"/>
      <c r="T52" s="22"/>
      <c r="U52" s="29"/>
      <c r="V52" s="29"/>
      <c r="W52" s="1756" t="b">
        <f>IF(AND(W51,OR(D60&lt;&gt;"",D62&lt;&gt;"",D64&lt;&gt;"")),TRUE,FALSE)</f>
        <v>0</v>
      </c>
      <c r="X52" s="66"/>
      <c r="Y52" s="814"/>
      <c r="Z52" s="1902"/>
      <c r="AA52" s="292"/>
      <c r="AB52" s="808"/>
      <c r="AC52" s="8483"/>
      <c r="AD52" s="8483"/>
      <c r="AE52" s="8483"/>
      <c r="AF52" s="808"/>
      <c r="AG52" s="292"/>
      <c r="AH52" s="3163" t="s">
        <v>668</v>
      </c>
      <c r="AI52" s="2570" t="s">
        <v>3332</v>
      </c>
      <c r="AJ52" s="2570"/>
      <c r="AK52" s="2570"/>
      <c r="AL52" s="2570"/>
      <c r="AM52" s="2570"/>
      <c r="AN52" s="2570"/>
      <c r="AO52" s="2570"/>
      <c r="AP52" s="6177"/>
      <c r="AQ52" s="292"/>
      <c r="AR52" s="292"/>
      <c r="AS52" s="292"/>
      <c r="AT52" s="292"/>
      <c r="AU52" s="1009"/>
    </row>
    <row r="53" spans="1:47" ht="13.5" customHeight="1">
      <c r="A53" s="394"/>
      <c r="B53" s="8364" t="str">
        <f>IF(W55,"®","")</f>
        <v/>
      </c>
      <c r="C53" s="8365"/>
      <c r="D53" s="287" t="s">
        <v>668</v>
      </c>
      <c r="E53" s="61" t="s">
        <v>3361</v>
      </c>
      <c r="F53" s="22"/>
      <c r="G53" s="22"/>
      <c r="H53" s="22"/>
      <c r="I53" s="22"/>
      <c r="J53" s="22"/>
      <c r="K53" s="22"/>
      <c r="L53" s="22"/>
      <c r="M53" s="22"/>
      <c r="N53" s="22"/>
      <c r="O53" s="22"/>
      <c r="P53" s="22"/>
      <c r="Q53" s="22"/>
      <c r="R53" s="1649"/>
      <c r="S53" s="1650"/>
      <c r="T53" s="291"/>
      <c r="U53" s="1651"/>
      <c r="V53" s="334"/>
      <c r="W53" s="37"/>
      <c r="X53" s="66"/>
      <c r="Y53" s="814"/>
      <c r="Z53" s="1902"/>
      <c r="AA53" s="292"/>
      <c r="AB53" s="808"/>
      <c r="AC53" s="808"/>
      <c r="AD53" s="808"/>
      <c r="AE53" s="808"/>
      <c r="AF53" s="808"/>
      <c r="AG53" s="292"/>
      <c r="AH53" s="3163" t="s">
        <v>668</v>
      </c>
      <c r="AI53" s="1048" t="s">
        <v>3334</v>
      </c>
      <c r="AJ53" s="2570"/>
      <c r="AK53" s="2570"/>
      <c r="AL53" s="2570"/>
      <c r="AM53" s="2570"/>
      <c r="AN53" s="2570"/>
      <c r="AO53" s="2570"/>
      <c r="AP53" s="6177"/>
      <c r="AQ53" s="292"/>
      <c r="AR53" s="292"/>
      <c r="AS53" s="292"/>
      <c r="AT53" s="292"/>
      <c r="AU53" s="1009"/>
    </row>
    <row r="54" spans="1:47" ht="13.5" customHeight="1">
      <c r="A54" s="394"/>
      <c r="B54" s="22"/>
      <c r="C54" s="37"/>
      <c r="D54" s="61"/>
      <c r="E54" s="61" t="s">
        <v>3362</v>
      </c>
      <c r="F54" s="22"/>
      <c r="G54" s="22"/>
      <c r="H54" s="22"/>
      <c r="I54" s="22"/>
      <c r="J54" s="22"/>
      <c r="K54" s="22"/>
      <c r="L54" s="22"/>
      <c r="M54" s="22"/>
      <c r="N54" s="22"/>
      <c r="O54" s="22"/>
      <c r="P54" s="22"/>
      <c r="Q54" s="22"/>
      <c r="R54" s="22"/>
      <c r="S54" s="22"/>
      <c r="T54" s="22"/>
      <c r="U54" s="22"/>
      <c r="V54" s="22"/>
      <c r="W54" s="37"/>
      <c r="X54" s="66"/>
      <c r="Y54" s="814"/>
      <c r="Z54" s="1902"/>
      <c r="AA54" s="292"/>
      <c r="AB54" s="808"/>
      <c r="AC54" s="8479" t="str">
        <f>IF(AND($AE$41,$AC$38),TaxDay,"")</f>
        <v/>
      </c>
      <c r="AD54" s="8480"/>
      <c r="AE54" s="8481"/>
      <c r="AF54" s="808"/>
      <c r="AG54" s="292"/>
      <c r="AH54" s="3163" t="s">
        <v>668</v>
      </c>
      <c r="AI54" s="1009" t="s">
        <v>3337</v>
      </c>
      <c r="AN54" s="2570"/>
      <c r="AO54" s="2570"/>
      <c r="AP54" s="6177"/>
      <c r="AQ54" s="292"/>
      <c r="AR54" s="292"/>
      <c r="AS54" s="292"/>
      <c r="AT54" s="292"/>
      <c r="AU54" s="1009"/>
    </row>
    <row r="55" spans="1:47" ht="15" thickBot="1">
      <c r="A55" s="394"/>
      <c r="B55" s="22"/>
      <c r="C55" s="37"/>
      <c r="D55" s="37"/>
      <c r="E55" s="61" t="s">
        <v>3364</v>
      </c>
      <c r="F55" s="22"/>
      <c r="G55" s="22"/>
      <c r="H55" s="22"/>
      <c r="I55" s="22"/>
      <c r="J55" s="23"/>
      <c r="K55" s="22"/>
      <c r="L55" s="22"/>
      <c r="M55" s="22"/>
      <c r="N55" s="22"/>
      <c r="O55" s="22"/>
      <c r="P55" s="22"/>
      <c r="Q55" s="22"/>
      <c r="R55" s="22"/>
      <c r="S55" s="6"/>
      <c r="T55" s="22"/>
      <c r="U55" s="13"/>
      <c r="V55" s="13"/>
      <c r="W55" s="1756" t="b">
        <f>IF(AND(W51,OR(D58&lt;&gt;"",D66&lt;&gt;""),D60="",D62="",D64=""),TRUE,FALSE)</f>
        <v>0</v>
      </c>
      <c r="X55" s="66"/>
      <c r="Y55" s="814"/>
      <c r="Z55" s="1902"/>
      <c r="AA55" s="292"/>
      <c r="AB55" s="808"/>
      <c r="AC55" s="7450" t="s">
        <v>5829</v>
      </c>
      <c r="AD55" s="7450"/>
      <c r="AE55" s="7450"/>
      <c r="AF55" s="808"/>
      <c r="AG55" s="292"/>
      <c r="AH55" s="3163" t="s">
        <v>668</v>
      </c>
      <c r="AI55" s="1009" t="s">
        <v>5818</v>
      </c>
      <c r="AJ55" s="780"/>
      <c r="AK55" s="780"/>
      <c r="AL55" s="780"/>
      <c r="AM55" s="780"/>
      <c r="AN55" s="2570"/>
      <c r="AO55" s="2570"/>
      <c r="AP55" s="6177"/>
      <c r="AQ55" s="292"/>
      <c r="AR55" s="292"/>
      <c r="AS55" s="292"/>
      <c r="AT55" s="292"/>
      <c r="AU55" s="1009"/>
    </row>
    <row r="56" spans="1:47" ht="13.5" customHeight="1">
      <c r="A56" s="394"/>
      <c r="B56" s="1658" t="s">
        <v>3365</v>
      </c>
      <c r="C56" s="1654"/>
      <c r="D56" s="1654"/>
      <c r="E56" s="1657" t="s">
        <v>3366</v>
      </c>
      <c r="F56" s="1655"/>
      <c r="G56" s="1655"/>
      <c r="H56" s="1655"/>
      <c r="I56" s="1655"/>
      <c r="J56" s="1655"/>
      <c r="K56" s="1655"/>
      <c r="L56" s="1683" t="s">
        <v>3367</v>
      </c>
      <c r="M56" s="1655"/>
      <c r="N56" s="1655"/>
      <c r="O56" s="1655"/>
      <c r="P56" s="1655"/>
      <c r="Q56" s="1655"/>
      <c r="R56" s="1655"/>
      <c r="S56" s="1655"/>
      <c r="T56" s="1655"/>
      <c r="U56" s="1655"/>
      <c r="V56" s="1655"/>
      <c r="W56" s="1655"/>
      <c r="X56" s="441"/>
      <c r="Y56" s="1692"/>
      <c r="Z56" s="1902"/>
      <c r="AA56" s="292"/>
      <c r="AB56" s="808"/>
      <c r="AC56" s="8469"/>
      <c r="AD56" s="8469"/>
      <c r="AE56" s="8469"/>
      <c r="AF56" s="808"/>
      <c r="AG56" s="292"/>
      <c r="AH56" s="3163" t="s">
        <v>668</v>
      </c>
      <c r="AI56" s="1009" t="s">
        <v>5819</v>
      </c>
      <c r="AJ56" s="780"/>
      <c r="AK56" s="780"/>
      <c r="AL56" s="780"/>
      <c r="AM56" s="780"/>
      <c r="AN56" s="2570"/>
      <c r="AO56" s="2570"/>
      <c r="AP56" s="6177"/>
      <c r="AQ56" s="292"/>
      <c r="AR56" s="292"/>
      <c r="AS56" s="292"/>
      <c r="AT56" s="292"/>
      <c r="AU56" s="1009"/>
    </row>
    <row r="57" spans="1:47" ht="13.5" customHeight="1">
      <c r="A57" s="394"/>
      <c r="B57" s="22"/>
      <c r="C57" s="37"/>
      <c r="D57" s="61"/>
      <c r="E57" s="1659"/>
      <c r="F57" s="103"/>
      <c r="G57" s="103"/>
      <c r="H57" s="103"/>
      <c r="I57" s="103"/>
      <c r="J57" s="103"/>
      <c r="K57" s="103"/>
      <c r="L57" s="103"/>
      <c r="M57" s="103"/>
      <c r="N57" s="103"/>
      <c r="O57" s="103"/>
      <c r="P57" s="103"/>
      <c r="Q57" s="103"/>
      <c r="R57" s="103"/>
      <c r="S57" s="103"/>
      <c r="T57" s="103"/>
      <c r="U57" s="103"/>
      <c r="V57" s="103"/>
      <c r="W57" s="103"/>
      <c r="X57" s="441"/>
      <c r="Y57" s="1692"/>
      <c r="Z57" s="292"/>
      <c r="AA57" s="292"/>
      <c r="AB57" s="808"/>
      <c r="AC57" s="808"/>
      <c r="AD57" s="808"/>
      <c r="AE57" s="808"/>
      <c r="AF57" s="808"/>
      <c r="AG57" s="292"/>
      <c r="AH57" s="3163" t="s">
        <v>668</v>
      </c>
      <c r="AI57" s="1009" t="s">
        <v>5820</v>
      </c>
      <c r="AJ57" s="780"/>
      <c r="AK57" s="780"/>
      <c r="AL57" s="780"/>
      <c r="AM57" s="780"/>
      <c r="AN57" s="2570"/>
      <c r="AO57" s="2570"/>
      <c r="AP57" s="6177"/>
      <c r="AQ57" s="292"/>
      <c r="AR57" s="292"/>
      <c r="AS57" s="292"/>
      <c r="AT57" s="292"/>
      <c r="AU57" s="1009"/>
    </row>
    <row r="58" spans="1:47" ht="13.5" customHeight="1">
      <c r="A58" s="394"/>
      <c r="B58" s="805" t="b">
        <f>(D58&lt;&gt;"")</f>
        <v>0</v>
      </c>
      <c r="C58" s="37" t="s">
        <v>542</v>
      </c>
      <c r="D58" s="809"/>
      <c r="E58" s="1659" t="s">
        <v>3368</v>
      </c>
      <c r="F58" s="103"/>
      <c r="G58" s="103"/>
      <c r="H58" s="103"/>
      <c r="I58" s="103"/>
      <c r="J58" s="103"/>
      <c r="K58" s="103"/>
      <c r="L58" s="103"/>
      <c r="M58" s="103"/>
      <c r="N58" s="103"/>
      <c r="O58" s="103"/>
      <c r="P58" s="103"/>
      <c r="Q58" s="103"/>
      <c r="R58" s="103"/>
      <c r="S58" s="103"/>
      <c r="T58" s="103"/>
      <c r="U58" s="103"/>
      <c r="V58" s="103"/>
      <c r="W58" s="103"/>
      <c r="X58" s="441"/>
      <c r="Y58" s="1692"/>
      <c r="Z58" s="292"/>
      <c r="AA58" s="292"/>
      <c r="AB58" s="808"/>
      <c r="AC58" s="808"/>
      <c r="AD58" s="808"/>
      <c r="AE58" s="808"/>
      <c r="AF58" s="808"/>
      <c r="AG58" s="292"/>
      <c r="AH58" s="3163" t="s">
        <v>668</v>
      </c>
      <c r="AI58" s="1009" t="s">
        <v>5821</v>
      </c>
      <c r="AJ58" s="780"/>
      <c r="AK58" s="780"/>
      <c r="AL58" s="780"/>
      <c r="AM58" s="780"/>
      <c r="AN58" s="2570"/>
      <c r="AO58" s="2570"/>
      <c r="AP58" s="6177"/>
      <c r="AQ58" s="292"/>
      <c r="AR58" s="292"/>
      <c r="AS58" s="292"/>
      <c r="AT58" s="292"/>
      <c r="AU58" s="1009"/>
    </row>
    <row r="59" spans="1:47" ht="13.5" customHeight="1">
      <c r="A59" s="394"/>
      <c r="B59" s="8453"/>
      <c r="C59" s="8454"/>
      <c r="D59" s="8454"/>
      <c r="E59" s="1659" t="s">
        <v>3369</v>
      </c>
      <c r="F59" s="103"/>
      <c r="G59" s="103"/>
      <c r="H59" s="103"/>
      <c r="I59" s="103"/>
      <c r="J59" s="103"/>
      <c r="K59" s="103"/>
      <c r="L59" s="103"/>
      <c r="M59" s="103"/>
      <c r="N59" s="103"/>
      <c r="O59" s="103"/>
      <c r="P59" s="103"/>
      <c r="Q59" s="103"/>
      <c r="R59" s="103"/>
      <c r="S59" s="103"/>
      <c r="T59" s="103"/>
      <c r="U59" s="103"/>
      <c r="V59" s="103"/>
      <c r="W59" s="103"/>
      <c r="X59" s="441"/>
      <c r="Y59" s="1692"/>
      <c r="Z59" s="4605"/>
      <c r="AA59" s="292"/>
      <c r="AB59" s="808"/>
      <c r="AC59" s="808"/>
      <c r="AD59" s="808"/>
      <c r="AE59" s="808"/>
      <c r="AF59" s="808"/>
      <c r="AG59" s="292"/>
      <c r="AH59" s="3163"/>
      <c r="AI59" s="1009" t="s">
        <v>5822</v>
      </c>
      <c r="AJ59" s="780"/>
      <c r="AK59" s="780"/>
      <c r="AL59" s="780"/>
      <c r="AM59" s="780"/>
      <c r="AN59" s="2570"/>
      <c r="AO59" s="2570"/>
      <c r="AP59" s="6177"/>
      <c r="AQ59" s="292"/>
      <c r="AR59" s="292"/>
      <c r="AS59" s="292"/>
      <c r="AT59" s="292"/>
      <c r="AU59" s="1009"/>
    </row>
    <row r="60" spans="1:47" ht="13.5" customHeight="1">
      <c r="A60" s="394"/>
      <c r="B60" s="805" t="b">
        <f>(D60&lt;&gt;"")</f>
        <v>0</v>
      </c>
      <c r="C60" s="37" t="s">
        <v>548</v>
      </c>
      <c r="D60" s="809"/>
      <c r="E60" s="1659" t="s">
        <v>3370</v>
      </c>
      <c r="F60" s="103"/>
      <c r="G60" s="103"/>
      <c r="H60" s="103"/>
      <c r="I60" s="103"/>
      <c r="J60" s="103"/>
      <c r="K60" s="103"/>
      <c r="L60" s="103"/>
      <c r="M60" s="103"/>
      <c r="N60" s="103"/>
      <c r="O60" s="103"/>
      <c r="P60" s="103"/>
      <c r="Q60" s="103"/>
      <c r="R60" s="103"/>
      <c r="S60" s="103"/>
      <c r="T60" s="103"/>
      <c r="U60" s="103"/>
      <c r="V60" s="103"/>
      <c r="W60" s="103"/>
      <c r="X60" s="441"/>
      <c r="Y60" s="1692"/>
      <c r="Z60" s="4605"/>
      <c r="AA60" s="292"/>
      <c r="AB60" s="808"/>
      <c r="AC60" s="808"/>
      <c r="AD60" s="892" t="s">
        <v>3363</v>
      </c>
      <c r="AE60" s="808"/>
      <c r="AF60" s="808"/>
      <c r="AG60" s="292"/>
      <c r="AH60" s="3163" t="s">
        <v>668</v>
      </c>
      <c r="AI60" s="1009" t="s">
        <v>5823</v>
      </c>
      <c r="AJ60" s="780"/>
      <c r="AK60" s="780"/>
      <c r="AL60" s="780"/>
      <c r="AM60" s="780"/>
      <c r="AN60" s="2570"/>
      <c r="AO60" s="2570"/>
      <c r="AP60" s="6177"/>
      <c r="AQ60" s="292"/>
      <c r="AR60" s="292"/>
      <c r="AS60" s="292"/>
      <c r="AT60" s="292"/>
      <c r="AU60" s="1009"/>
    </row>
    <row r="61" spans="1:47" ht="13.5" customHeight="1">
      <c r="A61" s="394"/>
      <c r="B61" s="805"/>
      <c r="C61" s="37"/>
      <c r="D61" s="61"/>
      <c r="E61" s="1660" t="s">
        <v>3371</v>
      </c>
      <c r="F61" s="103"/>
      <c r="G61" s="103"/>
      <c r="H61" s="103"/>
      <c r="I61" s="103"/>
      <c r="J61" s="103"/>
      <c r="K61" s="103"/>
      <c r="L61" s="103"/>
      <c r="M61" s="103"/>
      <c r="N61" s="103"/>
      <c r="O61" s="103"/>
      <c r="P61" s="103"/>
      <c r="Q61" s="103"/>
      <c r="R61" s="103"/>
      <c r="S61" s="103"/>
      <c r="T61" s="103"/>
      <c r="U61" s="103"/>
      <c r="V61" s="103"/>
      <c r="W61" s="103"/>
      <c r="X61" s="441"/>
      <c r="Y61" s="1692"/>
      <c r="Z61" s="4605"/>
      <c r="AA61" s="292"/>
      <c r="AB61" s="808"/>
      <c r="AC61" s="808"/>
      <c r="AD61" s="808"/>
      <c r="AE61" s="808"/>
      <c r="AF61" s="808"/>
      <c r="AG61" s="292"/>
      <c r="AH61" s="3163" t="s">
        <v>668</v>
      </c>
      <c r="AI61" s="1009" t="s">
        <v>3348</v>
      </c>
      <c r="AJ61" s="780"/>
      <c r="AK61" s="780"/>
      <c r="AL61" s="780"/>
      <c r="AM61" s="780"/>
      <c r="AN61" s="2570"/>
      <c r="AO61" s="2570"/>
      <c r="AP61" s="6177"/>
      <c r="AQ61" s="292"/>
      <c r="AR61" s="292"/>
      <c r="AS61" s="292"/>
      <c r="AT61" s="292"/>
      <c r="AU61" s="1009"/>
    </row>
    <row r="62" spans="1:47" ht="13.5" customHeight="1" thickBot="1">
      <c r="A62" s="394"/>
      <c r="B62" s="805" t="b">
        <f>(D62&lt;&gt;"")</f>
        <v>0</v>
      </c>
      <c r="C62" s="37" t="s">
        <v>550</v>
      </c>
      <c r="D62" s="809"/>
      <c r="E62" s="1659" t="s">
        <v>3372</v>
      </c>
      <c r="F62" s="103"/>
      <c r="G62" s="103"/>
      <c r="H62" s="103"/>
      <c r="I62" s="103"/>
      <c r="J62" s="103"/>
      <c r="K62" s="103"/>
      <c r="L62" s="103"/>
      <c r="M62" s="103"/>
      <c r="N62" s="103"/>
      <c r="O62" s="103"/>
      <c r="P62" s="103"/>
      <c r="Q62" s="103"/>
      <c r="R62" s="103"/>
      <c r="S62" s="103"/>
      <c r="T62" s="103"/>
      <c r="U62" s="103"/>
      <c r="V62" s="103"/>
      <c r="W62" s="103"/>
      <c r="X62" s="441"/>
      <c r="Y62" s="1692"/>
      <c r="Z62" s="4605"/>
      <c r="AA62" s="292"/>
      <c r="AB62" s="808"/>
      <c r="AC62" s="808"/>
      <c r="AD62" s="808"/>
      <c r="AE62" s="808"/>
      <c r="AF62" s="808"/>
      <c r="AG62" s="292"/>
      <c r="AH62" s="6179"/>
      <c r="AI62" s="6180"/>
      <c r="AJ62" s="6180"/>
      <c r="AK62" s="6180"/>
      <c r="AL62" s="6180"/>
      <c r="AM62" s="6180"/>
      <c r="AN62" s="6180"/>
      <c r="AO62" s="6180"/>
      <c r="AP62" s="6181"/>
      <c r="AQ62" s="292"/>
      <c r="AR62" s="292"/>
      <c r="AS62" s="292"/>
      <c r="AT62" s="292"/>
      <c r="AU62" s="1009"/>
    </row>
    <row r="63" spans="1:47" ht="13.5" customHeight="1">
      <c r="A63" s="394"/>
      <c r="B63" s="805"/>
      <c r="C63" s="37"/>
      <c r="D63" s="61"/>
      <c r="E63" s="1659" t="s">
        <v>3373</v>
      </c>
      <c r="F63" s="103"/>
      <c r="G63" s="103"/>
      <c r="H63" s="103"/>
      <c r="I63" s="103"/>
      <c r="J63" s="103"/>
      <c r="K63" s="103"/>
      <c r="L63" s="103"/>
      <c r="M63" s="103"/>
      <c r="N63" s="103"/>
      <c r="O63" s="103"/>
      <c r="P63" s="103"/>
      <c r="Q63" s="103"/>
      <c r="R63" s="103"/>
      <c r="S63" s="103"/>
      <c r="T63" s="103"/>
      <c r="U63" s="103"/>
      <c r="V63" s="103"/>
      <c r="W63" s="103"/>
      <c r="X63" s="441"/>
      <c r="Y63" s="1692"/>
      <c r="Z63" s="4605"/>
      <c r="AA63" s="292"/>
      <c r="AB63" s="808"/>
      <c r="AC63" s="808"/>
      <c r="AD63" s="808"/>
      <c r="AE63" s="808"/>
      <c r="AF63" s="808"/>
      <c r="AG63" s="292"/>
      <c r="AH63" s="292"/>
      <c r="AI63" s="292"/>
      <c r="AJ63" s="292"/>
      <c r="AK63" s="292"/>
      <c r="AL63" s="292"/>
      <c r="AM63" s="292"/>
      <c r="AN63" s="292"/>
      <c r="AO63" s="292"/>
      <c r="AP63" s="292"/>
      <c r="AQ63" s="292"/>
      <c r="AR63" s="292"/>
      <c r="AS63" s="292"/>
      <c r="AT63" s="292"/>
      <c r="AU63" s="1009"/>
    </row>
    <row r="64" spans="1:47" ht="13.5" customHeight="1">
      <c r="A64" s="394"/>
      <c r="B64" s="805" t="b">
        <f>(D64&lt;&gt;"")</f>
        <v>0</v>
      </c>
      <c r="C64" s="37" t="s">
        <v>553</v>
      </c>
      <c r="D64" s="809"/>
      <c r="E64" s="1659" t="s">
        <v>3374</v>
      </c>
      <c r="F64" s="103"/>
      <c r="G64" s="103"/>
      <c r="H64" s="103"/>
      <c r="I64" s="103"/>
      <c r="J64" s="103"/>
      <c r="K64" s="103"/>
      <c r="L64" s="103"/>
      <c r="M64" s="103"/>
      <c r="N64" s="103"/>
      <c r="O64" s="103"/>
      <c r="P64" s="103"/>
      <c r="Q64" s="103"/>
      <c r="R64" s="103"/>
      <c r="S64" s="103"/>
      <c r="T64" s="103"/>
      <c r="U64" s="103"/>
      <c r="V64" s="103"/>
      <c r="W64" s="103"/>
      <c r="X64" s="441"/>
      <c r="Y64" s="1692"/>
      <c r="Z64" s="4605"/>
      <c r="AA64" s="292"/>
      <c r="AB64" s="808"/>
      <c r="AC64" s="808"/>
      <c r="AD64" s="808"/>
      <c r="AE64" s="808"/>
      <c r="AF64" s="808"/>
      <c r="AG64" s="292"/>
      <c r="AH64" s="292"/>
      <c r="AI64" s="292"/>
      <c r="AJ64" s="292"/>
      <c r="AK64" s="292"/>
      <c r="AL64" s="292"/>
      <c r="AM64" s="292"/>
      <c r="AN64" s="292"/>
      <c r="AO64" s="292"/>
      <c r="AP64" s="292"/>
      <c r="AQ64" s="292"/>
      <c r="AR64" s="292"/>
      <c r="AS64" s="292"/>
      <c r="AT64" s="292"/>
      <c r="AU64" s="1009"/>
    </row>
    <row r="65" spans="1:58" ht="13.5" customHeight="1">
      <c r="A65" s="394"/>
      <c r="B65" s="805"/>
      <c r="C65" s="37"/>
      <c r="D65" s="61"/>
      <c r="E65" s="61" t="s">
        <v>3375</v>
      </c>
      <c r="F65" s="22"/>
      <c r="G65" s="22"/>
      <c r="H65" s="22"/>
      <c r="I65" s="22"/>
      <c r="J65" s="22"/>
      <c r="K65" s="22"/>
      <c r="L65" s="22"/>
      <c r="M65" s="22"/>
      <c r="N65" s="22"/>
      <c r="O65" s="22"/>
      <c r="P65" s="22"/>
      <c r="Q65" s="22"/>
      <c r="R65" s="22"/>
      <c r="S65" s="22"/>
      <c r="T65" s="22"/>
      <c r="U65" s="22"/>
      <c r="V65" s="22"/>
      <c r="W65" s="22"/>
      <c r="X65" s="66"/>
      <c r="Y65" s="814"/>
      <c r="Z65" s="4605"/>
      <c r="AA65" s="292"/>
      <c r="AB65" s="808"/>
      <c r="AC65" s="808"/>
      <c r="AD65" s="808"/>
      <c r="AE65" s="808"/>
      <c r="AF65" s="808"/>
      <c r="AG65" s="292"/>
      <c r="AH65" s="292"/>
      <c r="AI65" s="292"/>
      <c r="AJ65" s="292"/>
      <c r="AK65" s="292"/>
      <c r="AL65" s="292"/>
      <c r="AM65" s="292"/>
      <c r="AN65" s="292"/>
      <c r="AO65" s="292"/>
      <c r="AP65" s="292"/>
      <c r="AQ65" s="292"/>
      <c r="AR65" s="292"/>
      <c r="AS65" s="292"/>
      <c r="AT65" s="292"/>
      <c r="AU65" s="1009"/>
    </row>
    <row r="66" spans="1:58" ht="13.5" customHeight="1">
      <c r="A66" s="394"/>
      <c r="B66" s="805" t="b">
        <f>(D66&lt;&gt;"")</f>
        <v>0</v>
      </c>
      <c r="C66" s="37" t="s">
        <v>556</v>
      </c>
      <c r="D66" s="3083"/>
      <c r="E66" s="1659" t="str">
        <f>"You filed or are filing a joint return for either "&amp;TaxYear-1&amp;" or "&amp;TaxYear&amp;",  but not for both years, and"</f>
        <v>You filed or are filing a joint return for either 2022 or 2023,  but not for both years, and</v>
      </c>
      <c r="F66" s="103"/>
      <c r="G66" s="103"/>
      <c r="H66" s="103"/>
      <c r="I66" s="103"/>
      <c r="J66" s="103"/>
      <c r="K66" s="103"/>
      <c r="L66" s="103"/>
      <c r="M66" s="103"/>
      <c r="N66" s="103"/>
      <c r="O66" s="103"/>
      <c r="P66" s="103"/>
      <c r="Q66" s="103"/>
      <c r="R66" s="2657" t="s">
        <v>3376</v>
      </c>
      <c r="S66" s="683"/>
      <c r="T66" s="103"/>
      <c r="U66" s="103"/>
      <c r="V66" s="103"/>
      <c r="W66" s="1749"/>
      <c r="X66" s="441"/>
      <c r="Y66" s="1692"/>
      <c r="Z66" s="292"/>
      <c r="AA66" s="292"/>
      <c r="AB66" s="808"/>
      <c r="AC66" s="808"/>
      <c r="AD66" s="808"/>
      <c r="AE66" s="808"/>
      <c r="AF66" s="808"/>
      <c r="AG66" s="292"/>
      <c r="AH66" s="292"/>
      <c r="AI66" s="292"/>
      <c r="AJ66" s="292"/>
      <c r="AK66" s="292"/>
      <c r="AL66" s="292"/>
      <c r="AM66" s="292"/>
      <c r="AN66" s="292"/>
      <c r="AO66" s="292"/>
      <c r="AP66" s="292"/>
      <c r="AQ66" s="292"/>
      <c r="AR66" s="292"/>
      <c r="AS66" s="292"/>
      <c r="AT66" s="292"/>
      <c r="AU66" s="1009"/>
    </row>
    <row r="67" spans="1:58" ht="13.5" customHeight="1" thickBot="1">
      <c r="A67" s="394"/>
      <c r="B67" s="8356" t="b">
        <f>OR(B58,B60,B62,B64,B66)</f>
        <v>0</v>
      </c>
      <c r="C67" s="8357"/>
      <c r="D67" s="8357"/>
      <c r="E67" s="1659" t="s">
        <v>3377</v>
      </c>
      <c r="F67" s="103"/>
      <c r="G67" s="103"/>
      <c r="H67" s="103"/>
      <c r="I67" s="103"/>
      <c r="J67" s="103"/>
      <c r="K67" s="103"/>
      <c r="L67" s="103"/>
      <c r="M67" s="103"/>
      <c r="N67" s="103"/>
      <c r="O67" s="103"/>
      <c r="P67" s="103"/>
      <c r="Q67" s="103"/>
      <c r="R67" s="103"/>
      <c r="S67" s="103"/>
      <c r="T67" s="103"/>
      <c r="U67" s="103"/>
      <c r="V67" s="103"/>
      <c r="W67" s="6193" t="b">
        <f>NOT(B67)</f>
        <v>1</v>
      </c>
      <c r="X67" s="441"/>
      <c r="Y67" s="1692"/>
      <c r="Z67" s="292"/>
      <c r="AA67" s="292"/>
      <c r="AB67" s="808"/>
      <c r="AC67" s="808"/>
      <c r="AD67" s="808"/>
      <c r="AE67" s="808"/>
      <c r="AF67" s="808"/>
      <c r="AG67" s="292"/>
      <c r="AH67" s="292"/>
      <c r="AI67" s="292"/>
      <c r="AJ67" s="292"/>
      <c r="AK67" s="292"/>
      <c r="AL67" s="292"/>
      <c r="AM67" s="292"/>
      <c r="AN67" s="292"/>
      <c r="AO67" s="292"/>
      <c r="AP67" s="292"/>
      <c r="AQ67" s="292"/>
      <c r="AR67" s="292"/>
      <c r="AS67" s="292"/>
      <c r="AT67" s="292"/>
      <c r="AU67" s="1009"/>
    </row>
    <row r="68" spans="1:58" s="640" customFormat="1" ht="17.25" customHeight="1">
      <c r="A68" s="638"/>
      <c r="B68" s="1661"/>
      <c r="C68" s="1666" t="s">
        <v>3378</v>
      </c>
      <c r="D68" s="5682"/>
      <c r="E68" s="1661"/>
      <c r="F68" s="1661"/>
      <c r="G68" s="1661"/>
      <c r="H68" s="1661"/>
      <c r="I68" s="1661"/>
      <c r="J68" s="1661"/>
      <c r="K68" s="1661"/>
      <c r="L68" s="1661"/>
      <c r="M68" s="1661"/>
      <c r="N68" s="1661"/>
      <c r="O68" s="1661"/>
      <c r="P68" s="1661"/>
      <c r="Q68" s="1662" t="s">
        <v>3379</v>
      </c>
      <c r="R68" s="1663"/>
      <c r="S68" s="1837" t="b">
        <f>IF(AND(D66&lt;&gt;"",Q43&gt;=U46),TRUE,FALSE)</f>
        <v>0</v>
      </c>
      <c r="T68" s="1661"/>
      <c r="U68" s="1664"/>
      <c r="V68" s="1664" t="s">
        <v>3380</v>
      </c>
      <c r="W68" s="1662" t="str">
        <f>"("&amp;TaxYear&amp;")"</f>
        <v>(2023)</v>
      </c>
      <c r="X68" s="639"/>
      <c r="Y68" s="814"/>
      <c r="Z68" s="292"/>
      <c r="AA68" s="292"/>
      <c r="AB68" s="808"/>
      <c r="AC68" s="808"/>
      <c r="AD68" s="808"/>
      <c r="AE68" s="808"/>
      <c r="AF68" s="808"/>
      <c r="AG68" s="292"/>
      <c r="AH68" s="292"/>
      <c r="AI68" s="292"/>
      <c r="AJ68" s="292"/>
      <c r="AK68" s="292"/>
      <c r="AL68" s="292"/>
      <c r="AM68" s="292"/>
      <c r="AN68" s="292"/>
      <c r="AO68" s="292"/>
      <c r="AP68" s="292"/>
      <c r="AQ68" s="292"/>
      <c r="AR68" s="292"/>
      <c r="AS68" s="292"/>
      <c r="AT68" s="292"/>
      <c r="AU68" s="1009"/>
      <c r="AV68" s="2038"/>
      <c r="AW68" s="2038"/>
      <c r="AX68" s="2038"/>
      <c r="AY68" s="2038"/>
      <c r="AZ68" s="2038"/>
      <c r="BA68" s="2038"/>
      <c r="BB68" s="2038"/>
      <c r="BC68" s="2038"/>
      <c r="BD68" s="2038"/>
      <c r="BE68" s="2038"/>
      <c r="BF68" s="2038"/>
    </row>
    <row r="69" spans="1:58" ht="20.25" customHeight="1" thickBot="1">
      <c r="A69" s="394"/>
      <c r="B69" s="41"/>
      <c r="C69" s="1113" t="str">
        <f>"Form 2210 ("&amp;TaxYear&amp;")"</f>
        <v>Form 2210 (2023)</v>
      </c>
      <c r="D69" s="4778"/>
      <c r="E69" s="34"/>
      <c r="F69" s="34"/>
      <c r="G69" s="34"/>
      <c r="H69" s="34"/>
      <c r="I69" s="34"/>
      <c r="J69" s="34"/>
      <c r="K69" s="34"/>
      <c r="L69" s="34"/>
      <c r="M69" s="34"/>
      <c r="N69" s="34"/>
      <c r="O69" s="34"/>
      <c r="P69" s="34"/>
      <c r="Q69" s="27"/>
      <c r="R69" s="5683"/>
      <c r="S69" s="34"/>
      <c r="T69" s="34"/>
      <c r="U69" s="34"/>
      <c r="V69" s="1667"/>
      <c r="W69" s="1671" t="s">
        <v>3381</v>
      </c>
      <c r="X69" s="66"/>
      <c r="Y69" s="814"/>
      <c r="Z69" s="1758" t="s">
        <v>3382</v>
      </c>
      <c r="AA69" s="292"/>
      <c r="AB69" s="808"/>
      <c r="AC69" s="808"/>
      <c r="AD69" s="808"/>
      <c r="AE69" s="808"/>
      <c r="AF69" s="808"/>
      <c r="AG69" s="292"/>
      <c r="AH69" s="292"/>
      <c r="AI69" s="292"/>
      <c r="AJ69" s="292"/>
      <c r="AK69" s="292"/>
      <c r="AL69" s="292"/>
      <c r="AM69" s="292"/>
      <c r="AN69" s="292"/>
      <c r="AO69" s="292"/>
      <c r="AP69" s="292"/>
      <c r="AQ69" s="292"/>
      <c r="AR69" s="292"/>
      <c r="AS69" s="292"/>
      <c r="AT69" s="292"/>
      <c r="AU69" s="1009"/>
    </row>
    <row r="70" spans="1:58" ht="16.5" customHeight="1">
      <c r="A70" s="394"/>
      <c r="B70" s="1658" t="s">
        <v>3383</v>
      </c>
      <c r="C70" s="1654"/>
      <c r="D70" s="1654"/>
      <c r="E70" s="3072" t="s">
        <v>3384</v>
      </c>
      <c r="F70" s="1655"/>
      <c r="G70" s="1655"/>
      <c r="H70" s="3071"/>
      <c r="I70" s="3071" t="s">
        <v>3385</v>
      </c>
      <c r="J70" s="1655"/>
      <c r="K70" s="1655"/>
      <c r="L70" s="1655"/>
      <c r="M70" s="1655"/>
      <c r="N70" s="1655"/>
      <c r="O70" s="1655"/>
      <c r="P70" s="1655"/>
      <c r="Q70" s="1655"/>
      <c r="R70" s="1655"/>
      <c r="S70" s="1655"/>
      <c r="T70" s="1655"/>
      <c r="U70" s="1655"/>
      <c r="V70" s="1655"/>
      <c r="W70" s="1655"/>
      <c r="X70" s="441"/>
      <c r="Y70" s="1692"/>
      <c r="Z70" s="1888" t="s">
        <v>3386</v>
      </c>
      <c r="AA70" s="292"/>
      <c r="AB70" s="808"/>
      <c r="AC70" s="808"/>
      <c r="AD70" s="808"/>
      <c r="AE70" s="808"/>
      <c r="AF70" s="808"/>
      <c r="AG70" s="292"/>
      <c r="AH70" s="292"/>
      <c r="AI70" s="292"/>
      <c r="AJ70" s="292"/>
      <c r="AK70" s="292"/>
      <c r="AL70" s="292"/>
      <c r="AM70" s="292"/>
      <c r="AN70" s="292"/>
      <c r="AO70" s="292"/>
      <c r="AP70" s="292"/>
      <c r="AQ70" s="292"/>
      <c r="AR70" s="292"/>
      <c r="AS70" s="292"/>
      <c r="AT70" s="292"/>
      <c r="AU70" s="1009"/>
    </row>
    <row r="71" spans="1:58" ht="15.75" customHeight="1">
      <c r="A71" s="394"/>
      <c r="B71" s="8348" t="s">
        <v>3387</v>
      </c>
      <c r="C71" s="8349"/>
      <c r="D71" s="8349"/>
      <c r="E71" s="8349"/>
      <c r="F71" s="8349"/>
      <c r="G71" s="8349"/>
      <c r="H71" s="8349"/>
      <c r="I71" s="8349"/>
      <c r="J71" s="8349"/>
      <c r="K71" s="8349"/>
      <c r="L71" s="8349"/>
      <c r="M71" s="8349"/>
      <c r="N71" s="8350"/>
      <c r="O71" s="1672"/>
      <c r="P71" s="8449" t="s">
        <v>3388</v>
      </c>
      <c r="Q71" s="8450"/>
      <c r="R71" s="8450"/>
      <c r="S71" s="8450"/>
      <c r="T71" s="8450"/>
      <c r="U71" s="8450"/>
      <c r="V71" s="8450"/>
      <c r="W71" s="8450"/>
      <c r="X71" s="66"/>
      <c r="Y71" s="814"/>
      <c r="Z71" s="1888" t="s">
        <v>3389</v>
      </c>
      <c r="AA71" s="292"/>
      <c r="AB71" s="808"/>
      <c r="AC71" s="808"/>
      <c r="AD71" s="808"/>
      <c r="AE71" s="808"/>
      <c r="AF71" s="808"/>
      <c r="AG71" s="292"/>
      <c r="AH71" s="292"/>
      <c r="AI71" s="292"/>
      <c r="AJ71" s="292"/>
      <c r="AK71" s="292"/>
      <c r="AL71" s="292"/>
      <c r="AM71" s="292"/>
      <c r="AN71" s="292"/>
      <c r="AO71" s="292"/>
      <c r="AP71" s="292"/>
      <c r="AQ71" s="292"/>
      <c r="AR71" s="292"/>
      <c r="AS71" s="292"/>
      <c r="AT71" s="292"/>
      <c r="AU71" s="1009"/>
    </row>
    <row r="72" spans="1:58" ht="17.100000000000001" customHeight="1">
      <c r="A72" s="394"/>
      <c r="B72" s="8351"/>
      <c r="C72" s="8351"/>
      <c r="D72" s="8351"/>
      <c r="E72" s="8351"/>
      <c r="F72" s="8351"/>
      <c r="G72" s="8351"/>
      <c r="H72" s="8351"/>
      <c r="I72" s="8351"/>
      <c r="J72" s="8351"/>
      <c r="K72" s="8351"/>
      <c r="L72" s="8351"/>
      <c r="M72" s="8351"/>
      <c r="N72" s="8352"/>
      <c r="O72" s="293"/>
      <c r="P72" s="8212" t="s">
        <v>2536</v>
      </c>
      <c r="Q72" s="8227"/>
      <c r="R72" s="8212" t="s">
        <v>2537</v>
      </c>
      <c r="S72" s="8227"/>
      <c r="T72" s="8212" t="s">
        <v>3390</v>
      </c>
      <c r="U72" s="8260"/>
      <c r="V72" s="8212" t="s">
        <v>2462</v>
      </c>
      <c r="W72" s="8213"/>
      <c r="X72" s="66"/>
      <c r="Y72" s="814"/>
      <c r="Z72" s="292"/>
      <c r="AA72" s="292"/>
      <c r="AB72" s="808"/>
      <c r="AC72" s="808"/>
      <c r="AD72" s="808"/>
      <c r="AE72" s="808"/>
      <c r="AF72" s="808"/>
      <c r="AG72" s="292"/>
      <c r="AH72" s="292"/>
      <c r="AI72" s="292"/>
      <c r="AJ72" s="292"/>
      <c r="AK72" s="292"/>
      <c r="AL72" s="292"/>
      <c r="AM72" s="292"/>
      <c r="AN72" s="292"/>
      <c r="AO72" s="292"/>
      <c r="AP72" s="292"/>
      <c r="AQ72" s="292"/>
      <c r="AR72" s="292"/>
      <c r="AS72" s="292"/>
      <c r="AT72" s="292"/>
      <c r="AU72" s="1009"/>
    </row>
    <row r="73" spans="1:58" ht="17.100000000000001" customHeight="1">
      <c r="A73" s="394"/>
      <c r="B73" s="8353"/>
      <c r="C73" s="8353"/>
      <c r="D73" s="8353"/>
      <c r="E73" s="8353"/>
      <c r="F73" s="8353"/>
      <c r="G73" s="8353"/>
      <c r="H73" s="8353"/>
      <c r="I73" s="8353"/>
      <c r="J73" s="8353"/>
      <c r="K73" s="8353"/>
      <c r="L73" s="8353"/>
      <c r="M73" s="8353"/>
      <c r="N73" s="8354"/>
      <c r="O73" s="1673"/>
      <c r="P73" s="8249">
        <f>DATEVALUE("15-Apr-"&amp;TaxYear)</f>
        <v>45031</v>
      </c>
      <c r="Q73" s="8250"/>
      <c r="R73" s="8249">
        <f>DATEVALUE("15-Jun-"&amp;TaxYear)</f>
        <v>45092</v>
      </c>
      <c r="S73" s="8250"/>
      <c r="T73" s="8249">
        <f>DATEVALUE("15-Sep-"&amp;TaxYear)</f>
        <v>45184</v>
      </c>
      <c r="U73" s="8250"/>
      <c r="V73" s="8249">
        <f>DATEVALUE("15-Jan-"&amp;TaxYear+1)</f>
        <v>45306</v>
      </c>
      <c r="W73" s="8253"/>
      <c r="X73" s="66"/>
      <c r="Y73" s="814"/>
      <c r="Z73" s="292"/>
      <c r="AA73" s="292"/>
      <c r="AB73" s="808"/>
      <c r="AC73" s="808"/>
      <c r="AD73" s="808"/>
      <c r="AE73" s="808"/>
      <c r="AF73" s="808"/>
      <c r="AG73" s="292"/>
      <c r="AH73" s="292"/>
      <c r="AI73" s="292"/>
      <c r="AJ73" s="292"/>
      <c r="AK73" s="292"/>
      <c r="AL73" s="292"/>
      <c r="AM73" s="292"/>
      <c r="AN73" s="292"/>
      <c r="AO73" s="292"/>
      <c r="AP73" s="292"/>
      <c r="AQ73" s="292"/>
      <c r="AR73" s="292"/>
      <c r="AS73" s="292"/>
      <c r="AT73" s="292"/>
      <c r="AU73" s="1009"/>
    </row>
    <row r="74" spans="1:58" ht="14.25" customHeight="1">
      <c r="A74" s="394"/>
      <c r="B74" s="22"/>
      <c r="C74" s="37">
        <v>10</v>
      </c>
      <c r="D74" s="1108" t="s">
        <v>3391</v>
      </c>
      <c r="E74" s="808"/>
      <c r="F74" s="808"/>
      <c r="G74" s="808"/>
      <c r="H74" s="808"/>
      <c r="I74" s="808"/>
      <c r="J74" s="808"/>
      <c r="K74" s="808"/>
      <c r="L74" s="808"/>
      <c r="M74" s="808"/>
      <c r="N74" s="808"/>
      <c r="O74" s="48"/>
      <c r="P74" s="8254"/>
      <c r="Q74" s="8355"/>
      <c r="R74" s="8254"/>
      <c r="S74" s="8355"/>
      <c r="T74" s="8254"/>
      <c r="U74" s="8355"/>
      <c r="V74" s="8254"/>
      <c r="W74" s="8255"/>
      <c r="X74" s="66"/>
      <c r="Y74" s="814"/>
      <c r="Z74" s="292"/>
      <c r="AA74" s="292"/>
      <c r="AB74" s="808"/>
      <c r="AC74" s="808"/>
      <c r="AD74" s="808"/>
      <c r="AE74" s="808"/>
      <c r="AF74" s="808"/>
      <c r="AG74" s="292"/>
      <c r="AH74" s="292"/>
      <c r="AI74" s="292"/>
      <c r="AJ74" s="292"/>
      <c r="AK74" s="3809" t="s">
        <v>2705</v>
      </c>
      <c r="AL74" s="292"/>
      <c r="AM74" s="292"/>
      <c r="AN74" s="292"/>
      <c r="AO74" s="292"/>
      <c r="AP74" s="292"/>
      <c r="AQ74" s="292"/>
      <c r="AR74" s="292"/>
      <c r="AS74" s="292"/>
      <c r="AT74" s="292"/>
      <c r="AU74" s="1009"/>
    </row>
    <row r="75" spans="1:58" ht="12.75" customHeight="1">
      <c r="A75" s="394"/>
      <c r="B75" s="22"/>
      <c r="C75" s="37"/>
      <c r="D75" s="1108" t="s">
        <v>3392</v>
      </c>
      <c r="E75" s="808"/>
      <c r="F75" s="808"/>
      <c r="G75" s="808"/>
      <c r="H75" s="808"/>
      <c r="I75" s="808"/>
      <c r="J75" s="808"/>
      <c r="K75" s="808"/>
      <c r="L75" s="808"/>
      <c r="M75" s="808"/>
      <c r="N75" s="808"/>
      <c r="O75" s="291"/>
      <c r="P75" s="4092"/>
      <c r="Q75" s="4093"/>
      <c r="R75" s="4092"/>
      <c r="S75" s="4093"/>
      <c r="T75" s="4092"/>
      <c r="U75" s="4093"/>
      <c r="V75" s="4092"/>
      <c r="W75" s="4094"/>
      <c r="X75" s="66"/>
      <c r="Y75" s="814"/>
      <c r="Z75" s="292"/>
      <c r="AA75" s="292"/>
      <c r="AB75" s="808"/>
      <c r="AC75" s="808"/>
      <c r="AD75" s="808"/>
      <c r="AE75" s="808"/>
      <c r="AF75" s="808"/>
      <c r="AG75" s="292"/>
      <c r="AH75" s="292"/>
      <c r="AI75" s="292"/>
      <c r="AJ75" s="292"/>
      <c r="AK75" s="1684" t="str">
        <f>P$72</f>
        <v>(a)</v>
      </c>
      <c r="AL75" s="292"/>
      <c r="AM75" s="1684" t="str">
        <f>R$72</f>
        <v>(b)</v>
      </c>
      <c r="AN75" s="292"/>
      <c r="AO75" s="1684" t="str">
        <f>T$72</f>
        <v xml:space="preserve">(c) </v>
      </c>
      <c r="AP75" s="292"/>
      <c r="AQ75" s="1684" t="str">
        <f>V$72</f>
        <v>(d)</v>
      </c>
      <c r="AR75" s="292"/>
      <c r="AS75" s="292"/>
      <c r="AT75" s="292"/>
      <c r="AU75" s="1009"/>
    </row>
    <row r="76" spans="1:58" ht="16.5" customHeight="1" thickBot="1">
      <c r="A76" s="394"/>
      <c r="B76" s="22"/>
      <c r="C76" s="37"/>
      <c r="D76" s="1108" t="str">
        <f>"Otherwise, enter "&amp;TEXT(Q76,"0%")&amp;" ("&amp;TEXT(Q76,"0.00")&amp;") of line 9, Form 2210, in"</f>
        <v>Otherwise, enter 25% (0.25) of line 9, Form 2210, in</v>
      </c>
      <c r="E76" s="808"/>
      <c r="F76" s="808"/>
      <c r="G76" s="808"/>
      <c r="H76" s="808"/>
      <c r="I76" s="808"/>
      <c r="J76" s="808"/>
      <c r="K76" s="808"/>
      <c r="L76" s="808"/>
      <c r="M76" s="808"/>
      <c r="N76" s="808"/>
      <c r="O76" s="291"/>
      <c r="P76" s="4092"/>
      <c r="Q76" s="4603">
        <v>0.25</v>
      </c>
      <c r="R76" s="4092"/>
      <c r="S76" s="4093"/>
      <c r="T76" s="4092"/>
      <c r="U76" s="4093"/>
      <c r="V76" s="8247"/>
      <c r="W76" s="8248"/>
      <c r="X76" s="66"/>
      <c r="Y76" s="814"/>
      <c r="Z76" s="1758" t="s">
        <v>3382</v>
      </c>
      <c r="AA76" s="292"/>
      <c r="AB76" s="808"/>
      <c r="AC76" s="808"/>
      <c r="AD76" s="808"/>
      <c r="AE76" s="808"/>
      <c r="AF76" s="808"/>
      <c r="AG76" s="292"/>
      <c r="AH76" s="292"/>
      <c r="AI76" s="292"/>
      <c r="AJ76" s="292"/>
      <c r="AK76" s="1759" t="str">
        <f>"4/15/"&amp;TaxYear-2000</f>
        <v>4/15/23</v>
      </c>
      <c r="AL76" s="292"/>
      <c r="AM76" s="1759" t="str">
        <f>"6/15/"&amp;TaxYear-2000</f>
        <v>6/15/23</v>
      </c>
      <c r="AN76" s="292"/>
      <c r="AO76" s="1761" t="str">
        <f>"9/15/"&amp;TaxYear-2000</f>
        <v>9/15/23</v>
      </c>
      <c r="AP76" s="292"/>
      <c r="AQ76" s="1759" t="str">
        <f>"1/15/"&amp;TaxYear+1-2000</f>
        <v>1/15/24</v>
      </c>
      <c r="AR76" s="292"/>
      <c r="AS76" s="292"/>
      <c r="AT76" s="292"/>
      <c r="AU76" s="1009"/>
    </row>
    <row r="77" spans="1:58" ht="14.25" customHeight="1" thickBot="1">
      <c r="A77" s="394"/>
      <c r="B77" s="22"/>
      <c r="C77" s="22"/>
      <c r="D77" s="1108" t="s">
        <v>3393</v>
      </c>
      <c r="E77" s="808"/>
      <c r="F77" s="808"/>
      <c r="G77" s="808"/>
      <c r="H77" s="808"/>
      <c r="I77" s="808"/>
      <c r="J77" s="808"/>
      <c r="K77" s="808"/>
      <c r="L77" s="808"/>
      <c r="M77" s="808"/>
      <c r="N77" s="2335"/>
      <c r="O77" s="5684">
        <v>10</v>
      </c>
      <c r="P77" s="8241" t="str">
        <f>IF(AK77&lt;&gt;"",ROUND(AK77,0),IF(OR($U$47=0,$U$47="",NOT($W$48)),"",ROUND($Q$76*$U$47,0)))</f>
        <v/>
      </c>
      <c r="Q77" s="8244"/>
      <c r="R77" s="8241" t="str">
        <f>IF(AM77&lt;&gt;"",ROUND(AM77,0),IF(OR($U$47=0,$U$47="",NOT($W$48)),"",ROUND($Q$76*$U$47,0)))</f>
        <v/>
      </c>
      <c r="S77" s="8244"/>
      <c r="T77" s="8241" t="str">
        <f>IF(AO77&lt;&gt;"",ROUND(AO77,0),IF(OR($U$47=0,$U$47="",NOT($W$48)),"",ROUND($Q$76*$U$47,0)))</f>
        <v/>
      </c>
      <c r="U77" s="8244"/>
      <c r="V77" s="8241" t="str">
        <f>IF(AQ77&lt;&gt;"",ROUND(AQ77,0),IF(OR($U$47=0,$U$47="",NOT($W$48)),"",ROUND($Q$76*$U$47,0)))</f>
        <v/>
      </c>
      <c r="W77" s="7955"/>
      <c r="X77" s="66"/>
      <c r="Y77" s="814"/>
      <c r="Z77" s="1888" t="s">
        <v>3394</v>
      </c>
      <c r="AA77" s="292"/>
      <c r="AB77" s="808"/>
      <c r="AC77" s="808"/>
      <c r="AD77" s="808"/>
      <c r="AE77" s="808"/>
      <c r="AF77" s="808"/>
      <c r="AG77" s="292"/>
      <c r="AH77" s="292"/>
      <c r="AI77" s="292"/>
      <c r="AJ77" s="4604" t="s">
        <v>270</v>
      </c>
      <c r="AK77" s="1760"/>
      <c r="AL77" s="292"/>
      <c r="AM77" s="1760"/>
      <c r="AN77" s="292"/>
      <c r="AO77" s="1760"/>
      <c r="AP77" s="292"/>
      <c r="AQ77" s="1760"/>
      <c r="AR77" s="292"/>
      <c r="AS77" s="292"/>
      <c r="AT77" s="292"/>
      <c r="AU77" s="1009"/>
    </row>
    <row r="78" spans="1:58" ht="15">
      <c r="A78" s="394"/>
      <c r="B78" s="22"/>
      <c r="C78" s="37">
        <v>11</v>
      </c>
      <c r="D78" s="1108" t="s">
        <v>3395</v>
      </c>
      <c r="E78" s="808"/>
      <c r="F78" s="808"/>
      <c r="G78" s="808"/>
      <c r="H78" s="808"/>
      <c r="I78" s="808"/>
      <c r="J78" s="808"/>
      <c r="K78" s="808"/>
      <c r="L78" s="8455" t="b">
        <f>AND($W$51,AK83="",AM83="",AO83="",AQ83="",S179="")</f>
        <v>0</v>
      </c>
      <c r="M78" s="8456"/>
      <c r="N78" s="8457"/>
      <c r="O78" s="48"/>
      <c r="P78" s="8176" t="s">
        <v>2130</v>
      </c>
      <c r="Q78" s="8177"/>
      <c r="R78" s="8176" t="s">
        <v>2130</v>
      </c>
      <c r="S78" s="8177"/>
      <c r="T78" s="8176" t="s">
        <v>2130</v>
      </c>
      <c r="U78" s="8177"/>
      <c r="V78" s="8176" t="s">
        <v>2130</v>
      </c>
      <c r="W78" s="8178"/>
      <c r="X78" s="66"/>
      <c r="Y78" s="6217"/>
      <c r="Z78" s="6218" t="s">
        <v>5848</v>
      </c>
      <c r="AA78" s="292"/>
      <c r="AB78" s="808"/>
      <c r="AC78" s="808"/>
      <c r="AD78" s="808"/>
      <c r="AE78" s="808"/>
      <c r="AF78" s="808"/>
      <c r="AG78" s="292"/>
      <c r="AH78" s="292"/>
      <c r="AI78" s="292"/>
      <c r="AJ78" s="292"/>
      <c r="AK78" s="292"/>
      <c r="AL78" s="292"/>
      <c r="AM78" s="292"/>
      <c r="AN78" s="292"/>
      <c r="AO78" s="292"/>
      <c r="AP78" s="292"/>
      <c r="AQ78" s="292"/>
      <c r="AR78" s="292"/>
      <c r="AS78" s="292"/>
      <c r="AT78" s="292"/>
      <c r="AU78" s="1009"/>
    </row>
    <row r="79" spans="1:58" ht="17.45" customHeight="1">
      <c r="A79" s="394"/>
      <c r="B79" s="22"/>
      <c r="C79" s="37"/>
      <c r="D79" s="1108" t="s">
        <v>3396</v>
      </c>
      <c r="E79" s="808"/>
      <c r="F79" s="808"/>
      <c r="G79" s="808"/>
      <c r="H79" s="808"/>
      <c r="I79" s="808"/>
      <c r="J79" s="808"/>
      <c r="K79" s="808"/>
      <c r="L79" s="808"/>
      <c r="M79" s="808"/>
      <c r="N79" s="808"/>
      <c r="O79" s="291"/>
      <c r="P79" s="8185">
        <f>ROUND(SUM(Tot_Payments,ExcessSSTax)/4,0)</f>
        <v>0</v>
      </c>
      <c r="Q79" s="8186"/>
      <c r="R79" s="8185">
        <f>ROUND(SUM(Tot_Payments,ExcessSSTax)/4,0)</f>
        <v>0</v>
      </c>
      <c r="S79" s="8186"/>
      <c r="T79" s="8185">
        <f>ROUND(SUM(Tot_Payments,ExcessSSTax)/4,0)</f>
        <v>0</v>
      </c>
      <c r="U79" s="8186"/>
      <c r="V79" s="8185">
        <f>ROUND(SUM(Tot_Payments,ExcessSSTax)/4,0)</f>
        <v>0</v>
      </c>
      <c r="W79" s="8187"/>
      <c r="X79" s="66"/>
      <c r="Y79" s="814"/>
      <c r="Z79" s="292"/>
      <c r="AA79" s="292"/>
      <c r="AB79" s="808"/>
      <c r="AC79" s="808"/>
      <c r="AD79" s="808"/>
      <c r="AE79" s="808"/>
      <c r="AF79" s="808"/>
      <c r="AG79" s="292"/>
      <c r="AH79" s="292"/>
      <c r="AI79" s="292"/>
      <c r="AJ79" s="292"/>
      <c r="AK79" s="292"/>
      <c r="AL79" s="292"/>
      <c r="AM79" s="292"/>
      <c r="AN79" s="292"/>
      <c r="AO79" s="292"/>
      <c r="AP79" s="292"/>
      <c r="AQ79" s="292"/>
      <c r="AR79" s="292"/>
      <c r="AS79" s="292"/>
      <c r="AT79" s="292"/>
      <c r="AU79" s="1009"/>
    </row>
    <row r="80" spans="1:58" ht="17.45" customHeight="1">
      <c r="A80" s="394"/>
      <c r="B80" s="22"/>
      <c r="C80" s="37"/>
      <c r="D80" s="1108" t="s">
        <v>3397</v>
      </c>
      <c r="E80" s="808"/>
      <c r="F80" s="808"/>
      <c r="G80" s="808"/>
      <c r="H80" s="808"/>
      <c r="I80" s="808"/>
      <c r="J80" s="808"/>
      <c r="K80" s="808"/>
      <c r="L80" s="3169"/>
      <c r="M80" s="3170"/>
      <c r="N80" s="3171"/>
      <c r="O80" s="291"/>
      <c r="P80" s="8451" t="b">
        <f>AND(SUM(P83,R83,T83,V83)&gt;0,P83&gt;=P77,R83&gt;=R77,T83&gt;=T77,V83&gt;=V77)</f>
        <v>0</v>
      </c>
      <c r="Q80" s="8452"/>
      <c r="R80" s="6175"/>
      <c r="S80" s="6176"/>
      <c r="T80" s="6173"/>
      <c r="U80" s="6176"/>
      <c r="V80" s="6174"/>
      <c r="W80" s="6173"/>
      <c r="X80" s="66"/>
      <c r="Y80" s="814"/>
      <c r="Z80" s="1758" t="s">
        <v>3382</v>
      </c>
      <c r="AA80" s="292"/>
      <c r="AB80" s="8475"/>
      <c r="AC80" s="8475"/>
      <c r="AD80" s="8475"/>
      <c r="AE80" s="8475"/>
      <c r="AF80" s="8475"/>
      <c r="AG80" s="292"/>
      <c r="AH80" s="292"/>
      <c r="AI80" s="292"/>
      <c r="AJ80" s="292"/>
      <c r="AK80" s="3809" t="s">
        <v>2705</v>
      </c>
      <c r="AL80" s="292"/>
      <c r="AM80" s="292"/>
      <c r="AN80" s="292"/>
      <c r="AO80" s="292"/>
      <c r="AP80" s="292"/>
      <c r="AQ80" s="292"/>
      <c r="AR80" s="292"/>
      <c r="AS80" s="292"/>
      <c r="AT80" s="292"/>
      <c r="AU80" s="1009"/>
    </row>
    <row r="81" spans="1:47" ht="15" customHeight="1">
      <c r="A81" s="432"/>
      <c r="B81" s="86"/>
      <c r="C81" s="86"/>
      <c r="D81" s="3172" t="s">
        <v>3398</v>
      </c>
      <c r="E81" s="1382"/>
      <c r="F81" s="1382"/>
      <c r="G81" s="1382"/>
      <c r="H81" s="1382"/>
      <c r="I81" s="2336"/>
      <c r="J81" s="1245"/>
      <c r="K81" s="1382"/>
      <c r="L81" s="1692"/>
      <c r="M81" s="1693"/>
      <c r="N81" s="1694"/>
      <c r="O81" s="1674"/>
      <c r="P81" s="8179" t="s">
        <v>5847</v>
      </c>
      <c r="Q81" s="8180"/>
      <c r="R81" s="8179" t="s">
        <v>5847</v>
      </c>
      <c r="S81" s="8180"/>
      <c r="T81" s="8179" t="s">
        <v>5847</v>
      </c>
      <c r="U81" s="8180"/>
      <c r="V81" s="8179" t="s">
        <v>5847</v>
      </c>
      <c r="W81" s="8183"/>
      <c r="X81" s="443"/>
      <c r="Y81" s="1750"/>
      <c r="Z81" s="1888" t="s">
        <v>3386</v>
      </c>
      <c r="AA81" s="292"/>
      <c r="AB81" s="8474" t="b">
        <f>OR(P77&lt;&gt;"",R77&lt;&gt;"",T77&lt;&gt;"",V77&lt;&gt;"")</f>
        <v>0</v>
      </c>
      <c r="AC81" s="8474"/>
      <c r="AD81" s="8474"/>
      <c r="AE81" s="8474"/>
      <c r="AF81" s="8474"/>
      <c r="AG81" s="292"/>
      <c r="AH81" s="292"/>
      <c r="AI81" s="292"/>
      <c r="AJ81" s="292"/>
      <c r="AK81" s="1684" t="str">
        <f>P$72</f>
        <v>(a)</v>
      </c>
      <c r="AL81" s="292"/>
      <c r="AM81" s="1684" t="str">
        <f>R$72</f>
        <v>(b)</v>
      </c>
      <c r="AN81" s="292"/>
      <c r="AO81" s="1684" t="str">
        <f>T$72</f>
        <v xml:space="preserve">(c) </v>
      </c>
      <c r="AP81" s="292"/>
      <c r="AQ81" s="1684" t="str">
        <f>V$72</f>
        <v>(d)</v>
      </c>
      <c r="AR81" s="292"/>
      <c r="AS81" s="292"/>
      <c r="AT81" s="292"/>
      <c r="AU81" s="1009"/>
    </row>
    <row r="82" spans="1:47" ht="16.5" thickBot="1">
      <c r="A82" s="394"/>
      <c r="B82" s="22"/>
      <c r="C82" s="37"/>
      <c r="D82" s="3172" t="s">
        <v>3399</v>
      </c>
      <c r="E82" s="1382"/>
      <c r="F82" s="1382"/>
      <c r="G82" s="2185"/>
      <c r="H82" s="2185"/>
      <c r="I82" s="1382"/>
      <c r="J82" s="1382"/>
      <c r="K82" s="3174"/>
      <c r="L82" s="3173"/>
      <c r="M82" s="1366" t="s">
        <v>3400</v>
      </c>
      <c r="N82" s="3173"/>
      <c r="O82" s="291"/>
      <c r="P82" s="8181">
        <f>LOOKUP(LOOKUP(P$73,$Q$178:$Q$233,$N$178:$N$233),$N178:$N233,$U$178:$U$233)</f>
        <v>0</v>
      </c>
      <c r="Q82" s="8182"/>
      <c r="R82" s="8181">
        <f>SUM(LOOKUP(LOOKUP(R$73,$Q$178:$Q$233,$N$178:$N$233),$N178:$N233,$U$178:$U$233),-P82)</f>
        <v>0</v>
      </c>
      <c r="S82" s="8182"/>
      <c r="T82" s="8181">
        <f>SUM(LOOKUP(LOOKUP(T$73,$Q$178:$Q$233,$N$178:$N$233),$N178:$N233,$U$178:$U$233),-P82,-R82)</f>
        <v>0</v>
      </c>
      <c r="U82" s="8182"/>
      <c r="V82" s="8181">
        <f>SUM(LOOKUP(LOOKUP(V$73,$Q$178:$Q$233,$N$178:$N$233),$N178:$N233,$U$178:$U$233),-P82,-R82,-T82)</f>
        <v>0</v>
      </c>
      <c r="W82" s="8184"/>
      <c r="X82" s="66"/>
      <c r="Y82" s="814"/>
      <c r="Z82" s="1888" t="s">
        <v>3394</v>
      </c>
      <c r="AA82" s="292"/>
      <c r="AB82" s="8471" t="str">
        <f>IF(AND($AB$81,Tot_Payments/4&gt;999),"Form 1040, Line 25d / 4 = "&amp;TEXT(ROUND(Tot_Payments/4,0),"$0,000"),IF($AB$81,"Form 1040, Line 25d / 4 = "&amp;TEXT(ROUND(Tot_Payments/4,0),"$0"),""))</f>
        <v/>
      </c>
      <c r="AC82" s="8471"/>
      <c r="AD82" s="8471"/>
      <c r="AE82" s="8471"/>
      <c r="AF82" s="8471"/>
      <c r="AG82" s="292"/>
      <c r="AH82" s="292"/>
      <c r="AI82" s="292"/>
      <c r="AJ82" s="292"/>
      <c r="AK82" s="1759" t="str">
        <f>"4/15/"&amp;TaxYear-2000</f>
        <v>4/15/23</v>
      </c>
      <c r="AL82" s="292"/>
      <c r="AM82" s="1759" t="str">
        <f>"6/15/"&amp;TaxYear-2000</f>
        <v>6/15/23</v>
      </c>
      <c r="AN82" s="292"/>
      <c r="AO82" s="1761" t="str">
        <f>"9/15/"&amp;TaxYear-2000</f>
        <v>9/15/23</v>
      </c>
      <c r="AP82" s="292"/>
      <c r="AQ82" s="1759" t="str">
        <f>"1/15/"&amp;TaxYear+1-2000</f>
        <v>1/15/24</v>
      </c>
      <c r="AR82" s="292"/>
      <c r="AS82" s="292"/>
      <c r="AT82" s="292"/>
      <c r="AU82" s="1009"/>
    </row>
    <row r="83" spans="1:47" ht="16.5" thickBot="1">
      <c r="A83" s="394"/>
      <c r="B83" s="22"/>
      <c r="C83" s="37"/>
      <c r="D83" s="3174" t="s">
        <v>3401</v>
      </c>
      <c r="E83" s="808"/>
      <c r="F83" s="808"/>
      <c r="G83" s="808"/>
      <c r="H83" s="808"/>
      <c r="I83" s="808"/>
      <c r="J83" s="808"/>
      <c r="K83" s="808"/>
      <c r="L83" s="808"/>
      <c r="M83" s="808"/>
      <c r="N83" s="2335" t="s">
        <v>690</v>
      </c>
      <c r="O83" s="5688">
        <v>11</v>
      </c>
      <c r="P83" s="8251" t="str">
        <f>IF(AK83&lt;&gt;"",ROUND(AK83,0),IF(P77="","",IF(Q179&gt;P73,P79,SUM(P79,P82))))</f>
        <v/>
      </c>
      <c r="Q83" s="8256"/>
      <c r="R83" s="8251" t="str">
        <f>IF(AM83&lt;&gt;"",ROUND(AM83,0),IF(R77="","",IF(S179&gt;R73,R79,SUM(R79,R82))))</f>
        <v/>
      </c>
      <c r="S83" s="8256"/>
      <c r="T83" s="8251" t="str">
        <f>IF(AO83&lt;&gt;"",ROUND(AO83,0),IF(T77="","",IF(U179&gt;T73,T79,SUM(T79,T82))))</f>
        <v/>
      </c>
      <c r="U83" s="8256"/>
      <c r="V83" s="8251" t="str">
        <f>IF(AQ83&lt;&gt;"",ROUND(AQ83,0),IF(V77="","",IF(W179&gt;V73,V79,SUM(V79,V82))))</f>
        <v/>
      </c>
      <c r="W83" s="8252"/>
      <c r="X83" s="66"/>
      <c r="Y83" s="814"/>
      <c r="Z83" s="292"/>
      <c r="AA83" s="292"/>
      <c r="AB83" s="8471" t="str">
        <f>IF(AND($AB$81,ExcessSSTax/4&gt;999),"Sch. 3, Line 11 / 4 = "&amp;TEXT(ROUND(ExcessSSTax/4,0),"$0,000"),IF($AB$81,"Sch. 3, Line 11 / 4 = "&amp;TEXT(ROUND(ExcessSSTax/4,0),"$0"),""))</f>
        <v/>
      </c>
      <c r="AC83" s="8471"/>
      <c r="AD83" s="8471"/>
      <c r="AE83" s="8471"/>
      <c r="AF83" s="8471"/>
      <c r="AG83" s="292"/>
      <c r="AH83" s="292"/>
      <c r="AI83" s="292"/>
      <c r="AJ83" s="4604">
        <v>11</v>
      </c>
      <c r="AK83" s="1760"/>
      <c r="AL83" s="292"/>
      <c r="AM83" s="1760"/>
      <c r="AN83" s="292"/>
      <c r="AO83" s="1760"/>
      <c r="AP83" s="292"/>
      <c r="AQ83" s="1760"/>
      <c r="AR83" s="292"/>
      <c r="AS83" s="292"/>
      <c r="AT83" s="292"/>
      <c r="AU83" s="1009"/>
    </row>
    <row r="84" spans="1:47" ht="15.75" customHeight="1">
      <c r="A84" s="394"/>
      <c r="B84" s="7821"/>
      <c r="C84" s="7821"/>
      <c r="D84" s="4098"/>
      <c r="E84" s="1142"/>
      <c r="F84" s="1142"/>
      <c r="G84" s="1142"/>
      <c r="H84" s="1142"/>
      <c r="I84" s="1142"/>
      <c r="J84" s="1142"/>
      <c r="K84" s="1142"/>
      <c r="L84" s="1142"/>
      <c r="M84" s="1142"/>
      <c r="N84" s="1142"/>
      <c r="O84" s="4095"/>
      <c r="P84" s="4095"/>
      <c r="Q84" s="4095"/>
      <c r="R84" s="4095"/>
      <c r="S84" s="5689"/>
      <c r="T84" s="5689"/>
      <c r="U84" s="5689"/>
      <c r="V84" s="5689"/>
      <c r="W84" s="5689"/>
      <c r="X84" s="66"/>
      <c r="Y84" s="814"/>
      <c r="Z84" s="292"/>
      <c r="AA84" s="292"/>
      <c r="AB84" s="8472" t="str">
        <f>IF($AB$81,IF(SUM(Tot_Payments,ExcessSSTax)/4&gt;999,"Total = "&amp;TEXT(ROUND(SUM(Tot_Payments,ExcessSSTax)/4,0),"$0,000")&amp;" per quarter.","Total = "&amp;TEXT(ROUND(SUM(Tot_Payments,ExcessSSTax),0)/4,"$0")&amp;" per quarter."),"")</f>
        <v/>
      </c>
      <c r="AC84" s="8473"/>
      <c r="AD84" s="8473"/>
      <c r="AE84" s="8473"/>
      <c r="AF84" s="8473"/>
      <c r="AG84" s="292"/>
      <c r="AH84" s="292"/>
      <c r="AI84" s="292"/>
      <c r="AJ84" s="292"/>
      <c r="AK84" s="292"/>
      <c r="AL84" s="292"/>
      <c r="AM84" s="292"/>
      <c r="AN84" s="292"/>
      <c r="AO84" s="292"/>
      <c r="AP84" s="292"/>
      <c r="AQ84" s="292"/>
      <c r="AR84" s="292"/>
      <c r="AS84" s="292"/>
      <c r="AT84" s="292"/>
      <c r="AU84" s="1009"/>
    </row>
    <row r="85" spans="1:47" ht="12.75" customHeight="1">
      <c r="A85" s="394"/>
      <c r="B85" s="294"/>
      <c r="C85" s="4097" t="str">
        <f>IF($L$78,"If applicable, enter taxes paid amounts into table at Row "&amp;ROW(A181)&amp;" OR use override cells in columns AK through AQ.","Complete lines 12 through 18 of one column before going to line 12 of the next column.")</f>
        <v>Complete lines 12 through 18 of one column before going to line 12 of the next column.</v>
      </c>
      <c r="D85" s="4097"/>
      <c r="E85" s="808"/>
      <c r="F85" s="808"/>
      <c r="G85" s="808"/>
      <c r="H85" s="808"/>
      <c r="I85" s="808"/>
      <c r="J85" s="808"/>
      <c r="K85" s="808"/>
      <c r="L85" s="808"/>
      <c r="M85" s="808"/>
      <c r="N85" s="808"/>
      <c r="O85" s="2512"/>
      <c r="P85" s="2512"/>
      <c r="Q85" s="2512"/>
      <c r="R85" s="2512"/>
      <c r="S85" s="5690"/>
      <c r="T85" s="5690"/>
      <c r="U85" s="5690"/>
      <c r="V85" s="5690"/>
      <c r="W85" s="5690"/>
      <c r="X85" s="66"/>
      <c r="Y85" s="814"/>
      <c r="Z85" s="292"/>
      <c r="AA85" s="292"/>
      <c r="AB85" s="808"/>
      <c r="AC85" s="808"/>
      <c r="AD85" s="808"/>
      <c r="AE85" s="808"/>
      <c r="AF85" s="808"/>
      <c r="AG85" s="292"/>
      <c r="AH85" s="292"/>
      <c r="AI85" s="292"/>
      <c r="AJ85" s="292"/>
      <c r="AK85" s="292"/>
      <c r="AL85" s="292"/>
      <c r="AM85" s="292"/>
      <c r="AN85" s="292"/>
      <c r="AO85" s="292"/>
      <c r="AP85" s="292"/>
      <c r="AQ85" s="292"/>
      <c r="AR85" s="292"/>
      <c r="AS85" s="292"/>
      <c r="AT85" s="292"/>
      <c r="AU85" s="1009"/>
    </row>
    <row r="86" spans="1:47" ht="12" customHeight="1">
      <c r="A86" s="394"/>
      <c r="B86" s="22"/>
      <c r="C86" s="37"/>
      <c r="D86" s="4099"/>
      <c r="E86" s="4099"/>
      <c r="F86" s="4099"/>
      <c r="G86" s="4099"/>
      <c r="H86" s="4099"/>
      <c r="I86" s="4099"/>
      <c r="J86" s="4099"/>
      <c r="K86" s="4099"/>
      <c r="L86" s="4099"/>
      <c r="M86" s="4099"/>
      <c r="N86" s="4099"/>
      <c r="O86" s="4096"/>
      <c r="P86" s="2515"/>
      <c r="Q86" s="2515"/>
      <c r="R86" s="2515"/>
      <c r="S86" s="5691"/>
      <c r="T86" s="5691"/>
      <c r="U86" s="5691"/>
      <c r="V86" s="5691"/>
      <c r="W86" s="5691"/>
      <c r="X86" s="66"/>
      <c r="Y86" s="814"/>
      <c r="Z86" s="292"/>
      <c r="AA86" s="292"/>
      <c r="AB86" s="808"/>
      <c r="AC86" s="808"/>
      <c r="AD86" s="808"/>
      <c r="AE86" s="808"/>
      <c r="AF86" s="808"/>
      <c r="AG86" s="292"/>
      <c r="AH86" s="292"/>
      <c r="AI86" s="292"/>
      <c r="AJ86" s="292"/>
      <c r="AK86" s="292"/>
      <c r="AL86" s="292"/>
      <c r="AM86" s="292"/>
      <c r="AN86" s="292"/>
      <c r="AO86" s="292"/>
      <c r="AP86" s="292"/>
      <c r="AQ86" s="292"/>
      <c r="AR86" s="292"/>
      <c r="AS86" s="292"/>
      <c r="AT86" s="292"/>
      <c r="AU86" s="1009"/>
    </row>
    <row r="87" spans="1:47" ht="14.25">
      <c r="A87" s="394"/>
      <c r="B87" s="22"/>
      <c r="C87" s="37">
        <v>12</v>
      </c>
      <c r="D87" s="2112" t="s">
        <v>3402</v>
      </c>
      <c r="E87" s="808"/>
      <c r="F87" s="808"/>
      <c r="G87" s="808"/>
      <c r="H87" s="808"/>
      <c r="I87" s="808"/>
      <c r="J87" s="808"/>
      <c r="K87" s="808"/>
      <c r="L87" s="808"/>
      <c r="M87" s="808"/>
      <c r="N87" s="808"/>
      <c r="O87" s="291"/>
      <c r="P87" s="681"/>
      <c r="Q87" s="1675"/>
      <c r="R87" s="262"/>
      <c r="S87" s="5685"/>
      <c r="T87" s="5686"/>
      <c r="U87" s="5685"/>
      <c r="V87" s="5687"/>
      <c r="W87" s="5686"/>
      <c r="X87" s="66"/>
      <c r="Y87" s="814"/>
      <c r="Z87" s="292"/>
      <c r="AA87" s="292"/>
      <c r="AB87" s="808"/>
      <c r="AC87" s="808"/>
      <c r="AD87" s="808"/>
      <c r="AE87" s="808"/>
      <c r="AF87" s="808"/>
      <c r="AG87" s="292"/>
      <c r="AH87" s="292"/>
      <c r="AI87" s="292"/>
      <c r="AJ87" s="292"/>
      <c r="AK87" s="292"/>
      <c r="AL87" s="292"/>
      <c r="AM87" s="292"/>
      <c r="AN87" s="292"/>
      <c r="AO87" s="292"/>
      <c r="AP87" s="292"/>
      <c r="AQ87" s="292"/>
      <c r="AR87" s="292"/>
      <c r="AS87" s="292"/>
      <c r="AT87" s="292"/>
      <c r="AU87" s="1009"/>
    </row>
    <row r="88" spans="1:47" ht="16.5" customHeight="1">
      <c r="A88" s="394"/>
      <c r="B88" s="22"/>
      <c r="C88" s="37"/>
      <c r="D88" s="2112" t="s">
        <v>3403</v>
      </c>
      <c r="E88" s="808"/>
      <c r="F88" s="808"/>
      <c r="G88" s="808"/>
      <c r="H88" s="808"/>
      <c r="I88" s="808"/>
      <c r="J88" s="808"/>
      <c r="K88" s="808"/>
      <c r="L88" s="808"/>
      <c r="M88" s="808"/>
      <c r="N88" s="2335" t="s">
        <v>2521</v>
      </c>
      <c r="O88" s="5684">
        <v>12</v>
      </c>
      <c r="P88" s="1676"/>
      <c r="Q88" s="1677"/>
      <c r="R88" s="8241" t="str">
        <f>P101</f>
        <v/>
      </c>
      <c r="S88" s="8244"/>
      <c r="T88" s="8241" t="str">
        <f>R101</f>
        <v/>
      </c>
      <c r="U88" s="8244"/>
      <c r="V88" s="8241" t="str">
        <f>T101</f>
        <v/>
      </c>
      <c r="W88" s="7955"/>
      <c r="X88" s="66"/>
      <c r="Y88" s="814"/>
      <c r="Z88" s="292"/>
      <c r="AA88" s="292"/>
      <c r="AB88" s="808"/>
      <c r="AC88" s="808"/>
      <c r="AD88" s="808"/>
      <c r="AE88" s="808"/>
      <c r="AF88" s="808"/>
      <c r="AG88" s="292"/>
      <c r="AH88" s="292"/>
      <c r="AI88" s="292"/>
      <c r="AJ88" s="292"/>
      <c r="AK88" s="292"/>
      <c r="AL88" s="292"/>
      <c r="AM88" s="292"/>
      <c r="AN88" s="292"/>
      <c r="AO88" s="292"/>
      <c r="AP88" s="292"/>
      <c r="AQ88" s="292"/>
      <c r="AR88" s="292"/>
      <c r="AS88" s="292"/>
      <c r="AT88" s="292"/>
      <c r="AU88" s="1009"/>
    </row>
    <row r="89" spans="1:47" ht="14.25">
      <c r="A89" s="394"/>
      <c r="B89" s="22"/>
      <c r="C89" s="37">
        <v>13</v>
      </c>
      <c r="D89" s="2112" t="s">
        <v>3404</v>
      </c>
      <c r="E89" s="808"/>
      <c r="F89" s="808"/>
      <c r="G89" s="808"/>
      <c r="H89" s="808"/>
      <c r="I89" s="808"/>
      <c r="J89" s="808"/>
      <c r="K89" s="808"/>
      <c r="L89" s="808"/>
      <c r="M89" s="808"/>
      <c r="N89" s="2335" t="s">
        <v>646</v>
      </c>
      <c r="O89" s="5684">
        <v>13</v>
      </c>
      <c r="P89" s="1678"/>
      <c r="Q89" s="1679"/>
      <c r="R89" s="8257" t="str">
        <f>IF(AND(NOT($P$80),R83&lt;&gt;""),SUM(R83,R88),"")</f>
        <v/>
      </c>
      <c r="S89" s="8258"/>
      <c r="T89" s="8257" t="str">
        <f>IF(AND(NOT($P$80),T83&lt;&gt;""),SUM(T83,T88),"")</f>
        <v/>
      </c>
      <c r="U89" s="8258"/>
      <c r="V89" s="8257" t="str">
        <f>IF(AND(NOT($P$80),V83&lt;&gt;""),SUM(V83,V88),"")</f>
        <v/>
      </c>
      <c r="W89" s="8259"/>
      <c r="X89" s="66"/>
      <c r="Y89" s="814"/>
      <c r="Z89" s="292"/>
      <c r="AA89" s="292"/>
      <c r="AB89" s="808"/>
      <c r="AC89" s="808"/>
      <c r="AD89" s="808"/>
      <c r="AE89" s="808"/>
      <c r="AF89" s="808"/>
      <c r="AG89" s="292"/>
      <c r="AH89" s="292"/>
      <c r="AI89" s="292"/>
      <c r="AJ89" s="292"/>
      <c r="AK89" s="292"/>
      <c r="AL89" s="292"/>
      <c r="AM89" s="292"/>
      <c r="AN89" s="292"/>
      <c r="AO89" s="292"/>
      <c r="AP89" s="292"/>
      <c r="AQ89" s="292"/>
      <c r="AR89" s="292"/>
      <c r="AS89" s="292"/>
      <c r="AT89" s="292"/>
      <c r="AU89" s="1009"/>
    </row>
    <row r="90" spans="1:47" ht="13.5" customHeight="1">
      <c r="A90" s="394"/>
      <c r="B90" s="22"/>
      <c r="C90" s="37">
        <v>14</v>
      </c>
      <c r="D90" s="2112" t="s">
        <v>3405</v>
      </c>
      <c r="E90" s="808"/>
      <c r="F90" s="808"/>
      <c r="G90" s="808"/>
      <c r="H90" s="808"/>
      <c r="I90" s="808"/>
      <c r="J90" s="808"/>
      <c r="K90" s="808"/>
      <c r="L90" s="808"/>
      <c r="M90" s="808"/>
      <c r="N90" s="808"/>
      <c r="O90" s="291"/>
      <c r="P90" s="681"/>
      <c r="Q90" s="1675"/>
      <c r="R90" s="262"/>
      <c r="S90" s="5685"/>
      <c r="T90" s="5686"/>
      <c r="U90" s="5685"/>
      <c r="V90" s="5687"/>
      <c r="W90" s="5686"/>
      <c r="X90" s="66"/>
      <c r="Y90" s="814"/>
      <c r="Z90" s="292"/>
      <c r="AA90" s="292"/>
      <c r="AB90" s="808"/>
      <c r="AC90" s="808"/>
      <c r="AD90" s="808"/>
      <c r="AE90" s="808"/>
      <c r="AF90" s="808"/>
      <c r="AG90" s="292"/>
      <c r="AH90" s="292"/>
      <c r="AI90" s="292"/>
      <c r="AJ90" s="292"/>
      <c r="AK90" s="292"/>
      <c r="AL90" s="292"/>
      <c r="AM90" s="292"/>
      <c r="AN90" s="292"/>
      <c r="AO90" s="292"/>
      <c r="AP90" s="292"/>
      <c r="AQ90" s="292"/>
      <c r="AR90" s="292"/>
      <c r="AS90" s="292"/>
      <c r="AT90" s="292"/>
      <c r="AU90" s="1009"/>
    </row>
    <row r="91" spans="1:47" ht="12" customHeight="1">
      <c r="A91" s="394"/>
      <c r="B91" s="22"/>
      <c r="C91" s="37"/>
      <c r="D91" s="2112" t="s">
        <v>3403</v>
      </c>
      <c r="E91" s="808"/>
      <c r="F91" s="808"/>
      <c r="G91" s="808"/>
      <c r="H91" s="808"/>
      <c r="I91" s="808"/>
      <c r="J91" s="808"/>
      <c r="K91" s="808"/>
      <c r="L91" s="808"/>
      <c r="M91" s="808"/>
      <c r="N91" s="2335" t="s">
        <v>2521</v>
      </c>
      <c r="O91" s="5684">
        <v>14</v>
      </c>
      <c r="P91" s="1676"/>
      <c r="Q91" s="1677"/>
      <c r="R91" s="8241" t="str">
        <f>IF(AND(NOT($P$80),R83&lt;&gt;""),SUM(P95,P98),"")</f>
        <v/>
      </c>
      <c r="S91" s="8244"/>
      <c r="T91" s="8241" t="str">
        <f>IF(AND(NOT($P$80),T83&lt;&gt;""),SUM(R95,R98),"")</f>
        <v/>
      </c>
      <c r="U91" s="8244"/>
      <c r="V91" s="8241" t="str">
        <f>IF(AND(NOT($P$80),V83&lt;&gt;""),SUM(T95,T98),"")</f>
        <v/>
      </c>
      <c r="W91" s="7955"/>
      <c r="X91" s="66"/>
      <c r="Y91" s="814"/>
      <c r="Z91" s="292"/>
      <c r="AA91" s="292"/>
      <c r="AB91" s="808"/>
      <c r="AC91" s="808"/>
      <c r="AD91" s="808"/>
      <c r="AE91" s="808"/>
      <c r="AF91" s="808"/>
      <c r="AG91" s="292"/>
      <c r="AH91" s="292"/>
      <c r="AI91" s="292"/>
      <c r="AJ91" s="292"/>
      <c r="AK91" s="292"/>
      <c r="AL91" s="292"/>
      <c r="AM91" s="292"/>
      <c r="AN91" s="292"/>
      <c r="AO91" s="292"/>
      <c r="AP91" s="292"/>
      <c r="AQ91" s="292"/>
      <c r="AR91" s="292"/>
      <c r="AS91" s="292"/>
      <c r="AT91" s="292"/>
      <c r="AU91" s="1009"/>
    </row>
    <row r="92" spans="1:47" ht="13.5" customHeight="1">
      <c r="A92" s="394"/>
      <c r="B92" s="22"/>
      <c r="C92" s="37">
        <v>15</v>
      </c>
      <c r="D92" s="1108" t="s">
        <v>3406</v>
      </c>
      <c r="E92" s="808"/>
      <c r="F92" s="808"/>
      <c r="G92" s="808"/>
      <c r="H92" s="808"/>
      <c r="I92" s="808"/>
      <c r="J92" s="808"/>
      <c r="K92" s="808"/>
      <c r="L92" s="808"/>
      <c r="M92" s="808"/>
      <c r="N92" s="808"/>
      <c r="O92" s="48"/>
      <c r="P92" s="262"/>
      <c r="Q92" s="290"/>
      <c r="R92" s="262"/>
      <c r="S92" s="5685"/>
      <c r="T92" s="5686"/>
      <c r="U92" s="5685"/>
      <c r="V92" s="5687"/>
      <c r="W92" s="5686"/>
      <c r="X92" s="66"/>
      <c r="Y92" s="814"/>
      <c r="Z92" s="292"/>
      <c r="AA92" s="292"/>
      <c r="AB92" s="808"/>
      <c r="AC92" s="808"/>
      <c r="AD92" s="808"/>
      <c r="AE92" s="808"/>
      <c r="AF92" s="808"/>
      <c r="AG92" s="292"/>
      <c r="AH92" s="292"/>
      <c r="AI92" s="292"/>
      <c r="AJ92" s="292"/>
      <c r="AK92" s="292"/>
      <c r="AL92" s="292"/>
      <c r="AM92" s="292"/>
      <c r="AN92" s="292"/>
      <c r="AO92" s="292"/>
      <c r="AP92" s="292"/>
      <c r="AQ92" s="292"/>
      <c r="AR92" s="292"/>
      <c r="AS92" s="292"/>
      <c r="AT92" s="292"/>
      <c r="AU92" s="1009"/>
    </row>
    <row r="93" spans="1:47" ht="14.25" customHeight="1">
      <c r="A93" s="394"/>
      <c r="B93" s="22"/>
      <c r="C93" s="37"/>
      <c r="D93" s="1108" t="s">
        <v>3407</v>
      </c>
      <c r="E93" s="808"/>
      <c r="F93" s="808"/>
      <c r="G93" s="808"/>
      <c r="H93" s="808"/>
      <c r="I93" s="808"/>
      <c r="J93" s="808"/>
      <c r="K93" s="808"/>
      <c r="L93" s="808"/>
      <c r="M93" s="808"/>
      <c r="N93" s="2335" t="s">
        <v>2734</v>
      </c>
      <c r="O93" s="5684">
        <v>15</v>
      </c>
      <c r="P93" s="8241" t="str">
        <f>IF(AND(NOT($P$80),P83&lt;&gt;""),P83,"")</f>
        <v/>
      </c>
      <c r="Q93" s="8244"/>
      <c r="R93" s="8241" t="str">
        <f>IF(AND(NOT($P$80),R83&lt;&gt;"",R91&lt;&gt;""),IF(SUM(R89,-R91)&lt;=0,0,SUM(R89,-R91)),"")</f>
        <v/>
      </c>
      <c r="S93" s="8244"/>
      <c r="T93" s="8241" t="str">
        <f>IF(AND(NOT($P$80),T83&lt;&gt;"",T91&lt;&gt;""),IF(SUM(T89,-T91)&lt;=0,0,SUM(T89,-T91)),"")</f>
        <v/>
      </c>
      <c r="U93" s="8244"/>
      <c r="V93" s="8241" t="str">
        <f>IF(AND(NOT($P$80),V83&lt;&gt;"",V91&lt;&gt;""),IF(SUM(V89,-V91)&lt;=0,0,SUM(V89,-V91)),"")</f>
        <v/>
      </c>
      <c r="W93" s="7955"/>
      <c r="X93" s="66"/>
      <c r="Y93" s="814"/>
      <c r="Z93" s="292"/>
      <c r="AA93" s="292"/>
      <c r="AB93" s="808"/>
      <c r="AC93" s="808"/>
      <c r="AD93" s="808"/>
      <c r="AE93" s="808"/>
      <c r="AF93" s="808"/>
      <c r="AG93" s="292"/>
      <c r="AH93" s="292"/>
      <c r="AI93" s="292"/>
      <c r="AJ93" s="292"/>
      <c r="AK93" s="292"/>
      <c r="AL93" s="292"/>
      <c r="AM93" s="292"/>
      <c r="AN93" s="292"/>
      <c r="AO93" s="292"/>
      <c r="AP93" s="292"/>
      <c r="AQ93" s="292"/>
      <c r="AR93" s="292"/>
      <c r="AS93" s="292"/>
      <c r="AT93" s="292"/>
      <c r="AU93" s="1009"/>
    </row>
    <row r="94" spans="1:47" ht="14.25" customHeight="1">
      <c r="A94" s="394"/>
      <c r="B94" s="22"/>
      <c r="C94" s="37">
        <v>16</v>
      </c>
      <c r="D94" s="1108" t="s">
        <v>3408</v>
      </c>
      <c r="E94" s="808"/>
      <c r="F94" s="808"/>
      <c r="G94" s="808"/>
      <c r="H94" s="808"/>
      <c r="I94" s="808"/>
      <c r="J94" s="808"/>
      <c r="K94" s="808"/>
      <c r="L94" s="808"/>
      <c r="M94" s="808"/>
      <c r="N94" s="808"/>
      <c r="O94" s="48"/>
      <c r="P94" s="1681"/>
      <c r="Q94" s="1682"/>
      <c r="R94" s="262"/>
      <c r="S94" s="5685"/>
      <c r="T94" s="5686"/>
      <c r="U94" s="5685"/>
      <c r="V94" s="1681"/>
      <c r="W94" s="1690"/>
      <c r="X94" s="66"/>
      <c r="Y94" s="814"/>
      <c r="Z94" s="292"/>
      <c r="AA94" s="292"/>
      <c r="AB94" s="808"/>
      <c r="AC94" s="808"/>
      <c r="AD94" s="808"/>
      <c r="AE94" s="808"/>
      <c r="AF94" s="808"/>
      <c r="AG94" s="292"/>
      <c r="AH94" s="292"/>
      <c r="AI94" s="292"/>
      <c r="AJ94" s="292"/>
      <c r="AK94" s="292"/>
      <c r="AL94" s="292"/>
      <c r="AM94" s="292"/>
      <c r="AN94" s="292"/>
      <c r="AO94" s="292"/>
      <c r="AP94" s="292"/>
      <c r="AQ94" s="292"/>
      <c r="AR94" s="292"/>
      <c r="AS94" s="292"/>
      <c r="AT94" s="292"/>
      <c r="AU94" s="962"/>
    </row>
    <row r="95" spans="1:47" ht="15" customHeight="1">
      <c r="A95" s="394"/>
      <c r="B95" s="22"/>
      <c r="C95" s="37"/>
      <c r="D95" s="1108" t="s">
        <v>3409</v>
      </c>
      <c r="E95" s="808"/>
      <c r="F95" s="808"/>
      <c r="G95" s="808"/>
      <c r="H95" s="808"/>
      <c r="I95" s="808"/>
      <c r="J95" s="808"/>
      <c r="K95" s="808"/>
      <c r="L95" s="808"/>
      <c r="M95" s="808"/>
      <c r="N95" s="2335" t="s">
        <v>661</v>
      </c>
      <c r="O95" s="5684">
        <v>16</v>
      </c>
      <c r="P95" s="1676"/>
      <c r="Q95" s="1677"/>
      <c r="R95" s="8241" t="str">
        <f>IF(AND(NOT($P$80),R83&lt;&gt;""),IF(R93=0,SUM(R91,-R89),0),"")</f>
        <v/>
      </c>
      <c r="S95" s="8244"/>
      <c r="T95" s="8241" t="str">
        <f>IF(AND(NOT($P$80),T83&lt;&gt;""),IF(T93=0,SUM(T91,-T89),0),"")</f>
        <v/>
      </c>
      <c r="U95" s="8244"/>
      <c r="V95" s="1676"/>
      <c r="W95" s="1691"/>
      <c r="X95" s="66"/>
      <c r="Y95" s="814"/>
      <c r="Z95" s="292"/>
      <c r="AA95" s="292"/>
      <c r="AB95" s="808"/>
      <c r="AC95" s="808"/>
      <c r="AD95" s="808"/>
      <c r="AE95" s="808"/>
      <c r="AF95" s="808"/>
      <c r="AG95" s="292"/>
      <c r="AH95" s="292"/>
      <c r="AI95" s="292"/>
      <c r="AJ95" s="292"/>
      <c r="AK95" s="292"/>
      <c r="AL95" s="292"/>
      <c r="AM95" s="292"/>
      <c r="AN95" s="292"/>
      <c r="AO95" s="292"/>
      <c r="AP95" s="292"/>
      <c r="AQ95" s="292"/>
      <c r="AR95" s="292"/>
      <c r="AS95" s="292"/>
      <c r="AT95" s="292"/>
      <c r="AU95" s="962"/>
    </row>
    <row r="96" spans="1:47" ht="15.75" customHeight="1">
      <c r="A96" s="394"/>
      <c r="B96" s="22"/>
      <c r="C96" s="37">
        <v>17</v>
      </c>
      <c r="D96" s="3172" t="s">
        <v>3410</v>
      </c>
      <c r="E96" s="808"/>
      <c r="F96" s="808"/>
      <c r="G96" s="808"/>
      <c r="H96" s="808"/>
      <c r="I96" s="808"/>
      <c r="J96" s="808"/>
      <c r="K96" s="808"/>
      <c r="L96" s="808"/>
      <c r="M96" s="808"/>
      <c r="N96" s="808"/>
      <c r="O96" s="291"/>
      <c r="P96" s="262"/>
      <c r="Q96" s="290"/>
      <c r="R96" s="262"/>
      <c r="S96" s="5685"/>
      <c r="T96" s="5686"/>
      <c r="U96" s="5685"/>
      <c r="V96" s="5687"/>
      <c r="W96" s="5686"/>
      <c r="X96" s="66"/>
      <c r="Y96" s="814"/>
      <c r="Z96" s="292"/>
      <c r="AA96" s="292"/>
      <c r="AB96" s="808"/>
      <c r="AC96" s="808"/>
      <c r="AD96" s="808"/>
      <c r="AE96" s="808"/>
      <c r="AF96" s="808"/>
      <c r="AG96" s="292"/>
      <c r="AH96" s="292"/>
      <c r="AI96" s="292"/>
      <c r="AJ96" s="292"/>
      <c r="AK96" s="292"/>
      <c r="AL96" s="292"/>
      <c r="AM96" s="292"/>
      <c r="AN96" s="292"/>
      <c r="AO96" s="292"/>
      <c r="AP96" s="292"/>
      <c r="AQ96" s="292"/>
      <c r="AR96" s="292"/>
      <c r="AS96" s="292"/>
      <c r="AT96" s="292"/>
      <c r="AU96" s="962"/>
    </row>
    <row r="97" spans="1:58" ht="15.75" customHeight="1" thickBot="1">
      <c r="A97" s="394"/>
      <c r="B97" s="22"/>
      <c r="C97" s="2139"/>
      <c r="D97" s="1108" t="s">
        <v>3411</v>
      </c>
      <c r="E97" s="808"/>
      <c r="F97" s="808"/>
      <c r="G97" s="808"/>
      <c r="H97" s="808"/>
      <c r="I97" s="808"/>
      <c r="J97" s="808"/>
      <c r="K97" s="899"/>
      <c r="L97" s="808"/>
      <c r="M97" s="808"/>
      <c r="N97" s="808"/>
      <c r="O97" s="291"/>
      <c r="P97" s="262"/>
      <c r="Q97" s="290"/>
      <c r="R97" s="262"/>
      <c r="S97" s="5685"/>
      <c r="T97" s="5686"/>
      <c r="U97" s="5685"/>
      <c r="V97" s="5687"/>
      <c r="W97" s="5686"/>
      <c r="X97" s="66"/>
      <c r="Y97" s="814"/>
      <c r="Z97" s="292"/>
      <c r="AA97" s="292"/>
      <c r="AB97" s="808"/>
      <c r="AC97" s="808"/>
      <c r="AD97" s="808"/>
      <c r="AE97" s="808"/>
      <c r="AF97" s="808"/>
      <c r="AG97" s="292"/>
      <c r="AH97" s="292"/>
      <c r="AI97" s="292"/>
      <c r="AJ97" s="292"/>
      <c r="AK97" s="3809" t="s">
        <v>2705</v>
      </c>
      <c r="AL97" s="292"/>
      <c r="AM97" s="292"/>
      <c r="AN97" s="292"/>
      <c r="AO97" s="292"/>
      <c r="AP97" s="292"/>
      <c r="AQ97" s="292"/>
      <c r="AR97" s="292"/>
      <c r="AS97" s="292"/>
      <c r="AT97" s="292"/>
      <c r="AU97" s="962"/>
    </row>
    <row r="98" spans="1:58" ht="15.75" customHeight="1" thickBot="1">
      <c r="A98" s="394"/>
      <c r="B98" s="22"/>
      <c r="C98" s="22"/>
      <c r="D98" s="1108" t="s">
        <v>3412</v>
      </c>
      <c r="E98" s="808"/>
      <c r="F98" s="808"/>
      <c r="G98" s="808"/>
      <c r="H98" s="808"/>
      <c r="I98" s="808"/>
      <c r="J98" s="808"/>
      <c r="K98" s="808"/>
      <c r="L98" s="808"/>
      <c r="M98" s="808"/>
      <c r="N98" s="2335" t="s">
        <v>3413</v>
      </c>
      <c r="O98" s="5684">
        <v>17</v>
      </c>
      <c r="P98" s="8241" t="str">
        <f>IF(AK98&lt;&gt;"",ROUND(AK98,0),IF(AND(NOT($P$80),P83&lt;&gt;""),IF(P77&gt;=P93,SUM(P77,-P93),0),""))</f>
        <v/>
      </c>
      <c r="Q98" s="8244"/>
      <c r="R98" s="8241" t="str">
        <f>IF(AM98&lt;&gt;"",ROUND(AM98,0),IF(AND(NOT($P$80),R83&lt;&gt;""),IF(R77&gt;=R93,SUM(R77,-R93),0),""))</f>
        <v/>
      </c>
      <c r="S98" s="8244"/>
      <c r="T98" s="8241" t="str">
        <f>IF(AO98&lt;&gt;"",ROUND(AO98,0),IF(AND(NOT($P$80),T83&lt;&gt;""),IF(T77&gt;=T93,SUM(T77,-T93),0),""))</f>
        <v/>
      </c>
      <c r="U98" s="8244"/>
      <c r="V98" s="8241" t="str">
        <f>IF(AQ98&lt;&gt;"",ROUND(AQ98,0),IF(AND(NOT($P$80),V83&lt;&gt;""),IF(V77&gt;=V93,SUM(V77,-V93),0),""))</f>
        <v/>
      </c>
      <c r="W98" s="7955"/>
      <c r="X98" s="66"/>
      <c r="Y98" s="814"/>
      <c r="Z98" s="1758" t="s">
        <v>3382</v>
      </c>
      <c r="AA98" s="292"/>
      <c r="AB98" s="808"/>
      <c r="AC98" s="808"/>
      <c r="AD98" s="808"/>
      <c r="AE98" s="808"/>
      <c r="AF98" s="808"/>
      <c r="AG98" s="292"/>
      <c r="AH98" s="292"/>
      <c r="AI98" s="292"/>
      <c r="AJ98" s="4604">
        <v>17</v>
      </c>
      <c r="AK98" s="1760"/>
      <c r="AL98" s="292"/>
      <c r="AM98" s="1760"/>
      <c r="AN98" s="292"/>
      <c r="AO98" s="1760"/>
      <c r="AP98" s="292"/>
      <c r="AQ98" s="1760"/>
      <c r="AR98" s="292"/>
      <c r="AS98" s="292"/>
      <c r="AT98" s="292"/>
      <c r="AU98" s="962"/>
    </row>
    <row r="99" spans="1:58" ht="15.75">
      <c r="A99" s="394"/>
      <c r="B99" s="22"/>
      <c r="C99" s="37">
        <v>18</v>
      </c>
      <c r="D99" s="1108" t="s">
        <v>3414</v>
      </c>
      <c r="E99" s="808"/>
      <c r="F99" s="808"/>
      <c r="G99" s="808"/>
      <c r="H99" s="808"/>
      <c r="I99" s="808"/>
      <c r="J99" s="808"/>
      <c r="K99" s="808"/>
      <c r="L99" s="808"/>
      <c r="M99" s="808"/>
      <c r="N99" s="808"/>
      <c r="O99" s="291"/>
      <c r="P99" s="262"/>
      <c r="Q99" s="290"/>
      <c r="R99" s="262"/>
      <c r="S99" s="5685"/>
      <c r="T99" s="5686"/>
      <c r="U99" s="5685"/>
      <c r="V99" s="5687"/>
      <c r="W99" s="5686"/>
      <c r="X99" s="66"/>
      <c r="Y99" s="814"/>
      <c r="Z99" s="292"/>
      <c r="AA99" s="292"/>
      <c r="AB99" s="808"/>
      <c r="AC99" s="808"/>
      <c r="AD99" s="808"/>
      <c r="AE99" s="808"/>
      <c r="AF99" s="808"/>
      <c r="AG99" s="292"/>
      <c r="AH99" s="292"/>
      <c r="AI99" s="292"/>
      <c r="AJ99" s="292"/>
      <c r="AK99" s="292"/>
      <c r="AL99" s="292"/>
      <c r="AM99" s="292"/>
      <c r="AN99" s="292"/>
      <c r="AO99" s="292"/>
      <c r="AP99" s="292"/>
      <c r="AQ99" s="292"/>
      <c r="AR99" s="292"/>
      <c r="AS99" s="292"/>
      <c r="AT99" s="292"/>
      <c r="AU99" s="962"/>
    </row>
    <row r="100" spans="1:58" ht="12.75" customHeight="1" thickBot="1">
      <c r="A100" s="394"/>
      <c r="B100" s="22"/>
      <c r="C100" s="2139"/>
      <c r="D100" s="3172" t="s">
        <v>3415</v>
      </c>
      <c r="E100" s="808"/>
      <c r="F100" s="808"/>
      <c r="G100" s="808"/>
      <c r="H100" s="808"/>
      <c r="I100" s="808"/>
      <c r="J100" s="808"/>
      <c r="K100" s="899"/>
      <c r="L100" s="808"/>
      <c r="M100" s="808"/>
      <c r="N100" s="808"/>
      <c r="O100" s="291"/>
      <c r="P100" s="262"/>
      <c r="Q100" s="290"/>
      <c r="R100" s="262"/>
      <c r="S100" s="5685"/>
      <c r="T100" s="5686"/>
      <c r="U100" s="5685"/>
      <c r="V100" s="5687"/>
      <c r="W100" s="5686"/>
      <c r="X100" s="66"/>
      <c r="Y100" s="814"/>
      <c r="Z100" s="292"/>
      <c r="AA100" s="292"/>
      <c r="AB100" s="808"/>
      <c r="AC100" s="808"/>
      <c r="AD100" s="808"/>
      <c r="AE100" s="808"/>
      <c r="AF100" s="808"/>
      <c r="AG100" s="292"/>
      <c r="AH100" s="292"/>
      <c r="AI100" s="292"/>
      <c r="AJ100" s="292"/>
      <c r="AK100" s="3809" t="s">
        <v>2705</v>
      </c>
      <c r="AL100" s="292"/>
      <c r="AM100" s="292"/>
      <c r="AN100" s="292"/>
      <c r="AO100" s="292"/>
      <c r="AP100" s="292"/>
      <c r="AQ100" s="292"/>
      <c r="AR100" s="292"/>
      <c r="AS100" s="292"/>
      <c r="AT100" s="292"/>
      <c r="AU100" s="962"/>
    </row>
    <row r="101" spans="1:58" ht="15" customHeight="1" thickBot="1">
      <c r="A101" s="394"/>
      <c r="B101" s="22"/>
      <c r="C101" s="22"/>
      <c r="D101" s="1108" t="s">
        <v>3416</v>
      </c>
      <c r="E101" s="808"/>
      <c r="F101" s="808"/>
      <c r="G101" s="808"/>
      <c r="H101" s="808"/>
      <c r="I101" s="808"/>
      <c r="J101" s="808"/>
      <c r="K101" s="808"/>
      <c r="L101" s="808"/>
      <c r="M101" s="808"/>
      <c r="N101" s="2335" t="s">
        <v>642</v>
      </c>
      <c r="O101" s="5688">
        <v>18</v>
      </c>
      <c r="P101" s="8245" t="str">
        <f>IF(AK101&lt;&gt;"",ROUND(AK101,0),IF(AND(NOT($P$80),P83&lt;&gt;""),IF(P93&gt;P77,SUM(P93,-P77),0),""))</f>
        <v/>
      </c>
      <c r="Q101" s="8246"/>
      <c r="R101" s="8245" t="str">
        <f>IF(AM101&lt;&gt;"",ROUND(AM101,0),IF(AND(NOT($P$80),R83&lt;&gt;""),IF(R93&gt;R77,SUM(R93,-R77),0),""))</f>
        <v/>
      </c>
      <c r="S101" s="8246"/>
      <c r="T101" s="8245" t="str">
        <f>IF(AO101&lt;&gt;"",ROUND(AO101,0),IF(AND(NOT($P$80),T83&lt;&gt;""),IF(T93&gt;T77,SUM(T93,-T77),0),""))</f>
        <v/>
      </c>
      <c r="U101" s="8246"/>
      <c r="V101" s="8241" t="str">
        <f>IF(AQ101&lt;&gt;"",ROUND(AQ101,0),IF(AND(NOT($P$80),V83&lt;&gt;""),IF(V93&gt;V77,SUM(V93,-V77),0),""))</f>
        <v/>
      </c>
      <c r="W101" s="7955"/>
      <c r="X101" s="66"/>
      <c r="Y101" s="814"/>
      <c r="Z101" s="1758" t="s">
        <v>3382</v>
      </c>
      <c r="AA101" s="292"/>
      <c r="AB101" s="808"/>
      <c r="AC101" s="808"/>
      <c r="AD101" s="808"/>
      <c r="AE101" s="808"/>
      <c r="AF101" s="808"/>
      <c r="AG101" s="292"/>
      <c r="AH101" s="292"/>
      <c r="AI101" s="292"/>
      <c r="AJ101" s="4604">
        <v>18</v>
      </c>
      <c r="AK101" s="1760"/>
      <c r="AL101" s="292"/>
      <c r="AM101" s="1760"/>
      <c r="AN101" s="292"/>
      <c r="AO101" s="1760"/>
      <c r="AP101" s="292"/>
      <c r="AQ101" s="1760"/>
      <c r="AR101" s="292"/>
      <c r="AS101" s="292"/>
      <c r="AT101" s="292"/>
      <c r="AU101" s="962"/>
    </row>
    <row r="102" spans="1:58" ht="15" customHeight="1">
      <c r="A102" s="394"/>
      <c r="B102" s="49"/>
      <c r="C102" s="3073"/>
      <c r="D102" s="1680"/>
      <c r="E102" s="49"/>
      <c r="F102" s="49"/>
      <c r="G102" s="49"/>
      <c r="H102" s="49"/>
      <c r="I102" s="49"/>
      <c r="J102" s="49"/>
      <c r="K102" s="49"/>
      <c r="L102" s="49"/>
      <c r="M102" s="49"/>
      <c r="N102" s="49"/>
      <c r="O102" s="49"/>
      <c r="P102" s="49"/>
      <c r="Q102" s="49"/>
      <c r="R102" s="49"/>
      <c r="S102" s="49"/>
      <c r="T102" s="49"/>
      <c r="U102" s="49"/>
      <c r="V102" s="49"/>
      <c r="W102" s="49"/>
      <c r="X102" s="66"/>
      <c r="Y102" s="814"/>
      <c r="Z102" s="292"/>
      <c r="AA102" s="292"/>
      <c r="AB102" s="808"/>
      <c r="AC102" s="808"/>
      <c r="AD102" s="808"/>
      <c r="AE102" s="808"/>
      <c r="AF102" s="808"/>
      <c r="AG102" s="292"/>
      <c r="AH102" s="292"/>
      <c r="AI102" s="292"/>
      <c r="AJ102" s="292"/>
      <c r="AK102" s="292"/>
      <c r="AL102" s="292"/>
      <c r="AM102" s="292"/>
      <c r="AN102" s="292"/>
      <c r="AO102" s="292"/>
      <c r="AP102" s="292"/>
      <c r="AQ102" s="292"/>
      <c r="AR102" s="292"/>
      <c r="AS102" s="292"/>
      <c r="AT102" s="292"/>
      <c r="AU102" s="962"/>
    </row>
    <row r="103" spans="1:58" ht="13.5" customHeight="1">
      <c r="A103" s="394"/>
      <c r="B103" s="247" t="s">
        <v>3417</v>
      </c>
      <c r="C103" s="247"/>
      <c r="D103" s="683"/>
      <c r="E103" s="22"/>
      <c r="F103" s="22"/>
      <c r="G103" s="22"/>
      <c r="H103" s="22"/>
      <c r="I103" s="22"/>
      <c r="J103" s="22"/>
      <c r="K103" s="22"/>
      <c r="L103" s="22"/>
      <c r="M103" s="22"/>
      <c r="N103" s="22"/>
      <c r="O103" s="22"/>
      <c r="P103" s="22"/>
      <c r="Q103" s="22"/>
      <c r="R103" s="22"/>
      <c r="S103" s="22"/>
      <c r="T103" s="22"/>
      <c r="U103" s="22"/>
      <c r="V103" s="22"/>
      <c r="W103" s="22"/>
      <c r="X103" s="66"/>
      <c r="Y103" s="814"/>
      <c r="Z103" s="292"/>
      <c r="AA103" s="292"/>
      <c r="AB103" s="808"/>
      <c r="AC103" s="808"/>
      <c r="AD103" s="808"/>
      <c r="AE103" s="808"/>
      <c r="AF103" s="808"/>
      <c r="AG103" s="292"/>
      <c r="AH103" s="292"/>
      <c r="AI103" s="292"/>
      <c r="AJ103" s="292"/>
      <c r="AK103" s="292"/>
      <c r="AL103" s="292"/>
      <c r="AM103" s="292"/>
      <c r="AN103" s="292"/>
      <c r="AO103" s="292"/>
      <c r="AP103" s="292"/>
      <c r="AQ103" s="292"/>
      <c r="AR103" s="292"/>
      <c r="AS103" s="292"/>
      <c r="AT103" s="292"/>
      <c r="AU103" s="962"/>
    </row>
    <row r="104" spans="1:58" ht="13.5" customHeight="1">
      <c r="A104" s="394"/>
      <c r="B104" s="38"/>
      <c r="C104" s="97"/>
      <c r="D104" s="38"/>
      <c r="E104" s="38"/>
      <c r="F104" s="38"/>
      <c r="G104" s="38"/>
      <c r="H104" s="38"/>
      <c r="I104" s="38"/>
      <c r="J104" s="38"/>
      <c r="K104" s="38"/>
      <c r="L104" s="38"/>
      <c r="M104" s="38"/>
      <c r="N104" s="38"/>
      <c r="O104" s="38"/>
      <c r="P104" s="38"/>
      <c r="Q104" s="38"/>
      <c r="R104" s="38"/>
      <c r="S104" s="38"/>
      <c r="T104" s="38"/>
      <c r="U104" s="38"/>
      <c r="V104" s="38"/>
      <c r="W104" s="38"/>
      <c r="X104" s="66"/>
      <c r="Y104" s="814"/>
      <c r="Z104" s="292"/>
      <c r="AA104" s="292"/>
      <c r="AB104" s="808"/>
      <c r="AC104" s="808"/>
      <c r="AD104" s="808"/>
      <c r="AE104" s="808"/>
      <c r="AF104" s="808"/>
      <c r="AG104" s="292"/>
      <c r="AH104" s="292"/>
      <c r="AI104" s="292"/>
      <c r="AJ104" s="292"/>
      <c r="AK104" s="292"/>
      <c r="AL104" s="292"/>
      <c r="AM104" s="292"/>
      <c r="AN104" s="292"/>
      <c r="AO104" s="292"/>
      <c r="AP104" s="292"/>
      <c r="AQ104" s="292"/>
      <c r="AR104" s="292"/>
      <c r="AS104" s="292"/>
      <c r="AT104" s="292"/>
      <c r="AU104" s="962"/>
    </row>
    <row r="105" spans="1:58" ht="17.25" customHeight="1">
      <c r="A105" s="394"/>
      <c r="B105" s="22"/>
      <c r="C105" s="3074">
        <v>19</v>
      </c>
      <c r="D105" s="2095" t="s">
        <v>3418</v>
      </c>
      <c r="E105" s="22"/>
      <c r="F105" s="22"/>
      <c r="G105" s="22"/>
      <c r="H105" s="22"/>
      <c r="I105" s="22"/>
      <c r="J105" s="22"/>
      <c r="K105" s="22"/>
      <c r="L105" s="22"/>
      <c r="M105" s="22"/>
      <c r="N105" s="22"/>
      <c r="O105" s="22"/>
      <c r="P105" s="22"/>
      <c r="Q105" s="22"/>
      <c r="R105" s="22"/>
      <c r="S105" s="22"/>
      <c r="T105" s="48"/>
      <c r="U105" s="22"/>
      <c r="V105" s="22"/>
      <c r="W105" s="22"/>
      <c r="X105" s="66"/>
      <c r="Y105" s="814"/>
      <c r="Z105" s="292"/>
      <c r="AA105" s="292"/>
      <c r="AB105" s="808"/>
      <c r="AC105" s="808"/>
      <c r="AD105" s="808"/>
      <c r="AE105" s="808"/>
      <c r="AF105" s="808"/>
      <c r="AG105" s="292"/>
      <c r="AH105" s="292"/>
      <c r="AI105" s="292"/>
      <c r="AJ105" s="292"/>
      <c r="AK105" s="292"/>
      <c r="AL105" s="292"/>
      <c r="AM105" s="292"/>
      <c r="AN105" s="292"/>
      <c r="AO105" s="292"/>
      <c r="AP105" s="292"/>
      <c r="AQ105" s="292"/>
      <c r="AR105" s="292"/>
      <c r="AS105" s="292"/>
      <c r="AT105" s="292"/>
      <c r="AU105" s="962"/>
    </row>
    <row r="106" spans="1:58" ht="12.75" customHeight="1" thickBot="1">
      <c r="A106" s="394"/>
      <c r="B106" s="22"/>
      <c r="C106" s="37"/>
      <c r="D106" s="2095" t="s">
        <v>3419</v>
      </c>
      <c r="E106" s="22"/>
      <c r="F106" s="22"/>
      <c r="G106" s="22"/>
      <c r="H106" s="22"/>
      <c r="I106" s="22"/>
      <c r="J106" s="22"/>
      <c r="K106" s="22"/>
      <c r="L106" s="22"/>
      <c r="M106" s="22"/>
      <c r="N106" s="22"/>
      <c r="O106" s="22"/>
      <c r="P106" s="22"/>
      <c r="Q106" s="22"/>
      <c r="R106" s="22"/>
      <c r="S106" s="22"/>
      <c r="T106" s="291"/>
      <c r="U106" s="22"/>
      <c r="V106" s="22"/>
      <c r="W106" s="22"/>
      <c r="X106" s="66"/>
      <c r="Y106" s="814"/>
      <c r="Z106" s="292"/>
      <c r="AA106" s="292"/>
      <c r="AB106" s="808"/>
      <c r="AC106" s="808"/>
      <c r="AD106" s="808"/>
      <c r="AE106" s="808"/>
      <c r="AF106" s="808"/>
      <c r="AG106" s="292"/>
      <c r="AH106" s="292"/>
      <c r="AI106" s="292"/>
      <c r="AJ106" s="292"/>
      <c r="AK106" s="292"/>
      <c r="AL106" s="292"/>
      <c r="AM106" s="292"/>
      <c r="AN106" s="292"/>
      <c r="AO106" s="292"/>
      <c r="AP106" s="292"/>
      <c r="AQ106" s="292"/>
      <c r="AR106" s="292"/>
      <c r="AS106" s="292"/>
      <c r="AT106" s="292"/>
      <c r="AU106" s="962"/>
    </row>
    <row r="107" spans="1:58" ht="12.75" customHeight="1" thickBot="1">
      <c r="A107" s="394"/>
      <c r="B107" s="22"/>
      <c r="C107" s="37"/>
      <c r="D107" s="2095" t="s">
        <v>5824</v>
      </c>
      <c r="E107" s="22"/>
      <c r="F107" s="22"/>
      <c r="G107" s="22"/>
      <c r="H107" s="2095" t="s">
        <v>5825</v>
      </c>
      <c r="I107" s="22"/>
      <c r="J107" s="22"/>
      <c r="K107" s="22"/>
      <c r="L107" s="22"/>
      <c r="M107" s="22"/>
      <c r="N107" s="22"/>
      <c r="O107" s="22"/>
      <c r="P107" s="22"/>
      <c r="Q107" s="22"/>
      <c r="R107" s="22"/>
      <c r="S107" s="960"/>
      <c r="T107" s="1656">
        <v>19</v>
      </c>
      <c r="U107" s="8242">
        <f>IF(Z107&lt;&gt;"",ROUND(Z107,0),IF(AND(NOT($P$80),V83&lt;&gt;""),V165,0))</f>
        <v>0</v>
      </c>
      <c r="V107" s="8243"/>
      <c r="W107" s="8243"/>
      <c r="X107" s="66"/>
      <c r="Y107" s="814"/>
      <c r="Z107" s="272"/>
      <c r="AA107" s="292"/>
      <c r="AB107" s="808"/>
      <c r="AC107" s="808"/>
      <c r="AD107" s="808"/>
      <c r="AE107" s="808"/>
      <c r="AF107" s="808"/>
      <c r="AG107" s="292"/>
      <c r="AH107" s="292"/>
      <c r="AI107" s="292"/>
      <c r="AJ107" s="292"/>
      <c r="AK107" s="292"/>
      <c r="AL107" s="292"/>
      <c r="AM107" s="292"/>
      <c r="AN107" s="292"/>
      <c r="AO107" s="292"/>
      <c r="AP107" s="292"/>
      <c r="AQ107" s="292"/>
      <c r="AR107" s="292"/>
      <c r="AS107" s="292"/>
      <c r="AT107" s="292"/>
      <c r="AU107" s="962"/>
    </row>
    <row r="108" spans="1:58" ht="12.75" customHeight="1">
      <c r="A108" s="638"/>
      <c r="B108" s="1661"/>
      <c r="C108" s="1666"/>
      <c r="D108" s="5682"/>
      <c r="E108" s="1661"/>
      <c r="F108" s="1661"/>
      <c r="G108" s="2267"/>
      <c r="H108" s="1661"/>
      <c r="I108" s="1661"/>
      <c r="J108" s="1661"/>
      <c r="K108" s="1661"/>
      <c r="L108" s="1661"/>
      <c r="M108" s="1661"/>
      <c r="N108" s="1661"/>
      <c r="O108" s="1661"/>
      <c r="P108" s="1661"/>
      <c r="Q108" s="1662"/>
      <c r="R108" s="1663"/>
      <c r="S108" s="1661"/>
      <c r="T108" s="1661"/>
      <c r="U108" s="1664"/>
      <c r="V108" s="1664" t="s">
        <v>3380</v>
      </c>
      <c r="W108" s="3659" t="str">
        <f>"("&amp;TaxYear&amp;")"</f>
        <v>(2023)</v>
      </c>
      <c r="X108" s="639"/>
      <c r="Y108" s="814"/>
      <c r="Z108" s="292"/>
      <c r="AA108" s="292"/>
      <c r="AB108" s="1745">
        <f>IF(AE108,17,15)</f>
        <v>15</v>
      </c>
      <c r="AC108" s="1745"/>
      <c r="AD108" s="1745"/>
      <c r="AE108" s="4101" t="b">
        <f>AND($AB$109=2,'1040'!BG9)</f>
        <v>0</v>
      </c>
      <c r="AF108" s="808"/>
      <c r="AG108" s="292"/>
      <c r="AH108" s="292"/>
      <c r="AI108" s="292"/>
      <c r="AJ108" s="292"/>
      <c r="AK108" s="292"/>
      <c r="AL108" s="292"/>
      <c r="AM108" s="292"/>
      <c r="AN108" s="292"/>
      <c r="AO108" s="292"/>
      <c r="AP108" s="292"/>
      <c r="AQ108" s="292"/>
      <c r="AR108" s="292"/>
      <c r="AS108" s="292"/>
      <c r="AT108" s="292"/>
      <c r="AU108" s="962"/>
    </row>
    <row r="109" spans="1:58" ht="12.75" customHeight="1">
      <c r="A109" s="394"/>
      <c r="B109" s="1734" t="s">
        <v>3425</v>
      </c>
      <c r="C109" s="1735"/>
      <c r="D109" s="1735"/>
      <c r="E109" s="1735"/>
      <c r="F109" s="1735"/>
      <c r="G109" s="1735"/>
      <c r="H109" s="1735"/>
      <c r="I109" s="1735"/>
      <c r="J109" s="1735"/>
      <c r="K109" s="1735"/>
      <c r="L109" s="1735"/>
      <c r="M109" s="1735"/>
      <c r="N109" s="1735"/>
      <c r="O109" s="1735"/>
      <c r="P109" s="1735"/>
      <c r="Q109" s="1735"/>
      <c r="R109" s="1735"/>
      <c r="S109" s="1735"/>
      <c r="T109" s="1735"/>
      <c r="U109" s="1735"/>
      <c r="V109" s="1735"/>
      <c r="W109" s="1735"/>
      <c r="X109" s="66"/>
      <c r="Y109" s="1900"/>
      <c r="Z109" s="292"/>
      <c r="AA109" s="292"/>
      <c r="AB109" s="4102">
        <f>WEEKDAY($AC$109)</f>
        <v>2</v>
      </c>
      <c r="AC109" s="4103" t="str">
        <f>"15-Apr-"&amp;TaxYear+1</f>
        <v>15-Apr-2024</v>
      </c>
      <c r="AD109" s="1745"/>
      <c r="AE109" s="3814"/>
      <c r="AF109" s="808"/>
      <c r="AG109" s="292"/>
      <c r="AH109" s="292"/>
      <c r="AI109" s="292"/>
      <c r="AJ109" s="292"/>
      <c r="AK109" s="292"/>
      <c r="AL109" s="292"/>
      <c r="AM109" s="292"/>
      <c r="AN109" s="292"/>
      <c r="AO109" s="292"/>
      <c r="AP109" s="292"/>
      <c r="AQ109" s="292"/>
      <c r="AR109" s="292"/>
      <c r="AS109" s="292"/>
      <c r="AT109" s="292"/>
      <c r="AU109" s="962"/>
    </row>
    <row r="110" spans="1:58" ht="15.75">
      <c r="A110" s="394"/>
      <c r="B110" s="3085" t="s">
        <v>3426</v>
      </c>
      <c r="C110" s="1245"/>
      <c r="D110" s="1245"/>
      <c r="E110" s="1245"/>
      <c r="F110" s="1245"/>
      <c r="G110" s="1245"/>
      <c r="H110" s="1245"/>
      <c r="I110" s="1245"/>
      <c r="J110" s="1245"/>
      <c r="K110" s="1245"/>
      <c r="L110" s="1245"/>
      <c r="M110" s="1245"/>
      <c r="N110" s="1245"/>
      <c r="O110" s="1245"/>
      <c r="P110" s="1245"/>
      <c r="Q110" s="1245"/>
      <c r="R110" s="1245"/>
      <c r="S110" s="1245"/>
      <c r="T110" s="1245"/>
      <c r="U110" s="3086" t="s">
        <v>1057</v>
      </c>
      <c r="V110" s="1245"/>
      <c r="W110" s="1245"/>
      <c r="X110" s="66"/>
      <c r="Y110" s="814"/>
      <c r="Z110" s="292"/>
      <c r="AA110" s="292"/>
      <c r="AB110" s="808"/>
      <c r="AC110" s="808"/>
      <c r="AD110" s="808"/>
      <c r="AE110" s="808"/>
      <c r="AF110" s="808"/>
      <c r="AG110" s="292"/>
      <c r="AH110" s="292"/>
      <c r="AI110" s="292"/>
      <c r="AJ110" s="292"/>
      <c r="AK110" s="292"/>
      <c r="AL110" s="292"/>
      <c r="AM110" s="292"/>
      <c r="AN110" s="292"/>
      <c r="AO110" s="292"/>
      <c r="AP110" s="292"/>
      <c r="AQ110" s="292"/>
      <c r="AR110" s="292"/>
      <c r="AS110" s="292"/>
      <c r="AT110" s="292"/>
      <c r="AU110" s="962"/>
    </row>
    <row r="111" spans="1:58" s="640" customFormat="1" ht="17.25" customHeight="1">
      <c r="A111" s="394"/>
      <c r="B111" s="1737" t="s">
        <v>3427</v>
      </c>
      <c r="C111" s="1245"/>
      <c r="D111" s="1245"/>
      <c r="E111" s="1245"/>
      <c r="F111" s="1245"/>
      <c r="G111" s="1245"/>
      <c r="H111" s="1245"/>
      <c r="I111" s="1245"/>
      <c r="J111" s="1245"/>
      <c r="K111" s="1245"/>
      <c r="L111" s="1245"/>
      <c r="M111" s="1245"/>
      <c r="N111" s="1245"/>
      <c r="O111" s="1245"/>
      <c r="P111" s="1245"/>
      <c r="Q111" s="1245"/>
      <c r="R111" s="1245"/>
      <c r="S111" s="1245"/>
      <c r="T111" s="1245"/>
      <c r="U111" s="3086"/>
      <c r="V111" s="1245"/>
      <c r="W111" s="1245"/>
      <c r="X111" s="66"/>
      <c r="Y111" s="814"/>
      <c r="Z111" s="292"/>
      <c r="AA111" s="292"/>
      <c r="AB111" s="808"/>
      <c r="AC111" s="808"/>
      <c r="AD111" s="808"/>
      <c r="AE111" s="808"/>
      <c r="AF111" s="808"/>
      <c r="AG111" s="292"/>
      <c r="AH111" s="292"/>
      <c r="AI111" s="292"/>
      <c r="AJ111" s="292"/>
      <c r="AK111" s="292"/>
      <c r="AL111" s="292"/>
      <c r="AM111" s="292"/>
      <c r="AN111" s="292"/>
      <c r="AO111" s="292"/>
      <c r="AP111" s="292"/>
      <c r="AQ111" s="292"/>
      <c r="AR111" s="292"/>
      <c r="AS111" s="292"/>
      <c r="AT111" s="292"/>
      <c r="AU111" s="962"/>
      <c r="AV111" s="2038"/>
      <c r="AW111" s="2038"/>
      <c r="AX111" s="2038"/>
      <c r="AY111" s="2038"/>
      <c r="AZ111" s="2038"/>
      <c r="BA111" s="2038"/>
      <c r="BB111" s="2038"/>
      <c r="BC111" s="2038"/>
      <c r="BD111" s="2038"/>
      <c r="BE111" s="2038"/>
      <c r="BF111" s="2038"/>
    </row>
    <row r="112" spans="1:58" ht="20.25" customHeight="1">
      <c r="A112" s="394"/>
      <c r="B112" s="1737" t="s">
        <v>3428</v>
      </c>
      <c r="C112" s="1738"/>
      <c r="D112" s="1738"/>
      <c r="E112" s="1738"/>
      <c r="F112" s="1738"/>
      <c r="G112" s="1738"/>
      <c r="H112" s="1738"/>
      <c r="I112" s="1738"/>
      <c r="J112" s="1738"/>
      <c r="K112" s="1738"/>
      <c r="L112" s="1738"/>
      <c r="M112" s="1738"/>
      <c r="N112" s="1738"/>
      <c r="O112" s="1738"/>
      <c r="P112" s="1738"/>
      <c r="Q112" s="1738"/>
      <c r="R112" s="1738"/>
      <c r="S112" s="1738"/>
      <c r="T112" s="1738"/>
      <c r="U112" s="1738"/>
      <c r="V112" s="1738"/>
      <c r="W112" s="1738"/>
      <c r="X112" s="66"/>
      <c r="Y112" s="814"/>
      <c r="Z112" s="292"/>
      <c r="AA112" s="292"/>
      <c r="AB112" s="808"/>
      <c r="AC112" s="808"/>
      <c r="AD112" s="808"/>
      <c r="AE112" s="808"/>
      <c r="AF112" s="808"/>
      <c r="AG112" s="292"/>
      <c r="AH112" s="292"/>
      <c r="AI112" s="292"/>
      <c r="AJ112" s="292"/>
      <c r="AK112" s="292"/>
      <c r="AL112" s="292"/>
      <c r="AM112" s="292"/>
      <c r="AN112" s="292"/>
      <c r="AO112" s="292"/>
      <c r="AP112" s="292"/>
      <c r="AQ112" s="292"/>
      <c r="AR112" s="292"/>
      <c r="AS112" s="292"/>
      <c r="AT112" s="292"/>
      <c r="AU112" s="962"/>
    </row>
    <row r="113" spans="1:58" ht="16.5" customHeight="1">
      <c r="A113" s="394"/>
      <c r="B113" s="1737" t="s">
        <v>3429</v>
      </c>
      <c r="C113" s="1738"/>
      <c r="D113" s="1738"/>
      <c r="E113" s="1738"/>
      <c r="F113" s="1738"/>
      <c r="G113" s="1738"/>
      <c r="H113" s="1738"/>
      <c r="I113" s="1738"/>
      <c r="J113" s="1738"/>
      <c r="K113" s="1738"/>
      <c r="L113" s="1738"/>
      <c r="M113" s="1738"/>
      <c r="N113" s="1738"/>
      <c r="O113" s="1738"/>
      <c r="P113" s="1738"/>
      <c r="Q113" s="1738"/>
      <c r="R113" s="1738"/>
      <c r="S113" s="1738"/>
      <c r="T113" s="1738"/>
      <c r="U113" s="1738"/>
      <c r="V113" s="1738"/>
      <c r="W113" s="1738"/>
      <c r="X113" s="66"/>
      <c r="Y113" s="814"/>
      <c r="Z113" s="292"/>
      <c r="AA113" s="292"/>
      <c r="AB113" s="808"/>
      <c r="AC113" s="808"/>
      <c r="AD113" s="808"/>
      <c r="AE113" s="808"/>
      <c r="AF113" s="808"/>
      <c r="AG113" s="292"/>
      <c r="AH113" s="292"/>
      <c r="AI113" s="292"/>
      <c r="AJ113" s="292"/>
      <c r="AK113" s="292"/>
      <c r="AL113" s="292"/>
      <c r="AM113" s="292"/>
      <c r="AN113" s="292"/>
      <c r="AO113" s="292"/>
      <c r="AP113" s="292"/>
      <c r="AQ113" s="292"/>
      <c r="AR113" s="292"/>
      <c r="AS113" s="292"/>
      <c r="AT113" s="292"/>
      <c r="AU113" s="962"/>
    </row>
    <row r="114" spans="1:58" ht="13.5" customHeight="1">
      <c r="A114" s="394"/>
      <c r="B114" s="8221" t="str">
        <f>IF(Q179="","Enter payment information below.  (Starting on row "&amp;ROW(Q179)&amp;".)","")</f>
        <v>Enter payment information below.  (Starting on row 179.)</v>
      </c>
      <c r="C114" s="8222"/>
      <c r="D114" s="8222"/>
      <c r="E114" s="8222"/>
      <c r="F114" s="8222"/>
      <c r="G114" s="8222"/>
      <c r="H114" s="8222"/>
      <c r="I114" s="8222"/>
      <c r="J114" s="8222"/>
      <c r="K114" s="8222"/>
      <c r="L114" s="8222"/>
      <c r="M114" s="8222"/>
      <c r="N114" s="8223"/>
      <c r="O114" s="1123"/>
      <c r="P114" s="8229" t="s">
        <v>3388</v>
      </c>
      <c r="Q114" s="8230"/>
      <c r="R114" s="8230"/>
      <c r="S114" s="8230"/>
      <c r="T114" s="8230"/>
      <c r="U114" s="8230"/>
      <c r="V114" s="8230"/>
      <c r="W114" s="8230"/>
      <c r="X114" s="66"/>
      <c r="Y114" s="814"/>
      <c r="Z114" s="292"/>
      <c r="AA114" s="292"/>
      <c r="AB114" s="808"/>
      <c r="AC114" s="808"/>
      <c r="AD114" s="808"/>
      <c r="AE114" s="808"/>
      <c r="AF114" s="808"/>
      <c r="AG114" s="292"/>
      <c r="AH114" s="292"/>
      <c r="AI114" s="292"/>
      <c r="AJ114" s="292"/>
      <c r="AK114" s="292"/>
      <c r="AL114" s="292"/>
      <c r="AM114" s="292"/>
      <c r="AN114" s="292"/>
      <c r="AO114" s="292"/>
      <c r="AP114" s="292"/>
      <c r="AQ114" s="292"/>
      <c r="AR114" s="292"/>
      <c r="AS114" s="292"/>
      <c r="AT114" s="292"/>
      <c r="AU114" s="962"/>
    </row>
    <row r="115" spans="1:58" ht="15" customHeight="1">
      <c r="A115" s="394"/>
      <c r="B115" s="8224"/>
      <c r="C115" s="8225"/>
      <c r="D115" s="8225"/>
      <c r="E115" s="8225"/>
      <c r="F115" s="8225"/>
      <c r="G115" s="8225"/>
      <c r="H115" s="8225"/>
      <c r="I115" s="8225"/>
      <c r="J115" s="8225"/>
      <c r="K115" s="8225"/>
      <c r="L115" s="8225"/>
      <c r="M115" s="8225"/>
      <c r="N115" s="8226"/>
      <c r="O115" s="1126"/>
      <c r="P115" s="8212" t="s">
        <v>2536</v>
      </c>
      <c r="Q115" s="8227"/>
      <c r="R115" s="8212" t="s">
        <v>2537</v>
      </c>
      <c r="S115" s="8227"/>
      <c r="T115" s="8212" t="s">
        <v>3390</v>
      </c>
      <c r="U115" s="8260"/>
      <c r="V115" s="8212" t="s">
        <v>2462</v>
      </c>
      <c r="W115" s="8213"/>
      <c r="X115" s="66"/>
      <c r="Y115" s="814"/>
      <c r="Z115" s="292"/>
      <c r="AA115" s="292"/>
      <c r="AB115" s="808"/>
      <c r="AC115" s="808"/>
      <c r="AD115" s="808"/>
      <c r="AE115" s="808"/>
      <c r="AF115" s="808"/>
      <c r="AG115" s="292"/>
      <c r="AH115" s="292"/>
      <c r="AI115" s="292"/>
      <c r="AJ115" s="292"/>
      <c r="AK115" s="292"/>
      <c r="AL115" s="292"/>
      <c r="AM115" s="292"/>
      <c r="AN115" s="292"/>
      <c r="AO115" s="292"/>
      <c r="AP115" s="292"/>
      <c r="AQ115" s="292"/>
      <c r="AR115" s="292"/>
      <c r="AS115" s="292"/>
      <c r="AT115" s="292"/>
      <c r="AU115" s="962"/>
    </row>
    <row r="116" spans="1:58" ht="15" customHeight="1" thickBot="1">
      <c r="A116" s="394"/>
      <c r="B116" s="8224"/>
      <c r="C116" s="8225"/>
      <c r="D116" s="8225"/>
      <c r="E116" s="8225"/>
      <c r="F116" s="8225"/>
      <c r="G116" s="8225"/>
      <c r="H116" s="8225"/>
      <c r="I116" s="8225"/>
      <c r="J116" s="8225"/>
      <c r="K116" s="8225"/>
      <c r="L116" s="8225"/>
      <c r="M116" s="8225"/>
      <c r="N116" s="8226"/>
      <c r="O116" s="1696"/>
      <c r="P116" s="8197">
        <f>P73</f>
        <v>45031</v>
      </c>
      <c r="Q116" s="8205"/>
      <c r="R116" s="8197">
        <f>R73</f>
        <v>45092</v>
      </c>
      <c r="S116" s="8206"/>
      <c r="T116" s="8197">
        <f>T73</f>
        <v>45184</v>
      </c>
      <c r="U116" s="8205"/>
      <c r="V116" s="8197">
        <f>V73</f>
        <v>45306</v>
      </c>
      <c r="W116" s="8198"/>
      <c r="X116" s="66"/>
      <c r="Y116" s="814"/>
      <c r="Z116" s="292"/>
      <c r="AA116" s="292"/>
      <c r="AB116" s="808"/>
      <c r="AC116" s="808"/>
      <c r="AD116" s="808"/>
      <c r="AE116" s="808"/>
      <c r="AF116" s="808"/>
      <c r="AG116" s="292"/>
      <c r="AH116" s="292"/>
      <c r="AI116" s="292"/>
      <c r="AJ116" s="292"/>
      <c r="AK116" s="3809" t="s">
        <v>2705</v>
      </c>
      <c r="AL116" s="292"/>
      <c r="AM116" s="292"/>
      <c r="AN116" s="292"/>
      <c r="AO116" s="292"/>
      <c r="AP116" s="292"/>
      <c r="AQ116" s="292"/>
      <c r="AR116" s="292"/>
      <c r="AS116" s="292"/>
      <c r="AT116" s="292"/>
      <c r="AU116" s="676"/>
    </row>
    <row r="117" spans="1:58" ht="13.5" customHeight="1" thickBot="1">
      <c r="A117" s="394"/>
      <c r="B117" s="1739"/>
      <c r="C117" s="1700" t="s">
        <v>3430</v>
      </c>
      <c r="D117" s="1701" t="s">
        <v>3431</v>
      </c>
      <c r="E117" s="1702"/>
      <c r="F117" s="1702"/>
      <c r="G117" s="1702"/>
      <c r="H117" s="1702"/>
      <c r="I117" s="1702"/>
      <c r="J117" s="1702"/>
      <c r="K117" s="1702"/>
      <c r="L117" s="1702"/>
      <c r="M117" s="1702"/>
      <c r="N117" s="3084" t="s">
        <v>992</v>
      </c>
      <c r="O117" s="1706" t="s">
        <v>363</v>
      </c>
      <c r="P117" s="8209" t="str">
        <f>IF(AK117&lt;&gt;"",ROUND(AK117,0),IF(OR($P$80,P98="",P98=0),"",P98))</f>
        <v/>
      </c>
      <c r="Q117" s="8210"/>
      <c r="R117" s="8209" t="str">
        <f>IF(AM117&lt;&gt;"",ROUND(AM117,0),IF(OR($P$80,R98="",R98=0),"",R98))</f>
        <v/>
      </c>
      <c r="S117" s="8210"/>
      <c r="T117" s="8209" t="str">
        <f>IF(AO117&lt;&gt;"",ROUND(AO117,0),IF(OR($P$80,T98="",T98=0),"",T98))</f>
        <v/>
      </c>
      <c r="U117" s="8210"/>
      <c r="V117" s="8209" t="str">
        <f>IF(AQ117&lt;&gt;"",ROUND(AQ117,0),IF(OR($P$80,V98="",V98=0),"",V98))</f>
        <v/>
      </c>
      <c r="W117" s="8210"/>
      <c r="X117" s="66"/>
      <c r="Y117" s="814"/>
      <c r="Z117" s="1758" t="s">
        <v>3382</v>
      </c>
      <c r="AA117" s="292"/>
      <c r="AB117" s="808"/>
      <c r="AC117" s="808"/>
      <c r="AD117" s="808"/>
      <c r="AE117" s="808"/>
      <c r="AF117" s="808"/>
      <c r="AG117" s="292"/>
      <c r="AH117" s="292"/>
      <c r="AI117" s="292"/>
      <c r="AJ117" s="4604" t="s">
        <v>5833</v>
      </c>
      <c r="AK117" s="1760"/>
      <c r="AL117" s="292"/>
      <c r="AM117" s="1760"/>
      <c r="AN117" s="292"/>
      <c r="AO117" s="1760"/>
      <c r="AP117" s="292"/>
      <c r="AQ117" s="1760"/>
      <c r="AR117" s="292"/>
      <c r="AS117" s="292"/>
      <c r="AT117" s="292"/>
      <c r="AU117" s="676"/>
    </row>
    <row r="118" spans="1:58" ht="13.5" customHeight="1">
      <c r="A118" s="394"/>
      <c r="B118" s="1740"/>
      <c r="C118" s="1689"/>
      <c r="D118" s="8236" t="s">
        <v>3432</v>
      </c>
      <c r="E118" s="8237"/>
      <c r="F118" s="8237"/>
      <c r="G118" s="8237"/>
      <c r="H118" s="8237"/>
      <c r="I118" s="8237"/>
      <c r="J118" s="8237"/>
      <c r="K118" s="8237"/>
      <c r="L118" s="8237"/>
      <c r="M118" s="8237"/>
      <c r="N118" s="8238"/>
      <c r="O118" s="1697"/>
      <c r="P118" s="8208" t="str">
        <f>P117</f>
        <v/>
      </c>
      <c r="Q118" s="8208"/>
      <c r="R118" s="8208">
        <f>SUM(P117,R117)</f>
        <v>0</v>
      </c>
      <c r="S118" s="8208"/>
      <c r="T118" s="8208">
        <f>SUM(P117,R117,T117)</f>
        <v>0</v>
      </c>
      <c r="U118" s="8208"/>
      <c r="V118" s="8208">
        <f>SUM(P117,R117,T117,V117)</f>
        <v>0</v>
      </c>
      <c r="W118" s="8208"/>
      <c r="X118" s="66"/>
      <c r="Y118" s="814"/>
      <c r="Z118" s="292"/>
      <c r="AA118" s="292"/>
      <c r="AB118" s="808"/>
      <c r="AC118" s="808"/>
      <c r="AD118" s="808"/>
      <c r="AE118" s="808"/>
      <c r="AF118" s="808"/>
      <c r="AG118" s="292"/>
      <c r="AH118" s="292"/>
      <c r="AI118" s="292"/>
      <c r="AJ118" s="292"/>
      <c r="AK118" s="292"/>
      <c r="AL118" s="292"/>
      <c r="AM118" s="292"/>
      <c r="AN118" s="292"/>
      <c r="AO118" s="292"/>
      <c r="AP118" s="292"/>
      <c r="AQ118" s="292"/>
      <c r="AR118" s="292"/>
      <c r="AS118" s="292"/>
      <c r="AT118" s="292"/>
      <c r="AU118" s="676"/>
    </row>
    <row r="119" spans="1:58" ht="13.5" customHeight="1">
      <c r="A119" s="394"/>
      <c r="B119" s="1741"/>
      <c r="C119" s="1705" t="s">
        <v>365</v>
      </c>
      <c r="D119" s="8219"/>
      <c r="E119" s="8219"/>
      <c r="F119" s="8219"/>
      <c r="G119" s="8219"/>
      <c r="H119" s="8219"/>
      <c r="I119" s="8219"/>
      <c r="J119" s="8219"/>
      <c r="K119" s="8219"/>
      <c r="L119" s="8219"/>
      <c r="M119" s="8219"/>
      <c r="N119" s="8220"/>
      <c r="O119" s="1707"/>
      <c r="P119" s="8208">
        <f>IF(LOOKUP(P118,$U$178:$U$234,$U$178:$U$234)=P118,LOOKUP(P118,$U$178:$U$234,$N$178:$N$234),LOOKUP(P118,$U$178:$U$234,$N$178:$N$234)+1)</f>
        <v>233</v>
      </c>
      <c r="Q119" s="8208"/>
      <c r="R119" s="8208">
        <f>IF(LOOKUP(R118,$U$178:$U$234,$U$178:$U$234)=R118,LOOKUP(R118,$U$178:$U$234,$N$178:$N$234),LOOKUP(R118,$U$178:$U$234,$N$178:$N$234)+1)</f>
        <v>178</v>
      </c>
      <c r="S119" s="8208"/>
      <c r="T119" s="8208">
        <f>IF(LOOKUP(T118,$U$178:$U$234,$U$178:$U$234)=T118,LOOKUP(T118,$U$178:$U$234,$N$178:$N$234),LOOKUP(T118,$U$178:$U$234,$N$178:$N$234)+1)</f>
        <v>178</v>
      </c>
      <c r="U119" s="8208"/>
      <c r="V119" s="8208">
        <f>IF(LOOKUP(V118,$U$178:$U$234,$U$178:$U$234)=V118,LOOKUP(V118,$U$178:$U$234,$N$178:$N$234),LOOKUP(V118,$U$178:$U$234,$N$178:$N$234)+1)</f>
        <v>178</v>
      </c>
      <c r="W119" s="8208"/>
      <c r="X119" s="66"/>
      <c r="Y119" s="814"/>
      <c r="Z119" s="292"/>
      <c r="AA119" s="292"/>
      <c r="AB119" s="808"/>
      <c r="AC119" s="808"/>
      <c r="AD119" s="808"/>
      <c r="AE119" s="808"/>
      <c r="AF119" s="808"/>
      <c r="AG119" s="292"/>
      <c r="AH119" s="292"/>
      <c r="AI119" s="292"/>
      <c r="AJ119" s="292"/>
      <c r="AK119" s="292"/>
      <c r="AL119" s="292"/>
      <c r="AM119" s="292"/>
      <c r="AN119" s="292"/>
      <c r="AO119" s="292"/>
      <c r="AP119" s="292"/>
      <c r="AQ119" s="292"/>
      <c r="AR119" s="292"/>
      <c r="AS119" s="292"/>
      <c r="AT119" s="292"/>
      <c r="AU119" s="676"/>
    </row>
    <row r="120" spans="1:58" ht="13.5" customHeight="1">
      <c r="A120" s="394"/>
      <c r="B120" s="1741"/>
      <c r="C120" s="1704"/>
      <c r="D120" s="8219"/>
      <c r="E120" s="8219"/>
      <c r="F120" s="8219"/>
      <c r="G120" s="8219"/>
      <c r="H120" s="8219"/>
      <c r="I120" s="8219"/>
      <c r="J120" s="8219"/>
      <c r="K120" s="8219"/>
      <c r="L120" s="8219"/>
      <c r="M120" s="8219"/>
      <c r="N120" s="8220"/>
      <c r="O120" s="1707"/>
      <c r="P120" s="8231">
        <f>IF(ISERROR(LOOKUP(P119,$N$178:$N$234,$Q$178:$Q$234)),DATEVALUE("15-Apr-"&amp;TaxYear),LOOKUP(P119,$N$178:$N$234,$Q$178:$Q$234))</f>
        <v>0</v>
      </c>
      <c r="Q120" s="8211"/>
      <c r="R120" s="8211">
        <f>IF(ISERROR(LOOKUP(R119,$N$178:$N$234,$Q$178:$Q$234)),DATEVALUE("15-Apr-"&amp;TaxYear),LOOKUP(R119,$N$178:$N$234,$Q$178:$Q$234))</f>
        <v>44927</v>
      </c>
      <c r="S120" s="8211"/>
      <c r="T120" s="8211">
        <f>IF(ISERROR(LOOKUP(T119,$N$178:$N$234,$Q$178:$Q$234)),DATEVALUE("15-Apr-"&amp;TaxYear),LOOKUP(T119,$N$178:$N$234,$Q$178:$Q$234))</f>
        <v>44927</v>
      </c>
      <c r="U120" s="8211"/>
      <c r="V120" s="8211">
        <f>IF(ISERROR(LOOKUP(V119,$N$178:$N$234,$Q$178:$Q$234)),DATEVALUE("15-Apr-"&amp;TaxYear),LOOKUP(V119,$N$178:$N$234,$Q$178:$Q$234))</f>
        <v>44927</v>
      </c>
      <c r="W120" s="8211"/>
      <c r="X120" s="66"/>
      <c r="Y120" s="814"/>
      <c r="Z120" s="292"/>
      <c r="AA120" s="292"/>
      <c r="AB120" s="808"/>
      <c r="AC120" s="808"/>
      <c r="AD120" s="808"/>
      <c r="AE120" s="808"/>
      <c r="AF120" s="808"/>
      <c r="AG120" s="292"/>
      <c r="AH120" s="292"/>
      <c r="AI120" s="292"/>
      <c r="AJ120" s="292"/>
      <c r="AK120" s="292"/>
      <c r="AL120" s="292"/>
      <c r="AM120" s="292"/>
      <c r="AN120" s="292"/>
      <c r="AO120" s="292"/>
      <c r="AP120" s="292"/>
      <c r="AQ120" s="292"/>
      <c r="AR120" s="292"/>
      <c r="AS120" s="292"/>
      <c r="AT120" s="292"/>
      <c r="AU120" s="676"/>
    </row>
    <row r="121" spans="1:58" ht="13.5" customHeight="1" thickBot="1">
      <c r="A121" s="394"/>
      <c r="B121" s="1741"/>
      <c r="C121" s="1704"/>
      <c r="D121" s="8219"/>
      <c r="E121" s="8219"/>
      <c r="F121" s="8219"/>
      <c r="G121" s="8219"/>
      <c r="H121" s="8219"/>
      <c r="I121" s="8219"/>
      <c r="J121" s="8219"/>
      <c r="K121" s="8219"/>
      <c r="L121" s="8219"/>
      <c r="M121" s="8219"/>
      <c r="N121" s="8220"/>
      <c r="O121" s="1707"/>
      <c r="P121" s="8228" t="e">
        <f>MIN(P117,LOOKUP(P122,$Q$178:$Q$234,$U$178:$U$234))</f>
        <v>#N/A</v>
      </c>
      <c r="Q121" s="8214"/>
      <c r="R121" s="8214" t="e">
        <f>MIN(R117,LOOKUP(R122,$Q$178:$Q$234,$U$178:$U$234))</f>
        <v>#N/A</v>
      </c>
      <c r="S121" s="8214"/>
      <c r="T121" s="8214" t="e">
        <f>MIN(T117,LOOKUP(T122,$Q$178:$Q$234,$U$178:$U$234))</f>
        <v>#N/A</v>
      </c>
      <c r="U121" s="8214"/>
      <c r="V121" s="8214" t="e">
        <f>MIN(V117,LOOKUP(V122,$Q$178:$Q$234,$U$178:$U$234))</f>
        <v>#N/A</v>
      </c>
      <c r="W121" s="8214"/>
      <c r="X121" s="66"/>
      <c r="Y121" s="814"/>
      <c r="Z121" s="292"/>
      <c r="AA121" s="292"/>
      <c r="AB121" s="8467" t="s">
        <v>5830</v>
      </c>
      <c r="AC121" s="8467"/>
      <c r="AD121" s="8467"/>
      <c r="AE121" s="8467"/>
      <c r="AF121" s="8467"/>
      <c r="AG121" s="292"/>
      <c r="AH121" s="292"/>
      <c r="AI121" s="292"/>
      <c r="AJ121" s="292"/>
      <c r="AK121" s="3809" t="s">
        <v>2705</v>
      </c>
      <c r="AL121" s="292"/>
      <c r="AM121" s="292"/>
      <c r="AN121" s="292"/>
      <c r="AO121" s="292"/>
      <c r="AP121" s="292"/>
      <c r="AQ121" s="292"/>
      <c r="AR121" s="292"/>
      <c r="AS121" s="292"/>
      <c r="AT121" s="292"/>
      <c r="AU121" s="676"/>
    </row>
    <row r="122" spans="1:58" ht="13.5" customHeight="1" thickBot="1">
      <c r="A122" s="394"/>
      <c r="B122" s="1741"/>
      <c r="C122" s="1704"/>
      <c r="D122" s="8219"/>
      <c r="E122" s="8219"/>
      <c r="F122" s="8219"/>
      <c r="G122" s="8219"/>
      <c r="H122" s="8219"/>
      <c r="I122" s="8219"/>
      <c r="J122" s="8219"/>
      <c r="K122" s="8219"/>
      <c r="L122" s="8219"/>
      <c r="M122" s="8219"/>
      <c r="N122" s="8220"/>
      <c r="O122" s="1707"/>
      <c r="P122" s="8190" t="str">
        <f>IF(AK122&lt;&gt;"",AK122,IF(P117="","",MAX(Q128,Q138,Q148,Q158)))</f>
        <v/>
      </c>
      <c r="Q122" s="8190"/>
      <c r="R122" s="8190" t="str">
        <f>IF(AM122&lt;&gt;"",AM122,IF(R117="","",MAX(S128,S138,S148,S158)))</f>
        <v/>
      </c>
      <c r="S122" s="8190"/>
      <c r="T122" s="8190" t="str">
        <f>IF(AO122&lt;&gt;"",AO122,IF(T117="","",MAX(U138,U148,U158)))</f>
        <v/>
      </c>
      <c r="U122" s="8190"/>
      <c r="V122" s="8190" t="str">
        <f>IF(AQ122&lt;&gt;"",AQ122,IF(OR(W158=0,W158="",V117=""),"",W158))</f>
        <v/>
      </c>
      <c r="W122" s="8190"/>
      <c r="X122" s="66"/>
      <c r="Y122" s="814"/>
      <c r="Z122" s="292"/>
      <c r="AA122" s="292"/>
      <c r="AB122" s="8467" t="s">
        <v>5831</v>
      </c>
      <c r="AC122" s="8467"/>
      <c r="AD122" s="8467"/>
      <c r="AE122" s="8467"/>
      <c r="AF122" s="8467"/>
      <c r="AG122" s="292"/>
      <c r="AH122" s="292"/>
      <c r="AI122" s="292"/>
      <c r="AJ122" s="4604"/>
      <c r="AK122" s="6198"/>
      <c r="AL122" s="292"/>
      <c r="AM122" s="6198"/>
      <c r="AN122" s="292"/>
      <c r="AO122" s="6198"/>
      <c r="AP122" s="292"/>
      <c r="AQ122" s="6198"/>
      <c r="AR122" s="292"/>
      <c r="AS122" s="292"/>
      <c r="AT122" s="292"/>
      <c r="AU122" s="676"/>
    </row>
    <row r="123" spans="1:58" ht="13.5" customHeight="1" thickBot="1">
      <c r="A123" s="394"/>
      <c r="B123" s="1742"/>
      <c r="C123" s="1698"/>
      <c r="D123" s="8239"/>
      <c r="E123" s="8239"/>
      <c r="F123" s="8239"/>
      <c r="G123" s="8239"/>
      <c r="H123" s="8239"/>
      <c r="I123" s="8239"/>
      <c r="J123" s="8239"/>
      <c r="K123" s="8239"/>
      <c r="L123" s="8239"/>
      <c r="M123" s="8239"/>
      <c r="N123" s="8240"/>
      <c r="O123" s="1708" t="s">
        <v>3433</v>
      </c>
      <c r="P123" s="8191" t="str">
        <f>IF(AK123&lt;&gt;"",ROUND(AK123,0),IF(OR($P$80,ISERROR(MIN(P117,LOOKUP(P122,$Q$178:$Q$234,$U$178:$U$234)))),"",MIN(P117,LOOKUP(P122,$Q$178:$Q$234,$U$178:$U$234))))</f>
        <v/>
      </c>
      <c r="Q123" s="8191"/>
      <c r="R123" s="8191" t="str">
        <f>IF(AM123&lt;&gt;"",ROUND(AM123,0),IF(OR($P$80,ISERROR(MIN(R117,LOOKUP(R122,$Q$178:$Q$234,$U$178:$U$234)))),"",MIN(R117,LOOKUP(R122,$Q$178:$Q$234,$U$178:$U$234))))</f>
        <v/>
      </c>
      <c r="S123" s="8191"/>
      <c r="T123" s="8191" t="str">
        <f>IF(AO123&lt;&gt;"",ROUND(AO123,0),IF(OR($P$80,ISERROR(MIN(T117,LOOKUP(T122,$Q$178:$Q$234,$U$178:$U$234)))),"",MIN(T117,LOOKUP(T122,$Q$178:$Q$234,$U$178:$U$234))))</f>
        <v/>
      </c>
      <c r="U123" s="8191"/>
      <c r="V123" s="8191" t="str">
        <f>IF(AQ123&lt;&gt;"",ROUND(AQ123,0),IF(OR($P$80,ISERROR(MIN(V117,LOOKUP(V122,$Q$178:$Q$234,$U$178:$U$234)))),"",MIN(V117,LOOKUP(V122,$Q$178:$Q$234,$U$178:$U$234))))</f>
        <v/>
      </c>
      <c r="W123" s="8192"/>
      <c r="X123" s="66"/>
      <c r="Y123" s="814"/>
      <c r="Z123" s="292"/>
      <c r="AA123" s="292"/>
      <c r="AB123" s="8468" t="str">
        <f>"'DATE' associated with row number."</f>
        <v>'DATE' associated with row number.</v>
      </c>
      <c r="AC123" s="8467"/>
      <c r="AD123" s="8467"/>
      <c r="AE123" s="8467"/>
      <c r="AF123" s="8467"/>
      <c r="AG123" s="292"/>
      <c r="AH123" s="292"/>
      <c r="AI123" s="292"/>
      <c r="AJ123" s="4604" t="s">
        <v>3433</v>
      </c>
      <c r="AK123" s="1760"/>
      <c r="AL123" s="292"/>
      <c r="AM123" s="1760"/>
      <c r="AN123" s="292"/>
      <c r="AO123" s="1760"/>
      <c r="AP123" s="292"/>
      <c r="AQ123" s="1760"/>
      <c r="AR123" s="292"/>
      <c r="AS123" s="292"/>
      <c r="AT123" s="292"/>
      <c r="AU123" s="676"/>
    </row>
    <row r="124" spans="1:58" s="392" customFormat="1" ht="13.5" customHeight="1">
      <c r="A124" s="424"/>
      <c r="B124" s="1741"/>
      <c r="C124" s="1709" t="s">
        <v>3434</v>
      </c>
      <c r="D124" s="1709"/>
      <c r="E124" s="1704"/>
      <c r="F124" s="1709" t="str">
        <f>TEXT(K125,"MMMM D, YYYY")&amp;"—"&amp;TEXT(K126,"MMMM D, YYYY")</f>
        <v>April 16, 2023—June 30, 2023</v>
      </c>
      <c r="G124" s="1704"/>
      <c r="H124" s="1704"/>
      <c r="I124" s="1704"/>
      <c r="J124" s="1704"/>
      <c r="K124" s="1704"/>
      <c r="L124" s="1704"/>
      <c r="M124" s="1704"/>
      <c r="N124" s="1710"/>
      <c r="O124" s="1732"/>
      <c r="P124" s="8202"/>
      <c r="Q124" s="8203"/>
      <c r="R124" s="8202"/>
      <c r="S124" s="8203"/>
      <c r="T124" s="1724"/>
      <c r="U124" s="1725"/>
      <c r="V124" s="2147"/>
      <c r="W124" s="2586"/>
      <c r="X124" s="441"/>
      <c r="Y124" s="814"/>
      <c r="Z124" s="292"/>
      <c r="AA124" s="292"/>
      <c r="AB124" s="8467" t="s">
        <v>5832</v>
      </c>
      <c r="AC124" s="8467"/>
      <c r="AD124" s="8467"/>
      <c r="AE124" s="8467"/>
      <c r="AF124" s="8467"/>
      <c r="AG124" s="292"/>
      <c r="AH124" s="292"/>
      <c r="AI124" s="292"/>
      <c r="AJ124" s="292"/>
      <c r="AK124" s="292"/>
      <c r="AL124" s="292"/>
      <c r="AM124" s="292"/>
      <c r="AN124" s="292"/>
      <c r="AO124" s="292"/>
      <c r="AP124" s="292"/>
      <c r="AQ124" s="292"/>
      <c r="AR124" s="292"/>
      <c r="AS124" s="292"/>
      <c r="AT124" s="292"/>
      <c r="AU124" s="676"/>
      <c r="AV124" s="2038"/>
      <c r="AW124" s="2038"/>
      <c r="AX124" s="2038"/>
      <c r="AY124" s="2038"/>
      <c r="AZ124" s="2038"/>
      <c r="BA124" s="2038"/>
      <c r="BB124" s="2038"/>
      <c r="BC124" s="2038"/>
      <c r="BD124" s="2038"/>
      <c r="BE124" s="2038"/>
      <c r="BF124" s="2038"/>
    </row>
    <row r="125" spans="1:58" ht="13.5" customHeight="1">
      <c r="A125" s="394"/>
      <c r="B125" s="1741"/>
      <c r="C125" s="1713">
        <v>2</v>
      </c>
      <c r="D125" s="1715" t="s">
        <v>3435</v>
      </c>
      <c r="E125" s="1704"/>
      <c r="F125" s="1704"/>
      <c r="G125" s="1704"/>
      <c r="H125" s="1704"/>
      <c r="I125" s="1704"/>
      <c r="J125" s="1704"/>
      <c r="K125" s="8215">
        <f>DATEVALUE("16-Apr-"&amp;TaxYear)</f>
        <v>45032</v>
      </c>
      <c r="L125" s="8216"/>
      <c r="M125" s="8216"/>
      <c r="N125" s="8217"/>
      <c r="O125" s="1717" t="s">
        <v>254</v>
      </c>
      <c r="P125" s="8197">
        <f>P73</f>
        <v>45031</v>
      </c>
      <c r="Q125" s="8205"/>
      <c r="R125" s="8197">
        <f>R73</f>
        <v>45092</v>
      </c>
      <c r="S125" s="8206"/>
      <c r="T125" s="2586"/>
      <c r="U125" s="4100"/>
      <c r="V125" s="1728"/>
      <c r="W125" s="2587"/>
      <c r="X125" s="66"/>
      <c r="Y125" s="814"/>
      <c r="Z125" s="292"/>
      <c r="AA125" s="292"/>
      <c r="AB125" s="292"/>
      <c r="AC125" s="292"/>
      <c r="AD125" s="292"/>
      <c r="AE125" s="292"/>
      <c r="AF125" s="292"/>
      <c r="AG125" s="292"/>
      <c r="AH125" s="292"/>
      <c r="AI125" s="292"/>
      <c r="AJ125" s="292"/>
      <c r="AK125" s="292"/>
      <c r="AL125" s="292"/>
      <c r="AM125" s="292"/>
      <c r="AN125" s="292"/>
      <c r="AO125" s="292"/>
      <c r="AP125" s="292"/>
      <c r="AQ125" s="292"/>
      <c r="AR125" s="292"/>
      <c r="AS125" s="292"/>
      <c r="AT125" s="292"/>
      <c r="AU125" s="676"/>
    </row>
    <row r="126" spans="1:58" ht="13.5" customHeight="1">
      <c r="A126" s="394"/>
      <c r="B126" s="1741"/>
      <c r="C126" s="1752"/>
      <c r="D126" s="1752"/>
      <c r="E126" s="1752"/>
      <c r="F126" s="1752"/>
      <c r="G126" s="1752"/>
      <c r="H126" s="1752"/>
      <c r="I126" s="1752"/>
      <c r="J126" s="1752"/>
      <c r="K126" s="8215">
        <f>DATEVALUE("30-Jun-"&amp;TaxYear)</f>
        <v>45107</v>
      </c>
      <c r="L126" s="8216"/>
      <c r="M126" s="8216"/>
      <c r="N126" s="8217"/>
      <c r="O126" s="1707"/>
      <c r="P126" s="8195" t="s">
        <v>3436</v>
      </c>
      <c r="Q126" s="8207"/>
      <c r="R126" s="8195" t="s">
        <v>3436</v>
      </c>
      <c r="S126" s="8207"/>
      <c r="T126" s="2587"/>
      <c r="U126" s="1729"/>
      <c r="V126" s="1728"/>
      <c r="W126" s="2587"/>
      <c r="X126" s="66"/>
      <c r="Y126" s="814"/>
      <c r="Z126" s="292"/>
      <c r="AA126" s="292"/>
      <c r="AB126" s="292"/>
      <c r="AC126" s="292"/>
      <c r="AD126" s="292"/>
      <c r="AE126" s="292"/>
      <c r="AF126" s="292"/>
      <c r="AG126" s="292"/>
      <c r="AH126" s="292"/>
      <c r="AI126" s="292"/>
      <c r="AJ126" s="292"/>
      <c r="AK126" s="292"/>
      <c r="AL126" s="292"/>
      <c r="AM126" s="292"/>
      <c r="AN126" s="292"/>
      <c r="AO126" s="292"/>
      <c r="AP126" s="292"/>
      <c r="AQ126" s="292"/>
      <c r="AR126" s="292"/>
      <c r="AS126" s="292"/>
      <c r="AT126" s="292"/>
      <c r="AU126" s="676"/>
    </row>
    <row r="127" spans="1:58" ht="15">
      <c r="A127" s="394"/>
      <c r="B127" s="1741"/>
      <c r="C127" s="1704"/>
      <c r="D127" s="1704"/>
      <c r="E127" s="1704"/>
      <c r="F127" s="1704"/>
      <c r="G127" s="1704"/>
      <c r="H127" s="1704"/>
      <c r="I127" s="1704"/>
      <c r="J127" s="1704"/>
      <c r="K127" s="1704"/>
      <c r="L127" s="1704"/>
      <c r="M127" s="1704"/>
      <c r="N127" s="1710"/>
      <c r="O127" s="1707"/>
      <c r="P127" s="6195"/>
      <c r="Q127" s="6194"/>
      <c r="R127" s="6195"/>
      <c r="S127" s="6194"/>
      <c r="T127" s="2587"/>
      <c r="U127" s="1729"/>
      <c r="V127" s="1728"/>
      <c r="W127" s="2587"/>
      <c r="X127" s="66"/>
      <c r="Y127" s="814"/>
      <c r="Z127" s="292"/>
      <c r="AA127" s="292"/>
      <c r="AB127" s="292"/>
      <c r="AC127" s="292"/>
      <c r="AD127" s="292"/>
      <c r="AE127" s="292"/>
      <c r="AF127" s="292"/>
      <c r="AG127" s="292"/>
      <c r="AH127" s="292"/>
      <c r="AI127" s="292"/>
      <c r="AJ127" s="292"/>
      <c r="AK127" s="292"/>
      <c r="AL127" s="292"/>
      <c r="AM127" s="292"/>
      <c r="AN127" s="292"/>
      <c r="AO127" s="292"/>
      <c r="AP127" s="292"/>
      <c r="AQ127" s="292"/>
      <c r="AR127" s="292"/>
      <c r="AS127" s="292"/>
      <c r="AT127" s="292"/>
      <c r="AU127" s="676"/>
    </row>
    <row r="128" spans="1:58" ht="13.5" customHeight="1">
      <c r="A128" s="394"/>
      <c r="B128" s="1741"/>
      <c r="C128" s="1713">
        <v>3</v>
      </c>
      <c r="D128" s="1714" t="s">
        <v>3437</v>
      </c>
      <c r="E128" s="1704"/>
      <c r="F128" s="1704"/>
      <c r="G128" s="1704"/>
      <c r="H128" s="1704"/>
      <c r="I128" s="1704"/>
      <c r="J128" s="1704"/>
      <c r="K128" s="1704"/>
      <c r="L128" s="1704"/>
      <c r="M128" s="1704"/>
      <c r="N128" s="1710"/>
      <c r="O128" s="1707"/>
      <c r="P128" s="6199"/>
      <c r="Q128" s="5200">
        <f>IF(P$120&gt;$K126,$K126,P$120)</f>
        <v>0</v>
      </c>
      <c r="R128" s="5201"/>
      <c r="S128" s="5200">
        <f>IF(R$120&gt;$K126,$K126,R$120)</f>
        <v>44927</v>
      </c>
      <c r="T128" s="2587"/>
      <c r="U128" s="1729"/>
      <c r="V128" s="1728"/>
      <c r="W128" s="2587"/>
      <c r="X128" s="66"/>
      <c r="Y128" s="814"/>
      <c r="Z128" s="292"/>
      <c r="AA128" s="292"/>
      <c r="AB128" s="292"/>
      <c r="AC128" s="292"/>
      <c r="AD128" s="292"/>
      <c r="AE128" s="292"/>
      <c r="AF128" s="292"/>
      <c r="AG128" s="292"/>
      <c r="AH128" s="292"/>
      <c r="AI128" s="292"/>
      <c r="AJ128" s="292"/>
      <c r="AK128" s="292"/>
      <c r="AL128" s="292"/>
      <c r="AM128" s="292"/>
      <c r="AN128" s="292"/>
      <c r="AO128" s="292"/>
      <c r="AP128" s="292"/>
      <c r="AQ128" s="292"/>
      <c r="AR128" s="292"/>
      <c r="AS128" s="292"/>
      <c r="AT128" s="292"/>
      <c r="AU128" s="676"/>
    </row>
    <row r="129" spans="1:70" ht="10.5" customHeight="1">
      <c r="A129" s="394"/>
      <c r="B129" s="1741"/>
      <c r="C129" s="1704"/>
      <c r="D129" s="1714" t="s">
        <v>3438</v>
      </c>
      <c r="E129" s="1704"/>
      <c r="F129" s="1704"/>
      <c r="G129" s="1714" t="str">
        <f>TEXT(K126,"M/D/YY")&amp;", whichever is earlier"</f>
        <v>6/30/23, whichever is earlier</v>
      </c>
      <c r="H129" s="1704"/>
      <c r="I129" s="1704"/>
      <c r="J129" s="1704"/>
      <c r="K129" s="1704"/>
      <c r="L129" s="1704"/>
      <c r="M129" s="1704"/>
      <c r="N129" s="960" t="s">
        <v>680</v>
      </c>
      <c r="O129" s="1722">
        <v>3</v>
      </c>
      <c r="P129" s="8199" t="str">
        <f>IF(OR(P123=""),"",IF(Q128-P125&lt;0,0,SUM(Q128,-P125)))</f>
        <v/>
      </c>
      <c r="Q129" s="8204"/>
      <c r="R129" s="8199" t="str">
        <f>IF(OR(R123=""),"",IF(S128-R125&lt;0,0,SUM(S128,-R125)))</f>
        <v/>
      </c>
      <c r="S129" s="8204"/>
      <c r="T129" s="2587"/>
      <c r="U129" s="1729"/>
      <c r="V129" s="1728"/>
      <c r="W129" s="2587"/>
      <c r="X129" s="66"/>
      <c r="Y129" s="814"/>
      <c r="Z129" s="292"/>
      <c r="AA129" s="292"/>
      <c r="AB129" s="292"/>
      <c r="AC129" s="292"/>
      <c r="AD129" s="292"/>
      <c r="AE129" s="292"/>
      <c r="AF129" s="292"/>
      <c r="AG129" s="292"/>
      <c r="AH129" s="292"/>
      <c r="AI129" s="292"/>
      <c r="AJ129" s="292"/>
      <c r="AK129" s="292"/>
      <c r="AL129" s="292"/>
      <c r="AM129" s="292"/>
      <c r="AN129" s="292"/>
      <c r="AO129" s="292"/>
      <c r="AP129" s="292"/>
      <c r="AQ129" s="292"/>
      <c r="AR129" s="292"/>
      <c r="AS129" s="292"/>
      <c r="AT129" s="292"/>
      <c r="AU129" s="676"/>
    </row>
    <row r="130" spans="1:70" ht="13.5" customHeight="1">
      <c r="A130" s="394"/>
      <c r="B130" s="1741"/>
      <c r="C130" s="1704"/>
      <c r="D130" s="1704"/>
      <c r="E130" s="1704"/>
      <c r="F130" s="1704"/>
      <c r="G130" s="1704"/>
      <c r="H130" s="1704"/>
      <c r="I130" s="1704"/>
      <c r="J130" s="1704"/>
      <c r="K130" s="1704"/>
      <c r="L130" s="1704"/>
      <c r="M130" s="1704"/>
      <c r="N130" s="1710"/>
      <c r="O130" s="1707"/>
      <c r="P130" s="6186"/>
      <c r="Q130" s="6187"/>
      <c r="R130" s="6186"/>
      <c r="S130" s="6187"/>
      <c r="T130" s="2587"/>
      <c r="U130" s="1729"/>
      <c r="V130" s="1728"/>
      <c r="W130" s="2587"/>
      <c r="X130" s="66"/>
      <c r="Y130" s="814"/>
      <c r="Z130" s="292"/>
      <c r="AA130" s="292"/>
      <c r="AB130" s="292"/>
      <c r="AC130" s="292"/>
      <c r="AD130" s="292"/>
      <c r="AE130" s="292"/>
      <c r="AF130" s="292"/>
      <c r="AG130" s="292"/>
      <c r="AH130" s="292"/>
      <c r="AI130" s="292"/>
      <c r="AJ130" s="292"/>
      <c r="AK130" s="292"/>
      <c r="AL130" s="292"/>
      <c r="AM130" s="292"/>
      <c r="AN130" s="292"/>
      <c r="AO130" s="292"/>
      <c r="AP130" s="292"/>
      <c r="AQ130" s="292"/>
      <c r="AR130" s="292"/>
      <c r="AS130" s="292"/>
      <c r="AT130" s="292"/>
      <c r="AU130" s="676"/>
    </row>
    <row r="131" spans="1:70" ht="13.5" customHeight="1">
      <c r="A131" s="394"/>
      <c r="B131" s="1741"/>
      <c r="C131" s="1713">
        <v>4</v>
      </c>
      <c r="D131" s="1704"/>
      <c r="E131" s="1329" t="s">
        <v>3439</v>
      </c>
      <c r="F131" s="1704"/>
      <c r="G131" s="1704"/>
      <c r="H131" s="1714" t="s">
        <v>3440</v>
      </c>
      <c r="I131" s="1713"/>
      <c r="J131" s="1704"/>
      <c r="K131" s="1704"/>
      <c r="L131" s="1704"/>
      <c r="M131" s="1704"/>
      <c r="N131" s="1710"/>
      <c r="O131" s="1707"/>
      <c r="P131" s="6185"/>
      <c r="Q131" s="6187"/>
      <c r="R131" s="6185"/>
      <c r="S131" s="6187"/>
      <c r="T131" s="2587"/>
      <c r="U131" s="1729"/>
      <c r="V131" s="1728"/>
      <c r="W131" s="2587"/>
      <c r="X131" s="66"/>
      <c r="Y131" s="814"/>
      <c r="Z131" s="292"/>
      <c r="AA131" s="292"/>
      <c r="AB131" s="292"/>
      <c r="AC131" s="292"/>
      <c r="AD131" s="292"/>
      <c r="AE131" s="292"/>
      <c r="AF131" s="292"/>
      <c r="AG131" s="292"/>
      <c r="AH131" s="292"/>
      <c r="AI131" s="292"/>
      <c r="AJ131" s="292"/>
      <c r="AK131" s="292"/>
      <c r="AL131" s="292"/>
      <c r="AM131" s="292"/>
      <c r="AN131" s="292"/>
      <c r="AO131" s="292"/>
      <c r="AP131" s="292"/>
      <c r="AQ131" s="292"/>
      <c r="AR131" s="292"/>
      <c r="AS131" s="292"/>
      <c r="AT131" s="292"/>
      <c r="AU131" s="676"/>
    </row>
    <row r="132" spans="1:70" ht="13.5" customHeight="1">
      <c r="A132" s="394"/>
      <c r="B132" s="1741"/>
      <c r="C132" s="1713"/>
      <c r="D132" s="1715"/>
      <c r="E132" s="1329" t="s">
        <v>3441</v>
      </c>
      <c r="F132" s="1704"/>
      <c r="G132" s="1703" t="s">
        <v>2268</v>
      </c>
      <c r="H132" s="1698"/>
      <c r="I132" s="1330" t="s">
        <v>3442</v>
      </c>
      <c r="J132" s="1698"/>
      <c r="K132" s="1718" t="s">
        <v>2268</v>
      </c>
      <c r="L132" s="8218">
        <v>7.0000000000000007E-2</v>
      </c>
      <c r="M132" s="8219"/>
      <c r="N132" s="8220"/>
      <c r="O132" s="1707"/>
      <c r="P132" s="6186"/>
      <c r="Q132" s="6187"/>
      <c r="R132" s="6186"/>
      <c r="S132" s="6187"/>
      <c r="T132" s="2587"/>
      <c r="U132" s="1729"/>
      <c r="V132" s="1728"/>
      <c r="W132" s="2587"/>
      <c r="X132" s="66"/>
      <c r="Y132" s="814"/>
      <c r="Z132" s="292"/>
      <c r="AA132" s="292"/>
      <c r="AB132" s="292"/>
      <c r="AC132" s="292"/>
      <c r="AD132" s="292"/>
      <c r="AE132" s="292"/>
      <c r="AF132" s="292"/>
      <c r="AG132" s="292"/>
      <c r="AH132" s="292"/>
      <c r="AI132" s="292"/>
      <c r="AJ132" s="292"/>
      <c r="AK132" s="292"/>
      <c r="AL132" s="292"/>
      <c r="AM132" s="292"/>
      <c r="AN132" s="292"/>
      <c r="AO132" s="292"/>
      <c r="AP132" s="292"/>
      <c r="AQ132" s="292"/>
      <c r="AR132" s="292"/>
      <c r="AS132" s="292"/>
      <c r="AT132" s="292"/>
      <c r="AU132" s="676"/>
    </row>
    <row r="133" spans="1:70" ht="13.5" customHeight="1">
      <c r="A133" s="394"/>
      <c r="B133" s="1742"/>
      <c r="C133" s="1698"/>
      <c r="D133" s="1719"/>
      <c r="E133" s="1698"/>
      <c r="F133" s="1698"/>
      <c r="G133" s="1698"/>
      <c r="H133" s="1698"/>
      <c r="I133" s="1721">
        <f>DaysInTaxYear</f>
        <v>365</v>
      </c>
      <c r="J133" s="1698"/>
      <c r="K133" s="1698"/>
      <c r="L133" s="1698"/>
      <c r="M133" s="1698"/>
      <c r="N133" s="1720"/>
      <c r="O133" s="1722">
        <v>4</v>
      </c>
      <c r="P133" s="8193" t="str">
        <f>IF(OR(P123=""),"",ROUND(P$117*P129/$I133*$L132,2))</f>
        <v/>
      </c>
      <c r="Q133" s="8194"/>
      <c r="R133" s="8193" t="str">
        <f>IF(OR(R123=""),"",ROUND(R$117*R129/$I133*$L132,2))</f>
        <v/>
      </c>
      <c r="S133" s="8194"/>
      <c r="T133" s="2588"/>
      <c r="U133" s="1731"/>
      <c r="V133" s="1728"/>
      <c r="W133" s="2587"/>
      <c r="X133" s="66"/>
      <c r="Y133" s="814"/>
      <c r="Z133" s="292"/>
      <c r="AA133" s="292"/>
      <c r="AB133" s="292"/>
      <c r="AC133" s="292"/>
      <c r="AD133" s="292"/>
      <c r="AE133" s="292"/>
      <c r="AF133" s="292"/>
      <c r="AG133" s="292"/>
      <c r="AH133" s="292"/>
      <c r="AI133" s="292"/>
      <c r="AJ133" s="292"/>
      <c r="AK133" s="292"/>
      <c r="AL133" s="292"/>
      <c r="AM133" s="292"/>
      <c r="AN133" s="292"/>
      <c r="AO133" s="292"/>
      <c r="AP133" s="292"/>
      <c r="AQ133" s="292"/>
      <c r="AR133" s="292"/>
      <c r="AS133" s="292"/>
      <c r="AT133" s="292"/>
      <c r="AU133" s="676"/>
    </row>
    <row r="134" spans="1:70" ht="13.5" customHeight="1">
      <c r="A134" s="424"/>
      <c r="B134" s="1741"/>
      <c r="C134" s="1709" t="s">
        <v>3443</v>
      </c>
      <c r="D134" s="1709"/>
      <c r="E134" s="1704"/>
      <c r="F134" s="1709" t="str">
        <f>TEXT(K135,"MMMM D, YYYY")&amp;"—"&amp;TEXT(K136,"MMMM D, YYYY")</f>
        <v>July 1, 2023—September 30, 2023</v>
      </c>
      <c r="G134" s="1704"/>
      <c r="H134" s="1704"/>
      <c r="I134" s="1704"/>
      <c r="J134" s="1704"/>
      <c r="K134" s="1704"/>
      <c r="L134" s="1704"/>
      <c r="M134" s="1704"/>
      <c r="N134" s="1710"/>
      <c r="O134" s="1732"/>
      <c r="P134" s="8202"/>
      <c r="Q134" s="8203"/>
      <c r="R134" s="8202"/>
      <c r="S134" s="8203"/>
      <c r="T134" s="1724"/>
      <c r="U134" s="1725"/>
      <c r="V134" s="1728"/>
      <c r="W134" s="2587"/>
      <c r="X134" s="441"/>
      <c r="Y134" s="814"/>
      <c r="Z134" s="292"/>
      <c r="AA134" s="292"/>
      <c r="AB134" s="292"/>
      <c r="AC134" s="292"/>
      <c r="AD134" s="292"/>
      <c r="AE134" s="292"/>
      <c r="AF134" s="292"/>
      <c r="AG134" s="292"/>
      <c r="AH134" s="292"/>
      <c r="AI134" s="292"/>
      <c r="AJ134" s="292"/>
      <c r="AK134" s="292"/>
      <c r="AL134" s="292"/>
      <c r="AM134" s="292"/>
      <c r="AN134" s="292"/>
      <c r="AO134" s="292"/>
      <c r="AP134" s="292"/>
      <c r="AQ134" s="292"/>
      <c r="AR134" s="292"/>
      <c r="AS134" s="292"/>
      <c r="AT134" s="292"/>
      <c r="AU134" s="676"/>
    </row>
    <row r="135" spans="1:70" ht="13.5" customHeight="1">
      <c r="A135" s="394"/>
      <c r="B135" s="1741"/>
      <c r="C135" s="1713">
        <v>5</v>
      </c>
      <c r="D135" s="1715" t="s">
        <v>3435</v>
      </c>
      <c r="E135" s="1704"/>
      <c r="F135" s="1704"/>
      <c r="G135" s="1704"/>
      <c r="H135" s="1704"/>
      <c r="I135" s="1704"/>
      <c r="J135" s="1704"/>
      <c r="K135" s="8215">
        <f>DATEVALUE("1-Jul-"&amp;TaxYear)</f>
        <v>45108</v>
      </c>
      <c r="L135" s="8216"/>
      <c r="M135" s="8216"/>
      <c r="N135" s="8217"/>
      <c r="O135" s="1717">
        <v>5</v>
      </c>
      <c r="P135" s="8197">
        <f>$K126</f>
        <v>45107</v>
      </c>
      <c r="Q135" s="8205"/>
      <c r="R135" s="8197">
        <f>$K126</f>
        <v>45107</v>
      </c>
      <c r="S135" s="8206"/>
      <c r="T135" s="8197">
        <f>T116</f>
        <v>45184</v>
      </c>
      <c r="U135" s="8205"/>
      <c r="V135" s="1728"/>
      <c r="W135" s="2587"/>
      <c r="X135" s="66"/>
      <c r="Y135" s="814"/>
      <c r="Z135" s="292"/>
      <c r="AA135" s="292"/>
      <c r="AB135" s="292"/>
      <c r="AC135" s="292"/>
      <c r="AD135" s="292"/>
      <c r="AE135" s="292"/>
      <c r="AF135" s="292"/>
      <c r="AG135" s="292"/>
      <c r="AH135" s="292"/>
      <c r="AI135" s="292"/>
      <c r="AJ135" s="292"/>
      <c r="AK135" s="292"/>
      <c r="AL135" s="292"/>
      <c r="AM135" s="292"/>
      <c r="AN135" s="292"/>
      <c r="AO135" s="292"/>
      <c r="AP135" s="292"/>
      <c r="AQ135" s="292"/>
      <c r="AR135" s="292"/>
      <c r="AS135" s="292"/>
      <c r="AT135" s="292"/>
      <c r="AU135" s="676"/>
    </row>
    <row r="136" spans="1:70" ht="13.5" customHeight="1">
      <c r="A136" s="394"/>
      <c r="B136" s="1741"/>
      <c r="C136" s="1704"/>
      <c r="D136" s="1704"/>
      <c r="E136" s="1704"/>
      <c r="F136" s="1704"/>
      <c r="G136" s="1704"/>
      <c r="H136" s="1704"/>
      <c r="I136" s="1704"/>
      <c r="J136" s="1704"/>
      <c r="K136" s="8215">
        <f>DATEVALUE("30-Sep-"&amp;TaxYear)</f>
        <v>45199</v>
      </c>
      <c r="L136" s="8216"/>
      <c r="M136" s="8216"/>
      <c r="N136" s="8217"/>
      <c r="O136" s="1707"/>
      <c r="P136" s="8195" t="s">
        <v>3436</v>
      </c>
      <c r="Q136" s="8207"/>
      <c r="R136" s="8195" t="s">
        <v>3436</v>
      </c>
      <c r="S136" s="8207"/>
      <c r="T136" s="8195" t="s">
        <v>3436</v>
      </c>
      <c r="U136" s="8207"/>
      <c r="V136" s="1728"/>
      <c r="W136" s="2587"/>
      <c r="X136" s="66"/>
      <c r="Y136" s="814"/>
      <c r="Z136" s="292"/>
      <c r="AA136" s="292"/>
      <c r="AB136" s="292"/>
      <c r="AC136" s="292"/>
      <c r="AD136" s="292"/>
      <c r="AE136" s="292"/>
      <c r="AF136" s="292"/>
      <c r="AG136" s="292"/>
      <c r="AH136" s="292"/>
      <c r="AI136" s="292"/>
      <c r="AJ136" s="292"/>
      <c r="AK136" s="292"/>
      <c r="AL136" s="292"/>
      <c r="AM136" s="292"/>
      <c r="AN136" s="292"/>
      <c r="AO136" s="292"/>
      <c r="AP136" s="292"/>
      <c r="AQ136" s="292"/>
      <c r="AR136" s="292"/>
      <c r="AS136" s="292"/>
      <c r="AT136" s="292"/>
      <c r="AU136" s="676"/>
      <c r="BR136" s="640"/>
    </row>
    <row r="137" spans="1:70" ht="13.5" customHeight="1">
      <c r="A137" s="394"/>
      <c r="B137" s="1741"/>
      <c r="C137" s="1704"/>
      <c r="D137" s="1704"/>
      <c r="E137" s="1704"/>
      <c r="F137" s="1704"/>
      <c r="G137" s="1704"/>
      <c r="H137" s="1704"/>
      <c r="I137" s="1704"/>
      <c r="J137" s="1704"/>
      <c r="K137" s="1704"/>
      <c r="L137" s="1704"/>
      <c r="M137" s="1704"/>
      <c r="N137" s="1710"/>
      <c r="O137" s="1707"/>
      <c r="P137" s="6195"/>
      <c r="Q137" s="6194"/>
      <c r="R137" s="6195"/>
      <c r="S137" s="6194"/>
      <c r="T137" s="6195"/>
      <c r="U137" s="6194"/>
      <c r="V137" s="1728"/>
      <c r="W137" s="2587"/>
      <c r="X137" s="66"/>
      <c r="Y137" s="814"/>
      <c r="Z137" s="292"/>
      <c r="AA137" s="292"/>
      <c r="AB137" s="292"/>
      <c r="AC137" s="292"/>
      <c r="AD137" s="292"/>
      <c r="AE137" s="292"/>
      <c r="AF137" s="292"/>
      <c r="AG137" s="292"/>
      <c r="AH137" s="292"/>
      <c r="AI137" s="292"/>
      <c r="AJ137" s="292"/>
      <c r="AK137" s="292"/>
      <c r="AL137" s="292"/>
      <c r="AM137" s="292"/>
      <c r="AN137" s="292"/>
      <c r="AO137" s="292"/>
      <c r="AP137" s="292"/>
      <c r="AQ137" s="292"/>
      <c r="AR137" s="292"/>
      <c r="AS137" s="292"/>
      <c r="AT137" s="292"/>
      <c r="AU137" s="676"/>
      <c r="BR137" s="640"/>
    </row>
    <row r="138" spans="1:70" ht="13.5" customHeight="1">
      <c r="A138" s="394"/>
      <c r="B138" s="1741"/>
      <c r="C138" s="1713">
        <v>6</v>
      </c>
      <c r="D138" s="1714" t="s">
        <v>3444</v>
      </c>
      <c r="E138" s="1704"/>
      <c r="F138" s="1704"/>
      <c r="G138" s="1704"/>
      <c r="H138" s="1704"/>
      <c r="I138" s="1704"/>
      <c r="J138" s="1704"/>
      <c r="K138" s="1704"/>
      <c r="L138" s="1704"/>
      <c r="M138" s="1704"/>
      <c r="N138" s="1710"/>
      <c r="O138" s="1707"/>
      <c r="P138" s="6199"/>
      <c r="Q138" s="5200">
        <f>IF(P$120&gt;$K136,$K136,P$120)</f>
        <v>0</v>
      </c>
      <c r="R138" s="5201"/>
      <c r="S138" s="5200">
        <f>IF(R$120&gt;$K136,$K136,R$120)</f>
        <v>44927</v>
      </c>
      <c r="T138" s="5201"/>
      <c r="U138" s="5200">
        <f>IF(T$120&gt;$K136,$K136,T$120)</f>
        <v>44927</v>
      </c>
      <c r="V138" s="1728"/>
      <c r="W138" s="2587"/>
      <c r="X138" s="66"/>
      <c r="Y138" s="814"/>
      <c r="Z138" s="292"/>
      <c r="AA138" s="292"/>
      <c r="AB138" s="292"/>
      <c r="AC138" s="292"/>
      <c r="AD138" s="292"/>
      <c r="AE138" s="292"/>
      <c r="AF138" s="292"/>
      <c r="AG138" s="292"/>
      <c r="AH138" s="292"/>
      <c r="AI138" s="292"/>
      <c r="AJ138" s="292"/>
      <c r="AK138" s="292"/>
      <c r="AL138" s="292"/>
      <c r="AM138" s="292"/>
      <c r="AN138" s="292"/>
      <c r="AO138" s="292"/>
      <c r="AP138" s="292"/>
      <c r="AQ138" s="292"/>
      <c r="AR138" s="292"/>
      <c r="AS138" s="292"/>
      <c r="AT138" s="292"/>
      <c r="AU138" s="676"/>
      <c r="BR138" s="640"/>
    </row>
    <row r="139" spans="1:70" ht="13.5" customHeight="1">
      <c r="A139" s="394"/>
      <c r="B139" s="1741"/>
      <c r="C139" s="1704"/>
      <c r="D139" s="1714" t="s">
        <v>3438</v>
      </c>
      <c r="E139" s="1704"/>
      <c r="F139" s="1704"/>
      <c r="G139" s="1714" t="str">
        <f>"9/30/"&amp;TaxYear-2000&amp;", whichever is earlier"</f>
        <v>9/30/23, whichever is earlier</v>
      </c>
      <c r="H139" s="1704"/>
      <c r="I139" s="1704"/>
      <c r="J139" s="1704"/>
      <c r="K139" s="1704"/>
      <c r="L139" s="1704"/>
      <c r="M139" s="1704"/>
      <c r="N139" s="960" t="s">
        <v>680</v>
      </c>
      <c r="O139" s="1722">
        <v>6</v>
      </c>
      <c r="P139" s="8199" t="str">
        <f>IF(OR(P123=""),"",IF(Q138-P135&lt;0,0,SUM(Q138,-P135)))</f>
        <v/>
      </c>
      <c r="Q139" s="8204"/>
      <c r="R139" s="8199" t="str">
        <f>IF(OR(R123=""),"",IF(S138-R135&lt;0,0,SUM(S138,-R135)))</f>
        <v/>
      </c>
      <c r="S139" s="8204"/>
      <c r="T139" s="8199" t="str">
        <f>IF(OR(T123=""),"",IF(U138-T135&lt;0,0,SUM(U138,-T135)))</f>
        <v/>
      </c>
      <c r="U139" s="8204"/>
      <c r="V139" s="1728"/>
      <c r="W139" s="2587"/>
      <c r="X139" s="66"/>
      <c r="Y139" s="814"/>
      <c r="Z139" s="292"/>
      <c r="AA139" s="292"/>
      <c r="AB139" s="292"/>
      <c r="AC139" s="292"/>
      <c r="AD139" s="292"/>
      <c r="AE139" s="292"/>
      <c r="AF139" s="292"/>
      <c r="AG139" s="292"/>
      <c r="AH139" s="292"/>
      <c r="AI139" s="292"/>
      <c r="AJ139" s="292"/>
      <c r="AK139" s="292"/>
      <c r="AL139" s="292"/>
      <c r="AM139" s="292"/>
      <c r="AN139" s="292"/>
      <c r="AO139" s="292"/>
      <c r="AP139" s="292"/>
      <c r="AQ139" s="292"/>
      <c r="AR139" s="292"/>
      <c r="AS139" s="292"/>
      <c r="AT139" s="292"/>
      <c r="AU139" s="676"/>
      <c r="BR139" s="640"/>
    </row>
    <row r="140" spans="1:70" ht="13.5" customHeight="1">
      <c r="A140" s="394"/>
      <c r="B140" s="1741"/>
      <c r="C140" s="1704"/>
      <c r="D140" s="1704"/>
      <c r="E140" s="1704"/>
      <c r="F140" s="1704"/>
      <c r="G140" s="1704"/>
      <c r="H140" s="1704"/>
      <c r="I140" s="1704"/>
      <c r="J140" s="1704"/>
      <c r="K140" s="1704"/>
      <c r="L140" s="1704"/>
      <c r="M140" s="1704"/>
      <c r="N140" s="1710"/>
      <c r="O140" s="1707"/>
      <c r="P140" s="1711"/>
      <c r="Q140" s="1712"/>
      <c r="R140" s="1711"/>
      <c r="S140" s="1712"/>
      <c r="T140" s="1711"/>
      <c r="U140" s="1712"/>
      <c r="V140" s="1728"/>
      <c r="W140" s="2587"/>
      <c r="X140" s="66"/>
      <c r="Y140" s="814"/>
      <c r="Z140" s="292"/>
      <c r="AA140" s="292"/>
      <c r="AB140" s="292"/>
      <c r="AC140" s="292"/>
      <c r="AD140" s="292"/>
      <c r="AE140" s="292"/>
      <c r="AF140" s="292"/>
      <c r="AG140" s="292"/>
      <c r="AH140" s="292"/>
      <c r="AI140" s="292"/>
      <c r="AJ140" s="292"/>
      <c r="AK140" s="292"/>
      <c r="AL140" s="292"/>
      <c r="AM140" s="292"/>
      <c r="AN140" s="292"/>
      <c r="AO140" s="292"/>
      <c r="AP140" s="292"/>
      <c r="AQ140" s="292"/>
      <c r="AR140" s="292"/>
      <c r="AS140" s="292"/>
      <c r="AT140" s="292"/>
      <c r="AU140" s="676"/>
      <c r="BR140" s="640"/>
    </row>
    <row r="141" spans="1:70" ht="13.5" customHeight="1">
      <c r="A141" s="394"/>
      <c r="B141" s="1741"/>
      <c r="C141" s="1713">
        <v>7</v>
      </c>
      <c r="D141" s="1704"/>
      <c r="E141" s="1329" t="s">
        <v>3439</v>
      </c>
      <c r="F141" s="1704"/>
      <c r="G141" s="1704"/>
      <c r="H141" s="1714" t="s">
        <v>3440</v>
      </c>
      <c r="I141" s="1713"/>
      <c r="J141" s="1704"/>
      <c r="K141" s="1704"/>
      <c r="L141" s="1704"/>
      <c r="M141" s="1704"/>
      <c r="N141" s="1710"/>
      <c r="O141" s="1707"/>
      <c r="P141" s="2583"/>
      <c r="Q141" s="1712"/>
      <c r="R141" s="2583"/>
      <c r="S141" s="1712"/>
      <c r="T141" s="1711"/>
      <c r="U141" s="1712"/>
      <c r="V141" s="1728"/>
      <c r="W141" s="2587"/>
      <c r="X141" s="66"/>
      <c r="Y141" s="814"/>
      <c r="Z141" s="292"/>
      <c r="AA141" s="292"/>
      <c r="AB141" s="292"/>
      <c r="AC141" s="292"/>
      <c r="AD141" s="292"/>
      <c r="AE141" s="292"/>
      <c r="AF141" s="292"/>
      <c r="AG141" s="292"/>
      <c r="AH141" s="292"/>
      <c r="AI141" s="292"/>
      <c r="AJ141" s="292"/>
      <c r="AK141" s="292"/>
      <c r="AL141" s="292"/>
      <c r="AM141" s="292"/>
      <c r="AN141" s="292"/>
      <c r="AO141" s="292"/>
      <c r="AP141" s="292"/>
      <c r="AQ141" s="292"/>
      <c r="AR141" s="292"/>
      <c r="AS141" s="292"/>
      <c r="AT141" s="292"/>
      <c r="AU141" s="676"/>
      <c r="BR141" s="640"/>
    </row>
    <row r="142" spans="1:70" ht="13.5" customHeight="1">
      <c r="A142" s="394"/>
      <c r="B142" s="1741"/>
      <c r="C142" s="1713"/>
      <c r="D142" s="1715"/>
      <c r="E142" s="1329" t="s">
        <v>3441</v>
      </c>
      <c r="F142" s="1704"/>
      <c r="G142" s="1703" t="s">
        <v>2268</v>
      </c>
      <c r="H142" s="1698"/>
      <c r="I142" s="1330" t="s">
        <v>3445</v>
      </c>
      <c r="J142" s="1698"/>
      <c r="K142" s="1718" t="s">
        <v>2268</v>
      </c>
      <c r="L142" s="8218">
        <v>7.0000000000000007E-2</v>
      </c>
      <c r="M142" s="8219"/>
      <c r="N142" s="8220"/>
      <c r="O142" s="1707"/>
      <c r="P142" s="1711"/>
      <c r="Q142" s="1712"/>
      <c r="R142" s="1711"/>
      <c r="S142" s="1712"/>
      <c r="T142" s="1711"/>
      <c r="U142" s="1712"/>
      <c r="V142" s="1728"/>
      <c r="W142" s="2587"/>
      <c r="X142" s="66"/>
      <c r="Y142" s="814"/>
      <c r="Z142" s="292"/>
      <c r="AA142" s="292"/>
      <c r="AB142" s="292"/>
      <c r="AC142" s="292"/>
      <c r="AD142" s="292"/>
      <c r="AE142" s="292"/>
      <c r="AF142" s="292"/>
      <c r="AG142" s="292"/>
      <c r="AH142" s="292"/>
      <c r="AI142" s="292"/>
      <c r="AJ142" s="292"/>
      <c r="AK142" s="292"/>
      <c r="AL142" s="292"/>
      <c r="AM142" s="292"/>
      <c r="AN142" s="292"/>
      <c r="AO142" s="292"/>
      <c r="AP142" s="292"/>
      <c r="AQ142" s="292"/>
      <c r="AR142" s="292"/>
      <c r="AS142" s="292"/>
      <c r="AT142" s="292"/>
      <c r="AU142" s="676"/>
      <c r="BR142" s="640"/>
    </row>
    <row r="143" spans="1:70" ht="13.5" customHeight="1">
      <c r="A143" s="394"/>
      <c r="B143" s="1742"/>
      <c r="C143" s="1698"/>
      <c r="D143" s="1719"/>
      <c r="E143" s="1698"/>
      <c r="F143" s="1698"/>
      <c r="G143" s="1698"/>
      <c r="H143" s="1698"/>
      <c r="I143" s="1721">
        <f>DaysInTaxYear</f>
        <v>365</v>
      </c>
      <c r="J143" s="1698"/>
      <c r="K143" s="1698"/>
      <c r="L143" s="1698"/>
      <c r="M143" s="1698"/>
      <c r="N143" s="1720"/>
      <c r="O143" s="1722">
        <v>7</v>
      </c>
      <c r="P143" s="8193" t="str">
        <f>IF(OR(P123=""),"",ROUND(P$117*P139/I143*L142,2))</f>
        <v/>
      </c>
      <c r="Q143" s="8194"/>
      <c r="R143" s="8193" t="str">
        <f>IF(OR(R123=""),"",ROUND(R$117*R139/$I143*$L142,2))</f>
        <v/>
      </c>
      <c r="S143" s="8194"/>
      <c r="T143" s="8193" t="str">
        <f>IF(OR(T123=""),"",ROUND(T$117*T139/$I143*$L142,2))</f>
        <v/>
      </c>
      <c r="U143" s="8194"/>
      <c r="V143" s="1728"/>
      <c r="W143" s="2587"/>
      <c r="X143" s="66"/>
      <c r="Y143" s="814"/>
      <c r="Z143" s="292"/>
      <c r="AA143" s="292"/>
      <c r="AB143" s="292"/>
      <c r="AC143" s="292"/>
      <c r="AD143" s="292"/>
      <c r="AE143" s="292"/>
      <c r="AF143" s="292"/>
      <c r="AG143" s="292"/>
      <c r="AH143" s="292"/>
      <c r="AI143" s="292"/>
      <c r="AJ143" s="292"/>
      <c r="AK143" s="292"/>
      <c r="AL143" s="292"/>
      <c r="AM143" s="292"/>
      <c r="AN143" s="292"/>
      <c r="AO143" s="292"/>
      <c r="AP143" s="292"/>
      <c r="AQ143" s="292"/>
      <c r="AR143" s="292"/>
      <c r="AS143" s="292"/>
      <c r="AT143" s="292"/>
      <c r="AU143" s="676"/>
      <c r="BR143" s="640"/>
    </row>
    <row r="144" spans="1:70" ht="13.5" customHeight="1">
      <c r="A144" s="424"/>
      <c r="B144" s="1741"/>
      <c r="C144" s="1709" t="s">
        <v>3446</v>
      </c>
      <c r="D144" s="1709"/>
      <c r="E144" s="1704"/>
      <c r="F144" s="1709" t="str">
        <f>TEXT(K145,"MMMM D, YYYY")&amp;"—"&amp;TEXT(K146,"MMMM D, YYYY")</f>
        <v>October 1, 2023—December 31, 2023</v>
      </c>
      <c r="G144" s="1704"/>
      <c r="H144" s="1704"/>
      <c r="I144" s="1704"/>
      <c r="J144" s="1704"/>
      <c r="K144" s="1704"/>
      <c r="L144" s="1704"/>
      <c r="M144" s="1704"/>
      <c r="N144" s="1710"/>
      <c r="O144" s="1732"/>
      <c r="P144" s="8202"/>
      <c r="Q144" s="8203"/>
      <c r="R144" s="8202"/>
      <c r="S144" s="8203"/>
      <c r="T144" s="1724"/>
      <c r="U144" s="1725"/>
      <c r="V144" s="1728"/>
      <c r="W144" s="2587"/>
      <c r="X144" s="441"/>
      <c r="Y144" s="814"/>
      <c r="Z144" s="292"/>
      <c r="AA144" s="292"/>
      <c r="AB144" s="292"/>
      <c r="AC144" s="292"/>
      <c r="AD144" s="292"/>
      <c r="AE144" s="292"/>
      <c r="AF144" s="292"/>
      <c r="AG144" s="292"/>
      <c r="AH144" s="292"/>
      <c r="AI144" s="292"/>
      <c r="AJ144" s="292"/>
      <c r="AK144" s="292"/>
      <c r="AL144" s="292"/>
      <c r="AM144" s="292"/>
      <c r="AN144" s="292"/>
      <c r="AO144" s="292"/>
      <c r="AP144" s="292"/>
      <c r="AQ144" s="292"/>
      <c r="AR144" s="292"/>
      <c r="AS144" s="292"/>
      <c r="AT144" s="292"/>
      <c r="AU144" s="676"/>
      <c r="BR144" s="640"/>
    </row>
    <row r="145" spans="1:87" ht="15">
      <c r="A145" s="394"/>
      <c r="B145" s="1741"/>
      <c r="C145" s="1713">
        <v>8</v>
      </c>
      <c r="D145" s="1715" t="s">
        <v>3435</v>
      </c>
      <c r="E145" s="1704"/>
      <c r="F145" s="1704"/>
      <c r="G145" s="1704"/>
      <c r="H145" s="1704"/>
      <c r="I145" s="1704"/>
      <c r="J145" s="1704"/>
      <c r="K145" s="8215">
        <f>DATEVALUE("1-Oct-"&amp;TaxYear)</f>
        <v>45200</v>
      </c>
      <c r="L145" s="8216"/>
      <c r="M145" s="8216"/>
      <c r="N145" s="8217"/>
      <c r="O145" s="1717">
        <v>8</v>
      </c>
      <c r="P145" s="8197">
        <f>$K136</f>
        <v>45199</v>
      </c>
      <c r="Q145" s="8205"/>
      <c r="R145" s="8197">
        <f>$K136</f>
        <v>45199</v>
      </c>
      <c r="S145" s="8206"/>
      <c r="T145" s="8197">
        <f>$K136</f>
        <v>45199</v>
      </c>
      <c r="U145" s="8205"/>
      <c r="V145" s="1728"/>
      <c r="W145" s="2587"/>
      <c r="X145" s="66"/>
      <c r="Y145" s="814"/>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676"/>
      <c r="BR145" s="640"/>
    </row>
    <row r="146" spans="1:87" ht="14.25" customHeight="1">
      <c r="A146" s="394"/>
      <c r="B146" s="1741"/>
      <c r="C146" s="1704"/>
      <c r="D146" s="1704"/>
      <c r="E146" s="1704"/>
      <c r="F146" s="1704"/>
      <c r="G146" s="1704"/>
      <c r="H146" s="1704"/>
      <c r="I146" s="1704"/>
      <c r="J146" s="1704"/>
      <c r="K146" s="8215">
        <f>DATEVALUE("31-Dec-"&amp;TaxYear)</f>
        <v>45291</v>
      </c>
      <c r="L146" s="8216"/>
      <c r="M146" s="8216"/>
      <c r="N146" s="8217"/>
      <c r="O146" s="1707"/>
      <c r="P146" s="8195" t="s">
        <v>3436</v>
      </c>
      <c r="Q146" s="8207"/>
      <c r="R146" s="8195" t="s">
        <v>3436</v>
      </c>
      <c r="S146" s="8207"/>
      <c r="T146" s="8195" t="s">
        <v>3436</v>
      </c>
      <c r="U146" s="8207"/>
      <c r="V146" s="1728"/>
      <c r="W146" s="2587"/>
      <c r="X146" s="66"/>
      <c r="Y146" s="814"/>
      <c r="Z146" s="292"/>
      <c r="AA146" s="292"/>
      <c r="AB146" s="292"/>
      <c r="AC146" s="292"/>
      <c r="AD146" s="292"/>
      <c r="AE146" s="292"/>
      <c r="AF146" s="292"/>
      <c r="AG146" s="292"/>
      <c r="AH146" s="292"/>
      <c r="AI146" s="292"/>
      <c r="AJ146" s="292"/>
      <c r="AK146" s="292"/>
      <c r="AL146" s="292"/>
      <c r="AM146" s="292"/>
      <c r="AN146" s="292"/>
      <c r="AO146" s="292"/>
      <c r="AP146" s="292"/>
      <c r="AQ146" s="292"/>
      <c r="AR146" s="292"/>
      <c r="AS146" s="292"/>
      <c r="AT146" s="292"/>
      <c r="AU146" s="676"/>
      <c r="BG146" s="640"/>
      <c r="BR146" s="640"/>
      <c r="CF146" s="640"/>
      <c r="CG146" s="640"/>
      <c r="CH146" s="640"/>
      <c r="CI146" s="640"/>
    </row>
    <row r="147" spans="1:87" ht="14.25" customHeight="1">
      <c r="A147" s="394"/>
      <c r="B147" s="1741"/>
      <c r="C147" s="1704"/>
      <c r="D147" s="1704"/>
      <c r="E147" s="1704"/>
      <c r="F147" s="1704"/>
      <c r="G147" s="1704"/>
      <c r="H147" s="1704"/>
      <c r="I147" s="1704"/>
      <c r="J147" s="1704"/>
      <c r="K147" s="1704"/>
      <c r="L147" s="1704"/>
      <c r="M147" s="1704"/>
      <c r="N147" s="1710"/>
      <c r="O147" s="1707"/>
      <c r="P147" s="6185"/>
      <c r="Q147" s="6194"/>
      <c r="R147" s="6195"/>
      <c r="S147" s="6194"/>
      <c r="T147" s="6195"/>
      <c r="U147" s="6194"/>
      <c r="V147" s="1728"/>
      <c r="W147" s="2587"/>
      <c r="X147" s="66"/>
      <c r="Y147" s="814"/>
      <c r="Z147" s="292"/>
      <c r="AA147" s="292"/>
      <c r="AB147" s="292"/>
      <c r="AC147" s="292"/>
      <c r="AD147" s="292"/>
      <c r="AE147" s="292"/>
      <c r="AF147" s="292"/>
      <c r="AG147" s="292"/>
      <c r="AH147" s="292"/>
      <c r="AI147" s="292"/>
      <c r="AJ147" s="292"/>
      <c r="AK147" s="292"/>
      <c r="AL147" s="292"/>
      <c r="AM147" s="292"/>
      <c r="AN147" s="292"/>
      <c r="AO147" s="292"/>
      <c r="AP147" s="292"/>
      <c r="AQ147" s="292"/>
      <c r="AR147" s="292"/>
      <c r="AS147" s="292"/>
      <c r="AT147" s="292"/>
      <c r="AU147" s="676"/>
      <c r="BR147" s="640"/>
    </row>
    <row r="148" spans="1:87" ht="14.25" customHeight="1">
      <c r="A148" s="394"/>
      <c r="B148" s="1741"/>
      <c r="C148" s="1713">
        <v>9</v>
      </c>
      <c r="D148" s="1714" t="s">
        <v>3447</v>
      </c>
      <c r="E148" s="1704"/>
      <c r="F148" s="1704"/>
      <c r="G148" s="1704"/>
      <c r="H148" s="1704"/>
      <c r="I148" s="1704"/>
      <c r="J148" s="1704"/>
      <c r="K148" s="1704"/>
      <c r="L148" s="1704"/>
      <c r="M148" s="1704"/>
      <c r="N148" s="1710"/>
      <c r="O148" s="1707"/>
      <c r="P148" s="6186"/>
      <c r="Q148" s="5200">
        <f>IF(P$120&gt;$K146,$K146,P$120)</f>
        <v>0</v>
      </c>
      <c r="R148" s="5201"/>
      <c r="S148" s="5200">
        <f>IF(R$120&gt;$K146,$K146,R$120)</f>
        <v>44927</v>
      </c>
      <c r="T148" s="5201"/>
      <c r="U148" s="5200">
        <f>IF(T$120&gt;$K146,$K146,T$120)</f>
        <v>44927</v>
      </c>
      <c r="V148" s="1728"/>
      <c r="W148" s="2587"/>
      <c r="X148" s="66"/>
      <c r="Y148" s="814"/>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676"/>
      <c r="BR148" s="640"/>
    </row>
    <row r="149" spans="1:87" ht="14.25" customHeight="1">
      <c r="A149" s="394"/>
      <c r="B149" s="1741"/>
      <c r="C149" s="1704"/>
      <c r="D149" s="1714" t="s">
        <v>3438</v>
      </c>
      <c r="E149" s="1704"/>
      <c r="F149" s="1704"/>
      <c r="G149" s="1714" t="str">
        <f>"12/31/"&amp;TaxYear-2000&amp;", whichever is earlier"</f>
        <v>12/31/23, whichever is earlier</v>
      </c>
      <c r="H149" s="1704"/>
      <c r="I149" s="1704"/>
      <c r="J149" s="1704"/>
      <c r="K149" s="1704"/>
      <c r="L149" s="1704"/>
      <c r="M149" s="1704"/>
      <c r="N149" s="960" t="s">
        <v>680</v>
      </c>
      <c r="O149" s="1722">
        <v>9</v>
      </c>
      <c r="P149" s="8199" t="str">
        <f>IF(OR(P123=""),"",IF(Q148-P145&lt;0,0,SUM(Q148,-P145)))</f>
        <v/>
      </c>
      <c r="Q149" s="8204"/>
      <c r="R149" s="8199" t="str">
        <f>IF(OR(R123=""),"",IF(S148-R145&lt;0,0,SUM(S148,-R145)))</f>
        <v/>
      </c>
      <c r="S149" s="8204"/>
      <c r="T149" s="8199" t="str">
        <f>IF(OR(T123=""),"",IF(U148-T145&lt;0,0,SUM(U148,-T145)))</f>
        <v/>
      </c>
      <c r="U149" s="8204"/>
      <c r="V149" s="1728"/>
      <c r="W149" s="2587"/>
      <c r="X149" s="66"/>
      <c r="Y149" s="814"/>
      <c r="Z149" s="292"/>
      <c r="AA149" s="292"/>
      <c r="AB149" s="292"/>
      <c r="AC149" s="292"/>
      <c r="AD149" s="292"/>
      <c r="AE149" s="292"/>
      <c r="AF149" s="292"/>
      <c r="AG149" s="292"/>
      <c r="AH149" s="292"/>
      <c r="AI149" s="292"/>
      <c r="AJ149" s="292"/>
      <c r="AK149" s="292"/>
      <c r="AL149" s="292"/>
      <c r="AM149" s="292"/>
      <c r="AN149" s="292"/>
      <c r="AO149" s="292"/>
      <c r="AP149" s="292"/>
      <c r="AQ149" s="292"/>
      <c r="AR149" s="292"/>
      <c r="AS149" s="292"/>
      <c r="AT149" s="292"/>
      <c r="AU149" s="676"/>
      <c r="BR149" s="640"/>
    </row>
    <row r="150" spans="1:87" ht="14.25" customHeight="1">
      <c r="A150" s="394"/>
      <c r="B150" s="1741"/>
      <c r="C150" s="1704"/>
      <c r="D150" s="1704"/>
      <c r="E150" s="1704"/>
      <c r="F150" s="1704"/>
      <c r="G150" s="1704"/>
      <c r="H150" s="1704"/>
      <c r="I150" s="1704"/>
      <c r="J150" s="1704"/>
      <c r="K150" s="1704"/>
      <c r="L150" s="1704"/>
      <c r="M150" s="1704"/>
      <c r="N150" s="1710"/>
      <c r="O150" s="1707"/>
      <c r="P150" s="6186"/>
      <c r="Q150" s="6187"/>
      <c r="R150" s="6186"/>
      <c r="S150" s="6187"/>
      <c r="T150" s="6186"/>
      <c r="U150" s="6187"/>
      <c r="V150" s="1728"/>
      <c r="W150" s="2587"/>
      <c r="X150" s="66"/>
      <c r="Y150" s="814"/>
      <c r="Z150" s="292"/>
      <c r="AA150" s="292"/>
      <c r="AB150" s="292"/>
      <c r="AC150" s="292"/>
      <c r="AD150" s="292"/>
      <c r="AE150" s="292"/>
      <c r="AF150" s="292"/>
      <c r="AG150" s="292"/>
      <c r="AH150" s="292"/>
      <c r="AI150" s="292"/>
      <c r="AJ150" s="292"/>
      <c r="AK150" s="292"/>
      <c r="AL150" s="292"/>
      <c r="AM150" s="292"/>
      <c r="AN150" s="292"/>
      <c r="AO150" s="292"/>
      <c r="AP150" s="292"/>
      <c r="AQ150" s="292"/>
      <c r="AR150" s="292"/>
      <c r="AS150" s="292"/>
      <c r="AT150" s="292"/>
      <c r="AU150" s="676"/>
      <c r="BR150" s="640"/>
    </row>
    <row r="151" spans="1:87" s="640" customFormat="1" ht="17.25" customHeight="1">
      <c r="A151" s="394"/>
      <c r="B151" s="1741"/>
      <c r="C151" s="1713">
        <v>10</v>
      </c>
      <c r="D151" s="1704"/>
      <c r="E151" s="1329" t="s">
        <v>3439</v>
      </c>
      <c r="F151" s="1704"/>
      <c r="G151" s="1704"/>
      <c r="H151" s="1714" t="s">
        <v>3440</v>
      </c>
      <c r="I151" s="1713"/>
      <c r="J151" s="1704"/>
      <c r="K151" s="1704"/>
      <c r="L151" s="1704"/>
      <c r="M151" s="1704"/>
      <c r="N151" s="1710"/>
      <c r="O151" s="1707"/>
      <c r="P151" s="6185"/>
      <c r="Q151" s="6187"/>
      <c r="R151" s="6185"/>
      <c r="S151" s="6187"/>
      <c r="T151" s="6186"/>
      <c r="U151" s="6187"/>
      <c r="V151" s="1728"/>
      <c r="W151" s="2587"/>
      <c r="X151" s="66"/>
      <c r="Y151" s="814"/>
      <c r="Z151" s="292"/>
      <c r="AA151" s="292"/>
      <c r="AB151" s="292"/>
      <c r="AC151" s="292"/>
      <c r="AD151" s="292"/>
      <c r="AE151" s="292"/>
      <c r="AF151" s="292"/>
      <c r="AG151" s="292"/>
      <c r="AH151" s="292"/>
      <c r="AI151" s="292"/>
      <c r="AJ151" s="292"/>
      <c r="AK151" s="292"/>
      <c r="AL151" s="292"/>
      <c r="AM151" s="292"/>
      <c r="AN151" s="292"/>
      <c r="AO151" s="292"/>
      <c r="AP151" s="292"/>
      <c r="AQ151" s="292"/>
      <c r="AR151" s="292"/>
      <c r="AS151" s="292"/>
      <c r="AT151" s="292"/>
      <c r="AU151" s="676"/>
      <c r="AV151" s="2038"/>
      <c r="AW151" s="2038"/>
      <c r="AX151" s="2038"/>
      <c r="AY151" s="2038"/>
      <c r="AZ151" s="2038"/>
      <c r="BA151" s="2038"/>
      <c r="BB151" s="2038"/>
      <c r="BC151" s="2038"/>
      <c r="BD151" s="2038"/>
      <c r="BE151" s="2038"/>
      <c r="BF151" s="2038"/>
      <c r="BG151"/>
      <c r="BH151"/>
      <c r="BI151"/>
      <c r="BJ151"/>
      <c r="BK151"/>
      <c r="BL151"/>
      <c r="BM151"/>
      <c r="BN151"/>
      <c r="BO151"/>
      <c r="BP151"/>
      <c r="BQ151"/>
      <c r="BS151"/>
      <c r="BT151"/>
      <c r="BU151"/>
      <c r="BV151"/>
      <c r="BW151"/>
      <c r="BX151"/>
      <c r="BY151"/>
      <c r="BZ151"/>
      <c r="CA151"/>
      <c r="CB151"/>
      <c r="CC151"/>
      <c r="CD151"/>
      <c r="CE151"/>
      <c r="CF151"/>
      <c r="CG151"/>
      <c r="CH151"/>
      <c r="CI151"/>
    </row>
    <row r="152" spans="1:87" ht="20.25" customHeight="1">
      <c r="A152" s="394"/>
      <c r="B152" s="1741"/>
      <c r="C152" s="1713"/>
      <c r="D152" s="1715"/>
      <c r="E152" s="1329" t="s">
        <v>3441</v>
      </c>
      <c r="F152" s="1704"/>
      <c r="G152" s="1703" t="s">
        <v>2268</v>
      </c>
      <c r="H152" s="1698"/>
      <c r="I152" s="1330" t="s">
        <v>3448</v>
      </c>
      <c r="J152" s="1698"/>
      <c r="K152" s="1718" t="s">
        <v>2268</v>
      </c>
      <c r="L152" s="8218">
        <v>0.08</v>
      </c>
      <c r="M152" s="8219"/>
      <c r="N152" s="8220"/>
      <c r="O152" s="1707"/>
      <c r="P152" s="6186"/>
      <c r="Q152" s="6187"/>
      <c r="R152" s="6186"/>
      <c r="S152" s="6187"/>
      <c r="T152" s="6186"/>
      <c r="U152" s="6187"/>
      <c r="V152" s="1728"/>
      <c r="W152" s="2587"/>
      <c r="X152" s="66"/>
      <c r="Y152" s="814"/>
      <c r="Z152" s="292"/>
      <c r="AA152" s="292"/>
      <c r="AB152" s="292"/>
      <c r="AC152" s="292"/>
      <c r="AD152" s="292"/>
      <c r="AE152" s="292"/>
      <c r="AF152" s="292"/>
      <c r="AU152" s="676"/>
      <c r="BR152" s="640"/>
    </row>
    <row r="153" spans="1:87" ht="15">
      <c r="A153" s="394"/>
      <c r="B153" s="1742"/>
      <c r="C153" s="1698"/>
      <c r="D153" s="1719"/>
      <c r="E153" s="1698"/>
      <c r="F153" s="1698"/>
      <c r="G153" s="1698"/>
      <c r="H153" s="1698"/>
      <c r="I153" s="1721">
        <f>DaysInTaxYear</f>
        <v>365</v>
      </c>
      <c r="J153" s="1698"/>
      <c r="K153" s="1698"/>
      <c r="L153" s="1698"/>
      <c r="M153" s="1698"/>
      <c r="N153" s="1720"/>
      <c r="O153" s="1726">
        <v>10</v>
      </c>
      <c r="P153" s="8193" t="str">
        <f>IF(OR(P123=""),"",ROUND(P$117*P149/I153*L152,2))</f>
        <v/>
      </c>
      <c r="Q153" s="8194"/>
      <c r="R153" s="8193" t="str">
        <f>IF(OR(R123=""),"",ROUND(R$117*R149/$I153*$L152,2))</f>
        <v/>
      </c>
      <c r="S153" s="8194"/>
      <c r="T153" s="8193" t="str">
        <f>IF(OR(T123=""),"",ROUND(T$117*T149/$I153*$L152,2))</f>
        <v/>
      </c>
      <c r="U153" s="8194"/>
      <c r="V153" s="1728"/>
      <c r="W153" s="2587"/>
      <c r="X153" s="66"/>
      <c r="Y153" s="814"/>
      <c r="Z153" s="292"/>
      <c r="AA153" s="292"/>
      <c r="AB153" s="292"/>
      <c r="AC153" s="292"/>
      <c r="AD153" s="292"/>
      <c r="AE153" s="292"/>
      <c r="AF153" s="292"/>
      <c r="AU153" s="676"/>
      <c r="BR153" s="640"/>
    </row>
    <row r="154" spans="1:87" ht="15">
      <c r="A154" s="424"/>
      <c r="B154" s="1741"/>
      <c r="C154" s="1709" t="s">
        <v>3449</v>
      </c>
      <c r="D154" s="1709"/>
      <c r="E154" s="1704"/>
      <c r="F154" s="1709" t="str">
        <f>TEXT(K155,"MMMM D, YYYY")&amp;"—"&amp;TEXT(K156,"MMMM D, YYYY")</f>
        <v>January 1, 2024—April 15, 2024</v>
      </c>
      <c r="G154" s="1704"/>
      <c r="H154" s="1704"/>
      <c r="I154" s="1704"/>
      <c r="J154" s="1704"/>
      <c r="K154" s="1704"/>
      <c r="L154" s="1704"/>
      <c r="M154" s="1704"/>
      <c r="N154" s="1710"/>
      <c r="O154" s="1732"/>
      <c r="P154" s="8202"/>
      <c r="Q154" s="8203"/>
      <c r="R154" s="8202"/>
      <c r="S154" s="8203"/>
      <c r="T154" s="1724"/>
      <c r="U154" s="1725"/>
      <c r="V154" s="1730"/>
      <c r="W154" s="2588"/>
      <c r="X154" s="441"/>
      <c r="Y154" s="814"/>
      <c r="Z154" s="292"/>
      <c r="AA154" s="292"/>
      <c r="AB154" s="292"/>
      <c r="AC154" s="292"/>
      <c r="AD154" s="292"/>
      <c r="AE154" s="292"/>
      <c r="AF154" s="292"/>
      <c r="AU154" s="676"/>
      <c r="BR154" s="640"/>
    </row>
    <row r="155" spans="1:87" ht="16.5" customHeight="1">
      <c r="A155" s="394"/>
      <c r="B155" s="1741"/>
      <c r="C155" s="1713">
        <v>11</v>
      </c>
      <c r="D155" s="1715" t="s">
        <v>3435</v>
      </c>
      <c r="E155" s="1704"/>
      <c r="F155" s="1704"/>
      <c r="G155" s="1704"/>
      <c r="H155" s="1704"/>
      <c r="I155" s="1704"/>
      <c r="J155" s="1704"/>
      <c r="K155" s="8215">
        <f>DATEVALUE("1-Jan-"&amp;TaxYear+1)</f>
        <v>45292</v>
      </c>
      <c r="L155" s="8216"/>
      <c r="M155" s="8216"/>
      <c r="N155" s="8217"/>
      <c r="O155" s="1727">
        <v>11</v>
      </c>
      <c r="P155" s="8197">
        <f>$K146</f>
        <v>45291</v>
      </c>
      <c r="Q155" s="8205"/>
      <c r="R155" s="8197">
        <f>$K146</f>
        <v>45291</v>
      </c>
      <c r="S155" s="8206"/>
      <c r="T155" s="8197">
        <f>$K146</f>
        <v>45291</v>
      </c>
      <c r="U155" s="8205"/>
      <c r="V155" s="8197">
        <f>V116</f>
        <v>45306</v>
      </c>
      <c r="W155" s="8198"/>
      <c r="X155" s="66"/>
      <c r="Y155" s="814"/>
      <c r="Z155" s="292"/>
      <c r="AA155" s="292"/>
      <c r="AU155" s="39"/>
      <c r="BR155" s="640"/>
    </row>
    <row r="156" spans="1:87" ht="14.25" customHeight="1">
      <c r="A156" s="394"/>
      <c r="B156" s="1741"/>
      <c r="C156" s="1704"/>
      <c r="D156" s="1704"/>
      <c r="E156" s="1704"/>
      <c r="F156" s="1704"/>
      <c r="G156" s="1704"/>
      <c r="H156" s="1704"/>
      <c r="I156" s="1704"/>
      <c r="J156" s="1704"/>
      <c r="K156" s="8215">
        <f>DATEVALUE("15-Apr-"&amp;TaxYear+1)</f>
        <v>45397</v>
      </c>
      <c r="L156" s="8216"/>
      <c r="M156" s="8216"/>
      <c r="N156" s="8217"/>
      <c r="O156" s="1707"/>
      <c r="P156" s="8195" t="s">
        <v>3436</v>
      </c>
      <c r="Q156" s="8207"/>
      <c r="R156" s="8195" t="s">
        <v>3436</v>
      </c>
      <c r="S156" s="8207"/>
      <c r="T156" s="8195" t="s">
        <v>3436</v>
      </c>
      <c r="U156" s="8207"/>
      <c r="V156" s="8195" t="s">
        <v>3436</v>
      </c>
      <c r="W156" s="8196"/>
      <c r="X156" s="66"/>
      <c r="Y156" s="814"/>
      <c r="Z156" s="292"/>
      <c r="AA156" s="292"/>
      <c r="AU156" s="39"/>
      <c r="BR156" s="640"/>
    </row>
    <row r="157" spans="1:87" ht="15" customHeight="1">
      <c r="A157" s="394"/>
      <c r="B157" s="1741"/>
      <c r="C157" s="1704"/>
      <c r="D157" s="1704"/>
      <c r="E157" s="1704"/>
      <c r="F157" s="1704"/>
      <c r="G157" s="1704"/>
      <c r="H157" s="1704"/>
      <c r="I157" s="1704"/>
      <c r="J157" s="1704"/>
      <c r="K157" s="1704"/>
      <c r="L157" s="1704"/>
      <c r="M157" s="1704"/>
      <c r="N157" s="1710"/>
      <c r="O157" s="1707"/>
      <c r="P157" s="6185"/>
      <c r="Q157" s="6194"/>
      <c r="R157" s="6195"/>
      <c r="S157" s="6194"/>
      <c r="T157" s="6195"/>
      <c r="U157" s="6194"/>
      <c r="V157" s="6195"/>
      <c r="W157" s="6196"/>
      <c r="X157" s="66"/>
      <c r="Y157" s="1692"/>
      <c r="Z157" s="292"/>
      <c r="AA157" s="292"/>
      <c r="AU157" s="39"/>
      <c r="BR157" s="640"/>
    </row>
    <row r="158" spans="1:87" ht="15">
      <c r="A158" s="394"/>
      <c r="B158" s="1741"/>
      <c r="C158" s="1713">
        <v>12</v>
      </c>
      <c r="D158" s="1714" t="s">
        <v>3450</v>
      </c>
      <c r="E158" s="1704"/>
      <c r="F158" s="1704"/>
      <c r="G158" s="1704"/>
      <c r="H158" s="1704"/>
      <c r="I158" s="1704"/>
      <c r="J158" s="1704"/>
      <c r="K158" s="1704"/>
      <c r="L158" s="1704"/>
      <c r="M158" s="1704"/>
      <c r="N158" s="1710"/>
      <c r="O158" s="1707"/>
      <c r="P158" s="6186"/>
      <c r="Q158" s="5200">
        <f>IF(P$120&gt;$K156,$K156,P$120)</f>
        <v>0</v>
      </c>
      <c r="R158" s="5201"/>
      <c r="S158" s="5200">
        <f>IF(R$120&gt;$K156,$K156,R$120)</f>
        <v>44927</v>
      </c>
      <c r="T158" s="5201"/>
      <c r="U158" s="5200">
        <f>IF(T$120&gt;$K156,$K156,T$120)</f>
        <v>44927</v>
      </c>
      <c r="V158" s="5201"/>
      <c r="W158" s="6171">
        <f>IF(V$120&gt;$K156,$K156,V$120)</f>
        <v>44927</v>
      </c>
      <c r="X158" s="66"/>
      <c r="Y158" s="814"/>
      <c r="Z158" s="292"/>
      <c r="AA158" s="292"/>
      <c r="AU158" s="39"/>
      <c r="BR158" s="640"/>
    </row>
    <row r="159" spans="1:87" ht="13.5" customHeight="1">
      <c r="A159" s="394"/>
      <c r="B159" s="1741"/>
      <c r="C159" s="1704"/>
      <c r="D159" s="1714" t="s">
        <v>3438</v>
      </c>
      <c r="E159" s="1704"/>
      <c r="F159" s="1704"/>
      <c r="G159" s="1714" t="str">
        <f>"4/15/"&amp;TaxYear+1-2000&amp;", whichever is earlier"</f>
        <v>4/15/24, whichever is earlier</v>
      </c>
      <c r="H159" s="1704"/>
      <c r="I159" s="1704"/>
      <c r="J159" s="1704"/>
      <c r="K159" s="1704"/>
      <c r="L159" s="1704"/>
      <c r="M159" s="1704"/>
      <c r="N159" s="960" t="s">
        <v>680</v>
      </c>
      <c r="O159" s="1726">
        <v>12</v>
      </c>
      <c r="P159" s="8199" t="str">
        <f>IF(OR(P123=""),"",IF(Q158-P155&lt;0,0,SUM(Q158,-P155)))</f>
        <v/>
      </c>
      <c r="Q159" s="8204"/>
      <c r="R159" s="8199" t="str">
        <f>IF(OR(R123=""),"",IF(S158-R155&lt;0,0,SUM(S158,-R155)))</f>
        <v/>
      </c>
      <c r="S159" s="8204"/>
      <c r="T159" s="8199" t="str">
        <f>IF(OR(T123=""),"",IF(U158-T155&lt;0,0,SUM(U158,-T155)))</f>
        <v/>
      </c>
      <c r="U159" s="8204"/>
      <c r="V159" s="8199" t="str">
        <f>IF(OR(V123=""),"",IF(W158-V155&lt;0,0,SUM(W158,-V155)))</f>
        <v/>
      </c>
      <c r="W159" s="8200"/>
      <c r="X159" s="66"/>
      <c r="Y159" s="814"/>
      <c r="Z159" s="292"/>
      <c r="AA159" s="292"/>
      <c r="AU159" s="39"/>
      <c r="BR159" s="640"/>
    </row>
    <row r="160" spans="1:87" ht="15">
      <c r="A160" s="394"/>
      <c r="B160" s="1741"/>
      <c r="C160" s="1704"/>
      <c r="D160" s="1704"/>
      <c r="E160" s="1704"/>
      <c r="F160" s="1704"/>
      <c r="G160" s="1704"/>
      <c r="H160" s="1704"/>
      <c r="I160" s="1704"/>
      <c r="J160" s="1704"/>
      <c r="K160" s="1704"/>
      <c r="L160" s="1704"/>
      <c r="M160" s="1704"/>
      <c r="N160" s="1710"/>
      <c r="O160" s="1707"/>
      <c r="P160" s="6186"/>
      <c r="Q160" s="6187"/>
      <c r="R160" s="6186"/>
      <c r="S160" s="6187"/>
      <c r="T160" s="6186"/>
      <c r="U160" s="6187"/>
      <c r="V160" s="6186"/>
      <c r="W160" s="6188"/>
      <c r="X160" s="66"/>
      <c r="Y160" s="814"/>
      <c r="Z160" s="292"/>
      <c r="AA160" s="292"/>
      <c r="AU160" s="39"/>
      <c r="BR160" s="640"/>
    </row>
    <row r="161" spans="1:84" ht="15">
      <c r="A161" s="394"/>
      <c r="B161" s="1741"/>
      <c r="C161" s="1713">
        <v>13</v>
      </c>
      <c r="D161" s="1704"/>
      <c r="E161" s="1329" t="s">
        <v>3439</v>
      </c>
      <c r="F161" s="1704"/>
      <c r="G161" s="1704"/>
      <c r="H161" s="1714" t="s">
        <v>3440</v>
      </c>
      <c r="I161" s="1713"/>
      <c r="J161" s="1704"/>
      <c r="K161" s="1704"/>
      <c r="L161" s="1704"/>
      <c r="M161" s="1704"/>
      <c r="N161" s="1710"/>
      <c r="O161" s="1707"/>
      <c r="P161" s="6185"/>
      <c r="Q161" s="6187"/>
      <c r="R161" s="6185"/>
      <c r="S161" s="6187"/>
      <c r="T161" s="6186"/>
      <c r="U161" s="6187"/>
      <c r="V161" s="6186"/>
      <c r="W161" s="6188"/>
      <c r="X161" s="66"/>
      <c r="Y161" s="814"/>
      <c r="Z161" s="292"/>
      <c r="AA161" s="292"/>
      <c r="AU161" s="39"/>
      <c r="BR161" s="640"/>
    </row>
    <row r="162" spans="1:84" ht="15">
      <c r="A162" s="394"/>
      <c r="B162" s="1741"/>
      <c r="C162" s="1713"/>
      <c r="D162" s="1715"/>
      <c r="E162" s="1329" t="s">
        <v>3441</v>
      </c>
      <c r="F162" s="1704"/>
      <c r="G162" s="1703" t="s">
        <v>2268</v>
      </c>
      <c r="H162" s="1698"/>
      <c r="I162" s="1330" t="s">
        <v>3451</v>
      </c>
      <c r="J162" s="1698"/>
      <c r="K162" s="1718" t="s">
        <v>2268</v>
      </c>
      <c r="L162" s="8218">
        <v>0.08</v>
      </c>
      <c r="M162" s="8219"/>
      <c r="N162" s="8220"/>
      <c r="O162" s="1707"/>
      <c r="P162" s="6186"/>
      <c r="Q162" s="6187"/>
      <c r="R162" s="6186"/>
      <c r="S162" s="6187"/>
      <c r="T162" s="6186"/>
      <c r="U162" s="6187"/>
      <c r="V162" s="6186"/>
      <c r="W162" s="6188"/>
      <c r="X162" s="66"/>
      <c r="Y162" s="814"/>
      <c r="Z162" s="292"/>
      <c r="AA162" s="292"/>
      <c r="AU162" s="39"/>
      <c r="BR162" s="640"/>
    </row>
    <row r="163" spans="1:84" ht="14.25" customHeight="1">
      <c r="A163" s="394"/>
      <c r="B163" s="1741"/>
      <c r="C163" s="1704"/>
      <c r="D163" s="1715"/>
      <c r="E163" s="1704"/>
      <c r="F163" s="1704"/>
      <c r="G163" s="1704"/>
      <c r="H163" s="1704"/>
      <c r="I163" s="1723">
        <f>DaysInTaxYear</f>
        <v>365</v>
      </c>
      <c r="J163" s="1704"/>
      <c r="K163" s="1704"/>
      <c r="L163" s="1704"/>
      <c r="M163" s="1704"/>
      <c r="N163" s="960"/>
      <c r="O163" s="1716">
        <v>13</v>
      </c>
      <c r="P163" s="8193" t="str">
        <f>IF(OR(P123=""),"",ROUND(P$117*P159/I163*L162,2))</f>
        <v/>
      </c>
      <c r="Q163" s="8194"/>
      <c r="R163" s="8193" t="str">
        <f>IF(OR(R123=""),"",ROUND(R$117*R159/$I163*$L162,2))</f>
        <v/>
      </c>
      <c r="S163" s="8194"/>
      <c r="T163" s="8193" t="str">
        <f>IF(OR(T123=""),"",ROUND(T$117*T159/$I163*$L162,2))</f>
        <v/>
      </c>
      <c r="U163" s="8194"/>
      <c r="V163" s="8193" t="str">
        <f>IF(OR(V123=""),"",ROUND(V$117*V159/$I163*$L162,2))</f>
        <v/>
      </c>
      <c r="W163" s="8201"/>
      <c r="X163" s="66"/>
      <c r="Y163" s="814"/>
      <c r="Z163" s="292"/>
      <c r="AA163" s="292"/>
      <c r="AU163" s="39"/>
      <c r="BR163" s="640"/>
    </row>
    <row r="164" spans="1:84" ht="14.25" customHeight="1">
      <c r="A164" s="394"/>
      <c r="B164" s="1239"/>
      <c r="C164" s="1733">
        <v>14</v>
      </c>
      <c r="D164" s="1841" t="s">
        <v>3452</v>
      </c>
      <c r="E164" s="1240"/>
      <c r="F164" s="1240"/>
      <c r="G164" s="1240"/>
      <c r="H164" s="1240"/>
      <c r="I164" s="1240"/>
      <c r="J164" s="1240"/>
      <c r="K164" s="1240"/>
      <c r="L164" s="1240"/>
      <c r="M164" s="1240"/>
      <c r="N164" s="1240"/>
      <c r="O164" s="1240"/>
      <c r="P164" s="1240"/>
      <c r="Q164" s="1240"/>
      <c r="R164" s="1240"/>
      <c r="S164" s="1240"/>
      <c r="T164" s="1240"/>
      <c r="U164" s="1240"/>
      <c r="V164" s="1239"/>
      <c r="W164" s="1240"/>
      <c r="X164" s="66"/>
      <c r="Y164" s="814"/>
      <c r="Z164" s="292"/>
      <c r="AA164" s="292"/>
      <c r="AU164" s="39"/>
      <c r="BR164" s="640"/>
    </row>
    <row r="165" spans="1:84" ht="14.25" customHeight="1">
      <c r="A165" s="394"/>
      <c r="B165" s="1242"/>
      <c r="C165" s="780"/>
      <c r="D165" s="1009" t="s">
        <v>3453</v>
      </c>
      <c r="E165" s="780"/>
      <c r="F165" s="780"/>
      <c r="G165" s="780"/>
      <c r="H165" s="780"/>
      <c r="I165" s="780"/>
      <c r="J165" s="780"/>
      <c r="K165" s="780"/>
      <c r="L165" s="780"/>
      <c r="M165" s="780"/>
      <c r="N165" s="780"/>
      <c r="O165" s="780"/>
      <c r="P165" s="780"/>
      <c r="Q165" s="780"/>
      <c r="R165" s="780"/>
      <c r="S165" s="780"/>
      <c r="T165" s="780"/>
      <c r="U165" s="960" t="s">
        <v>2407</v>
      </c>
      <c r="V165" s="8188" t="str">
        <f>IF(OR($U$47=0,$U$47="",$P$80),"",ROUND(SUM(P133,R133,P143,R143,T143,P153,R153,T153,P163,R163,T163,V163),2))</f>
        <v/>
      </c>
      <c r="W165" s="8189"/>
      <c r="X165" s="66"/>
      <c r="Y165" s="814"/>
      <c r="Z165" s="292"/>
      <c r="AA165" s="292"/>
      <c r="AU165" s="39"/>
      <c r="BR165" s="640"/>
    </row>
    <row r="166" spans="1:84" ht="14.25" customHeight="1">
      <c r="A166" s="394"/>
      <c r="B166" s="1246"/>
      <c r="C166" s="1247"/>
      <c r="D166" s="1247"/>
      <c r="E166" s="1247"/>
      <c r="F166" s="1247"/>
      <c r="G166" s="1247"/>
      <c r="H166" s="1247"/>
      <c r="I166" s="1247"/>
      <c r="J166" s="1247"/>
      <c r="K166" s="1247"/>
      <c r="L166" s="1247"/>
      <c r="M166" s="1247"/>
      <c r="N166" s="1247"/>
      <c r="O166" s="1247"/>
      <c r="P166" s="1247"/>
      <c r="Q166" s="1247"/>
      <c r="R166" s="1247"/>
      <c r="S166" s="1247"/>
      <c r="T166" s="1247"/>
      <c r="U166" s="1247"/>
      <c r="V166" s="1246"/>
      <c r="W166" s="1247"/>
      <c r="X166" s="66"/>
      <c r="Y166" s="814"/>
      <c r="Z166" s="292"/>
      <c r="AA166" s="292"/>
      <c r="AU166" s="39"/>
      <c r="BR166" s="640"/>
    </row>
    <row r="167" spans="1:84" ht="14.25" customHeight="1">
      <c r="A167" s="394"/>
      <c r="B167" s="1240"/>
      <c r="C167" s="1240"/>
      <c r="D167" s="1240"/>
      <c r="E167" s="1240"/>
      <c r="F167" s="1240"/>
      <c r="G167" s="1240"/>
      <c r="H167" s="1240"/>
      <c r="I167" s="1240"/>
      <c r="J167" s="1240"/>
      <c r="K167" s="1240"/>
      <c r="L167" s="1240"/>
      <c r="M167" s="1240"/>
      <c r="N167" s="1240"/>
      <c r="O167" s="1240"/>
      <c r="P167" s="1240"/>
      <c r="Q167" s="1240"/>
      <c r="R167" s="1240"/>
      <c r="S167" s="1240"/>
      <c r="T167" s="1240"/>
      <c r="U167" s="1240"/>
      <c r="V167" s="1240"/>
      <c r="W167" s="1240"/>
      <c r="X167" s="66"/>
      <c r="Y167" s="814"/>
      <c r="Z167" s="292"/>
      <c r="AA167" s="292"/>
      <c r="AU167" s="39"/>
      <c r="BR167" s="640"/>
    </row>
    <row r="168" spans="1:84" ht="14.25" customHeight="1">
      <c r="A168" s="394"/>
      <c r="B168" s="3916" t="str">
        <f>"Instructions for Form 2210 ("&amp;TaxYear&amp;")"</f>
        <v>Instructions for Form 2210 (2023)</v>
      </c>
      <c r="C168" s="780"/>
      <c r="D168" s="780"/>
      <c r="E168" s="780"/>
      <c r="F168" s="780"/>
      <c r="G168" s="780"/>
      <c r="H168" s="780"/>
      <c r="I168" s="780"/>
      <c r="J168" s="780"/>
      <c r="K168" s="780"/>
      <c r="L168" s="780"/>
      <c r="M168" s="780"/>
      <c r="N168" s="780"/>
      <c r="O168" s="1744" t="s">
        <v>3454</v>
      </c>
      <c r="P168" s="780"/>
      <c r="Q168" s="780"/>
      <c r="R168" s="780"/>
      <c r="S168" s="780"/>
      <c r="T168" s="780"/>
      <c r="U168" s="780"/>
      <c r="V168" s="780"/>
      <c r="W168" s="1743"/>
      <c r="X168" s="66"/>
      <c r="Y168" s="814"/>
      <c r="Z168" s="292"/>
      <c r="AA168" s="292"/>
      <c r="AU168" s="39"/>
      <c r="BR168" s="640"/>
    </row>
    <row r="169" spans="1:84" ht="14.25" customHeight="1">
      <c r="A169" s="394"/>
      <c r="B169" s="780"/>
      <c r="C169" s="780"/>
      <c r="D169" s="780"/>
      <c r="E169" s="780"/>
      <c r="F169" s="780"/>
      <c r="G169" s="780"/>
      <c r="H169" s="780"/>
      <c r="I169" s="780"/>
      <c r="J169" s="780"/>
      <c r="K169" s="780"/>
      <c r="L169" s="780"/>
      <c r="M169" s="780"/>
      <c r="N169" s="780"/>
      <c r="O169" s="780"/>
      <c r="P169" s="780"/>
      <c r="Q169" s="780"/>
      <c r="R169" s="780"/>
      <c r="S169" s="780"/>
      <c r="T169" s="780"/>
      <c r="U169" s="780"/>
      <c r="V169" s="780"/>
      <c r="W169" s="780"/>
      <c r="X169" s="66"/>
      <c r="Y169" s="814"/>
      <c r="Z169" s="292"/>
      <c r="AA169" s="292"/>
      <c r="AU169" s="39"/>
      <c r="BR169" s="640"/>
    </row>
    <row r="170" spans="1:84" ht="14.25" customHeight="1" thickBot="1">
      <c r="A170" s="394"/>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814"/>
      <c r="Z170" s="292"/>
      <c r="AA170" s="292"/>
      <c r="AU170" s="39"/>
      <c r="BR170" s="640"/>
    </row>
    <row r="171" spans="1:84" ht="14.25" customHeight="1" thickTop="1" thickBot="1">
      <c r="A171" s="780"/>
      <c r="B171" s="780"/>
      <c r="C171" s="780"/>
      <c r="D171" s="780"/>
      <c r="E171" s="780"/>
      <c r="F171" s="780"/>
      <c r="G171" s="780"/>
      <c r="H171" s="780"/>
      <c r="I171" s="780"/>
      <c r="J171" s="780"/>
      <c r="K171" s="780"/>
      <c r="L171" s="780"/>
      <c r="M171" s="780"/>
      <c r="N171" s="780"/>
      <c r="O171" s="1745"/>
      <c r="P171" s="1889"/>
      <c r="Q171" s="1890"/>
      <c r="R171" s="1890"/>
      <c r="S171" s="1890"/>
      <c r="T171" s="1890"/>
      <c r="U171" s="1890"/>
      <c r="V171" s="1890"/>
      <c r="W171" s="1890"/>
      <c r="X171" s="1891"/>
      <c r="Y171" s="814"/>
      <c r="AU171" s="39"/>
      <c r="BR171" s="640"/>
    </row>
    <row r="172" spans="1:84" ht="14.25" customHeight="1">
      <c r="A172" s="780"/>
      <c r="B172" s="780"/>
      <c r="C172" s="780"/>
      <c r="D172" s="780"/>
      <c r="E172" s="8459" t="s">
        <v>5809</v>
      </c>
      <c r="F172" s="8460"/>
      <c r="G172" s="8460"/>
      <c r="H172" s="8460"/>
      <c r="I172" s="8460"/>
      <c r="J172" s="8460"/>
      <c r="K172" s="8461"/>
      <c r="L172" s="780"/>
      <c r="M172" s="780"/>
      <c r="N172" s="780"/>
      <c r="O172" s="1745"/>
      <c r="P172" s="1892"/>
      <c r="Q172" s="8470" t="str">
        <f>IF($Z$235,"Entries MUST be made in order by date.","Enter taxes paid and withheld here."&amp;CHAR(10)&amp;"- Entries must be In order by date -")</f>
        <v>Enter taxes paid and withheld here.
- Entries must be In order by date -</v>
      </c>
      <c r="R172" s="8470"/>
      <c r="S172" s="8470"/>
      <c r="T172" s="8470"/>
      <c r="U172" s="8470"/>
      <c r="V172" s="8470"/>
      <c r="W172" s="8470"/>
      <c r="X172" s="1894"/>
      <c r="Y172" s="814"/>
      <c r="AU172" s="39"/>
      <c r="BR172" s="640"/>
    </row>
    <row r="173" spans="1:84" ht="14.25" customHeight="1">
      <c r="A173" s="780"/>
      <c r="B173" s="780"/>
      <c r="C173" s="780"/>
      <c r="D173" s="780"/>
      <c r="E173" s="8462"/>
      <c r="F173" s="7348"/>
      <c r="G173" s="7348"/>
      <c r="H173" s="7348"/>
      <c r="I173" s="7348"/>
      <c r="J173" s="7348"/>
      <c r="K173" s="8463"/>
      <c r="L173" s="780"/>
      <c r="M173" s="780"/>
      <c r="N173" s="780"/>
      <c r="O173" s="1745"/>
      <c r="P173" s="1892"/>
      <c r="Q173" s="8470"/>
      <c r="R173" s="8470"/>
      <c r="S173" s="8470"/>
      <c r="T173" s="8470"/>
      <c r="U173" s="8470"/>
      <c r="V173" s="8470"/>
      <c r="W173" s="8470"/>
      <c r="X173" s="1894"/>
      <c r="Y173" s="814"/>
      <c r="AU173" s="39"/>
      <c r="BR173" s="640"/>
      <c r="CF173" s="1699"/>
    </row>
    <row r="174" spans="1:84" ht="14.25" customHeight="1">
      <c r="A174" s="780"/>
      <c r="B174" s="780"/>
      <c r="C174" s="780"/>
      <c r="D174" s="780"/>
      <c r="E174" s="8462"/>
      <c r="F174" s="7348"/>
      <c r="G174" s="7348"/>
      <c r="H174" s="7348"/>
      <c r="I174" s="7348"/>
      <c r="J174" s="7348"/>
      <c r="K174" s="8463"/>
      <c r="L174" s="780"/>
      <c r="M174" s="780"/>
      <c r="N174" s="780"/>
      <c r="O174" s="1745"/>
      <c r="P174" s="1892"/>
      <c r="Q174" s="8470"/>
      <c r="R174" s="8470"/>
      <c r="S174" s="8470"/>
      <c r="T174" s="8470"/>
      <c r="U174" s="8470"/>
      <c r="V174" s="8470"/>
      <c r="W174" s="8470"/>
      <c r="X174" s="1894"/>
      <c r="Y174" s="814"/>
      <c r="AU174" s="39"/>
      <c r="BR174" s="640"/>
      <c r="CF174" s="1699"/>
    </row>
    <row r="175" spans="1:84" ht="14.25" customHeight="1">
      <c r="A175" s="780"/>
      <c r="B175" s="780"/>
      <c r="C175" s="780"/>
      <c r="D175" s="780"/>
      <c r="E175" s="8462"/>
      <c r="F175" s="7348"/>
      <c r="G175" s="7348"/>
      <c r="H175" s="7348"/>
      <c r="I175" s="7348"/>
      <c r="J175" s="7348"/>
      <c r="K175" s="8463"/>
      <c r="L175" s="780"/>
      <c r="M175" s="780"/>
      <c r="N175" s="780"/>
      <c r="O175" s="1745"/>
      <c r="P175" s="1892"/>
      <c r="Q175" s="292"/>
      <c r="R175" s="292"/>
      <c r="S175" s="292"/>
      <c r="T175" s="292"/>
      <c r="U175" s="292"/>
      <c r="V175" s="292"/>
      <c r="W175" s="292"/>
      <c r="X175" s="1894"/>
      <c r="Y175" s="814"/>
      <c r="AU175" s="39"/>
      <c r="BR175" s="640"/>
    </row>
    <row r="176" spans="1:84" ht="14.25" customHeight="1">
      <c r="A176" s="780"/>
      <c r="B176" s="780"/>
      <c r="C176" s="780"/>
      <c r="D176" s="780"/>
      <c r="E176" s="8462"/>
      <c r="F176" s="7348"/>
      <c r="G176" s="7348"/>
      <c r="H176" s="7348"/>
      <c r="I176" s="7348"/>
      <c r="J176" s="7348"/>
      <c r="K176" s="8463"/>
      <c r="L176" s="780"/>
      <c r="M176" s="780"/>
      <c r="N176" s="780"/>
      <c r="O176" s="900"/>
      <c r="P176" s="1892"/>
      <c r="Q176" s="292"/>
      <c r="R176" s="292"/>
      <c r="S176" s="1896" t="s">
        <v>3457</v>
      </c>
      <c r="T176" s="292"/>
      <c r="U176" s="292"/>
      <c r="V176" s="292"/>
      <c r="W176" s="1896" t="s">
        <v>3458</v>
      </c>
      <c r="X176" s="1894"/>
      <c r="Y176" s="814"/>
      <c r="AU176" s="39"/>
      <c r="BG176" s="1699"/>
      <c r="BR176" s="640"/>
    </row>
    <row r="177" spans="1:87" ht="14.25" customHeight="1">
      <c r="A177" s="780"/>
      <c r="B177" s="780"/>
      <c r="C177" s="780"/>
      <c r="D177" s="780"/>
      <c r="E177" s="8462"/>
      <c r="F177" s="7348"/>
      <c r="G177" s="7348"/>
      <c r="H177" s="7348"/>
      <c r="I177" s="7348"/>
      <c r="J177" s="7348"/>
      <c r="K177" s="8463"/>
      <c r="L177" s="780"/>
      <c r="M177" s="780"/>
      <c r="N177" s="780"/>
      <c r="O177" s="3837"/>
      <c r="P177" s="1892"/>
      <c r="Q177" s="1896" t="s">
        <v>3459</v>
      </c>
      <c r="R177" s="292"/>
      <c r="S177" s="1896" t="s">
        <v>3460</v>
      </c>
      <c r="T177" s="292"/>
      <c r="U177" s="1896" t="s">
        <v>3461</v>
      </c>
      <c r="V177" s="292"/>
      <c r="W177" s="1896" t="s">
        <v>3462</v>
      </c>
      <c r="X177" s="1894"/>
      <c r="Y177" s="814"/>
      <c r="AU177" s="39"/>
      <c r="BG177" s="1699"/>
      <c r="BR177" s="640"/>
    </row>
    <row r="178" spans="1:87" ht="14.25" customHeight="1" thickBot="1">
      <c r="A178" s="780"/>
      <c r="B178" s="780"/>
      <c r="C178" s="780"/>
      <c r="D178" s="780"/>
      <c r="E178" s="8464"/>
      <c r="F178" s="8465"/>
      <c r="G178" s="8465"/>
      <c r="H178" s="8465"/>
      <c r="I178" s="8465"/>
      <c r="J178" s="8465"/>
      <c r="K178" s="8466"/>
      <c r="L178" s="780"/>
      <c r="M178" s="780"/>
      <c r="N178" s="8168">
        <f>ROW(Q178)</f>
        <v>178</v>
      </c>
      <c r="O178" s="8458"/>
      <c r="P178" s="1892"/>
      <c r="Q178" s="6190">
        <f>DATEVALUE("1/1/"&amp;TaxYear)</f>
        <v>44927</v>
      </c>
      <c r="R178" s="292"/>
      <c r="S178" s="6191">
        <v>0</v>
      </c>
      <c r="T178" s="292"/>
      <c r="U178" s="6192">
        <f>IF(S178&lt;&gt;"",S178,"")</f>
        <v>0</v>
      </c>
      <c r="V178" s="292"/>
      <c r="W178" s="6172"/>
      <c r="X178" s="1894"/>
      <c r="Y178" s="814"/>
      <c r="AU178" s="39"/>
      <c r="BR178" s="640"/>
    </row>
    <row r="179" spans="1:87" ht="14.25" customHeight="1">
      <c r="A179" s="780"/>
      <c r="B179" s="780"/>
      <c r="C179" s="780"/>
      <c r="D179" s="780"/>
      <c r="E179" s="6182"/>
      <c r="F179" s="780"/>
      <c r="G179" s="780"/>
      <c r="H179" s="780"/>
      <c r="I179" s="780"/>
      <c r="J179" s="780"/>
      <c r="K179" s="780"/>
      <c r="L179" s="780"/>
      <c r="M179" s="780"/>
      <c r="N179" s="8168">
        <f>ROW(U179)</f>
        <v>179</v>
      </c>
      <c r="O179" s="8458"/>
      <c r="P179" s="1892"/>
      <c r="Q179" s="1768"/>
      <c r="R179" s="292"/>
      <c r="S179" s="1765"/>
      <c r="T179" s="6189"/>
      <c r="U179" s="1770" t="str">
        <f>IF(S179&lt;&gt;"",S179,"")</f>
        <v/>
      </c>
      <c r="V179" s="292"/>
      <c r="W179" s="1762" t="str">
        <f>IF(S179="","",IF(AND(Q179&lt;$P$116,Q180&gt;=$P$116),SUM($P$77,-U179),IF(AND(Q179&lt;$R$116,Q180&gt;=$R$116),SUM($P$77,$R$77,-U179),IF(AND(Q179&lt;$T$116,Q180&gt;=$T$116),SUM($P$77,$R$77,$T$77,-U179),IF(AND(Q179&lt;$V$116,Q180&gt;=$V$116),SUM($P$77,$R$77,$T$77,$V$77,-U179),0)))))</f>
        <v/>
      </c>
      <c r="X179" s="1894"/>
      <c r="Y179" s="814"/>
      <c r="Z179" s="6200" t="str">
        <f>TEXT(AC54,"mm-dd-yy")</f>
        <v/>
      </c>
      <c r="AU179" s="39"/>
      <c r="BR179" s="640"/>
    </row>
    <row r="180" spans="1:87" ht="14.25" customHeight="1">
      <c r="A180" s="780"/>
      <c r="B180" s="780"/>
      <c r="C180" s="780"/>
      <c r="D180" s="780"/>
      <c r="E180" s="6182"/>
      <c r="F180" s="780"/>
      <c r="G180" s="780"/>
      <c r="H180" s="780"/>
      <c r="I180" s="780"/>
      <c r="J180" s="780"/>
      <c r="K180" s="780"/>
      <c r="L180" s="780"/>
      <c r="M180" s="780"/>
      <c r="N180" s="8168">
        <f t="shared" ref="N180:N234" si="0">ROW(U180)</f>
        <v>180</v>
      </c>
      <c r="O180" s="8458"/>
      <c r="P180" s="1892"/>
      <c r="Q180" s="1768"/>
      <c r="R180" s="292"/>
      <c r="S180" s="1766"/>
      <c r="T180" s="6189"/>
      <c r="U180" s="1771" t="str">
        <f>IF(S180&lt;&gt;"",U179+S180,"")</f>
        <v/>
      </c>
      <c r="V180" s="292"/>
      <c r="W180" s="1763" t="str">
        <f>IF(S180="","",IF(AND(Q180&lt;$P$116,Q181&gt;=$P$116),SUM($P$77,-U180),IF(AND(Q180&lt;$R$116,Q181&gt;=$R$116),SUM($P$77,$R$77,-U180),IF(AND(Q180&lt;$T$116,Q181&gt;=$T$116),SUM($P$77,$R$77,$T$77,-U180),IF(AND(Q180&lt;$V$116,Q181&gt;=$V$116),SUM($P$77,$R$77,$T$77,$V$77,-U180),0)))))</f>
        <v/>
      </c>
      <c r="X180" s="1894"/>
      <c r="Y180" s="1994">
        <f>IF(AND(Q180&lt;&gt;"",Q180&lt;Q179),1,0)</f>
        <v>0</v>
      </c>
      <c r="AU180" s="39"/>
      <c r="BR180" s="640"/>
    </row>
    <row r="181" spans="1:87" ht="14.25" customHeight="1" thickBot="1">
      <c r="A181" s="780"/>
      <c r="B181" s="780"/>
      <c r="C181" s="780"/>
      <c r="D181" s="780"/>
      <c r="E181" s="6182"/>
      <c r="F181" s="780"/>
      <c r="G181" s="780"/>
      <c r="H181" s="780"/>
      <c r="I181" s="780"/>
      <c r="J181" s="780"/>
      <c r="K181" s="780"/>
      <c r="L181" s="780"/>
      <c r="M181" s="780"/>
      <c r="N181" s="8168">
        <f t="shared" si="0"/>
        <v>181</v>
      </c>
      <c r="O181" s="8458"/>
      <c r="P181" s="1892"/>
      <c r="Q181" s="1768"/>
      <c r="R181" s="292"/>
      <c r="S181" s="1766"/>
      <c r="T181" s="6189"/>
      <c r="U181" s="1771" t="str">
        <f t="shared" ref="U181:U233" si="1">IF(S181&lt;&gt;"",U180+S181,"")</f>
        <v/>
      </c>
      <c r="V181" s="292"/>
      <c r="W181" s="1763" t="str">
        <f>IF(S181="","",IF(AND(Q181&lt;$P$116,Q182&gt;=$P$116),SUM($P$77,-U181),IF(AND(Q181&lt;$R$116,Q182&gt;=$R$116),SUM($P$77,$R$77,-U181),IF(AND(Q181&lt;$T$116,Q182&gt;=$T$116),SUM($P$77,$R$77,$T$77,-U181),IF(AND(Q181&lt;$V$116,Q182&gt;=$V$116),SUM($P$77,$R$77,$T$77,$V$77,-U181),0)))))</f>
        <v/>
      </c>
      <c r="X181" s="1894"/>
      <c r="Y181" s="1994">
        <f t="shared" ref="Y181:Y233" si="2">IF(AND(Q181&lt;&gt;"",Q181&lt;Q180),1,0)</f>
        <v>0</v>
      </c>
      <c r="AU181" s="39"/>
      <c r="BR181" s="407"/>
      <c r="CG181" s="640"/>
    </row>
    <row r="182" spans="1:87" ht="14.25" customHeight="1" thickTop="1" thickBot="1">
      <c r="A182" s="780"/>
      <c r="B182" s="780"/>
      <c r="C182" s="780"/>
      <c r="D182" s="780"/>
      <c r="E182" s="6182"/>
      <c r="F182" s="7835" t="s">
        <v>3455</v>
      </c>
      <c r="G182" s="7836"/>
      <c r="H182" s="7836"/>
      <c r="I182" s="7836"/>
      <c r="J182" s="8232"/>
      <c r="K182" s="8233"/>
      <c r="L182" s="780"/>
      <c r="M182" s="780"/>
      <c r="N182" s="8168">
        <f t="shared" si="0"/>
        <v>182</v>
      </c>
      <c r="O182" s="8458"/>
      <c r="P182" s="1892"/>
      <c r="Q182" s="1768"/>
      <c r="R182" s="292"/>
      <c r="S182" s="1766"/>
      <c r="T182" s="6189"/>
      <c r="U182" s="1771" t="str">
        <f t="shared" si="1"/>
        <v/>
      </c>
      <c r="V182" s="292"/>
      <c r="W182" s="1763" t="str">
        <f>IF(S182="","",IF(AND(Q182&lt;$P$116,Q183&gt;=$P$116),SUM($P$77,-U182),IF(AND(Q182&lt;$R$116,Q183&gt;=$R$116),SUM($P$77,$R$77,-U182),IF(AND(Q182&lt;$T$116,Q183&gt;=$T$116),SUM($P$77,$R$77,$T$77,-U182),IF(AND(Q182&lt;$V$116,Q183&gt;=$V$116),SUM($P$77,$R$77,$T$77,$V$77,-U182),0)))))</f>
        <v/>
      </c>
      <c r="X182" s="1894"/>
      <c r="Y182" s="1994">
        <f t="shared" si="2"/>
        <v>0</v>
      </c>
      <c r="AU182" s="39"/>
      <c r="BR182" s="1699"/>
      <c r="CG182" s="407"/>
    </row>
    <row r="183" spans="1:87" ht="14.25" customHeight="1" thickTop="1" thickBot="1">
      <c r="A183" s="780"/>
      <c r="B183" s="780"/>
      <c r="C183" s="780"/>
      <c r="D183" s="780"/>
      <c r="E183" s="6182"/>
      <c r="F183" s="808"/>
      <c r="G183" s="808"/>
      <c r="H183" s="808"/>
      <c r="I183" s="808"/>
      <c r="J183" s="808"/>
      <c r="K183" s="808"/>
      <c r="L183" s="780"/>
      <c r="M183" s="780"/>
      <c r="N183" s="8168">
        <f t="shared" si="0"/>
        <v>183</v>
      </c>
      <c r="O183" s="8458"/>
      <c r="P183" s="1892"/>
      <c r="Q183" s="1768"/>
      <c r="R183" s="292"/>
      <c r="S183" s="1766"/>
      <c r="T183" s="6189"/>
      <c r="U183" s="1771" t="str">
        <f t="shared" si="1"/>
        <v/>
      </c>
      <c r="V183" s="292"/>
      <c r="W183" s="1763" t="str">
        <f>IF(S183="","",IF(AND(Q183&lt;$P$116,Q184&gt;=$P$116),SUM($P$77,-U183),IF(AND(Q183&lt;$R$116,Q184&gt;=$R$116),SUM($P$77,$R$77,-U183),IF(AND(Q183&lt;$T$116,Q184&gt;=$T$116),SUM($P$77,$R$77,$T$77,-U183),IF(AND(Q183&lt;$V$116,Q184&gt;=$V$116),SUM($P$77,$R$77,$T$77,$V$77,-U183),0)))))</f>
        <v/>
      </c>
      <c r="X183" s="1894"/>
      <c r="Y183" s="1994">
        <f t="shared" si="2"/>
        <v>0</v>
      </c>
      <c r="AU183" s="39"/>
      <c r="BR183" s="1699"/>
      <c r="CG183" s="1699"/>
    </row>
    <row r="184" spans="1:87" ht="14.25" customHeight="1" thickTop="1" thickBot="1">
      <c r="A184" s="780"/>
      <c r="B184" s="780"/>
      <c r="C184" s="780"/>
      <c r="D184" s="780"/>
      <c r="E184" s="6182"/>
      <c r="F184" s="7124" t="s">
        <v>3456</v>
      </c>
      <c r="G184" s="7125"/>
      <c r="H184" s="7125"/>
      <c r="I184" s="7125"/>
      <c r="J184" s="8234"/>
      <c r="K184" s="8235"/>
      <c r="L184" s="780"/>
      <c r="M184" s="780"/>
      <c r="N184" s="8168">
        <f t="shared" si="0"/>
        <v>184</v>
      </c>
      <c r="O184" s="8458"/>
      <c r="P184" s="1892"/>
      <c r="Q184" s="1768"/>
      <c r="R184" s="292"/>
      <c r="S184" s="1766"/>
      <c r="T184" s="6189"/>
      <c r="U184" s="1771" t="str">
        <f t="shared" si="1"/>
        <v/>
      </c>
      <c r="V184" s="292"/>
      <c r="W184" s="1763" t="str">
        <f t="shared" ref="W184:W215" si="3">IF(S184="","",IF(AND(Q184&lt;$P$116,Q185&gt;=$P$116),SUM($P$77,-U184),IF(AND(Q184&lt;$R$116,Q185&gt;=$R$116),SUM($P$77,$R$77,-U184),IF(AND(Q184&lt;$T$116,Q185&gt;=$T$116),SUM($P$77,$R$77,$T$77,-U184),IF(AND(Q184&lt;$V$116,Q185&gt;=$V$116),SUM($P$77,$R$77,$T$77,$V$77,-U184),0)))))</f>
        <v/>
      </c>
      <c r="X184" s="1894"/>
      <c r="Y184" s="1994">
        <f t="shared" si="2"/>
        <v>0</v>
      </c>
      <c r="AU184" s="39"/>
      <c r="BR184" s="1699"/>
      <c r="CG184" s="1699"/>
    </row>
    <row r="185" spans="1:87" ht="14.25" customHeight="1" thickTop="1">
      <c r="A185" s="780"/>
      <c r="B185" s="780"/>
      <c r="C185" s="780"/>
      <c r="D185" s="780"/>
      <c r="E185" s="6182"/>
      <c r="F185" s="780"/>
      <c r="G185" s="780"/>
      <c r="H185" s="780"/>
      <c r="I185" s="780"/>
      <c r="J185" s="780"/>
      <c r="K185" s="780"/>
      <c r="L185" s="780"/>
      <c r="M185" s="780"/>
      <c r="N185" s="8168">
        <f t="shared" si="0"/>
        <v>185</v>
      </c>
      <c r="O185" s="8458"/>
      <c r="P185" s="1892"/>
      <c r="Q185" s="1768"/>
      <c r="R185" s="292"/>
      <c r="S185" s="1766"/>
      <c r="T185" s="6189"/>
      <c r="U185" s="1771" t="str">
        <f t="shared" si="1"/>
        <v/>
      </c>
      <c r="V185" s="292"/>
      <c r="W185" s="1763" t="str">
        <f t="shared" si="3"/>
        <v/>
      </c>
      <c r="X185" s="1894"/>
      <c r="Y185" s="1994">
        <f t="shared" si="2"/>
        <v>0</v>
      </c>
      <c r="AU185" s="39"/>
      <c r="CG185" s="1699"/>
      <c r="CH185" s="640"/>
    </row>
    <row r="186" spans="1:87" ht="14.25" customHeight="1">
      <c r="A186" s="780"/>
      <c r="B186" s="780"/>
      <c r="C186" s="780"/>
      <c r="D186" s="780"/>
      <c r="E186" s="6182"/>
      <c r="F186" s="780"/>
      <c r="G186" s="780"/>
      <c r="H186" s="780"/>
      <c r="I186" s="780"/>
      <c r="J186" s="780"/>
      <c r="K186" s="780"/>
      <c r="L186" s="780"/>
      <c r="M186" s="780"/>
      <c r="N186" s="8168">
        <f t="shared" si="0"/>
        <v>186</v>
      </c>
      <c r="O186" s="8458"/>
      <c r="P186" s="1892"/>
      <c r="Q186" s="1768"/>
      <c r="R186" s="292"/>
      <c r="S186" s="1766"/>
      <c r="T186" s="6189"/>
      <c r="U186" s="1771" t="str">
        <f t="shared" si="1"/>
        <v/>
      </c>
      <c r="V186" s="292"/>
      <c r="W186" s="1763" t="str">
        <f t="shared" si="3"/>
        <v/>
      </c>
      <c r="X186" s="1894"/>
      <c r="Y186" s="1994">
        <f t="shared" si="2"/>
        <v>0</v>
      </c>
      <c r="AU186" s="39"/>
      <c r="CF186" s="407"/>
      <c r="CH186" s="407"/>
    </row>
    <row r="187" spans="1:87" ht="12.75" customHeight="1">
      <c r="A187" s="780"/>
      <c r="B187" s="780"/>
      <c r="C187" s="780"/>
      <c r="D187" s="780"/>
      <c r="E187" s="6182"/>
      <c r="F187" s="780"/>
      <c r="G187" s="780"/>
      <c r="H187" s="780"/>
      <c r="I187" s="780"/>
      <c r="J187" s="780"/>
      <c r="K187" s="780"/>
      <c r="L187" s="780"/>
      <c r="M187" s="780"/>
      <c r="N187" s="8168">
        <f t="shared" si="0"/>
        <v>187</v>
      </c>
      <c r="O187" s="8458"/>
      <c r="P187" s="1892"/>
      <c r="Q187" s="1768"/>
      <c r="R187" s="292"/>
      <c r="S187" s="1766"/>
      <c r="T187" s="6189"/>
      <c r="U187" s="1771" t="str">
        <f t="shared" si="1"/>
        <v/>
      </c>
      <c r="V187" s="292"/>
      <c r="W187" s="1763" t="str">
        <f t="shared" si="3"/>
        <v/>
      </c>
      <c r="X187" s="1894"/>
      <c r="Y187" s="1994">
        <f t="shared" si="2"/>
        <v>0</v>
      </c>
      <c r="AU187" s="39"/>
      <c r="CH187" s="1699"/>
    </row>
    <row r="188" spans="1:87" ht="12.75" customHeight="1">
      <c r="E188" s="5044"/>
      <c r="N188" s="8168">
        <f t="shared" si="0"/>
        <v>188</v>
      </c>
      <c r="O188" s="8458"/>
      <c r="P188" s="1892"/>
      <c r="Q188" s="1768"/>
      <c r="R188" s="292"/>
      <c r="S188" s="1766"/>
      <c r="T188" s="6189"/>
      <c r="U188" s="1771" t="str">
        <f t="shared" si="1"/>
        <v/>
      </c>
      <c r="V188" s="292"/>
      <c r="W188" s="1763" t="str">
        <f t="shared" si="3"/>
        <v/>
      </c>
      <c r="X188" s="1894"/>
      <c r="Y188" s="1994">
        <f t="shared" si="2"/>
        <v>0</v>
      </c>
      <c r="AU188" s="39"/>
      <c r="CH188" s="1699"/>
    </row>
    <row r="189" spans="1:87" ht="17.25" customHeight="1">
      <c r="N189" s="8168">
        <f t="shared" si="0"/>
        <v>189</v>
      </c>
      <c r="O189" s="8458"/>
      <c r="P189" s="1892"/>
      <c r="Q189" s="1768"/>
      <c r="R189" s="292"/>
      <c r="S189" s="1766"/>
      <c r="T189" s="6189"/>
      <c r="U189" s="1771" t="str">
        <f t="shared" si="1"/>
        <v/>
      </c>
      <c r="V189" s="292"/>
      <c r="W189" s="1763" t="str">
        <f t="shared" si="3"/>
        <v/>
      </c>
      <c r="X189" s="1894"/>
      <c r="Y189" s="1994">
        <f t="shared" si="2"/>
        <v>0</v>
      </c>
      <c r="AU189" s="39"/>
      <c r="BG189" s="407"/>
      <c r="BH189" s="407"/>
      <c r="CB189" s="407"/>
      <c r="CC189" s="407"/>
      <c r="CD189" s="407"/>
      <c r="CE189" s="407"/>
      <c r="CH189" s="1699"/>
    </row>
    <row r="190" spans="1:87" ht="16.5" customHeight="1">
      <c r="N190" s="8168">
        <f t="shared" si="0"/>
        <v>190</v>
      </c>
      <c r="O190" s="8458"/>
      <c r="P190" s="1892"/>
      <c r="Q190" s="1768"/>
      <c r="R190" s="292"/>
      <c r="S190" s="1766"/>
      <c r="T190" s="6189"/>
      <c r="U190" s="1771" t="str">
        <f t="shared" si="1"/>
        <v/>
      </c>
      <c r="V190" s="292"/>
      <c r="W190" s="1763" t="str">
        <f t="shared" si="3"/>
        <v/>
      </c>
      <c r="X190" s="1894"/>
      <c r="Y190" s="1994">
        <f t="shared" si="2"/>
        <v>0</v>
      </c>
      <c r="AU190" s="39"/>
    </row>
    <row r="191" spans="1:87" ht="13.5" customHeight="1">
      <c r="E191" s="5044"/>
      <c r="N191" s="8168">
        <f t="shared" si="0"/>
        <v>191</v>
      </c>
      <c r="O191" s="8458"/>
      <c r="P191" s="1892"/>
      <c r="Q191" s="1768"/>
      <c r="R191" s="292"/>
      <c r="S191" s="1766"/>
      <c r="T191" s="6189"/>
      <c r="U191" s="1771" t="str">
        <f t="shared" si="1"/>
        <v/>
      </c>
      <c r="V191" s="292"/>
      <c r="W191" s="1763" t="str">
        <f t="shared" si="3"/>
        <v/>
      </c>
      <c r="X191" s="1894"/>
      <c r="Y191" s="1994">
        <f t="shared" si="2"/>
        <v>0</v>
      </c>
      <c r="AU191" s="39"/>
    </row>
    <row r="192" spans="1:87" ht="13.5" customHeight="1">
      <c r="E192" s="6170"/>
      <c r="N192" s="8168">
        <f t="shared" si="0"/>
        <v>192</v>
      </c>
      <c r="O192" s="8458"/>
      <c r="P192" s="1892"/>
      <c r="Q192" s="1768"/>
      <c r="R192" s="292"/>
      <c r="S192" s="1766"/>
      <c r="T192" s="6189"/>
      <c r="U192" s="1771" t="str">
        <f t="shared" si="1"/>
        <v/>
      </c>
      <c r="V192" s="292"/>
      <c r="W192" s="1763" t="str">
        <f t="shared" si="3"/>
        <v/>
      </c>
      <c r="X192" s="1894"/>
      <c r="Y192" s="1994">
        <f t="shared" si="2"/>
        <v>0</v>
      </c>
      <c r="AU192" s="39"/>
      <c r="CI192" s="640"/>
    </row>
    <row r="193" spans="5:88" ht="12.75" customHeight="1">
      <c r="E193" s="6170"/>
      <c r="N193" s="8168">
        <f t="shared" si="0"/>
        <v>193</v>
      </c>
      <c r="O193" s="8458"/>
      <c r="P193" s="1892"/>
      <c r="Q193" s="1768"/>
      <c r="R193" s="292"/>
      <c r="S193" s="1766"/>
      <c r="T193" s="6189"/>
      <c r="U193" s="1771" t="str">
        <f t="shared" si="1"/>
        <v/>
      </c>
      <c r="V193" s="292"/>
      <c r="W193" s="1763" t="str">
        <f t="shared" si="3"/>
        <v/>
      </c>
      <c r="X193" s="1894"/>
      <c r="Y193" s="1994">
        <f t="shared" si="2"/>
        <v>0</v>
      </c>
      <c r="AU193" s="39"/>
      <c r="CI193" s="407"/>
    </row>
    <row r="194" spans="5:88" ht="12.75" customHeight="1">
      <c r="E194" s="6170"/>
      <c r="N194" s="8168">
        <f t="shared" si="0"/>
        <v>194</v>
      </c>
      <c r="O194" s="8458"/>
      <c r="P194" s="1892"/>
      <c r="Q194" s="1768"/>
      <c r="R194" s="292"/>
      <c r="S194" s="1766"/>
      <c r="T194" s="6189"/>
      <c r="U194" s="1771" t="str">
        <f t="shared" si="1"/>
        <v/>
      </c>
      <c r="V194" s="292"/>
      <c r="W194" s="1763" t="str">
        <f t="shared" si="3"/>
        <v/>
      </c>
      <c r="X194" s="1894"/>
      <c r="Y194" s="1994">
        <f t="shared" si="2"/>
        <v>0</v>
      </c>
      <c r="AU194" s="39"/>
      <c r="CI194" s="1699"/>
    </row>
    <row r="195" spans="5:88" ht="13.5" customHeight="1">
      <c r="E195" s="6170"/>
      <c r="N195" s="8168">
        <f t="shared" si="0"/>
        <v>195</v>
      </c>
      <c r="O195" s="8458"/>
      <c r="P195" s="1892"/>
      <c r="Q195" s="1768"/>
      <c r="R195" s="292"/>
      <c r="S195" s="1766"/>
      <c r="T195" s="6189"/>
      <c r="U195" s="1771" t="str">
        <f t="shared" si="1"/>
        <v/>
      </c>
      <c r="V195" s="292"/>
      <c r="W195" s="1763" t="str">
        <f t="shared" si="3"/>
        <v/>
      </c>
      <c r="X195" s="1894"/>
      <c r="Y195" s="1994">
        <f t="shared" si="2"/>
        <v>0</v>
      </c>
      <c r="AU195" s="39"/>
      <c r="BR195" s="407"/>
      <c r="CI195" s="1699"/>
    </row>
    <row r="196" spans="5:88" ht="13.5" customHeight="1">
      <c r="E196" s="6170"/>
      <c r="N196" s="8168">
        <f t="shared" si="0"/>
        <v>196</v>
      </c>
      <c r="O196" s="8458"/>
      <c r="P196" s="1892"/>
      <c r="Q196" s="1768"/>
      <c r="R196" s="292"/>
      <c r="S196" s="1766"/>
      <c r="T196" s="6189"/>
      <c r="U196" s="1771" t="str">
        <f t="shared" si="1"/>
        <v/>
      </c>
      <c r="V196" s="292"/>
      <c r="W196" s="1763" t="str">
        <f t="shared" si="3"/>
        <v/>
      </c>
      <c r="X196" s="1894"/>
      <c r="Y196" s="1994">
        <f t="shared" si="2"/>
        <v>0</v>
      </c>
      <c r="AU196" s="39"/>
      <c r="CF196" s="407"/>
      <c r="CG196" s="407"/>
      <c r="CI196" s="1699"/>
    </row>
    <row r="197" spans="5:88">
      <c r="E197" s="6170"/>
      <c r="N197" s="8168">
        <f t="shared" si="0"/>
        <v>197</v>
      </c>
      <c r="O197" s="8458"/>
      <c r="P197" s="1892"/>
      <c r="Q197" s="1768"/>
      <c r="R197" s="292"/>
      <c r="S197" s="1766"/>
      <c r="T197" s="6189"/>
      <c r="U197" s="1771" t="str">
        <f t="shared" si="1"/>
        <v/>
      </c>
      <c r="V197" s="292"/>
      <c r="W197" s="1763" t="str">
        <f t="shared" si="3"/>
        <v/>
      </c>
      <c r="X197" s="1894"/>
      <c r="Y197" s="1994">
        <f t="shared" si="2"/>
        <v>0</v>
      </c>
      <c r="AU197" s="39"/>
    </row>
    <row r="198" spans="5:88" ht="13.5" customHeight="1">
      <c r="E198" s="6170"/>
      <c r="N198" s="8168">
        <f t="shared" si="0"/>
        <v>198</v>
      </c>
      <c r="O198" s="8458"/>
      <c r="P198" s="1892"/>
      <c r="Q198" s="1768"/>
      <c r="R198" s="292"/>
      <c r="S198" s="1766"/>
      <c r="T198" s="6189"/>
      <c r="U198" s="1771" t="str">
        <f t="shared" si="1"/>
        <v/>
      </c>
      <c r="V198" s="292"/>
      <c r="W198" s="1763" t="str">
        <f t="shared" si="3"/>
        <v/>
      </c>
      <c r="X198" s="1894"/>
      <c r="Y198" s="1994">
        <f t="shared" si="2"/>
        <v>0</v>
      </c>
      <c r="AU198" s="39"/>
    </row>
    <row r="199" spans="5:88" ht="13.5" customHeight="1">
      <c r="E199" s="6170"/>
      <c r="N199" s="8168">
        <f t="shared" si="0"/>
        <v>199</v>
      </c>
      <c r="O199" s="8458"/>
      <c r="P199" s="1892"/>
      <c r="Q199" s="1768"/>
      <c r="R199" s="292"/>
      <c r="S199" s="1766"/>
      <c r="T199" s="6189"/>
      <c r="U199" s="1771" t="str">
        <f t="shared" si="1"/>
        <v/>
      </c>
      <c r="V199" s="292"/>
      <c r="W199" s="1763" t="str">
        <f t="shared" si="3"/>
        <v/>
      </c>
      <c r="X199" s="1894"/>
      <c r="Y199" s="1994">
        <f t="shared" si="2"/>
        <v>0</v>
      </c>
      <c r="AU199" s="39"/>
      <c r="BG199" s="407"/>
      <c r="BH199" s="407"/>
      <c r="CB199" s="407"/>
      <c r="CC199" s="407"/>
      <c r="CD199" s="407"/>
      <c r="CE199" s="407"/>
    </row>
    <row r="200" spans="5:88" ht="16.5" customHeight="1">
      <c r="E200" s="6170"/>
      <c r="N200" s="8168">
        <f t="shared" si="0"/>
        <v>200</v>
      </c>
      <c r="O200" s="8458"/>
      <c r="P200" s="1892"/>
      <c r="Q200" s="1768"/>
      <c r="R200" s="292"/>
      <c r="S200" s="1766"/>
      <c r="T200" s="6189"/>
      <c r="U200" s="1771" t="str">
        <f t="shared" si="1"/>
        <v/>
      </c>
      <c r="V200" s="292"/>
      <c r="W200" s="1763" t="str">
        <f t="shared" si="3"/>
        <v/>
      </c>
      <c r="X200" s="1894"/>
      <c r="Y200" s="1994">
        <f t="shared" si="2"/>
        <v>0</v>
      </c>
      <c r="AU200" s="39"/>
      <c r="CH200" s="407"/>
    </row>
    <row r="201" spans="5:88">
      <c r="E201" s="6170"/>
      <c r="N201" s="8168">
        <f t="shared" si="0"/>
        <v>201</v>
      </c>
      <c r="O201" s="8458"/>
      <c r="P201" s="1892"/>
      <c r="Q201" s="1768"/>
      <c r="R201" s="292"/>
      <c r="S201" s="1766"/>
      <c r="T201" s="6189"/>
      <c r="U201" s="1771" t="str">
        <f t="shared" si="1"/>
        <v/>
      </c>
      <c r="V201" s="292"/>
      <c r="W201" s="1763" t="str">
        <f t="shared" si="3"/>
        <v/>
      </c>
      <c r="X201" s="1894"/>
      <c r="Y201" s="1994">
        <f t="shared" si="2"/>
        <v>0</v>
      </c>
      <c r="AU201" s="39"/>
      <c r="CJ201" s="640"/>
    </row>
    <row r="202" spans="5:88" ht="12" customHeight="1">
      <c r="E202" s="6170"/>
      <c r="N202" s="8168">
        <f t="shared" si="0"/>
        <v>202</v>
      </c>
      <c r="O202" s="8458"/>
      <c r="P202" s="1892"/>
      <c r="Q202" s="1768"/>
      <c r="R202" s="292"/>
      <c r="S202" s="1766"/>
      <c r="T202" s="6189"/>
      <c r="U202" s="1771" t="str">
        <f t="shared" si="1"/>
        <v/>
      </c>
      <c r="V202" s="292"/>
      <c r="W202" s="1763" t="str">
        <f t="shared" si="3"/>
        <v/>
      </c>
      <c r="X202" s="1894"/>
      <c r="Y202" s="1994">
        <f t="shared" si="2"/>
        <v>0</v>
      </c>
      <c r="AU202" s="39"/>
      <c r="CJ202" s="407"/>
    </row>
    <row r="203" spans="5:88" ht="12.75" customHeight="1">
      <c r="E203" s="6170"/>
      <c r="N203" s="8168">
        <f t="shared" si="0"/>
        <v>203</v>
      </c>
      <c r="O203" s="8458"/>
      <c r="P203" s="1892"/>
      <c r="Q203" s="1768"/>
      <c r="R203" s="292"/>
      <c r="S203" s="1766"/>
      <c r="T203" s="6189"/>
      <c r="U203" s="1771" t="str">
        <f t="shared" si="1"/>
        <v/>
      </c>
      <c r="V203" s="292"/>
      <c r="W203" s="1763" t="str">
        <f t="shared" si="3"/>
        <v/>
      </c>
      <c r="X203" s="1894"/>
      <c r="Y203" s="1994">
        <f t="shared" si="2"/>
        <v>0</v>
      </c>
      <c r="AU203" s="39"/>
      <c r="CJ203" s="1699"/>
    </row>
    <row r="204" spans="5:88" ht="14.25">
      <c r="E204" s="6170"/>
      <c r="N204" s="8168">
        <f t="shared" si="0"/>
        <v>204</v>
      </c>
      <c r="O204" s="8458"/>
      <c r="P204" s="1892"/>
      <c r="Q204" s="1768"/>
      <c r="R204" s="292"/>
      <c r="S204" s="1766"/>
      <c r="T204" s="6189"/>
      <c r="U204" s="1771" t="str">
        <f t="shared" si="1"/>
        <v/>
      </c>
      <c r="V204" s="292"/>
      <c r="W204" s="1763" t="str">
        <f t="shared" si="3"/>
        <v/>
      </c>
      <c r="X204" s="1894"/>
      <c r="Y204" s="1994">
        <f t="shared" si="2"/>
        <v>0</v>
      </c>
      <c r="AU204" s="39"/>
      <c r="CJ204" s="1699"/>
    </row>
    <row r="205" spans="5:88" ht="14.25">
      <c r="E205" s="6170"/>
      <c r="N205" s="8168">
        <f t="shared" si="0"/>
        <v>205</v>
      </c>
      <c r="O205" s="8458"/>
      <c r="P205" s="1892"/>
      <c r="Q205" s="1768"/>
      <c r="R205" s="292"/>
      <c r="S205" s="1766"/>
      <c r="T205" s="6189"/>
      <c r="U205" s="1771" t="str">
        <f t="shared" si="1"/>
        <v/>
      </c>
      <c r="V205" s="292"/>
      <c r="W205" s="1763" t="str">
        <f t="shared" si="3"/>
        <v/>
      </c>
      <c r="X205" s="1894"/>
      <c r="Y205" s="1994">
        <f t="shared" si="2"/>
        <v>0</v>
      </c>
      <c r="AU205" s="39"/>
      <c r="BR205" s="407"/>
      <c r="CJ205" s="1699"/>
    </row>
    <row r="206" spans="5:88" ht="13.5" customHeight="1">
      <c r="E206" s="6170"/>
      <c r="N206" s="8168">
        <f t="shared" si="0"/>
        <v>206</v>
      </c>
      <c r="O206" s="8458"/>
      <c r="P206" s="1892"/>
      <c r="Q206" s="1768"/>
      <c r="R206" s="292"/>
      <c r="S206" s="1766"/>
      <c r="T206" s="6189"/>
      <c r="U206" s="1771" t="str">
        <f t="shared" si="1"/>
        <v/>
      </c>
      <c r="V206" s="292"/>
      <c r="W206" s="1763" t="str">
        <f t="shared" si="3"/>
        <v/>
      </c>
      <c r="X206" s="1894"/>
      <c r="Y206" s="1994">
        <f t="shared" si="2"/>
        <v>0</v>
      </c>
      <c r="AU206" s="39"/>
      <c r="CF206" s="407"/>
      <c r="CG206" s="407"/>
    </row>
    <row r="207" spans="5:88" ht="13.5" customHeight="1">
      <c r="E207" s="6170"/>
      <c r="N207" s="8168">
        <f t="shared" si="0"/>
        <v>207</v>
      </c>
      <c r="O207" s="8458"/>
      <c r="P207" s="1892"/>
      <c r="Q207" s="1768"/>
      <c r="R207" s="292"/>
      <c r="S207" s="1766"/>
      <c r="T207" s="6189"/>
      <c r="U207" s="1771" t="str">
        <f t="shared" si="1"/>
        <v/>
      </c>
      <c r="V207" s="292"/>
      <c r="W207" s="1763" t="str">
        <f t="shared" si="3"/>
        <v/>
      </c>
      <c r="X207" s="1894"/>
      <c r="Y207" s="1994">
        <f t="shared" si="2"/>
        <v>0</v>
      </c>
      <c r="AU207" s="39"/>
      <c r="CI207" s="407"/>
    </row>
    <row r="208" spans="5:88" ht="13.5" customHeight="1">
      <c r="E208" s="6170"/>
      <c r="N208" s="8168">
        <f t="shared" si="0"/>
        <v>208</v>
      </c>
      <c r="O208" s="8458"/>
      <c r="P208" s="1892"/>
      <c r="Q208" s="1768"/>
      <c r="R208" s="292"/>
      <c r="S208" s="1766"/>
      <c r="T208" s="6189"/>
      <c r="U208" s="1771" t="str">
        <f t="shared" si="1"/>
        <v/>
      </c>
      <c r="V208" s="292"/>
      <c r="W208" s="1763" t="str">
        <f t="shared" si="3"/>
        <v/>
      </c>
      <c r="X208" s="1894"/>
      <c r="Y208" s="1994">
        <f t="shared" si="2"/>
        <v>0</v>
      </c>
      <c r="AU208" s="39"/>
    </row>
    <row r="209" spans="1:88" ht="15.75" customHeight="1">
      <c r="E209" s="6170"/>
      <c r="N209" s="8168">
        <f t="shared" si="0"/>
        <v>209</v>
      </c>
      <c r="O209" s="8458"/>
      <c r="P209" s="1892"/>
      <c r="Q209" s="1768"/>
      <c r="R209" s="292"/>
      <c r="S209" s="1766"/>
      <c r="T209" s="6189"/>
      <c r="U209" s="1771" t="str">
        <f t="shared" si="1"/>
        <v/>
      </c>
      <c r="V209" s="292"/>
      <c r="W209" s="1763" t="str">
        <f t="shared" si="3"/>
        <v/>
      </c>
      <c r="X209" s="1894"/>
      <c r="Y209" s="1994">
        <f t="shared" si="2"/>
        <v>0</v>
      </c>
      <c r="AU209" s="39"/>
      <c r="BG209" s="407"/>
      <c r="BH209" s="407"/>
      <c r="BT209" s="407"/>
      <c r="BU209" s="407"/>
      <c r="BV209" s="407"/>
      <c r="BW209" s="407"/>
      <c r="BX209" s="407"/>
      <c r="BY209" s="407"/>
      <c r="BZ209" s="407"/>
      <c r="CA209" s="407"/>
      <c r="CB209" s="407"/>
      <c r="CC209" s="407"/>
      <c r="CD209" s="407"/>
      <c r="CE209" s="407"/>
    </row>
    <row r="210" spans="1:88" ht="12.75" customHeight="1">
      <c r="E210" s="6170"/>
      <c r="N210" s="8168">
        <f t="shared" si="0"/>
        <v>210</v>
      </c>
      <c r="O210" s="8458"/>
      <c r="P210" s="1892"/>
      <c r="Q210" s="1768"/>
      <c r="R210" s="292"/>
      <c r="S210" s="1766"/>
      <c r="T210" s="6189"/>
      <c r="U210" s="1771" t="str">
        <f t="shared" si="1"/>
        <v/>
      </c>
      <c r="V210" s="292"/>
      <c r="W210" s="1763" t="str">
        <f t="shared" si="3"/>
        <v/>
      </c>
      <c r="X210" s="1894"/>
      <c r="Y210" s="1994">
        <f t="shared" si="2"/>
        <v>0</v>
      </c>
      <c r="AU210" s="39"/>
      <c r="CH210" s="407"/>
    </row>
    <row r="211" spans="1:88" ht="15.75" customHeight="1">
      <c r="E211" s="6170"/>
      <c r="N211" s="8168">
        <f t="shared" si="0"/>
        <v>211</v>
      </c>
      <c r="O211" s="8458"/>
      <c r="P211" s="1892"/>
      <c r="Q211" s="1768"/>
      <c r="R211" s="292"/>
      <c r="S211" s="1766"/>
      <c r="T211" s="6189"/>
      <c r="U211" s="1771" t="str">
        <f t="shared" si="1"/>
        <v/>
      </c>
      <c r="V211" s="292"/>
      <c r="W211" s="1763" t="str">
        <f t="shared" si="3"/>
        <v/>
      </c>
      <c r="X211" s="1894"/>
      <c r="Y211" s="1994">
        <f t="shared" si="2"/>
        <v>0</v>
      </c>
      <c r="AU211" s="39"/>
    </row>
    <row r="212" spans="1:88">
      <c r="E212" s="6170"/>
      <c r="N212" s="8168">
        <f t="shared" si="0"/>
        <v>212</v>
      </c>
      <c r="O212" s="8458"/>
      <c r="P212" s="1892"/>
      <c r="Q212" s="1768"/>
      <c r="R212" s="292"/>
      <c r="S212" s="1766"/>
      <c r="T212" s="6189"/>
      <c r="U212" s="1771" t="str">
        <f t="shared" si="1"/>
        <v/>
      </c>
      <c r="V212" s="292"/>
      <c r="W212" s="1763" t="str">
        <f t="shared" si="3"/>
        <v/>
      </c>
      <c r="X212" s="1894"/>
      <c r="Y212" s="1994">
        <f t="shared" si="2"/>
        <v>0</v>
      </c>
      <c r="AU212" s="39"/>
    </row>
    <row r="213" spans="1:88" s="640" customFormat="1" ht="17.25" customHeight="1">
      <c r="A213"/>
      <c r="B213"/>
      <c r="C213"/>
      <c r="D213"/>
      <c r="E213" s="6170"/>
      <c r="F213"/>
      <c r="G213"/>
      <c r="H213"/>
      <c r="I213"/>
      <c r="J213"/>
      <c r="K213"/>
      <c r="L213"/>
      <c r="M213"/>
      <c r="N213" s="8168">
        <f t="shared" si="0"/>
        <v>213</v>
      </c>
      <c r="O213" s="8458"/>
      <c r="P213" s="1892"/>
      <c r="Q213" s="1768"/>
      <c r="R213" s="292"/>
      <c r="S213" s="1766"/>
      <c r="T213" s="6189"/>
      <c r="U213" s="1771" t="str">
        <f t="shared" si="1"/>
        <v/>
      </c>
      <c r="V213" s="292"/>
      <c r="W213" s="1763" t="str">
        <f t="shared" si="3"/>
        <v/>
      </c>
      <c r="X213" s="1894"/>
      <c r="Y213" s="1994">
        <f t="shared" si="2"/>
        <v>0</v>
      </c>
      <c r="Z213"/>
      <c r="AA213"/>
      <c r="AB213"/>
      <c r="AC213"/>
      <c r="AD213"/>
      <c r="AE213"/>
      <c r="AF213"/>
      <c r="AG213"/>
      <c r="AH213"/>
      <c r="AI213"/>
      <c r="AJ213"/>
      <c r="AK213"/>
      <c r="AL213"/>
      <c r="AM213"/>
      <c r="AN213"/>
      <c r="AO213"/>
      <c r="AP213"/>
      <c r="AQ213"/>
      <c r="AR213"/>
      <c r="AS213"/>
      <c r="AT213"/>
      <c r="AU213" s="39"/>
      <c r="AV213" s="2038"/>
      <c r="AW213" s="2038"/>
      <c r="AX213" s="2038"/>
      <c r="AY213" s="2038"/>
      <c r="AZ213" s="2038"/>
      <c r="BA213" s="2038"/>
      <c r="BB213" s="2038"/>
      <c r="BC213" s="2038"/>
      <c r="BD213" s="2038"/>
      <c r="BE213" s="2038"/>
      <c r="BF213" s="2038"/>
      <c r="BG213"/>
      <c r="BH213"/>
      <c r="BI213"/>
      <c r="BJ213"/>
      <c r="BK213"/>
      <c r="BL213"/>
      <c r="BM213"/>
      <c r="BN213"/>
      <c r="BO213"/>
      <c r="BP213"/>
      <c r="BQ213"/>
      <c r="BR213"/>
      <c r="BS213"/>
      <c r="BT213"/>
      <c r="BU213"/>
      <c r="BV213"/>
      <c r="BW213"/>
      <c r="BX213"/>
      <c r="BY213"/>
      <c r="BZ213"/>
      <c r="CA213"/>
      <c r="CB213"/>
      <c r="CC213"/>
      <c r="CD213"/>
      <c r="CE213"/>
      <c r="CF213"/>
      <c r="CG213"/>
      <c r="CH213"/>
      <c r="CI213"/>
      <c r="CJ213"/>
    </row>
    <row r="214" spans="1:88" s="407" customFormat="1">
      <c r="A214"/>
      <c r="B214"/>
      <c r="C214"/>
      <c r="D214"/>
      <c r="E214" s="6170"/>
      <c r="F214"/>
      <c r="G214"/>
      <c r="H214"/>
      <c r="I214"/>
      <c r="J214"/>
      <c r="K214"/>
      <c r="L214"/>
      <c r="M214"/>
      <c r="N214" s="8168">
        <f t="shared" si="0"/>
        <v>214</v>
      </c>
      <c r="O214" s="8458"/>
      <c r="P214" s="1892"/>
      <c r="Q214" s="1768"/>
      <c r="R214" s="292"/>
      <c r="S214" s="1766"/>
      <c r="T214" s="6189"/>
      <c r="U214" s="1771" t="str">
        <f t="shared" si="1"/>
        <v/>
      </c>
      <c r="V214" s="292"/>
      <c r="W214" s="1763" t="str">
        <f t="shared" si="3"/>
        <v/>
      </c>
      <c r="X214" s="1894"/>
      <c r="Y214" s="1994">
        <f t="shared" si="2"/>
        <v>0</v>
      </c>
      <c r="Z214"/>
      <c r="AA214"/>
      <c r="AB214"/>
      <c r="AC214"/>
      <c r="AD214"/>
      <c r="AE214"/>
      <c r="AF214"/>
      <c r="AG214"/>
      <c r="AH214"/>
      <c r="AI214"/>
      <c r="AJ214"/>
      <c r="AK214"/>
      <c r="AL214"/>
      <c r="AM214"/>
      <c r="AN214"/>
      <c r="AO214"/>
      <c r="AP214"/>
      <c r="AQ214"/>
      <c r="AR214"/>
      <c r="AS214"/>
      <c r="AT214"/>
      <c r="AU214" s="39"/>
      <c r="AV214" s="2038"/>
      <c r="AW214" s="2038"/>
      <c r="AX214" s="2038"/>
      <c r="AY214" s="2038"/>
      <c r="AZ214" s="2038"/>
      <c r="BA214" s="2038"/>
      <c r="BB214" s="2038"/>
      <c r="BC214" s="2038"/>
      <c r="BD214" s="2038"/>
      <c r="BE214" s="2038"/>
      <c r="BF214" s="2038"/>
      <c r="BG214"/>
      <c r="BH214"/>
      <c r="BI214"/>
      <c r="BJ214"/>
      <c r="BK214"/>
      <c r="BL214"/>
      <c r="BM214"/>
      <c r="BN214"/>
      <c r="BO214"/>
      <c r="BP214"/>
      <c r="BQ214"/>
      <c r="BR214"/>
      <c r="BS214"/>
      <c r="BT214"/>
      <c r="BU214"/>
      <c r="BV214"/>
      <c r="BW214"/>
      <c r="BX214"/>
      <c r="BY214"/>
      <c r="BZ214"/>
      <c r="CA214"/>
      <c r="CB214"/>
      <c r="CC214"/>
      <c r="CD214"/>
      <c r="CE214"/>
      <c r="CF214"/>
      <c r="CG214"/>
      <c r="CH214"/>
      <c r="CI214"/>
      <c r="CJ214"/>
    </row>
    <row r="215" spans="1:88" s="407" customFormat="1">
      <c r="A215"/>
      <c r="B215"/>
      <c r="C215"/>
      <c r="D215"/>
      <c r="E215" s="6170"/>
      <c r="F215"/>
      <c r="G215"/>
      <c r="H215"/>
      <c r="I215"/>
      <c r="J215"/>
      <c r="K215"/>
      <c r="L215"/>
      <c r="M215"/>
      <c r="N215" s="8168">
        <f t="shared" si="0"/>
        <v>215</v>
      </c>
      <c r="O215" s="8458"/>
      <c r="P215" s="1892"/>
      <c r="Q215" s="1768"/>
      <c r="R215" s="292"/>
      <c r="S215" s="1766"/>
      <c r="T215" s="6189"/>
      <c r="U215" s="1771" t="str">
        <f t="shared" si="1"/>
        <v/>
      </c>
      <c r="V215" s="292"/>
      <c r="W215" s="1763" t="str">
        <f t="shared" si="3"/>
        <v/>
      </c>
      <c r="X215" s="1894"/>
      <c r="Y215" s="1994">
        <f t="shared" si="2"/>
        <v>0</v>
      </c>
      <c r="Z215"/>
      <c r="AA215"/>
      <c r="AB215"/>
      <c r="AC215"/>
      <c r="AD215"/>
      <c r="AE215"/>
      <c r="AF215"/>
      <c r="AG215"/>
      <c r="AH215"/>
      <c r="AI215"/>
      <c r="AJ215"/>
      <c r="AK215"/>
      <c r="AL215"/>
      <c r="AM215"/>
      <c r="AN215"/>
      <c r="AO215"/>
      <c r="AP215"/>
      <c r="AQ215"/>
      <c r="AR215"/>
      <c r="AS215"/>
      <c r="AT215"/>
      <c r="AU215" s="39"/>
      <c r="AV215" s="2038"/>
      <c r="AW215" s="2038"/>
      <c r="AX215" s="2038"/>
      <c r="AY215" s="2038"/>
      <c r="AZ215" s="2038"/>
      <c r="BA215" s="2038"/>
      <c r="BB215" s="2038"/>
      <c r="BC215" s="2038"/>
      <c r="BD215" s="2038"/>
      <c r="BE215" s="2038"/>
      <c r="BF215" s="2038"/>
      <c r="BG215"/>
      <c r="BH215"/>
      <c r="BI215"/>
      <c r="BJ215"/>
      <c r="BK215"/>
      <c r="BL215"/>
      <c r="BM215"/>
      <c r="BN215"/>
      <c r="BO215"/>
      <c r="BP215"/>
      <c r="BQ215"/>
      <c r="BT215"/>
      <c r="BU215"/>
      <c r="BV215"/>
      <c r="BW215"/>
      <c r="BX215"/>
      <c r="BY215"/>
      <c r="BZ215"/>
      <c r="CA215"/>
      <c r="CB215"/>
      <c r="CC215"/>
      <c r="CD215"/>
      <c r="CE215"/>
      <c r="CF215"/>
      <c r="CG215"/>
      <c r="CH215"/>
      <c r="CI215"/>
      <c r="CJ215"/>
    </row>
    <row r="216" spans="1:88" s="1699" customFormat="1" ht="14.25">
      <c r="A216"/>
      <c r="B216"/>
      <c r="C216"/>
      <c r="D216"/>
      <c r="E216" s="6170"/>
      <c r="F216"/>
      <c r="G216"/>
      <c r="H216"/>
      <c r="I216"/>
      <c r="J216"/>
      <c r="K216"/>
      <c r="L216"/>
      <c r="M216"/>
      <c r="N216" s="8168">
        <f t="shared" si="0"/>
        <v>216</v>
      </c>
      <c r="O216" s="8458"/>
      <c r="P216" s="1892"/>
      <c r="Q216" s="1768"/>
      <c r="R216" s="292"/>
      <c r="S216" s="1766"/>
      <c r="T216" s="6189"/>
      <c r="U216" s="1771" t="str">
        <f t="shared" si="1"/>
        <v/>
      </c>
      <c r="V216" s="292"/>
      <c r="W216" s="1763" t="str">
        <f t="shared" ref="W216:W233" si="4">IF(S216="","",IF(AND(Q216&lt;$P$116,Q217&gt;=$P$116),SUM($P$77,-U216),IF(AND(Q216&lt;$R$116,Q217&gt;=$R$116),SUM($P$77,$R$77,-U216),IF(AND(Q216&lt;$T$116,Q217&gt;=$T$116),SUM($P$77,$R$77,$T$77,-U216),IF(AND(Q216&lt;$V$116,Q217&gt;=$V$116),SUM($P$77,$R$77,$T$77,$V$77,-U216),0)))))</f>
        <v/>
      </c>
      <c r="X216" s="1894"/>
      <c r="Y216" s="1994">
        <f t="shared" si="2"/>
        <v>0</v>
      </c>
      <c r="Z216"/>
      <c r="AA216"/>
      <c r="AB216"/>
      <c r="AC216"/>
      <c r="AD216"/>
      <c r="AE216"/>
      <c r="AF216"/>
      <c r="AG216"/>
      <c r="AH216"/>
      <c r="AI216"/>
      <c r="AJ216"/>
      <c r="AK216"/>
      <c r="AL216"/>
      <c r="AM216"/>
      <c r="AN216"/>
      <c r="AO216"/>
      <c r="AP216"/>
      <c r="AQ216"/>
      <c r="AR216"/>
      <c r="AS216"/>
      <c r="AT216"/>
      <c r="AU216" s="39"/>
      <c r="AV216" s="2038"/>
      <c r="AW216" s="2038"/>
      <c r="AX216" s="2038"/>
      <c r="AY216" s="2038"/>
      <c r="AZ216" s="2038"/>
      <c r="BA216" s="2038"/>
      <c r="BB216" s="2038"/>
      <c r="BC216" s="2038"/>
      <c r="BD216" s="2038"/>
      <c r="BE216" s="2038"/>
      <c r="BF216" s="2038"/>
      <c r="BG216"/>
      <c r="BH216"/>
      <c r="BI216"/>
      <c r="BJ216"/>
      <c r="BK216"/>
      <c r="BL216"/>
      <c r="BM216"/>
      <c r="BN216"/>
      <c r="BO216"/>
      <c r="BP216"/>
      <c r="BQ216"/>
      <c r="BR216"/>
      <c r="BS216"/>
      <c r="BT216"/>
      <c r="BU216"/>
      <c r="BV216"/>
      <c r="BW216"/>
      <c r="BX216"/>
      <c r="BY216"/>
      <c r="BZ216"/>
      <c r="CA216"/>
      <c r="CB216"/>
      <c r="CC216"/>
      <c r="CD216"/>
      <c r="CE216"/>
      <c r="CF216"/>
      <c r="CG216"/>
      <c r="CH216"/>
      <c r="CI216"/>
      <c r="CJ216"/>
    </row>
    <row r="217" spans="1:88" s="1699" customFormat="1" ht="15" customHeight="1">
      <c r="A217"/>
      <c r="B217"/>
      <c r="C217"/>
      <c r="D217"/>
      <c r="E217" s="6170"/>
      <c r="F217"/>
      <c r="G217"/>
      <c r="H217"/>
      <c r="I217"/>
      <c r="J217"/>
      <c r="K217"/>
      <c r="L217"/>
      <c r="M217"/>
      <c r="N217" s="8168">
        <f t="shared" si="0"/>
        <v>217</v>
      </c>
      <c r="O217" s="8458"/>
      <c r="P217" s="1892"/>
      <c r="Q217" s="1768"/>
      <c r="R217" s="292"/>
      <c r="S217" s="1766"/>
      <c r="T217" s="6189"/>
      <c r="U217" s="1771" t="str">
        <f t="shared" si="1"/>
        <v/>
      </c>
      <c r="V217" s="292"/>
      <c r="W217" s="1763" t="str">
        <f t="shared" si="4"/>
        <v/>
      </c>
      <c r="X217" s="1894"/>
      <c r="Y217" s="1994">
        <f t="shared" si="2"/>
        <v>0</v>
      </c>
      <c r="Z217"/>
      <c r="AA217"/>
      <c r="AB217"/>
      <c r="AC217"/>
      <c r="AD217"/>
      <c r="AE217"/>
      <c r="AF217"/>
      <c r="AG217"/>
      <c r="AH217"/>
      <c r="AI217"/>
      <c r="AJ217"/>
      <c r="AK217"/>
      <c r="AL217"/>
      <c r="AM217"/>
      <c r="AN217"/>
      <c r="AO217"/>
      <c r="AP217"/>
      <c r="AQ217"/>
      <c r="AR217"/>
      <c r="AS217"/>
      <c r="AT217"/>
      <c r="AU217" s="39"/>
      <c r="AV217" s="2038"/>
      <c r="AW217" s="2038"/>
      <c r="AX217" s="2038"/>
      <c r="AY217" s="2038"/>
      <c r="AZ217" s="2038"/>
      <c r="BA217" s="2038"/>
      <c r="BB217" s="2038"/>
      <c r="BC217" s="2038"/>
      <c r="BD217" s="2038"/>
      <c r="BE217" s="2038"/>
      <c r="BF217" s="2038"/>
      <c r="BG217"/>
      <c r="BH217"/>
      <c r="BI217"/>
      <c r="BJ217"/>
      <c r="BK217"/>
      <c r="BL217"/>
      <c r="BM217"/>
      <c r="BN217"/>
      <c r="BO217"/>
      <c r="BP217"/>
      <c r="BQ217"/>
      <c r="BR217"/>
      <c r="BS217"/>
      <c r="BT217"/>
      <c r="BU217"/>
      <c r="BV217"/>
      <c r="BW217"/>
      <c r="BX217"/>
      <c r="BY217"/>
      <c r="BZ217"/>
      <c r="CA217"/>
      <c r="CB217"/>
      <c r="CC217"/>
      <c r="CD217"/>
      <c r="CE217"/>
      <c r="CF217" s="407"/>
      <c r="CG217" s="407"/>
      <c r="CH217"/>
      <c r="CI217"/>
      <c r="CJ217" s="407"/>
    </row>
    <row r="218" spans="1:88" s="1699" customFormat="1" ht="14.25">
      <c r="A218"/>
      <c r="B218"/>
      <c r="C218"/>
      <c r="D218"/>
      <c r="E218" s="6170"/>
      <c r="F218"/>
      <c r="G218"/>
      <c r="H218"/>
      <c r="I218"/>
      <c r="J218"/>
      <c r="K218"/>
      <c r="L218"/>
      <c r="M218"/>
      <c r="N218" s="8168">
        <f t="shared" si="0"/>
        <v>218</v>
      </c>
      <c r="O218" s="8458"/>
      <c r="P218" s="1892"/>
      <c r="Q218" s="1768"/>
      <c r="R218" s="292"/>
      <c r="S218" s="1766"/>
      <c r="T218" s="6189"/>
      <c r="U218" s="1771" t="str">
        <f t="shared" si="1"/>
        <v/>
      </c>
      <c r="V218" s="292"/>
      <c r="W218" s="1763" t="str">
        <f t="shared" si="4"/>
        <v/>
      </c>
      <c r="X218" s="1894"/>
      <c r="Y218" s="1994">
        <f t="shared" si="2"/>
        <v>0</v>
      </c>
      <c r="Z218"/>
      <c r="AA218"/>
      <c r="AB218"/>
      <c r="AC218"/>
      <c r="AD218"/>
      <c r="AE218"/>
      <c r="AF218"/>
      <c r="AG218"/>
      <c r="AH218"/>
      <c r="AI218"/>
      <c r="AJ218"/>
      <c r="AK218"/>
      <c r="AL218"/>
      <c r="AM218"/>
      <c r="AN218"/>
      <c r="AO218"/>
      <c r="AP218"/>
      <c r="AQ218"/>
      <c r="AR218"/>
      <c r="AS218"/>
      <c r="AT218"/>
      <c r="AU218" s="39"/>
      <c r="AV218" s="2038"/>
      <c r="AW218" s="2038"/>
      <c r="AX218" s="2038"/>
      <c r="AY218" s="2038"/>
      <c r="AZ218" s="2038"/>
      <c r="BA218" s="2038"/>
      <c r="BB218" s="2038"/>
      <c r="BC218" s="2038"/>
      <c r="BD218" s="2038"/>
      <c r="BE218" s="2038"/>
      <c r="BF218" s="2038"/>
      <c r="BG218"/>
      <c r="BH218"/>
      <c r="BI218"/>
      <c r="BJ218"/>
      <c r="BK218"/>
      <c r="BL218"/>
      <c r="BM218"/>
      <c r="BN218"/>
      <c r="BO218"/>
      <c r="BP218"/>
      <c r="BQ218"/>
      <c r="BR218"/>
      <c r="BS218"/>
      <c r="BT218"/>
      <c r="BU218"/>
      <c r="BV218"/>
      <c r="BW218"/>
      <c r="BX218"/>
      <c r="BY218"/>
      <c r="BZ218"/>
      <c r="CA218"/>
      <c r="CB218"/>
      <c r="CC218"/>
      <c r="CD218"/>
      <c r="CE218"/>
      <c r="CF218"/>
      <c r="CG218"/>
      <c r="CH218"/>
      <c r="CI218" s="407"/>
      <c r="CJ218"/>
    </row>
    <row r="219" spans="1:88" ht="13.5" customHeight="1">
      <c r="E219" s="6170"/>
      <c r="N219" s="8168">
        <f t="shared" si="0"/>
        <v>219</v>
      </c>
      <c r="O219" s="8458"/>
      <c r="P219" s="1892"/>
      <c r="Q219" s="1768"/>
      <c r="R219" s="292"/>
      <c r="S219" s="1766"/>
      <c r="T219" s="6189"/>
      <c r="U219" s="1771" t="str">
        <f t="shared" si="1"/>
        <v/>
      </c>
      <c r="V219" s="292"/>
      <c r="W219" s="1763" t="str">
        <f t="shared" si="4"/>
        <v/>
      </c>
      <c r="X219" s="1894"/>
      <c r="Y219" s="1994">
        <f t="shared" si="2"/>
        <v>0</v>
      </c>
      <c r="AU219" s="39"/>
    </row>
    <row r="220" spans="1:88" ht="13.5" customHeight="1">
      <c r="E220" s="6170"/>
      <c r="N220" s="8168">
        <f t="shared" si="0"/>
        <v>220</v>
      </c>
      <c r="O220" s="8458"/>
      <c r="P220" s="1892"/>
      <c r="Q220" s="1768"/>
      <c r="R220" s="292"/>
      <c r="S220" s="1766"/>
      <c r="T220" s="6189"/>
      <c r="U220" s="1771" t="str">
        <f t="shared" si="1"/>
        <v/>
      </c>
      <c r="V220" s="292"/>
      <c r="W220" s="1763" t="str">
        <f t="shared" si="4"/>
        <v/>
      </c>
      <c r="X220" s="1894"/>
      <c r="Y220" s="1994">
        <f t="shared" si="2"/>
        <v>0</v>
      </c>
      <c r="AU220" s="39"/>
      <c r="BG220" s="407"/>
      <c r="BH220" s="407"/>
      <c r="BT220" s="407"/>
      <c r="BU220" s="407"/>
      <c r="BV220" s="407"/>
      <c r="BW220" s="407"/>
      <c r="BX220" s="407"/>
      <c r="BY220" s="407"/>
      <c r="BZ220" s="407"/>
      <c r="CA220" s="407"/>
      <c r="CB220" s="407"/>
      <c r="CC220" s="407"/>
      <c r="CD220" s="407"/>
      <c r="CE220" s="407"/>
    </row>
    <row r="221" spans="1:88" ht="12" customHeight="1">
      <c r="E221" s="6170"/>
      <c r="N221" s="8168">
        <f t="shared" si="0"/>
        <v>221</v>
      </c>
      <c r="O221" s="8458"/>
      <c r="P221" s="1892"/>
      <c r="Q221" s="1768"/>
      <c r="R221" s="292"/>
      <c r="S221" s="1766"/>
      <c r="T221" s="6189"/>
      <c r="U221" s="1771" t="str">
        <f t="shared" si="1"/>
        <v/>
      </c>
      <c r="V221" s="292"/>
      <c r="W221" s="1763" t="str">
        <f t="shared" si="4"/>
        <v/>
      </c>
      <c r="X221" s="1894"/>
      <c r="Y221" s="1994">
        <f t="shared" si="2"/>
        <v>0</v>
      </c>
      <c r="AU221" s="39"/>
      <c r="CH221" s="407"/>
    </row>
    <row r="222" spans="1:88" ht="13.5" customHeight="1">
      <c r="E222" s="6170"/>
      <c r="N222" s="8168">
        <f t="shared" si="0"/>
        <v>222</v>
      </c>
      <c r="O222" s="8458"/>
      <c r="P222" s="1892"/>
      <c r="Q222" s="1768"/>
      <c r="R222" s="292"/>
      <c r="S222" s="1766"/>
      <c r="T222" s="6189"/>
      <c r="U222" s="1771" t="str">
        <f t="shared" si="1"/>
        <v/>
      </c>
      <c r="V222" s="292"/>
      <c r="W222" s="1763" t="str">
        <f t="shared" si="4"/>
        <v/>
      </c>
      <c r="X222" s="1894"/>
      <c r="Y222" s="1994">
        <f t="shared" si="2"/>
        <v>0</v>
      </c>
      <c r="AU222" s="39"/>
    </row>
    <row r="223" spans="1:88" ht="12.6" customHeight="1">
      <c r="E223" s="6170"/>
      <c r="N223" s="8168">
        <f t="shared" si="0"/>
        <v>223</v>
      </c>
      <c r="O223" s="8458"/>
      <c r="P223" s="1892"/>
      <c r="Q223" s="1768"/>
      <c r="R223" s="292"/>
      <c r="S223" s="1766"/>
      <c r="T223" s="6189"/>
      <c r="U223" s="1771" t="str">
        <f t="shared" si="1"/>
        <v/>
      </c>
      <c r="V223" s="292"/>
      <c r="W223" s="1763" t="str">
        <f t="shared" si="4"/>
        <v/>
      </c>
      <c r="X223" s="1894"/>
      <c r="Y223" s="1994">
        <f t="shared" si="2"/>
        <v>0</v>
      </c>
      <c r="AU223" s="39"/>
    </row>
    <row r="224" spans="1:88" ht="12.6" customHeight="1">
      <c r="E224" s="6170"/>
      <c r="N224" s="8168">
        <f t="shared" si="0"/>
        <v>224</v>
      </c>
      <c r="O224" s="8458"/>
      <c r="P224" s="1892"/>
      <c r="Q224" s="1768"/>
      <c r="R224" s="292"/>
      <c r="S224" s="1766"/>
      <c r="T224" s="6189"/>
      <c r="U224" s="1771" t="str">
        <f t="shared" si="1"/>
        <v/>
      </c>
      <c r="V224" s="292"/>
      <c r="W224" s="1763" t="str">
        <f t="shared" si="4"/>
        <v/>
      </c>
      <c r="X224" s="1894"/>
      <c r="Y224" s="1994">
        <f t="shared" si="2"/>
        <v>0</v>
      </c>
      <c r="AU224" s="39"/>
    </row>
    <row r="225" spans="1:88" ht="12.6" customHeight="1">
      <c r="E225" s="6170"/>
      <c r="N225" s="8168">
        <f t="shared" si="0"/>
        <v>225</v>
      </c>
      <c r="O225" s="8458"/>
      <c r="P225" s="1892"/>
      <c r="Q225" s="1768"/>
      <c r="R225" s="292"/>
      <c r="S225" s="1766"/>
      <c r="T225" s="6189"/>
      <c r="U225" s="1771" t="str">
        <f t="shared" si="1"/>
        <v/>
      </c>
      <c r="V225" s="292"/>
      <c r="W225" s="1763" t="str">
        <f t="shared" si="4"/>
        <v/>
      </c>
      <c r="X225" s="1894"/>
      <c r="Y225" s="1994">
        <f t="shared" si="2"/>
        <v>0</v>
      </c>
      <c r="AU225" s="39"/>
    </row>
    <row r="226" spans="1:88" ht="12.6" customHeight="1">
      <c r="E226" s="6170"/>
      <c r="N226" s="8168">
        <f t="shared" si="0"/>
        <v>226</v>
      </c>
      <c r="O226" s="8458"/>
      <c r="P226" s="1892"/>
      <c r="Q226" s="1768"/>
      <c r="R226" s="292"/>
      <c r="S226" s="1766"/>
      <c r="T226" s="6189"/>
      <c r="U226" s="1771" t="str">
        <f t="shared" si="1"/>
        <v/>
      </c>
      <c r="V226" s="292"/>
      <c r="W226" s="1763" t="str">
        <f t="shared" si="4"/>
        <v/>
      </c>
      <c r="X226" s="1894"/>
      <c r="Y226" s="1994">
        <f t="shared" si="2"/>
        <v>0</v>
      </c>
      <c r="AU226" s="39"/>
      <c r="BR226" s="407"/>
      <c r="BS226" s="407"/>
    </row>
    <row r="227" spans="1:88" ht="12.6" customHeight="1">
      <c r="E227" s="6170"/>
      <c r="N227" s="8168">
        <f t="shared" si="0"/>
        <v>227</v>
      </c>
      <c r="O227" s="8458"/>
      <c r="P227" s="1892"/>
      <c r="Q227" s="1768"/>
      <c r="R227" s="292"/>
      <c r="S227" s="1766"/>
      <c r="T227" s="6189"/>
      <c r="U227" s="1771" t="str">
        <f t="shared" si="1"/>
        <v/>
      </c>
      <c r="V227" s="292"/>
      <c r="W227" s="1763" t="str">
        <f t="shared" si="4"/>
        <v/>
      </c>
      <c r="X227" s="1894"/>
      <c r="Y227" s="1994">
        <f t="shared" si="2"/>
        <v>0</v>
      </c>
      <c r="AU227" s="39"/>
      <c r="CG227" s="407"/>
      <c r="CJ227" s="407"/>
    </row>
    <row r="228" spans="1:88" ht="12.6" customHeight="1">
      <c r="E228" s="6170"/>
      <c r="N228" s="8168">
        <f t="shared" si="0"/>
        <v>228</v>
      </c>
      <c r="O228" s="8458"/>
      <c r="P228" s="1892"/>
      <c r="Q228" s="1768"/>
      <c r="R228" s="292"/>
      <c r="S228" s="1766"/>
      <c r="T228" s="6189"/>
      <c r="U228" s="1771" t="str">
        <f t="shared" si="1"/>
        <v/>
      </c>
      <c r="V228" s="292"/>
      <c r="W228" s="1763" t="str">
        <f t="shared" si="4"/>
        <v/>
      </c>
      <c r="X228" s="1894"/>
      <c r="Y228" s="1994">
        <f t="shared" si="2"/>
        <v>0</v>
      </c>
      <c r="AU228" s="39"/>
      <c r="CI228" s="407"/>
    </row>
    <row r="229" spans="1:88" s="407" customFormat="1" ht="20.100000000000001" customHeight="1">
      <c r="A229"/>
      <c r="B229"/>
      <c r="C229"/>
      <c r="D229"/>
      <c r="E229" s="6170"/>
      <c r="F229"/>
      <c r="G229"/>
      <c r="H229"/>
      <c r="I229"/>
      <c r="J229"/>
      <c r="K229"/>
      <c r="L229"/>
      <c r="M229"/>
      <c r="N229" s="8168">
        <f t="shared" si="0"/>
        <v>229</v>
      </c>
      <c r="O229" s="8458"/>
      <c r="P229" s="1892"/>
      <c r="Q229" s="1768"/>
      <c r="R229" s="292"/>
      <c r="S229" s="1766"/>
      <c r="T229" s="6189"/>
      <c r="U229" s="1771" t="str">
        <f t="shared" si="1"/>
        <v/>
      </c>
      <c r="V229" s="292"/>
      <c r="W229" s="1763" t="str">
        <f t="shared" si="4"/>
        <v/>
      </c>
      <c r="X229" s="1894"/>
      <c r="Y229" s="1994">
        <f t="shared" si="2"/>
        <v>0</v>
      </c>
      <c r="Z229"/>
      <c r="AA229"/>
      <c r="AB229"/>
      <c r="AC229"/>
      <c r="AD229"/>
      <c r="AE229"/>
      <c r="AF229"/>
      <c r="AG229"/>
      <c r="AH229"/>
      <c r="AI229"/>
      <c r="AJ229"/>
      <c r="AK229"/>
      <c r="AL229"/>
      <c r="AM229"/>
      <c r="AN229"/>
      <c r="AO229"/>
      <c r="AP229"/>
      <c r="AQ229"/>
      <c r="AR229"/>
      <c r="AS229"/>
      <c r="AT229"/>
      <c r="AU229" s="39"/>
      <c r="AV229" s="2038"/>
      <c r="AW229" s="2038"/>
      <c r="AX229" s="2038"/>
      <c r="AY229" s="2038"/>
      <c r="AZ229" s="2038"/>
      <c r="BA229" s="2038"/>
      <c r="BB229" s="2038"/>
      <c r="BC229" s="2038"/>
      <c r="BD229" s="2038"/>
      <c r="BE229" s="2038"/>
      <c r="BF229" s="2038"/>
      <c r="BG229"/>
      <c r="BH229"/>
      <c r="BI229"/>
      <c r="BJ229"/>
      <c r="BK229"/>
      <c r="BL229"/>
      <c r="BM229"/>
      <c r="BN229"/>
      <c r="BO229"/>
      <c r="BP229"/>
      <c r="BQ229"/>
      <c r="BR229"/>
      <c r="BS229"/>
      <c r="BT229"/>
      <c r="BU229"/>
      <c r="BV229"/>
      <c r="BW229"/>
      <c r="BX229"/>
      <c r="BY229"/>
      <c r="BZ229"/>
      <c r="CA229"/>
      <c r="CB229"/>
      <c r="CC229"/>
      <c r="CD229"/>
      <c r="CE229"/>
      <c r="CF229"/>
      <c r="CG229"/>
      <c r="CH229"/>
      <c r="CI229"/>
      <c r="CJ229"/>
    </row>
    <row r="230" spans="1:88">
      <c r="N230" s="8168">
        <f t="shared" si="0"/>
        <v>230</v>
      </c>
      <c r="O230" s="8458"/>
      <c r="P230" s="1892"/>
      <c r="Q230" s="1768"/>
      <c r="R230" s="292"/>
      <c r="S230" s="1766"/>
      <c r="T230" s="6189"/>
      <c r="U230" s="1771" t="str">
        <f t="shared" si="1"/>
        <v/>
      </c>
      <c r="V230" s="292"/>
      <c r="W230" s="1763" t="str">
        <f t="shared" si="4"/>
        <v/>
      </c>
      <c r="X230" s="1894"/>
      <c r="Y230" s="1994">
        <f t="shared" si="2"/>
        <v>0</v>
      </c>
      <c r="AU230" s="39"/>
    </row>
    <row r="231" spans="1:88" ht="12.6" customHeight="1">
      <c r="N231" s="8168">
        <f t="shared" si="0"/>
        <v>231</v>
      </c>
      <c r="O231" s="8458"/>
      <c r="P231" s="1892"/>
      <c r="Q231" s="1768"/>
      <c r="R231" s="292"/>
      <c r="S231" s="1766"/>
      <c r="T231" s="6189"/>
      <c r="U231" s="1771" t="str">
        <f t="shared" si="1"/>
        <v/>
      </c>
      <c r="V231" s="292"/>
      <c r="W231" s="1763" t="str">
        <f t="shared" si="4"/>
        <v/>
      </c>
      <c r="X231" s="1894"/>
      <c r="Y231" s="1994">
        <f t="shared" si="2"/>
        <v>0</v>
      </c>
      <c r="AU231" s="39"/>
      <c r="CH231" s="407"/>
    </row>
    <row r="232" spans="1:88" ht="12.6" customHeight="1">
      <c r="N232" s="8168">
        <f t="shared" si="0"/>
        <v>232</v>
      </c>
      <c r="O232" s="8458"/>
      <c r="P232" s="1892"/>
      <c r="Q232" s="1768"/>
      <c r="R232" s="292"/>
      <c r="S232" s="1766"/>
      <c r="T232" s="6189"/>
      <c r="U232" s="1771" t="str">
        <f t="shared" si="1"/>
        <v/>
      </c>
      <c r="V232" s="292"/>
      <c r="W232" s="1763" t="str">
        <f t="shared" si="4"/>
        <v/>
      </c>
      <c r="X232" s="1894"/>
      <c r="Y232" s="1994">
        <f t="shared" si="2"/>
        <v>0</v>
      </c>
      <c r="AU232" s="39"/>
    </row>
    <row r="233" spans="1:88" ht="12.6" customHeight="1" thickBot="1">
      <c r="N233" s="8168">
        <f t="shared" si="0"/>
        <v>233</v>
      </c>
      <c r="O233" s="8458"/>
      <c r="P233" s="1892"/>
      <c r="Q233" s="1769"/>
      <c r="R233" s="292"/>
      <c r="S233" s="1767"/>
      <c r="T233" s="6189"/>
      <c r="U233" s="1772" t="str">
        <f t="shared" si="1"/>
        <v/>
      </c>
      <c r="V233" s="292"/>
      <c r="W233" s="1764" t="str">
        <f t="shared" si="4"/>
        <v/>
      </c>
      <c r="X233" s="1894"/>
      <c r="Y233" s="1994">
        <f t="shared" si="2"/>
        <v>0</v>
      </c>
      <c r="AU233" s="39"/>
    </row>
    <row r="234" spans="1:88" ht="13.5" thickBot="1">
      <c r="N234" s="8168">
        <f t="shared" si="0"/>
        <v>234</v>
      </c>
      <c r="O234" s="8458"/>
      <c r="P234" s="1897"/>
      <c r="Q234" s="1898"/>
      <c r="R234" s="1898"/>
      <c r="S234" s="1898"/>
      <c r="T234" s="1898"/>
      <c r="U234" s="1898"/>
      <c r="V234" s="1898"/>
      <c r="W234" s="1898"/>
      <c r="X234" s="1899"/>
      <c r="Y234" s="1994">
        <f>SUM(Y180:Y233)</f>
        <v>0</v>
      </c>
      <c r="AU234" s="39"/>
    </row>
    <row r="235" spans="1:88" ht="13.5" thickTop="1">
      <c r="O235" s="1745"/>
      <c r="P235" s="780"/>
      <c r="Q235" s="780"/>
      <c r="R235" s="780"/>
      <c r="S235" s="780"/>
      <c r="T235" s="780"/>
      <c r="U235" s="780"/>
      <c r="V235" s="780"/>
      <c r="W235" s="780"/>
      <c r="X235" s="780"/>
      <c r="Y235" s="1754"/>
      <c r="AU235" s="39"/>
    </row>
    <row r="236" spans="1:88" ht="12.6" customHeight="1">
      <c r="Y236" s="1754"/>
      <c r="AU236" s="39"/>
    </row>
    <row r="237" spans="1:88">
      <c r="Y237" s="1754"/>
      <c r="AU237" s="39"/>
      <c r="CJ237" s="407"/>
    </row>
    <row r="238" spans="1:88" ht="15.95" customHeight="1">
      <c r="Y238" s="1754"/>
      <c r="AU238" s="39"/>
      <c r="CI238" s="407"/>
    </row>
    <row r="239" spans="1:88" s="407" customFormat="1" ht="20.100000000000001" customHeight="1">
      <c r="A239"/>
      <c r="B239"/>
      <c r="C239"/>
      <c r="D239"/>
      <c r="E239"/>
      <c r="F239"/>
      <c r="G239"/>
      <c r="H239"/>
      <c r="I239"/>
      <c r="J239"/>
      <c r="K239"/>
      <c r="L239"/>
      <c r="M239"/>
      <c r="N239"/>
      <c r="O239"/>
      <c r="P239"/>
      <c r="Q239"/>
      <c r="R239"/>
      <c r="S239"/>
      <c r="T239"/>
      <c r="U239"/>
      <c r="V239"/>
      <c r="W239"/>
      <c r="X239"/>
      <c r="Y239" s="1754"/>
      <c r="Z239"/>
      <c r="AA239"/>
      <c r="AB239"/>
      <c r="AC239"/>
      <c r="AD239"/>
      <c r="AE239"/>
      <c r="AF239"/>
      <c r="AG239"/>
      <c r="AH239"/>
      <c r="AI239"/>
      <c r="AJ239"/>
      <c r="AK239"/>
      <c r="AL239"/>
      <c r="AM239"/>
      <c r="AN239"/>
      <c r="AO239"/>
      <c r="AP239"/>
      <c r="AQ239"/>
      <c r="AR239"/>
      <c r="AS239"/>
      <c r="AT239"/>
      <c r="AU239" s="39"/>
      <c r="AV239" s="2038"/>
      <c r="AW239" s="2038"/>
      <c r="AX239" s="2038"/>
      <c r="AY239" s="2038"/>
      <c r="AZ239" s="2038"/>
      <c r="BA239" s="2038"/>
      <c r="BB239" s="2038"/>
      <c r="BC239" s="2038"/>
      <c r="BD239" s="2038"/>
      <c r="BE239" s="2038"/>
      <c r="BF239" s="2038"/>
      <c r="BG239"/>
      <c r="BH239"/>
      <c r="BI239"/>
      <c r="BJ239"/>
      <c r="BK239"/>
      <c r="BL239"/>
      <c r="BM239"/>
      <c r="BN239"/>
      <c r="BO239"/>
      <c r="BP239"/>
      <c r="BQ239"/>
      <c r="BR239"/>
      <c r="BS239"/>
      <c r="BT239"/>
      <c r="BU239"/>
      <c r="BV239"/>
      <c r="BW239"/>
      <c r="BX239"/>
      <c r="BY239"/>
      <c r="BZ239"/>
      <c r="CA239"/>
      <c r="CB239"/>
      <c r="CC239"/>
      <c r="CD239"/>
      <c r="CE239"/>
      <c r="CF239"/>
      <c r="CG239"/>
      <c r="CH239"/>
      <c r="CI239"/>
      <c r="CJ239"/>
    </row>
    <row r="240" spans="1:88" ht="12.6" customHeight="1">
      <c r="B240" s="39"/>
      <c r="C240" s="39"/>
      <c r="D240" s="39"/>
      <c r="E240" s="39"/>
      <c r="L240" s="39"/>
      <c r="M240" s="39"/>
      <c r="N240" s="39"/>
      <c r="O240" s="39"/>
      <c r="P240" s="39"/>
      <c r="Q240" s="39"/>
      <c r="R240" s="39"/>
      <c r="S240" s="39"/>
      <c r="T240" s="39"/>
      <c r="U240" s="39"/>
      <c r="V240" s="39"/>
      <c r="Y240" s="1754"/>
      <c r="AU240" s="39"/>
    </row>
    <row r="241" spans="1:88" ht="12.6" customHeight="1">
      <c r="B241" s="240"/>
      <c r="C241" s="240"/>
      <c r="D241" s="240"/>
      <c r="E241" s="240"/>
      <c r="L241" s="240"/>
      <c r="M241" s="240"/>
      <c r="N241" s="240"/>
      <c r="O241" s="240"/>
      <c r="P241" s="240"/>
      <c r="Q241" s="240"/>
      <c r="R241" s="240"/>
      <c r="S241" s="240"/>
      <c r="T241" s="240"/>
      <c r="U241" s="240"/>
      <c r="V241" s="240"/>
      <c r="Y241" s="1754"/>
      <c r="AU241" s="39"/>
    </row>
    <row r="242" spans="1:88" ht="12.6" customHeight="1">
      <c r="B242" s="39"/>
      <c r="C242" s="39"/>
      <c r="D242" s="39"/>
      <c r="E242" s="39"/>
      <c r="L242" s="39"/>
      <c r="M242" s="39"/>
      <c r="N242" s="39"/>
      <c r="O242" s="39"/>
      <c r="P242" s="39"/>
      <c r="Q242" s="39"/>
      <c r="R242" s="39"/>
      <c r="S242" s="39"/>
      <c r="T242" s="39"/>
      <c r="U242" s="39"/>
      <c r="V242" s="39"/>
      <c r="Y242" s="1754"/>
      <c r="AU242" s="39"/>
    </row>
    <row r="243" spans="1:88" ht="13.5" customHeight="1">
      <c r="B243" s="240"/>
      <c r="C243" s="240"/>
      <c r="D243" s="240"/>
      <c r="E243" s="240"/>
      <c r="L243" s="240"/>
      <c r="M243" s="240"/>
      <c r="N243" s="240"/>
      <c r="O243" s="240"/>
      <c r="P243" s="240"/>
      <c r="Q243" s="240"/>
      <c r="R243" s="240"/>
      <c r="S243" s="240"/>
      <c r="T243" s="240"/>
      <c r="U243" s="240"/>
      <c r="V243" s="240"/>
      <c r="Y243" s="1754"/>
      <c r="AU243" s="39"/>
    </row>
    <row r="244" spans="1:88" ht="12.6" customHeight="1">
      <c r="Y244" s="1754"/>
      <c r="AU244" s="39"/>
    </row>
    <row r="245" spans="1:88" ht="12.6" customHeight="1">
      <c r="Y245" s="1754"/>
      <c r="AU245" s="39"/>
    </row>
    <row r="246" spans="1:88" ht="12.6" customHeight="1">
      <c r="Y246" s="1754"/>
      <c r="AU246" s="39"/>
    </row>
    <row r="247" spans="1:88" ht="12.6" customHeight="1">
      <c r="Y247" s="1754"/>
      <c r="AU247" s="39"/>
      <c r="CJ247" s="407"/>
    </row>
    <row r="248" spans="1:88" ht="15.95" customHeight="1">
      <c r="Y248" s="1754"/>
      <c r="AU248" s="39"/>
    </row>
    <row r="249" spans="1:88" s="407" customFormat="1" ht="20.100000000000001" customHeight="1">
      <c r="A249"/>
      <c r="B249"/>
      <c r="C249"/>
      <c r="D249"/>
      <c r="E249"/>
      <c r="F249"/>
      <c r="G249"/>
      <c r="H249"/>
      <c r="I249"/>
      <c r="J249"/>
      <c r="K249"/>
      <c r="L249"/>
      <c r="M249"/>
      <c r="N249"/>
      <c r="O249"/>
      <c r="P249"/>
      <c r="Q249"/>
      <c r="R249"/>
      <c r="S249"/>
      <c r="T249"/>
      <c r="U249"/>
      <c r="V249"/>
      <c r="W249"/>
      <c r="X249"/>
      <c r="Y249" s="1754"/>
      <c r="Z249"/>
      <c r="AA249"/>
      <c r="AB249"/>
      <c r="AC249"/>
      <c r="AD249"/>
      <c r="AE249"/>
      <c r="AF249"/>
      <c r="AG249"/>
      <c r="AH249"/>
      <c r="AI249"/>
      <c r="AJ249"/>
      <c r="AK249"/>
      <c r="AL249"/>
      <c r="AM249"/>
      <c r="AN249"/>
      <c r="AO249"/>
      <c r="AP249"/>
      <c r="AQ249"/>
      <c r="AR249"/>
      <c r="AS249"/>
      <c r="AT249"/>
      <c r="AU249" s="39"/>
      <c r="AV249" s="2038"/>
      <c r="AW249" s="2038"/>
      <c r="AX249" s="2038"/>
      <c r="AY249" s="2038"/>
      <c r="AZ249" s="2038"/>
      <c r="BA249" s="2038"/>
      <c r="BB249" s="2038"/>
      <c r="BC249" s="2038"/>
      <c r="BD249" s="2038"/>
      <c r="BE249" s="2038"/>
      <c r="BF249" s="2038"/>
      <c r="BG249"/>
      <c r="BH249"/>
      <c r="BI249"/>
      <c r="BJ249"/>
      <c r="BK249"/>
      <c r="BL249"/>
      <c r="BM249"/>
      <c r="BN249"/>
      <c r="BO249"/>
      <c r="BP249"/>
      <c r="BQ249"/>
      <c r="BR249"/>
      <c r="BS249"/>
      <c r="BT249"/>
      <c r="BU249"/>
      <c r="BV249"/>
      <c r="BW249"/>
      <c r="BX249"/>
      <c r="BY249"/>
      <c r="BZ249"/>
      <c r="CA249"/>
      <c r="CB249"/>
      <c r="CC249"/>
      <c r="CD249"/>
      <c r="CE249"/>
      <c r="CF249"/>
      <c r="CG249"/>
      <c r="CH249"/>
      <c r="CI249"/>
      <c r="CJ249"/>
    </row>
    <row r="250" spans="1:88">
      <c r="Y250" s="1754"/>
      <c r="AU250" s="39"/>
    </row>
    <row r="251" spans="1:88" ht="12.6" customHeight="1">
      <c r="Y251" s="1754"/>
      <c r="AU251" s="39"/>
    </row>
    <row r="252" spans="1:88" ht="12.6" customHeight="1">
      <c r="Y252" s="1754"/>
      <c r="AU252" s="39"/>
    </row>
    <row r="253" spans="1:88" ht="12.6" customHeight="1">
      <c r="Y253" s="1754"/>
      <c r="AU253" s="39"/>
    </row>
    <row r="254" spans="1:88" ht="12.6" customHeight="1">
      <c r="Y254" s="1754"/>
      <c r="AU254" s="39"/>
    </row>
    <row r="255" spans="1:88" ht="12.6" customHeight="1">
      <c r="Y255" s="1754"/>
      <c r="AU255" s="39"/>
    </row>
    <row r="256" spans="1:88" ht="12.6" customHeight="1">
      <c r="Y256" s="1754"/>
      <c r="AU256" s="39"/>
    </row>
    <row r="257" spans="1:88" ht="12.6" customHeight="1">
      <c r="Y257" s="1754"/>
      <c r="AU257" s="39"/>
    </row>
    <row r="258" spans="1:88" ht="15.95" customHeight="1">
      <c r="Y258" s="1754"/>
      <c r="AU258" s="39"/>
    </row>
    <row r="259" spans="1:88" s="407" customFormat="1" ht="20.100000000000001" customHeight="1">
      <c r="A259"/>
      <c r="B259"/>
      <c r="C259"/>
      <c r="D259"/>
      <c r="E259"/>
      <c r="F259"/>
      <c r="G259"/>
      <c r="H259"/>
      <c r="I259"/>
      <c r="J259"/>
      <c r="K259"/>
      <c r="L259"/>
      <c r="M259"/>
      <c r="N259"/>
      <c r="O259"/>
      <c r="P259"/>
      <c r="Q259"/>
      <c r="R259"/>
      <c r="S259"/>
      <c r="T259"/>
      <c r="U259"/>
      <c r="V259"/>
      <c r="W259"/>
      <c r="X259"/>
      <c r="Y259" s="1754">
        <f t="shared" ref="Y259:Y294" si="5">IF(OR(Q198="",Q198&gt;Q197),0,1)</f>
        <v>0</v>
      </c>
      <c r="Z259"/>
      <c r="AA259"/>
      <c r="AB259"/>
      <c r="AC259"/>
      <c r="AD259"/>
      <c r="AE259"/>
      <c r="AF259"/>
      <c r="AG259"/>
      <c r="AH259"/>
      <c r="AI259"/>
      <c r="AJ259"/>
      <c r="AK259"/>
      <c r="AL259"/>
      <c r="AM259"/>
      <c r="AN259"/>
      <c r="AO259"/>
      <c r="AP259"/>
      <c r="AQ259"/>
      <c r="AR259"/>
      <c r="AS259"/>
      <c r="AT259"/>
      <c r="AU259" s="39"/>
      <c r="AV259" s="2038"/>
      <c r="AW259" s="2038"/>
      <c r="AX259" s="2038"/>
      <c r="AY259" s="2038"/>
      <c r="AZ259" s="2038"/>
      <c r="BA259" s="2038"/>
      <c r="BB259" s="2038"/>
      <c r="BC259" s="2038"/>
      <c r="BD259" s="2038"/>
      <c r="BE259" s="2038"/>
      <c r="BF259" s="2038"/>
      <c r="BG259"/>
      <c r="BH259"/>
      <c r="BI259"/>
      <c r="BJ259"/>
      <c r="BK259"/>
      <c r="BL259"/>
      <c r="BM259"/>
      <c r="BN259"/>
      <c r="BO259"/>
      <c r="BP259"/>
      <c r="BQ259"/>
      <c r="BR259"/>
      <c r="BS259"/>
      <c r="BT259"/>
      <c r="BU259"/>
      <c r="BV259"/>
      <c r="BW259"/>
      <c r="BX259"/>
      <c r="BY259"/>
      <c r="BZ259"/>
      <c r="CA259"/>
      <c r="CB259"/>
      <c r="CC259"/>
      <c r="CD259"/>
      <c r="CE259"/>
      <c r="CF259"/>
      <c r="CG259"/>
      <c r="CH259"/>
      <c r="CI259"/>
      <c r="CJ259"/>
    </row>
    <row r="260" spans="1:88">
      <c r="Y260" s="1754">
        <f t="shared" si="5"/>
        <v>0</v>
      </c>
      <c r="AU260" s="39"/>
    </row>
    <row r="261" spans="1:88" ht="12.6" customHeight="1">
      <c r="Y261" s="1754">
        <f t="shared" si="5"/>
        <v>0</v>
      </c>
      <c r="AU261" s="39"/>
    </row>
    <row r="262" spans="1:88" ht="12.6" customHeight="1">
      <c r="Y262" s="1754">
        <f t="shared" si="5"/>
        <v>0</v>
      </c>
    </row>
    <row r="263" spans="1:88" ht="12.6" customHeight="1">
      <c r="Y263" s="1754">
        <f t="shared" si="5"/>
        <v>0</v>
      </c>
    </row>
    <row r="264" spans="1:88" ht="12.6" customHeight="1">
      <c r="Y264" s="1754">
        <f t="shared" si="5"/>
        <v>0</v>
      </c>
    </row>
    <row r="265" spans="1:88" ht="12.6" customHeight="1">
      <c r="Y265" s="1754">
        <f t="shared" si="5"/>
        <v>0</v>
      </c>
    </row>
    <row r="266" spans="1:88" ht="12.6" customHeight="1">
      <c r="Y266" s="1754">
        <f t="shared" si="5"/>
        <v>0</v>
      </c>
    </row>
    <row r="267" spans="1:88" ht="12.6" customHeight="1">
      <c r="Y267" s="1754">
        <f t="shared" si="5"/>
        <v>0</v>
      </c>
    </row>
    <row r="268" spans="1:88" ht="15.95" customHeight="1">
      <c r="Y268" s="1754">
        <f t="shared" si="5"/>
        <v>0</v>
      </c>
    </row>
    <row r="269" spans="1:88">
      <c r="Y269" s="1754">
        <f t="shared" si="5"/>
        <v>0</v>
      </c>
    </row>
    <row r="270" spans="1:88">
      <c r="Y270" s="1754">
        <f t="shared" si="5"/>
        <v>0</v>
      </c>
    </row>
    <row r="271" spans="1:88">
      <c r="Y271" s="1754">
        <f t="shared" si="5"/>
        <v>0</v>
      </c>
    </row>
    <row r="272" spans="1:88">
      <c r="Y272" s="1754">
        <f t="shared" si="5"/>
        <v>0</v>
      </c>
    </row>
    <row r="273" spans="25:25">
      <c r="Y273" s="1754">
        <f t="shared" si="5"/>
        <v>0</v>
      </c>
    </row>
    <row r="274" spans="25:25">
      <c r="Y274" s="1754">
        <f t="shared" si="5"/>
        <v>0</v>
      </c>
    </row>
    <row r="275" spans="25:25">
      <c r="Y275" s="1754">
        <f t="shared" si="5"/>
        <v>0</v>
      </c>
    </row>
    <row r="276" spans="25:25">
      <c r="Y276" s="1754">
        <f t="shared" si="5"/>
        <v>0</v>
      </c>
    </row>
    <row r="277" spans="25:25">
      <c r="Y277" s="1754">
        <f t="shared" si="5"/>
        <v>0</v>
      </c>
    </row>
    <row r="278" spans="25:25">
      <c r="Y278" s="1754">
        <f t="shared" si="5"/>
        <v>0</v>
      </c>
    </row>
    <row r="279" spans="25:25">
      <c r="Y279" s="1754">
        <f t="shared" si="5"/>
        <v>0</v>
      </c>
    </row>
    <row r="280" spans="25:25">
      <c r="Y280" s="1754">
        <f t="shared" si="5"/>
        <v>0</v>
      </c>
    </row>
    <row r="281" spans="25:25">
      <c r="Y281" s="1754">
        <f t="shared" si="5"/>
        <v>0</v>
      </c>
    </row>
    <row r="282" spans="25:25" ht="12.75" customHeight="1">
      <c r="Y282" s="1754">
        <f t="shared" si="5"/>
        <v>0</v>
      </c>
    </row>
    <row r="283" spans="25:25">
      <c r="Y283" s="1754">
        <f t="shared" si="5"/>
        <v>0</v>
      </c>
    </row>
    <row r="284" spans="25:25" ht="26.25" customHeight="1">
      <c r="Y284" s="1754">
        <f t="shared" si="5"/>
        <v>0</v>
      </c>
    </row>
    <row r="285" spans="25:25">
      <c r="Y285" s="1754">
        <f t="shared" si="5"/>
        <v>0</v>
      </c>
    </row>
    <row r="286" spans="25:25">
      <c r="Y286" s="1754">
        <f t="shared" si="5"/>
        <v>0</v>
      </c>
    </row>
    <row r="287" spans="25:25">
      <c r="Y287" s="1754">
        <f t="shared" si="5"/>
        <v>0</v>
      </c>
    </row>
    <row r="288" spans="25:25">
      <c r="Y288" s="1754">
        <f t="shared" si="5"/>
        <v>0</v>
      </c>
    </row>
    <row r="289" spans="25:25">
      <c r="Y289" s="1754">
        <f t="shared" si="5"/>
        <v>0</v>
      </c>
    </row>
    <row r="290" spans="25:25">
      <c r="Y290" s="1754">
        <f t="shared" si="5"/>
        <v>0</v>
      </c>
    </row>
    <row r="291" spans="25:25">
      <c r="Y291" s="1754">
        <f t="shared" si="5"/>
        <v>0</v>
      </c>
    </row>
    <row r="292" spans="25:25">
      <c r="Y292" s="1754">
        <f t="shared" si="5"/>
        <v>0</v>
      </c>
    </row>
    <row r="293" spans="25:25">
      <c r="Y293" s="1754">
        <f t="shared" si="5"/>
        <v>0</v>
      </c>
    </row>
    <row r="294" spans="25:25">
      <c r="Y294" s="1754">
        <f t="shared" si="5"/>
        <v>0</v>
      </c>
    </row>
    <row r="295" spans="25:25">
      <c r="Y295" s="1754"/>
    </row>
    <row r="296" spans="25:25">
      <c r="Y296" s="780"/>
    </row>
    <row r="301" spans="25:25">
      <c r="Y301" s="162"/>
    </row>
    <row r="302" spans="25:25" ht="12.75" customHeight="1">
      <c r="Y302" s="1751"/>
    </row>
    <row r="303" spans="25:25">
      <c r="Y303" s="162"/>
    </row>
    <row r="304" spans="25:25">
      <c r="Y304" s="1751"/>
    </row>
    <row r="310" spans="27:27">
      <c r="AA310" s="407"/>
    </row>
    <row r="320" spans="27:27">
      <c r="AA320" s="407"/>
    </row>
    <row r="323" spans="27:27" ht="12.75" customHeight="1"/>
    <row r="327" spans="27:27" ht="12.75" customHeight="1"/>
    <row r="328" spans="27:27" ht="12.75" customHeight="1"/>
    <row r="329" spans="27:27" ht="12.75" customHeight="1"/>
    <row r="330" spans="27:27" ht="12.6" customHeight="1">
      <c r="AA330" s="407"/>
    </row>
    <row r="332" spans="27:27" ht="12.75" customHeight="1"/>
    <row r="333" spans="27:27" ht="12.75" customHeight="1"/>
    <row r="334" spans="27:27" ht="12.75" customHeight="1"/>
    <row r="335" spans="27:27" ht="12.75" customHeight="1"/>
    <row r="337" ht="12.75" customHeight="1"/>
    <row r="338" ht="12.75" customHeight="1"/>
    <row r="339" ht="12.75" customHeight="1"/>
    <row r="340" ht="13.5" customHeight="1"/>
    <row r="368" spans="33:39">
      <c r="AG368" s="407"/>
      <c r="AH368" s="407"/>
      <c r="AI368" s="407"/>
      <c r="AJ368" s="407"/>
      <c r="AM368" s="407"/>
    </row>
    <row r="369" spans="32:39">
      <c r="AK369" s="407"/>
      <c r="AL369" s="407"/>
    </row>
    <row r="371" spans="32:39">
      <c r="AF371" s="407"/>
    </row>
    <row r="378" spans="32:39">
      <c r="AG378" s="407"/>
      <c r="AH378" s="407"/>
      <c r="AI378" s="407"/>
      <c r="AJ378" s="407"/>
      <c r="AM378" s="407"/>
    </row>
    <row r="379" spans="32:39">
      <c r="AK379" s="407"/>
      <c r="AL379" s="407"/>
    </row>
    <row r="381" spans="32:39">
      <c r="AF381" s="407"/>
    </row>
    <row r="388" spans="32:39">
      <c r="AG388" s="407"/>
      <c r="AH388" s="407"/>
      <c r="AI388" s="407"/>
      <c r="AJ388" s="407"/>
      <c r="AM388" s="407"/>
    </row>
    <row r="389" spans="32:39">
      <c r="AK389" s="407"/>
      <c r="AL389" s="407"/>
    </row>
    <row r="391" spans="32:39">
      <c r="AF391" s="407"/>
    </row>
  </sheetData>
  <sheetProtection password="F07E" sheet="1" objects="1" scenarios="1"/>
  <mergeCells count="328">
    <mergeCell ref="AB82:AF82"/>
    <mergeCell ref="AB83:AF83"/>
    <mergeCell ref="AB84:AF84"/>
    <mergeCell ref="AB81:AF81"/>
    <mergeCell ref="AB80:AF80"/>
    <mergeCell ref="AC42:AE42"/>
    <mergeCell ref="AC43:AE44"/>
    <mergeCell ref="V72:W72"/>
    <mergeCell ref="AC54:AE54"/>
    <mergeCell ref="AC46:AE46"/>
    <mergeCell ref="AC47:AE48"/>
    <mergeCell ref="AC50:AE50"/>
    <mergeCell ref="AC51:AE52"/>
    <mergeCell ref="AB122:AF122"/>
    <mergeCell ref="AB123:AF123"/>
    <mergeCell ref="AB124:AF124"/>
    <mergeCell ref="AC55:AE56"/>
    <mergeCell ref="N234:O234"/>
    <mergeCell ref="N178:O178"/>
    <mergeCell ref="Q172:W174"/>
    <mergeCell ref="N208:O208"/>
    <mergeCell ref="N209:O209"/>
    <mergeCell ref="N210:O210"/>
    <mergeCell ref="N211:O211"/>
    <mergeCell ref="N212:O212"/>
    <mergeCell ref="N213:O213"/>
    <mergeCell ref="N214:O214"/>
    <mergeCell ref="N197:O197"/>
    <mergeCell ref="N198:O198"/>
    <mergeCell ref="N199:O199"/>
    <mergeCell ref="N200:O200"/>
    <mergeCell ref="N201:O201"/>
    <mergeCell ref="N202:O202"/>
    <mergeCell ref="N203:O203"/>
    <mergeCell ref="N204:O204"/>
    <mergeCell ref="N205:O205"/>
    <mergeCell ref="R79:S79"/>
    <mergeCell ref="E172:K178"/>
    <mergeCell ref="AH48:AP49"/>
    <mergeCell ref="N233:O233"/>
    <mergeCell ref="N224:O224"/>
    <mergeCell ref="N225:O225"/>
    <mergeCell ref="N226:O226"/>
    <mergeCell ref="N227:O227"/>
    <mergeCell ref="N228:O228"/>
    <mergeCell ref="N229:O229"/>
    <mergeCell ref="N230:O230"/>
    <mergeCell ref="N231:O231"/>
    <mergeCell ref="N232:O232"/>
    <mergeCell ref="N215:O215"/>
    <mergeCell ref="N216:O216"/>
    <mergeCell ref="N217:O217"/>
    <mergeCell ref="N218:O218"/>
    <mergeCell ref="N219:O219"/>
    <mergeCell ref="N220:O220"/>
    <mergeCell ref="N221:O221"/>
    <mergeCell ref="N222:O222"/>
    <mergeCell ref="N223:O223"/>
    <mergeCell ref="N206:O206"/>
    <mergeCell ref="N207:O207"/>
    <mergeCell ref="AB121:AF121"/>
    <mergeCell ref="N188:O188"/>
    <mergeCell ref="N189:O189"/>
    <mergeCell ref="N190:O190"/>
    <mergeCell ref="N191:O191"/>
    <mergeCell ref="N192:O192"/>
    <mergeCell ref="N193:O193"/>
    <mergeCell ref="N194:O194"/>
    <mergeCell ref="N195:O195"/>
    <mergeCell ref="N196:O196"/>
    <mergeCell ref="N181:O181"/>
    <mergeCell ref="N182:O182"/>
    <mergeCell ref="N183:O183"/>
    <mergeCell ref="N184:O184"/>
    <mergeCell ref="N185:O185"/>
    <mergeCell ref="N186:O186"/>
    <mergeCell ref="N179:O179"/>
    <mergeCell ref="N180:O180"/>
    <mergeCell ref="N187:O187"/>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B84:C84"/>
    <mergeCell ref="B53:C53"/>
    <mergeCell ref="B59:D59"/>
    <mergeCell ref="T72:U72"/>
    <mergeCell ref="L78:N78"/>
    <mergeCell ref="P79:Q79"/>
    <mergeCell ref="AH31:AP31"/>
    <mergeCell ref="Z30:Z31"/>
    <mergeCell ref="C30:K33"/>
    <mergeCell ref="AA14:AB14"/>
    <mergeCell ref="F22:F23"/>
    <mergeCell ref="F27:F29"/>
    <mergeCell ref="B11:R11"/>
    <mergeCell ref="AH32:AP32"/>
    <mergeCell ref="AB10:AE10"/>
    <mergeCell ref="B71:N73"/>
    <mergeCell ref="T74:U74"/>
    <mergeCell ref="B67:D67"/>
    <mergeCell ref="B6:D6"/>
    <mergeCell ref="E6:F7"/>
    <mergeCell ref="C7:D7"/>
    <mergeCell ref="B52:C52"/>
    <mergeCell ref="G9:S9"/>
    <mergeCell ref="N30:V33"/>
    <mergeCell ref="U46:W46"/>
    <mergeCell ref="U45:W45"/>
    <mergeCell ref="U41:W41"/>
    <mergeCell ref="U47:W47"/>
    <mergeCell ref="U38:W38"/>
    <mergeCell ref="F16:F17"/>
    <mergeCell ref="T6:W6"/>
    <mergeCell ref="T7:W7"/>
    <mergeCell ref="C18:K21"/>
    <mergeCell ref="L19:N19"/>
    <mergeCell ref="T73:U73"/>
    <mergeCell ref="T8:W8"/>
    <mergeCell ref="T9:W9"/>
    <mergeCell ref="C9:F9"/>
    <mergeCell ref="AB6:AE6"/>
    <mergeCell ref="AC19:AE19"/>
    <mergeCell ref="AC20:AE22"/>
    <mergeCell ref="G6:S7"/>
    <mergeCell ref="G8:S8"/>
    <mergeCell ref="AC14:AE15"/>
    <mergeCell ref="AB12:AE13"/>
    <mergeCell ref="AA17:AB17"/>
    <mergeCell ref="AA19:AB19"/>
    <mergeCell ref="AC8:AE9"/>
    <mergeCell ref="Z12:Z15"/>
    <mergeCell ref="Z20:Z23"/>
    <mergeCell ref="L14:N14"/>
    <mergeCell ref="AH7:AP7"/>
    <mergeCell ref="AH8:AJ19"/>
    <mergeCell ref="AK8:AP19"/>
    <mergeCell ref="AH20:AP29"/>
    <mergeCell ref="AH46:AP47"/>
    <mergeCell ref="AH44:AP45"/>
    <mergeCell ref="AC23:AE23"/>
    <mergeCell ref="U40:W40"/>
    <mergeCell ref="S11:W11"/>
    <mergeCell ref="B12:W12"/>
    <mergeCell ref="O14:V15"/>
    <mergeCell ref="U42:W42"/>
    <mergeCell ref="U44:W44"/>
    <mergeCell ref="C14:K15"/>
    <mergeCell ref="AB28:AE28"/>
    <mergeCell ref="AB25:AE27"/>
    <mergeCell ref="AC38:AE38"/>
    <mergeCell ref="U37:W37"/>
    <mergeCell ref="U39:W39"/>
    <mergeCell ref="U36:W36"/>
    <mergeCell ref="AB11:AE11"/>
    <mergeCell ref="AC7:AE7"/>
    <mergeCell ref="S10:W10"/>
    <mergeCell ref="AH43:AP43"/>
    <mergeCell ref="T98:U98"/>
    <mergeCell ref="T95:U95"/>
    <mergeCell ref="T91:U91"/>
    <mergeCell ref="R121:S121"/>
    <mergeCell ref="T117:U117"/>
    <mergeCell ref="R93:S93"/>
    <mergeCell ref="R123:S123"/>
    <mergeCell ref="P98:Q98"/>
    <mergeCell ref="R117:S117"/>
    <mergeCell ref="P101:Q101"/>
    <mergeCell ref="T123:U123"/>
    <mergeCell ref="R95:S95"/>
    <mergeCell ref="R91:S91"/>
    <mergeCell ref="P122:Q122"/>
    <mergeCell ref="R122:S122"/>
    <mergeCell ref="T118:U118"/>
    <mergeCell ref="T119:U119"/>
    <mergeCell ref="T115:U115"/>
    <mergeCell ref="V101:W101"/>
    <mergeCell ref="U107:W107"/>
    <mergeCell ref="V98:W98"/>
    <mergeCell ref="R98:S98"/>
    <mergeCell ref="R101:S101"/>
    <mergeCell ref="V76:W76"/>
    <mergeCell ref="P73:Q73"/>
    <mergeCell ref="R73:S73"/>
    <mergeCell ref="T93:U93"/>
    <mergeCell ref="V83:W83"/>
    <mergeCell ref="V73:W73"/>
    <mergeCell ref="V74:W74"/>
    <mergeCell ref="T83:U83"/>
    <mergeCell ref="V91:W91"/>
    <mergeCell ref="V88:W88"/>
    <mergeCell ref="T88:U88"/>
    <mergeCell ref="T89:U89"/>
    <mergeCell ref="V93:W93"/>
    <mergeCell ref="R88:S88"/>
    <mergeCell ref="V89:W89"/>
    <mergeCell ref="P93:Q93"/>
    <mergeCell ref="P83:Q83"/>
    <mergeCell ref="R83:S83"/>
    <mergeCell ref="T101:U101"/>
    <mergeCell ref="F182:K182"/>
    <mergeCell ref="F184:K184"/>
    <mergeCell ref="L132:N132"/>
    <mergeCell ref="P134:Q134"/>
    <mergeCell ref="R134:S134"/>
    <mergeCell ref="P124:Q124"/>
    <mergeCell ref="R124:S124"/>
    <mergeCell ref="D118:N123"/>
    <mergeCell ref="P125:Q125"/>
    <mergeCell ref="R125:S125"/>
    <mergeCell ref="R146:S146"/>
    <mergeCell ref="R156:S156"/>
    <mergeCell ref="P156:Q156"/>
    <mergeCell ref="L142:N142"/>
    <mergeCell ref="P133:Q133"/>
    <mergeCell ref="R144:S144"/>
    <mergeCell ref="P144:Q144"/>
    <mergeCell ref="K136:N136"/>
    <mergeCell ref="K146:N146"/>
    <mergeCell ref="L162:N162"/>
    <mergeCell ref="K126:N126"/>
    <mergeCell ref="P136:Q136"/>
    <mergeCell ref="K156:N156"/>
    <mergeCell ref="K155:N155"/>
    <mergeCell ref="B114:N116"/>
    <mergeCell ref="P116:Q116"/>
    <mergeCell ref="R116:S116"/>
    <mergeCell ref="P115:Q115"/>
    <mergeCell ref="R115:S115"/>
    <mergeCell ref="R143:S143"/>
    <mergeCell ref="P146:Q146"/>
    <mergeCell ref="P145:Q145"/>
    <mergeCell ref="R145:S145"/>
    <mergeCell ref="P121:Q121"/>
    <mergeCell ref="R129:S129"/>
    <mergeCell ref="P143:Q143"/>
    <mergeCell ref="P114:W114"/>
    <mergeCell ref="K125:N125"/>
    <mergeCell ref="P120:Q120"/>
    <mergeCell ref="R120:S120"/>
    <mergeCell ref="T120:U120"/>
    <mergeCell ref="P117:Q117"/>
    <mergeCell ref="P119:Q119"/>
    <mergeCell ref="R119:S119"/>
    <mergeCell ref="T122:U122"/>
    <mergeCell ref="R118:S118"/>
    <mergeCell ref="P118:Q118"/>
    <mergeCell ref="P123:Q123"/>
    <mergeCell ref="K145:N145"/>
    <mergeCell ref="P149:Q149"/>
    <mergeCell ref="R149:S149"/>
    <mergeCell ref="T149:U149"/>
    <mergeCell ref="L152:N152"/>
    <mergeCell ref="P153:Q153"/>
    <mergeCell ref="R153:S153"/>
    <mergeCell ref="T153:U153"/>
    <mergeCell ref="V121:W121"/>
    <mergeCell ref="T136:U136"/>
    <mergeCell ref="T135:U135"/>
    <mergeCell ref="T139:U139"/>
    <mergeCell ref="R126:S126"/>
    <mergeCell ref="R136:S136"/>
    <mergeCell ref="P126:Q126"/>
    <mergeCell ref="P139:Q139"/>
    <mergeCell ref="R139:S139"/>
    <mergeCell ref="K135:N135"/>
    <mergeCell ref="V116:W116"/>
    <mergeCell ref="V119:W119"/>
    <mergeCell ref="V118:W118"/>
    <mergeCell ref="V117:W117"/>
    <mergeCell ref="V120:W120"/>
    <mergeCell ref="V115:W115"/>
    <mergeCell ref="T116:U116"/>
    <mergeCell ref="T121:U121"/>
    <mergeCell ref="P159:Q159"/>
    <mergeCell ref="R159:S159"/>
    <mergeCell ref="T159:U159"/>
    <mergeCell ref="T146:U146"/>
    <mergeCell ref="P163:Q163"/>
    <mergeCell ref="P154:Q154"/>
    <mergeCell ref="R154:S154"/>
    <mergeCell ref="P129:Q129"/>
    <mergeCell ref="T145:U145"/>
    <mergeCell ref="R133:S133"/>
    <mergeCell ref="P155:Q155"/>
    <mergeCell ref="R155:S155"/>
    <mergeCell ref="T155:U155"/>
    <mergeCell ref="T156:U156"/>
    <mergeCell ref="R135:S135"/>
    <mergeCell ref="P135:Q135"/>
    <mergeCell ref="V165:W165"/>
    <mergeCell ref="V122:W122"/>
    <mergeCell ref="V123:W123"/>
    <mergeCell ref="T143:U143"/>
    <mergeCell ref="V156:W156"/>
    <mergeCell ref="V155:W155"/>
    <mergeCell ref="T163:U163"/>
    <mergeCell ref="R163:S163"/>
    <mergeCell ref="V159:W159"/>
    <mergeCell ref="V163:W163"/>
    <mergeCell ref="P78:Q78"/>
    <mergeCell ref="R78:S78"/>
    <mergeCell ref="T78:U78"/>
    <mergeCell ref="V78:W78"/>
    <mergeCell ref="P81:Q81"/>
    <mergeCell ref="P82:Q82"/>
    <mergeCell ref="R81:S81"/>
    <mergeCell ref="T81:U81"/>
    <mergeCell ref="V81:W81"/>
    <mergeCell ref="R82:S82"/>
    <mergeCell ref="T82:U82"/>
    <mergeCell ref="V82:W82"/>
    <mergeCell ref="T79:U79"/>
    <mergeCell ref="V79:W79"/>
  </mergeCells>
  <conditionalFormatting sqref="B11 T88:T89 V89:W89 T91 T93 V93:W93 T98 V98:W98">
    <cfRule type="expression" dxfId="1550" priority="556">
      <formula>IF(NoColor,1,0)</formula>
    </cfRule>
  </conditionalFormatting>
  <conditionalFormatting sqref="B34:W34">
    <cfRule type="expression" dxfId="1549" priority="563" stopIfTrue="1">
      <formula>IF(TaxYear&gt;1996,1,0)</formula>
    </cfRule>
  </conditionalFormatting>
  <conditionalFormatting sqref="C85">
    <cfRule type="expression" dxfId="1548" priority="2">
      <formula>IF($L$78,TRUE,FALSE)</formula>
    </cfRule>
    <cfRule type="expression" dxfId="1547" priority="3">
      <formula>AND($B$67,#REF!,$L$86)</formula>
    </cfRule>
  </conditionalFormatting>
  <conditionalFormatting sqref="D42">
    <cfRule type="expression" dxfId="1546" priority="377">
      <formula>AND(Y17="",$U$42&lt;$W$43,NOT(NoColor))</formula>
    </cfRule>
  </conditionalFormatting>
  <conditionalFormatting sqref="D49">
    <cfRule type="expression" dxfId="1545" priority="502">
      <formula>IF(NoColor,1,0)</formula>
    </cfRule>
  </conditionalFormatting>
  <conditionalFormatting sqref="D51">
    <cfRule type="expression" dxfId="1544" priority="168">
      <formula>IF(NoColor,1,0)</formula>
    </cfRule>
  </conditionalFormatting>
  <conditionalFormatting sqref="D58">
    <cfRule type="expression" dxfId="1543" priority="501">
      <formula>IF(NoColor,1,0)</formula>
    </cfRule>
  </conditionalFormatting>
  <conditionalFormatting sqref="D60">
    <cfRule type="expression" dxfId="1542" priority="496">
      <formula>IF(NoColor,1,0)</formula>
    </cfRule>
  </conditionalFormatting>
  <conditionalFormatting sqref="D62">
    <cfRule type="expression" dxfId="1541" priority="495">
      <formula>IF(NoColor,1,0)</formula>
    </cfRule>
  </conditionalFormatting>
  <conditionalFormatting sqref="D64">
    <cfRule type="expression" dxfId="1540" priority="494">
      <formula>IF(NoColor,1,0)</formula>
    </cfRule>
  </conditionalFormatting>
  <conditionalFormatting sqref="D66">
    <cfRule type="expression" dxfId="1539" priority="493">
      <formula>IF(NoColor,1,0)</formula>
    </cfRule>
  </conditionalFormatting>
  <conditionalFormatting sqref="D82">
    <cfRule type="expression" dxfId="1538" priority="16">
      <formula>$P$80</formula>
    </cfRule>
  </conditionalFormatting>
  <conditionalFormatting sqref="D83">
    <cfRule type="expression" dxfId="1537" priority="4">
      <formula>AND(NOT(NoColor),NOT($B$67))</formula>
    </cfRule>
  </conditionalFormatting>
  <conditionalFormatting sqref="D84:D86">
    <cfRule type="expression" dxfId="1536" priority="145">
      <formula>IF($L$78,TRUE,FALSE)</formula>
    </cfRule>
    <cfRule type="expression" dxfId="1535" priority="2016">
      <formula>AND($B$67,#REF!,$L$86)</formula>
    </cfRule>
  </conditionalFormatting>
  <conditionalFormatting sqref="H82">
    <cfRule type="expression" dxfId="1534" priority="48">
      <formula>IF(AND(NOT(NoColor),NOT($B$67),#REF!),1,0)</formula>
    </cfRule>
  </conditionalFormatting>
  <conditionalFormatting sqref="H107">
    <cfRule type="expression" dxfId="1533" priority="5">
      <formula>AND(NOT(NoColor),NOT($B$67))</formula>
    </cfRule>
  </conditionalFormatting>
  <conditionalFormatting sqref="I45">
    <cfRule type="expression" dxfId="1532" priority="1926" stopIfTrue="1">
      <formula>IF(AND($C$31&lt;&gt;"",OR($U$39="",$U$39=0),$U$46&lt;$U$45),1,0)</formula>
    </cfRule>
  </conditionalFormatting>
  <conditionalFormatting sqref="I49">
    <cfRule type="expression" dxfId="1531" priority="2013">
      <formula>IF(AND(NOT(NoColor),$V$43,$D$49&lt;&gt;"",NOT($B$67)),1,0)</formula>
    </cfRule>
  </conditionalFormatting>
  <conditionalFormatting sqref="I81">
    <cfRule type="expression" dxfId="1530" priority="2015">
      <formula>IF(AND(NOT(NoColor),$B$67,#REF!,$L$80),1,0)</formula>
    </cfRule>
  </conditionalFormatting>
  <conditionalFormatting sqref="J41">
    <cfRule type="expression" dxfId="1529" priority="378">
      <formula>IF(AND($U$42&lt;$W$43,NOT(NoColor)),1,0)</formula>
    </cfRule>
  </conditionalFormatting>
  <conditionalFormatting sqref="J45:K45">
    <cfRule type="expression" dxfId="1528" priority="130">
      <formula>AND($U$48,NOT(NoColor))</formula>
    </cfRule>
  </conditionalFormatting>
  <conditionalFormatting sqref="K82">
    <cfRule type="expression" dxfId="1527" priority="13">
      <formula>AND(NOT(NoColor),NOT($B$67))</formula>
    </cfRule>
  </conditionalFormatting>
  <conditionalFormatting sqref="L56">
    <cfRule type="expression" dxfId="1526" priority="1945">
      <formula>AND(Y17="",NOT(NoColor),$V$43,NOT($B$67))</formula>
    </cfRule>
  </conditionalFormatting>
  <conditionalFormatting sqref="L82">
    <cfRule type="expression" dxfId="1525" priority="15">
      <formula>IF(AND(NOT(NoColor),NOT($B$67),#REF!),1,0)</formula>
    </cfRule>
  </conditionalFormatting>
  <conditionalFormatting sqref="M82">
    <cfRule type="expression" dxfId="1524" priority="12">
      <formula>AND(NOT(NoColor),NOT($B$67))</formula>
    </cfRule>
  </conditionalFormatting>
  <conditionalFormatting sqref="N41">
    <cfRule type="expression" dxfId="1523" priority="132">
      <formula>AND(Y17="",$U$42&lt;$W$43,NOT(NoColor))</formula>
    </cfRule>
  </conditionalFormatting>
  <conditionalFormatting sqref="N49">
    <cfRule type="expression" dxfId="1522" priority="38">
      <formula>IF(AND(NOT(NoColor),$V$43,$D$49&lt;&gt;"",NOT($B$67)),1,0)</formula>
    </cfRule>
  </conditionalFormatting>
  <conditionalFormatting sqref="N82">
    <cfRule type="expression" dxfId="1521" priority="47">
      <formula>IF(AND(NOT(NoColor),NOT($B$67),#REF!),1,0)</formula>
    </cfRule>
  </conditionalFormatting>
  <conditionalFormatting sqref="O41">
    <cfRule type="expression" dxfId="1520" priority="133">
      <formula>AND(Y17="",$U$42&lt;$W$43,NOT(NoColor))</formula>
    </cfRule>
  </conditionalFormatting>
  <conditionalFormatting sqref="O49">
    <cfRule type="expression" dxfId="1519" priority="167">
      <formula>B66</formula>
    </cfRule>
  </conditionalFormatting>
  <conditionalFormatting sqref="O14:V15">
    <cfRule type="expression" dxfId="1518" priority="35">
      <formula>AND(Y17="",OR(AND($U$41,NOT(NoColor)),AND($U$48,NOT(NoColor))))</formula>
    </cfRule>
  </conditionalFormatting>
  <conditionalFormatting sqref="P93:R93">
    <cfRule type="expression" dxfId="1517" priority="8">
      <formula>IF(NoColor,1,0)</formula>
    </cfRule>
  </conditionalFormatting>
  <conditionalFormatting sqref="P98:R98">
    <cfRule type="expression" dxfId="1516" priority="11">
      <formula>IF(NoColor,1,0)</formula>
    </cfRule>
  </conditionalFormatting>
  <conditionalFormatting sqref="P77:W77">
    <cfRule type="expression" dxfId="1515" priority="19">
      <formula>IF(NoColor,1,0)</formula>
    </cfRule>
  </conditionalFormatting>
  <conditionalFormatting sqref="P78:W82">
    <cfRule type="expression" dxfId="1514" priority="1">
      <formula>$Y$78&lt;&gt;""</formula>
    </cfRule>
  </conditionalFormatting>
  <conditionalFormatting sqref="P83:W83">
    <cfRule type="expression" dxfId="1513" priority="162">
      <formula>IF(NoColor,1,0)</formula>
    </cfRule>
  </conditionalFormatting>
  <conditionalFormatting sqref="P101:W101">
    <cfRule type="expression" dxfId="1512" priority="17">
      <formula>IF(NoColor,1,0)</formula>
    </cfRule>
  </conditionalFormatting>
  <conditionalFormatting sqref="P117:W117">
    <cfRule type="expression" dxfId="1511" priority="6">
      <formula>IF(NoColor,1,0)</formula>
    </cfRule>
  </conditionalFormatting>
  <conditionalFormatting sqref="Q172">
    <cfRule type="expression" dxfId="1510" priority="5090">
      <formula>$Z$235</formula>
    </cfRule>
  </conditionalFormatting>
  <conditionalFormatting sqref="Q178:Q233">
    <cfRule type="expression" dxfId="1509" priority="153">
      <formula>IF(NoColor,1,0)</formula>
    </cfRule>
    <cfRule type="expression" dxfId="1508" priority="169">
      <formula>IF($X178=1,1,0)</formula>
    </cfRule>
  </conditionalFormatting>
  <conditionalFormatting sqref="R66">
    <cfRule type="expression" dxfId="1507" priority="37">
      <formula>AND($D$66&lt;&gt;"",$U$46&gt;$Q$43)</formula>
    </cfRule>
  </conditionalFormatting>
  <conditionalFormatting sqref="R88:R89">
    <cfRule type="expression" dxfId="1506" priority="10">
      <formula>IF(NoColor,1,0)</formula>
    </cfRule>
  </conditionalFormatting>
  <conditionalFormatting sqref="R91">
    <cfRule type="expression" dxfId="1505" priority="9">
      <formula>IF(NoColor,1,0)</formula>
    </cfRule>
  </conditionalFormatting>
  <conditionalFormatting sqref="R95:U95">
    <cfRule type="expression" dxfId="1504" priority="7">
      <formula>IF(NoColor,1,0)</formula>
    </cfRule>
  </conditionalFormatting>
  <conditionalFormatting sqref="S11">
    <cfRule type="expression" dxfId="1503" priority="555">
      <formula>IF(NoColor,1,0)</formula>
    </cfRule>
  </conditionalFormatting>
  <conditionalFormatting sqref="S40">
    <cfRule type="expression" dxfId="1502" priority="129">
      <formula>IF(U40&gt;1,1,0)</formula>
    </cfRule>
  </conditionalFormatting>
  <conditionalFormatting sqref="S43">
    <cfRule type="expression" dxfId="1501" priority="356">
      <formula>IF(NoColor,1,0)</formula>
    </cfRule>
  </conditionalFormatting>
  <conditionalFormatting sqref="S45">
    <cfRule type="expression" dxfId="1500" priority="379">
      <formula>IF(AND($U$48,NOT(NoColor)),1,0)</formula>
    </cfRule>
  </conditionalFormatting>
  <conditionalFormatting sqref="S178:S233">
    <cfRule type="expression" dxfId="1499" priority="152">
      <formula>IF(NoColor,1,0)</formula>
    </cfRule>
  </conditionalFormatting>
  <conditionalFormatting sqref="U37">
    <cfRule type="expression" dxfId="1498" priority="551">
      <formula>IF(NoColor,1,0)</formula>
    </cfRule>
    <cfRule type="expression" dxfId="1497" priority="568" stopIfTrue="1">
      <formula>IF($P$31&lt;&gt;"",1,0)</formula>
    </cfRule>
  </conditionalFormatting>
  <conditionalFormatting sqref="U107">
    <cfRule type="expression" dxfId="1496" priority="471">
      <formula>IF(NoColor,1,0)</formula>
    </cfRule>
    <cfRule type="expression" dxfId="1495" priority="472" stopIfTrue="1">
      <formula>IF($P$31&lt;&gt;"",1,0)</formula>
    </cfRule>
  </conditionalFormatting>
  <conditionalFormatting sqref="U178:U233">
    <cfRule type="expression" dxfId="1494" priority="151">
      <formula>IF(NoColor,1,0)</formula>
    </cfRule>
  </conditionalFormatting>
  <conditionalFormatting sqref="U39:W40">
    <cfRule type="expression" dxfId="1493" priority="127">
      <formula>IF(NoColor,1,0)</formula>
    </cfRule>
    <cfRule type="expression" dxfId="1492" priority="128" stopIfTrue="1">
      <formula>IF($P$31&lt;&gt;"",1,0)</formula>
    </cfRule>
  </conditionalFormatting>
  <conditionalFormatting sqref="U42:W42">
    <cfRule type="expression" dxfId="1491" priority="509">
      <formula>IF(NoColor,1,0)</formula>
    </cfRule>
  </conditionalFormatting>
  <conditionalFormatting sqref="U44:W44">
    <cfRule type="expression" dxfId="1490" priority="381" stopIfTrue="1">
      <formula>IF($P$31&lt;&gt;"",1,0)</formula>
    </cfRule>
  </conditionalFormatting>
  <conditionalFormatting sqref="U44:W47">
    <cfRule type="expression" dxfId="1489" priority="380">
      <formula>IF(NoColor,1,0)</formula>
    </cfRule>
  </conditionalFormatting>
  <conditionalFormatting sqref="U46:W47">
    <cfRule type="expression" dxfId="1488" priority="506" stopIfTrue="1">
      <formula>IF($P$31&lt;&gt;"",1,0)</formula>
    </cfRule>
  </conditionalFormatting>
  <conditionalFormatting sqref="V88">
    <cfRule type="expression" dxfId="1487" priority="359">
      <formula>IF(NoColor,1,0)</formula>
    </cfRule>
  </conditionalFormatting>
  <conditionalFormatting sqref="V91">
    <cfRule type="expression" dxfId="1486" priority="208">
      <formula>IF(NoColor,1,0)</formula>
    </cfRule>
  </conditionalFormatting>
  <conditionalFormatting sqref="V76:W76">
    <cfRule type="expression" dxfId="1485" priority="24">
      <formula>OR(#REF!&lt;&gt;"",$U$47="",#REF!,ShortMethod,NOT(#REF!),NOT($B$62))</formula>
    </cfRule>
  </conditionalFormatting>
  <conditionalFormatting sqref="W66">
    <cfRule type="expression" dxfId="1484" priority="187">
      <formula>AND($D$66&lt;&gt;"",$U$46&gt;$Q$43)</formula>
    </cfRule>
  </conditionalFormatting>
  <conditionalFormatting sqref="W178:W233">
    <cfRule type="expression" dxfId="1483" priority="149">
      <formula>IF(NoColor,1,0)</formula>
    </cfRule>
    <cfRule type="expression" priority="150">
      <formula>IF(NoColor,1,0)</formula>
    </cfRule>
  </conditionalFormatting>
  <conditionalFormatting sqref="Y17">
    <cfRule type="expression" dxfId="1482" priority="33">
      <formula>OR(AND($U$42&lt;$W$43,NOT(NoColor)),AND($U$48,NOT(NoColor)))</formula>
    </cfRule>
  </conditionalFormatting>
  <conditionalFormatting sqref="Y109">
    <cfRule type="expression" dxfId="1481" priority="126">
      <formula>IF(AND(NOT(ShortMethod),NOT($B$62),#REF!),TRUE,FALSE)</formula>
    </cfRule>
  </conditionalFormatting>
  <conditionalFormatting sqref="Z7:Z9">
    <cfRule type="expression" dxfId="1480" priority="140">
      <formula>IF($AC$8="",TRUE,FALSE)</formula>
    </cfRule>
  </conditionalFormatting>
  <conditionalFormatting sqref="Z12">
    <cfRule type="expression" dxfId="1479" priority="42">
      <formula>IF($AC$14="",TRUE,FALSE)</formula>
    </cfRule>
  </conditionalFormatting>
  <conditionalFormatting sqref="Z17">
    <cfRule type="expression" dxfId="1478" priority="34">
      <formula>OR(AND($U$42&lt;$W$43,NOT(NoColor)),AND($U$48,NOT(NoColor)))</formula>
    </cfRule>
  </conditionalFormatting>
  <conditionalFormatting sqref="Z20">
    <cfRule type="expression" dxfId="1477" priority="43">
      <formula>IF($AC$23="",TRUE,FALSE)</formula>
    </cfRule>
  </conditionalFormatting>
  <conditionalFormatting sqref="Z30">
    <cfRule type="expression" dxfId="1476" priority="4517">
      <formula>IF($Y$35&lt;&gt;1,1,0)</formula>
    </cfRule>
  </conditionalFormatting>
  <hyperlinks>
    <hyperlink ref="F182:I182" r:id="rId1" display="Download Form 1040 Schedule SE" xr:uid="{00000000-0004-0000-2400-000000000000}"/>
    <hyperlink ref="F184:I184" r:id="rId2" display="Download Form 1040 Schedule SE Instructions" xr:uid="{00000000-0004-0000-2400-000001000000}"/>
    <hyperlink ref="F182:K182" r:id="rId3" display="Download Form 2210" xr:uid="{00000000-0004-0000-2400-000002000000}"/>
    <hyperlink ref="F184:K184" r:id="rId4" display="Download Form 2210 Instructions" xr:uid="{00000000-0004-0000-2400-000003000000}"/>
  </hyperlinks>
  <pageMargins left="0.75" right="0.25" top="0.36" bottom="0.28999999999999998" header="0.36" footer="0.21"/>
  <pageSetup scale="78" fitToHeight="0" orientation="portrait" r:id="rId5"/>
  <rowBreaks count="2" manualBreakCount="2">
    <brk id="68" min="1" max="22" man="1"/>
    <brk id="108"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F248"/>
  <sheetViews>
    <sheetView zoomScaleNormal="100" zoomScaleSheetLayoutView="120" workbookViewId="0"/>
  </sheetViews>
  <sheetFormatPr defaultRowHeight="12.75"/>
  <cols>
    <col min="1" max="1" width="2" style="39" customWidth="1"/>
    <col min="2" max="2" width="8.42578125" customWidth="1"/>
    <col min="3" max="3" width="3.140625" customWidth="1"/>
    <col min="4" max="4" width="4.5703125" customWidth="1"/>
    <col min="5" max="5" width="2.7109375" customWidth="1"/>
    <col min="6" max="6" width="7.140625" customWidth="1"/>
    <col min="7" max="7" width="7.5703125" customWidth="1"/>
    <col min="8" max="8" width="7.28515625" customWidth="1"/>
    <col min="9" max="9" width="4.42578125" customWidth="1"/>
    <col min="10" max="10" width="10" customWidth="1"/>
    <col min="11" max="11" width="6.42578125" customWidth="1"/>
    <col min="12" max="12" width="10.5703125" customWidth="1"/>
    <col min="13" max="13" width="3.85546875" customWidth="1"/>
    <col min="14" max="14" width="6" customWidth="1"/>
    <col min="15" max="15" width="4.5703125" customWidth="1"/>
    <col min="16" max="16" width="4" customWidth="1"/>
    <col min="17" max="17" width="3.28515625" customWidth="1"/>
    <col min="18" max="18" width="2.42578125" customWidth="1"/>
    <col min="19" max="19" width="4.28515625" customWidth="1"/>
    <col min="20" max="20" width="3.28515625" customWidth="1"/>
    <col min="21" max="21" width="4.85546875" customWidth="1"/>
    <col min="22" max="22" width="15" customWidth="1"/>
    <col min="23" max="23" width="5.5703125" customWidth="1"/>
    <col min="24" max="24" width="3" customWidth="1"/>
    <col min="25" max="25" width="3.7109375" customWidth="1"/>
    <col min="26" max="26" width="3" customWidth="1"/>
    <col min="27" max="27" width="16.28515625" customWidth="1"/>
    <col min="29" max="29" width="2.42578125" customWidth="1"/>
    <col min="30" max="30" width="3.85546875" customWidth="1"/>
    <col min="31" max="31" width="17.5703125" customWidth="1"/>
    <col min="32" max="32" width="23.28515625" customWidth="1"/>
    <col min="33" max="33" width="19" customWidth="1"/>
    <col min="34" max="34" width="2.85546875" customWidth="1"/>
    <col min="35" max="35" width="10.42578125" customWidth="1"/>
    <col min="36" max="36" width="2" customWidth="1"/>
    <col min="37" max="37" width="9.85546875" customWidth="1"/>
    <col min="38" max="38" width="3.28515625" customWidth="1"/>
    <col min="39" max="39" width="16.28515625" customWidth="1"/>
    <col min="40" max="40" width="2" customWidth="1"/>
    <col min="41" max="41" width="16.28515625" customWidth="1"/>
    <col min="42" max="42" width="4.140625" customWidth="1"/>
    <col min="43" max="43" width="4" customWidth="1"/>
    <col min="44" max="52" width="10.7109375" style="2038" customWidth="1"/>
    <col min="55" max="55" width="9" customWidth="1"/>
    <col min="56" max="56" width="9.85546875" style="187" customWidth="1"/>
    <col min="57" max="57" width="13.7109375" style="187" customWidth="1"/>
    <col min="58" max="58" width="11.85546875" customWidth="1"/>
    <col min="279" max="279" width="2" customWidth="1"/>
    <col min="280" max="280" width="8.28515625" customWidth="1"/>
    <col min="281" max="281" width="15.42578125" customWidth="1"/>
    <col min="282" max="282" width="8.7109375" customWidth="1"/>
    <col min="283" max="283" width="8" customWidth="1"/>
    <col min="284" max="284" width="6" customWidth="1"/>
    <col min="285" max="285" width="6.5703125" customWidth="1"/>
    <col min="286" max="286" width="9.5703125" customWidth="1"/>
    <col min="287" max="287" width="11.5703125" customWidth="1"/>
    <col min="288" max="288" width="3.5703125" customWidth="1"/>
    <col min="289" max="289" width="13.85546875" customWidth="1"/>
    <col min="290" max="290" width="5.5703125" customWidth="1"/>
    <col min="291" max="291" width="19.7109375" customWidth="1"/>
    <col min="292" max="292" width="2.140625" customWidth="1"/>
    <col min="293" max="293" width="13.5703125" customWidth="1"/>
    <col min="535" max="535" width="2" customWidth="1"/>
    <col min="536" max="536" width="8.28515625" customWidth="1"/>
    <col min="537" max="537" width="15.42578125" customWidth="1"/>
    <col min="538" max="538" width="8.7109375" customWidth="1"/>
    <col min="539" max="539" width="8" customWidth="1"/>
    <col min="540" max="540" width="6" customWidth="1"/>
    <col min="541" max="541" width="6.5703125" customWidth="1"/>
    <col min="542" max="542" width="9.5703125" customWidth="1"/>
    <col min="543" max="543" width="11.5703125" customWidth="1"/>
    <col min="544" max="544" width="3.5703125" customWidth="1"/>
    <col min="545" max="545" width="13.85546875" customWidth="1"/>
    <col min="546" max="546" width="5.5703125" customWidth="1"/>
    <col min="547" max="547" width="19.7109375" customWidth="1"/>
    <col min="548" max="548" width="2.140625" customWidth="1"/>
    <col min="549" max="549" width="13.5703125" customWidth="1"/>
    <col min="791" max="791" width="2" customWidth="1"/>
    <col min="792" max="792" width="8.28515625" customWidth="1"/>
    <col min="793" max="793" width="15.42578125" customWidth="1"/>
    <col min="794" max="794" width="8.7109375" customWidth="1"/>
    <col min="795" max="795" width="8" customWidth="1"/>
    <col min="796" max="796" width="6" customWidth="1"/>
    <col min="797" max="797" width="6.5703125" customWidth="1"/>
    <col min="798" max="798" width="9.5703125" customWidth="1"/>
    <col min="799" max="799" width="11.5703125" customWidth="1"/>
    <col min="800" max="800" width="3.5703125" customWidth="1"/>
    <col min="801" max="801" width="13.85546875" customWidth="1"/>
    <col min="802" max="802" width="5.5703125" customWidth="1"/>
    <col min="803" max="803" width="19.7109375" customWidth="1"/>
    <col min="804" max="804" width="2.140625" customWidth="1"/>
    <col min="805" max="805" width="13.5703125" customWidth="1"/>
    <col min="1047" max="1047" width="2" customWidth="1"/>
    <col min="1048" max="1048" width="8.28515625" customWidth="1"/>
    <col min="1049" max="1049" width="15.42578125" customWidth="1"/>
    <col min="1050" max="1050" width="8.7109375" customWidth="1"/>
    <col min="1051" max="1051" width="8" customWidth="1"/>
    <col min="1052" max="1052" width="6" customWidth="1"/>
    <col min="1053" max="1053" width="6.5703125" customWidth="1"/>
    <col min="1054" max="1054" width="9.5703125" customWidth="1"/>
    <col min="1055" max="1055" width="11.5703125" customWidth="1"/>
    <col min="1056" max="1056" width="3.5703125" customWidth="1"/>
    <col min="1057" max="1057" width="13.85546875" customWidth="1"/>
    <col min="1058" max="1058" width="5.5703125" customWidth="1"/>
    <col min="1059" max="1059" width="19.7109375" customWidth="1"/>
    <col min="1060" max="1060" width="2.140625" customWidth="1"/>
    <col min="1061" max="1061" width="13.5703125" customWidth="1"/>
    <col min="1303" max="1303" width="2" customWidth="1"/>
    <col min="1304" max="1304" width="8.28515625" customWidth="1"/>
    <col min="1305" max="1305" width="15.42578125" customWidth="1"/>
    <col min="1306" max="1306" width="8.7109375" customWidth="1"/>
    <col min="1307" max="1307" width="8" customWidth="1"/>
    <col min="1308" max="1308" width="6" customWidth="1"/>
    <col min="1309" max="1309" width="6.5703125" customWidth="1"/>
    <col min="1310" max="1310" width="9.5703125" customWidth="1"/>
    <col min="1311" max="1311" width="11.5703125" customWidth="1"/>
    <col min="1312" max="1312" width="3.5703125" customWidth="1"/>
    <col min="1313" max="1313" width="13.85546875" customWidth="1"/>
    <col min="1314" max="1314" width="5.5703125" customWidth="1"/>
    <col min="1315" max="1315" width="19.7109375" customWidth="1"/>
    <col min="1316" max="1316" width="2.140625" customWidth="1"/>
    <col min="1317" max="1317" width="13.5703125" customWidth="1"/>
    <col min="1559" max="1559" width="2" customWidth="1"/>
    <col min="1560" max="1560" width="8.28515625" customWidth="1"/>
    <col min="1561" max="1561" width="15.42578125" customWidth="1"/>
    <col min="1562" max="1562" width="8.7109375" customWidth="1"/>
    <col min="1563" max="1563" width="8" customWidth="1"/>
    <col min="1564" max="1564" width="6" customWidth="1"/>
    <col min="1565" max="1565" width="6.5703125" customWidth="1"/>
    <col min="1566" max="1566" width="9.5703125" customWidth="1"/>
    <col min="1567" max="1567" width="11.5703125" customWidth="1"/>
    <col min="1568" max="1568" width="3.5703125" customWidth="1"/>
    <col min="1569" max="1569" width="13.85546875" customWidth="1"/>
    <col min="1570" max="1570" width="5.5703125" customWidth="1"/>
    <col min="1571" max="1571" width="19.7109375" customWidth="1"/>
    <col min="1572" max="1572" width="2.140625" customWidth="1"/>
    <col min="1573" max="1573" width="13.5703125" customWidth="1"/>
    <col min="1815" max="1815" width="2" customWidth="1"/>
    <col min="1816" max="1816" width="8.28515625" customWidth="1"/>
    <col min="1817" max="1817" width="15.42578125" customWidth="1"/>
    <col min="1818" max="1818" width="8.7109375" customWidth="1"/>
    <col min="1819" max="1819" width="8" customWidth="1"/>
    <col min="1820" max="1820" width="6" customWidth="1"/>
    <col min="1821" max="1821" width="6.5703125" customWidth="1"/>
    <col min="1822" max="1822" width="9.5703125" customWidth="1"/>
    <col min="1823" max="1823" width="11.5703125" customWidth="1"/>
    <col min="1824" max="1824" width="3.5703125" customWidth="1"/>
    <col min="1825" max="1825" width="13.85546875" customWidth="1"/>
    <col min="1826" max="1826" width="5.5703125" customWidth="1"/>
    <col min="1827" max="1827" width="19.7109375" customWidth="1"/>
    <col min="1828" max="1828" width="2.140625" customWidth="1"/>
    <col min="1829" max="1829" width="13.5703125" customWidth="1"/>
    <col min="2071" max="2071" width="2" customWidth="1"/>
    <col min="2072" max="2072" width="8.28515625" customWidth="1"/>
    <col min="2073" max="2073" width="15.42578125" customWidth="1"/>
    <col min="2074" max="2074" width="8.7109375" customWidth="1"/>
    <col min="2075" max="2075" width="8" customWidth="1"/>
    <col min="2076" max="2076" width="6" customWidth="1"/>
    <col min="2077" max="2077" width="6.5703125" customWidth="1"/>
    <col min="2078" max="2078" width="9.5703125" customWidth="1"/>
    <col min="2079" max="2079" width="11.5703125" customWidth="1"/>
    <col min="2080" max="2080" width="3.5703125" customWidth="1"/>
    <col min="2081" max="2081" width="13.85546875" customWidth="1"/>
    <col min="2082" max="2082" width="5.5703125" customWidth="1"/>
    <col min="2083" max="2083" width="19.7109375" customWidth="1"/>
    <col min="2084" max="2084" width="2.140625" customWidth="1"/>
    <col min="2085" max="2085" width="13.5703125" customWidth="1"/>
    <col min="2327" max="2327" width="2" customWidth="1"/>
    <col min="2328" max="2328" width="8.28515625" customWidth="1"/>
    <col min="2329" max="2329" width="15.42578125" customWidth="1"/>
    <col min="2330" max="2330" width="8.7109375" customWidth="1"/>
    <col min="2331" max="2331" width="8" customWidth="1"/>
    <col min="2332" max="2332" width="6" customWidth="1"/>
    <col min="2333" max="2333" width="6.5703125" customWidth="1"/>
    <col min="2334" max="2334" width="9.5703125" customWidth="1"/>
    <col min="2335" max="2335" width="11.5703125" customWidth="1"/>
    <col min="2336" max="2336" width="3.5703125" customWidth="1"/>
    <col min="2337" max="2337" width="13.85546875" customWidth="1"/>
    <col min="2338" max="2338" width="5.5703125" customWidth="1"/>
    <col min="2339" max="2339" width="19.7109375" customWidth="1"/>
    <col min="2340" max="2340" width="2.140625" customWidth="1"/>
    <col min="2341" max="2341" width="13.5703125" customWidth="1"/>
    <col min="2583" max="2583" width="2" customWidth="1"/>
    <col min="2584" max="2584" width="8.28515625" customWidth="1"/>
    <col min="2585" max="2585" width="15.42578125" customWidth="1"/>
    <col min="2586" max="2586" width="8.7109375" customWidth="1"/>
    <col min="2587" max="2587" width="8" customWidth="1"/>
    <col min="2588" max="2588" width="6" customWidth="1"/>
    <col min="2589" max="2589" width="6.5703125" customWidth="1"/>
    <col min="2590" max="2590" width="9.5703125" customWidth="1"/>
    <col min="2591" max="2591" width="11.5703125" customWidth="1"/>
    <col min="2592" max="2592" width="3.5703125" customWidth="1"/>
    <col min="2593" max="2593" width="13.85546875" customWidth="1"/>
    <col min="2594" max="2594" width="5.5703125" customWidth="1"/>
    <col min="2595" max="2595" width="19.7109375" customWidth="1"/>
    <col min="2596" max="2596" width="2.140625" customWidth="1"/>
    <col min="2597" max="2597" width="13.5703125" customWidth="1"/>
    <col min="2839" max="2839" width="2" customWidth="1"/>
    <col min="2840" max="2840" width="8.28515625" customWidth="1"/>
    <col min="2841" max="2841" width="15.42578125" customWidth="1"/>
    <col min="2842" max="2842" width="8.7109375" customWidth="1"/>
    <col min="2843" max="2843" width="8" customWidth="1"/>
    <col min="2844" max="2844" width="6" customWidth="1"/>
    <col min="2845" max="2845" width="6.5703125" customWidth="1"/>
    <col min="2846" max="2846" width="9.5703125" customWidth="1"/>
    <col min="2847" max="2847" width="11.5703125" customWidth="1"/>
    <col min="2848" max="2848" width="3.5703125" customWidth="1"/>
    <col min="2849" max="2849" width="13.85546875" customWidth="1"/>
    <col min="2850" max="2850" width="5.5703125" customWidth="1"/>
    <col min="2851" max="2851" width="19.7109375" customWidth="1"/>
    <col min="2852" max="2852" width="2.140625" customWidth="1"/>
    <col min="2853" max="2853" width="13.5703125" customWidth="1"/>
    <col min="3095" max="3095" width="2" customWidth="1"/>
    <col min="3096" max="3096" width="8.28515625" customWidth="1"/>
    <col min="3097" max="3097" width="15.42578125" customWidth="1"/>
    <col min="3098" max="3098" width="8.7109375" customWidth="1"/>
    <col min="3099" max="3099" width="8" customWidth="1"/>
    <col min="3100" max="3100" width="6" customWidth="1"/>
    <col min="3101" max="3101" width="6.5703125" customWidth="1"/>
    <col min="3102" max="3102" width="9.5703125" customWidth="1"/>
    <col min="3103" max="3103" width="11.5703125" customWidth="1"/>
    <col min="3104" max="3104" width="3.5703125" customWidth="1"/>
    <col min="3105" max="3105" width="13.85546875" customWidth="1"/>
    <col min="3106" max="3106" width="5.5703125" customWidth="1"/>
    <col min="3107" max="3107" width="19.7109375" customWidth="1"/>
    <col min="3108" max="3108" width="2.140625" customWidth="1"/>
    <col min="3109" max="3109" width="13.5703125" customWidth="1"/>
    <col min="3351" max="3351" width="2" customWidth="1"/>
    <col min="3352" max="3352" width="8.28515625" customWidth="1"/>
    <col min="3353" max="3353" width="15.42578125" customWidth="1"/>
    <col min="3354" max="3354" width="8.7109375" customWidth="1"/>
    <col min="3355" max="3355" width="8" customWidth="1"/>
    <col min="3356" max="3356" width="6" customWidth="1"/>
    <col min="3357" max="3357" width="6.5703125" customWidth="1"/>
    <col min="3358" max="3358" width="9.5703125" customWidth="1"/>
    <col min="3359" max="3359" width="11.5703125" customWidth="1"/>
    <col min="3360" max="3360" width="3.5703125" customWidth="1"/>
    <col min="3361" max="3361" width="13.85546875" customWidth="1"/>
    <col min="3362" max="3362" width="5.5703125" customWidth="1"/>
    <col min="3363" max="3363" width="19.7109375" customWidth="1"/>
    <col min="3364" max="3364" width="2.140625" customWidth="1"/>
    <col min="3365" max="3365" width="13.5703125" customWidth="1"/>
    <col min="3607" max="3607" width="2" customWidth="1"/>
    <col min="3608" max="3608" width="8.28515625" customWidth="1"/>
    <col min="3609" max="3609" width="15.42578125" customWidth="1"/>
    <col min="3610" max="3610" width="8.7109375" customWidth="1"/>
    <col min="3611" max="3611" width="8" customWidth="1"/>
    <col min="3612" max="3612" width="6" customWidth="1"/>
    <col min="3613" max="3613" width="6.5703125" customWidth="1"/>
    <col min="3614" max="3614" width="9.5703125" customWidth="1"/>
    <col min="3615" max="3615" width="11.5703125" customWidth="1"/>
    <col min="3616" max="3616" width="3.5703125" customWidth="1"/>
    <col min="3617" max="3617" width="13.85546875" customWidth="1"/>
    <col min="3618" max="3618" width="5.5703125" customWidth="1"/>
    <col min="3619" max="3619" width="19.7109375" customWidth="1"/>
    <col min="3620" max="3620" width="2.140625" customWidth="1"/>
    <col min="3621" max="3621" width="13.5703125" customWidth="1"/>
    <col min="3863" max="3863" width="2" customWidth="1"/>
    <col min="3864" max="3864" width="8.28515625" customWidth="1"/>
    <col min="3865" max="3865" width="15.42578125" customWidth="1"/>
    <col min="3866" max="3866" width="8.7109375" customWidth="1"/>
    <col min="3867" max="3867" width="8" customWidth="1"/>
    <col min="3868" max="3868" width="6" customWidth="1"/>
    <col min="3869" max="3869" width="6.5703125" customWidth="1"/>
    <col min="3870" max="3870" width="9.5703125" customWidth="1"/>
    <col min="3871" max="3871" width="11.5703125" customWidth="1"/>
    <col min="3872" max="3872" width="3.5703125" customWidth="1"/>
    <col min="3873" max="3873" width="13.85546875" customWidth="1"/>
    <col min="3874" max="3874" width="5.5703125" customWidth="1"/>
    <col min="3875" max="3875" width="19.7109375" customWidth="1"/>
    <col min="3876" max="3876" width="2.140625" customWidth="1"/>
    <col min="3877" max="3877" width="13.5703125" customWidth="1"/>
    <col min="4119" max="4119" width="2" customWidth="1"/>
    <col min="4120" max="4120" width="8.28515625" customWidth="1"/>
    <col min="4121" max="4121" width="15.42578125" customWidth="1"/>
    <col min="4122" max="4122" width="8.7109375" customWidth="1"/>
    <col min="4123" max="4123" width="8" customWidth="1"/>
    <col min="4124" max="4124" width="6" customWidth="1"/>
    <col min="4125" max="4125" width="6.5703125" customWidth="1"/>
    <col min="4126" max="4126" width="9.5703125" customWidth="1"/>
    <col min="4127" max="4127" width="11.5703125" customWidth="1"/>
    <col min="4128" max="4128" width="3.5703125" customWidth="1"/>
    <col min="4129" max="4129" width="13.85546875" customWidth="1"/>
    <col min="4130" max="4130" width="5.5703125" customWidth="1"/>
    <col min="4131" max="4131" width="19.7109375" customWidth="1"/>
    <col min="4132" max="4132" width="2.140625" customWidth="1"/>
    <col min="4133" max="4133" width="13.5703125" customWidth="1"/>
    <col min="4375" max="4375" width="2" customWidth="1"/>
    <col min="4376" max="4376" width="8.28515625" customWidth="1"/>
    <col min="4377" max="4377" width="15.42578125" customWidth="1"/>
    <col min="4378" max="4378" width="8.7109375" customWidth="1"/>
    <col min="4379" max="4379" width="8" customWidth="1"/>
    <col min="4380" max="4380" width="6" customWidth="1"/>
    <col min="4381" max="4381" width="6.5703125" customWidth="1"/>
    <col min="4382" max="4382" width="9.5703125" customWidth="1"/>
    <col min="4383" max="4383" width="11.5703125" customWidth="1"/>
    <col min="4384" max="4384" width="3.5703125" customWidth="1"/>
    <col min="4385" max="4385" width="13.85546875" customWidth="1"/>
    <col min="4386" max="4386" width="5.5703125" customWidth="1"/>
    <col min="4387" max="4387" width="19.7109375" customWidth="1"/>
    <col min="4388" max="4388" width="2.140625" customWidth="1"/>
    <col min="4389" max="4389" width="13.5703125" customWidth="1"/>
    <col min="4631" max="4631" width="2" customWidth="1"/>
    <col min="4632" max="4632" width="8.28515625" customWidth="1"/>
    <col min="4633" max="4633" width="15.42578125" customWidth="1"/>
    <col min="4634" max="4634" width="8.7109375" customWidth="1"/>
    <col min="4635" max="4635" width="8" customWidth="1"/>
    <col min="4636" max="4636" width="6" customWidth="1"/>
    <col min="4637" max="4637" width="6.5703125" customWidth="1"/>
    <col min="4638" max="4638" width="9.5703125" customWidth="1"/>
    <col min="4639" max="4639" width="11.5703125" customWidth="1"/>
    <col min="4640" max="4640" width="3.5703125" customWidth="1"/>
    <col min="4641" max="4641" width="13.85546875" customWidth="1"/>
    <col min="4642" max="4642" width="5.5703125" customWidth="1"/>
    <col min="4643" max="4643" width="19.7109375" customWidth="1"/>
    <col min="4644" max="4644" width="2.140625" customWidth="1"/>
    <col min="4645" max="4645" width="13.5703125" customWidth="1"/>
    <col min="4887" max="4887" width="2" customWidth="1"/>
    <col min="4888" max="4888" width="8.28515625" customWidth="1"/>
    <col min="4889" max="4889" width="15.42578125" customWidth="1"/>
    <col min="4890" max="4890" width="8.7109375" customWidth="1"/>
    <col min="4891" max="4891" width="8" customWidth="1"/>
    <col min="4892" max="4892" width="6" customWidth="1"/>
    <col min="4893" max="4893" width="6.5703125" customWidth="1"/>
    <col min="4894" max="4894" width="9.5703125" customWidth="1"/>
    <col min="4895" max="4895" width="11.5703125" customWidth="1"/>
    <col min="4896" max="4896" width="3.5703125" customWidth="1"/>
    <col min="4897" max="4897" width="13.85546875" customWidth="1"/>
    <col min="4898" max="4898" width="5.5703125" customWidth="1"/>
    <col min="4899" max="4899" width="19.7109375" customWidth="1"/>
    <col min="4900" max="4900" width="2.140625" customWidth="1"/>
    <col min="4901" max="4901" width="13.5703125" customWidth="1"/>
    <col min="5143" max="5143" width="2" customWidth="1"/>
    <col min="5144" max="5144" width="8.28515625" customWidth="1"/>
    <col min="5145" max="5145" width="15.42578125" customWidth="1"/>
    <col min="5146" max="5146" width="8.7109375" customWidth="1"/>
    <col min="5147" max="5147" width="8" customWidth="1"/>
    <col min="5148" max="5148" width="6" customWidth="1"/>
    <col min="5149" max="5149" width="6.5703125" customWidth="1"/>
    <col min="5150" max="5150" width="9.5703125" customWidth="1"/>
    <col min="5151" max="5151" width="11.5703125" customWidth="1"/>
    <col min="5152" max="5152" width="3.5703125" customWidth="1"/>
    <col min="5153" max="5153" width="13.85546875" customWidth="1"/>
    <col min="5154" max="5154" width="5.5703125" customWidth="1"/>
    <col min="5155" max="5155" width="19.7109375" customWidth="1"/>
    <col min="5156" max="5156" width="2.140625" customWidth="1"/>
    <col min="5157" max="5157" width="13.5703125" customWidth="1"/>
    <col min="5399" max="5399" width="2" customWidth="1"/>
    <col min="5400" max="5400" width="8.28515625" customWidth="1"/>
    <col min="5401" max="5401" width="15.42578125" customWidth="1"/>
    <col min="5402" max="5402" width="8.7109375" customWidth="1"/>
    <col min="5403" max="5403" width="8" customWidth="1"/>
    <col min="5404" max="5404" width="6" customWidth="1"/>
    <col min="5405" max="5405" width="6.5703125" customWidth="1"/>
    <col min="5406" max="5406" width="9.5703125" customWidth="1"/>
    <col min="5407" max="5407" width="11.5703125" customWidth="1"/>
    <col min="5408" max="5408" width="3.5703125" customWidth="1"/>
    <col min="5409" max="5409" width="13.85546875" customWidth="1"/>
    <col min="5410" max="5410" width="5.5703125" customWidth="1"/>
    <col min="5411" max="5411" width="19.7109375" customWidth="1"/>
    <col min="5412" max="5412" width="2.140625" customWidth="1"/>
    <col min="5413" max="5413" width="13.5703125" customWidth="1"/>
    <col min="5655" max="5655" width="2" customWidth="1"/>
    <col min="5656" max="5656" width="8.28515625" customWidth="1"/>
    <col min="5657" max="5657" width="15.42578125" customWidth="1"/>
    <col min="5658" max="5658" width="8.7109375" customWidth="1"/>
    <col min="5659" max="5659" width="8" customWidth="1"/>
    <col min="5660" max="5660" width="6" customWidth="1"/>
    <col min="5661" max="5661" width="6.5703125" customWidth="1"/>
    <col min="5662" max="5662" width="9.5703125" customWidth="1"/>
    <col min="5663" max="5663" width="11.5703125" customWidth="1"/>
    <col min="5664" max="5664" width="3.5703125" customWidth="1"/>
    <col min="5665" max="5665" width="13.85546875" customWidth="1"/>
    <col min="5666" max="5666" width="5.5703125" customWidth="1"/>
    <col min="5667" max="5667" width="19.7109375" customWidth="1"/>
    <col min="5668" max="5668" width="2.140625" customWidth="1"/>
    <col min="5669" max="5669" width="13.5703125" customWidth="1"/>
    <col min="5911" max="5911" width="2" customWidth="1"/>
    <col min="5912" max="5912" width="8.28515625" customWidth="1"/>
    <col min="5913" max="5913" width="15.42578125" customWidth="1"/>
    <col min="5914" max="5914" width="8.7109375" customWidth="1"/>
    <col min="5915" max="5915" width="8" customWidth="1"/>
    <col min="5916" max="5916" width="6" customWidth="1"/>
    <col min="5917" max="5917" width="6.5703125" customWidth="1"/>
    <col min="5918" max="5918" width="9.5703125" customWidth="1"/>
    <col min="5919" max="5919" width="11.5703125" customWidth="1"/>
    <col min="5920" max="5920" width="3.5703125" customWidth="1"/>
    <col min="5921" max="5921" width="13.85546875" customWidth="1"/>
    <col min="5922" max="5922" width="5.5703125" customWidth="1"/>
    <col min="5923" max="5923" width="19.7109375" customWidth="1"/>
    <col min="5924" max="5924" width="2.140625" customWidth="1"/>
    <col min="5925" max="5925" width="13.5703125" customWidth="1"/>
    <col min="6167" max="6167" width="2" customWidth="1"/>
    <col min="6168" max="6168" width="8.28515625" customWidth="1"/>
    <col min="6169" max="6169" width="15.42578125" customWidth="1"/>
    <col min="6170" max="6170" width="8.7109375" customWidth="1"/>
    <col min="6171" max="6171" width="8" customWidth="1"/>
    <col min="6172" max="6172" width="6" customWidth="1"/>
    <col min="6173" max="6173" width="6.5703125" customWidth="1"/>
    <col min="6174" max="6174" width="9.5703125" customWidth="1"/>
    <col min="6175" max="6175" width="11.5703125" customWidth="1"/>
    <col min="6176" max="6176" width="3.5703125" customWidth="1"/>
    <col min="6177" max="6177" width="13.85546875" customWidth="1"/>
    <col min="6178" max="6178" width="5.5703125" customWidth="1"/>
    <col min="6179" max="6179" width="19.7109375" customWidth="1"/>
    <col min="6180" max="6180" width="2.140625" customWidth="1"/>
    <col min="6181" max="6181" width="13.5703125" customWidth="1"/>
    <col min="6423" max="6423" width="2" customWidth="1"/>
    <col min="6424" max="6424" width="8.28515625" customWidth="1"/>
    <col min="6425" max="6425" width="15.42578125" customWidth="1"/>
    <col min="6426" max="6426" width="8.7109375" customWidth="1"/>
    <col min="6427" max="6427" width="8" customWidth="1"/>
    <col min="6428" max="6428" width="6" customWidth="1"/>
    <col min="6429" max="6429" width="6.5703125" customWidth="1"/>
    <col min="6430" max="6430" width="9.5703125" customWidth="1"/>
    <col min="6431" max="6431" width="11.5703125" customWidth="1"/>
    <col min="6432" max="6432" width="3.5703125" customWidth="1"/>
    <col min="6433" max="6433" width="13.85546875" customWidth="1"/>
    <col min="6434" max="6434" width="5.5703125" customWidth="1"/>
    <col min="6435" max="6435" width="19.7109375" customWidth="1"/>
    <col min="6436" max="6436" width="2.140625" customWidth="1"/>
    <col min="6437" max="6437" width="13.5703125" customWidth="1"/>
    <col min="6679" max="6679" width="2" customWidth="1"/>
    <col min="6680" max="6680" width="8.28515625" customWidth="1"/>
    <col min="6681" max="6681" width="15.42578125" customWidth="1"/>
    <col min="6682" max="6682" width="8.7109375" customWidth="1"/>
    <col min="6683" max="6683" width="8" customWidth="1"/>
    <col min="6684" max="6684" width="6" customWidth="1"/>
    <col min="6685" max="6685" width="6.5703125" customWidth="1"/>
    <col min="6686" max="6686" width="9.5703125" customWidth="1"/>
    <col min="6687" max="6687" width="11.5703125" customWidth="1"/>
    <col min="6688" max="6688" width="3.5703125" customWidth="1"/>
    <col min="6689" max="6689" width="13.85546875" customWidth="1"/>
    <col min="6690" max="6690" width="5.5703125" customWidth="1"/>
    <col min="6691" max="6691" width="19.7109375" customWidth="1"/>
    <col min="6692" max="6692" width="2.140625" customWidth="1"/>
    <col min="6693" max="6693" width="13.5703125" customWidth="1"/>
    <col min="6935" max="6935" width="2" customWidth="1"/>
    <col min="6936" max="6936" width="8.28515625" customWidth="1"/>
    <col min="6937" max="6937" width="15.42578125" customWidth="1"/>
    <col min="6938" max="6938" width="8.7109375" customWidth="1"/>
    <col min="6939" max="6939" width="8" customWidth="1"/>
    <col min="6940" max="6940" width="6" customWidth="1"/>
    <col min="6941" max="6941" width="6.5703125" customWidth="1"/>
    <col min="6942" max="6942" width="9.5703125" customWidth="1"/>
    <col min="6943" max="6943" width="11.5703125" customWidth="1"/>
    <col min="6944" max="6944" width="3.5703125" customWidth="1"/>
    <col min="6945" max="6945" width="13.85546875" customWidth="1"/>
    <col min="6946" max="6946" width="5.5703125" customWidth="1"/>
    <col min="6947" max="6947" width="19.7109375" customWidth="1"/>
    <col min="6948" max="6948" width="2.140625" customWidth="1"/>
    <col min="6949" max="6949" width="13.5703125" customWidth="1"/>
    <col min="7191" max="7191" width="2" customWidth="1"/>
    <col min="7192" max="7192" width="8.28515625" customWidth="1"/>
    <col min="7193" max="7193" width="15.42578125" customWidth="1"/>
    <col min="7194" max="7194" width="8.7109375" customWidth="1"/>
    <col min="7195" max="7195" width="8" customWidth="1"/>
    <col min="7196" max="7196" width="6" customWidth="1"/>
    <col min="7197" max="7197" width="6.5703125" customWidth="1"/>
    <col min="7198" max="7198" width="9.5703125" customWidth="1"/>
    <col min="7199" max="7199" width="11.5703125" customWidth="1"/>
    <col min="7200" max="7200" width="3.5703125" customWidth="1"/>
    <col min="7201" max="7201" width="13.85546875" customWidth="1"/>
    <col min="7202" max="7202" width="5.5703125" customWidth="1"/>
    <col min="7203" max="7203" width="19.7109375" customWidth="1"/>
    <col min="7204" max="7204" width="2.140625" customWidth="1"/>
    <col min="7205" max="7205" width="13.5703125" customWidth="1"/>
    <col min="7447" max="7447" width="2" customWidth="1"/>
    <col min="7448" max="7448" width="8.28515625" customWidth="1"/>
    <col min="7449" max="7449" width="15.42578125" customWidth="1"/>
    <col min="7450" max="7450" width="8.7109375" customWidth="1"/>
    <col min="7451" max="7451" width="8" customWidth="1"/>
    <col min="7452" max="7452" width="6" customWidth="1"/>
    <col min="7453" max="7453" width="6.5703125" customWidth="1"/>
    <col min="7454" max="7454" width="9.5703125" customWidth="1"/>
    <col min="7455" max="7455" width="11.5703125" customWidth="1"/>
    <col min="7456" max="7456" width="3.5703125" customWidth="1"/>
    <col min="7457" max="7457" width="13.85546875" customWidth="1"/>
    <col min="7458" max="7458" width="5.5703125" customWidth="1"/>
    <col min="7459" max="7459" width="19.7109375" customWidth="1"/>
    <col min="7460" max="7460" width="2.140625" customWidth="1"/>
    <col min="7461" max="7461" width="13.5703125" customWidth="1"/>
    <col min="7703" max="7703" width="2" customWidth="1"/>
    <col min="7704" max="7704" width="8.28515625" customWidth="1"/>
    <col min="7705" max="7705" width="15.42578125" customWidth="1"/>
    <col min="7706" max="7706" width="8.7109375" customWidth="1"/>
    <col min="7707" max="7707" width="8" customWidth="1"/>
    <col min="7708" max="7708" width="6" customWidth="1"/>
    <col min="7709" max="7709" width="6.5703125" customWidth="1"/>
    <col min="7710" max="7710" width="9.5703125" customWidth="1"/>
    <col min="7711" max="7711" width="11.5703125" customWidth="1"/>
    <col min="7712" max="7712" width="3.5703125" customWidth="1"/>
    <col min="7713" max="7713" width="13.85546875" customWidth="1"/>
    <col min="7714" max="7714" width="5.5703125" customWidth="1"/>
    <col min="7715" max="7715" width="19.7109375" customWidth="1"/>
    <col min="7716" max="7716" width="2.140625" customWidth="1"/>
    <col min="7717" max="7717" width="13.5703125" customWidth="1"/>
    <col min="7959" max="7959" width="2" customWidth="1"/>
    <col min="7960" max="7960" width="8.28515625" customWidth="1"/>
    <col min="7961" max="7961" width="15.42578125" customWidth="1"/>
    <col min="7962" max="7962" width="8.7109375" customWidth="1"/>
    <col min="7963" max="7963" width="8" customWidth="1"/>
    <col min="7964" max="7964" width="6" customWidth="1"/>
    <col min="7965" max="7965" width="6.5703125" customWidth="1"/>
    <col min="7966" max="7966" width="9.5703125" customWidth="1"/>
    <col min="7967" max="7967" width="11.5703125" customWidth="1"/>
    <col min="7968" max="7968" width="3.5703125" customWidth="1"/>
    <col min="7969" max="7969" width="13.85546875" customWidth="1"/>
    <col min="7970" max="7970" width="5.5703125" customWidth="1"/>
    <col min="7971" max="7971" width="19.7109375" customWidth="1"/>
    <col min="7972" max="7972" width="2.140625" customWidth="1"/>
    <col min="7973" max="7973" width="13.5703125" customWidth="1"/>
    <col min="8215" max="8215" width="2" customWidth="1"/>
    <col min="8216" max="8216" width="8.28515625" customWidth="1"/>
    <col min="8217" max="8217" width="15.42578125" customWidth="1"/>
    <col min="8218" max="8218" width="8.7109375" customWidth="1"/>
    <col min="8219" max="8219" width="8" customWidth="1"/>
    <col min="8220" max="8220" width="6" customWidth="1"/>
    <col min="8221" max="8221" width="6.5703125" customWidth="1"/>
    <col min="8222" max="8222" width="9.5703125" customWidth="1"/>
    <col min="8223" max="8223" width="11.5703125" customWidth="1"/>
    <col min="8224" max="8224" width="3.5703125" customWidth="1"/>
    <col min="8225" max="8225" width="13.85546875" customWidth="1"/>
    <col min="8226" max="8226" width="5.5703125" customWidth="1"/>
    <col min="8227" max="8227" width="19.7109375" customWidth="1"/>
    <col min="8228" max="8228" width="2.140625" customWidth="1"/>
    <col min="8229" max="8229" width="13.5703125" customWidth="1"/>
    <col min="8471" max="8471" width="2" customWidth="1"/>
    <col min="8472" max="8472" width="8.28515625" customWidth="1"/>
    <col min="8473" max="8473" width="15.42578125" customWidth="1"/>
    <col min="8474" max="8474" width="8.7109375" customWidth="1"/>
    <col min="8475" max="8475" width="8" customWidth="1"/>
    <col min="8476" max="8476" width="6" customWidth="1"/>
    <col min="8477" max="8477" width="6.5703125" customWidth="1"/>
    <col min="8478" max="8478" width="9.5703125" customWidth="1"/>
    <col min="8479" max="8479" width="11.5703125" customWidth="1"/>
    <col min="8480" max="8480" width="3.5703125" customWidth="1"/>
    <col min="8481" max="8481" width="13.85546875" customWidth="1"/>
    <col min="8482" max="8482" width="5.5703125" customWidth="1"/>
    <col min="8483" max="8483" width="19.7109375" customWidth="1"/>
    <col min="8484" max="8484" width="2.140625" customWidth="1"/>
    <col min="8485" max="8485" width="13.5703125" customWidth="1"/>
    <col min="8727" max="8727" width="2" customWidth="1"/>
    <col min="8728" max="8728" width="8.28515625" customWidth="1"/>
    <col min="8729" max="8729" width="15.42578125" customWidth="1"/>
    <col min="8730" max="8730" width="8.7109375" customWidth="1"/>
    <col min="8731" max="8731" width="8" customWidth="1"/>
    <col min="8732" max="8732" width="6" customWidth="1"/>
    <col min="8733" max="8733" width="6.5703125" customWidth="1"/>
    <col min="8734" max="8734" width="9.5703125" customWidth="1"/>
    <col min="8735" max="8735" width="11.5703125" customWidth="1"/>
    <col min="8736" max="8736" width="3.5703125" customWidth="1"/>
    <col min="8737" max="8737" width="13.85546875" customWidth="1"/>
    <col min="8738" max="8738" width="5.5703125" customWidth="1"/>
    <col min="8739" max="8739" width="19.7109375" customWidth="1"/>
    <col min="8740" max="8740" width="2.140625" customWidth="1"/>
    <col min="8741" max="8741" width="13.5703125" customWidth="1"/>
    <col min="8983" max="8983" width="2" customWidth="1"/>
    <col min="8984" max="8984" width="8.28515625" customWidth="1"/>
    <col min="8985" max="8985" width="15.42578125" customWidth="1"/>
    <col min="8986" max="8986" width="8.7109375" customWidth="1"/>
    <col min="8987" max="8987" width="8" customWidth="1"/>
    <col min="8988" max="8988" width="6" customWidth="1"/>
    <col min="8989" max="8989" width="6.5703125" customWidth="1"/>
    <col min="8990" max="8990" width="9.5703125" customWidth="1"/>
    <col min="8991" max="8991" width="11.5703125" customWidth="1"/>
    <col min="8992" max="8992" width="3.5703125" customWidth="1"/>
    <col min="8993" max="8993" width="13.85546875" customWidth="1"/>
    <col min="8994" max="8994" width="5.5703125" customWidth="1"/>
    <col min="8995" max="8995" width="19.7109375" customWidth="1"/>
    <col min="8996" max="8996" width="2.140625" customWidth="1"/>
    <col min="8997" max="8997" width="13.5703125" customWidth="1"/>
    <col min="9239" max="9239" width="2" customWidth="1"/>
    <col min="9240" max="9240" width="8.28515625" customWidth="1"/>
    <col min="9241" max="9241" width="15.42578125" customWidth="1"/>
    <col min="9242" max="9242" width="8.7109375" customWidth="1"/>
    <col min="9243" max="9243" width="8" customWidth="1"/>
    <col min="9244" max="9244" width="6" customWidth="1"/>
    <col min="9245" max="9245" width="6.5703125" customWidth="1"/>
    <col min="9246" max="9246" width="9.5703125" customWidth="1"/>
    <col min="9247" max="9247" width="11.5703125" customWidth="1"/>
    <col min="9248" max="9248" width="3.5703125" customWidth="1"/>
    <col min="9249" max="9249" width="13.85546875" customWidth="1"/>
    <col min="9250" max="9250" width="5.5703125" customWidth="1"/>
    <col min="9251" max="9251" width="19.7109375" customWidth="1"/>
    <col min="9252" max="9252" width="2.140625" customWidth="1"/>
    <col min="9253" max="9253" width="13.5703125" customWidth="1"/>
    <col min="9495" max="9495" width="2" customWidth="1"/>
    <col min="9496" max="9496" width="8.28515625" customWidth="1"/>
    <col min="9497" max="9497" width="15.42578125" customWidth="1"/>
    <col min="9498" max="9498" width="8.7109375" customWidth="1"/>
    <col min="9499" max="9499" width="8" customWidth="1"/>
    <col min="9500" max="9500" width="6" customWidth="1"/>
    <col min="9501" max="9501" width="6.5703125" customWidth="1"/>
    <col min="9502" max="9502" width="9.5703125" customWidth="1"/>
    <col min="9503" max="9503" width="11.5703125" customWidth="1"/>
    <col min="9504" max="9504" width="3.5703125" customWidth="1"/>
    <col min="9505" max="9505" width="13.85546875" customWidth="1"/>
    <col min="9506" max="9506" width="5.5703125" customWidth="1"/>
    <col min="9507" max="9507" width="19.7109375" customWidth="1"/>
    <col min="9508" max="9508" width="2.140625" customWidth="1"/>
    <col min="9509" max="9509" width="13.5703125" customWidth="1"/>
    <col min="9751" max="9751" width="2" customWidth="1"/>
    <col min="9752" max="9752" width="8.28515625" customWidth="1"/>
    <col min="9753" max="9753" width="15.42578125" customWidth="1"/>
    <col min="9754" max="9754" width="8.7109375" customWidth="1"/>
    <col min="9755" max="9755" width="8" customWidth="1"/>
    <col min="9756" max="9756" width="6" customWidth="1"/>
    <col min="9757" max="9757" width="6.5703125" customWidth="1"/>
    <col min="9758" max="9758" width="9.5703125" customWidth="1"/>
    <col min="9759" max="9759" width="11.5703125" customWidth="1"/>
    <col min="9760" max="9760" width="3.5703125" customWidth="1"/>
    <col min="9761" max="9761" width="13.85546875" customWidth="1"/>
    <col min="9762" max="9762" width="5.5703125" customWidth="1"/>
    <col min="9763" max="9763" width="19.7109375" customWidth="1"/>
    <col min="9764" max="9764" width="2.140625" customWidth="1"/>
    <col min="9765" max="9765" width="13.5703125" customWidth="1"/>
    <col min="10007" max="10007" width="2" customWidth="1"/>
    <col min="10008" max="10008" width="8.28515625" customWidth="1"/>
    <col min="10009" max="10009" width="15.42578125" customWidth="1"/>
    <col min="10010" max="10010" width="8.7109375" customWidth="1"/>
    <col min="10011" max="10011" width="8" customWidth="1"/>
    <col min="10012" max="10012" width="6" customWidth="1"/>
    <col min="10013" max="10013" width="6.5703125" customWidth="1"/>
    <col min="10014" max="10014" width="9.5703125" customWidth="1"/>
    <col min="10015" max="10015" width="11.5703125" customWidth="1"/>
    <col min="10016" max="10016" width="3.5703125" customWidth="1"/>
    <col min="10017" max="10017" width="13.85546875" customWidth="1"/>
    <col min="10018" max="10018" width="5.5703125" customWidth="1"/>
    <col min="10019" max="10019" width="19.7109375" customWidth="1"/>
    <col min="10020" max="10020" width="2.140625" customWidth="1"/>
    <col min="10021" max="10021" width="13.5703125" customWidth="1"/>
    <col min="10263" max="10263" width="2" customWidth="1"/>
    <col min="10264" max="10264" width="8.28515625" customWidth="1"/>
    <col min="10265" max="10265" width="15.42578125" customWidth="1"/>
    <col min="10266" max="10266" width="8.7109375" customWidth="1"/>
    <col min="10267" max="10267" width="8" customWidth="1"/>
    <col min="10268" max="10268" width="6" customWidth="1"/>
    <col min="10269" max="10269" width="6.5703125" customWidth="1"/>
    <col min="10270" max="10270" width="9.5703125" customWidth="1"/>
    <col min="10271" max="10271" width="11.5703125" customWidth="1"/>
    <col min="10272" max="10272" width="3.5703125" customWidth="1"/>
    <col min="10273" max="10273" width="13.85546875" customWidth="1"/>
    <col min="10274" max="10274" width="5.5703125" customWidth="1"/>
    <col min="10275" max="10275" width="19.7109375" customWidth="1"/>
    <col min="10276" max="10276" width="2.140625" customWidth="1"/>
    <col min="10277" max="10277" width="13.5703125" customWidth="1"/>
    <col min="10519" max="10519" width="2" customWidth="1"/>
    <col min="10520" max="10520" width="8.28515625" customWidth="1"/>
    <col min="10521" max="10521" width="15.42578125" customWidth="1"/>
    <col min="10522" max="10522" width="8.7109375" customWidth="1"/>
    <col min="10523" max="10523" width="8" customWidth="1"/>
    <col min="10524" max="10524" width="6" customWidth="1"/>
    <col min="10525" max="10525" width="6.5703125" customWidth="1"/>
    <col min="10526" max="10526" width="9.5703125" customWidth="1"/>
    <col min="10527" max="10527" width="11.5703125" customWidth="1"/>
    <col min="10528" max="10528" width="3.5703125" customWidth="1"/>
    <col min="10529" max="10529" width="13.85546875" customWidth="1"/>
    <col min="10530" max="10530" width="5.5703125" customWidth="1"/>
    <col min="10531" max="10531" width="19.7109375" customWidth="1"/>
    <col min="10532" max="10532" width="2.140625" customWidth="1"/>
    <col min="10533" max="10533" width="13.5703125" customWidth="1"/>
    <col min="10775" max="10775" width="2" customWidth="1"/>
    <col min="10776" max="10776" width="8.28515625" customWidth="1"/>
    <col min="10777" max="10777" width="15.42578125" customWidth="1"/>
    <col min="10778" max="10778" width="8.7109375" customWidth="1"/>
    <col min="10779" max="10779" width="8" customWidth="1"/>
    <col min="10780" max="10780" width="6" customWidth="1"/>
    <col min="10781" max="10781" width="6.5703125" customWidth="1"/>
    <col min="10782" max="10782" width="9.5703125" customWidth="1"/>
    <col min="10783" max="10783" width="11.5703125" customWidth="1"/>
    <col min="10784" max="10784" width="3.5703125" customWidth="1"/>
    <col min="10785" max="10785" width="13.85546875" customWidth="1"/>
    <col min="10786" max="10786" width="5.5703125" customWidth="1"/>
    <col min="10787" max="10787" width="19.7109375" customWidth="1"/>
    <col min="10788" max="10788" width="2.140625" customWidth="1"/>
    <col min="10789" max="10789" width="13.5703125" customWidth="1"/>
    <col min="11031" max="11031" width="2" customWidth="1"/>
    <col min="11032" max="11032" width="8.28515625" customWidth="1"/>
    <col min="11033" max="11033" width="15.42578125" customWidth="1"/>
    <col min="11034" max="11034" width="8.7109375" customWidth="1"/>
    <col min="11035" max="11035" width="8" customWidth="1"/>
    <col min="11036" max="11036" width="6" customWidth="1"/>
    <col min="11037" max="11037" width="6.5703125" customWidth="1"/>
    <col min="11038" max="11038" width="9.5703125" customWidth="1"/>
    <col min="11039" max="11039" width="11.5703125" customWidth="1"/>
    <col min="11040" max="11040" width="3.5703125" customWidth="1"/>
    <col min="11041" max="11041" width="13.85546875" customWidth="1"/>
    <col min="11042" max="11042" width="5.5703125" customWidth="1"/>
    <col min="11043" max="11043" width="19.7109375" customWidth="1"/>
    <col min="11044" max="11044" width="2.140625" customWidth="1"/>
    <col min="11045" max="11045" width="13.5703125" customWidth="1"/>
    <col min="11287" max="11287" width="2" customWidth="1"/>
    <col min="11288" max="11288" width="8.28515625" customWidth="1"/>
    <col min="11289" max="11289" width="15.42578125" customWidth="1"/>
    <col min="11290" max="11290" width="8.7109375" customWidth="1"/>
    <col min="11291" max="11291" width="8" customWidth="1"/>
    <col min="11292" max="11292" width="6" customWidth="1"/>
    <col min="11293" max="11293" width="6.5703125" customWidth="1"/>
    <col min="11294" max="11294" width="9.5703125" customWidth="1"/>
    <col min="11295" max="11295" width="11.5703125" customWidth="1"/>
    <col min="11296" max="11296" width="3.5703125" customWidth="1"/>
    <col min="11297" max="11297" width="13.85546875" customWidth="1"/>
    <col min="11298" max="11298" width="5.5703125" customWidth="1"/>
    <col min="11299" max="11299" width="19.7109375" customWidth="1"/>
    <col min="11300" max="11300" width="2.140625" customWidth="1"/>
    <col min="11301" max="11301" width="13.5703125" customWidth="1"/>
    <col min="11543" max="11543" width="2" customWidth="1"/>
    <col min="11544" max="11544" width="8.28515625" customWidth="1"/>
    <col min="11545" max="11545" width="15.42578125" customWidth="1"/>
    <col min="11546" max="11546" width="8.7109375" customWidth="1"/>
    <col min="11547" max="11547" width="8" customWidth="1"/>
    <col min="11548" max="11548" width="6" customWidth="1"/>
    <col min="11549" max="11549" width="6.5703125" customWidth="1"/>
    <col min="11550" max="11550" width="9.5703125" customWidth="1"/>
    <col min="11551" max="11551" width="11.5703125" customWidth="1"/>
    <col min="11552" max="11552" width="3.5703125" customWidth="1"/>
    <col min="11553" max="11553" width="13.85546875" customWidth="1"/>
    <col min="11554" max="11554" width="5.5703125" customWidth="1"/>
    <col min="11555" max="11555" width="19.7109375" customWidth="1"/>
    <col min="11556" max="11556" width="2.140625" customWidth="1"/>
    <col min="11557" max="11557" width="13.5703125" customWidth="1"/>
    <col min="11799" max="11799" width="2" customWidth="1"/>
    <col min="11800" max="11800" width="8.28515625" customWidth="1"/>
    <col min="11801" max="11801" width="15.42578125" customWidth="1"/>
    <col min="11802" max="11802" width="8.7109375" customWidth="1"/>
    <col min="11803" max="11803" width="8" customWidth="1"/>
    <col min="11804" max="11804" width="6" customWidth="1"/>
    <col min="11805" max="11805" width="6.5703125" customWidth="1"/>
    <col min="11806" max="11806" width="9.5703125" customWidth="1"/>
    <col min="11807" max="11807" width="11.5703125" customWidth="1"/>
    <col min="11808" max="11808" width="3.5703125" customWidth="1"/>
    <col min="11809" max="11809" width="13.85546875" customWidth="1"/>
    <col min="11810" max="11810" width="5.5703125" customWidth="1"/>
    <col min="11811" max="11811" width="19.7109375" customWidth="1"/>
    <col min="11812" max="11812" width="2.140625" customWidth="1"/>
    <col min="11813" max="11813" width="13.5703125" customWidth="1"/>
    <col min="12055" max="12055" width="2" customWidth="1"/>
    <col min="12056" max="12056" width="8.28515625" customWidth="1"/>
    <col min="12057" max="12057" width="15.42578125" customWidth="1"/>
    <col min="12058" max="12058" width="8.7109375" customWidth="1"/>
    <col min="12059" max="12059" width="8" customWidth="1"/>
    <col min="12060" max="12060" width="6" customWidth="1"/>
    <col min="12061" max="12061" width="6.5703125" customWidth="1"/>
    <col min="12062" max="12062" width="9.5703125" customWidth="1"/>
    <col min="12063" max="12063" width="11.5703125" customWidth="1"/>
    <col min="12064" max="12064" width="3.5703125" customWidth="1"/>
    <col min="12065" max="12065" width="13.85546875" customWidth="1"/>
    <col min="12066" max="12066" width="5.5703125" customWidth="1"/>
    <col min="12067" max="12067" width="19.7109375" customWidth="1"/>
    <col min="12068" max="12068" width="2.140625" customWidth="1"/>
    <col min="12069" max="12069" width="13.5703125" customWidth="1"/>
    <col min="12311" max="12311" width="2" customWidth="1"/>
    <col min="12312" max="12312" width="8.28515625" customWidth="1"/>
    <col min="12313" max="12313" width="15.42578125" customWidth="1"/>
    <col min="12314" max="12314" width="8.7109375" customWidth="1"/>
    <col min="12315" max="12315" width="8" customWidth="1"/>
    <col min="12316" max="12316" width="6" customWidth="1"/>
    <col min="12317" max="12317" width="6.5703125" customWidth="1"/>
    <col min="12318" max="12318" width="9.5703125" customWidth="1"/>
    <col min="12319" max="12319" width="11.5703125" customWidth="1"/>
    <col min="12320" max="12320" width="3.5703125" customWidth="1"/>
    <col min="12321" max="12321" width="13.85546875" customWidth="1"/>
    <col min="12322" max="12322" width="5.5703125" customWidth="1"/>
    <col min="12323" max="12323" width="19.7109375" customWidth="1"/>
    <col min="12324" max="12324" width="2.140625" customWidth="1"/>
    <col min="12325" max="12325" width="13.5703125" customWidth="1"/>
    <col min="12567" max="12567" width="2" customWidth="1"/>
    <col min="12568" max="12568" width="8.28515625" customWidth="1"/>
    <col min="12569" max="12569" width="15.42578125" customWidth="1"/>
    <col min="12570" max="12570" width="8.7109375" customWidth="1"/>
    <col min="12571" max="12571" width="8" customWidth="1"/>
    <col min="12572" max="12572" width="6" customWidth="1"/>
    <col min="12573" max="12573" width="6.5703125" customWidth="1"/>
    <col min="12574" max="12574" width="9.5703125" customWidth="1"/>
    <col min="12575" max="12575" width="11.5703125" customWidth="1"/>
    <col min="12576" max="12576" width="3.5703125" customWidth="1"/>
    <col min="12577" max="12577" width="13.85546875" customWidth="1"/>
    <col min="12578" max="12578" width="5.5703125" customWidth="1"/>
    <col min="12579" max="12579" width="19.7109375" customWidth="1"/>
    <col min="12580" max="12580" width="2.140625" customWidth="1"/>
    <col min="12581" max="12581" width="13.5703125" customWidth="1"/>
    <col min="12823" max="12823" width="2" customWidth="1"/>
    <col min="12824" max="12824" width="8.28515625" customWidth="1"/>
    <col min="12825" max="12825" width="15.42578125" customWidth="1"/>
    <col min="12826" max="12826" width="8.7109375" customWidth="1"/>
    <col min="12827" max="12827" width="8" customWidth="1"/>
    <col min="12828" max="12828" width="6" customWidth="1"/>
    <col min="12829" max="12829" width="6.5703125" customWidth="1"/>
    <col min="12830" max="12830" width="9.5703125" customWidth="1"/>
    <col min="12831" max="12831" width="11.5703125" customWidth="1"/>
    <col min="12832" max="12832" width="3.5703125" customWidth="1"/>
    <col min="12833" max="12833" width="13.85546875" customWidth="1"/>
    <col min="12834" max="12834" width="5.5703125" customWidth="1"/>
    <col min="12835" max="12835" width="19.7109375" customWidth="1"/>
    <col min="12836" max="12836" width="2.140625" customWidth="1"/>
    <col min="12837" max="12837" width="13.5703125" customWidth="1"/>
    <col min="13079" max="13079" width="2" customWidth="1"/>
    <col min="13080" max="13080" width="8.28515625" customWidth="1"/>
    <col min="13081" max="13081" width="15.42578125" customWidth="1"/>
    <col min="13082" max="13082" width="8.7109375" customWidth="1"/>
    <col min="13083" max="13083" width="8" customWidth="1"/>
    <col min="13084" max="13084" width="6" customWidth="1"/>
    <col min="13085" max="13085" width="6.5703125" customWidth="1"/>
    <col min="13086" max="13086" width="9.5703125" customWidth="1"/>
    <col min="13087" max="13087" width="11.5703125" customWidth="1"/>
    <col min="13088" max="13088" width="3.5703125" customWidth="1"/>
    <col min="13089" max="13089" width="13.85546875" customWidth="1"/>
    <col min="13090" max="13090" width="5.5703125" customWidth="1"/>
    <col min="13091" max="13091" width="19.7109375" customWidth="1"/>
    <col min="13092" max="13092" width="2.140625" customWidth="1"/>
    <col min="13093" max="13093" width="13.5703125" customWidth="1"/>
    <col min="13335" max="13335" width="2" customWidth="1"/>
    <col min="13336" max="13336" width="8.28515625" customWidth="1"/>
    <col min="13337" max="13337" width="15.42578125" customWidth="1"/>
    <col min="13338" max="13338" width="8.7109375" customWidth="1"/>
    <col min="13339" max="13339" width="8" customWidth="1"/>
    <col min="13340" max="13340" width="6" customWidth="1"/>
    <col min="13341" max="13341" width="6.5703125" customWidth="1"/>
    <col min="13342" max="13342" width="9.5703125" customWidth="1"/>
    <col min="13343" max="13343" width="11.5703125" customWidth="1"/>
    <col min="13344" max="13344" width="3.5703125" customWidth="1"/>
    <col min="13345" max="13345" width="13.85546875" customWidth="1"/>
    <col min="13346" max="13346" width="5.5703125" customWidth="1"/>
    <col min="13347" max="13347" width="19.7109375" customWidth="1"/>
    <col min="13348" max="13348" width="2.140625" customWidth="1"/>
    <col min="13349" max="13349" width="13.5703125" customWidth="1"/>
    <col min="13591" max="13591" width="2" customWidth="1"/>
    <col min="13592" max="13592" width="8.28515625" customWidth="1"/>
    <col min="13593" max="13593" width="15.42578125" customWidth="1"/>
    <col min="13594" max="13594" width="8.7109375" customWidth="1"/>
    <col min="13595" max="13595" width="8" customWidth="1"/>
    <col min="13596" max="13596" width="6" customWidth="1"/>
    <col min="13597" max="13597" width="6.5703125" customWidth="1"/>
    <col min="13598" max="13598" width="9.5703125" customWidth="1"/>
    <col min="13599" max="13599" width="11.5703125" customWidth="1"/>
    <col min="13600" max="13600" width="3.5703125" customWidth="1"/>
    <col min="13601" max="13601" width="13.85546875" customWidth="1"/>
    <col min="13602" max="13602" width="5.5703125" customWidth="1"/>
    <col min="13603" max="13603" width="19.7109375" customWidth="1"/>
    <col min="13604" max="13604" width="2.140625" customWidth="1"/>
    <col min="13605" max="13605" width="13.5703125" customWidth="1"/>
    <col min="13847" max="13847" width="2" customWidth="1"/>
    <col min="13848" max="13848" width="8.28515625" customWidth="1"/>
    <col min="13849" max="13849" width="15.42578125" customWidth="1"/>
    <col min="13850" max="13850" width="8.7109375" customWidth="1"/>
    <col min="13851" max="13851" width="8" customWidth="1"/>
    <col min="13852" max="13852" width="6" customWidth="1"/>
    <col min="13853" max="13853" width="6.5703125" customWidth="1"/>
    <col min="13854" max="13854" width="9.5703125" customWidth="1"/>
    <col min="13855" max="13855" width="11.5703125" customWidth="1"/>
    <col min="13856" max="13856" width="3.5703125" customWidth="1"/>
    <col min="13857" max="13857" width="13.85546875" customWidth="1"/>
    <col min="13858" max="13858" width="5.5703125" customWidth="1"/>
    <col min="13859" max="13859" width="19.7109375" customWidth="1"/>
    <col min="13860" max="13860" width="2.140625" customWidth="1"/>
    <col min="13861" max="13861" width="13.5703125" customWidth="1"/>
    <col min="14103" max="14103" width="2" customWidth="1"/>
    <col min="14104" max="14104" width="8.28515625" customWidth="1"/>
    <col min="14105" max="14105" width="15.42578125" customWidth="1"/>
    <col min="14106" max="14106" width="8.7109375" customWidth="1"/>
    <col min="14107" max="14107" width="8" customWidth="1"/>
    <col min="14108" max="14108" width="6" customWidth="1"/>
    <col min="14109" max="14109" width="6.5703125" customWidth="1"/>
    <col min="14110" max="14110" width="9.5703125" customWidth="1"/>
    <col min="14111" max="14111" width="11.5703125" customWidth="1"/>
    <col min="14112" max="14112" width="3.5703125" customWidth="1"/>
    <col min="14113" max="14113" width="13.85546875" customWidth="1"/>
    <col min="14114" max="14114" width="5.5703125" customWidth="1"/>
    <col min="14115" max="14115" width="19.7109375" customWidth="1"/>
    <col min="14116" max="14116" width="2.140625" customWidth="1"/>
    <col min="14117" max="14117" width="13.5703125" customWidth="1"/>
    <col min="14359" max="14359" width="2" customWidth="1"/>
    <col min="14360" max="14360" width="8.28515625" customWidth="1"/>
    <col min="14361" max="14361" width="15.42578125" customWidth="1"/>
    <col min="14362" max="14362" width="8.7109375" customWidth="1"/>
    <col min="14363" max="14363" width="8" customWidth="1"/>
    <col min="14364" max="14364" width="6" customWidth="1"/>
    <col min="14365" max="14365" width="6.5703125" customWidth="1"/>
    <col min="14366" max="14366" width="9.5703125" customWidth="1"/>
    <col min="14367" max="14367" width="11.5703125" customWidth="1"/>
    <col min="14368" max="14368" width="3.5703125" customWidth="1"/>
    <col min="14369" max="14369" width="13.85546875" customWidth="1"/>
    <col min="14370" max="14370" width="5.5703125" customWidth="1"/>
    <col min="14371" max="14371" width="19.7109375" customWidth="1"/>
    <col min="14372" max="14372" width="2.140625" customWidth="1"/>
    <col min="14373" max="14373" width="13.5703125" customWidth="1"/>
    <col min="14615" max="14615" width="2" customWidth="1"/>
    <col min="14616" max="14616" width="8.28515625" customWidth="1"/>
    <col min="14617" max="14617" width="15.42578125" customWidth="1"/>
    <col min="14618" max="14618" width="8.7109375" customWidth="1"/>
    <col min="14619" max="14619" width="8" customWidth="1"/>
    <col min="14620" max="14620" width="6" customWidth="1"/>
    <col min="14621" max="14621" width="6.5703125" customWidth="1"/>
    <col min="14622" max="14622" width="9.5703125" customWidth="1"/>
    <col min="14623" max="14623" width="11.5703125" customWidth="1"/>
    <col min="14624" max="14624" width="3.5703125" customWidth="1"/>
    <col min="14625" max="14625" width="13.85546875" customWidth="1"/>
    <col min="14626" max="14626" width="5.5703125" customWidth="1"/>
    <col min="14627" max="14627" width="19.7109375" customWidth="1"/>
    <col min="14628" max="14628" width="2.140625" customWidth="1"/>
    <col min="14629" max="14629" width="13.5703125" customWidth="1"/>
    <col min="14871" max="14871" width="2" customWidth="1"/>
    <col min="14872" max="14872" width="8.28515625" customWidth="1"/>
    <col min="14873" max="14873" width="15.42578125" customWidth="1"/>
    <col min="14874" max="14874" width="8.7109375" customWidth="1"/>
    <col min="14875" max="14875" width="8" customWidth="1"/>
    <col min="14876" max="14876" width="6" customWidth="1"/>
    <col min="14877" max="14877" width="6.5703125" customWidth="1"/>
    <col min="14878" max="14878" width="9.5703125" customWidth="1"/>
    <col min="14879" max="14879" width="11.5703125" customWidth="1"/>
    <col min="14880" max="14880" width="3.5703125" customWidth="1"/>
    <col min="14881" max="14881" width="13.85546875" customWidth="1"/>
    <col min="14882" max="14882" width="5.5703125" customWidth="1"/>
    <col min="14883" max="14883" width="19.7109375" customWidth="1"/>
    <col min="14884" max="14884" width="2.140625" customWidth="1"/>
    <col min="14885" max="14885" width="13.5703125" customWidth="1"/>
    <col min="15127" max="15127" width="2" customWidth="1"/>
    <col min="15128" max="15128" width="8.28515625" customWidth="1"/>
    <col min="15129" max="15129" width="15.42578125" customWidth="1"/>
    <col min="15130" max="15130" width="8.7109375" customWidth="1"/>
    <col min="15131" max="15131" width="8" customWidth="1"/>
    <col min="15132" max="15132" width="6" customWidth="1"/>
    <col min="15133" max="15133" width="6.5703125" customWidth="1"/>
    <col min="15134" max="15134" width="9.5703125" customWidth="1"/>
    <col min="15135" max="15135" width="11.5703125" customWidth="1"/>
    <col min="15136" max="15136" width="3.5703125" customWidth="1"/>
    <col min="15137" max="15137" width="13.85546875" customWidth="1"/>
    <col min="15138" max="15138" width="5.5703125" customWidth="1"/>
    <col min="15139" max="15139" width="19.7109375" customWidth="1"/>
    <col min="15140" max="15140" width="2.140625" customWidth="1"/>
    <col min="15141" max="15141" width="13.5703125" customWidth="1"/>
    <col min="15383" max="15383" width="2" customWidth="1"/>
    <col min="15384" max="15384" width="8.28515625" customWidth="1"/>
    <col min="15385" max="15385" width="15.42578125" customWidth="1"/>
    <col min="15386" max="15386" width="8.7109375" customWidth="1"/>
    <col min="15387" max="15387" width="8" customWidth="1"/>
    <col min="15388" max="15388" width="6" customWidth="1"/>
    <col min="15389" max="15389" width="6.5703125" customWidth="1"/>
    <col min="15390" max="15390" width="9.5703125" customWidth="1"/>
    <col min="15391" max="15391" width="11.5703125" customWidth="1"/>
    <col min="15392" max="15392" width="3.5703125" customWidth="1"/>
    <col min="15393" max="15393" width="13.85546875" customWidth="1"/>
    <col min="15394" max="15394" width="5.5703125" customWidth="1"/>
    <col min="15395" max="15395" width="19.7109375" customWidth="1"/>
    <col min="15396" max="15396" width="2.140625" customWidth="1"/>
    <col min="15397" max="15397" width="13.5703125" customWidth="1"/>
    <col min="15639" max="15639" width="2" customWidth="1"/>
    <col min="15640" max="15640" width="8.28515625" customWidth="1"/>
    <col min="15641" max="15641" width="15.42578125" customWidth="1"/>
    <col min="15642" max="15642" width="8.7109375" customWidth="1"/>
    <col min="15643" max="15643" width="8" customWidth="1"/>
    <col min="15644" max="15644" width="6" customWidth="1"/>
    <col min="15645" max="15645" width="6.5703125" customWidth="1"/>
    <col min="15646" max="15646" width="9.5703125" customWidth="1"/>
    <col min="15647" max="15647" width="11.5703125" customWidth="1"/>
    <col min="15648" max="15648" width="3.5703125" customWidth="1"/>
    <col min="15649" max="15649" width="13.85546875" customWidth="1"/>
    <col min="15650" max="15650" width="5.5703125" customWidth="1"/>
    <col min="15651" max="15651" width="19.7109375" customWidth="1"/>
    <col min="15652" max="15652" width="2.140625" customWidth="1"/>
    <col min="15653" max="15653" width="13.5703125" customWidth="1"/>
    <col min="15895" max="15895" width="2" customWidth="1"/>
    <col min="15896" max="15896" width="8.28515625" customWidth="1"/>
    <col min="15897" max="15897" width="15.42578125" customWidth="1"/>
    <col min="15898" max="15898" width="8.7109375" customWidth="1"/>
    <col min="15899" max="15899" width="8" customWidth="1"/>
    <col min="15900" max="15900" width="6" customWidth="1"/>
    <col min="15901" max="15901" width="6.5703125" customWidth="1"/>
    <col min="15902" max="15902" width="9.5703125" customWidth="1"/>
    <col min="15903" max="15903" width="11.5703125" customWidth="1"/>
    <col min="15904" max="15904" width="3.5703125" customWidth="1"/>
    <col min="15905" max="15905" width="13.85546875" customWidth="1"/>
    <col min="15906" max="15906" width="5.5703125" customWidth="1"/>
    <col min="15907" max="15907" width="19.7109375" customWidth="1"/>
    <col min="15908" max="15908" width="2.140625" customWidth="1"/>
    <col min="15909" max="15909" width="13.5703125" customWidth="1"/>
    <col min="16151" max="16151" width="2" customWidth="1"/>
    <col min="16152" max="16152" width="8.28515625" customWidth="1"/>
    <col min="16153" max="16153" width="15.42578125" customWidth="1"/>
    <col min="16154" max="16154" width="8.7109375" customWidth="1"/>
    <col min="16155" max="16155" width="8" customWidth="1"/>
    <col min="16156" max="16156" width="6" customWidth="1"/>
    <col min="16157" max="16157" width="6.5703125" customWidth="1"/>
    <col min="16158" max="16158" width="9.5703125" customWidth="1"/>
    <col min="16159" max="16159" width="11.5703125" customWidth="1"/>
    <col min="16160" max="16160" width="3.5703125" customWidth="1"/>
    <col min="16161" max="16161" width="13.85546875" customWidth="1"/>
    <col min="16162" max="16162" width="5.5703125" customWidth="1"/>
    <col min="16163" max="16163" width="19.7109375" customWidth="1"/>
    <col min="16164" max="16164" width="2.140625" customWidth="1"/>
    <col min="16165" max="16165" width="13.5703125" customWidth="1"/>
  </cols>
  <sheetData>
    <row r="1" spans="1:52" ht="9" customHeight="1">
      <c r="A1" s="66"/>
      <c r="B1" s="66"/>
      <c r="C1" s="66"/>
      <c r="D1" s="66"/>
      <c r="E1" s="66"/>
      <c r="F1" s="66"/>
      <c r="G1" s="66"/>
      <c r="H1" s="66"/>
      <c r="I1" s="66"/>
      <c r="J1" s="66"/>
      <c r="K1" s="66"/>
      <c r="L1" s="66"/>
      <c r="M1" s="66"/>
      <c r="N1" s="66"/>
      <c r="O1" s="66"/>
      <c r="P1" s="66"/>
      <c r="Q1" s="66"/>
      <c r="R1" s="66"/>
      <c r="S1" s="66"/>
      <c r="T1" s="66"/>
      <c r="U1" s="66"/>
      <c r="V1" s="66"/>
      <c r="W1" s="66"/>
      <c r="X1" s="447"/>
      <c r="Y1" s="447"/>
      <c r="Z1" s="447"/>
      <c r="AC1" s="1840"/>
      <c r="AD1" s="1840"/>
      <c r="AE1" s="1840"/>
      <c r="AF1" s="1840"/>
      <c r="AG1" s="1840"/>
      <c r="AH1" s="1840"/>
      <c r="AI1" s="1840"/>
      <c r="AJ1" s="1840"/>
      <c r="AK1" s="1840"/>
      <c r="AL1" s="962"/>
      <c r="AN1" s="962"/>
      <c r="AP1" s="962"/>
      <c r="AQ1" s="962"/>
      <c r="AR1" s="2037"/>
      <c r="AS1" s="2037"/>
      <c r="AT1" s="2037"/>
      <c r="AU1" s="2037"/>
      <c r="AV1" s="2037"/>
      <c r="AW1" s="2037"/>
      <c r="AX1" s="2037"/>
      <c r="AY1" s="2037"/>
      <c r="AZ1" s="2037"/>
    </row>
    <row r="2" spans="1:52" ht="9" customHeight="1">
      <c r="A2" s="66"/>
      <c r="B2" s="66"/>
      <c r="C2" s="66"/>
      <c r="D2" s="66"/>
      <c r="E2" s="66"/>
      <c r="F2" s="66"/>
      <c r="G2" s="66"/>
      <c r="H2" s="66"/>
      <c r="I2" s="66"/>
      <c r="J2" s="66"/>
      <c r="K2" s="66"/>
      <c r="L2" s="66"/>
      <c r="M2" s="66"/>
      <c r="N2" s="66"/>
      <c r="O2" s="66"/>
      <c r="P2" s="66"/>
      <c r="Q2" s="66"/>
      <c r="R2" s="66"/>
      <c r="S2" s="66"/>
      <c r="T2" s="66"/>
      <c r="U2" s="66"/>
      <c r="V2" s="66"/>
      <c r="W2" s="66"/>
      <c r="X2" s="447"/>
      <c r="Y2" s="447"/>
      <c r="Z2" s="447"/>
      <c r="AC2" s="1250"/>
      <c r="AD2" s="1841"/>
      <c r="AE2" s="1841"/>
      <c r="AF2" s="1841"/>
      <c r="AG2" s="1841"/>
      <c r="AH2" s="1841"/>
      <c r="AI2" s="1841"/>
      <c r="AJ2" s="1841"/>
      <c r="AK2" s="1842"/>
      <c r="AL2" s="1009"/>
      <c r="AN2" s="1009"/>
      <c r="AP2" s="962"/>
      <c r="AQ2" s="962"/>
    </row>
    <row r="3" spans="1:52" ht="11.25" customHeight="1">
      <c r="A3" s="66"/>
      <c r="B3" s="2678"/>
      <c r="C3" s="198"/>
      <c r="D3" s="198"/>
      <c r="E3" s="198"/>
      <c r="F3" s="206"/>
      <c r="G3" s="5023"/>
      <c r="H3" s="5024"/>
      <c r="I3" s="5024"/>
      <c r="J3" s="5024"/>
      <c r="K3" s="5024"/>
      <c r="L3" s="5024"/>
      <c r="M3" s="5024"/>
      <c r="N3" s="5024"/>
      <c r="O3" s="5024"/>
      <c r="P3" s="5024"/>
      <c r="Q3" s="5024"/>
      <c r="R3" s="5024"/>
      <c r="S3" s="5024"/>
      <c r="T3" s="5024"/>
      <c r="U3" s="5025"/>
      <c r="V3" s="8603" t="s">
        <v>576</v>
      </c>
      <c r="W3" s="8604"/>
      <c r="X3" s="1170"/>
      <c r="Y3" s="1170"/>
      <c r="Z3" s="1170"/>
      <c r="AC3" s="1843"/>
      <c r="AD3" s="3397" t="s">
        <v>3465</v>
      </c>
      <c r="AE3" s="1009"/>
      <c r="AF3" s="1009"/>
      <c r="AG3" s="1009"/>
      <c r="AH3" s="1009"/>
      <c r="AI3" s="1009"/>
      <c r="AJ3" s="1009"/>
      <c r="AK3" s="1844"/>
      <c r="AL3" s="1009"/>
      <c r="AN3" s="1009"/>
      <c r="AP3" s="962"/>
      <c r="AQ3" s="962"/>
    </row>
    <row r="4" spans="1:52" ht="17.25" customHeight="1">
      <c r="A4" s="66"/>
      <c r="B4" s="8607" t="s">
        <v>50</v>
      </c>
      <c r="C4" s="8600">
        <v>2441</v>
      </c>
      <c r="D4" s="8601"/>
      <c r="E4" s="8601"/>
      <c r="F4" s="8602"/>
      <c r="G4" s="8642" t="s">
        <v>3466</v>
      </c>
      <c r="H4" s="7036"/>
      <c r="I4" s="7036"/>
      <c r="J4" s="7036"/>
      <c r="K4" s="7036"/>
      <c r="L4" s="7036"/>
      <c r="M4" s="7036"/>
      <c r="N4" s="7036"/>
      <c r="O4" s="7036"/>
      <c r="P4" s="7036"/>
      <c r="Q4" s="7036"/>
      <c r="R4" s="7036"/>
      <c r="S4" s="7036"/>
      <c r="T4" s="7036"/>
      <c r="U4" s="8643"/>
      <c r="V4" s="8605">
        <f>TaxYear</f>
        <v>2023</v>
      </c>
      <c r="W4" s="8606"/>
      <c r="X4" s="1170"/>
      <c r="Y4" s="1170"/>
      <c r="Z4" s="1170"/>
      <c r="AC4" s="1843"/>
      <c r="AD4" s="1009" t="s">
        <v>3467</v>
      </c>
      <c r="AE4" s="1009"/>
      <c r="AF4" s="1009"/>
      <c r="AG4" s="1009"/>
      <c r="AH4" s="1009"/>
      <c r="AI4" s="1009"/>
      <c r="AJ4" s="1009"/>
      <c r="AK4" s="1844"/>
      <c r="AL4" s="1009"/>
      <c r="AN4" s="1009"/>
      <c r="AP4" s="962"/>
      <c r="AQ4" s="962"/>
      <c r="AR4" s="2037" t="s">
        <v>241</v>
      </c>
      <c r="AS4" s="2037"/>
      <c r="AT4" s="2037"/>
      <c r="AU4" s="2037"/>
      <c r="AV4" s="2037"/>
      <c r="AW4" s="2037"/>
      <c r="AX4" s="2037"/>
      <c r="AY4" s="2037"/>
      <c r="AZ4" s="2037"/>
    </row>
    <row r="5" spans="1:52" ht="12.75" customHeight="1">
      <c r="A5" s="66"/>
      <c r="B5" s="8599"/>
      <c r="C5" s="8601"/>
      <c r="D5" s="8601"/>
      <c r="E5" s="8601"/>
      <c r="F5" s="8602"/>
      <c r="G5" s="8642"/>
      <c r="H5" s="7036"/>
      <c r="I5" s="7036"/>
      <c r="J5" s="7036"/>
      <c r="K5" s="7036"/>
      <c r="L5" s="7036"/>
      <c r="M5" s="7036"/>
      <c r="N5" s="7036"/>
      <c r="O5" s="7036"/>
      <c r="P5" s="7036"/>
      <c r="Q5" s="7036"/>
      <c r="R5" s="7036"/>
      <c r="S5" s="7036"/>
      <c r="T5" s="7036"/>
      <c r="U5" s="8643"/>
      <c r="V5" s="8605"/>
      <c r="W5" s="8606"/>
      <c r="X5" s="1170"/>
      <c r="Y5" s="1170"/>
      <c r="Z5" s="1170"/>
      <c r="AC5" s="1843"/>
      <c r="AD5" s="1009" t="s">
        <v>3468</v>
      </c>
      <c r="AE5" s="1009"/>
      <c r="AF5" s="1009"/>
      <c r="AG5" s="1009"/>
      <c r="AH5" s="1009"/>
      <c r="AI5" s="1009"/>
      <c r="AJ5" s="1009"/>
      <c r="AK5" s="1844"/>
      <c r="AL5" s="1009"/>
      <c r="AN5" s="1009"/>
      <c r="AP5" s="962"/>
      <c r="AQ5" s="962"/>
    </row>
    <row r="6" spans="1:52" ht="14.25" customHeight="1">
      <c r="A6" s="66"/>
      <c r="B6" s="159" t="s">
        <v>3469</v>
      </c>
      <c r="C6" s="159"/>
      <c r="D6" s="159"/>
      <c r="E6" s="159"/>
      <c r="F6" s="1216"/>
      <c r="G6" s="7061" t="s">
        <v>3470</v>
      </c>
      <c r="H6" s="7050"/>
      <c r="I6" s="7050"/>
      <c r="J6" s="7050"/>
      <c r="K6" s="7050"/>
      <c r="L6" s="7050"/>
      <c r="M6" s="7050"/>
      <c r="N6" s="7050"/>
      <c r="O6" s="7050"/>
      <c r="P6" s="7050"/>
      <c r="Q6" s="7050"/>
      <c r="R6" s="7050"/>
      <c r="S6" s="7050"/>
      <c r="T6" s="7050"/>
      <c r="U6" s="7062"/>
      <c r="V6" s="5124" t="s">
        <v>3471</v>
      </c>
      <c r="W6" s="8615">
        <v>21</v>
      </c>
      <c r="X6" s="1170"/>
      <c r="Y6" s="1170"/>
      <c r="Z6" s="1170"/>
      <c r="AC6" s="1843"/>
      <c r="AD6" s="1009" t="s">
        <v>3472</v>
      </c>
      <c r="AE6" s="1009"/>
      <c r="AF6" s="1009"/>
      <c r="AG6" s="1009"/>
      <c r="AH6" s="1009"/>
      <c r="AI6" s="1009"/>
      <c r="AJ6" s="1009"/>
      <c r="AK6" s="1844"/>
      <c r="AL6" s="1009"/>
      <c r="AN6" s="1009"/>
      <c r="AP6" s="962"/>
      <c r="AQ6" s="962"/>
    </row>
    <row r="7" spans="1:52" ht="12" customHeight="1" thickBot="1">
      <c r="A7" s="66"/>
      <c r="B7" s="723" t="s">
        <v>537</v>
      </c>
      <c r="C7" s="3000"/>
      <c r="D7" s="3000"/>
      <c r="E7" s="3000"/>
      <c r="F7" s="3001"/>
      <c r="G7" s="8639" t="s">
        <v>3473</v>
      </c>
      <c r="H7" s="8640"/>
      <c r="I7" s="8640"/>
      <c r="J7" s="8640"/>
      <c r="K7" s="8640"/>
      <c r="L7" s="8640"/>
      <c r="M7" s="8640"/>
      <c r="N7" s="8640"/>
      <c r="O7" s="8640"/>
      <c r="P7" s="8640"/>
      <c r="Q7" s="8640"/>
      <c r="R7" s="8640"/>
      <c r="S7" s="8640"/>
      <c r="T7" s="8640"/>
      <c r="U7" s="8641"/>
      <c r="V7" s="5022" t="s">
        <v>3474</v>
      </c>
      <c r="W7" s="8616"/>
      <c r="X7" s="1170"/>
      <c r="Y7" s="1170"/>
      <c r="Z7" s="1170"/>
      <c r="AA7" s="8574" t="s">
        <v>3475</v>
      </c>
      <c r="AB7" s="8575"/>
      <c r="AC7" s="1843"/>
      <c r="AD7" s="1015"/>
      <c r="AE7" s="1009"/>
      <c r="AF7" s="1009"/>
      <c r="AG7" s="1009"/>
      <c r="AH7" s="1009"/>
      <c r="AI7" s="1009"/>
      <c r="AJ7" s="1009"/>
      <c r="AK7" s="1844"/>
      <c r="AL7" s="1009"/>
      <c r="AN7" s="1009"/>
      <c r="AP7" s="962"/>
      <c r="AQ7" s="962"/>
    </row>
    <row r="8" spans="1:52" ht="11.25" customHeight="1" thickTop="1">
      <c r="A8" s="66"/>
      <c r="B8" s="3002" t="s">
        <v>2208</v>
      </c>
      <c r="C8" s="3003"/>
      <c r="D8" s="3003"/>
      <c r="E8" s="3003"/>
      <c r="F8" s="3003"/>
      <c r="G8" s="53"/>
      <c r="H8" s="52"/>
      <c r="I8" s="52"/>
      <c r="J8" s="52"/>
      <c r="K8" s="52"/>
      <c r="L8" s="5692"/>
      <c r="M8" s="3002"/>
      <c r="N8" s="3002"/>
      <c r="O8" s="3002"/>
      <c r="P8" s="3002"/>
      <c r="Q8" s="3002"/>
      <c r="R8" s="3002"/>
      <c r="S8" s="7295" t="s">
        <v>586</v>
      </c>
      <c r="T8" s="7296"/>
      <c r="U8" s="7296"/>
      <c r="V8" s="7296"/>
      <c r="W8" s="7296"/>
      <c r="X8" s="1171"/>
      <c r="Y8" s="1171"/>
      <c r="Z8" s="1171"/>
      <c r="AA8" s="8574" t="s">
        <v>3476</v>
      </c>
      <c r="AB8" s="8575"/>
      <c r="AC8" s="1843"/>
      <c r="AD8" s="1015" t="str">
        <f>"o You lived apart from your spouse during the last 6 months of "&amp;TaxYear&amp;"."</f>
        <v>o You lived apart from your spouse during the last 6 months of 2023.</v>
      </c>
      <c r="AE8" s="1009"/>
      <c r="AF8" s="1009"/>
      <c r="AG8" s="1009"/>
      <c r="AH8" s="1009"/>
      <c r="AI8" s="1009"/>
      <c r="AJ8" s="1009"/>
      <c r="AK8" s="1844"/>
      <c r="AL8" s="1009"/>
      <c r="AN8" s="1009"/>
      <c r="AP8" s="962"/>
      <c r="AQ8" s="962"/>
    </row>
    <row r="9" spans="1:52" ht="16.5" customHeight="1" thickBot="1">
      <c r="A9" s="66"/>
      <c r="B9" s="4469" t="str">
        <f>Names</f>
        <v/>
      </c>
      <c r="C9" s="4470"/>
      <c r="D9" s="4470"/>
      <c r="E9" s="4470"/>
      <c r="F9" s="4470"/>
      <c r="G9" s="4470"/>
      <c r="H9" s="4470"/>
      <c r="I9" s="4470"/>
      <c r="J9" s="4470"/>
      <c r="K9" s="4470"/>
      <c r="L9" s="4470"/>
      <c r="M9" s="4470"/>
      <c r="N9" s="4470"/>
      <c r="O9" s="4470"/>
      <c r="P9" s="4470"/>
      <c r="Q9" s="4470"/>
      <c r="R9" s="5026"/>
      <c r="S9" s="8636">
        <f>IF(NoSSN,"",SS_Yours)</f>
        <v>1010001</v>
      </c>
      <c r="T9" s="8637"/>
      <c r="U9" s="8637"/>
      <c r="V9" s="8637"/>
      <c r="W9" s="8637"/>
      <c r="X9" s="1171"/>
      <c r="Y9" s="1171"/>
      <c r="Z9" s="1171"/>
      <c r="AA9" s="8574" t="s">
        <v>3477</v>
      </c>
      <c r="AB9" s="8575"/>
      <c r="AC9" s="1843"/>
      <c r="AD9" s="1015" t="str">
        <f>"o Your home was the qualifying person's main home for more than half of "&amp;TaxYear&amp;"."</f>
        <v>o Your home was the qualifying person's main home for more than half of 2023.</v>
      </c>
      <c r="AE9" s="1009"/>
      <c r="AF9" s="1009"/>
      <c r="AG9" s="1009"/>
      <c r="AH9" s="1009"/>
      <c r="AI9" s="1009"/>
      <c r="AJ9" s="1009"/>
      <c r="AK9" s="1844"/>
      <c r="AL9" s="1009"/>
      <c r="AN9" s="1009"/>
      <c r="AP9" s="962"/>
      <c r="AQ9" s="962"/>
    </row>
    <row r="10" spans="1:52" ht="12.75" customHeight="1">
      <c r="A10" s="66"/>
      <c r="B10" s="3008" t="s">
        <v>3478</v>
      </c>
      <c r="C10" s="111"/>
      <c r="D10" s="111"/>
      <c r="E10" s="111"/>
      <c r="F10" s="111"/>
      <c r="G10" s="111"/>
      <c r="H10" s="111"/>
      <c r="I10" s="111"/>
      <c r="J10" s="21"/>
      <c r="K10" s="21"/>
      <c r="L10" s="111"/>
      <c r="M10" s="1173"/>
      <c r="N10" s="111"/>
      <c r="O10" s="111"/>
      <c r="P10" s="111"/>
      <c r="Q10" s="111"/>
      <c r="R10" s="111"/>
      <c r="S10" s="111"/>
      <c r="T10" s="111"/>
      <c r="U10" s="111"/>
      <c r="V10" s="1174"/>
      <c r="W10" s="1174"/>
      <c r="X10" s="1170"/>
      <c r="Y10" s="1170"/>
      <c r="Z10" s="1170"/>
      <c r="AA10" s="8574" t="s">
        <v>3479</v>
      </c>
      <c r="AB10" s="8575"/>
      <c r="AC10" s="1843"/>
      <c r="AD10" s="1015" t="str">
        <f>"o You paid more than half of the cost of keeping up that home for "&amp;TaxYear&amp;"."</f>
        <v>o You paid more than half of the cost of keeping up that home for 2023.</v>
      </c>
      <c r="AE10" s="1009"/>
      <c r="AF10" s="1009"/>
      <c r="AG10" s="1009"/>
      <c r="AH10" s="1009"/>
      <c r="AI10" s="1009"/>
      <c r="AJ10" s="1009"/>
      <c r="AK10" s="1844"/>
      <c r="AL10" s="1009"/>
      <c r="AN10" s="1009"/>
      <c r="AP10" s="962"/>
      <c r="AQ10" s="962"/>
    </row>
    <row r="11" spans="1:52" ht="16.5" customHeight="1">
      <c r="A11" s="66"/>
      <c r="B11" s="5125" t="s">
        <v>3480</v>
      </c>
      <c r="C11" s="16"/>
      <c r="D11" s="16"/>
      <c r="E11" s="16"/>
      <c r="F11" s="16"/>
      <c r="G11" s="16"/>
      <c r="H11" s="16"/>
      <c r="I11" s="16"/>
      <c r="J11" s="15"/>
      <c r="K11" s="15"/>
      <c r="L11" s="16"/>
      <c r="M11" s="2685"/>
      <c r="N11" s="16"/>
      <c r="O11" s="16"/>
      <c r="P11" s="16"/>
      <c r="Q11" s="16"/>
      <c r="R11" s="16"/>
      <c r="S11" s="16"/>
      <c r="T11" s="16"/>
      <c r="U11" s="16"/>
      <c r="V11" s="5143" t="str">
        <f>IF(AB19,"You are not eligible for this credit.",IF(AB18,"Check 'Yes' or 'No' box at the right.","If you meet these requirements, check this box."))</f>
        <v>If you meet these requirements, check this box.</v>
      </c>
      <c r="W11" s="2688" t="str">
        <f>IF(AND(File_Marr_Sep&lt;&gt;"",AD18&lt;&gt;""),"X","")</f>
        <v/>
      </c>
      <c r="X11" s="1170"/>
      <c r="Y11" s="1170"/>
      <c r="Z11" s="1170"/>
      <c r="AA11" s="8574" t="s">
        <v>3481</v>
      </c>
      <c r="AB11" s="8575"/>
      <c r="AC11" s="1843"/>
      <c r="AD11" s="1009"/>
      <c r="AE11" s="1009"/>
      <c r="AF11" s="1009"/>
      <c r="AG11" s="1009"/>
      <c r="AH11" s="1009"/>
      <c r="AI11" s="1009"/>
      <c r="AJ11" s="1009"/>
      <c r="AK11" s="1844"/>
      <c r="AL11" s="1009"/>
      <c r="AN11" s="1009"/>
      <c r="AP11" s="962"/>
      <c r="AQ11" s="962"/>
    </row>
    <row r="12" spans="1:52" ht="12.75" customHeight="1">
      <c r="A12" s="66"/>
      <c r="B12" s="6015" t="s">
        <v>5667</v>
      </c>
      <c r="C12" s="222" t="str">
        <f>"or your spouse was a student or was disabled during "&amp;TaxYear&amp;" and you're entering deemed income of $250 or $500 a month on"</f>
        <v>or your spouse was a student or was disabled during 2023 and you're entering deemed income of $250 or $500 a month on</v>
      </c>
      <c r="D12" s="111"/>
      <c r="E12" s="111"/>
      <c r="F12" s="111"/>
      <c r="G12" s="111"/>
      <c r="H12" s="111"/>
      <c r="I12" s="111"/>
      <c r="J12" s="21"/>
      <c r="K12" s="21"/>
      <c r="L12" s="111"/>
      <c r="M12" s="1173"/>
      <c r="N12" s="111"/>
      <c r="O12" s="111"/>
      <c r="P12" s="111"/>
      <c r="Q12" s="111"/>
      <c r="R12" s="111"/>
      <c r="S12" s="111"/>
      <c r="T12" s="111"/>
      <c r="U12" s="111"/>
      <c r="V12" s="1174"/>
      <c r="W12" s="3741"/>
      <c r="X12" s="1170"/>
      <c r="Y12" s="1170"/>
      <c r="Z12" s="1170"/>
      <c r="AA12" s="8574" t="s">
        <v>3482</v>
      </c>
      <c r="AB12" s="8575"/>
      <c r="AC12" s="1843"/>
      <c r="AD12" s="1009" t="s">
        <v>3483</v>
      </c>
      <c r="AE12" s="1009"/>
      <c r="AF12" s="1009"/>
      <c r="AG12" s="1009"/>
      <c r="AH12" s="1009"/>
      <c r="AI12" s="1009"/>
      <c r="AJ12" s="1009"/>
      <c r="AK12" s="1844"/>
      <c r="AL12" s="1009"/>
      <c r="AN12" s="1009"/>
      <c r="AP12" s="962"/>
      <c r="AQ12" s="962"/>
    </row>
    <row r="13" spans="1:52" ht="12.75" customHeight="1">
      <c r="A13" s="66"/>
      <c r="B13" s="682" t="s">
        <v>5668</v>
      </c>
      <c r="C13" s="16"/>
      <c r="D13" s="16"/>
      <c r="E13" s="16"/>
      <c r="F13" s="16"/>
      <c r="G13" s="16"/>
      <c r="H13" s="16"/>
      <c r="I13" s="16"/>
      <c r="J13" s="15"/>
      <c r="K13" s="15"/>
      <c r="L13" s="16"/>
      <c r="M13" s="2685"/>
      <c r="N13" s="16"/>
      <c r="O13" s="16"/>
      <c r="P13" s="16"/>
      <c r="Q13" s="16"/>
      <c r="R13" s="16"/>
      <c r="S13" s="16"/>
      <c r="T13" s="16"/>
      <c r="U13" s="16"/>
      <c r="V13" s="2689"/>
      <c r="W13" s="1856"/>
      <c r="X13" s="1170"/>
      <c r="Y13" s="1170"/>
      <c r="Z13" s="1170"/>
      <c r="AA13" s="8638" t="s">
        <v>3484</v>
      </c>
      <c r="AB13" s="8575"/>
      <c r="AC13" s="1843"/>
      <c r="AD13" s="1009"/>
      <c r="AE13" s="1009"/>
      <c r="AF13" s="1009"/>
      <c r="AG13" s="1009"/>
      <c r="AH13" s="1009"/>
      <c r="AI13" s="1009"/>
      <c r="AJ13" s="1009"/>
      <c r="AK13" s="1844"/>
      <c r="AL13" s="1009"/>
      <c r="AN13" s="1009"/>
      <c r="AP13" s="962"/>
      <c r="AQ13" s="962"/>
    </row>
    <row r="14" spans="1:52" ht="15" customHeight="1">
      <c r="A14" s="66"/>
      <c r="B14" s="1175" t="s">
        <v>884</v>
      </c>
      <c r="C14" s="1176" t="s">
        <v>3485</v>
      </c>
      <c r="D14" s="1176"/>
      <c r="E14" s="1176"/>
      <c r="F14" s="1176"/>
      <c r="G14" s="111"/>
      <c r="H14" s="111"/>
      <c r="I14" s="111"/>
      <c r="J14" s="111"/>
      <c r="K14" s="111"/>
      <c r="L14" s="111"/>
      <c r="M14" s="111"/>
      <c r="N14" s="111"/>
      <c r="O14" s="111"/>
      <c r="P14" s="111"/>
      <c r="Q14" s="111"/>
      <c r="R14" s="111"/>
      <c r="S14" s="111"/>
      <c r="T14" s="111"/>
      <c r="U14" s="111"/>
      <c r="V14" s="2677"/>
      <c r="W14" s="2677"/>
      <c r="X14" s="1170"/>
      <c r="Y14" s="1170"/>
      <c r="Z14" s="1170"/>
      <c r="AA14" s="8574" t="s">
        <v>3486</v>
      </c>
      <c r="AB14" s="8575"/>
      <c r="AC14" s="1843"/>
      <c r="AD14" s="1009" t="s">
        <v>3487</v>
      </c>
      <c r="AE14" s="1009"/>
      <c r="AF14" s="1009"/>
      <c r="AG14" s="1009"/>
      <c r="AH14" s="1009"/>
      <c r="AI14" s="1009"/>
      <c r="AJ14" s="1009"/>
      <c r="AK14" s="1844"/>
      <c r="AL14" s="1009"/>
      <c r="AN14" s="1009"/>
      <c r="AP14" s="962"/>
      <c r="AQ14" s="962"/>
    </row>
    <row r="15" spans="1:52" ht="14.25">
      <c r="A15" s="66"/>
      <c r="B15" s="16"/>
      <c r="C15" s="223" t="s">
        <v>3488</v>
      </c>
      <c r="D15" s="16"/>
      <c r="E15" s="16"/>
      <c r="F15" s="16"/>
      <c r="G15" s="16"/>
      <c r="H15" s="16"/>
      <c r="I15" s="16"/>
      <c r="J15" s="16"/>
      <c r="K15" s="16"/>
      <c r="L15" s="16"/>
      <c r="M15" s="16"/>
      <c r="N15" s="16"/>
      <c r="O15" s="16"/>
      <c r="P15" s="16"/>
      <c r="Q15" s="16"/>
      <c r="R15" s="16"/>
      <c r="S15" s="16"/>
      <c r="T15" s="16"/>
      <c r="U15" s="16"/>
      <c r="V15" s="1191" t="s">
        <v>646</v>
      </c>
      <c r="W15" s="1856" t="str">
        <f>IF(AD20&lt;&gt;"","X","")</f>
        <v/>
      </c>
      <c r="X15" s="1170"/>
      <c r="Y15" s="1170"/>
      <c r="Z15" s="1170"/>
      <c r="AA15" s="8574" t="s">
        <v>3489</v>
      </c>
      <c r="AB15" s="8575"/>
      <c r="AC15" s="1843"/>
      <c r="AD15" s="1009" t="s">
        <v>3490</v>
      </c>
      <c r="AE15" s="1009"/>
      <c r="AF15" s="1009"/>
      <c r="AG15" s="1009"/>
      <c r="AH15" s="1009"/>
      <c r="AI15" s="1009"/>
      <c r="AJ15" s="1009"/>
      <c r="AK15" s="1844"/>
      <c r="AL15" s="1009"/>
      <c r="AN15" s="1009"/>
      <c r="AP15" s="962"/>
      <c r="AQ15" s="962"/>
    </row>
    <row r="16" spans="1:52" ht="27" customHeight="1">
      <c r="A16" s="66"/>
      <c r="B16" s="379" t="s">
        <v>3491</v>
      </c>
      <c r="C16" s="20" t="s">
        <v>3492</v>
      </c>
      <c r="D16" s="20"/>
      <c r="E16" s="20"/>
      <c r="F16" s="20"/>
      <c r="G16" s="1177"/>
      <c r="H16" s="8581" t="s">
        <v>3493</v>
      </c>
      <c r="I16" s="8582"/>
      <c r="J16" s="8582"/>
      <c r="K16" s="8582"/>
      <c r="L16" s="8583"/>
      <c r="M16" s="7277" t="s">
        <v>3494</v>
      </c>
      <c r="N16" s="8579"/>
      <c r="O16" s="8580"/>
      <c r="P16" s="7225"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6" s="8584"/>
      <c r="R16" s="8584"/>
      <c r="S16" s="8584"/>
      <c r="T16" s="8584"/>
      <c r="U16" s="8585"/>
      <c r="V16" s="8533" t="s">
        <v>3495</v>
      </c>
      <c r="W16" s="8534"/>
      <c r="X16" s="1170"/>
      <c r="Y16" s="1170"/>
      <c r="Z16" s="1170"/>
      <c r="AA16" s="8574" t="s">
        <v>3496</v>
      </c>
      <c r="AB16" s="8575"/>
      <c r="AC16" s="1843"/>
      <c r="AD16" s="3095" t="s">
        <v>3497</v>
      </c>
      <c r="AE16" s="1009"/>
      <c r="AF16" s="1009"/>
      <c r="AG16" s="1009"/>
      <c r="AH16" s="1009"/>
      <c r="AI16" s="1009"/>
      <c r="AJ16" s="1009"/>
      <c r="AK16" s="1844"/>
      <c r="AL16" s="1009"/>
      <c r="AN16" s="1009"/>
      <c r="AP16" s="962"/>
      <c r="AQ16" s="962"/>
    </row>
    <row r="17" spans="1:43" ht="27" customHeight="1">
      <c r="A17" s="66"/>
      <c r="B17" s="5365"/>
      <c r="C17" s="2687" t="s">
        <v>3498</v>
      </c>
      <c r="D17" s="1179"/>
      <c r="E17" s="1179"/>
      <c r="F17" s="1179"/>
      <c r="G17" s="1180"/>
      <c r="H17" s="8535" t="s">
        <v>5669</v>
      </c>
      <c r="I17" s="8536"/>
      <c r="J17" s="8536"/>
      <c r="K17" s="8536"/>
      <c r="L17" s="8537"/>
      <c r="M17" s="8525"/>
      <c r="N17" s="8526"/>
      <c r="O17" s="8527"/>
      <c r="P17" s="8586"/>
      <c r="Q17" s="8587"/>
      <c r="R17" s="8587"/>
      <c r="S17" s="8587"/>
      <c r="T17" s="8587"/>
      <c r="U17" s="8588"/>
      <c r="V17" s="2686" t="s">
        <v>3500</v>
      </c>
      <c r="W17" s="115"/>
      <c r="X17" s="1170"/>
      <c r="Y17" s="1170"/>
      <c r="Z17" s="1170"/>
      <c r="AA17" s="8574"/>
      <c r="AB17" s="8575"/>
      <c r="AC17" s="1843"/>
      <c r="AD17" s="1009"/>
      <c r="AE17" s="1009"/>
      <c r="AF17" s="1009"/>
      <c r="AG17" s="1009"/>
      <c r="AH17" s="1009"/>
      <c r="AI17" s="1009"/>
      <c r="AJ17" s="1009"/>
      <c r="AK17" s="1844"/>
      <c r="AL17" s="1009"/>
      <c r="AN17" s="1009"/>
      <c r="AP17" s="962"/>
      <c r="AQ17" s="962"/>
    </row>
    <row r="18" spans="1:43" ht="12" customHeight="1">
      <c r="A18" s="66"/>
      <c r="B18" s="8555"/>
      <c r="C18" s="8556"/>
      <c r="D18" s="8556"/>
      <c r="E18" s="8556"/>
      <c r="F18" s="8556"/>
      <c r="G18" s="8557"/>
      <c r="H18" s="8560"/>
      <c r="I18" s="8561"/>
      <c r="J18" s="8562"/>
      <c r="K18" s="8562"/>
      <c r="L18" s="8563"/>
      <c r="M18" s="4477"/>
      <c r="N18" s="4478"/>
      <c r="O18" s="4479"/>
      <c r="P18" s="4479"/>
      <c r="Q18" s="8564"/>
      <c r="R18" s="8568" t="s">
        <v>608</v>
      </c>
      <c r="S18" s="8569"/>
      <c r="T18" s="8549" t="str">
        <f>IF(AND(OR(B18&lt;&gt;"",V19&lt;&gt;""),Q18=""),"X","")</f>
        <v/>
      </c>
      <c r="U18" s="8572" t="s">
        <v>609</v>
      </c>
      <c r="V18" s="5027"/>
      <c r="W18" s="5028"/>
      <c r="X18" s="1170"/>
      <c r="Y18" s="1170"/>
      <c r="Z18" s="1170"/>
      <c r="AB18" s="887" t="b">
        <f>AND($AD$18="",$AD$19="",File_Marr_Sep&lt;&gt;"")</f>
        <v>0</v>
      </c>
      <c r="AC18" s="1839"/>
      <c r="AD18" s="861"/>
      <c r="AE18" s="1009" t="s">
        <v>3501</v>
      </c>
      <c r="AF18" s="1009"/>
      <c r="AG18" s="1009"/>
      <c r="AH18" s="1009"/>
      <c r="AI18" s="1009"/>
      <c r="AJ18" s="1009"/>
      <c r="AK18" s="1844"/>
      <c r="AL18" s="1009"/>
      <c r="AN18" s="1009"/>
      <c r="AP18" s="962"/>
      <c r="AQ18" s="962"/>
    </row>
    <row r="19" spans="1:43" ht="12" customHeight="1">
      <c r="A19" s="66"/>
      <c r="B19" s="8558"/>
      <c r="C19" s="8558"/>
      <c r="D19" s="8558"/>
      <c r="E19" s="8558"/>
      <c r="F19" s="8558"/>
      <c r="G19" s="8559"/>
      <c r="H19" s="8541"/>
      <c r="I19" s="8542"/>
      <c r="J19" s="8543"/>
      <c r="K19" s="8543"/>
      <c r="L19" s="8544"/>
      <c r="M19" s="8576"/>
      <c r="N19" s="8577"/>
      <c r="O19" s="8578"/>
      <c r="P19" s="4480"/>
      <c r="Q19" s="8565"/>
      <c r="R19" s="8570"/>
      <c r="S19" s="8571"/>
      <c r="T19" s="8550"/>
      <c r="U19" s="8573"/>
      <c r="V19" s="8566"/>
      <c r="W19" s="8567"/>
      <c r="X19" s="1170"/>
      <c r="Y19" s="1170"/>
      <c r="Z19" s="1170"/>
      <c r="AB19" s="887" t="b">
        <f>AND(File_Marr_Sep&lt;&gt;"",AD19&lt;&gt;"")</f>
        <v>0</v>
      </c>
      <c r="AC19" s="1839"/>
      <c r="AD19" s="861"/>
      <c r="AE19" s="1009" t="s">
        <v>3502</v>
      </c>
      <c r="AF19" s="1009"/>
      <c r="AG19" s="1009"/>
      <c r="AH19" s="1009"/>
      <c r="AI19" s="1009"/>
      <c r="AJ19" s="1009"/>
      <c r="AK19" s="1844"/>
      <c r="AL19" s="1009"/>
      <c r="AN19" s="1009"/>
      <c r="AP19" s="962"/>
      <c r="AQ19" s="962"/>
    </row>
    <row r="20" spans="1:43" ht="12" customHeight="1">
      <c r="A20" s="66"/>
      <c r="B20" s="8555"/>
      <c r="C20" s="8556"/>
      <c r="D20" s="8556"/>
      <c r="E20" s="8556"/>
      <c r="F20" s="8556"/>
      <c r="G20" s="8557"/>
      <c r="H20" s="8560"/>
      <c r="I20" s="8561"/>
      <c r="J20" s="8562"/>
      <c r="K20" s="8562"/>
      <c r="L20" s="8563"/>
      <c r="M20" s="4477"/>
      <c r="N20" s="4478"/>
      <c r="O20" s="4479"/>
      <c r="P20" s="4479"/>
      <c r="Q20" s="8564"/>
      <c r="R20" s="8568" t="s">
        <v>608</v>
      </c>
      <c r="S20" s="8569"/>
      <c r="T20" s="8549" t="str">
        <f>IF(AND(OR(B20&lt;&gt;"",V21&lt;&gt;""),Q20=""),"X","")</f>
        <v/>
      </c>
      <c r="U20" s="8572" t="s">
        <v>609</v>
      </c>
      <c r="V20" s="5027"/>
      <c r="W20" s="5028"/>
      <c r="X20" s="1170"/>
      <c r="Y20" s="1170"/>
      <c r="Z20" s="1170"/>
      <c r="AC20" s="1843"/>
      <c r="AD20" s="1009"/>
      <c r="AE20" s="1009"/>
      <c r="AF20" s="1009"/>
      <c r="AG20" s="1009"/>
      <c r="AH20" s="1009"/>
      <c r="AI20" s="780"/>
      <c r="AJ20" s="780"/>
      <c r="AK20" s="1243"/>
      <c r="AL20" s="1009"/>
      <c r="AN20" s="1009"/>
      <c r="AP20" s="962"/>
      <c r="AQ20" s="962"/>
    </row>
    <row r="21" spans="1:43" ht="12" customHeight="1">
      <c r="A21" s="66"/>
      <c r="B21" s="8558"/>
      <c r="C21" s="8558"/>
      <c r="D21" s="8558"/>
      <c r="E21" s="8558"/>
      <c r="F21" s="8558"/>
      <c r="G21" s="8559"/>
      <c r="H21" s="8541"/>
      <c r="I21" s="8542"/>
      <c r="J21" s="8543"/>
      <c r="K21" s="8543"/>
      <c r="L21" s="8544"/>
      <c r="M21" s="8576"/>
      <c r="N21" s="8577"/>
      <c r="O21" s="8578"/>
      <c r="P21" s="4480"/>
      <c r="Q21" s="8565"/>
      <c r="R21" s="8570"/>
      <c r="S21" s="8571"/>
      <c r="T21" s="8550"/>
      <c r="U21" s="8573"/>
      <c r="V21" s="8566"/>
      <c r="W21" s="8567"/>
      <c r="X21" s="1170"/>
      <c r="Y21" s="1170"/>
      <c r="Z21" s="1170"/>
      <c r="AC21" s="1845"/>
      <c r="AD21" s="1846"/>
      <c r="AE21" s="1846"/>
      <c r="AF21" s="1846"/>
      <c r="AG21" s="1846"/>
      <c r="AH21" s="1846"/>
      <c r="AI21" s="1247"/>
      <c r="AJ21" s="1247"/>
      <c r="AK21" s="1248"/>
      <c r="AL21" s="1009"/>
      <c r="AN21" s="1009"/>
      <c r="AP21" s="962"/>
      <c r="AQ21" s="962"/>
    </row>
    <row r="22" spans="1:43" ht="12" customHeight="1">
      <c r="A22" s="66"/>
      <c r="B22" s="8555"/>
      <c r="C22" s="8556"/>
      <c r="D22" s="8556"/>
      <c r="E22" s="8556"/>
      <c r="F22" s="8556"/>
      <c r="G22" s="8557"/>
      <c r="H22" s="8560"/>
      <c r="I22" s="8561"/>
      <c r="J22" s="8562"/>
      <c r="K22" s="8562"/>
      <c r="L22" s="8563"/>
      <c r="M22" s="4477"/>
      <c r="N22" s="4478"/>
      <c r="O22" s="4479"/>
      <c r="P22" s="4479"/>
      <c r="Q22" s="8564"/>
      <c r="R22" s="8568" t="s">
        <v>608</v>
      </c>
      <c r="S22" s="8569"/>
      <c r="T22" s="8549" t="str">
        <f>IF(AND(OR(B22&lt;&gt;"",V23&lt;&gt;""),Q22=""),"X","")</f>
        <v/>
      </c>
      <c r="U22" s="8572" t="s">
        <v>609</v>
      </c>
      <c r="V22" s="5027"/>
      <c r="W22" s="5028"/>
      <c r="X22" s="1170"/>
      <c r="Y22" s="1170"/>
      <c r="Z22" s="1170"/>
    </row>
    <row r="23" spans="1:43" ht="12" customHeight="1">
      <c r="A23" s="66"/>
      <c r="B23" s="8558"/>
      <c r="C23" s="8558"/>
      <c r="D23" s="8558"/>
      <c r="E23" s="8558"/>
      <c r="F23" s="8558"/>
      <c r="G23" s="8559"/>
      <c r="H23" s="8541"/>
      <c r="I23" s="8542"/>
      <c r="J23" s="8543"/>
      <c r="K23" s="8543"/>
      <c r="L23" s="8544"/>
      <c r="M23" s="8576"/>
      <c r="N23" s="8577"/>
      <c r="O23" s="8578"/>
      <c r="P23" s="4480"/>
      <c r="Q23" s="8565"/>
      <c r="R23" s="8570"/>
      <c r="S23" s="8571"/>
      <c r="T23" s="8550"/>
      <c r="U23" s="8573"/>
      <c r="V23" s="8566"/>
      <c r="W23" s="8567"/>
      <c r="X23" s="1170"/>
      <c r="Y23" s="1170"/>
      <c r="Z23" s="1170"/>
      <c r="AE23" s="1249"/>
    </row>
    <row r="24" spans="1:43" ht="6.75" customHeight="1" thickBot="1">
      <c r="A24" s="66"/>
      <c r="B24" s="111"/>
      <c r="C24" s="111"/>
      <c r="D24" s="111"/>
      <c r="E24" s="111"/>
      <c r="F24" s="111"/>
      <c r="G24" s="111"/>
      <c r="H24" s="111"/>
      <c r="I24" s="111"/>
      <c r="J24" s="111"/>
      <c r="K24" s="111"/>
      <c r="L24" s="111"/>
      <c r="M24" s="111"/>
      <c r="N24" s="111"/>
      <c r="O24" s="111"/>
      <c r="P24" s="111"/>
      <c r="Q24" s="111"/>
      <c r="R24" s="111"/>
      <c r="S24" s="111"/>
      <c r="T24" s="111"/>
      <c r="U24" s="111"/>
      <c r="V24" s="111"/>
      <c r="W24" s="111"/>
      <c r="X24" s="1170"/>
      <c r="Y24" s="1170"/>
      <c r="Z24" s="1170"/>
      <c r="AE24" s="8489" t="s">
        <v>3503</v>
      </c>
      <c r="AF24" s="8489"/>
    </row>
    <row r="25" spans="1:43" ht="13.5" customHeight="1" thickTop="1" thickBot="1">
      <c r="A25" s="66"/>
      <c r="B25" s="111"/>
      <c r="C25" s="111"/>
      <c r="D25" s="111"/>
      <c r="E25" s="111"/>
      <c r="F25" s="111"/>
      <c r="G25" s="8608" t="s">
        <v>3504</v>
      </c>
      <c r="H25" s="8609"/>
      <c r="I25" s="8609"/>
      <c r="J25" s="8610"/>
      <c r="K25" s="111"/>
      <c r="L25" s="5126" t="s">
        <v>609</v>
      </c>
      <c r="M25" s="820"/>
      <c r="N25" s="111" t="s">
        <v>3505</v>
      </c>
      <c r="O25" s="111"/>
      <c r="P25" s="111"/>
      <c r="Q25" s="111"/>
      <c r="R25" s="111"/>
      <c r="S25" s="111"/>
      <c r="T25" s="111"/>
      <c r="U25" s="111"/>
      <c r="V25" s="111"/>
      <c r="W25" s="111"/>
      <c r="X25" s="1170"/>
      <c r="Y25" s="1170"/>
      <c r="Z25" s="1170"/>
      <c r="AE25" s="8490"/>
      <c r="AF25" s="8490"/>
    </row>
    <row r="26" spans="1:43" ht="6.75" customHeight="1" thickBot="1">
      <c r="A26" s="66"/>
      <c r="B26" s="111"/>
      <c r="C26" s="111"/>
      <c r="D26" s="111"/>
      <c r="E26" s="111"/>
      <c r="F26" s="111"/>
      <c r="G26" s="8611"/>
      <c r="H26" s="6751"/>
      <c r="I26" s="6751"/>
      <c r="J26" s="8612"/>
      <c r="K26" s="1181"/>
      <c r="L26" s="1182"/>
      <c r="M26" s="316"/>
      <c r="N26" s="111"/>
      <c r="O26" s="111"/>
      <c r="P26" s="111"/>
      <c r="Q26" s="111"/>
      <c r="R26" s="111"/>
      <c r="S26" s="111"/>
      <c r="T26" s="111"/>
      <c r="U26" s="111"/>
      <c r="V26" s="111"/>
      <c r="W26" s="111"/>
      <c r="X26" s="1170"/>
      <c r="Y26" s="1170"/>
      <c r="Z26" s="1170"/>
      <c r="AE26" s="8491" t="s">
        <v>3506</v>
      </c>
      <c r="AF26" s="8492"/>
      <c r="AG26" s="8493"/>
    </row>
    <row r="27" spans="1:43" ht="12.75" customHeight="1" thickBot="1">
      <c r="A27" s="66"/>
      <c r="B27" s="111"/>
      <c r="C27" s="111"/>
      <c r="D27" s="111"/>
      <c r="E27" s="111"/>
      <c r="F27" s="111"/>
      <c r="G27" s="8613" t="s">
        <v>3507</v>
      </c>
      <c r="H27" s="6466"/>
      <c r="I27" s="6466"/>
      <c r="J27" s="8614"/>
      <c r="K27" s="111"/>
      <c r="L27" s="5126" t="s">
        <v>608</v>
      </c>
      <c r="M27" s="2069"/>
      <c r="N27" s="699" t="s">
        <v>3508</v>
      </c>
      <c r="O27" s="111"/>
      <c r="P27" s="111"/>
      <c r="Q27" s="111"/>
      <c r="R27" s="111"/>
      <c r="S27" s="111"/>
      <c r="T27" s="111"/>
      <c r="U27" s="111"/>
      <c r="V27" s="111"/>
      <c r="W27" s="111"/>
      <c r="X27" s="1170"/>
      <c r="Y27" s="1170"/>
      <c r="Z27" s="1170"/>
      <c r="AE27" s="8494"/>
      <c r="AF27" s="8495"/>
      <c r="AG27" s="8496"/>
      <c r="AI27" s="5205" t="s">
        <v>605</v>
      </c>
      <c r="AJ27" s="550"/>
      <c r="AK27" s="5205" t="s">
        <v>606</v>
      </c>
    </row>
    <row r="28" spans="1:43" ht="6.75" customHeight="1" thickBot="1">
      <c r="A28" s="66"/>
      <c r="B28" s="111"/>
      <c r="C28" s="111"/>
      <c r="D28" s="111"/>
      <c r="E28" s="111"/>
      <c r="F28" s="111"/>
      <c r="G28" s="1183"/>
      <c r="H28" s="775"/>
      <c r="I28" s="775"/>
      <c r="J28" s="1184"/>
      <c r="K28" s="8598" t="str">
        <f>IF(AND(M25="",M27=""),"Check one.",IF(AND(M25&lt;&gt;"",M27&lt;&gt;""),"Check only one.",""))</f>
        <v>Check one.</v>
      </c>
      <c r="L28" s="8599"/>
      <c r="M28" s="111"/>
      <c r="N28" s="1185"/>
      <c r="O28" s="111"/>
      <c r="P28" s="111"/>
      <c r="Q28" s="111"/>
      <c r="R28" s="111"/>
      <c r="S28" s="111"/>
      <c r="T28" s="111"/>
      <c r="U28" s="111"/>
      <c r="V28" s="111"/>
      <c r="W28" s="111"/>
      <c r="X28" s="1170"/>
      <c r="Y28" s="1170"/>
      <c r="Z28" s="1170"/>
      <c r="AE28" s="8513"/>
      <c r="AF28" s="8514"/>
      <c r="AG28" s="8515"/>
      <c r="AI28" s="780"/>
      <c r="AJ28" s="780"/>
      <c r="AK28" s="780"/>
      <c r="AM28" s="3010"/>
      <c r="AO28" s="3010"/>
    </row>
    <row r="29" spans="1:43" ht="6.75" customHeight="1" thickTop="1">
      <c r="A29" s="66"/>
      <c r="B29" s="111"/>
      <c r="C29" s="111"/>
      <c r="D29" s="111"/>
      <c r="E29" s="111"/>
      <c r="F29" s="111"/>
      <c r="G29" s="111"/>
      <c r="H29" s="111"/>
      <c r="I29" s="111"/>
      <c r="J29" s="111"/>
      <c r="K29" s="8599"/>
      <c r="L29" s="8599"/>
      <c r="M29" s="111"/>
      <c r="N29" s="111"/>
      <c r="O29" s="111"/>
      <c r="P29" s="111"/>
      <c r="Q29" s="111"/>
      <c r="R29" s="111"/>
      <c r="S29" s="111"/>
      <c r="T29" s="111"/>
      <c r="U29" s="111"/>
      <c r="V29" s="111"/>
      <c r="W29" s="111"/>
      <c r="X29" s="1170"/>
      <c r="Y29" s="1170"/>
      <c r="Z29" s="1170"/>
      <c r="AA29" s="2320"/>
      <c r="AE29" s="8491" t="s">
        <v>3509</v>
      </c>
      <c r="AF29" s="8492"/>
      <c r="AG29" s="8493"/>
      <c r="AI29" s="780"/>
      <c r="AJ29" s="780"/>
      <c r="AK29" s="780"/>
      <c r="AM29" s="3010"/>
      <c r="AO29" s="3010"/>
    </row>
    <row r="30" spans="1:43" ht="15.75">
      <c r="A30" s="66"/>
      <c r="B30" s="3753" t="s">
        <v>5670</v>
      </c>
      <c r="C30" s="222"/>
      <c r="D30" s="3015"/>
      <c r="E30" s="699"/>
      <c r="F30" s="699"/>
      <c r="G30" s="699"/>
      <c r="H30" s="111"/>
      <c r="I30" s="111"/>
      <c r="J30" s="111"/>
      <c r="K30" s="111"/>
      <c r="L30" s="111"/>
      <c r="M30" s="111"/>
      <c r="N30" s="111"/>
      <c r="O30" s="111"/>
      <c r="P30" s="111"/>
      <c r="Q30" s="111"/>
      <c r="R30" s="111"/>
      <c r="S30" s="111"/>
      <c r="T30" s="111"/>
      <c r="U30" s="111"/>
      <c r="V30" s="111"/>
      <c r="W30" s="111"/>
      <c r="X30" s="1170"/>
      <c r="Y30" s="1170"/>
      <c r="Z30" s="1170"/>
      <c r="AA30" s="187"/>
      <c r="AE30" s="8494"/>
      <c r="AF30" s="8495"/>
      <c r="AG30" s="8496"/>
      <c r="AI30" s="5206">
        <f>W2_Wages_You</f>
        <v>0</v>
      </c>
      <c r="AJ30" s="780"/>
      <c r="AK30" s="5206">
        <f>W2_Wages_Spouse</f>
        <v>0</v>
      </c>
      <c r="AM30" s="3010"/>
      <c r="AO30" s="3010"/>
    </row>
    <row r="31" spans="1:43" ht="14.25">
      <c r="A31" s="66"/>
      <c r="B31" s="3007" t="str">
        <f>"Schedule H (Form 1040). If you incurred care expenses in "&amp;TaxYear&amp;" but didn’t pay them until "&amp;TaxYear+1&amp;", or if you prepaid in "&amp;TaxYear&amp;" for care to be"</f>
        <v>Schedule H (Form 1040). If you incurred care expenses in 2023 but didn’t pay them until 2024, or if you prepaid in 2023 for care to be</v>
      </c>
      <c r="C31" s="699"/>
      <c r="D31" s="699"/>
      <c r="E31" s="699"/>
      <c r="F31" s="699"/>
      <c r="G31" s="699"/>
      <c r="H31" s="111"/>
      <c r="I31" s="111"/>
      <c r="J31" s="111"/>
      <c r="K31" s="111"/>
      <c r="L31" s="111"/>
      <c r="M31" s="111"/>
      <c r="N31" s="111"/>
      <c r="O31" s="111"/>
      <c r="P31" s="111"/>
      <c r="Q31" s="111"/>
      <c r="R31" s="111"/>
      <c r="S31" s="111"/>
      <c r="T31" s="111"/>
      <c r="U31" s="111"/>
      <c r="V31" s="111"/>
      <c r="W31" s="111"/>
      <c r="X31" s="1170"/>
      <c r="Y31" s="1170"/>
      <c r="Z31" s="1170"/>
      <c r="AA31" s="187"/>
      <c r="AE31" s="5207"/>
      <c r="AF31" s="3203"/>
      <c r="AG31" s="5208"/>
      <c r="AI31" s="780"/>
      <c r="AJ31" s="780"/>
      <c r="AK31" s="780"/>
      <c r="AM31" s="3010"/>
      <c r="AO31" s="3010"/>
    </row>
    <row r="32" spans="1:43" ht="14.25">
      <c r="A32" s="66"/>
      <c r="B32" s="6016" t="str">
        <f>"provided in "&amp;TaxYear+1&amp;", don’t include these expenses in column (d) of line 2 for "&amp;TaxYear&amp;". See the instructions."</f>
        <v>provided in 2024, don’t include these expenses in column (d) of line 2 for 2023. See the instructions.</v>
      </c>
      <c r="C32" s="1186"/>
      <c r="D32" s="1186"/>
      <c r="E32" s="1186"/>
      <c r="F32" s="1186"/>
      <c r="G32" s="1186"/>
      <c r="H32" s="16"/>
      <c r="I32" s="16"/>
      <c r="J32" s="16"/>
      <c r="K32" s="16"/>
      <c r="L32" s="16"/>
      <c r="M32" s="16"/>
      <c r="N32" s="16"/>
      <c r="O32" s="16"/>
      <c r="P32" s="16"/>
      <c r="Q32" s="16"/>
      <c r="R32" s="16"/>
      <c r="S32" s="16"/>
      <c r="T32" s="16"/>
      <c r="U32" s="16"/>
      <c r="V32" s="16"/>
      <c r="W32" s="111"/>
      <c r="X32" s="1170"/>
      <c r="Y32" s="1170"/>
      <c r="Z32" s="1170"/>
      <c r="AA32" s="187"/>
      <c r="AE32" s="8497" t="s">
        <v>3510</v>
      </c>
      <c r="AF32" s="8498"/>
      <c r="AG32" s="8499"/>
      <c r="AI32" s="780"/>
      <c r="AJ32" s="780"/>
      <c r="AK32" s="780"/>
      <c r="AM32" s="3010"/>
      <c r="AO32" s="3010"/>
    </row>
    <row r="33" spans="1:42" ht="17.25" customHeight="1">
      <c r="A33" s="66"/>
      <c r="B33" s="3839" t="s">
        <v>982</v>
      </c>
      <c r="C33" s="1215" t="s">
        <v>3511</v>
      </c>
      <c r="D33" s="5693"/>
      <c r="E33" s="5693"/>
      <c r="F33" s="5693"/>
      <c r="G33" s="1187"/>
      <c r="H33" s="1187"/>
      <c r="I33" s="1187"/>
      <c r="J33" s="1187"/>
      <c r="K33" s="1187"/>
      <c r="L33" s="1187"/>
      <c r="M33" s="1774" t="str">
        <f>IF(AND(File_Marr_Sep&lt;&gt;"",$AD18="",$AD$19=""),"Indicate eligibility above and right.",IF(AND(File_Marr_Sep&lt;&gt;"",$AD$19&lt;&gt;"",Y33=""),"You cannot take the credit.",""))</f>
        <v/>
      </c>
      <c r="N33" s="1187"/>
      <c r="O33" s="1187"/>
      <c r="P33" s="1187"/>
      <c r="Q33" s="1187"/>
      <c r="R33" s="1187"/>
      <c r="S33" s="1187"/>
      <c r="T33" s="1187"/>
      <c r="U33" s="1187"/>
      <c r="V33" s="1187"/>
      <c r="W33" s="1187"/>
      <c r="X33" s="1170"/>
      <c r="Y33" s="2321"/>
      <c r="Z33" s="1170"/>
      <c r="AA33" s="2320" t="str">
        <f>IF(AND(File_Marr_Sep&lt;&gt;"",$AD$19&lt;&gt;""),"Hide note.","")</f>
        <v/>
      </c>
      <c r="AE33" s="8507" t="s">
        <v>3512</v>
      </c>
      <c r="AF33" s="8595"/>
      <c r="AG33" s="8596"/>
      <c r="AH33" s="5209" t="s">
        <v>905</v>
      </c>
      <c r="AI33" s="5206">
        <f>F2555_Line43_You</f>
        <v>0</v>
      </c>
      <c r="AJ33" s="1017" t="s">
        <v>3513</v>
      </c>
      <c r="AK33" s="5206">
        <f>F2555_Line43_Sp</f>
        <v>0</v>
      </c>
      <c r="AL33" s="5210" t="s">
        <v>906</v>
      </c>
      <c r="AM33" s="3010"/>
      <c r="AN33" s="5210"/>
      <c r="AO33" s="3010"/>
    </row>
    <row r="34" spans="1:42" ht="15">
      <c r="A34" s="66"/>
      <c r="B34" s="5138">
        <v>2</v>
      </c>
      <c r="C34" s="1186" t="s">
        <v>3514</v>
      </c>
      <c r="D34" s="16"/>
      <c r="E34" s="16"/>
      <c r="F34" s="16"/>
      <c r="G34" s="16"/>
      <c r="H34" s="16"/>
      <c r="I34" s="16"/>
      <c r="J34" s="16"/>
      <c r="K34" s="16"/>
      <c r="L34" s="16"/>
      <c r="M34" s="16"/>
      <c r="N34" s="16"/>
      <c r="O34" s="16"/>
      <c r="P34" s="16"/>
      <c r="Q34" s="16"/>
      <c r="R34" s="16"/>
      <c r="S34" s="16"/>
      <c r="T34" s="16"/>
      <c r="U34" s="16"/>
      <c r="V34" s="1202"/>
      <c r="W34" s="1856" t="str">
        <f>IF(AD38&lt;&gt;"","X","")</f>
        <v/>
      </c>
      <c r="X34" s="1170"/>
      <c r="Y34" s="1170"/>
      <c r="Z34" s="1170"/>
      <c r="AA34" s="2320"/>
      <c r="AE34" s="8597"/>
      <c r="AF34" s="8595"/>
      <c r="AG34" s="8596"/>
      <c r="AI34" s="780"/>
      <c r="AJ34" s="780"/>
      <c r="AK34" s="780"/>
      <c r="AM34" s="3010"/>
      <c r="AO34" s="3010"/>
    </row>
    <row r="35" spans="1:42" ht="12.75" customHeight="1">
      <c r="A35" s="66"/>
      <c r="B35" s="111"/>
      <c r="C35" s="111"/>
      <c r="D35" s="111"/>
      <c r="E35" s="111"/>
      <c r="F35" s="8589" t="s">
        <v>3515</v>
      </c>
      <c r="G35" s="8589"/>
      <c r="H35" s="8589"/>
      <c r="I35" s="111"/>
      <c r="J35" s="111"/>
      <c r="K35" s="7277" t="s">
        <v>5671</v>
      </c>
      <c r="L35" s="8579"/>
      <c r="M35" s="8580"/>
      <c r="N35" s="7277" t="s">
        <v>3517</v>
      </c>
      <c r="O35" s="8579"/>
      <c r="P35" s="8579"/>
      <c r="Q35" s="8579"/>
      <c r="R35" s="8579"/>
      <c r="S35" s="8580"/>
      <c r="T35" s="8591" t="s">
        <v>3518</v>
      </c>
      <c r="U35" s="8592"/>
      <c r="V35" s="8592"/>
      <c r="W35" s="8592"/>
      <c r="X35" s="1170"/>
      <c r="Y35" s="1170"/>
      <c r="Z35" s="1170"/>
      <c r="AE35" s="1843"/>
      <c r="AF35" s="1009"/>
      <c r="AG35" s="1844"/>
      <c r="AI35" s="780"/>
      <c r="AJ35" s="780"/>
      <c r="AK35" s="780"/>
      <c r="AM35" s="3010"/>
      <c r="AO35" s="3010"/>
    </row>
    <row r="36" spans="1:42" ht="12" customHeight="1">
      <c r="A36" s="66"/>
      <c r="B36" s="111"/>
      <c r="C36" s="1188"/>
      <c r="D36" s="1188"/>
      <c r="E36" s="1188"/>
      <c r="F36" s="8590"/>
      <c r="G36" s="8590"/>
      <c r="H36" s="8590"/>
      <c r="I36" s="111"/>
      <c r="J36" s="20"/>
      <c r="K36" s="8522"/>
      <c r="L36" s="8523"/>
      <c r="M36" s="8524"/>
      <c r="N36" s="8522"/>
      <c r="O36" s="8523"/>
      <c r="P36" s="8523"/>
      <c r="Q36" s="8523"/>
      <c r="R36" s="8523"/>
      <c r="S36" s="8524"/>
      <c r="T36" s="8593" t="str">
        <f>"incurred and paid in "&amp;TaxYear&amp;" for"</f>
        <v>incurred and paid in 2023 for</v>
      </c>
      <c r="U36" s="8594"/>
      <c r="V36" s="8594"/>
      <c r="W36" s="8594"/>
      <c r="X36" s="1170"/>
      <c r="Y36" s="1170"/>
      <c r="Z36" s="1170"/>
      <c r="AE36" s="1843" t="s">
        <v>3519</v>
      </c>
      <c r="AF36" s="1009"/>
      <c r="AG36" s="1844"/>
      <c r="AH36" s="8500" t="s">
        <v>905</v>
      </c>
      <c r="AI36" s="8501">
        <f>SchSE_Clergy_CEI_You</f>
        <v>0</v>
      </c>
      <c r="AJ36" s="8502" t="s">
        <v>3513</v>
      </c>
      <c r="AK36" s="8501">
        <f>SchSE_Clergy_CEI_Sp</f>
        <v>0</v>
      </c>
      <c r="AL36" s="8503" t="s">
        <v>906</v>
      </c>
      <c r="AM36" s="2694" t="s">
        <v>873</v>
      </c>
      <c r="AN36" s="8503"/>
      <c r="AO36" s="2694" t="s">
        <v>877</v>
      </c>
    </row>
    <row r="37" spans="1:42" ht="10.5" customHeight="1" thickBot="1">
      <c r="A37" s="66"/>
      <c r="B37" s="16"/>
      <c r="C37" s="1179" t="s">
        <v>3520</v>
      </c>
      <c r="D37" s="1179"/>
      <c r="E37" s="1179"/>
      <c r="F37" s="1179"/>
      <c r="G37" s="16"/>
      <c r="H37" s="5040" t="s">
        <v>3521</v>
      </c>
      <c r="I37" s="16"/>
      <c r="J37" s="115"/>
      <c r="K37" s="8525"/>
      <c r="L37" s="8526"/>
      <c r="M37" s="8527"/>
      <c r="N37" s="8525"/>
      <c r="O37" s="8526"/>
      <c r="P37" s="8526"/>
      <c r="Q37" s="8526"/>
      <c r="R37" s="8526"/>
      <c r="S37" s="8527"/>
      <c r="T37" s="8535" t="s">
        <v>3522</v>
      </c>
      <c r="U37" s="8536"/>
      <c r="V37" s="8536"/>
      <c r="W37" s="8536"/>
      <c r="X37" s="1170"/>
      <c r="Y37" s="1170"/>
      <c r="Z37" s="1170"/>
      <c r="AE37" s="3404" t="s">
        <v>3523</v>
      </c>
      <c r="AF37" s="780"/>
      <c r="AG37" s="1243"/>
      <c r="AH37" s="8500"/>
      <c r="AI37" s="8501"/>
      <c r="AJ37" s="8502"/>
      <c r="AK37" s="8501"/>
      <c r="AL37" s="8503"/>
      <c r="AM37" s="2694" t="s">
        <v>867</v>
      </c>
      <c r="AN37" s="8503"/>
      <c r="AO37" s="2694" t="s">
        <v>867</v>
      </c>
    </row>
    <row r="38" spans="1:42" ht="24" customHeight="1" thickBot="1">
      <c r="A38" s="66"/>
      <c r="B38" s="8687"/>
      <c r="C38" s="8687"/>
      <c r="D38" s="8687"/>
      <c r="E38" s="8687"/>
      <c r="F38" s="8687"/>
      <c r="G38" s="8678"/>
      <c r="H38" s="8679"/>
      <c r="I38" s="8679"/>
      <c r="J38" s="8680"/>
      <c r="K38" s="8681"/>
      <c r="L38" s="8682"/>
      <c r="M38" s="8683"/>
      <c r="N38" s="5041"/>
      <c r="O38" s="5041"/>
      <c r="P38" s="5043"/>
      <c r="Q38" s="5041"/>
      <c r="R38" s="5041"/>
      <c r="S38" s="5042"/>
      <c r="T38" s="8511"/>
      <c r="U38" s="8512"/>
      <c r="V38" s="8512"/>
      <c r="W38" s="8512"/>
      <c r="X38" s="1170">
        <f>IF(T38&lt;&gt;"",1,0)</f>
        <v>0</v>
      </c>
      <c r="Y38" s="1170"/>
      <c r="Z38" s="1170"/>
      <c r="AA38" s="1652"/>
      <c r="AE38" s="4523" t="s">
        <v>3524</v>
      </c>
      <c r="AF38" s="780"/>
      <c r="AG38" s="1243"/>
      <c r="AH38" s="5211"/>
      <c r="AI38" s="5212">
        <f>IF(AM38&lt;&gt;"",ROUND(AM38,0),SUM(AI30,-AI33,-AI36))</f>
        <v>0</v>
      </c>
      <c r="AJ38" s="1247"/>
      <c r="AK38" s="5212">
        <f>IF(AO38&lt;&gt;"",ROUND(AO38,0),SUM(AK30,-AK33,-AK36))</f>
        <v>0</v>
      </c>
      <c r="AL38" s="5203"/>
      <c r="AM38" s="5213"/>
      <c r="AN38" s="5203"/>
      <c r="AO38" s="5213"/>
    </row>
    <row r="39" spans="1:42" ht="24" customHeight="1">
      <c r="A39" s="66"/>
      <c r="B39" s="8687"/>
      <c r="C39" s="8687"/>
      <c r="D39" s="8687"/>
      <c r="E39" s="8687"/>
      <c r="F39" s="8687"/>
      <c r="G39" s="8678"/>
      <c r="H39" s="8679"/>
      <c r="I39" s="8679"/>
      <c r="J39" s="8680"/>
      <c r="K39" s="8681"/>
      <c r="L39" s="8682"/>
      <c r="M39" s="8683"/>
      <c r="N39" s="5041"/>
      <c r="O39" s="5041"/>
      <c r="P39" s="5043"/>
      <c r="Q39" s="5041"/>
      <c r="R39" s="5041"/>
      <c r="S39" s="5042"/>
      <c r="T39" s="8511"/>
      <c r="U39" s="8512"/>
      <c r="V39" s="8512"/>
      <c r="W39" s="8512"/>
      <c r="X39" s="1170">
        <f>IF(T39&lt;&gt;"",1,0)</f>
        <v>0</v>
      </c>
      <c r="Y39" s="4518">
        <f>SUM(X38:X40,X156:X166)</f>
        <v>0</v>
      </c>
      <c r="Z39" s="1170"/>
      <c r="AA39" s="4516" t="s">
        <v>3525</v>
      </c>
      <c r="AE39" s="3405" t="s">
        <v>3526</v>
      </c>
      <c r="AF39" s="1240"/>
      <c r="AG39" s="1241"/>
      <c r="AI39" s="5206">
        <f>SUM(SchSE_Line3_You1,SchSE_Line3_You2)</f>
        <v>0</v>
      </c>
      <c r="AJ39" s="780"/>
      <c r="AK39" s="5206">
        <f>SUM(SchSE_Line3_Sp1,SchSE_Line3_Sp2)</f>
        <v>0</v>
      </c>
      <c r="AM39" s="3010"/>
      <c r="AO39" s="3010"/>
    </row>
    <row r="40" spans="1:42" ht="24" customHeight="1">
      <c r="A40" s="66"/>
      <c r="B40" s="8687"/>
      <c r="C40" s="8687"/>
      <c r="D40" s="8687"/>
      <c r="E40" s="8687"/>
      <c r="F40" s="8687"/>
      <c r="G40" s="8678"/>
      <c r="H40" s="8679"/>
      <c r="I40" s="8679"/>
      <c r="J40" s="8680"/>
      <c r="K40" s="8681"/>
      <c r="L40" s="8682"/>
      <c r="M40" s="8683"/>
      <c r="N40" s="5041"/>
      <c r="O40" s="5041"/>
      <c r="P40" s="5043"/>
      <c r="Q40" s="5041"/>
      <c r="R40" s="5041"/>
      <c r="S40" s="5042"/>
      <c r="T40" s="8511"/>
      <c r="U40" s="8512"/>
      <c r="V40" s="8512"/>
      <c r="W40" s="8512"/>
      <c r="X40" s="1170">
        <f>IF(T40&lt;&gt;"",1,0)</f>
        <v>0</v>
      </c>
      <c r="Y40" s="1170"/>
      <c r="Z40" s="4517" t="s">
        <v>3527</v>
      </c>
      <c r="AA40" s="4516"/>
      <c r="AE40" s="3404" t="s">
        <v>3528</v>
      </c>
      <c r="AF40" s="780"/>
      <c r="AG40" s="1243"/>
      <c r="AH40" s="5209" t="s">
        <v>905</v>
      </c>
      <c r="AI40" s="5206">
        <f>SchSE_Deduction_You</f>
        <v>0</v>
      </c>
      <c r="AJ40" s="1017" t="s">
        <v>3513</v>
      </c>
      <c r="AK40" s="5206">
        <f>SchSE_Deduction_Sp</f>
        <v>0</v>
      </c>
      <c r="AL40" s="5210" t="s">
        <v>906</v>
      </c>
      <c r="AM40" s="3010"/>
      <c r="AN40" s="5210"/>
      <c r="AO40" s="3010"/>
    </row>
    <row r="41" spans="1:42" ht="15.75" thickBot="1">
      <c r="A41" s="66"/>
      <c r="B41" s="5133">
        <v>3</v>
      </c>
      <c r="C41" s="699" t="s">
        <v>5867</v>
      </c>
      <c r="D41" s="699"/>
      <c r="E41" s="699"/>
      <c r="F41" s="699"/>
      <c r="G41" s="111"/>
      <c r="H41" s="111"/>
      <c r="I41" s="111"/>
      <c r="J41" s="168" t="s">
        <v>3529</v>
      </c>
      <c r="K41" s="699" t="str">
        <f>"enter more than "&amp;TEXT(AB41,"$0,000")&amp;" for one qualifying person"</f>
        <v>enter more than $3,000 for one qualifying person</v>
      </c>
      <c r="L41" s="111"/>
      <c r="M41" s="111"/>
      <c r="N41" s="1865"/>
      <c r="O41" s="1865"/>
      <c r="P41" s="1865"/>
      <c r="Q41" s="1865"/>
      <c r="R41" s="1865"/>
      <c r="S41" s="1865"/>
      <c r="T41" s="1865"/>
      <c r="U41" s="1189"/>
      <c r="V41" s="8623">
        <f>ROUND(SUM(T38:W40,T156:W166),0)</f>
        <v>0</v>
      </c>
      <c r="W41" s="8624"/>
      <c r="X41" s="1170">
        <f>SUM(X38:X40,X156:X166)</f>
        <v>0</v>
      </c>
      <c r="Y41" s="1170"/>
      <c r="Z41" s="1170"/>
      <c r="AA41" s="550" t="s">
        <v>867</v>
      </c>
      <c r="AB41" s="4524">
        <v>3000</v>
      </c>
      <c r="AE41" s="1843" t="s">
        <v>3530</v>
      </c>
      <c r="AF41" s="780"/>
      <c r="AG41" s="1243"/>
      <c r="AI41" s="780"/>
      <c r="AJ41" s="780"/>
      <c r="AK41" s="780"/>
      <c r="AM41" s="3010"/>
      <c r="AO41" s="3010"/>
    </row>
    <row r="42" spans="1:42" ht="15.75" thickBot="1">
      <c r="A42" s="66"/>
      <c r="B42" s="5137"/>
      <c r="C42" s="682" t="str">
        <f>"or "&amp;TEXT(AB42,"$0,000")&amp;" for two or more persons.  If you completed Part III, enter the amount from line 31"</f>
        <v>or $6,000 for two or more persons.  If you completed Part III, enter the amount from line 31</v>
      </c>
      <c r="D42" s="699"/>
      <c r="E42" s="699"/>
      <c r="F42" s="699"/>
      <c r="G42" s="111"/>
      <c r="H42" s="111"/>
      <c r="I42" s="111"/>
      <c r="J42" s="111"/>
      <c r="K42" s="111"/>
      <c r="L42" s="111"/>
      <c r="M42" s="111"/>
      <c r="N42" s="111"/>
      <c r="O42" s="111"/>
      <c r="P42" s="111"/>
      <c r="Q42" s="124"/>
      <c r="R42" s="1865"/>
      <c r="S42" s="111"/>
      <c r="T42" s="6017" t="s">
        <v>789</v>
      </c>
      <c r="U42" s="5140">
        <f>B41</f>
        <v>3</v>
      </c>
      <c r="V42" s="8631" t="str">
        <f>IF(AA42&lt;&gt;"",ROUND(AA42,0),IF(OR(AB19,K28&lt;&gt;""),"",IF(AND(M25&lt;&gt;"",M27=""),MIN(V41,AB43),V116)))</f>
        <v/>
      </c>
      <c r="W42" s="8632"/>
      <c r="X42" s="1170"/>
      <c r="Y42" s="1170"/>
      <c r="Z42" s="1170"/>
      <c r="AA42" s="1388"/>
      <c r="AB42" s="4524">
        <v>6000</v>
      </c>
      <c r="AE42" s="1843" t="s">
        <v>3531</v>
      </c>
      <c r="AF42" s="780"/>
      <c r="AG42" s="1243"/>
      <c r="AI42" s="780"/>
      <c r="AJ42" s="780"/>
      <c r="AK42" s="780"/>
      <c r="AM42" s="3010"/>
      <c r="AO42" s="3010"/>
    </row>
    <row r="43" spans="1:42" ht="15.75" customHeight="1" thickBot="1">
      <c r="A43" s="66"/>
      <c r="B43" s="5133">
        <v>4</v>
      </c>
      <c r="C43" s="699" t="s">
        <v>3532</v>
      </c>
      <c r="D43" s="699"/>
      <c r="E43" s="699"/>
      <c r="F43" s="699"/>
      <c r="G43" s="111"/>
      <c r="H43" s="111"/>
      <c r="I43" s="111"/>
      <c r="J43" s="111"/>
      <c r="K43" s="111"/>
      <c r="L43" s="111"/>
      <c r="M43" s="111"/>
      <c r="N43" s="111"/>
      <c r="O43" s="111"/>
      <c r="P43" s="111"/>
      <c r="Q43" s="124" t="s">
        <v>714</v>
      </c>
      <c r="R43" s="1865"/>
      <c r="S43" s="111"/>
      <c r="T43" s="1191" t="s">
        <v>714</v>
      </c>
      <c r="U43" s="5140">
        <f>B43</f>
        <v>4</v>
      </c>
      <c r="V43" s="8631" t="str">
        <f>IF(AA43&lt;&gt;"",ROUND(AA43,0),IF(OR(AB19,AND(M25="",M27="")),"",AI75))</f>
        <v/>
      </c>
      <c r="W43" s="8632"/>
      <c r="X43" s="1170"/>
      <c r="Y43" s="1170"/>
      <c r="Z43" s="1170"/>
      <c r="AA43" s="1388"/>
      <c r="AB43" s="4524">
        <f>IF(Y39&gt;1,AB42,AB41)</f>
        <v>3000</v>
      </c>
      <c r="AE43" s="1843" t="s">
        <v>3533</v>
      </c>
      <c r="AF43" s="780"/>
      <c r="AG43" s="1243"/>
      <c r="AI43" s="780"/>
      <c r="AJ43" s="780"/>
      <c r="AK43" s="780"/>
      <c r="AM43" s="3010"/>
      <c r="AO43" s="3010"/>
    </row>
    <row r="44" spans="1:42" ht="15" customHeight="1" thickBot="1">
      <c r="A44" s="66"/>
      <c r="B44" s="5133">
        <v>5</v>
      </c>
      <c r="C44" s="699" t="s">
        <v>3534</v>
      </c>
      <c r="D44" s="699"/>
      <c r="E44" s="699"/>
      <c r="F44" s="699"/>
      <c r="G44" s="111"/>
      <c r="H44" s="111"/>
      <c r="I44" s="111"/>
      <c r="J44" s="111"/>
      <c r="K44" s="111"/>
      <c r="L44" s="111"/>
      <c r="M44" s="111"/>
      <c r="N44" s="111"/>
      <c r="O44" s="111"/>
      <c r="P44" s="111"/>
      <c r="Q44" s="111"/>
      <c r="R44" s="1865"/>
      <c r="S44" s="111"/>
      <c r="T44" s="111"/>
      <c r="U44" s="5142"/>
      <c r="V44" s="1192"/>
      <c r="W44" s="1199"/>
      <c r="X44" s="1170"/>
      <c r="Y44" s="1170"/>
      <c r="Z44" s="1170"/>
      <c r="AA44" s="3010"/>
      <c r="AE44" s="1843" t="s">
        <v>3535</v>
      </c>
      <c r="AF44" s="780"/>
      <c r="AG44" s="1243"/>
      <c r="AI44" s="780"/>
      <c r="AJ44" s="780"/>
      <c r="AK44" s="780"/>
      <c r="AM44" s="3010"/>
      <c r="AO44" s="3010"/>
    </row>
    <row r="45" spans="1:42" ht="14.25" customHeight="1" thickBot="1">
      <c r="A45" s="66"/>
      <c r="B45" s="5137"/>
      <c r="C45" s="682" t="s">
        <v>3536</v>
      </c>
      <c r="D45" s="1193"/>
      <c r="E45" s="1193"/>
      <c r="F45" s="1193"/>
      <c r="G45" s="111"/>
      <c r="H45" s="111"/>
      <c r="I45" s="111"/>
      <c r="J45" s="111"/>
      <c r="K45" s="111"/>
      <c r="L45" s="111"/>
      <c r="M45" s="111"/>
      <c r="N45" s="111"/>
      <c r="O45" s="111"/>
      <c r="P45" s="111"/>
      <c r="Q45" s="124"/>
      <c r="R45" s="1865"/>
      <c r="S45" s="111"/>
      <c r="T45" s="124" t="s">
        <v>654</v>
      </c>
      <c r="U45" s="5140">
        <f>B44</f>
        <v>5</v>
      </c>
      <c r="V45" s="8631" t="str">
        <f>IF(AA45&lt;&gt;"",ROUND(AA45,0),IF(K28&lt;&gt;"","",IF(File_Marr_Joint&lt;&gt;"",AK75,"")))</f>
        <v/>
      </c>
      <c r="W45" s="8632"/>
      <c r="X45" s="1170"/>
      <c r="Y45" s="1170"/>
      <c r="Z45" s="1170"/>
      <c r="AA45" s="1388"/>
      <c r="AE45" s="1843"/>
      <c r="AF45" s="780"/>
      <c r="AG45" s="1243"/>
      <c r="AI45" s="780"/>
      <c r="AJ45" s="780"/>
      <c r="AK45" s="780"/>
      <c r="AM45" s="3010"/>
      <c r="AO45" s="3010"/>
    </row>
    <row r="46" spans="1:42" ht="14.25" customHeight="1" thickBot="1">
      <c r="A46" s="66"/>
      <c r="B46" s="5133">
        <v>6</v>
      </c>
      <c r="C46" s="1444" t="s">
        <v>3537</v>
      </c>
      <c r="D46" s="133"/>
      <c r="E46" s="133"/>
      <c r="F46" s="133"/>
      <c r="G46" s="111"/>
      <c r="H46" s="111"/>
      <c r="I46" s="111"/>
      <c r="J46" s="111"/>
      <c r="K46" s="111"/>
      <c r="L46" s="111"/>
      <c r="M46" s="111"/>
      <c r="N46" s="111"/>
      <c r="O46" s="111"/>
      <c r="P46" s="111"/>
      <c r="Q46" s="124"/>
      <c r="R46" s="1865"/>
      <c r="S46" s="111"/>
      <c r="T46" s="1191" t="s">
        <v>642</v>
      </c>
      <c r="U46" s="5140">
        <f>B46</f>
        <v>6</v>
      </c>
      <c r="V46" s="8631" t="str">
        <f>IF(AA46&lt;&gt;"",ROUND(AA46,0),IF(OR(AB19,K28&lt;&gt;""),"",MAX(0,MIN(V42,V43,V45))))</f>
        <v/>
      </c>
      <c r="W46" s="8632"/>
      <c r="X46" s="1170"/>
      <c r="Y46" s="1170"/>
      <c r="Z46" s="1170"/>
      <c r="AA46" s="1388"/>
      <c r="AE46" s="1843" t="s">
        <v>3538</v>
      </c>
      <c r="AF46" s="780"/>
      <c r="AG46" s="1243"/>
      <c r="AI46" s="780"/>
      <c r="AJ46" s="780"/>
      <c r="AK46" s="780"/>
      <c r="AM46" s="3010"/>
      <c r="AO46" s="3010"/>
    </row>
    <row r="47" spans="1:42" ht="19.5" customHeight="1" thickBot="1">
      <c r="A47" s="66"/>
      <c r="B47" s="5133">
        <v>7</v>
      </c>
      <c r="C47" s="699" t="s">
        <v>3539</v>
      </c>
      <c r="D47" s="111"/>
      <c r="E47" s="111"/>
      <c r="F47" s="111"/>
      <c r="G47" s="111"/>
      <c r="H47" s="111"/>
      <c r="I47" s="111"/>
      <c r="J47" s="111"/>
      <c r="K47" s="111"/>
      <c r="L47" s="124"/>
      <c r="M47" s="5140">
        <f>B47</f>
        <v>7</v>
      </c>
      <c r="N47" s="8631" t="str">
        <f>IF(AA47&lt;&gt;"",ROUND(AA47,0),IF(OR(AB19,AND(M25="",M27="")),"",Adj_Gross_Inc))</f>
        <v/>
      </c>
      <c r="O47" s="8632"/>
      <c r="P47" s="8632"/>
      <c r="Q47" s="8632"/>
      <c r="R47" s="8632"/>
      <c r="S47" s="8632"/>
      <c r="T47" s="8652"/>
      <c r="U47" s="1190"/>
      <c r="V47" s="722"/>
      <c r="W47" s="112"/>
      <c r="X47" s="1170"/>
      <c r="Y47" s="1170"/>
      <c r="Z47" s="1170"/>
      <c r="AA47" s="1388"/>
      <c r="AE47" s="3404" t="s">
        <v>3540</v>
      </c>
      <c r="AF47" s="780"/>
      <c r="AG47" s="1243"/>
      <c r="AI47" s="780"/>
      <c r="AJ47" s="780"/>
      <c r="AK47" s="1245"/>
      <c r="AM47" s="2694" t="s">
        <v>873</v>
      </c>
      <c r="AO47" s="2694" t="s">
        <v>877</v>
      </c>
      <c r="AP47" s="407"/>
    </row>
    <row r="48" spans="1:42" ht="14.25" customHeight="1" thickBot="1">
      <c r="A48" s="66"/>
      <c r="B48" s="5133">
        <v>8</v>
      </c>
      <c r="C48" s="222" t="s">
        <v>3541</v>
      </c>
      <c r="D48" s="111"/>
      <c r="E48" s="111"/>
      <c r="F48" s="111"/>
      <c r="G48" s="111"/>
      <c r="H48" s="111"/>
      <c r="I48" s="111"/>
      <c r="J48" s="111"/>
      <c r="K48" s="111"/>
      <c r="L48" s="111"/>
      <c r="M48" s="111"/>
      <c r="N48" s="111"/>
      <c r="O48" s="111"/>
      <c r="P48" s="111"/>
      <c r="Q48" s="111"/>
      <c r="R48" s="111"/>
      <c r="S48" s="111"/>
      <c r="T48" s="111"/>
      <c r="U48" s="1190"/>
      <c r="V48" s="8666">
        <f>IF('Sch. SE'!AJ7,SUM('Sch. SE'!X21,-SE_Deduct),0)</f>
        <v>0</v>
      </c>
      <c r="W48" s="8667"/>
      <c r="X48" s="1170"/>
      <c r="Y48" s="1170"/>
      <c r="Z48" s="1170"/>
      <c r="AA48" s="3010"/>
      <c r="AB48" s="4524">
        <v>125000</v>
      </c>
      <c r="AE48" s="1843" t="s">
        <v>3542</v>
      </c>
      <c r="AF48" s="780"/>
      <c r="AG48" s="1243"/>
      <c r="AI48" s="780"/>
      <c r="AJ48" s="780"/>
      <c r="AK48" s="780"/>
      <c r="AM48" s="2694" t="s">
        <v>867</v>
      </c>
      <c r="AO48" s="2694" t="s">
        <v>867</v>
      </c>
    </row>
    <row r="49" spans="1:43" ht="18" customHeight="1" thickBot="1">
      <c r="A49" s="66"/>
      <c r="B49" s="3026"/>
      <c r="C49" s="21" t="s">
        <v>3543</v>
      </c>
      <c r="D49" s="111"/>
      <c r="E49" s="111"/>
      <c r="F49" s="111"/>
      <c r="G49" s="111"/>
      <c r="H49" s="21" t="s">
        <v>3543</v>
      </c>
      <c r="I49" s="111"/>
      <c r="J49" s="111"/>
      <c r="K49" s="111"/>
      <c r="L49" s="21" t="s">
        <v>3543</v>
      </c>
      <c r="M49" s="111"/>
      <c r="N49" s="111"/>
      <c r="O49" s="111"/>
      <c r="P49" s="111"/>
      <c r="Q49" s="111"/>
      <c r="R49" s="111"/>
      <c r="S49" s="111"/>
      <c r="T49" s="111"/>
      <c r="U49" s="1190"/>
      <c r="V49" s="1864"/>
      <c r="W49" s="5017"/>
      <c r="X49" s="1170"/>
      <c r="Y49" s="1170"/>
      <c r="Z49" s="1170"/>
      <c r="AA49" s="3010"/>
      <c r="AB49" s="4524"/>
      <c r="AD49" s="407"/>
      <c r="AE49" s="3406" t="s">
        <v>3544</v>
      </c>
      <c r="AF49" s="1247"/>
      <c r="AG49" s="1248"/>
      <c r="AH49" s="5214"/>
      <c r="AI49" s="5206">
        <f>IF(AM49&lt;&gt;"",ROUND(AM49,0),SUM(AI39,-AI40))</f>
        <v>0</v>
      </c>
      <c r="AJ49" s="1247"/>
      <c r="AK49" s="5206">
        <f>IF(AO49&lt;&gt;"",ROUND(AO49,0),SUM(AK39,-AK40))</f>
        <v>0</v>
      </c>
      <c r="AL49" s="5203"/>
      <c r="AM49" s="5213"/>
      <c r="AN49" s="5203"/>
      <c r="AO49" s="5213"/>
    </row>
    <row r="50" spans="1:43" ht="14.25" customHeight="1">
      <c r="A50" s="66"/>
      <c r="B50" s="3026"/>
      <c r="C50" s="111"/>
      <c r="D50" s="111"/>
      <c r="E50" s="111"/>
      <c r="F50" s="21" t="s">
        <v>3545</v>
      </c>
      <c r="G50" s="8672" t="s">
        <v>3546</v>
      </c>
      <c r="H50" s="111"/>
      <c r="I50" s="111"/>
      <c r="J50" s="21" t="s">
        <v>3545</v>
      </c>
      <c r="K50" s="8672" t="s">
        <v>3546</v>
      </c>
      <c r="L50" s="8674" t="s">
        <v>3547</v>
      </c>
      <c r="M50" s="111"/>
      <c r="N50" s="21" t="s">
        <v>3545</v>
      </c>
      <c r="O50" s="111"/>
      <c r="P50" s="21" t="s">
        <v>3548</v>
      </c>
      <c r="Q50" s="111"/>
      <c r="R50" s="111"/>
      <c r="S50" s="111"/>
      <c r="T50" s="111"/>
      <c r="U50" s="1190"/>
      <c r="V50" s="1864"/>
      <c r="W50" s="5017"/>
      <c r="X50" s="1170"/>
      <c r="Y50" s="1170"/>
      <c r="Z50" s="1170"/>
      <c r="AA50" s="3010"/>
      <c r="AB50" s="4524"/>
      <c r="AE50" s="3405" t="s">
        <v>3549</v>
      </c>
      <c r="AF50" s="1240"/>
      <c r="AG50" s="1241"/>
      <c r="AI50" s="5215"/>
      <c r="AJ50" s="1240"/>
      <c r="AK50" s="5215"/>
      <c r="AM50" s="3010"/>
      <c r="AO50" s="3010"/>
    </row>
    <row r="51" spans="1:43" ht="14.25" customHeight="1" thickBot="1">
      <c r="A51" s="66"/>
      <c r="B51" s="3026"/>
      <c r="C51" s="8671" t="s">
        <v>3547</v>
      </c>
      <c r="D51" s="8671"/>
      <c r="E51" s="16"/>
      <c r="F51" s="15" t="s">
        <v>3550</v>
      </c>
      <c r="G51" s="8673"/>
      <c r="H51" s="8671" t="s">
        <v>3547</v>
      </c>
      <c r="I51" s="8671"/>
      <c r="J51" s="15" t="s">
        <v>3550</v>
      </c>
      <c r="K51" s="8673"/>
      <c r="L51" s="8675"/>
      <c r="M51" s="16"/>
      <c r="N51" s="15" t="s">
        <v>3550</v>
      </c>
      <c r="O51" s="16"/>
      <c r="P51" s="15" t="s">
        <v>3551</v>
      </c>
      <c r="Q51" s="16"/>
      <c r="R51" s="16"/>
      <c r="S51" s="16"/>
      <c r="T51" s="111"/>
      <c r="U51" s="1190"/>
      <c r="V51" s="1864"/>
      <c r="W51" s="5017"/>
      <c r="X51" s="1170"/>
      <c r="Y51" s="1170"/>
      <c r="Z51" s="1170"/>
      <c r="AA51" s="3010"/>
      <c r="AB51" s="4524"/>
      <c r="AE51" s="1843" t="s">
        <v>3552</v>
      </c>
      <c r="AF51" s="780"/>
      <c r="AG51" s="1243"/>
      <c r="AI51" s="780"/>
      <c r="AJ51" s="780"/>
      <c r="AK51" s="780"/>
      <c r="AM51" s="550" t="s">
        <v>867</v>
      </c>
      <c r="AO51" s="550" t="s">
        <v>867</v>
      </c>
    </row>
    <row r="52" spans="1:43" ht="14.25" customHeight="1" thickBot="1">
      <c r="A52" s="66"/>
      <c r="B52" s="3026"/>
      <c r="C52" s="8676">
        <v>0</v>
      </c>
      <c r="D52" s="8676"/>
      <c r="E52" s="5030" t="s">
        <v>3553</v>
      </c>
      <c r="F52" s="5029">
        <v>15000</v>
      </c>
      <c r="G52" s="5130">
        <v>0.35</v>
      </c>
      <c r="H52" s="5127">
        <v>25000</v>
      </c>
      <c r="I52" s="5031" t="s">
        <v>3553</v>
      </c>
      <c r="J52" s="5032">
        <v>27000</v>
      </c>
      <c r="K52" s="5132">
        <v>0.28999999999999998</v>
      </c>
      <c r="L52" s="5127">
        <v>37000</v>
      </c>
      <c r="M52" s="5031" t="s">
        <v>3553</v>
      </c>
      <c r="N52" s="8677">
        <v>39000</v>
      </c>
      <c r="O52" s="8677"/>
      <c r="P52" s="5035">
        <v>0.23</v>
      </c>
      <c r="Q52" s="1041"/>
      <c r="R52" s="1041"/>
      <c r="S52" s="1041"/>
      <c r="T52" s="111"/>
      <c r="U52" s="1190"/>
      <c r="V52" s="1864"/>
      <c r="W52" s="5017"/>
      <c r="X52" s="1170"/>
      <c r="Y52" s="1170"/>
      <c r="Z52" s="1170"/>
      <c r="AA52" s="550" t="s">
        <v>867</v>
      </c>
      <c r="AB52" s="4524"/>
      <c r="AE52" s="3406" t="s">
        <v>3554</v>
      </c>
      <c r="AF52" s="1247"/>
      <c r="AG52" s="1248"/>
      <c r="AH52" s="5211"/>
      <c r="AI52" s="5206">
        <f>IF(AM52&lt;&gt;"",ROUND(AM52,0),SchC_You_StatEmp_Inc)</f>
        <v>0</v>
      </c>
      <c r="AJ52" s="1247"/>
      <c r="AK52" s="5206">
        <f>IF(AO52&lt;&gt;"",ROUND(AO52,0),SchC_Sp_StatEmp_Inc)</f>
        <v>0</v>
      </c>
      <c r="AL52" s="5203"/>
      <c r="AM52" s="5213"/>
      <c r="AN52" s="5203"/>
      <c r="AO52" s="5213"/>
    </row>
    <row r="53" spans="1:43" ht="14.25" customHeight="1" thickBot="1">
      <c r="A53" s="66"/>
      <c r="B53" s="3026"/>
      <c r="C53" s="8655">
        <v>15000</v>
      </c>
      <c r="D53" s="8655"/>
      <c r="E53" s="5030" t="s">
        <v>3553</v>
      </c>
      <c r="F53" s="5029">
        <v>17000</v>
      </c>
      <c r="G53" s="5130">
        <v>0.34</v>
      </c>
      <c r="H53" s="5128">
        <v>27000</v>
      </c>
      <c r="I53" s="5030" t="s">
        <v>3553</v>
      </c>
      <c r="J53" s="5029">
        <v>29000</v>
      </c>
      <c r="K53" s="5130">
        <v>0.28000000000000003</v>
      </c>
      <c r="L53" s="5128">
        <v>39000</v>
      </c>
      <c r="M53" s="5030" t="s">
        <v>3553</v>
      </c>
      <c r="N53" s="8656">
        <v>41000</v>
      </c>
      <c r="O53" s="8656"/>
      <c r="P53" s="5036">
        <v>0.22</v>
      </c>
      <c r="Q53" s="5036"/>
      <c r="R53" s="111"/>
      <c r="S53" s="111"/>
      <c r="T53" s="111"/>
      <c r="U53" s="5140">
        <v>8</v>
      </c>
      <c r="V53" s="4508" t="s">
        <v>3555</v>
      </c>
      <c r="W53" s="4507" t="str">
        <f>IF(AA53&lt;&gt;"",MIN(G52,AA53),IF(OR(N47="",N47=0),"",IF(N47-1&gt;L52,LOOKUP(N47-1,L52:L55,P52:P55),IF(N47-1&gt;H52,LOOKUP(N47-1,H52:H57,K52:K57),LOOKUP(N47-1,C52:D57,G52:G57)))))</f>
        <v/>
      </c>
      <c r="X53" s="1170"/>
      <c r="Y53" s="1170"/>
      <c r="Z53" s="1170"/>
      <c r="AA53" s="2319"/>
      <c r="AB53" s="4524"/>
      <c r="AE53" s="1250" t="s">
        <v>3556</v>
      </c>
      <c r="AF53" s="1240"/>
      <c r="AG53" s="1241"/>
      <c r="AI53" s="780"/>
      <c r="AJ53" s="780"/>
      <c r="AK53" s="780"/>
      <c r="AM53" s="3010"/>
      <c r="AO53" s="3010"/>
    </row>
    <row r="54" spans="1:43" ht="14.25" customHeight="1">
      <c r="A54" s="66"/>
      <c r="B54" s="699"/>
      <c r="C54" s="8655">
        <v>17000</v>
      </c>
      <c r="D54" s="8655"/>
      <c r="E54" s="5030" t="s">
        <v>3553</v>
      </c>
      <c r="F54" s="5029">
        <v>19000</v>
      </c>
      <c r="G54" s="5130">
        <v>0.33</v>
      </c>
      <c r="H54" s="5128">
        <v>29000</v>
      </c>
      <c r="I54" s="5030" t="s">
        <v>3553</v>
      </c>
      <c r="J54" s="5029">
        <v>31000</v>
      </c>
      <c r="K54" s="5130">
        <v>0.27</v>
      </c>
      <c r="L54" s="5128">
        <v>41000</v>
      </c>
      <c r="M54" s="5030" t="s">
        <v>3553</v>
      </c>
      <c r="N54" s="8656">
        <v>43000</v>
      </c>
      <c r="O54" s="8656"/>
      <c r="P54" s="5036">
        <v>0.21</v>
      </c>
      <c r="Q54" s="111"/>
      <c r="R54" s="111"/>
      <c r="S54" s="111"/>
      <c r="T54" s="111"/>
      <c r="U54" s="1190"/>
      <c r="V54" s="722"/>
      <c r="W54" s="112"/>
      <c r="X54" s="1170"/>
      <c r="Y54" s="1170"/>
      <c r="Z54" s="1170"/>
      <c r="AA54" s="3010"/>
      <c r="AB54" s="4525">
        <v>0.5</v>
      </c>
      <c r="AE54" s="1242" t="s">
        <v>3557</v>
      </c>
      <c r="AF54" s="780"/>
      <c r="AG54" s="1243"/>
      <c r="AI54" s="5206">
        <f>W2_NonTaxCombatPay_You</f>
        <v>0</v>
      </c>
      <c r="AJ54" s="780"/>
      <c r="AK54" s="5206">
        <f>W2_NonTaxCombatPay_Sp</f>
        <v>0</v>
      </c>
      <c r="AM54" s="3010"/>
      <c r="AO54" s="3010"/>
    </row>
    <row r="55" spans="1:43" ht="14.25" customHeight="1">
      <c r="A55" s="66"/>
      <c r="B55" s="699"/>
      <c r="C55" s="8655">
        <v>19000</v>
      </c>
      <c r="D55" s="8655"/>
      <c r="E55" s="5030" t="s">
        <v>3553</v>
      </c>
      <c r="F55" s="5029">
        <v>21000</v>
      </c>
      <c r="G55" s="5130">
        <v>0.32</v>
      </c>
      <c r="H55" s="5128">
        <v>31000</v>
      </c>
      <c r="I55" s="5030" t="s">
        <v>3553</v>
      </c>
      <c r="J55" s="5029">
        <v>33000</v>
      </c>
      <c r="K55" s="5130">
        <v>0.26</v>
      </c>
      <c r="L55" s="5128">
        <v>43000</v>
      </c>
      <c r="M55" s="5030" t="s">
        <v>3553</v>
      </c>
      <c r="N55" s="8670" t="s">
        <v>3558</v>
      </c>
      <c r="O55" s="8656"/>
      <c r="P55" s="5036">
        <v>0.2</v>
      </c>
      <c r="Q55" s="111"/>
      <c r="R55" s="111"/>
      <c r="S55" s="111"/>
      <c r="T55" s="111"/>
      <c r="U55" s="1190"/>
      <c r="V55" s="722"/>
      <c r="W55" s="112"/>
      <c r="X55" s="1170"/>
      <c r="Y55" s="1170"/>
      <c r="Z55" s="1170"/>
      <c r="AA55" s="3010"/>
      <c r="AB55" s="4524">
        <v>438000</v>
      </c>
      <c r="AC55" s="962"/>
      <c r="AE55" s="1242" t="s">
        <v>3559</v>
      </c>
      <c r="AF55" s="780"/>
      <c r="AG55" s="1243"/>
      <c r="AI55" s="780"/>
      <c r="AJ55" s="780"/>
      <c r="AK55" s="780"/>
      <c r="AM55" s="3010"/>
      <c r="AO55" s="3010"/>
    </row>
    <row r="56" spans="1:43" ht="14.25" customHeight="1">
      <c r="A56" s="66"/>
      <c r="B56" s="699"/>
      <c r="C56" s="8655">
        <v>21000</v>
      </c>
      <c r="D56" s="8655"/>
      <c r="E56" s="5030" t="s">
        <v>3553</v>
      </c>
      <c r="F56" s="5029">
        <v>23000</v>
      </c>
      <c r="G56" s="5130">
        <v>0.31</v>
      </c>
      <c r="H56" s="5128">
        <v>33000</v>
      </c>
      <c r="I56" s="5030" t="s">
        <v>3553</v>
      </c>
      <c r="J56" s="5029">
        <v>35000</v>
      </c>
      <c r="K56" s="5130">
        <v>0.25</v>
      </c>
      <c r="L56" s="5128"/>
      <c r="M56" s="5030"/>
      <c r="N56" s="8656"/>
      <c r="O56" s="8656"/>
      <c r="P56" s="5036"/>
      <c r="Q56" s="111"/>
      <c r="R56" s="111"/>
      <c r="S56" s="111"/>
      <c r="T56" s="111"/>
      <c r="U56" s="1190"/>
      <c r="V56" s="722"/>
      <c r="W56" s="112"/>
      <c r="X56" s="1170"/>
      <c r="Y56" s="1170"/>
      <c r="Z56" s="1170"/>
      <c r="AA56" s="3010"/>
      <c r="AB56" s="4481"/>
      <c r="AC56" s="962"/>
      <c r="AE56" s="1242" t="s">
        <v>3560</v>
      </c>
      <c r="AF56" s="780"/>
      <c r="AG56" s="1243"/>
      <c r="AI56" s="780"/>
      <c r="AJ56" s="780"/>
      <c r="AK56" s="780"/>
      <c r="AM56" s="3010"/>
      <c r="AO56" s="3010"/>
    </row>
    <row r="57" spans="1:43" ht="14.25" customHeight="1">
      <c r="A57" s="66"/>
      <c r="B57" s="699"/>
      <c r="C57" s="8688">
        <v>23000</v>
      </c>
      <c r="D57" s="8688"/>
      <c r="E57" s="5033" t="s">
        <v>3553</v>
      </c>
      <c r="F57" s="5034">
        <v>25000</v>
      </c>
      <c r="G57" s="5131">
        <v>0.3</v>
      </c>
      <c r="H57" s="5129">
        <v>35000</v>
      </c>
      <c r="I57" s="5033" t="s">
        <v>3553</v>
      </c>
      <c r="J57" s="5034">
        <v>37000</v>
      </c>
      <c r="K57" s="5131">
        <v>0.24</v>
      </c>
      <c r="L57" s="5129"/>
      <c r="M57" s="5033"/>
      <c r="N57" s="8669"/>
      <c r="O57" s="8669"/>
      <c r="P57" s="5037"/>
      <c r="Q57" s="16"/>
      <c r="R57" s="16"/>
      <c r="S57" s="16"/>
      <c r="T57" s="111"/>
      <c r="U57" s="1190"/>
      <c r="V57" s="722"/>
      <c r="W57" s="112"/>
      <c r="X57" s="1170"/>
      <c r="Y57" s="1170"/>
      <c r="Z57" s="1170"/>
      <c r="AA57" s="3010"/>
      <c r="AB57" s="4481"/>
      <c r="AC57" s="962"/>
      <c r="AE57" s="1244" t="s">
        <v>3561</v>
      </c>
      <c r="AF57" s="1245"/>
      <c r="AG57" s="5047"/>
      <c r="AI57" s="780"/>
      <c r="AJ57" s="780"/>
      <c r="AK57" s="780"/>
      <c r="AM57" s="3010"/>
      <c r="AO57" s="3010"/>
    </row>
    <row r="58" spans="1:43" ht="15" customHeight="1">
      <c r="A58" s="66"/>
      <c r="B58" s="5136" t="s">
        <v>439</v>
      </c>
      <c r="C58" s="3015" t="s">
        <v>3562</v>
      </c>
      <c r="D58" s="699"/>
      <c r="E58" s="699"/>
      <c r="F58" s="699"/>
      <c r="G58" s="111"/>
      <c r="H58" s="111"/>
      <c r="I58" s="111"/>
      <c r="J58" s="111"/>
      <c r="K58" s="111"/>
      <c r="L58" s="111"/>
      <c r="M58" s="111"/>
      <c r="N58" s="111"/>
      <c r="O58" s="111"/>
      <c r="P58" s="111"/>
      <c r="Q58" s="111"/>
      <c r="R58" s="111"/>
      <c r="S58" s="111"/>
      <c r="T58" s="954" t="s">
        <v>2162</v>
      </c>
      <c r="U58" s="5140" t="s">
        <v>439</v>
      </c>
      <c r="V58" s="8631" t="str">
        <f>IF(OR(AB19,AND(M25="",M27=""),N47=0),"",ROUND(V46*W53,0))</f>
        <v/>
      </c>
      <c r="W58" s="8632"/>
      <c r="X58" s="1170"/>
      <c r="Y58" s="1170"/>
      <c r="Z58" s="1170"/>
      <c r="AA58" s="3010"/>
      <c r="AC58" s="962"/>
      <c r="AE58" s="1242" t="s">
        <v>3563</v>
      </c>
      <c r="AF58" s="780"/>
      <c r="AG58" s="1243"/>
      <c r="AH58" s="780"/>
      <c r="AI58" s="780"/>
      <c r="AJ58" s="780"/>
      <c r="AK58" s="780"/>
      <c r="AM58" s="3010"/>
      <c r="AO58" s="3010"/>
    </row>
    <row r="59" spans="1:43" ht="15" customHeight="1" thickBot="1">
      <c r="A59" s="66"/>
      <c r="B59" s="5136" t="s">
        <v>3564</v>
      </c>
      <c r="C59" s="222" t="str">
        <f>"If you paid "&amp;TaxYear-1&amp;" expenses in "&amp;TaxYear&amp;", complete Worksheet A in the instructions. Enter the amount"</f>
        <v>If you paid 2022 expenses in 2023, complete Worksheet A in the instructions. Enter the amount</v>
      </c>
      <c r="D59" s="699"/>
      <c r="E59" s="699"/>
      <c r="F59" s="699"/>
      <c r="G59" s="111"/>
      <c r="H59" s="111"/>
      <c r="I59" s="111"/>
      <c r="J59" s="111"/>
      <c r="K59" s="111"/>
      <c r="L59" s="111"/>
      <c r="M59" s="111"/>
      <c r="N59" s="111"/>
      <c r="O59" s="111"/>
      <c r="P59" s="111"/>
      <c r="Q59" s="111"/>
      <c r="R59" s="111"/>
      <c r="S59" s="111"/>
      <c r="T59" s="111"/>
      <c r="U59" s="4482"/>
      <c r="V59" s="1194"/>
      <c r="W59" s="2679"/>
      <c r="X59" s="1170"/>
      <c r="Y59" s="1170"/>
      <c r="Z59" s="1170"/>
      <c r="AA59" s="3010"/>
      <c r="AC59" s="1773"/>
      <c r="AD59" s="2623"/>
      <c r="AE59" s="1242" t="s">
        <v>3565</v>
      </c>
      <c r="AF59" s="780"/>
      <c r="AG59" s="1243"/>
      <c r="AH59" s="962"/>
      <c r="AI59" s="1009"/>
      <c r="AJ59" s="1009"/>
      <c r="AK59" s="780"/>
      <c r="AM59" s="3010"/>
      <c r="AO59" s="3010"/>
    </row>
    <row r="60" spans="1:43" ht="15" customHeight="1" thickBot="1">
      <c r="A60" s="66"/>
      <c r="B60" s="222"/>
      <c r="C60" s="222" t="s">
        <v>5672</v>
      </c>
      <c r="D60" s="699"/>
      <c r="E60" s="699"/>
      <c r="F60" s="699"/>
      <c r="G60" s="111"/>
      <c r="H60" s="111"/>
      <c r="I60" s="111"/>
      <c r="J60" s="111"/>
      <c r="K60" s="111"/>
      <c r="L60" s="111"/>
      <c r="M60" s="130"/>
      <c r="N60" s="130"/>
      <c r="O60" s="130"/>
      <c r="P60" s="130"/>
      <c r="Q60" s="130"/>
      <c r="R60" s="111"/>
      <c r="S60" s="130"/>
      <c r="T60" s="954" t="s">
        <v>699</v>
      </c>
      <c r="U60" s="5140" t="s">
        <v>441</v>
      </c>
      <c r="V60" s="8631" t="str">
        <f>IF(AA60&lt;&gt;"",ROUND(AA60,0),IF(OR(AB19,AND(M25="",M27="")),"",V225))</f>
        <v/>
      </c>
      <c r="W60" s="8632"/>
      <c r="X60" s="1170"/>
      <c r="Y60" s="447"/>
      <c r="Z60" s="447"/>
      <c r="AA60" s="1388"/>
      <c r="AC60" s="1773"/>
      <c r="AD60" s="2623"/>
      <c r="AE60" s="1242" t="s">
        <v>3566</v>
      </c>
      <c r="AF60" s="780"/>
      <c r="AG60" s="1243"/>
      <c r="AH60" s="962"/>
      <c r="AI60" s="1009"/>
      <c r="AJ60" s="1009"/>
      <c r="AK60" s="780"/>
      <c r="AM60" s="3010"/>
      <c r="AO60" s="3010"/>
    </row>
    <row r="61" spans="1:43" ht="15" customHeight="1" thickBot="1">
      <c r="A61" s="66"/>
      <c r="B61" s="5136" t="s">
        <v>3567</v>
      </c>
      <c r="C61" s="3015" t="s">
        <v>3568</v>
      </c>
      <c r="D61" s="111"/>
      <c r="E61" s="111"/>
      <c r="F61" s="111"/>
      <c r="G61" s="111"/>
      <c r="H61" s="111"/>
      <c r="I61" s="111"/>
      <c r="J61" s="111"/>
      <c r="K61" s="111"/>
      <c r="L61" s="111"/>
      <c r="M61" s="130"/>
      <c r="N61" s="130"/>
      <c r="O61" s="130"/>
      <c r="P61" s="130"/>
      <c r="Q61" s="130"/>
      <c r="R61" s="111"/>
      <c r="S61" s="130"/>
      <c r="T61" s="954" t="s">
        <v>670</v>
      </c>
      <c r="U61" s="5140" t="s">
        <v>3569</v>
      </c>
      <c r="V61" s="8631" t="str">
        <f>IF(OR(AB19,AND(M25="",M27="")),"",SUM(V58,V60))</f>
        <v/>
      </c>
      <c r="W61" s="8632"/>
      <c r="X61" s="1170"/>
      <c r="Y61" s="447"/>
      <c r="Z61" s="447"/>
      <c r="AA61" s="3010"/>
      <c r="AB61" s="665"/>
      <c r="AC61" s="1773"/>
      <c r="AD61" s="2623"/>
      <c r="AE61" s="1242" t="s">
        <v>3570</v>
      </c>
      <c r="AF61" s="780"/>
      <c r="AG61" s="1243"/>
      <c r="AI61" s="780"/>
      <c r="AJ61" s="780"/>
      <c r="AK61" s="780"/>
      <c r="AM61" s="3010"/>
      <c r="AO61" s="3010"/>
    </row>
    <row r="62" spans="1:43" ht="15" customHeight="1" thickBot="1">
      <c r="A62" s="66"/>
      <c r="B62" s="5136">
        <v>10</v>
      </c>
      <c r="C62" s="1444" t="s">
        <v>3571</v>
      </c>
      <c r="D62" s="111"/>
      <c r="E62" s="111"/>
      <c r="F62" s="111"/>
      <c r="G62" s="111"/>
      <c r="H62" s="111"/>
      <c r="I62" s="111"/>
      <c r="J62" s="111"/>
      <c r="K62" s="111"/>
      <c r="L62" s="111"/>
      <c r="M62" s="111"/>
      <c r="N62" s="5139">
        <v>10</v>
      </c>
      <c r="O62" s="8631" t="str">
        <f>IF(AA62&lt;&gt;"",ROUND(AA62,0),IF(OR(AB19,AND(M25="",M27="")),"",V177))</f>
        <v/>
      </c>
      <c r="P62" s="8632"/>
      <c r="Q62" s="8632"/>
      <c r="R62" s="8632"/>
      <c r="S62" s="8632"/>
      <c r="T62" s="8652"/>
      <c r="U62" s="1190"/>
      <c r="V62" s="4483"/>
      <c r="W62" s="4484"/>
      <c r="X62" s="1170"/>
      <c r="Y62" s="447"/>
      <c r="Z62" s="447"/>
      <c r="AA62" s="1388"/>
      <c r="AB62" s="665"/>
      <c r="AC62" s="1773"/>
      <c r="AD62" s="2623"/>
      <c r="AE62" s="1242" t="s">
        <v>3572</v>
      </c>
      <c r="AF62" s="780"/>
      <c r="AG62" s="1243"/>
      <c r="AI62" s="780"/>
      <c r="AJ62" s="780"/>
      <c r="AK62" s="780"/>
      <c r="AM62" s="3010"/>
      <c r="AO62" s="3010"/>
    </row>
    <row r="63" spans="1:43" ht="16.5" thickBot="1">
      <c r="A63" s="66"/>
      <c r="B63" s="5136">
        <v>11</v>
      </c>
      <c r="C63" s="5038" t="s">
        <v>5673</v>
      </c>
      <c r="D63" s="21"/>
      <c r="E63" s="21"/>
      <c r="F63" s="21"/>
      <c r="G63" s="111"/>
      <c r="H63" s="111"/>
      <c r="I63" s="111"/>
      <c r="J63" s="111"/>
      <c r="K63" s="699"/>
      <c r="L63" s="699"/>
      <c r="M63" s="111"/>
      <c r="N63" s="111"/>
      <c r="O63" s="111"/>
      <c r="P63" s="111"/>
      <c r="Q63" s="111"/>
      <c r="R63" s="111"/>
      <c r="S63" s="111"/>
      <c r="T63" s="4476"/>
      <c r="U63" s="1178"/>
      <c r="V63" s="2068"/>
      <c r="W63" s="2680"/>
      <c r="X63" s="1170"/>
      <c r="Y63" s="447"/>
      <c r="Z63" s="447"/>
      <c r="AA63" s="3010"/>
      <c r="AC63" s="1773"/>
      <c r="AD63" s="2623"/>
      <c r="AE63" s="1244" t="s">
        <v>3573</v>
      </c>
      <c r="AF63" s="780"/>
      <c r="AG63" s="1243"/>
      <c r="AH63" s="962"/>
      <c r="AI63" s="3165">
        <f>ROUND(AI61,0)</f>
        <v>0</v>
      </c>
      <c r="AJ63" s="1745"/>
      <c r="AK63" s="3165">
        <f>ROUND(AK61,0)</f>
        <v>0</v>
      </c>
      <c r="AM63" s="2694" t="s">
        <v>873</v>
      </c>
      <c r="AO63" s="2694" t="s">
        <v>877</v>
      </c>
    </row>
    <row r="64" spans="1:43" ht="16.5" thickBot="1">
      <c r="A64" s="66"/>
      <c r="B64" s="3028"/>
      <c r="C64" s="4514" t="s">
        <v>3574</v>
      </c>
      <c r="D64" s="1074"/>
      <c r="E64" s="1074"/>
      <c r="F64" s="1074"/>
      <c r="G64" s="126"/>
      <c r="H64" s="126"/>
      <c r="I64" s="126"/>
      <c r="J64" s="126"/>
      <c r="K64" s="126"/>
      <c r="L64" s="126"/>
      <c r="M64" s="126"/>
      <c r="N64" s="126"/>
      <c r="O64" s="126"/>
      <c r="P64" s="126"/>
      <c r="Q64" s="954"/>
      <c r="R64" s="111"/>
      <c r="S64" s="126"/>
      <c r="T64" s="6018" t="s">
        <v>769</v>
      </c>
      <c r="U64" s="6019">
        <f>B63</f>
        <v>11</v>
      </c>
      <c r="V64" s="8629" t="str">
        <f>IF(AA64&lt;&gt;"",ROUND(AA64,0),IF(OR(AB19,AND(M25="",M27="")),"",IF(OR(K28&lt;&gt;"",AB19),0,MIN(F2441_Refundable,O62))))</f>
        <v/>
      </c>
      <c r="W64" s="8630"/>
      <c r="X64" s="1170"/>
      <c r="Y64" s="1170"/>
      <c r="Z64" s="1170"/>
      <c r="AA64" s="1388"/>
      <c r="AC64" s="1773"/>
      <c r="AD64" s="2623"/>
      <c r="AE64" s="1242" t="s">
        <v>3575</v>
      </c>
      <c r="AF64" s="780"/>
      <c r="AG64" s="1243"/>
      <c r="AH64" s="962"/>
      <c r="AI64" s="1009"/>
      <c r="AJ64" s="1009"/>
      <c r="AK64" s="780"/>
      <c r="AL64" s="407"/>
      <c r="AM64" s="2694" t="s">
        <v>867</v>
      </c>
      <c r="AN64" s="407"/>
      <c r="AO64" s="2694" t="s">
        <v>867</v>
      </c>
      <c r="AQ64" s="407"/>
    </row>
    <row r="65" spans="1:58" ht="14.25" customHeight="1" thickBot="1">
      <c r="A65" s="66"/>
      <c r="B65" s="3401" t="s">
        <v>979</v>
      </c>
      <c r="C65" s="1195"/>
      <c r="D65" s="1195"/>
      <c r="E65" s="1195"/>
      <c r="F65" s="1195"/>
      <c r="G65" s="1195"/>
      <c r="H65" s="1195"/>
      <c r="I65" s="1195"/>
      <c r="J65" s="1195"/>
      <c r="K65" s="1195"/>
      <c r="L65" s="1195"/>
      <c r="M65" s="1195"/>
      <c r="N65" s="1196" t="s">
        <v>3576</v>
      </c>
      <c r="O65" s="1195"/>
      <c r="P65" s="1195"/>
      <c r="Q65" s="1195"/>
      <c r="R65" s="1195"/>
      <c r="S65" s="1195"/>
      <c r="T65" s="1195"/>
      <c r="U65" s="1195"/>
      <c r="V65" s="2681"/>
      <c r="W65" s="2681" t="str">
        <f>"Form 2441  ("&amp;TaxYear&amp;")"</f>
        <v>Form 2441  (2023)</v>
      </c>
      <c r="X65" s="1172"/>
      <c r="Y65" s="1172"/>
      <c r="Z65" s="1172"/>
      <c r="AA65" s="3010"/>
      <c r="AB65" s="407"/>
      <c r="AC65" s="1773"/>
      <c r="AD65" s="2623"/>
      <c r="AE65" s="3407" t="s">
        <v>3577</v>
      </c>
      <c r="AF65" s="1247"/>
      <c r="AG65" s="1248"/>
      <c r="AH65" s="5214"/>
      <c r="AI65" s="5206">
        <f>IF(AM65&lt;&gt;"",ROUND(AM65,0),AI54)</f>
        <v>0</v>
      </c>
      <c r="AJ65" s="1247"/>
      <c r="AK65" s="5206">
        <f>IF(AO65&lt;&gt;"",ROUND(AO65,0),AK54)</f>
        <v>0</v>
      </c>
      <c r="AL65" s="5203"/>
      <c r="AM65" s="5213"/>
      <c r="AN65" s="5203"/>
      <c r="AO65" s="5213"/>
    </row>
    <row r="66" spans="1:58" ht="16.5" customHeight="1" thickBot="1">
      <c r="A66" s="66"/>
      <c r="B66" s="1074" t="str">
        <f>"Form 2441 ("&amp;TaxYear&amp;")"</f>
        <v>Form 2441 (2023)</v>
      </c>
      <c r="C66" s="126"/>
      <c r="D66" s="126"/>
      <c r="E66" s="126"/>
      <c r="F66" s="126"/>
      <c r="G66" s="126"/>
      <c r="H66" s="126"/>
      <c r="I66" s="126"/>
      <c r="J66" s="126"/>
      <c r="K66" s="126"/>
      <c r="L66" s="126"/>
      <c r="M66" s="126"/>
      <c r="N66" s="126"/>
      <c r="O66" s="126"/>
      <c r="P66" s="126"/>
      <c r="Q66" s="126"/>
      <c r="R66" s="126"/>
      <c r="S66" s="126"/>
      <c r="T66" s="126"/>
      <c r="U66" s="126"/>
      <c r="V66" s="3402"/>
      <c r="W66" s="3402" t="s">
        <v>981</v>
      </c>
      <c r="X66" s="1170"/>
      <c r="Y66" s="1170"/>
      <c r="Z66" s="1170"/>
      <c r="AA66" s="3010"/>
      <c r="AC66" s="1773"/>
      <c r="AD66" s="2623"/>
      <c r="AE66" s="8504" t="s">
        <v>5690</v>
      </c>
      <c r="AF66" s="8505"/>
      <c r="AG66" s="8506"/>
      <c r="AH66" s="962"/>
      <c r="AI66" s="1009"/>
      <c r="AJ66" s="1009"/>
      <c r="AK66" s="780"/>
      <c r="AM66" s="3010"/>
      <c r="AO66" s="3010"/>
    </row>
    <row r="67" spans="1:58" ht="15.75" customHeight="1">
      <c r="A67" s="66"/>
      <c r="B67" s="3005" t="s">
        <v>2243</v>
      </c>
      <c r="C67" s="1197" t="s">
        <v>3578</v>
      </c>
      <c r="D67" s="1197"/>
      <c r="E67" s="1197"/>
      <c r="F67" s="1197"/>
      <c r="G67" s="113"/>
      <c r="H67" s="113"/>
      <c r="I67" s="113"/>
      <c r="J67" s="113"/>
      <c r="K67" s="113"/>
      <c r="L67" s="1774"/>
      <c r="M67" s="113"/>
      <c r="N67" s="113"/>
      <c r="O67" s="113"/>
      <c r="P67" s="113"/>
      <c r="Q67" s="113"/>
      <c r="R67" s="113"/>
      <c r="S67" s="113"/>
      <c r="T67" s="113"/>
      <c r="U67" s="113"/>
      <c r="V67" s="113"/>
      <c r="W67" s="2684"/>
      <c r="X67" s="1172"/>
      <c r="Y67" s="1172"/>
      <c r="Z67" s="1172"/>
      <c r="AA67" s="3010"/>
      <c r="AC67" s="1773"/>
      <c r="AD67" s="2623"/>
      <c r="AE67" s="8507"/>
      <c r="AF67" s="6277"/>
      <c r="AG67" s="8508"/>
      <c r="AH67" s="962"/>
      <c r="AI67" s="1009"/>
      <c r="AJ67" s="1009"/>
      <c r="AK67" s="780"/>
      <c r="AM67" s="3010"/>
      <c r="AO67" s="3010"/>
    </row>
    <row r="68" spans="1:58" s="407" customFormat="1" ht="16.5" customHeight="1">
      <c r="A68" s="66"/>
      <c r="B68" s="5133">
        <v>12</v>
      </c>
      <c r="C68" s="699" t="s">
        <v>3579</v>
      </c>
      <c r="D68" s="699"/>
      <c r="E68" s="699"/>
      <c r="F68" s="699"/>
      <c r="G68" s="111"/>
      <c r="H68" s="111"/>
      <c r="I68" s="111"/>
      <c r="J68" s="111"/>
      <c r="K68" s="3007"/>
      <c r="L68" s="222"/>
      <c r="M68" s="3014" t="str">
        <f>"you received  for  "&amp;TaxYear&amp;".     "</f>
        <v xml:space="preserve">you received  for  2023.     </v>
      </c>
      <c r="N68" s="3007" t="s">
        <v>3580</v>
      </c>
      <c r="O68" s="111"/>
      <c r="P68" s="111"/>
      <c r="Q68" s="111"/>
      <c r="R68" s="111"/>
      <c r="S68" s="111"/>
      <c r="T68" s="111"/>
      <c r="U68" s="1190"/>
      <c r="V68" s="1198"/>
      <c r="W68" s="112"/>
      <c r="X68" s="1170"/>
      <c r="Y68" s="1170"/>
      <c r="Z68" s="1170"/>
      <c r="AA68" s="3010"/>
      <c r="AB68"/>
      <c r="AC68" s="1773"/>
      <c r="AD68" s="2623"/>
      <c r="AE68" s="8507"/>
      <c r="AF68" s="6277"/>
      <c r="AG68" s="8508"/>
      <c r="AH68" s="962"/>
      <c r="AI68" s="1009"/>
      <c r="AJ68" s="1009"/>
      <c r="AK68" s="780"/>
      <c r="AL68"/>
      <c r="AM68" s="3010"/>
      <c r="AN68"/>
      <c r="AO68" s="3010"/>
      <c r="AP68"/>
      <c r="AQ68"/>
      <c r="AR68" s="2038"/>
      <c r="AS68" s="2038"/>
      <c r="AT68" s="2038"/>
      <c r="AU68" s="2038"/>
      <c r="AV68" s="2038"/>
      <c r="AW68" s="2038"/>
      <c r="AX68" s="2038"/>
      <c r="AY68" s="2038"/>
      <c r="AZ68" s="2038"/>
      <c r="BB68"/>
      <c r="BC68"/>
      <c r="BD68" s="187"/>
      <c r="BE68" s="187"/>
      <c r="BF68"/>
    </row>
    <row r="69" spans="1:58" ht="15.75" customHeight="1">
      <c r="A69" s="441"/>
      <c r="B69" s="3006"/>
      <c r="C69" s="222" t="s">
        <v>3581</v>
      </c>
      <c r="D69" s="699"/>
      <c r="E69" s="699"/>
      <c r="F69" s="699"/>
      <c r="G69" s="111"/>
      <c r="H69" s="111"/>
      <c r="I69" s="111"/>
      <c r="J69" s="111"/>
      <c r="K69" s="111"/>
      <c r="L69" s="111"/>
      <c r="M69" s="111"/>
      <c r="N69" s="111"/>
      <c r="O69" s="111"/>
      <c r="P69" s="111"/>
      <c r="Q69" s="111"/>
      <c r="R69" s="111"/>
      <c r="S69" s="111"/>
      <c r="T69" s="111"/>
      <c r="U69" s="1190"/>
      <c r="V69" s="722"/>
      <c r="W69" s="112"/>
      <c r="X69" s="1170"/>
      <c r="Y69" s="1170"/>
      <c r="Z69" s="1170"/>
      <c r="AA69" s="3010"/>
      <c r="AC69" s="1773"/>
      <c r="AD69" s="2623"/>
      <c r="AE69" s="8507"/>
      <c r="AF69" s="6277"/>
      <c r="AG69" s="8508"/>
      <c r="AH69" s="962"/>
      <c r="AI69" s="1009"/>
      <c r="AJ69" s="1009"/>
      <c r="AK69" s="780"/>
      <c r="AM69" s="3010"/>
      <c r="AO69" s="3010"/>
      <c r="BB69" s="407"/>
      <c r="BC69" s="407"/>
      <c r="BD69" s="1652"/>
      <c r="BE69" s="1652"/>
      <c r="BF69" s="407"/>
    </row>
    <row r="70" spans="1:58" ht="14.25">
      <c r="A70" s="66"/>
      <c r="B70" s="3006"/>
      <c r="C70" s="404" t="s">
        <v>3582</v>
      </c>
      <c r="D70" s="699"/>
      <c r="E70" s="699"/>
      <c r="F70" s="699"/>
      <c r="G70" s="111"/>
      <c r="H70" s="111"/>
      <c r="I70" s="111"/>
      <c r="J70" s="111"/>
      <c r="K70" s="111"/>
      <c r="L70" s="111"/>
      <c r="M70" s="111"/>
      <c r="N70" s="111"/>
      <c r="O70" s="111"/>
      <c r="P70" s="111"/>
      <c r="Q70" s="111"/>
      <c r="R70" s="111"/>
      <c r="S70" s="111"/>
      <c r="T70" s="111"/>
      <c r="U70" s="1190"/>
      <c r="V70" s="722"/>
      <c r="W70" s="112"/>
      <c r="X70" s="1170"/>
      <c r="Y70" s="1170"/>
      <c r="Z70" s="1170"/>
      <c r="AA70" s="3010"/>
      <c r="AC70" s="1773"/>
      <c r="AD70" s="2624"/>
      <c r="AE70" s="8507"/>
      <c r="AF70" s="6277"/>
      <c r="AG70" s="8508"/>
      <c r="AH70" s="962"/>
      <c r="AI70" s="1009"/>
      <c r="AJ70" s="1009"/>
      <c r="AK70" s="780"/>
      <c r="AM70" s="3010"/>
      <c r="AO70" s="3010"/>
    </row>
    <row r="71" spans="1:58" ht="15" thickBot="1">
      <c r="A71" s="66"/>
      <c r="B71" s="3006"/>
      <c r="C71" s="404" t="s">
        <v>5674</v>
      </c>
      <c r="D71" s="699"/>
      <c r="E71" s="699"/>
      <c r="F71" s="699"/>
      <c r="G71" s="111"/>
      <c r="H71" s="111"/>
      <c r="I71" s="111"/>
      <c r="J71" s="111"/>
      <c r="K71" s="111"/>
      <c r="L71" s="111"/>
      <c r="M71" s="111"/>
      <c r="N71" s="111"/>
      <c r="O71" s="111"/>
      <c r="P71" s="111"/>
      <c r="Q71" s="111"/>
      <c r="R71" s="111"/>
      <c r="S71" s="111"/>
      <c r="T71" s="111"/>
      <c r="U71" s="1190"/>
      <c r="V71" s="722"/>
      <c r="W71" s="112"/>
      <c r="X71" s="1170"/>
      <c r="Y71" s="1170"/>
      <c r="Z71" s="1170"/>
      <c r="AA71" s="550" t="s">
        <v>867</v>
      </c>
      <c r="AC71" s="1773"/>
      <c r="AD71" s="2624"/>
      <c r="AE71" s="8507"/>
      <c r="AF71" s="6277"/>
      <c r="AG71" s="8508"/>
      <c r="AH71" s="962"/>
      <c r="AI71" s="1009"/>
      <c r="AJ71" s="1009"/>
      <c r="AK71" s="780"/>
      <c r="AM71" s="3010"/>
      <c r="AO71" s="3010"/>
    </row>
    <row r="72" spans="1:58" ht="15" thickBot="1">
      <c r="A72" s="66"/>
      <c r="B72" s="3006"/>
      <c r="C72" s="222" t="s">
        <v>5675</v>
      </c>
      <c r="D72" s="699"/>
      <c r="E72" s="699"/>
      <c r="F72" s="699"/>
      <c r="G72" s="111"/>
      <c r="H72" s="111"/>
      <c r="I72" s="111"/>
      <c r="J72" s="111"/>
      <c r="K72" s="111"/>
      <c r="L72" s="111"/>
      <c r="M72" s="111"/>
      <c r="N72" s="124" t="s">
        <v>714</v>
      </c>
      <c r="O72" s="111"/>
      <c r="P72" s="111"/>
      <c r="Q72" s="124"/>
      <c r="R72" s="111"/>
      <c r="S72" s="111"/>
      <c r="T72" s="124" t="s">
        <v>714</v>
      </c>
      <c r="U72" s="228">
        <f>B68</f>
        <v>12</v>
      </c>
      <c r="V72" s="8631" t="str">
        <f>IF(AA72&lt;&gt;"",ROUND(AA72,0),IF(OR(M25&lt;&gt;"",M27=""),"",ROUND(DependCareBenefits,0)))</f>
        <v/>
      </c>
      <c r="W72" s="8632"/>
      <c r="X72" s="1170"/>
      <c r="Y72" s="1170"/>
      <c r="Z72" s="1170"/>
      <c r="AA72" s="1388"/>
      <c r="AC72" s="1773"/>
      <c r="AD72" s="2624"/>
      <c r="AE72" s="8507"/>
      <c r="AF72" s="6277"/>
      <c r="AG72" s="8508"/>
      <c r="AH72" s="962"/>
      <c r="AI72" s="1009"/>
      <c r="AJ72" s="1009"/>
      <c r="AK72" s="780"/>
      <c r="AM72" s="3010"/>
      <c r="AO72" s="3010"/>
    </row>
    <row r="73" spans="1:58" ht="18.75" customHeight="1">
      <c r="A73" s="66"/>
      <c r="B73" s="5133">
        <v>13</v>
      </c>
      <c r="C73" s="222" t="str">
        <f>"Enter the amount, if any, you carried over from "&amp;TaxYear-2&amp;" and/or "&amp;TaxYear-1&amp;" used in "&amp;TaxYear&amp;". See instructions"</f>
        <v>Enter the amount, if any, you carried over from 2021 and/or 2022 used in 2023. See instructions</v>
      </c>
      <c r="D73" s="699"/>
      <c r="E73" s="699"/>
      <c r="F73" s="699"/>
      <c r="G73" s="111"/>
      <c r="H73" s="111"/>
      <c r="I73" s="111"/>
      <c r="J73" s="111"/>
      <c r="K73" s="111"/>
      <c r="L73" s="111"/>
      <c r="M73" s="111"/>
      <c r="N73" s="111"/>
      <c r="O73" s="111"/>
      <c r="P73" s="111"/>
      <c r="Q73" s="124"/>
      <c r="R73" s="111"/>
      <c r="S73" s="111"/>
      <c r="T73" s="124" t="s">
        <v>2734</v>
      </c>
      <c r="U73" s="5141" t="s">
        <v>280</v>
      </c>
      <c r="V73" s="8548"/>
      <c r="W73" s="6837"/>
      <c r="X73" s="1170"/>
      <c r="Y73" s="1170"/>
      <c r="Z73" s="1170"/>
      <c r="AA73" s="3010"/>
      <c r="AC73" s="1773"/>
      <c r="AD73" s="1773"/>
      <c r="AE73" s="8507"/>
      <c r="AF73" s="6277"/>
      <c r="AG73" s="8508"/>
      <c r="AI73" s="780"/>
      <c r="AJ73" s="780"/>
      <c r="AK73" s="780"/>
      <c r="AM73" s="2694" t="s">
        <v>873</v>
      </c>
      <c r="AO73" s="2694" t="s">
        <v>877</v>
      </c>
    </row>
    <row r="74" spans="1:58" ht="15.75" thickBot="1">
      <c r="A74" s="66"/>
      <c r="B74" s="5133">
        <v>14</v>
      </c>
      <c r="C74" s="222" t="str">
        <f>"If you forfeited or carried over to "&amp;TaxYear+1&amp;" any of the amounts reported on line 12 or 13, enter the"</f>
        <v>If you forfeited or carried over to 2024 any of the amounts reported on line 12 or 13, enter the</v>
      </c>
      <c r="D74" s="699"/>
      <c r="E74" s="699"/>
      <c r="F74" s="699"/>
      <c r="G74" s="111"/>
      <c r="H74" s="111"/>
      <c r="I74" s="111"/>
      <c r="J74" s="111"/>
      <c r="K74" s="111"/>
      <c r="L74" s="111"/>
      <c r="M74" s="111"/>
      <c r="N74" s="111"/>
      <c r="O74" s="111"/>
      <c r="P74" s="111"/>
      <c r="Q74" s="124"/>
      <c r="R74" s="111"/>
      <c r="S74" s="111"/>
      <c r="T74" s="124"/>
      <c r="U74" s="1190"/>
      <c r="V74" s="8633"/>
      <c r="W74" s="8634"/>
      <c r="X74" s="1170"/>
      <c r="Y74" s="1170"/>
      <c r="Z74" s="1170"/>
      <c r="AA74" s="4521"/>
      <c r="AB74" s="962"/>
      <c r="AC74" s="1773"/>
      <c r="AD74" s="1773"/>
      <c r="AE74" s="8509"/>
      <c r="AF74" s="6280"/>
      <c r="AG74" s="8510"/>
      <c r="AI74" s="780"/>
      <c r="AJ74" s="780"/>
      <c r="AK74" s="780"/>
      <c r="AM74" s="2694" t="s">
        <v>867</v>
      </c>
      <c r="AO74" s="2694" t="s">
        <v>867</v>
      </c>
    </row>
    <row r="75" spans="1:58" ht="13.5" customHeight="1" thickBot="1">
      <c r="A75" s="66"/>
      <c r="B75" s="5133"/>
      <c r="C75" s="222" t="s">
        <v>3583</v>
      </c>
      <c r="D75" s="111"/>
      <c r="E75" s="111"/>
      <c r="F75" s="111"/>
      <c r="G75" s="111"/>
      <c r="H75" s="111"/>
      <c r="I75" s="111"/>
      <c r="J75" s="111"/>
      <c r="K75" s="111"/>
      <c r="L75" s="111"/>
      <c r="M75" s="111"/>
      <c r="N75" s="111"/>
      <c r="O75" s="111"/>
      <c r="P75" s="111"/>
      <c r="Q75" s="124"/>
      <c r="R75" s="111"/>
      <c r="S75" s="111"/>
      <c r="T75" s="124" t="s">
        <v>722</v>
      </c>
      <c r="U75" s="227">
        <v>14</v>
      </c>
      <c r="V75" s="8635" t="str">
        <f>IF(OR(M25&lt;&gt;"",M27=""),"",IF(AA75&lt;0,ROUND(AA75,0),-ROUND(AA75,0)))</f>
        <v/>
      </c>
      <c r="W75" s="6828"/>
      <c r="X75" s="1170"/>
      <c r="Y75" s="1170"/>
      <c r="Z75" s="1170"/>
      <c r="AA75" s="1388"/>
      <c r="AB75" s="962"/>
      <c r="AC75" s="1773"/>
      <c r="AD75" s="1773"/>
      <c r="AE75" s="2624"/>
      <c r="AF75" s="2624"/>
      <c r="AG75" s="5216" t="s">
        <v>3461</v>
      </c>
      <c r="AI75" s="5217">
        <f>IF(AM75&lt;&gt;"",ROUND(AM75,0),SUM(AI38,AI49,AI52,AI65))</f>
        <v>0</v>
      </c>
      <c r="AK75" s="5217">
        <f>IF(AO75&lt;&gt;"",ROUND(AO75,0),SUM(AK38,AK49,AK52,AK65))</f>
        <v>0</v>
      </c>
      <c r="AM75" s="5213"/>
      <c r="AO75" s="5213"/>
    </row>
    <row r="76" spans="1:58" ht="15">
      <c r="A76" s="66"/>
      <c r="B76" s="5134">
        <v>15</v>
      </c>
      <c r="C76" s="404" t="s">
        <v>3584</v>
      </c>
      <c r="D76" s="699"/>
      <c r="E76" s="699"/>
      <c r="F76" s="699"/>
      <c r="G76" s="111"/>
      <c r="H76" s="111"/>
      <c r="I76" s="111"/>
      <c r="J76" s="111"/>
      <c r="K76" s="111"/>
      <c r="L76" s="111"/>
      <c r="M76" s="111"/>
      <c r="N76" s="111"/>
      <c r="O76" s="111"/>
      <c r="P76" s="111"/>
      <c r="Q76" s="124"/>
      <c r="R76" s="111"/>
      <c r="S76" s="111"/>
      <c r="T76" s="124" t="s">
        <v>650</v>
      </c>
      <c r="U76" s="227">
        <f>B76</f>
        <v>15</v>
      </c>
      <c r="V76" s="8631" t="str">
        <f>IF(OR(M25&lt;&gt;"",M27=""),"",SUM(V72,ROUND(V73,0),V75))</f>
        <v/>
      </c>
      <c r="W76" s="8632"/>
      <c r="X76" s="1170"/>
      <c r="Y76" s="1170"/>
      <c r="Z76" s="1170"/>
      <c r="AA76" s="4521"/>
      <c r="AB76" s="962"/>
      <c r="AC76" s="1773"/>
      <c r="AD76" s="1773"/>
      <c r="AE76" s="2624"/>
      <c r="AF76" s="2624"/>
      <c r="AG76" s="5218" t="s">
        <v>3585</v>
      </c>
      <c r="AI76" s="550" t="s">
        <v>873</v>
      </c>
      <c r="AK76" s="550" t="s">
        <v>877</v>
      </c>
      <c r="AM76" s="550" t="s">
        <v>873</v>
      </c>
      <c r="AO76" s="550" t="s">
        <v>877</v>
      </c>
    </row>
    <row r="77" spans="1:58" ht="12.75" customHeight="1">
      <c r="A77" s="66"/>
      <c r="B77" s="5133">
        <v>16</v>
      </c>
      <c r="C77" s="222" t="s">
        <v>3586</v>
      </c>
      <c r="D77" s="111"/>
      <c r="E77" s="111"/>
      <c r="F77" s="111"/>
      <c r="G77" s="111"/>
      <c r="H77" s="111"/>
      <c r="I77" s="111"/>
      <c r="J77" s="111"/>
      <c r="K77" s="111"/>
      <c r="L77" s="222" t="str">
        <f>"in "&amp;TaxYear&amp;" for"</f>
        <v>in 2023 for</v>
      </c>
      <c r="M77" s="111"/>
      <c r="N77" s="111"/>
      <c r="O77" s="111"/>
      <c r="P77" s="111"/>
      <c r="Q77" s="111"/>
      <c r="R77" s="111"/>
      <c r="S77" s="111"/>
      <c r="T77" s="111"/>
      <c r="U77" s="1190"/>
      <c r="V77" s="112"/>
      <c r="W77" s="112"/>
      <c r="X77" s="1170"/>
      <c r="Y77" s="1170"/>
      <c r="Z77" s="1170"/>
      <c r="AA77" s="3010"/>
      <c r="AB77" s="962"/>
      <c r="AC77" s="1773"/>
      <c r="AD77" s="1773"/>
      <c r="AE77" s="2624"/>
      <c r="AF77" s="2624"/>
      <c r="AG77" s="2624"/>
    </row>
    <row r="78" spans="1:58" ht="16.5" customHeight="1" thickBot="1">
      <c r="A78" s="66"/>
      <c r="B78" s="5135"/>
      <c r="C78" s="3008" t="s">
        <v>3587</v>
      </c>
      <c r="D78" s="1209"/>
      <c r="E78" s="1209"/>
      <c r="F78" s="1209"/>
      <c r="G78" s="1209"/>
      <c r="H78" s="5038"/>
      <c r="I78" s="2527"/>
      <c r="J78" s="1209"/>
      <c r="K78" s="1209"/>
      <c r="L78" s="2681"/>
      <c r="M78" s="2681" t="s">
        <v>709</v>
      </c>
      <c r="N78" s="5139">
        <v>16</v>
      </c>
      <c r="O78" s="8650"/>
      <c r="P78" s="8650"/>
      <c r="Q78" s="8650"/>
      <c r="R78" s="8650"/>
      <c r="S78" s="8650"/>
      <c r="T78" s="8651"/>
      <c r="U78" s="5694"/>
      <c r="V78" s="112"/>
      <c r="W78" s="112"/>
      <c r="X78" s="1170"/>
      <c r="Y78" s="1170"/>
      <c r="Z78" s="1170"/>
      <c r="AA78" s="550" t="s">
        <v>867</v>
      </c>
      <c r="AB78" s="962"/>
      <c r="AC78" s="1773"/>
      <c r="AD78" s="1773"/>
      <c r="AE78" s="2624"/>
      <c r="AF78" s="2624"/>
      <c r="AG78" s="2624"/>
    </row>
    <row r="79" spans="1:58" ht="16.5" customHeight="1" thickBot="1">
      <c r="A79" s="66"/>
      <c r="B79" s="5133">
        <v>17</v>
      </c>
      <c r="C79" s="3015" t="s">
        <v>3588</v>
      </c>
      <c r="D79" s="699"/>
      <c r="E79" s="699"/>
      <c r="F79" s="699"/>
      <c r="G79" s="111"/>
      <c r="H79" s="111"/>
      <c r="I79" s="111"/>
      <c r="J79" s="111"/>
      <c r="K79" s="111"/>
      <c r="L79" s="124"/>
      <c r="M79" s="124" t="s">
        <v>752</v>
      </c>
      <c r="N79" s="5139">
        <v>17</v>
      </c>
      <c r="O79" s="8632" t="str">
        <f>IF(AA79&lt;&gt;"",ROUND(AA79,0),IF(OR(M25&lt;&gt;"",M27=""),"",MIN(V76,O78)))</f>
        <v/>
      </c>
      <c r="P79" s="8632"/>
      <c r="Q79" s="8632"/>
      <c r="R79" s="8632"/>
      <c r="S79" s="8632"/>
      <c r="T79" s="8652"/>
      <c r="U79" s="1190"/>
      <c r="V79" s="8625" t="s">
        <v>3589</v>
      </c>
      <c r="W79" s="8626"/>
      <c r="X79" s="1170"/>
      <c r="Y79" s="1170"/>
      <c r="Z79" s="1170"/>
      <c r="AA79" s="1388"/>
      <c r="AB79" s="962"/>
      <c r="AC79" s="1773"/>
      <c r="AD79" s="1773"/>
      <c r="AE79" s="2624"/>
      <c r="AF79" s="2624"/>
      <c r="AG79" s="2624"/>
    </row>
    <row r="80" spans="1:58" ht="15.75" customHeight="1" thickBot="1">
      <c r="A80" s="66"/>
      <c r="B80" s="5133">
        <v>18</v>
      </c>
      <c r="C80" s="3015" t="s">
        <v>3590</v>
      </c>
      <c r="D80" s="111"/>
      <c r="E80" s="111"/>
      <c r="F80" s="111"/>
      <c r="G80" s="111"/>
      <c r="H80" s="111"/>
      <c r="I80" s="111"/>
      <c r="J80" s="111"/>
      <c r="K80" s="111"/>
      <c r="L80" s="124"/>
      <c r="M80" s="124" t="s">
        <v>684</v>
      </c>
      <c r="N80" s="5139">
        <v>18</v>
      </c>
      <c r="O80" s="8653" t="str">
        <f>IF(AA80&lt;&gt;"",ROUND(AA80,0),IF(OR(M25&lt;&gt;"",M27=""),"",SUM(AA47,'W-2s'!I3)))</f>
        <v/>
      </c>
      <c r="P80" s="8653"/>
      <c r="Q80" s="8653"/>
      <c r="R80" s="8653"/>
      <c r="S80" s="8653"/>
      <c r="T80" s="8654"/>
      <c r="U80" s="1190"/>
      <c r="V80" s="8625" t="s">
        <v>3591</v>
      </c>
      <c r="W80" s="8626"/>
      <c r="X80" s="1170"/>
      <c r="Y80" s="1170"/>
      <c r="Z80" s="1170"/>
      <c r="AA80" s="1388"/>
      <c r="AB80" s="962"/>
      <c r="AC80" s="1773"/>
      <c r="AD80" s="1773"/>
      <c r="AE80" s="2624"/>
      <c r="AF80" s="2624"/>
      <c r="AG80" s="2624"/>
    </row>
    <row r="81" spans="1:58" ht="14.25" customHeight="1">
      <c r="A81" s="66"/>
      <c r="B81" s="5133">
        <v>19</v>
      </c>
      <c r="C81" s="3015" t="s">
        <v>3592</v>
      </c>
      <c r="D81" s="111"/>
      <c r="E81" s="111"/>
      <c r="F81" s="111"/>
      <c r="G81" s="111"/>
      <c r="H81" s="111"/>
      <c r="I81" s="111"/>
      <c r="J81" s="111"/>
      <c r="K81" s="111"/>
      <c r="L81" s="111"/>
      <c r="M81" s="111"/>
      <c r="N81" s="3004"/>
      <c r="O81" s="5048"/>
      <c r="P81" s="5049"/>
      <c r="Q81" s="5049"/>
      <c r="R81" s="5049"/>
      <c r="S81" s="5049"/>
      <c r="T81" s="5050"/>
      <c r="U81" s="1190"/>
      <c r="V81" s="8625" t="s">
        <v>3593</v>
      </c>
      <c r="W81" s="8626"/>
      <c r="X81" s="1170"/>
      <c r="Y81" s="1170"/>
      <c r="Z81" s="1170"/>
      <c r="AA81" s="3010"/>
      <c r="AB81" s="962"/>
      <c r="AC81" s="1773"/>
      <c r="AD81" s="1773"/>
      <c r="AE81" s="1773"/>
      <c r="AF81" s="1773"/>
      <c r="AG81" s="1773"/>
    </row>
    <row r="82" spans="1:58" ht="16.5" customHeight="1">
      <c r="A82" s="66"/>
      <c r="B82" s="3026"/>
      <c r="C82" s="3015" t="s">
        <v>3594</v>
      </c>
      <c r="D82" s="111"/>
      <c r="E82" s="111"/>
      <c r="F82" s="111"/>
      <c r="G82" s="111"/>
      <c r="H82" s="111"/>
      <c r="I82" s="111"/>
      <c r="J82" s="111"/>
      <c r="K82" s="111"/>
      <c r="L82" s="111"/>
      <c r="M82" s="111"/>
      <c r="N82" s="3004"/>
      <c r="O82" s="1199"/>
      <c r="P82" s="1199"/>
      <c r="Q82" s="1199"/>
      <c r="R82" s="1199"/>
      <c r="S82" s="1199"/>
      <c r="T82" s="4509"/>
      <c r="U82" s="1190"/>
      <c r="V82" s="8625" t="s">
        <v>3595</v>
      </c>
      <c r="W82" s="8626"/>
      <c r="X82" s="1170"/>
      <c r="Y82" s="1170"/>
      <c r="Z82" s="1170"/>
      <c r="AA82" s="3010"/>
      <c r="AB82" s="962"/>
      <c r="AC82" s="1773"/>
      <c r="AD82" s="1773"/>
      <c r="AE82" s="1773"/>
      <c r="AF82" s="1773"/>
      <c r="AG82" s="1773"/>
      <c r="AL82" s="407"/>
      <c r="AN82" s="407"/>
      <c r="AQ82" s="407"/>
    </row>
    <row r="83" spans="1:58" ht="15" customHeight="1">
      <c r="A83" s="66"/>
      <c r="B83" s="2681"/>
      <c r="C83" s="3016" t="s">
        <v>3596</v>
      </c>
      <c r="D83" s="3024"/>
      <c r="E83" s="3024"/>
      <c r="F83" s="3018"/>
      <c r="G83" s="3018"/>
      <c r="H83" s="1209"/>
      <c r="I83" s="1209"/>
      <c r="J83" s="1209"/>
      <c r="K83" s="1209"/>
      <c r="L83" s="1209"/>
      <c r="M83" s="1209"/>
      <c r="N83" s="3019"/>
      <c r="O83" s="4510"/>
      <c r="P83" s="4510"/>
      <c r="Q83" s="4510"/>
      <c r="R83" s="1199"/>
      <c r="S83" s="4510"/>
      <c r="T83" s="4511"/>
      <c r="U83" s="3020"/>
      <c r="V83" s="8627" t="s">
        <v>3597</v>
      </c>
      <c r="W83" s="8628"/>
      <c r="X83" s="1172"/>
      <c r="Y83" s="1172"/>
      <c r="Z83" s="1172"/>
      <c r="AA83" s="3021"/>
      <c r="AB83" s="3022"/>
      <c r="AC83" s="1773"/>
      <c r="AD83" s="1773"/>
      <c r="AE83" s="1773"/>
      <c r="AF83" s="1773"/>
      <c r="AG83" s="1773"/>
    </row>
    <row r="84" spans="1:58" ht="14.25" customHeight="1">
      <c r="A84" s="66"/>
      <c r="B84" s="3006"/>
      <c r="C84" s="3015" t="s">
        <v>3598</v>
      </c>
      <c r="D84" s="111"/>
      <c r="E84" s="111"/>
      <c r="F84" s="111"/>
      <c r="G84" s="111"/>
      <c r="H84" s="111"/>
      <c r="I84" s="111"/>
      <c r="J84" s="111"/>
      <c r="K84" s="111"/>
      <c r="L84" s="111"/>
      <c r="M84" s="111"/>
      <c r="N84" s="3004"/>
      <c r="O84" s="1199"/>
      <c r="P84" s="1199"/>
      <c r="Q84" s="1199"/>
      <c r="R84" s="1199"/>
      <c r="S84" s="1199"/>
      <c r="T84" s="4509"/>
      <c r="U84" s="1190"/>
      <c r="V84" s="8625" t="s">
        <v>3599</v>
      </c>
      <c r="W84" s="8626"/>
      <c r="X84" s="1170"/>
      <c r="Y84" s="1170"/>
      <c r="Z84" s="1170"/>
      <c r="AA84" s="3010"/>
      <c r="AB84" s="962"/>
      <c r="AC84" s="1773"/>
      <c r="AD84" s="1773"/>
      <c r="AE84" s="1773"/>
      <c r="AF84" s="1773"/>
      <c r="AG84" s="1773"/>
    </row>
    <row r="85" spans="1:58" ht="15.75" thickBot="1">
      <c r="A85" s="66"/>
      <c r="B85" s="3006"/>
      <c r="C85" s="3015" t="s">
        <v>3600</v>
      </c>
      <c r="D85" s="111"/>
      <c r="E85" s="111"/>
      <c r="F85" s="111"/>
      <c r="G85" s="111"/>
      <c r="H85" s="111"/>
      <c r="I85" s="111"/>
      <c r="J85" s="111"/>
      <c r="K85" s="111"/>
      <c r="L85" s="111"/>
      <c r="M85" s="111"/>
      <c r="N85" s="3004"/>
      <c r="O85" s="8659" t="str">
        <f>IF(AND(File_Marr_Sep&lt;&gt;"",AD19&lt;&gt;""),ROUND(W2_Wages_Spouse,0),O80)</f>
        <v/>
      </c>
      <c r="P85" s="8660"/>
      <c r="Q85" s="8660"/>
      <c r="R85" s="8660"/>
      <c r="S85" s="8660"/>
      <c r="T85" s="8661"/>
      <c r="U85" s="1190"/>
      <c r="V85" s="8625" t="str">
        <f>"'unmarried' for"</f>
        <v>'unmarried' for</v>
      </c>
      <c r="W85" s="8626"/>
      <c r="X85" s="1170"/>
      <c r="Y85" s="1170"/>
      <c r="Z85" s="1170"/>
      <c r="AA85" s="550" t="s">
        <v>867</v>
      </c>
      <c r="AB85" s="962"/>
      <c r="AD85" s="1773"/>
      <c r="AE85" s="1773"/>
      <c r="AF85" s="1773"/>
      <c r="AG85" s="1773"/>
    </row>
    <row r="86" spans="1:58" s="407" customFormat="1" ht="16.5" thickBot="1">
      <c r="A86" s="66"/>
      <c r="B86" s="3006"/>
      <c r="C86" s="3015" t="s">
        <v>3601</v>
      </c>
      <c r="D86" s="111"/>
      <c r="E86" s="111"/>
      <c r="F86" s="111"/>
      <c r="G86" s="111"/>
      <c r="H86" s="111"/>
      <c r="I86" s="111"/>
      <c r="J86" s="111"/>
      <c r="K86" s="21"/>
      <c r="L86" s="124"/>
      <c r="M86" s="124" t="s">
        <v>699</v>
      </c>
      <c r="N86" s="5139">
        <v>19</v>
      </c>
      <c r="O86" s="8632" t="str">
        <f>IF(AA86&lt;&gt;"",ROUND(AA86,0),IF(OR(M25&lt;&gt;"",M27=""),"",IF(File_Marr_Joint&lt;&gt;"",SUM(V48,ROUND('W-2s'!I34,0)),IF(AND(File_Marr_Sep&lt;&gt;"",AD19&lt;&gt;""),O85,O80))))</f>
        <v/>
      </c>
      <c r="P86" s="8632"/>
      <c r="Q86" s="8632"/>
      <c r="R86" s="8632"/>
      <c r="S86" s="8632"/>
      <c r="T86" s="8652"/>
      <c r="U86" s="1190"/>
      <c r="V86" s="8625" t="s">
        <v>3486</v>
      </c>
      <c r="W86" s="8626"/>
      <c r="X86" s="1170"/>
      <c r="Y86" s="1170"/>
      <c r="Z86" s="1170"/>
      <c r="AA86" s="1388"/>
      <c r="AB86" s="962"/>
      <c r="AC86"/>
      <c r="AD86" s="1773"/>
      <c r="AE86" s="1773"/>
      <c r="AF86" s="1773"/>
      <c r="AG86" s="1773"/>
      <c r="AH86"/>
      <c r="AI86"/>
      <c r="AJ86"/>
      <c r="AK86"/>
      <c r="AL86"/>
      <c r="AM86"/>
      <c r="AN86"/>
      <c r="AO86"/>
      <c r="AP86"/>
      <c r="AQ86"/>
      <c r="AR86" s="2045"/>
      <c r="AS86" s="2045"/>
      <c r="AT86" s="2045"/>
      <c r="AU86" s="2045"/>
      <c r="AV86" s="2045"/>
      <c r="AW86" s="2045"/>
      <c r="AX86" s="2045"/>
      <c r="AY86" s="2045"/>
      <c r="AZ86" s="2045"/>
      <c r="BB86"/>
      <c r="BC86"/>
      <c r="BD86" s="187"/>
      <c r="BE86" s="187"/>
      <c r="BF86"/>
    </row>
    <row r="87" spans="1:58" ht="12.75" customHeight="1">
      <c r="A87" s="441"/>
      <c r="B87" s="3006"/>
      <c r="C87" s="3016" t="s">
        <v>5679</v>
      </c>
      <c r="D87" s="174"/>
      <c r="E87" s="174"/>
      <c r="F87" s="174"/>
      <c r="G87" s="111"/>
      <c r="H87" s="111"/>
      <c r="I87" s="111"/>
      <c r="J87" s="111"/>
      <c r="K87" s="111"/>
      <c r="L87" s="111"/>
      <c r="M87" s="4476"/>
      <c r="N87" s="3004"/>
      <c r="O87" s="1199"/>
      <c r="P87" s="1199"/>
      <c r="Q87" s="1199"/>
      <c r="R87" s="1199"/>
      <c r="S87" s="1199"/>
      <c r="T87" s="4509"/>
      <c r="U87" s="1190"/>
      <c r="V87" s="8625" t="s">
        <v>3489</v>
      </c>
      <c r="W87" s="8626"/>
      <c r="X87" s="1170"/>
      <c r="Y87" s="1170"/>
      <c r="Z87" s="1170"/>
      <c r="AA87" s="3010"/>
      <c r="AB87" s="962"/>
      <c r="AD87" s="1773"/>
      <c r="AE87" s="1773"/>
      <c r="AF87" s="1773"/>
      <c r="AG87" s="1773"/>
      <c r="BB87" s="407"/>
      <c r="BC87" s="407"/>
      <c r="BD87" s="1652"/>
      <c r="BE87" s="1652"/>
      <c r="BF87" s="407"/>
    </row>
    <row r="88" spans="1:58" ht="12.75" customHeight="1">
      <c r="A88" s="66"/>
      <c r="B88" s="3006"/>
      <c r="C88" s="3016" t="s">
        <v>3602</v>
      </c>
      <c r="D88" s="174"/>
      <c r="E88" s="174"/>
      <c r="F88" s="174"/>
      <c r="G88" s="21"/>
      <c r="H88" s="111"/>
      <c r="I88" s="111"/>
      <c r="J88" s="111"/>
      <c r="K88" s="111"/>
      <c r="L88" s="111"/>
      <c r="M88" s="111"/>
      <c r="N88" s="3004"/>
      <c r="O88" s="4512"/>
      <c r="P88" s="4512"/>
      <c r="Q88" s="4512"/>
      <c r="R88" s="4512"/>
      <c r="S88" s="4512"/>
      <c r="T88" s="4513"/>
      <c r="U88" s="1190"/>
      <c r="V88" s="8625" t="s">
        <v>3496</v>
      </c>
      <c r="W88" s="8626"/>
      <c r="X88" s="1170"/>
      <c r="Y88" s="1170"/>
      <c r="Z88" s="1170"/>
      <c r="AA88" s="3010"/>
      <c r="AE88" s="1773"/>
      <c r="AF88" s="1773"/>
      <c r="AG88" s="1773"/>
    </row>
    <row r="89" spans="1:58" ht="15.75">
      <c r="A89" s="66"/>
      <c r="B89" s="5133">
        <v>20</v>
      </c>
      <c r="C89" s="3015" t="s">
        <v>3603</v>
      </c>
      <c r="D89" s="699"/>
      <c r="E89" s="699"/>
      <c r="F89" s="699"/>
      <c r="G89" s="111"/>
      <c r="H89" s="111"/>
      <c r="I89" s="111"/>
      <c r="J89" s="111"/>
      <c r="K89" s="111"/>
      <c r="L89" s="124" t="s">
        <v>654</v>
      </c>
      <c r="M89" s="5695"/>
      <c r="N89" s="5139">
        <v>20</v>
      </c>
      <c r="O89" s="8632" t="str">
        <f>IF(OR(M25&lt;&gt;"",M27=""),"",MIN(O79,O80,O86))</f>
        <v/>
      </c>
      <c r="P89" s="8632"/>
      <c r="Q89" s="8632"/>
      <c r="R89" s="8632"/>
      <c r="S89" s="8632"/>
      <c r="T89" s="8652"/>
      <c r="U89" s="1190"/>
      <c r="V89" s="1199"/>
      <c r="W89" s="1199"/>
      <c r="X89" s="1170"/>
      <c r="Y89" s="1170"/>
      <c r="Z89" s="1170"/>
      <c r="AA89" s="3010"/>
      <c r="AE89" s="1773"/>
      <c r="AF89" s="1773"/>
      <c r="AG89" s="1773"/>
    </row>
    <row r="90" spans="1:58" ht="15.75" customHeight="1">
      <c r="A90" s="66"/>
      <c r="B90" s="5133">
        <v>21</v>
      </c>
      <c r="C90" s="3015" t="str">
        <f>"Enter "&amp;TEXT(V90,"$0,000")&amp;" ("&amp;TEXT(V91,"$0,000")&amp;" if married"</f>
        <v>Enter $5,000 ($2,500 if married</v>
      </c>
      <c r="D90" s="699"/>
      <c r="E90" s="699"/>
      <c r="F90" s="699"/>
      <c r="G90" s="111"/>
      <c r="H90" s="111"/>
      <c r="I90" s="3015" t="s">
        <v>3604</v>
      </c>
      <c r="J90" s="111"/>
      <c r="K90" s="111"/>
      <c r="L90" s="111"/>
      <c r="M90" s="5695"/>
      <c r="N90" s="3004"/>
      <c r="O90" s="124"/>
      <c r="P90" s="124"/>
      <c r="Q90" s="124"/>
      <c r="R90" s="124"/>
      <c r="S90" s="124"/>
      <c r="T90" s="124"/>
      <c r="U90" s="1190"/>
      <c r="V90" s="1218">
        <v>5000</v>
      </c>
      <c r="W90" s="6021"/>
      <c r="X90" s="1170"/>
      <c r="Y90" s="1170"/>
      <c r="Z90" s="1170"/>
      <c r="AA90" s="3010"/>
      <c r="AE90" s="1773"/>
      <c r="AF90" s="1773"/>
      <c r="AG90" s="1773"/>
    </row>
    <row r="91" spans="1:58" ht="15">
      <c r="A91" s="66"/>
      <c r="B91" s="3026"/>
      <c r="C91" s="3015" t="s">
        <v>5676</v>
      </c>
      <c r="D91" s="699"/>
      <c r="E91" s="699"/>
      <c r="F91" s="699"/>
      <c r="G91" s="111"/>
      <c r="H91" s="111"/>
      <c r="I91" s="111"/>
      <c r="J91" s="111"/>
      <c r="K91" s="111"/>
      <c r="L91" s="111"/>
      <c r="M91" s="5695"/>
      <c r="N91" s="3004"/>
      <c r="O91" s="124"/>
      <c r="P91" s="124"/>
      <c r="Q91" s="124"/>
      <c r="R91" s="124"/>
      <c r="S91" s="124"/>
      <c r="T91" s="124"/>
      <c r="U91" s="1190"/>
      <c r="V91" s="1218">
        <v>2500</v>
      </c>
      <c r="W91" s="6021"/>
      <c r="X91" s="1170"/>
      <c r="Y91" s="1170"/>
      <c r="Z91" s="1170"/>
      <c r="AA91" s="3010"/>
      <c r="AE91" s="1773"/>
      <c r="AF91" s="1773"/>
      <c r="AG91" s="1773"/>
    </row>
    <row r="92" spans="1:58" ht="15.75" thickBot="1">
      <c r="A92" s="66"/>
      <c r="B92" s="3026"/>
      <c r="C92" s="3015" t="s">
        <v>5677</v>
      </c>
      <c r="D92" s="699"/>
      <c r="E92" s="699"/>
      <c r="F92" s="699"/>
      <c r="G92" s="111"/>
      <c r="H92" s="111"/>
      <c r="I92" s="111"/>
      <c r="J92" s="111"/>
      <c r="K92" s="111"/>
      <c r="L92" s="111"/>
      <c r="M92" s="168"/>
      <c r="N92" s="3004"/>
      <c r="O92" s="124"/>
      <c r="P92" s="124"/>
      <c r="Q92" s="124"/>
      <c r="R92" s="124"/>
      <c r="S92" s="124"/>
      <c r="T92" s="124"/>
      <c r="U92" s="1190"/>
      <c r="V92" s="6020"/>
      <c r="W92" s="6021"/>
      <c r="X92" s="1170"/>
      <c r="Y92" s="1170"/>
      <c r="Z92" s="1170"/>
      <c r="AA92" s="550" t="s">
        <v>867</v>
      </c>
    </row>
    <row r="93" spans="1:58" ht="16.5" thickBot="1">
      <c r="A93" s="66"/>
      <c r="B93" s="3026"/>
      <c r="C93" s="3015" t="s">
        <v>5678</v>
      </c>
      <c r="D93" s="699"/>
      <c r="E93" s="699"/>
      <c r="F93" s="699"/>
      <c r="G93" s="111"/>
      <c r="H93" s="111"/>
      <c r="I93" s="111"/>
      <c r="J93" s="111"/>
      <c r="K93" s="111"/>
      <c r="L93" s="124"/>
      <c r="M93" s="954" t="s">
        <v>789</v>
      </c>
      <c r="N93" s="5139">
        <v>21</v>
      </c>
      <c r="O93" s="8632" t="str">
        <f>IF(AA93&lt;&gt;"",ROUND(AA93,0),IF(OR(M25&lt;&gt;"",M27=""),"",IF(AND(File_Marr_Sep&lt;&gt;"",AD19&lt;&gt;""),V91,V90)))</f>
        <v/>
      </c>
      <c r="P93" s="8632"/>
      <c r="Q93" s="8632"/>
      <c r="R93" s="8632"/>
      <c r="S93" s="8632"/>
      <c r="T93" s="8652"/>
      <c r="U93" s="1190"/>
      <c r="V93" s="6020"/>
      <c r="W93" s="6021"/>
      <c r="X93" s="1170"/>
      <c r="Y93" s="1170"/>
      <c r="Z93" s="1170"/>
      <c r="AA93" s="1388"/>
    </row>
    <row r="94" spans="1:58" ht="16.5" thickBot="1">
      <c r="A94" s="66"/>
      <c r="B94" s="5133">
        <v>22</v>
      </c>
      <c r="C94" s="3015" t="s">
        <v>3605</v>
      </c>
      <c r="D94" s="699"/>
      <c r="E94" s="699"/>
      <c r="F94" s="699"/>
      <c r="G94" s="111"/>
      <c r="H94" s="111"/>
      <c r="I94" s="111"/>
      <c r="J94" s="111"/>
      <c r="K94" s="111"/>
      <c r="L94" s="111"/>
      <c r="M94" s="111"/>
      <c r="N94" s="111"/>
      <c r="O94" s="111"/>
      <c r="P94" s="111"/>
      <c r="Q94" s="111"/>
      <c r="R94" s="111"/>
      <c r="S94" s="111"/>
      <c r="T94" s="111"/>
      <c r="U94" s="1190"/>
      <c r="V94" s="112"/>
      <c r="W94" s="112"/>
      <c r="X94" s="1170"/>
      <c r="Y94" s="1170"/>
      <c r="Z94" s="1170"/>
      <c r="AA94" s="3011" t="str">
        <f>IF(AND($C$97&lt;&gt;"",File_Marr_Joint&lt;&gt;""),"Enter amount from","")</f>
        <v/>
      </c>
      <c r="AC94" s="8538" t="s">
        <v>3606</v>
      </c>
      <c r="AD94" s="7519"/>
      <c r="AE94" s="7519"/>
      <c r="AF94" s="7519"/>
      <c r="AG94" s="7520"/>
    </row>
    <row r="95" spans="1:58" ht="16.5" thickBot="1">
      <c r="A95" s="66"/>
      <c r="B95" s="3026"/>
      <c r="C95" s="3025" t="str">
        <f>IF(AND(K28="",C97=""),"X","")</f>
        <v/>
      </c>
      <c r="D95" s="3017" t="s">
        <v>3607</v>
      </c>
      <c r="E95" s="3017"/>
      <c r="F95" s="699"/>
      <c r="G95" s="1219"/>
      <c r="H95" s="1219"/>
      <c r="I95" s="111"/>
      <c r="J95" s="111"/>
      <c r="K95" s="111"/>
      <c r="L95" s="111"/>
      <c r="M95" s="111"/>
      <c r="N95" s="111"/>
      <c r="O95" s="111"/>
      <c r="P95" s="111"/>
      <c r="Q95" s="111"/>
      <c r="R95" s="111"/>
      <c r="S95" s="111"/>
      <c r="T95" s="111"/>
      <c r="U95" s="1190"/>
      <c r="V95" s="1220"/>
      <c r="W95" s="2682"/>
      <c r="X95" s="1170"/>
      <c r="Y95" s="1170"/>
      <c r="Z95" s="1170"/>
      <c r="AA95" s="3011" t="str">
        <f>IF(AND($C$97&lt;&gt;"",File_Marr_Joint&lt;&gt;""),"sole proprietorship.","")</f>
        <v/>
      </c>
      <c r="AC95" s="8539"/>
      <c r="AD95" s="7859"/>
      <c r="AE95" s="7859"/>
      <c r="AF95" s="7859"/>
      <c r="AG95" s="8540"/>
    </row>
    <row r="96" spans="1:58" ht="8.25" customHeight="1" thickBot="1">
      <c r="A96" s="66"/>
      <c r="B96" s="3026"/>
      <c r="C96" s="699"/>
      <c r="D96" s="699"/>
      <c r="E96" s="699"/>
      <c r="F96" s="699"/>
      <c r="G96" s="1219"/>
      <c r="H96" s="1219"/>
      <c r="I96" s="111"/>
      <c r="J96" s="111"/>
      <c r="K96" s="111"/>
      <c r="L96" s="111"/>
      <c r="M96" s="111"/>
      <c r="N96" s="111"/>
      <c r="O96" s="111"/>
      <c r="P96" s="111"/>
      <c r="Q96" s="111"/>
      <c r="R96" s="111"/>
      <c r="S96" s="111"/>
      <c r="T96" s="111"/>
      <c r="U96" s="3840"/>
      <c r="V96" s="1220"/>
      <c r="W96" s="2682"/>
      <c r="X96" s="1170"/>
      <c r="Y96" s="1170"/>
      <c r="Z96" s="1170"/>
      <c r="AA96" s="3011"/>
      <c r="AC96" s="8539"/>
      <c r="AD96" s="7859"/>
      <c r="AE96" s="7859"/>
      <c r="AF96" s="7859"/>
      <c r="AG96" s="8540"/>
    </row>
    <row r="97" spans="1:33" ht="18" customHeight="1" thickBot="1">
      <c r="A97" s="66"/>
      <c r="B97" s="3006"/>
      <c r="C97" s="820"/>
      <c r="D97" s="3017" t="s">
        <v>3608</v>
      </c>
      <c r="E97" s="3017"/>
      <c r="F97" s="699"/>
      <c r="G97" s="111"/>
      <c r="H97" s="111"/>
      <c r="I97" s="111"/>
      <c r="J97" s="111"/>
      <c r="K97" s="111"/>
      <c r="L97" s="111"/>
      <c r="M97" s="111"/>
      <c r="N97" s="111"/>
      <c r="O97" s="111"/>
      <c r="P97" s="111"/>
      <c r="Q97" s="111"/>
      <c r="R97" s="111"/>
      <c r="S97" s="111"/>
      <c r="T97" s="954" t="s">
        <v>670</v>
      </c>
      <c r="U97" s="5140">
        <f>B94</f>
        <v>22</v>
      </c>
      <c r="V97" s="8631" t="str">
        <f>IF(OR(M25&lt;&gt;"",M27=""),"",IF(C95&lt;&gt;"",0,ROUND(AA97,0)))</f>
        <v/>
      </c>
      <c r="W97" s="7316"/>
      <c r="X97" s="1170"/>
      <c r="Y97" s="1170"/>
      <c r="Z97" s="1170"/>
      <c r="AA97" s="3012"/>
      <c r="AC97" s="8539"/>
      <c r="AD97" s="7859"/>
      <c r="AE97" s="7859"/>
      <c r="AF97" s="7859"/>
      <c r="AG97" s="8540"/>
    </row>
    <row r="98" spans="1:33" ht="15" customHeight="1">
      <c r="A98" s="66"/>
      <c r="B98" s="5133">
        <v>23</v>
      </c>
      <c r="C98" s="3015" t="s">
        <v>3609</v>
      </c>
      <c r="D98" s="699"/>
      <c r="E98" s="699"/>
      <c r="F98" s="699"/>
      <c r="G98" s="111"/>
      <c r="H98" s="111"/>
      <c r="I98" s="111"/>
      <c r="J98" s="111"/>
      <c r="K98" s="111"/>
      <c r="L98" s="124" t="s">
        <v>646</v>
      </c>
      <c r="M98" s="5695"/>
      <c r="N98" s="5139">
        <v>23</v>
      </c>
      <c r="O98" s="8632" t="str">
        <f>IF(OR(M25&lt;&gt;"",M27=""),"",SUM(V76,-V97))</f>
        <v/>
      </c>
      <c r="P98" s="8632"/>
      <c r="Q98" s="8632"/>
      <c r="R98" s="8632"/>
      <c r="S98" s="8632"/>
      <c r="T98" s="8652"/>
      <c r="U98" s="1190"/>
      <c r="V98" s="112"/>
      <c r="W98" s="112"/>
      <c r="X98" s="1170"/>
      <c r="Y98" s="1170"/>
      <c r="Z98" s="1170"/>
      <c r="AA98" s="3010"/>
      <c r="AC98" s="7597"/>
      <c r="AD98" s="7521"/>
      <c r="AE98" s="7521"/>
      <c r="AF98" s="7521"/>
      <c r="AG98" s="7522"/>
    </row>
    <row r="99" spans="1:33" ht="13.5" customHeight="1">
      <c r="A99" s="66"/>
      <c r="B99" s="5133">
        <v>24</v>
      </c>
      <c r="C99" s="1176" t="s">
        <v>5681</v>
      </c>
      <c r="D99" s="21"/>
      <c r="E99" s="21"/>
      <c r="F99" s="21"/>
      <c r="G99" s="111"/>
      <c r="H99" s="111"/>
      <c r="I99" s="111"/>
      <c r="J99" s="111"/>
      <c r="K99" s="111"/>
      <c r="L99" s="111"/>
      <c r="M99" s="111"/>
      <c r="N99" s="111"/>
      <c r="O99" s="111"/>
      <c r="P99" s="111"/>
      <c r="Q99" s="111"/>
      <c r="R99" s="111"/>
      <c r="S99" s="111"/>
      <c r="T99" s="111"/>
      <c r="U99" s="1190"/>
      <c r="V99" s="1200"/>
      <c r="W99" s="2683"/>
      <c r="X99" s="1170"/>
      <c r="Y99" s="1170"/>
      <c r="Z99" s="1170"/>
      <c r="AA99" s="3010"/>
    </row>
    <row r="100" spans="1:33" ht="13.5" customHeight="1">
      <c r="A100" s="66"/>
      <c r="B100" s="5137"/>
      <c r="C100" s="3015" t="s">
        <v>5680</v>
      </c>
      <c r="D100" s="699"/>
      <c r="E100" s="699"/>
      <c r="F100" s="699"/>
      <c r="G100" s="111"/>
      <c r="H100" s="111"/>
      <c r="I100" s="111"/>
      <c r="J100" s="111"/>
      <c r="K100" s="111"/>
      <c r="L100" s="111"/>
      <c r="M100" s="111"/>
      <c r="N100" s="111"/>
      <c r="O100" s="111"/>
      <c r="P100" s="111"/>
      <c r="Q100" s="111"/>
      <c r="R100" s="111"/>
      <c r="S100" s="111"/>
      <c r="T100" s="124" t="s">
        <v>752</v>
      </c>
      <c r="U100" s="5140">
        <f>B99</f>
        <v>24</v>
      </c>
      <c r="V100" s="8631" t="str">
        <f>IF(OR(M25&lt;&gt;"",M27=""),"",MIN(O89,O93,V97))</f>
        <v/>
      </c>
      <c r="W100" s="7316"/>
      <c r="X100" s="1170"/>
      <c r="Y100" s="1170"/>
      <c r="Z100" s="1170"/>
      <c r="AA100" s="3010"/>
    </row>
    <row r="101" spans="1:33" ht="16.5" thickBot="1">
      <c r="A101" s="66"/>
      <c r="B101" s="5133">
        <v>25</v>
      </c>
      <c r="C101" s="3017" t="s">
        <v>3610</v>
      </c>
      <c r="D101" s="111"/>
      <c r="E101" s="111"/>
      <c r="F101" s="111"/>
      <c r="G101" s="111"/>
      <c r="H101" s="111"/>
      <c r="I101" s="111"/>
      <c r="J101" s="111"/>
      <c r="K101" s="111"/>
      <c r="L101" s="124"/>
      <c r="M101" s="111"/>
      <c r="N101" s="111"/>
      <c r="O101" s="4485"/>
      <c r="P101" s="4486"/>
      <c r="Q101" s="4486"/>
      <c r="R101" s="4486"/>
      <c r="S101" s="4486"/>
      <c r="T101" s="4487"/>
      <c r="U101" s="3013"/>
      <c r="V101" s="112"/>
      <c r="W101" s="112"/>
      <c r="X101" s="1170"/>
      <c r="Y101" s="1170"/>
      <c r="Z101" s="1170"/>
      <c r="AA101" s="550" t="s">
        <v>867</v>
      </c>
    </row>
    <row r="102" spans="1:33" ht="13.5" customHeight="1" thickBot="1">
      <c r="A102" s="66"/>
      <c r="B102" s="5133"/>
      <c r="C102" s="3017" t="s">
        <v>3611</v>
      </c>
      <c r="D102" s="21"/>
      <c r="E102" s="21"/>
      <c r="F102" s="21"/>
      <c r="G102" s="111"/>
      <c r="H102" s="111"/>
      <c r="I102" s="111"/>
      <c r="J102" s="111"/>
      <c r="K102" s="111"/>
      <c r="L102" s="111"/>
      <c r="M102" s="111"/>
      <c r="N102" s="111"/>
      <c r="O102" s="111"/>
      <c r="P102" s="111"/>
      <c r="Q102" s="111"/>
      <c r="R102" s="111"/>
      <c r="S102" s="111"/>
      <c r="T102" s="111"/>
      <c r="U102" s="5140">
        <f>B101</f>
        <v>25</v>
      </c>
      <c r="V102" s="8631" t="str">
        <f>IF(AA102&lt;&gt;"",AA102,IF(OR(M25&lt;&gt;"",M27=""),"",IF(AND(C95="",C97=""),"",IF(C95&lt;&gt;"",MIN(O89,O93),IF(SUM(MIN(O89,O93),-V100)&lt;0,0,SUM(MIN(O89,O93),-V100))))))</f>
        <v/>
      </c>
      <c r="W102" s="8632"/>
      <c r="X102" s="1170"/>
      <c r="Y102" s="1170"/>
      <c r="Z102" s="1170"/>
      <c r="AA102" s="1388"/>
    </row>
    <row r="103" spans="1:33" ht="15.75" thickBot="1">
      <c r="A103" s="66"/>
      <c r="B103" s="5133">
        <v>26</v>
      </c>
      <c r="C103" s="5064" t="s">
        <v>3612</v>
      </c>
      <c r="D103" s="130"/>
      <c r="E103" s="130"/>
      <c r="F103" s="130"/>
      <c r="G103" s="111"/>
      <c r="H103" s="111"/>
      <c r="I103" s="111"/>
      <c r="J103" s="111"/>
      <c r="K103" s="111"/>
      <c r="L103" s="111"/>
      <c r="M103" s="111"/>
      <c r="N103" s="111"/>
      <c r="O103" s="111"/>
      <c r="P103" s="111"/>
      <c r="Q103" s="111"/>
      <c r="R103" s="111"/>
      <c r="S103" s="111"/>
      <c r="T103" s="111"/>
      <c r="U103" s="1190"/>
      <c r="V103" s="1199"/>
      <c r="W103" s="1199"/>
      <c r="X103" s="1170"/>
      <c r="Y103" s="1170"/>
      <c r="Z103" s="1170"/>
      <c r="AA103" s="3010"/>
    </row>
    <row r="104" spans="1:33" ht="15.75" thickBot="1">
      <c r="A104" s="66"/>
      <c r="B104" s="1201"/>
      <c r="C104" s="5125" t="s">
        <v>3613</v>
      </c>
      <c r="D104" s="1186"/>
      <c r="E104" s="1186"/>
      <c r="F104" s="1186"/>
      <c r="G104" s="16"/>
      <c r="H104" s="16"/>
      <c r="I104" s="16"/>
      <c r="J104" s="16"/>
      <c r="K104" s="16"/>
      <c r="L104" s="16"/>
      <c r="M104" s="16"/>
      <c r="N104" s="16"/>
      <c r="O104" s="16"/>
      <c r="P104" s="16"/>
      <c r="Q104" s="16"/>
      <c r="R104" s="16"/>
      <c r="S104" s="16"/>
      <c r="T104" s="1202" t="s">
        <v>1211</v>
      </c>
      <c r="U104" s="5139">
        <f>B103</f>
        <v>26</v>
      </c>
      <c r="V104" s="8631" t="str">
        <f>IF(AA104&lt;&gt;"",ROUND(AA104,0),IF(OR(AND(File_Marr_Sep&lt;&gt;"",$AD$19&lt;&gt;""),AND(C95="",C97="")),"",IF(OR(M25&lt;&gt;"",M27=""),"",IF(SUM(O98,-V102)&lt;0,0,SUM(O98,-V102)))))</f>
        <v/>
      </c>
      <c r="W104" s="7316"/>
      <c r="X104" s="1170"/>
      <c r="Y104" s="1170"/>
      <c r="Z104" s="1170"/>
      <c r="AA104" s="1388"/>
      <c r="AC104" s="407"/>
      <c r="AD104" s="407"/>
    </row>
    <row r="105" spans="1:33">
      <c r="A105" s="66"/>
      <c r="B105" s="111"/>
      <c r="C105" s="111"/>
      <c r="D105" s="111"/>
      <c r="E105" s="111"/>
      <c r="F105" s="111"/>
      <c r="G105" s="111"/>
      <c r="H105" s="111"/>
      <c r="I105" s="111"/>
      <c r="J105" s="111"/>
      <c r="K105" s="111"/>
      <c r="L105" s="111"/>
      <c r="M105" s="111"/>
      <c r="N105" s="111"/>
      <c r="O105" s="111"/>
      <c r="P105" s="111"/>
      <c r="Q105" s="111"/>
      <c r="R105" s="111"/>
      <c r="S105" s="111"/>
      <c r="T105" s="111"/>
      <c r="U105" s="111"/>
      <c r="V105" s="112"/>
      <c r="W105" s="112"/>
      <c r="X105" s="1170"/>
      <c r="Y105" s="1170"/>
      <c r="Z105" s="1170"/>
      <c r="AA105" s="3010"/>
    </row>
    <row r="106" spans="1:33" ht="15">
      <c r="A106" s="66"/>
      <c r="B106" s="111" t="s">
        <v>790</v>
      </c>
      <c r="C106" s="111"/>
      <c r="D106" s="111"/>
      <c r="E106" s="111"/>
      <c r="F106" s="111"/>
      <c r="G106" s="111"/>
      <c r="H106" s="111"/>
      <c r="I106" s="111"/>
      <c r="J106" s="3015"/>
      <c r="K106" s="111"/>
      <c r="L106" s="5039" t="s">
        <v>3614</v>
      </c>
      <c r="M106" s="111"/>
      <c r="N106" s="111"/>
      <c r="O106" s="111"/>
      <c r="P106" s="111"/>
      <c r="Q106" s="111"/>
      <c r="R106" s="111"/>
      <c r="S106" s="111"/>
      <c r="T106" s="111"/>
      <c r="U106" s="111"/>
      <c r="V106" s="112"/>
      <c r="W106" s="112"/>
      <c r="X106" s="1170"/>
      <c r="Y106" s="1170"/>
      <c r="Z106" s="1170"/>
      <c r="AA106" s="3010"/>
    </row>
    <row r="107" spans="1:33" ht="15">
      <c r="A107" s="66"/>
      <c r="B107" s="699"/>
      <c r="C107" s="111"/>
      <c r="D107" s="111"/>
      <c r="E107" s="111"/>
      <c r="F107" s="111"/>
      <c r="G107" s="111"/>
      <c r="H107" s="111"/>
      <c r="I107" s="111"/>
      <c r="J107" s="3015"/>
      <c r="K107" s="111"/>
      <c r="L107" s="5039" t="s">
        <v>3615</v>
      </c>
      <c r="M107" s="111"/>
      <c r="N107" s="111"/>
      <c r="O107" s="111"/>
      <c r="P107" s="111"/>
      <c r="Q107" s="111"/>
      <c r="R107" s="111"/>
      <c r="S107" s="111"/>
      <c r="T107" s="111"/>
      <c r="U107" s="111"/>
      <c r="V107" s="112"/>
      <c r="W107" s="112"/>
      <c r="X107" s="1170"/>
      <c r="Y107" s="1170"/>
      <c r="Z107" s="1170"/>
      <c r="AA107" s="3010"/>
    </row>
    <row r="108" spans="1:33" ht="12.75" customHeight="1" thickBot="1">
      <c r="A108" s="66"/>
      <c r="B108" s="16"/>
      <c r="C108" s="16"/>
      <c r="D108" s="16"/>
      <c r="E108" s="16"/>
      <c r="F108" s="16"/>
      <c r="G108" s="16"/>
      <c r="H108" s="16"/>
      <c r="I108" s="16"/>
      <c r="J108" s="16"/>
      <c r="K108" s="16"/>
      <c r="L108" s="16"/>
      <c r="M108" s="16"/>
      <c r="N108" s="16"/>
      <c r="O108" s="16"/>
      <c r="P108" s="16"/>
      <c r="Q108" s="16"/>
      <c r="R108" s="16"/>
      <c r="S108" s="16"/>
      <c r="T108" s="16"/>
      <c r="U108" s="16"/>
      <c r="V108" s="112"/>
      <c r="W108" s="112"/>
      <c r="X108" s="1170"/>
      <c r="Y108" s="1170"/>
      <c r="Z108" s="1170"/>
      <c r="AA108" s="550" t="s">
        <v>867</v>
      </c>
    </row>
    <row r="109" spans="1:33" ht="16.5" customHeight="1" thickBot="1">
      <c r="A109" s="66"/>
      <c r="B109" s="3026">
        <v>27</v>
      </c>
      <c r="C109" s="222" t="str">
        <f>"Enter "&amp;TEXT(AB41,"$0,000")&amp;" ("&amp;TEXT(AB42,"$0,000")&amp;" if two or more qualifying persons)"</f>
        <v>Enter $3,000 ($6,000 if two or more qualifying persons)</v>
      </c>
      <c r="D109" s="111"/>
      <c r="E109" s="111"/>
      <c r="F109" s="111"/>
      <c r="G109" s="111"/>
      <c r="H109" s="111"/>
      <c r="I109" s="111"/>
      <c r="J109" s="111"/>
      <c r="K109" s="111"/>
      <c r="L109" s="111"/>
      <c r="M109" s="111"/>
      <c r="N109" s="124"/>
      <c r="O109" s="230"/>
      <c r="P109" s="230"/>
      <c r="Q109" s="230"/>
      <c r="R109" s="230"/>
      <c r="S109" s="230"/>
      <c r="T109" s="124" t="s">
        <v>661</v>
      </c>
      <c r="U109" s="228">
        <f>B109</f>
        <v>27</v>
      </c>
      <c r="V109" s="8657" t="str">
        <f>IF(AA109&lt;&gt;"",AA109,IF(OR(M25&lt;&gt;"",M27=""),"",IF(X41&gt;1,AB42,AB41)))</f>
        <v/>
      </c>
      <c r="W109" s="8658"/>
      <c r="X109" s="1170"/>
      <c r="Y109" s="1170"/>
      <c r="Z109" s="1170"/>
      <c r="AA109" s="1388"/>
    </row>
    <row r="110" spans="1:33" ht="15.75" customHeight="1">
      <c r="A110" s="66"/>
      <c r="B110" s="3026">
        <v>28</v>
      </c>
      <c r="C110" s="222" t="s">
        <v>3424</v>
      </c>
      <c r="D110" s="111"/>
      <c r="E110" s="111"/>
      <c r="F110" s="111"/>
      <c r="G110" s="111"/>
      <c r="H110" s="111"/>
      <c r="I110" s="111"/>
      <c r="J110" s="111"/>
      <c r="K110" s="111"/>
      <c r="L110" s="111"/>
      <c r="M110" s="111"/>
      <c r="N110" s="124"/>
      <c r="O110" s="111"/>
      <c r="P110" s="111"/>
      <c r="Q110" s="111"/>
      <c r="R110" s="111"/>
      <c r="S110" s="111"/>
      <c r="T110" s="124" t="s">
        <v>3065</v>
      </c>
      <c r="U110" s="228">
        <f>B110</f>
        <v>28</v>
      </c>
      <c r="V110" s="8657" t="str">
        <f>IF(OR(M25&lt;&gt;"",M27=""),"",SUM(V100,V102))</f>
        <v/>
      </c>
      <c r="W110" s="8658"/>
      <c r="X110" s="1170"/>
      <c r="Y110" s="1170"/>
      <c r="Z110" s="1170"/>
      <c r="AA110" s="3010"/>
    </row>
    <row r="111" spans="1:33" ht="15.75" thickBot="1">
      <c r="A111" s="66"/>
      <c r="B111" s="3026">
        <v>29</v>
      </c>
      <c r="C111" s="404" t="s">
        <v>3616</v>
      </c>
      <c r="D111" s="111"/>
      <c r="E111" s="111"/>
      <c r="F111" s="111"/>
      <c r="G111" s="111"/>
      <c r="H111" s="111"/>
      <c r="I111" s="404" t="s">
        <v>3617</v>
      </c>
      <c r="J111" s="404"/>
      <c r="K111" s="111"/>
      <c r="L111" s="111"/>
      <c r="M111" s="111"/>
      <c r="N111" s="111"/>
      <c r="O111" s="111"/>
      <c r="P111" s="111"/>
      <c r="Q111" s="111"/>
      <c r="R111" s="111"/>
      <c r="S111" s="111"/>
      <c r="T111" s="111"/>
      <c r="U111" s="3841"/>
      <c r="V111" s="1199"/>
      <c r="W111" s="1199"/>
      <c r="X111" s="1170"/>
      <c r="Y111" s="1170"/>
      <c r="Z111" s="1170"/>
      <c r="AA111" s="3010"/>
    </row>
    <row r="112" spans="1:33" ht="15.75" thickBot="1">
      <c r="A112" s="66"/>
      <c r="B112" s="2681"/>
      <c r="C112" s="397" t="s">
        <v>3618</v>
      </c>
      <c r="D112" s="2527"/>
      <c r="E112" s="2527"/>
      <c r="F112" s="404" t="str">
        <f>" If you paid "&amp;TaxYear-1&amp;" expenses in "&amp;TaxYear&amp;", see the instruction for line 9b"</f>
        <v xml:space="preserve"> If you paid 2022 expenses in 2023, see the instruction for line 9b</v>
      </c>
      <c r="G112" s="1209"/>
      <c r="H112" s="1209"/>
      <c r="I112" s="1209"/>
      <c r="J112" s="1209"/>
      <c r="K112" s="1209"/>
      <c r="L112" s="1209"/>
      <c r="M112" s="111"/>
      <c r="N112" s="124"/>
      <c r="O112" s="124"/>
      <c r="P112" s="124"/>
      <c r="Q112" s="124"/>
      <c r="R112" s="124"/>
      <c r="S112" s="124"/>
      <c r="T112" s="124" t="s">
        <v>677</v>
      </c>
      <c r="U112" s="228">
        <f>B111</f>
        <v>29</v>
      </c>
      <c r="V112" s="8631" t="str">
        <f>IF(AA112&lt;&gt;"",ROUND(AA112,0),IF(OR(M25&lt;&gt;"",M27=""),"",IF(SUM(V109,-V110)&gt;=0,SUM(V109,-V110),"STOP")))</f>
        <v/>
      </c>
      <c r="W112" s="7316"/>
      <c r="X112" s="1170"/>
      <c r="Y112" s="1170"/>
      <c r="Z112" s="1170"/>
      <c r="AA112" s="1388"/>
    </row>
    <row r="113" spans="1:43" ht="15.75" thickBot="1">
      <c r="A113" s="66"/>
      <c r="B113" s="3026">
        <v>30</v>
      </c>
      <c r="C113" s="404" t="s">
        <v>3619</v>
      </c>
      <c r="D113" s="133"/>
      <c r="E113" s="133"/>
      <c r="F113" s="133"/>
      <c r="G113" s="111"/>
      <c r="H113" s="111"/>
      <c r="I113" s="111"/>
      <c r="J113" s="111"/>
      <c r="K113" s="111"/>
      <c r="L113" s="111"/>
      <c r="M113" s="111"/>
      <c r="N113" s="111"/>
      <c r="O113" s="4526"/>
      <c r="P113" s="4527"/>
      <c r="Q113" s="4527"/>
      <c r="R113" s="4527"/>
      <c r="S113" s="4527"/>
      <c r="T113" s="4528"/>
      <c r="U113" s="3841"/>
      <c r="V113" s="1199"/>
      <c r="W113" s="1199"/>
      <c r="X113" s="1170"/>
      <c r="Y113" s="1170"/>
      <c r="Z113" s="1170"/>
      <c r="AA113" s="3010"/>
    </row>
    <row r="114" spans="1:43" ht="15" thickBot="1">
      <c r="A114" s="66"/>
      <c r="B114" s="3026"/>
      <c r="C114" s="222" t="s">
        <v>5682</v>
      </c>
      <c r="D114" s="133"/>
      <c r="E114" s="133"/>
      <c r="F114" s="133"/>
      <c r="G114" s="111"/>
      <c r="H114" s="111"/>
      <c r="I114" s="111"/>
      <c r="J114" s="111"/>
      <c r="K114" s="111"/>
      <c r="L114" s="111"/>
      <c r="M114" s="111"/>
      <c r="N114" s="111"/>
      <c r="O114" s="111"/>
      <c r="P114" s="111"/>
      <c r="Q114" s="111"/>
      <c r="R114" s="111"/>
      <c r="S114" s="111"/>
      <c r="T114" s="124" t="s">
        <v>677</v>
      </c>
      <c r="U114" s="228">
        <f>B113</f>
        <v>30</v>
      </c>
      <c r="V114" s="8631" t="str">
        <f>IF(AA114&lt;&gt;"",AA114,IF(OR(M25&lt;&gt;"",M27=""),"",V41))</f>
        <v/>
      </c>
      <c r="W114" s="7316"/>
      <c r="X114" s="1170"/>
      <c r="Y114" s="1170"/>
      <c r="Z114" s="1170"/>
      <c r="AA114" s="1388"/>
    </row>
    <row r="115" spans="1:43" ht="15.75" thickBot="1">
      <c r="A115" s="66"/>
      <c r="B115" s="3026">
        <v>31</v>
      </c>
      <c r="C115" s="222" t="s">
        <v>3620</v>
      </c>
      <c r="D115" s="111"/>
      <c r="E115" s="111"/>
      <c r="F115" s="111"/>
      <c r="G115" s="111"/>
      <c r="H115" s="111"/>
      <c r="I115" s="111"/>
      <c r="J115" s="111"/>
      <c r="K115" s="111"/>
      <c r="L115" s="111"/>
      <c r="M115" s="111"/>
      <c r="N115" s="111"/>
      <c r="O115" s="4526"/>
      <c r="P115" s="4527"/>
      <c r="Q115" s="4527"/>
      <c r="R115" s="4527"/>
      <c r="S115" s="4527"/>
      <c r="T115" s="4528"/>
      <c r="U115" s="3841"/>
      <c r="V115" s="1199"/>
      <c r="W115" s="1199"/>
      <c r="X115" s="1170"/>
      <c r="Y115" s="1170"/>
      <c r="Z115" s="1170"/>
      <c r="AA115" s="3010"/>
    </row>
    <row r="116" spans="1:43" ht="17.25" customHeight="1" thickBot="1">
      <c r="A116" s="66"/>
      <c r="B116" s="3027"/>
      <c r="C116" s="4514" t="s">
        <v>3621</v>
      </c>
      <c r="D116" s="126"/>
      <c r="E116" s="126"/>
      <c r="F116" s="126"/>
      <c r="G116" s="126"/>
      <c r="H116" s="126"/>
      <c r="I116" s="126"/>
      <c r="J116" s="126"/>
      <c r="K116" s="126"/>
      <c r="L116" s="126"/>
      <c r="M116" s="126"/>
      <c r="N116" s="1203"/>
      <c r="O116" s="3746"/>
      <c r="P116" s="3746"/>
      <c r="Q116" s="3746"/>
      <c r="R116" s="3746"/>
      <c r="S116" s="3746"/>
      <c r="T116" s="4515" t="s">
        <v>1226</v>
      </c>
      <c r="U116" s="3746">
        <f>B115</f>
        <v>31</v>
      </c>
      <c r="V116" s="8629" t="str">
        <f>IF(AA116&lt;&gt;"",AA116,IF(OR(M25&lt;&gt;"",M27="",AD19&lt;&gt;""),"",IF(V112="STOP",0,MIN(V112,V114))))</f>
        <v/>
      </c>
      <c r="W116" s="8668"/>
      <c r="X116" s="1170"/>
      <c r="Y116" s="1170"/>
      <c r="Z116" s="1170"/>
      <c r="AA116" s="1388"/>
    </row>
    <row r="117" spans="1:43" ht="22.5" customHeight="1">
      <c r="A117" s="66"/>
      <c r="B117" s="129"/>
      <c r="C117" s="166"/>
      <c r="D117" s="166"/>
      <c r="E117" s="166"/>
      <c r="F117" s="166"/>
      <c r="G117" s="166"/>
      <c r="H117" s="166"/>
      <c r="I117" s="166"/>
      <c r="J117" s="166"/>
      <c r="K117" s="166"/>
      <c r="L117" s="166"/>
      <c r="M117" s="166"/>
      <c r="N117" s="221"/>
      <c r="O117" s="166"/>
      <c r="P117" s="166"/>
      <c r="Q117" s="166"/>
      <c r="R117" s="166"/>
      <c r="S117" s="166"/>
      <c r="T117" s="166"/>
      <c r="U117" s="166"/>
      <c r="V117" s="2829" t="str">
        <f>"Form 2441  ("&amp;TaxYear&amp;")"</f>
        <v>Form 2441  (2023)</v>
      </c>
      <c r="W117" s="124"/>
      <c r="X117" s="1170"/>
      <c r="Y117" s="1170"/>
      <c r="Z117" s="1170"/>
      <c r="AA117" s="3010"/>
    </row>
    <row r="118" spans="1:43" ht="17.25" customHeight="1" thickBot="1">
      <c r="A118" s="66"/>
      <c r="B118" s="21"/>
      <c r="C118" s="111"/>
      <c r="D118" s="111"/>
      <c r="E118" s="111"/>
      <c r="F118" s="111"/>
      <c r="G118" s="111"/>
      <c r="H118" s="111"/>
      <c r="I118" s="111"/>
      <c r="J118" s="21"/>
      <c r="K118" s="21"/>
      <c r="L118" s="111"/>
      <c r="M118" s="1173"/>
      <c r="N118" s="111"/>
      <c r="O118" s="111"/>
      <c r="P118" s="111"/>
      <c r="Q118" s="111"/>
      <c r="R118" s="111"/>
      <c r="S118" s="111"/>
      <c r="T118" s="111"/>
      <c r="U118" s="111"/>
      <c r="V118" s="1174"/>
      <c r="W118" s="1174"/>
      <c r="X118" s="1170"/>
      <c r="Y118" s="1170"/>
      <c r="Z118" s="1170"/>
    </row>
    <row r="119" spans="1:43" ht="21" customHeight="1">
      <c r="A119" s="66"/>
      <c r="B119" s="1204"/>
      <c r="C119" s="8684">
        <v>2441</v>
      </c>
      <c r="D119" s="8685"/>
      <c r="E119" s="8685"/>
      <c r="F119" s="8685"/>
      <c r="G119" s="167"/>
      <c r="H119" s="8644" t="s">
        <v>3622</v>
      </c>
      <c r="I119" s="8645"/>
      <c r="J119" s="8645"/>
      <c r="K119" s="8645"/>
      <c r="L119" s="8645"/>
      <c r="M119" s="8645"/>
      <c r="N119" s="8645"/>
      <c r="O119" s="8645"/>
      <c r="P119" s="8645"/>
      <c r="Q119" s="8645"/>
      <c r="R119" s="8645"/>
      <c r="S119" s="8645"/>
      <c r="T119" s="8645"/>
      <c r="U119" s="8646"/>
      <c r="V119" s="8662">
        <f>TaxYear</f>
        <v>2023</v>
      </c>
      <c r="W119" s="8663"/>
      <c r="X119" s="1170"/>
      <c r="Y119" s="1170"/>
      <c r="Z119" s="1170"/>
    </row>
    <row r="120" spans="1:43" ht="18.75" thickBot="1">
      <c r="A120" s="66"/>
      <c r="B120" s="1205" t="s">
        <v>50</v>
      </c>
      <c r="C120" s="8686"/>
      <c r="D120" s="8686"/>
      <c r="E120" s="8686"/>
      <c r="F120" s="8686"/>
      <c r="G120" s="1206"/>
      <c r="H120" s="8647" t="s">
        <v>3466</v>
      </c>
      <c r="I120" s="8648"/>
      <c r="J120" s="8648"/>
      <c r="K120" s="8648"/>
      <c r="L120" s="8648"/>
      <c r="M120" s="8648"/>
      <c r="N120" s="8648"/>
      <c r="O120" s="8648"/>
      <c r="P120" s="8648"/>
      <c r="Q120" s="8648"/>
      <c r="R120" s="8648"/>
      <c r="S120" s="8648"/>
      <c r="T120" s="8648"/>
      <c r="U120" s="8649"/>
      <c r="V120" s="8664"/>
      <c r="W120" s="8665"/>
      <c r="X120" s="1172"/>
      <c r="Y120" s="1172"/>
      <c r="Z120" s="1172"/>
      <c r="AA120" s="407"/>
    </row>
    <row r="121" spans="1:43" ht="18" customHeight="1">
      <c r="A121" s="66"/>
      <c r="B121" s="1207"/>
      <c r="C121" s="1208"/>
      <c r="D121" s="1208"/>
      <c r="E121" s="1208"/>
      <c r="F121" s="1208"/>
      <c r="G121" s="1209"/>
      <c r="H121" s="1210"/>
      <c r="I121" s="1210"/>
      <c r="J121" s="1210"/>
      <c r="K121" s="1209"/>
      <c r="L121" s="1209"/>
      <c r="M121" s="1209"/>
      <c r="N121" s="1209"/>
      <c r="O121" s="1209"/>
      <c r="P121" s="1209"/>
      <c r="Q121" s="1209"/>
      <c r="R121" s="1209"/>
      <c r="S121" s="1209"/>
      <c r="T121" s="1209"/>
      <c r="U121" s="1209"/>
      <c r="V121" s="5696"/>
      <c r="W121" s="5696"/>
      <c r="X121" s="1172"/>
      <c r="Y121" s="1172"/>
      <c r="Z121" s="1172"/>
      <c r="AA121" s="407"/>
      <c r="AB121" s="407"/>
    </row>
    <row r="122" spans="1:43" ht="14.25" customHeight="1">
      <c r="A122" s="66"/>
      <c r="B122" s="1211" t="s">
        <v>2208</v>
      </c>
      <c r="C122" s="1212"/>
      <c r="D122" s="1212"/>
      <c r="E122" s="1212"/>
      <c r="F122" s="1212"/>
      <c r="G122" s="1041"/>
      <c r="H122" s="123"/>
      <c r="I122" s="123"/>
      <c r="J122" s="123"/>
      <c r="K122" s="123"/>
      <c r="L122" s="5697"/>
      <c r="M122" s="1211"/>
      <c r="N122" s="1211"/>
      <c r="O122" s="1211"/>
      <c r="P122" s="1211"/>
      <c r="Q122" s="1211"/>
      <c r="R122" s="4474" t="s">
        <v>586</v>
      </c>
      <c r="S122" s="1211"/>
      <c r="T122" s="1211"/>
      <c r="U122" s="4474" t="s">
        <v>586</v>
      </c>
      <c r="V122" s="4475"/>
      <c r="W122" s="4475"/>
      <c r="X122" s="1171"/>
      <c r="Y122" s="1171"/>
      <c r="Z122" s="1171"/>
    </row>
    <row r="123" spans="1:43" ht="15">
      <c r="A123" s="66"/>
      <c r="B123" s="3842" t="str">
        <f>Names</f>
        <v/>
      </c>
      <c r="C123" s="932"/>
      <c r="D123" s="932"/>
      <c r="E123" s="932"/>
      <c r="F123" s="932"/>
      <c r="G123" s="933"/>
      <c r="H123" s="934"/>
      <c r="I123" s="934"/>
      <c r="J123" s="934"/>
      <c r="K123" s="934"/>
      <c r="L123" s="3009"/>
      <c r="M123" s="935"/>
      <c r="N123" s="935"/>
      <c r="O123" s="935"/>
      <c r="P123" s="935"/>
      <c r="Q123" s="935"/>
      <c r="R123" s="935"/>
      <c r="S123" s="935"/>
      <c r="T123" s="935"/>
      <c r="U123" s="8546">
        <f>IF(NoSSN,"",SS_Yours)</f>
        <v>1010001</v>
      </c>
      <c r="V123" s="8547"/>
      <c r="W123" s="8547"/>
      <c r="X123" s="1171"/>
      <c r="Y123" s="1171"/>
      <c r="Z123" s="1171"/>
    </row>
    <row r="124" spans="1:43" ht="15" customHeight="1">
      <c r="A124" s="66"/>
      <c r="B124" s="21"/>
      <c r="C124" s="111"/>
      <c r="D124" s="111"/>
      <c r="E124" s="111"/>
      <c r="F124" s="111"/>
      <c r="G124" s="111"/>
      <c r="H124" s="111"/>
      <c r="I124" s="111"/>
      <c r="J124" s="21"/>
      <c r="K124" s="21"/>
      <c r="L124" s="111"/>
      <c r="M124" s="1173"/>
      <c r="N124" s="111"/>
      <c r="O124" s="111"/>
      <c r="P124" s="111"/>
      <c r="Q124" s="111"/>
      <c r="R124" s="111"/>
      <c r="S124" s="111"/>
      <c r="T124" s="111"/>
      <c r="U124" s="111"/>
      <c r="V124" s="1174"/>
      <c r="W124" s="1174"/>
      <c r="X124" s="1170"/>
      <c r="Y124" s="1170"/>
      <c r="Z124" s="1170"/>
      <c r="AM124" s="887"/>
      <c r="AO124" s="887"/>
    </row>
    <row r="125" spans="1:43" ht="15" customHeight="1">
      <c r="A125" s="66"/>
      <c r="B125" s="1175" t="s">
        <v>884</v>
      </c>
      <c r="C125" s="1176" t="s">
        <v>3623</v>
      </c>
      <c r="D125" s="1176"/>
      <c r="E125" s="1176"/>
      <c r="F125" s="1176"/>
      <c r="G125" s="111"/>
      <c r="H125" s="111"/>
      <c r="I125" s="111"/>
      <c r="J125" s="111"/>
      <c r="K125" s="111"/>
      <c r="L125" s="111"/>
      <c r="M125" s="111"/>
      <c r="N125" s="111"/>
      <c r="O125" s="111"/>
      <c r="P125" s="111"/>
      <c r="Q125" s="111"/>
      <c r="R125" s="111"/>
      <c r="S125" s="111"/>
      <c r="T125" s="111"/>
      <c r="U125" s="111"/>
      <c r="V125" s="2677"/>
      <c r="W125" s="2677"/>
      <c r="X125" s="1170"/>
      <c r="Y125" s="1170"/>
      <c r="Z125" s="1170"/>
      <c r="AA125" s="887"/>
      <c r="AB125" s="887"/>
      <c r="AL125" s="887"/>
      <c r="AM125" s="887"/>
      <c r="AN125" s="887"/>
      <c r="AO125" s="887"/>
      <c r="AQ125" s="887"/>
    </row>
    <row r="126" spans="1:43">
      <c r="A126" s="66"/>
      <c r="B126" s="16"/>
      <c r="C126" s="1186"/>
      <c r="D126" s="16"/>
      <c r="E126" s="16"/>
      <c r="F126" s="16"/>
      <c r="G126" s="16"/>
      <c r="H126" s="16"/>
      <c r="I126" s="16"/>
      <c r="J126" s="16"/>
      <c r="K126" s="16"/>
      <c r="L126" s="16"/>
      <c r="M126" s="16"/>
      <c r="N126" s="16"/>
      <c r="O126" s="16"/>
      <c r="P126" s="16"/>
      <c r="Q126" s="16"/>
      <c r="R126" s="16"/>
      <c r="S126" s="16"/>
      <c r="T126" s="16"/>
      <c r="U126" s="16"/>
      <c r="V126" s="16"/>
      <c r="W126" s="16"/>
      <c r="X126" s="1170"/>
      <c r="Y126" s="1170"/>
      <c r="Z126" s="1170"/>
      <c r="AA126" s="887"/>
      <c r="AB126" s="887"/>
      <c r="AL126" s="887"/>
      <c r="AM126" s="887"/>
      <c r="AN126" s="887"/>
      <c r="AO126" s="887"/>
      <c r="AQ126" s="887"/>
    </row>
    <row r="127" spans="1:43" ht="27" customHeight="1">
      <c r="A127" s="66"/>
      <c r="B127" s="721" t="s">
        <v>3624</v>
      </c>
      <c r="C127" s="20" t="s">
        <v>3492</v>
      </c>
      <c r="D127" s="20"/>
      <c r="E127" s="20"/>
      <c r="F127" s="20"/>
      <c r="G127" s="1177"/>
      <c r="H127" s="1178"/>
      <c r="I127" s="111"/>
      <c r="J127" s="114" t="s">
        <v>3493</v>
      </c>
      <c r="K127" s="111"/>
      <c r="L127" s="111"/>
      <c r="M127" s="8530" t="s">
        <v>3625</v>
      </c>
      <c r="N127" s="8531"/>
      <c r="O127" s="8532"/>
      <c r="P127" s="7225"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27" s="8584"/>
      <c r="R127" s="8584"/>
      <c r="S127" s="8584"/>
      <c r="T127" s="8584"/>
      <c r="U127" s="8585"/>
      <c r="V127" s="8533" t="s">
        <v>3495</v>
      </c>
      <c r="W127" s="8534"/>
      <c r="X127" s="1170"/>
      <c r="Y127" s="1170"/>
      <c r="Z127" s="1170"/>
      <c r="AA127" s="887"/>
      <c r="AB127" s="887"/>
      <c r="AL127" s="887"/>
      <c r="AM127" s="887"/>
      <c r="AN127" s="887"/>
      <c r="AO127" s="887"/>
      <c r="AQ127" s="887"/>
    </row>
    <row r="128" spans="1:43" ht="27" customHeight="1">
      <c r="A128" s="66"/>
      <c r="B128" s="5365"/>
      <c r="C128" s="2687" t="s">
        <v>3498</v>
      </c>
      <c r="D128" s="1179"/>
      <c r="E128" s="1179"/>
      <c r="F128" s="1179"/>
      <c r="G128" s="1180"/>
      <c r="H128" s="2686" t="s">
        <v>3499</v>
      </c>
      <c r="I128" s="115"/>
      <c r="J128" s="16"/>
      <c r="K128" s="16"/>
      <c r="L128" s="16"/>
      <c r="M128" s="8535" t="s">
        <v>3626</v>
      </c>
      <c r="N128" s="8536"/>
      <c r="O128" s="8537"/>
      <c r="P128" s="8586"/>
      <c r="Q128" s="8587"/>
      <c r="R128" s="8587"/>
      <c r="S128" s="8587"/>
      <c r="T128" s="8587"/>
      <c r="U128" s="8588"/>
      <c r="V128" s="2686" t="s">
        <v>3500</v>
      </c>
      <c r="W128" s="115"/>
      <c r="X128" s="1170"/>
      <c r="Y128" s="1170"/>
      <c r="Z128" s="1170"/>
      <c r="AA128" s="887"/>
      <c r="AB128" s="887"/>
      <c r="AL128" s="887"/>
      <c r="AN128" s="887"/>
      <c r="AQ128" s="887"/>
    </row>
    <row r="129" spans="1:26" ht="12" customHeight="1">
      <c r="A129" s="66"/>
      <c r="B129" s="8555"/>
      <c r="C129" s="8556"/>
      <c r="D129" s="8556"/>
      <c r="E129" s="8556"/>
      <c r="F129" s="8556"/>
      <c r="G129" s="8557"/>
      <c r="H129" s="8560"/>
      <c r="I129" s="8561"/>
      <c r="J129" s="8562"/>
      <c r="K129" s="8562"/>
      <c r="L129" s="8563"/>
      <c r="M129" s="4477"/>
      <c r="N129" s="4478"/>
      <c r="O129" s="4479"/>
      <c r="P129" s="4479"/>
      <c r="Q129" s="8564"/>
      <c r="R129" s="8568" t="s">
        <v>608</v>
      </c>
      <c r="S129" s="8569"/>
      <c r="T129" s="8549" t="str">
        <f>IF(AND(OR(B129&lt;&gt;"",V130&lt;&gt;""),Q129=""),"X","")</f>
        <v/>
      </c>
      <c r="U129" s="8572" t="s">
        <v>609</v>
      </c>
      <c r="V129" s="5027"/>
      <c r="W129" s="5028"/>
      <c r="X129" s="1170"/>
      <c r="Y129" s="1170"/>
      <c r="Z129" s="1170"/>
    </row>
    <row r="130" spans="1:26" ht="12" customHeight="1">
      <c r="A130" s="66"/>
      <c r="B130" s="8558"/>
      <c r="C130" s="8558"/>
      <c r="D130" s="8558"/>
      <c r="E130" s="8558"/>
      <c r="F130" s="8558"/>
      <c r="G130" s="8559"/>
      <c r="H130" s="8541"/>
      <c r="I130" s="8542"/>
      <c r="J130" s="8543"/>
      <c r="K130" s="8543"/>
      <c r="L130" s="8544"/>
      <c r="M130" s="4471"/>
      <c r="N130" s="4472"/>
      <c r="O130" s="4473"/>
      <c r="P130" s="4480"/>
      <c r="Q130" s="8565"/>
      <c r="R130" s="8570"/>
      <c r="S130" s="8571"/>
      <c r="T130" s="8550"/>
      <c r="U130" s="8573"/>
      <c r="V130" s="8566"/>
      <c r="W130" s="8567"/>
      <c r="X130" s="1170"/>
      <c r="Y130" s="1170"/>
      <c r="Z130" s="1170"/>
    </row>
    <row r="131" spans="1:26" ht="12" customHeight="1">
      <c r="A131" s="66"/>
      <c r="B131" s="8555"/>
      <c r="C131" s="8556"/>
      <c r="D131" s="8556"/>
      <c r="E131" s="8556"/>
      <c r="F131" s="8556"/>
      <c r="G131" s="8557"/>
      <c r="H131" s="8560"/>
      <c r="I131" s="8561"/>
      <c r="J131" s="8562"/>
      <c r="K131" s="8562"/>
      <c r="L131" s="8563"/>
      <c r="M131" s="4477"/>
      <c r="N131" s="4478"/>
      <c r="O131" s="4479"/>
      <c r="P131" s="4479"/>
      <c r="Q131" s="8564"/>
      <c r="R131" s="8568" t="s">
        <v>608</v>
      </c>
      <c r="S131" s="8569"/>
      <c r="T131" s="8549" t="str">
        <f>IF(AND(OR(B131&lt;&gt;"",V132&lt;&gt;""),Q131=""),"X","")</f>
        <v/>
      </c>
      <c r="U131" s="8572" t="s">
        <v>609</v>
      </c>
      <c r="V131" s="5027"/>
      <c r="W131" s="5028"/>
      <c r="X131" s="1170"/>
      <c r="Y131" s="1170"/>
      <c r="Z131" s="1170"/>
    </row>
    <row r="132" spans="1:26" ht="12" customHeight="1">
      <c r="A132" s="66"/>
      <c r="B132" s="8558"/>
      <c r="C132" s="8558"/>
      <c r="D132" s="8558"/>
      <c r="E132" s="8558"/>
      <c r="F132" s="8558"/>
      <c r="G132" s="8559"/>
      <c r="H132" s="8541"/>
      <c r="I132" s="8542"/>
      <c r="J132" s="8543"/>
      <c r="K132" s="8543"/>
      <c r="L132" s="8544"/>
      <c r="M132" s="4471"/>
      <c r="N132" s="4472"/>
      <c r="O132" s="4473"/>
      <c r="P132" s="4480"/>
      <c r="Q132" s="8565"/>
      <c r="R132" s="8570"/>
      <c r="S132" s="8571"/>
      <c r="T132" s="8550"/>
      <c r="U132" s="8573"/>
      <c r="V132" s="8566"/>
      <c r="W132" s="8567"/>
      <c r="X132" s="1170"/>
      <c r="Y132" s="1170"/>
      <c r="Z132" s="1170"/>
    </row>
    <row r="133" spans="1:26" ht="12" customHeight="1">
      <c r="A133" s="66"/>
      <c r="B133" s="8555"/>
      <c r="C133" s="8556"/>
      <c r="D133" s="8556"/>
      <c r="E133" s="8556"/>
      <c r="F133" s="8556"/>
      <c r="G133" s="8557"/>
      <c r="H133" s="8560"/>
      <c r="I133" s="8561"/>
      <c r="J133" s="8562"/>
      <c r="K133" s="8562"/>
      <c r="L133" s="8563"/>
      <c r="M133" s="4477"/>
      <c r="N133" s="4478"/>
      <c r="O133" s="4479"/>
      <c r="P133" s="4479"/>
      <c r="Q133" s="8564"/>
      <c r="R133" s="8568" t="s">
        <v>608</v>
      </c>
      <c r="S133" s="8569"/>
      <c r="T133" s="8549" t="str">
        <f>IF(AND(OR(B133&lt;&gt;"",V134&lt;&gt;""),Q133=""),"X","")</f>
        <v/>
      </c>
      <c r="U133" s="8572" t="s">
        <v>609</v>
      </c>
      <c r="V133" s="5027"/>
      <c r="W133" s="5028"/>
      <c r="X133" s="1170"/>
      <c r="Y133" s="1170"/>
      <c r="Z133" s="1170"/>
    </row>
    <row r="134" spans="1:26" ht="12" customHeight="1">
      <c r="A134" s="66"/>
      <c r="B134" s="8558"/>
      <c r="C134" s="8558"/>
      <c r="D134" s="8558"/>
      <c r="E134" s="8558"/>
      <c r="F134" s="8558"/>
      <c r="G134" s="8559"/>
      <c r="H134" s="8541"/>
      <c r="I134" s="8542"/>
      <c r="J134" s="8543"/>
      <c r="K134" s="8543"/>
      <c r="L134" s="8544"/>
      <c r="M134" s="4471"/>
      <c r="N134" s="4472"/>
      <c r="O134" s="4473"/>
      <c r="P134" s="4480"/>
      <c r="Q134" s="8565"/>
      <c r="R134" s="8570"/>
      <c r="S134" s="8571"/>
      <c r="T134" s="8550"/>
      <c r="U134" s="8573"/>
      <c r="V134" s="8566"/>
      <c r="W134" s="8567"/>
      <c r="X134" s="1170"/>
      <c r="Y134" s="1170"/>
      <c r="Z134" s="1170"/>
    </row>
    <row r="135" spans="1:26" ht="12" customHeight="1">
      <c r="A135" s="66"/>
      <c r="B135" s="8555"/>
      <c r="C135" s="8556"/>
      <c r="D135" s="8556"/>
      <c r="E135" s="8556"/>
      <c r="F135" s="8556"/>
      <c r="G135" s="8557"/>
      <c r="H135" s="8560"/>
      <c r="I135" s="8561"/>
      <c r="J135" s="8562"/>
      <c r="K135" s="8562"/>
      <c r="L135" s="8563"/>
      <c r="M135" s="4477"/>
      <c r="N135" s="4478"/>
      <c r="O135" s="4479"/>
      <c r="P135" s="4479"/>
      <c r="Q135" s="8564"/>
      <c r="R135" s="8568" t="s">
        <v>608</v>
      </c>
      <c r="S135" s="8569"/>
      <c r="T135" s="8549" t="str">
        <f>IF(AND(OR(B135&lt;&gt;"",V136&lt;&gt;""),Q135=""),"X","")</f>
        <v/>
      </c>
      <c r="U135" s="8572" t="s">
        <v>609</v>
      </c>
      <c r="V135" s="5027"/>
      <c r="W135" s="5028"/>
      <c r="X135" s="1170"/>
      <c r="Y135" s="1170"/>
      <c r="Z135" s="1170"/>
    </row>
    <row r="136" spans="1:26" ht="12" customHeight="1">
      <c r="A136" s="66"/>
      <c r="B136" s="8558"/>
      <c r="C136" s="8558"/>
      <c r="D136" s="8558"/>
      <c r="E136" s="8558"/>
      <c r="F136" s="8558"/>
      <c r="G136" s="8559"/>
      <c r="H136" s="8541"/>
      <c r="I136" s="8542"/>
      <c r="J136" s="8543"/>
      <c r="K136" s="8543"/>
      <c r="L136" s="8544"/>
      <c r="M136" s="4471"/>
      <c r="N136" s="4472"/>
      <c r="O136" s="4473"/>
      <c r="P136" s="4480"/>
      <c r="Q136" s="8565"/>
      <c r="R136" s="8570"/>
      <c r="S136" s="8571"/>
      <c r="T136" s="8550"/>
      <c r="U136" s="8573"/>
      <c r="V136" s="8566"/>
      <c r="W136" s="8567"/>
      <c r="X136" s="1170"/>
      <c r="Y136" s="1170"/>
      <c r="Z136" s="1170"/>
    </row>
    <row r="137" spans="1:26" ht="12" customHeight="1">
      <c r="A137" s="66"/>
      <c r="B137" s="8555"/>
      <c r="C137" s="8556"/>
      <c r="D137" s="8556"/>
      <c r="E137" s="8556"/>
      <c r="F137" s="8556"/>
      <c r="G137" s="8557"/>
      <c r="H137" s="8560"/>
      <c r="I137" s="8561"/>
      <c r="J137" s="8562"/>
      <c r="K137" s="8562"/>
      <c r="L137" s="8563"/>
      <c r="M137" s="4477"/>
      <c r="N137" s="4478"/>
      <c r="O137" s="4479"/>
      <c r="P137" s="4479"/>
      <c r="Q137" s="8564"/>
      <c r="R137" s="8568" t="s">
        <v>608</v>
      </c>
      <c r="S137" s="8569"/>
      <c r="T137" s="8549" t="str">
        <f>IF(AND(OR(B137&lt;&gt;"",V138&lt;&gt;""),Q137=""),"X","")</f>
        <v/>
      </c>
      <c r="U137" s="8572" t="s">
        <v>609</v>
      </c>
      <c r="V137" s="5027"/>
      <c r="W137" s="5028"/>
      <c r="X137" s="1170"/>
      <c r="Y137" s="1170"/>
      <c r="Z137" s="1170"/>
    </row>
    <row r="138" spans="1:26" ht="12" customHeight="1">
      <c r="A138" s="66"/>
      <c r="B138" s="8558"/>
      <c r="C138" s="8558"/>
      <c r="D138" s="8558"/>
      <c r="E138" s="8558"/>
      <c r="F138" s="8558"/>
      <c r="G138" s="8559"/>
      <c r="H138" s="8541"/>
      <c r="I138" s="8542"/>
      <c r="J138" s="8543"/>
      <c r="K138" s="8543"/>
      <c r="L138" s="8544"/>
      <c r="M138" s="4471"/>
      <c r="N138" s="4472"/>
      <c r="O138" s="4473"/>
      <c r="P138" s="4480"/>
      <c r="Q138" s="8565"/>
      <c r="R138" s="8570"/>
      <c r="S138" s="8571"/>
      <c r="T138" s="8550"/>
      <c r="U138" s="8573"/>
      <c r="V138" s="8566"/>
      <c r="W138" s="8567"/>
      <c r="X138" s="1170"/>
      <c r="Y138" s="1170"/>
      <c r="Z138" s="1170"/>
    </row>
    <row r="139" spans="1:26" ht="12" customHeight="1">
      <c r="A139" s="66"/>
      <c r="B139" s="8555"/>
      <c r="C139" s="8556"/>
      <c r="D139" s="8556"/>
      <c r="E139" s="8556"/>
      <c r="F139" s="8556"/>
      <c r="G139" s="8557"/>
      <c r="H139" s="8560"/>
      <c r="I139" s="8561"/>
      <c r="J139" s="8562"/>
      <c r="K139" s="8562"/>
      <c r="L139" s="8563"/>
      <c r="M139" s="4477"/>
      <c r="N139" s="4478"/>
      <c r="O139" s="4479"/>
      <c r="P139" s="4479"/>
      <c r="Q139" s="8564"/>
      <c r="R139" s="8568" t="s">
        <v>608</v>
      </c>
      <c r="S139" s="8569"/>
      <c r="T139" s="8549" t="str">
        <f>IF(AND(OR(B139&lt;&gt;"",V140&lt;&gt;""),Q139=""),"X","")</f>
        <v/>
      </c>
      <c r="U139" s="8572" t="s">
        <v>609</v>
      </c>
      <c r="V139" s="5027"/>
      <c r="W139" s="5028"/>
      <c r="X139" s="1170"/>
      <c r="Y139" s="1170"/>
      <c r="Z139" s="1170"/>
    </row>
    <row r="140" spans="1:26" ht="12" customHeight="1">
      <c r="A140" s="66"/>
      <c r="B140" s="8558"/>
      <c r="C140" s="8558"/>
      <c r="D140" s="8558"/>
      <c r="E140" s="8558"/>
      <c r="F140" s="8558"/>
      <c r="G140" s="8559"/>
      <c r="H140" s="8541"/>
      <c r="I140" s="8542"/>
      <c r="J140" s="8543"/>
      <c r="K140" s="8543"/>
      <c r="L140" s="8544"/>
      <c r="M140" s="4471"/>
      <c r="N140" s="4472"/>
      <c r="O140" s="4473"/>
      <c r="P140" s="4480"/>
      <c r="Q140" s="8565"/>
      <c r="R140" s="8570"/>
      <c r="S140" s="8571"/>
      <c r="T140" s="8550"/>
      <c r="U140" s="8573"/>
      <c r="V140" s="8566"/>
      <c r="W140" s="8567"/>
      <c r="X140" s="1170"/>
      <c r="Y140" s="1170"/>
      <c r="Z140" s="1170"/>
    </row>
    <row r="141" spans="1:26" ht="12" customHeight="1">
      <c r="A141" s="66"/>
      <c r="B141" s="8555"/>
      <c r="C141" s="8556"/>
      <c r="D141" s="8556"/>
      <c r="E141" s="8556"/>
      <c r="F141" s="8556"/>
      <c r="G141" s="8557"/>
      <c r="H141" s="8560"/>
      <c r="I141" s="8561"/>
      <c r="J141" s="8562"/>
      <c r="K141" s="8562"/>
      <c r="L141" s="8563"/>
      <c r="M141" s="4477"/>
      <c r="N141" s="4478"/>
      <c r="O141" s="4479"/>
      <c r="P141" s="4479"/>
      <c r="Q141" s="8564"/>
      <c r="R141" s="8568" t="s">
        <v>608</v>
      </c>
      <c r="S141" s="8569"/>
      <c r="T141" s="8549" t="str">
        <f>IF(AND(OR(B141&lt;&gt;"",V142&lt;&gt;""),Q141=""),"X","")</f>
        <v/>
      </c>
      <c r="U141" s="8572" t="s">
        <v>609</v>
      </c>
      <c r="V141" s="5027"/>
      <c r="W141" s="5028"/>
      <c r="X141" s="1170"/>
      <c r="Y141" s="1170"/>
      <c r="Z141" s="1170"/>
    </row>
    <row r="142" spans="1:26" ht="12" customHeight="1">
      <c r="A142" s="66"/>
      <c r="B142" s="8558"/>
      <c r="C142" s="8558"/>
      <c r="D142" s="8558"/>
      <c r="E142" s="8558"/>
      <c r="F142" s="8558"/>
      <c r="G142" s="8559"/>
      <c r="H142" s="8541"/>
      <c r="I142" s="8542"/>
      <c r="J142" s="8543"/>
      <c r="K142" s="8543"/>
      <c r="L142" s="8544"/>
      <c r="M142" s="4471"/>
      <c r="N142" s="4472"/>
      <c r="O142" s="4473"/>
      <c r="P142" s="4480"/>
      <c r="Q142" s="8565"/>
      <c r="R142" s="8570"/>
      <c r="S142" s="8571"/>
      <c r="T142" s="8550"/>
      <c r="U142" s="8573"/>
      <c r="V142" s="8566"/>
      <c r="W142" s="8567"/>
      <c r="X142" s="1170"/>
      <c r="Y142" s="1170"/>
      <c r="Z142" s="1170"/>
    </row>
    <row r="143" spans="1:26" ht="12" customHeight="1">
      <c r="A143" s="66"/>
      <c r="B143" s="8555"/>
      <c r="C143" s="8556"/>
      <c r="D143" s="8556"/>
      <c r="E143" s="8556"/>
      <c r="F143" s="8556"/>
      <c r="G143" s="8557"/>
      <c r="H143" s="8560"/>
      <c r="I143" s="8561"/>
      <c r="J143" s="8562"/>
      <c r="K143" s="8562"/>
      <c r="L143" s="8563"/>
      <c r="M143" s="4477"/>
      <c r="N143" s="4478"/>
      <c r="O143" s="4479"/>
      <c r="P143" s="4479"/>
      <c r="Q143" s="8564"/>
      <c r="R143" s="8568" t="s">
        <v>608</v>
      </c>
      <c r="S143" s="8569"/>
      <c r="T143" s="8549" t="str">
        <f>IF(AND(OR(B143&lt;&gt;"",V144&lt;&gt;""),Q143=""),"X","")</f>
        <v/>
      </c>
      <c r="U143" s="8572" t="s">
        <v>609</v>
      </c>
      <c r="V143" s="5027"/>
      <c r="W143" s="5028"/>
      <c r="X143" s="1170"/>
      <c r="Y143" s="1170"/>
      <c r="Z143" s="1170"/>
    </row>
    <row r="144" spans="1:26" ht="12" customHeight="1">
      <c r="A144" s="66"/>
      <c r="B144" s="8558"/>
      <c r="C144" s="8558"/>
      <c r="D144" s="8558"/>
      <c r="E144" s="8558"/>
      <c r="F144" s="8558"/>
      <c r="G144" s="8559"/>
      <c r="H144" s="8541"/>
      <c r="I144" s="8542"/>
      <c r="J144" s="8543"/>
      <c r="K144" s="8543"/>
      <c r="L144" s="8544"/>
      <c r="M144" s="4471"/>
      <c r="N144" s="4472"/>
      <c r="O144" s="4473"/>
      <c r="P144" s="4480"/>
      <c r="Q144" s="8565"/>
      <c r="R144" s="8570"/>
      <c r="S144" s="8571"/>
      <c r="T144" s="8550"/>
      <c r="U144" s="8573"/>
      <c r="V144" s="8566"/>
      <c r="W144" s="8567"/>
      <c r="X144" s="1170"/>
      <c r="Y144" s="1170"/>
      <c r="Z144" s="1170"/>
    </row>
    <row r="145" spans="1:41" ht="12" customHeight="1">
      <c r="A145" s="66"/>
      <c r="B145" s="8555"/>
      <c r="C145" s="8556"/>
      <c r="D145" s="8556"/>
      <c r="E145" s="8556"/>
      <c r="F145" s="8556"/>
      <c r="G145" s="8557"/>
      <c r="H145" s="8560"/>
      <c r="I145" s="8561"/>
      <c r="J145" s="8562"/>
      <c r="K145" s="8562"/>
      <c r="L145" s="8563"/>
      <c r="M145" s="4477"/>
      <c r="N145" s="4478"/>
      <c r="O145" s="4479"/>
      <c r="P145" s="4479"/>
      <c r="Q145" s="8564"/>
      <c r="R145" s="8568" t="s">
        <v>608</v>
      </c>
      <c r="S145" s="8569"/>
      <c r="T145" s="8549" t="str">
        <f>IF(AND(OR(B145&lt;&gt;"",V146&lt;&gt;""),Q145=""),"X","")</f>
        <v/>
      </c>
      <c r="U145" s="8572" t="s">
        <v>609</v>
      </c>
      <c r="V145" s="5027"/>
      <c r="W145" s="5028"/>
      <c r="X145" s="1170"/>
      <c r="Y145" s="1170"/>
      <c r="Z145" s="1170"/>
    </row>
    <row r="146" spans="1:41" ht="12" customHeight="1">
      <c r="A146" s="66"/>
      <c r="B146" s="8558"/>
      <c r="C146" s="8558"/>
      <c r="D146" s="8558"/>
      <c r="E146" s="8558"/>
      <c r="F146" s="8558"/>
      <c r="G146" s="8559"/>
      <c r="H146" s="8541"/>
      <c r="I146" s="8542"/>
      <c r="J146" s="8543"/>
      <c r="K146" s="8543"/>
      <c r="L146" s="8544"/>
      <c r="M146" s="4471"/>
      <c r="N146" s="4472"/>
      <c r="O146" s="4473"/>
      <c r="P146" s="4480"/>
      <c r="Q146" s="8565"/>
      <c r="R146" s="8570"/>
      <c r="S146" s="8571"/>
      <c r="T146" s="8550"/>
      <c r="U146" s="8573"/>
      <c r="V146" s="8566"/>
      <c r="W146" s="8567"/>
      <c r="X146" s="1170"/>
      <c r="Y146" s="1170"/>
      <c r="Z146" s="1170"/>
    </row>
    <row r="147" spans="1:41" ht="12" customHeight="1">
      <c r="A147" s="66"/>
      <c r="B147" s="8555"/>
      <c r="C147" s="8556"/>
      <c r="D147" s="8556"/>
      <c r="E147" s="8556"/>
      <c r="F147" s="8556"/>
      <c r="G147" s="8557"/>
      <c r="H147" s="8560"/>
      <c r="I147" s="8561"/>
      <c r="J147" s="8562"/>
      <c r="K147" s="8562"/>
      <c r="L147" s="8563"/>
      <c r="M147" s="4477"/>
      <c r="N147" s="4478"/>
      <c r="O147" s="4479"/>
      <c r="P147" s="4479"/>
      <c r="Q147" s="8564"/>
      <c r="R147" s="8568" t="s">
        <v>608</v>
      </c>
      <c r="S147" s="8569"/>
      <c r="T147" s="8549" t="str">
        <f>IF(AND(OR(B147&lt;&gt;"",V148&lt;&gt;""),Q147=""),"X","")</f>
        <v/>
      </c>
      <c r="U147" s="8572" t="s">
        <v>609</v>
      </c>
      <c r="V147" s="5027"/>
      <c r="W147" s="5028"/>
      <c r="X147" s="1170"/>
      <c r="Y147" s="1170"/>
      <c r="Z147" s="1170"/>
    </row>
    <row r="148" spans="1:41" ht="12" customHeight="1">
      <c r="A148" s="66"/>
      <c r="B148" s="8558"/>
      <c r="C148" s="8558"/>
      <c r="D148" s="8558"/>
      <c r="E148" s="8558"/>
      <c r="F148" s="8558"/>
      <c r="G148" s="8559"/>
      <c r="H148" s="8541"/>
      <c r="I148" s="8542"/>
      <c r="J148" s="8543"/>
      <c r="K148" s="8543"/>
      <c r="L148" s="8544"/>
      <c r="M148" s="4471"/>
      <c r="N148" s="4472"/>
      <c r="O148" s="4473"/>
      <c r="P148" s="4480"/>
      <c r="Q148" s="8565"/>
      <c r="R148" s="8570"/>
      <c r="S148" s="8571"/>
      <c r="T148" s="8550"/>
      <c r="U148" s="8573"/>
      <c r="V148" s="8566"/>
      <c r="W148" s="8567"/>
      <c r="X148" s="1170"/>
      <c r="Y148" s="1170"/>
      <c r="Z148" s="1170"/>
    </row>
    <row r="149" spans="1:41" ht="15" customHeight="1">
      <c r="A149" s="66"/>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70"/>
      <c r="Y149" s="1170"/>
      <c r="Z149" s="1170"/>
      <c r="AM149" s="2320"/>
      <c r="AO149" s="2320"/>
    </row>
    <row r="150" spans="1:41" ht="17.25" customHeight="1">
      <c r="A150" s="66"/>
      <c r="B150" s="3839" t="s">
        <v>982</v>
      </c>
      <c r="C150" s="2830" t="s">
        <v>3627</v>
      </c>
      <c r="D150" s="5693"/>
      <c r="E150" s="5693"/>
      <c r="F150" s="5693"/>
      <c r="G150" s="1187"/>
      <c r="H150" s="1187"/>
      <c r="I150" s="1187"/>
      <c r="J150" s="1187"/>
      <c r="K150" s="1187"/>
      <c r="L150" s="1774"/>
      <c r="M150" s="1187"/>
      <c r="N150" s="1187"/>
      <c r="O150" s="1187"/>
      <c r="P150" s="1187"/>
      <c r="Q150" s="1187"/>
      <c r="R150" s="1187"/>
      <c r="S150" s="1187"/>
      <c r="T150" s="1187"/>
      <c r="U150" s="1187"/>
      <c r="V150" s="1187"/>
      <c r="W150" s="1187"/>
      <c r="X150" s="1170"/>
      <c r="Y150" s="2321"/>
      <c r="Z150" s="1170"/>
      <c r="AA150" s="2320" t="str">
        <f>IF(AND(File_Marr_Sep&lt;&gt;"",$AD$19&lt;&gt;""),"Hide note.","")</f>
        <v/>
      </c>
      <c r="AM150" s="2320"/>
      <c r="AO150" s="2320"/>
    </row>
    <row r="151" spans="1:41">
      <c r="A151" s="66"/>
      <c r="B151" s="7049">
        <v>2</v>
      </c>
      <c r="C151" s="8621" t="s">
        <v>3628</v>
      </c>
      <c r="D151" s="8621"/>
      <c r="E151" s="8621"/>
      <c r="F151" s="8621"/>
      <c r="G151" s="8621"/>
      <c r="H151" s="8621"/>
      <c r="I151" s="8621"/>
      <c r="J151" s="8621"/>
      <c r="K151" s="8621"/>
      <c r="L151" s="8621"/>
      <c r="M151" s="111"/>
      <c r="N151" s="111"/>
      <c r="O151" s="111"/>
      <c r="P151" s="111"/>
      <c r="Q151" s="111"/>
      <c r="R151" s="111"/>
      <c r="S151" s="111"/>
      <c r="T151" s="111"/>
      <c r="U151" s="111"/>
      <c r="V151" s="111"/>
      <c r="W151" s="111"/>
      <c r="X151" s="1170"/>
      <c r="Y151" s="1170"/>
      <c r="Z151" s="1170"/>
      <c r="AA151" s="2320"/>
      <c r="AM151" s="2320"/>
      <c r="AO151" s="2320"/>
    </row>
    <row r="152" spans="1:41">
      <c r="A152" s="66"/>
      <c r="B152" s="8620"/>
      <c r="C152" s="8622"/>
      <c r="D152" s="8622"/>
      <c r="E152" s="8622"/>
      <c r="F152" s="8622"/>
      <c r="G152" s="8622"/>
      <c r="H152" s="8622"/>
      <c r="I152" s="8622"/>
      <c r="J152" s="8622"/>
      <c r="K152" s="8622"/>
      <c r="L152" s="8622"/>
      <c r="M152" s="16"/>
      <c r="N152" s="16"/>
      <c r="O152" s="16"/>
      <c r="P152" s="16"/>
      <c r="Q152" s="16"/>
      <c r="R152" s="16"/>
      <c r="S152" s="16"/>
      <c r="T152" s="16"/>
      <c r="U152" s="16"/>
      <c r="V152" s="16"/>
      <c r="W152" s="16"/>
      <c r="X152" s="1170"/>
      <c r="Y152" s="1170"/>
      <c r="Z152" s="1170"/>
      <c r="AA152" s="2320"/>
    </row>
    <row r="153" spans="1:41" ht="12.75" customHeight="1">
      <c r="A153" s="66"/>
      <c r="B153" s="111"/>
      <c r="C153" s="111"/>
      <c r="D153" s="111"/>
      <c r="E153" s="111"/>
      <c r="F153" s="111"/>
      <c r="G153" s="114" t="s">
        <v>3515</v>
      </c>
      <c r="H153" s="111"/>
      <c r="I153" s="111"/>
      <c r="J153" s="111"/>
      <c r="K153" s="111"/>
      <c r="L153" s="111"/>
      <c r="M153" s="8522" t="s">
        <v>3516</v>
      </c>
      <c r="N153" s="8523"/>
      <c r="O153" s="8523"/>
      <c r="P153" s="8523"/>
      <c r="Q153" s="8523"/>
      <c r="R153" s="8523"/>
      <c r="S153" s="8524"/>
      <c r="T153" s="8528" t="s">
        <v>3629</v>
      </c>
      <c r="U153" s="8529"/>
      <c r="V153" s="8529"/>
      <c r="W153" s="8529"/>
      <c r="X153" s="1170"/>
      <c r="Y153" s="1170"/>
      <c r="Z153" s="1170"/>
    </row>
    <row r="154" spans="1:41" ht="9.75" customHeight="1">
      <c r="A154" s="66"/>
      <c r="B154" s="111"/>
      <c r="C154" s="1188"/>
      <c r="D154" s="1188"/>
      <c r="E154" s="1188"/>
      <c r="F154" s="1188"/>
      <c r="G154" s="114"/>
      <c r="H154" s="111"/>
      <c r="I154" s="111"/>
      <c r="J154" s="20"/>
      <c r="K154" s="20"/>
      <c r="L154" s="111"/>
      <c r="M154" s="8522"/>
      <c r="N154" s="8523"/>
      <c r="O154" s="8523"/>
      <c r="P154" s="8523"/>
      <c r="Q154" s="8523"/>
      <c r="R154" s="8523"/>
      <c r="S154" s="8524"/>
      <c r="T154" s="8551" t="str">
        <f>"incurred and paid in "&amp;TaxYear&amp;" for"</f>
        <v>incurred and paid in 2023 for</v>
      </c>
      <c r="U154" s="8552"/>
      <c r="V154" s="8552"/>
      <c r="W154" s="8552"/>
      <c r="X154" s="1170"/>
      <c r="Y154" s="1170"/>
      <c r="Z154" s="1170"/>
    </row>
    <row r="155" spans="1:41" ht="10.5" customHeight="1">
      <c r="A155" s="66"/>
      <c r="B155" s="16"/>
      <c r="C155" s="1179" t="s">
        <v>3520</v>
      </c>
      <c r="D155" s="1179"/>
      <c r="E155" s="1179"/>
      <c r="F155" s="1179"/>
      <c r="G155" s="16"/>
      <c r="H155" s="16"/>
      <c r="I155" s="16"/>
      <c r="J155" s="115" t="s">
        <v>3521</v>
      </c>
      <c r="K155" s="115"/>
      <c r="L155" s="16"/>
      <c r="M155" s="8525"/>
      <c r="N155" s="8526"/>
      <c r="O155" s="8526"/>
      <c r="P155" s="8526"/>
      <c r="Q155" s="8526"/>
      <c r="R155" s="8526"/>
      <c r="S155" s="8527"/>
      <c r="T155" s="8553" t="s">
        <v>3522</v>
      </c>
      <c r="U155" s="8554"/>
      <c r="V155" s="8554"/>
      <c r="W155" s="8554"/>
      <c r="X155" s="1170"/>
      <c r="Y155" s="1170"/>
      <c r="Z155" s="1170"/>
      <c r="AM155" s="1652"/>
      <c r="AO155" s="1652"/>
    </row>
    <row r="156" spans="1:41" ht="24" customHeight="1">
      <c r="A156" s="66"/>
      <c r="B156" s="8516"/>
      <c r="C156" s="8517"/>
      <c r="D156" s="8517"/>
      <c r="E156" s="8517"/>
      <c r="F156" s="8517"/>
      <c r="G156" s="8518"/>
      <c r="H156" s="8516"/>
      <c r="I156" s="8517"/>
      <c r="J156" s="8517"/>
      <c r="K156" s="8517"/>
      <c r="L156" s="8518"/>
      <c r="M156" s="8519"/>
      <c r="N156" s="8520"/>
      <c r="O156" s="8520"/>
      <c r="P156" s="8520"/>
      <c r="Q156" s="8520"/>
      <c r="R156" s="8520"/>
      <c r="S156" s="8521"/>
      <c r="T156" s="8511"/>
      <c r="U156" s="8512"/>
      <c r="V156" s="8512"/>
      <c r="W156" s="8512"/>
      <c r="X156" s="1170">
        <f>IF(T156&lt;&gt;"",1,0)</f>
        <v>0</v>
      </c>
      <c r="Y156" s="1170"/>
      <c r="Z156" s="1170"/>
      <c r="AA156" s="1652"/>
      <c r="AM156" s="550"/>
      <c r="AO156" s="550"/>
    </row>
    <row r="157" spans="1:41" ht="24" customHeight="1">
      <c r="A157" s="66"/>
      <c r="B157" s="8516"/>
      <c r="C157" s="8517"/>
      <c r="D157" s="8517"/>
      <c r="E157" s="8517"/>
      <c r="F157" s="8517"/>
      <c r="G157" s="8518"/>
      <c r="H157" s="8516"/>
      <c r="I157" s="8517"/>
      <c r="J157" s="8517"/>
      <c r="K157" s="8517"/>
      <c r="L157" s="8518"/>
      <c r="M157" s="8519"/>
      <c r="N157" s="8520"/>
      <c r="O157" s="8520"/>
      <c r="P157" s="8520"/>
      <c r="Q157" s="8520"/>
      <c r="R157" s="8520"/>
      <c r="S157" s="8521"/>
      <c r="T157" s="8511"/>
      <c r="U157" s="8512"/>
      <c r="V157" s="8512"/>
      <c r="W157" s="8512"/>
      <c r="X157" s="1170">
        <f t="shared" ref="X157:X166" si="0">IF(T157&lt;&gt;"",1,0)</f>
        <v>0</v>
      </c>
      <c r="Y157" s="1170"/>
      <c r="Z157" s="1170"/>
      <c r="AA157" s="550"/>
      <c r="AM157" s="550"/>
      <c r="AO157" s="550"/>
    </row>
    <row r="158" spans="1:41" ht="24" customHeight="1">
      <c r="A158" s="66"/>
      <c r="B158" s="8516"/>
      <c r="C158" s="8517"/>
      <c r="D158" s="8517"/>
      <c r="E158" s="8517"/>
      <c r="F158" s="8517"/>
      <c r="G158" s="8518"/>
      <c r="H158" s="8516"/>
      <c r="I158" s="8517"/>
      <c r="J158" s="8517"/>
      <c r="K158" s="8517"/>
      <c r="L158" s="8518"/>
      <c r="M158" s="8519"/>
      <c r="N158" s="8520"/>
      <c r="O158" s="8520"/>
      <c r="P158" s="8520"/>
      <c r="Q158" s="8520"/>
      <c r="R158" s="8520"/>
      <c r="S158" s="8521"/>
      <c r="T158" s="8511"/>
      <c r="U158" s="8512"/>
      <c r="V158" s="8512"/>
      <c r="W158" s="8512"/>
      <c r="X158" s="1170">
        <f t="shared" si="0"/>
        <v>0</v>
      </c>
      <c r="Y158" s="1170"/>
      <c r="Z158" s="1170"/>
      <c r="AA158" s="550"/>
      <c r="AM158" s="550"/>
      <c r="AO158" s="550"/>
    </row>
    <row r="159" spans="1:41" ht="24" customHeight="1">
      <c r="A159" s="66"/>
      <c r="B159" s="8516"/>
      <c r="C159" s="8517"/>
      <c r="D159" s="8517"/>
      <c r="E159" s="8517"/>
      <c r="F159" s="8517"/>
      <c r="G159" s="8518"/>
      <c r="H159" s="8516"/>
      <c r="I159" s="8517"/>
      <c r="J159" s="8517"/>
      <c r="K159" s="8517"/>
      <c r="L159" s="8518"/>
      <c r="M159" s="8519"/>
      <c r="N159" s="8520"/>
      <c r="O159" s="8520"/>
      <c r="P159" s="8520"/>
      <c r="Q159" s="8520"/>
      <c r="R159" s="8520"/>
      <c r="S159" s="8521"/>
      <c r="T159" s="8511"/>
      <c r="U159" s="8512"/>
      <c r="V159" s="8512"/>
      <c r="W159" s="8512"/>
      <c r="X159" s="1170">
        <f t="shared" si="0"/>
        <v>0</v>
      </c>
      <c r="Y159" s="1170"/>
      <c r="Z159" s="1170"/>
      <c r="AA159" s="550"/>
      <c r="AM159" s="550"/>
      <c r="AO159" s="550"/>
    </row>
    <row r="160" spans="1:41" ht="24" customHeight="1">
      <c r="A160" s="66"/>
      <c r="B160" s="8516"/>
      <c r="C160" s="8517"/>
      <c r="D160" s="8517"/>
      <c r="E160" s="8517"/>
      <c r="F160" s="8517"/>
      <c r="G160" s="8518"/>
      <c r="H160" s="8516"/>
      <c r="I160" s="8517"/>
      <c r="J160" s="8517"/>
      <c r="K160" s="8517"/>
      <c r="L160" s="8518"/>
      <c r="M160" s="8519"/>
      <c r="N160" s="8520"/>
      <c r="O160" s="8520"/>
      <c r="P160" s="8520"/>
      <c r="Q160" s="8520"/>
      <c r="R160" s="8520"/>
      <c r="S160" s="8521"/>
      <c r="T160" s="8511"/>
      <c r="U160" s="8512"/>
      <c r="V160" s="8512"/>
      <c r="W160" s="8512"/>
      <c r="X160" s="1170">
        <f t="shared" si="0"/>
        <v>0</v>
      </c>
      <c r="Y160" s="1170"/>
      <c r="Z160" s="1170"/>
      <c r="AA160" s="550"/>
      <c r="AM160" s="550"/>
      <c r="AO160" s="550"/>
    </row>
    <row r="161" spans="1:41" ht="24" customHeight="1">
      <c r="A161" s="66"/>
      <c r="B161" s="8516"/>
      <c r="C161" s="8517"/>
      <c r="D161" s="8517"/>
      <c r="E161" s="8517"/>
      <c r="F161" s="8517"/>
      <c r="G161" s="8518"/>
      <c r="H161" s="8516"/>
      <c r="I161" s="8517"/>
      <c r="J161" s="8517"/>
      <c r="K161" s="8517"/>
      <c r="L161" s="8518"/>
      <c r="M161" s="8519"/>
      <c r="N161" s="8520"/>
      <c r="O161" s="8520"/>
      <c r="P161" s="8520"/>
      <c r="Q161" s="8520"/>
      <c r="R161" s="8520"/>
      <c r="S161" s="8521"/>
      <c r="T161" s="8511"/>
      <c r="U161" s="8512"/>
      <c r="V161" s="8512"/>
      <c r="W161" s="8512"/>
      <c r="X161" s="1170">
        <f t="shared" si="0"/>
        <v>0</v>
      </c>
      <c r="Y161" s="1170"/>
      <c r="Z161" s="1170"/>
      <c r="AA161" s="550"/>
      <c r="AM161" s="550"/>
      <c r="AO161" s="550"/>
    </row>
    <row r="162" spans="1:41" ht="24" customHeight="1">
      <c r="A162" s="66"/>
      <c r="B162" s="8516"/>
      <c r="C162" s="8517"/>
      <c r="D162" s="8517"/>
      <c r="E162" s="8517"/>
      <c r="F162" s="8517"/>
      <c r="G162" s="8518"/>
      <c r="H162" s="8516"/>
      <c r="I162" s="8517"/>
      <c r="J162" s="8517"/>
      <c r="K162" s="8517"/>
      <c r="L162" s="8518"/>
      <c r="M162" s="8519"/>
      <c r="N162" s="8520"/>
      <c r="O162" s="8520"/>
      <c r="P162" s="8520"/>
      <c r="Q162" s="8520"/>
      <c r="R162" s="8520"/>
      <c r="S162" s="8521"/>
      <c r="T162" s="8511"/>
      <c r="U162" s="8512"/>
      <c r="V162" s="8512"/>
      <c r="W162" s="8512"/>
      <c r="X162" s="1170">
        <f t="shared" si="0"/>
        <v>0</v>
      </c>
      <c r="Y162" s="1170"/>
      <c r="Z162" s="1170"/>
      <c r="AA162" s="550"/>
      <c r="AM162" s="550"/>
      <c r="AO162" s="550"/>
    </row>
    <row r="163" spans="1:41" ht="24" customHeight="1">
      <c r="A163" s="66"/>
      <c r="B163" s="8516"/>
      <c r="C163" s="8517"/>
      <c r="D163" s="8517"/>
      <c r="E163" s="8517"/>
      <c r="F163" s="8517"/>
      <c r="G163" s="8518"/>
      <c r="H163" s="8516"/>
      <c r="I163" s="8517"/>
      <c r="J163" s="8517"/>
      <c r="K163" s="8517"/>
      <c r="L163" s="8518"/>
      <c r="M163" s="8519"/>
      <c r="N163" s="8520"/>
      <c r="O163" s="8520"/>
      <c r="P163" s="8520"/>
      <c r="Q163" s="8520"/>
      <c r="R163" s="8520"/>
      <c r="S163" s="8521"/>
      <c r="T163" s="8511"/>
      <c r="U163" s="8512"/>
      <c r="V163" s="8512"/>
      <c r="W163" s="8512"/>
      <c r="X163" s="1170">
        <f t="shared" si="0"/>
        <v>0</v>
      </c>
      <c r="Y163" s="1170"/>
      <c r="Z163" s="1170"/>
      <c r="AA163" s="550"/>
      <c r="AM163" s="550"/>
      <c r="AO163" s="550"/>
    </row>
    <row r="164" spans="1:41" ht="24" customHeight="1">
      <c r="A164" s="66"/>
      <c r="B164" s="8516"/>
      <c r="C164" s="8517"/>
      <c r="D164" s="8517"/>
      <c r="E164" s="8517"/>
      <c r="F164" s="8517"/>
      <c r="G164" s="8518"/>
      <c r="H164" s="8516"/>
      <c r="I164" s="8517"/>
      <c r="J164" s="8517"/>
      <c r="K164" s="8517"/>
      <c r="L164" s="8518"/>
      <c r="M164" s="8519"/>
      <c r="N164" s="8520"/>
      <c r="O164" s="8520"/>
      <c r="P164" s="8520"/>
      <c r="Q164" s="8520"/>
      <c r="R164" s="8520"/>
      <c r="S164" s="8521"/>
      <c r="T164" s="8511"/>
      <c r="U164" s="8512"/>
      <c r="V164" s="8512"/>
      <c r="W164" s="8512"/>
      <c r="X164" s="1170">
        <f t="shared" si="0"/>
        <v>0</v>
      </c>
      <c r="Y164" s="1170"/>
      <c r="Z164" s="1170"/>
      <c r="AA164" s="550"/>
      <c r="AM164" s="550"/>
      <c r="AO164" s="550"/>
    </row>
    <row r="165" spans="1:41" ht="24" customHeight="1">
      <c r="A165" s="66"/>
      <c r="B165" s="8516"/>
      <c r="C165" s="8517"/>
      <c r="D165" s="8517"/>
      <c r="E165" s="8517"/>
      <c r="F165" s="8517"/>
      <c r="G165" s="8518"/>
      <c r="H165" s="8516"/>
      <c r="I165" s="8517"/>
      <c r="J165" s="8517"/>
      <c r="K165" s="8517"/>
      <c r="L165" s="8518"/>
      <c r="M165" s="8519"/>
      <c r="N165" s="8520"/>
      <c r="O165" s="8520"/>
      <c r="P165" s="8520"/>
      <c r="Q165" s="8520"/>
      <c r="R165" s="8520"/>
      <c r="S165" s="8521"/>
      <c r="T165" s="8511"/>
      <c r="U165" s="8512"/>
      <c r="V165" s="8512"/>
      <c r="W165" s="8512"/>
      <c r="X165" s="1170">
        <f t="shared" si="0"/>
        <v>0</v>
      </c>
      <c r="Y165" s="1170"/>
      <c r="Z165" s="1170"/>
      <c r="AA165" s="550"/>
      <c r="AM165" s="550"/>
      <c r="AO165" s="550"/>
    </row>
    <row r="166" spans="1:41" ht="24" customHeight="1">
      <c r="A166" s="66"/>
      <c r="B166" s="8516"/>
      <c r="C166" s="8517"/>
      <c r="D166" s="8517"/>
      <c r="E166" s="8517"/>
      <c r="F166" s="8517"/>
      <c r="G166" s="8518"/>
      <c r="H166" s="8516"/>
      <c r="I166" s="8517"/>
      <c r="J166" s="8517"/>
      <c r="K166" s="8517"/>
      <c r="L166" s="8518"/>
      <c r="M166" s="8519"/>
      <c r="N166" s="8520"/>
      <c r="O166" s="8520"/>
      <c r="P166" s="8520"/>
      <c r="Q166" s="8520"/>
      <c r="R166" s="8520"/>
      <c r="S166" s="8521"/>
      <c r="T166" s="8511"/>
      <c r="U166" s="8512"/>
      <c r="V166" s="8512"/>
      <c r="W166" s="8512"/>
      <c r="X166" s="1170">
        <f t="shared" si="0"/>
        <v>0</v>
      </c>
      <c r="Y166" s="1170"/>
      <c r="Z166" s="1170"/>
      <c r="AA166" s="550"/>
    </row>
    <row r="167" spans="1:41" ht="7.5" customHeight="1">
      <c r="A167" s="66"/>
      <c r="B167" s="446"/>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1170"/>
      <c r="Y167" s="1170"/>
      <c r="Z167" s="1170"/>
    </row>
    <row r="168" spans="1:41" ht="23.25" customHeight="1">
      <c r="A168" s="66"/>
      <c r="B168" s="4502"/>
      <c r="C168" s="4506" t="s">
        <v>3630</v>
      </c>
      <c r="D168" s="4502"/>
      <c r="E168" s="4502"/>
      <c r="F168" s="4502"/>
      <c r="G168" s="4502"/>
      <c r="H168" s="4502"/>
      <c r="I168" s="4502"/>
      <c r="J168" s="4502"/>
      <c r="K168" s="4502"/>
      <c r="L168" s="4502"/>
      <c r="M168" s="4502"/>
      <c r="N168" s="4502"/>
      <c r="O168" s="4502"/>
      <c r="P168" s="4502"/>
      <c r="Q168" s="4502"/>
      <c r="R168" s="4502"/>
      <c r="S168" s="4502"/>
      <c r="T168" s="4502"/>
      <c r="U168" s="4502"/>
      <c r="V168" s="4502"/>
      <c r="W168" s="4502"/>
      <c r="X168" s="1170"/>
      <c r="Y168" s="1170"/>
      <c r="Z168" s="1170"/>
    </row>
    <row r="169" spans="1:41" ht="13.5" customHeight="1">
      <c r="A169" s="66"/>
      <c r="B169" s="4502"/>
      <c r="C169" s="4505"/>
      <c r="D169" s="4502"/>
      <c r="E169" s="4502"/>
      <c r="F169" s="4502"/>
      <c r="G169" s="4502"/>
      <c r="H169" s="4502"/>
      <c r="I169" s="4502"/>
      <c r="J169" s="4502"/>
      <c r="K169" s="4502"/>
      <c r="L169" s="4502"/>
      <c r="M169" s="4502"/>
      <c r="N169" s="4502"/>
      <c r="O169" s="4502"/>
      <c r="P169" s="4502"/>
      <c r="Q169" s="4502"/>
      <c r="R169" s="4502"/>
      <c r="S169" s="4502"/>
      <c r="T169" s="4502"/>
      <c r="U169" s="4502"/>
      <c r="V169" s="4502"/>
      <c r="W169" s="4502"/>
      <c r="X169" s="1170"/>
      <c r="Y169" s="1170"/>
      <c r="Z169" s="1170"/>
    </row>
    <row r="170" spans="1:41" ht="13.5" customHeight="1">
      <c r="A170" s="66"/>
      <c r="B170" s="4502"/>
      <c r="C170" s="2543" t="s">
        <v>3631</v>
      </c>
      <c r="D170" s="2543"/>
      <c r="E170" s="4519"/>
      <c r="F170" s="4502"/>
      <c r="G170" s="4502"/>
      <c r="H170" s="4502"/>
      <c r="I170" s="4502"/>
      <c r="J170" s="4502"/>
      <c r="K170" s="4502"/>
      <c r="L170" s="4502"/>
      <c r="M170" s="4502"/>
      <c r="N170" s="4502"/>
      <c r="O170" s="4502"/>
      <c r="P170" s="4502"/>
      <c r="Q170" s="4502"/>
      <c r="R170" s="4502"/>
      <c r="S170" s="4502"/>
      <c r="T170" s="4502"/>
      <c r="U170" s="4502"/>
      <c r="V170" s="4502"/>
      <c r="W170" s="4502"/>
      <c r="X170" s="1170"/>
      <c r="Y170" s="1170"/>
      <c r="Z170" s="1170"/>
    </row>
    <row r="171" spans="1:41" ht="13.5" customHeight="1">
      <c r="A171" s="66"/>
      <c r="B171" s="4502"/>
      <c r="C171" s="4503"/>
      <c r="D171" s="2543"/>
      <c r="E171" s="4502"/>
      <c r="F171" s="4502"/>
      <c r="G171" s="4502"/>
      <c r="H171" s="4502"/>
      <c r="I171" s="4502"/>
      <c r="J171" s="4502"/>
      <c r="K171" s="4502"/>
      <c r="L171" s="4502"/>
      <c r="M171" s="4502"/>
      <c r="N171" s="4502"/>
      <c r="O171" s="4502"/>
      <c r="P171" s="4502"/>
      <c r="Q171" s="4502"/>
      <c r="R171" s="1018"/>
      <c r="S171" s="4502"/>
      <c r="T171" s="4502"/>
      <c r="U171" s="4502"/>
      <c r="V171" s="4502"/>
      <c r="W171" s="4502"/>
      <c r="X171" s="1170"/>
      <c r="Y171" s="1170"/>
      <c r="Z171" s="1170"/>
    </row>
    <row r="172" spans="1:41" ht="13.5" customHeight="1">
      <c r="A172" s="66"/>
      <c r="B172" s="4502"/>
      <c r="C172" s="4503" t="s">
        <v>167</v>
      </c>
      <c r="D172" s="4502" t="s">
        <v>3632</v>
      </c>
      <c r="E172" s="4502"/>
      <c r="F172" s="4502"/>
      <c r="G172" s="4502"/>
      <c r="H172" s="4502"/>
      <c r="I172" s="4502"/>
      <c r="J172" s="4502"/>
      <c r="K172" s="4502"/>
      <c r="L172" s="4502"/>
      <c r="M172" s="4502"/>
      <c r="N172" s="4502"/>
      <c r="O172" s="4502"/>
      <c r="P172" s="4502"/>
      <c r="Q172" s="4502"/>
      <c r="R172" s="4502"/>
      <c r="S172" s="4502"/>
      <c r="T172" s="4502"/>
      <c r="U172" s="4502"/>
      <c r="V172" s="4502"/>
      <c r="W172" s="4502"/>
      <c r="X172" s="1170"/>
      <c r="Y172" s="1170"/>
      <c r="Z172" s="1170"/>
    </row>
    <row r="173" spans="1:41" ht="13.5" customHeight="1">
      <c r="A173" s="66"/>
      <c r="B173" s="4502"/>
      <c r="C173" s="4504"/>
      <c r="D173" s="4502" t="s">
        <v>3633</v>
      </c>
      <c r="E173" s="4502"/>
      <c r="F173" s="4502"/>
      <c r="G173" s="4502"/>
      <c r="H173" s="4502"/>
      <c r="I173" s="4502"/>
      <c r="J173" s="4502"/>
      <c r="K173" s="4502"/>
      <c r="L173" s="4502"/>
      <c r="M173" s="4502"/>
      <c r="N173" s="4502"/>
      <c r="O173" s="4502"/>
      <c r="P173" s="4502"/>
      <c r="Q173" s="4502"/>
      <c r="R173" s="1018"/>
      <c r="S173" s="4502"/>
      <c r="T173" s="124" t="s">
        <v>2490</v>
      </c>
      <c r="U173" s="1018" t="s">
        <v>167</v>
      </c>
      <c r="V173" s="4467" t="str">
        <f>IF(K28&lt;&gt;"","",Tax)</f>
        <v/>
      </c>
      <c r="W173" s="4502"/>
      <c r="X173" s="1170"/>
      <c r="Y173" s="1170"/>
      <c r="Z173" s="1170"/>
    </row>
    <row r="174" spans="1:41">
      <c r="A174" s="66"/>
      <c r="B174" s="4502"/>
      <c r="C174" s="4503" t="s">
        <v>171</v>
      </c>
      <c r="D174" s="4502" t="s">
        <v>3634</v>
      </c>
      <c r="E174" s="4502"/>
      <c r="F174" s="4502"/>
      <c r="G174" s="4502"/>
      <c r="H174" s="4502"/>
      <c r="I174" s="4502"/>
      <c r="J174" s="4502"/>
      <c r="K174" s="4502"/>
      <c r="L174" s="4502"/>
      <c r="M174" s="4502"/>
      <c r="N174" s="4502"/>
      <c r="O174" s="4502"/>
      <c r="P174" s="4502"/>
      <c r="Q174" s="4502"/>
      <c r="R174" s="4502"/>
      <c r="S174" s="4502"/>
      <c r="T174" s="4502"/>
      <c r="U174" s="4502"/>
      <c r="V174" s="4502"/>
      <c r="W174" s="4502"/>
      <c r="X174" s="1170"/>
      <c r="Y174" s="1170"/>
      <c r="Z174" s="1170"/>
    </row>
    <row r="175" spans="1:41">
      <c r="A175" s="66"/>
      <c r="B175" s="4502"/>
      <c r="C175" s="4504"/>
      <c r="D175" s="4502" t="s">
        <v>3635</v>
      </c>
      <c r="E175" s="4502"/>
      <c r="F175" s="4502"/>
      <c r="G175" s="4502"/>
      <c r="H175" s="4502"/>
      <c r="I175" s="4502"/>
      <c r="J175" s="4502"/>
      <c r="K175" s="4502"/>
      <c r="L175" s="4502"/>
      <c r="M175" s="4502"/>
      <c r="N175" s="4502"/>
      <c r="O175" s="4502"/>
      <c r="P175" s="4502"/>
      <c r="Q175" s="4502"/>
      <c r="R175" s="1018"/>
      <c r="S175" s="4502"/>
      <c r="T175" s="124" t="s">
        <v>650</v>
      </c>
      <c r="U175" s="1018" t="s">
        <v>171</v>
      </c>
      <c r="V175" s="4467" t="str">
        <f>IF(K28&lt;&gt;"","",SUM(Foreign_Tax_Credit,'Sch. 3'!W30))</f>
        <v/>
      </c>
      <c r="W175" s="4502"/>
      <c r="X175" s="1170"/>
      <c r="Y175" s="1170"/>
      <c r="Z175" s="1170"/>
    </row>
    <row r="176" spans="1:41">
      <c r="A176" s="66"/>
      <c r="B176" s="4502"/>
      <c r="C176" s="4503" t="s">
        <v>177</v>
      </c>
      <c r="D176" s="2543" t="s">
        <v>3636</v>
      </c>
      <c r="E176" s="4502"/>
      <c r="F176" s="4502"/>
      <c r="G176" s="4502"/>
      <c r="H176" s="4502"/>
      <c r="I176" s="4502"/>
      <c r="J176" s="4502"/>
      <c r="K176" s="4502"/>
      <c r="L176" s="4502"/>
      <c r="M176" s="4502"/>
      <c r="N176" s="4502"/>
      <c r="O176" s="4502"/>
      <c r="P176" s="4502"/>
      <c r="Q176" s="4502"/>
      <c r="R176" s="4502"/>
      <c r="S176" s="4502"/>
      <c r="T176" s="124"/>
      <c r="U176" s="4502"/>
      <c r="V176" s="4502"/>
      <c r="W176" s="4502"/>
      <c r="X176" s="1170"/>
      <c r="Y176" s="1170"/>
      <c r="Z176" s="1170"/>
    </row>
    <row r="177" spans="1:41">
      <c r="A177" s="66"/>
      <c r="B177" s="4502"/>
      <c r="C177" s="4504"/>
      <c r="D177" s="2543" t="s">
        <v>3637</v>
      </c>
      <c r="E177" s="4502"/>
      <c r="F177" s="4502"/>
      <c r="G177" s="4502"/>
      <c r="H177" s="4502"/>
      <c r="I177" s="4502"/>
      <c r="J177" s="4502"/>
      <c r="K177" s="4502"/>
      <c r="L177" s="4502"/>
      <c r="M177" s="4502"/>
      <c r="N177" s="4502"/>
      <c r="O177" s="4502"/>
      <c r="P177" s="4502"/>
      <c r="Q177" s="4502"/>
      <c r="R177" s="1018"/>
      <c r="S177" s="4502"/>
      <c r="T177" s="124" t="s">
        <v>782</v>
      </c>
      <c r="U177" s="1018" t="s">
        <v>177</v>
      </c>
      <c r="V177" s="4467" t="str">
        <f>IF(K28&lt;&gt;"","",SUM(V173,-V175))</f>
        <v/>
      </c>
      <c r="W177" s="4502"/>
      <c r="X177" s="1170"/>
      <c r="Y177" s="1170"/>
      <c r="Z177" s="1170"/>
    </row>
    <row r="178" spans="1:41">
      <c r="A178" s="66"/>
      <c r="B178" s="4502"/>
      <c r="C178" s="4502"/>
      <c r="D178" s="4502"/>
      <c r="E178" s="4502"/>
      <c r="F178" s="4502"/>
      <c r="G178" s="4502"/>
      <c r="H178" s="4502"/>
      <c r="I178" s="4502"/>
      <c r="J178" s="4502"/>
      <c r="K178" s="4502"/>
      <c r="L178" s="4502"/>
      <c r="M178" s="4502"/>
      <c r="N178" s="4502"/>
      <c r="O178" s="4502"/>
      <c r="P178" s="4502"/>
      <c r="Q178" s="4502"/>
      <c r="R178" s="4502"/>
      <c r="S178" s="4502"/>
      <c r="T178" s="4502"/>
      <c r="U178" s="4502"/>
      <c r="V178" s="4502"/>
      <c r="W178" s="4502"/>
      <c r="X178" s="1170"/>
      <c r="Y178" s="1170"/>
      <c r="Z178" s="1170"/>
    </row>
    <row r="179" spans="1:41" ht="7.5" customHeight="1">
      <c r="A179" s="66"/>
      <c r="B179" s="446"/>
      <c r="C179" s="446"/>
      <c r="D179" s="446"/>
      <c r="E179" s="446"/>
      <c r="F179" s="446"/>
      <c r="G179" s="446"/>
      <c r="H179" s="446"/>
      <c r="I179" s="446"/>
      <c r="J179" s="446"/>
      <c r="K179" s="446"/>
      <c r="L179" s="446"/>
      <c r="M179" s="446"/>
      <c r="N179" s="446"/>
      <c r="O179" s="446"/>
      <c r="P179" s="446"/>
      <c r="Q179" s="446"/>
      <c r="R179" s="446"/>
      <c r="S179" s="446"/>
      <c r="T179" s="446"/>
      <c r="U179" s="446"/>
      <c r="V179" s="446"/>
      <c r="W179" s="446"/>
      <c r="X179" s="1170"/>
      <c r="Y179" s="1170"/>
      <c r="Z179" s="1170"/>
    </row>
    <row r="180" spans="1:41" ht="16.5" customHeight="1">
      <c r="A180" s="66"/>
      <c r="B180" s="4488"/>
      <c r="C180" s="4489"/>
      <c r="D180" s="4489"/>
      <c r="E180" s="4489"/>
      <c r="F180" s="4489"/>
      <c r="G180" s="4489"/>
      <c r="H180" s="4489"/>
      <c r="I180" s="4489"/>
      <c r="J180" s="4489"/>
      <c r="K180" s="4489"/>
      <c r="L180" s="4489"/>
      <c r="M180" s="4489"/>
      <c r="N180" s="4489"/>
      <c r="O180" s="4489"/>
      <c r="P180" s="4489"/>
      <c r="Q180" s="4489"/>
      <c r="R180" s="4489"/>
      <c r="S180" s="4489"/>
      <c r="T180" s="4489"/>
      <c r="U180" s="4489"/>
      <c r="V180" s="4489"/>
      <c r="W180" s="4490"/>
      <c r="X180" s="1170"/>
      <c r="Y180" s="1170"/>
      <c r="Z180" s="1170"/>
    </row>
    <row r="181" spans="1:41" ht="16.5" customHeight="1">
      <c r="A181" s="66"/>
      <c r="B181" s="5195"/>
      <c r="C181" s="2361"/>
      <c r="D181" s="5196" t="s">
        <v>3638</v>
      </c>
      <c r="E181" s="3417"/>
      <c r="F181" s="2361"/>
      <c r="G181" s="5194" t="str">
        <f>"Worksheet for "&amp;TaxYear-1&amp;" Expenses Paid in "&amp;TaxYear</f>
        <v>Worksheet for 2022 Expenses Paid in 2023</v>
      </c>
      <c r="H181" s="2361"/>
      <c r="I181" s="2361"/>
      <c r="J181" s="2361"/>
      <c r="K181" s="2361"/>
      <c r="L181" s="2361"/>
      <c r="M181" s="2361"/>
      <c r="N181" s="2361"/>
      <c r="O181" s="2361"/>
      <c r="P181" s="2361"/>
      <c r="Q181" s="2361"/>
      <c r="R181" s="2361"/>
      <c r="S181" s="2361"/>
      <c r="T181" s="2361"/>
      <c r="U181" s="2361"/>
      <c r="V181" s="2361"/>
      <c r="W181" s="4492"/>
      <c r="X181" s="1170"/>
      <c r="Y181" s="1170"/>
      <c r="Z181" s="1170"/>
    </row>
    <row r="182" spans="1:41" ht="16.5" customHeight="1">
      <c r="A182" s="66"/>
      <c r="B182" s="3403"/>
      <c r="C182" s="2361"/>
      <c r="D182" s="2361"/>
      <c r="E182" s="2361"/>
      <c r="F182" s="2361"/>
      <c r="G182" s="2361"/>
      <c r="H182" s="2361"/>
      <c r="I182" s="2361"/>
      <c r="J182" s="2361"/>
      <c r="K182" s="2361"/>
      <c r="L182" s="2361"/>
      <c r="M182" s="2361"/>
      <c r="N182" s="2361"/>
      <c r="O182" s="2361"/>
      <c r="P182" s="2361"/>
      <c r="Q182" s="2361"/>
      <c r="R182" s="4522"/>
      <c r="S182" s="2361"/>
      <c r="T182" s="2361"/>
      <c r="U182" s="4522" t="s">
        <v>1057</v>
      </c>
      <c r="V182" s="4493"/>
      <c r="W182" s="4492"/>
      <c r="X182" s="1170"/>
      <c r="Y182" s="1170"/>
      <c r="Z182" s="1170"/>
    </row>
    <row r="183" spans="1:41" ht="16.5" customHeight="1">
      <c r="A183" s="66"/>
      <c r="B183" s="3403"/>
      <c r="C183" s="2361"/>
      <c r="D183" s="2361"/>
      <c r="E183" s="2361"/>
      <c r="F183" s="2361"/>
      <c r="G183" s="2361"/>
      <c r="H183" s="2361"/>
      <c r="I183" s="2361"/>
      <c r="J183" s="2361"/>
      <c r="K183" s="2361"/>
      <c r="L183" s="2361"/>
      <c r="M183" s="2361"/>
      <c r="N183" s="2361"/>
      <c r="O183" s="2361"/>
      <c r="P183" s="2361"/>
      <c r="Q183" s="2361"/>
      <c r="R183" s="2361"/>
      <c r="S183" s="2361"/>
      <c r="T183" s="2361"/>
      <c r="U183" s="2361"/>
      <c r="V183" s="4493"/>
      <c r="W183" s="4492"/>
      <c r="X183" s="1170"/>
      <c r="Y183" s="1170"/>
      <c r="Z183" s="1170"/>
    </row>
    <row r="184" spans="1:41" ht="16.5" customHeight="1">
      <c r="A184" s="66"/>
      <c r="B184" s="3403"/>
      <c r="C184" s="2361"/>
      <c r="D184" s="2361"/>
      <c r="E184" s="2361"/>
      <c r="F184" s="2361"/>
      <c r="G184" s="4494" t="str">
        <f>"Use this worksheet to figure the credit you may claim for "&amp;TaxYear-1&amp;" expenses paid in "&amp;TaxYear&amp;"."</f>
        <v>Use this worksheet to figure the credit you may claim for 2022 expenses paid in 2023.</v>
      </c>
      <c r="H184" s="2361"/>
      <c r="I184" s="2361"/>
      <c r="J184" s="2361"/>
      <c r="K184" s="2361"/>
      <c r="L184" s="2361"/>
      <c r="M184" s="2361"/>
      <c r="N184" s="2361"/>
      <c r="O184" s="2361"/>
      <c r="P184" s="2361"/>
      <c r="Q184" s="2361"/>
      <c r="R184" s="2361"/>
      <c r="S184" s="2361"/>
      <c r="T184" s="2361"/>
      <c r="U184" s="2361"/>
      <c r="V184" s="2361"/>
      <c r="W184" s="4492"/>
      <c r="X184" s="1170"/>
      <c r="Y184" s="1170"/>
      <c r="Z184" s="1170"/>
    </row>
    <row r="185" spans="1:41" ht="16.5" customHeight="1">
      <c r="A185" s="66"/>
      <c r="B185" s="3403"/>
      <c r="C185" s="2361"/>
      <c r="D185" s="2361"/>
      <c r="E185" s="2361"/>
      <c r="F185" s="2361"/>
      <c r="G185" s="2361"/>
      <c r="H185" s="2361"/>
      <c r="I185" s="2361"/>
      <c r="J185" s="2361"/>
      <c r="K185" s="2361"/>
      <c r="L185" s="2361"/>
      <c r="M185" s="2361"/>
      <c r="N185" s="2361"/>
      <c r="O185" s="2361"/>
      <c r="P185" s="2361"/>
      <c r="Q185" s="2361"/>
      <c r="R185" s="2361"/>
      <c r="S185" s="2361"/>
      <c r="T185" s="2361"/>
      <c r="U185" s="2361"/>
      <c r="V185" s="2361"/>
      <c r="W185" s="4492"/>
      <c r="X185" s="1170"/>
      <c r="Y185" s="1170"/>
      <c r="Z185" s="1170"/>
    </row>
    <row r="186" spans="1:41" ht="16.5" customHeight="1">
      <c r="A186" s="66"/>
      <c r="B186" s="6029" t="s">
        <v>167</v>
      </c>
      <c r="C186" s="2361"/>
      <c r="D186" s="2361" t="str">
        <f>"Enter the amount reported on your "&amp;TaxYear-1&amp;" Form 2441, line 3"</f>
        <v>Enter the amount reported on your 2022 Form 2441, line 3</v>
      </c>
      <c r="E186" s="2361"/>
      <c r="F186" s="2361"/>
      <c r="G186" s="2361"/>
      <c r="H186" s="2361"/>
      <c r="I186" s="2361"/>
      <c r="J186" s="2361"/>
      <c r="K186" s="2361"/>
      <c r="L186" s="2361"/>
      <c r="M186" s="2361"/>
      <c r="N186" s="2361"/>
      <c r="O186" s="2361"/>
      <c r="P186" s="2361"/>
      <c r="Q186" s="2361"/>
      <c r="R186" s="1018"/>
      <c r="S186" s="124" t="s">
        <v>661</v>
      </c>
      <c r="T186" s="2361"/>
      <c r="U186" s="1018" t="s">
        <v>167</v>
      </c>
      <c r="V186" s="4500"/>
      <c r="W186" s="4492"/>
      <c r="X186" s="1170"/>
      <c r="Y186" s="1170"/>
      <c r="Z186" s="1170"/>
    </row>
    <row r="187" spans="1:41" ht="16.5" customHeight="1">
      <c r="A187" s="66"/>
      <c r="B187" s="6029" t="s">
        <v>171</v>
      </c>
      <c r="C187" s="2361"/>
      <c r="D187" s="2361" t="str">
        <f>"Enter your "&amp;TaxYear-1&amp;" qualified expenses paid in "&amp;TaxYear</f>
        <v>Enter your 2022 qualified expenses paid in 2023</v>
      </c>
      <c r="E187" s="2361"/>
      <c r="F187" s="2361"/>
      <c r="G187" s="2361"/>
      <c r="H187" s="2361"/>
      <c r="I187" s="2361"/>
      <c r="J187" s="2361"/>
      <c r="K187" s="2361"/>
      <c r="L187" s="2361"/>
      <c r="M187" s="2361"/>
      <c r="N187" s="2361"/>
      <c r="O187" s="2361"/>
      <c r="P187" s="2361"/>
      <c r="Q187" s="2361"/>
      <c r="R187" s="1018"/>
      <c r="S187" s="124" t="s">
        <v>2162</v>
      </c>
      <c r="T187" s="2361"/>
      <c r="U187" s="1018" t="s">
        <v>171</v>
      </c>
      <c r="V187" s="4500"/>
      <c r="W187" s="4492"/>
      <c r="X187" s="1170"/>
      <c r="Y187" s="1170"/>
      <c r="Z187" s="1170"/>
      <c r="AM187" s="1213">
        <v>8000</v>
      </c>
      <c r="AO187" s="1213">
        <v>8000</v>
      </c>
    </row>
    <row r="188" spans="1:41" ht="16.5" customHeight="1">
      <c r="A188" s="66"/>
      <c r="B188" s="6029" t="s">
        <v>177</v>
      </c>
      <c r="C188" s="2361"/>
      <c r="D188" s="2361" t="s">
        <v>3639</v>
      </c>
      <c r="E188" s="2361"/>
      <c r="F188" s="2361"/>
      <c r="G188" s="2361"/>
      <c r="H188" s="2361"/>
      <c r="I188" s="2361"/>
      <c r="J188" s="2361"/>
      <c r="K188" s="2361"/>
      <c r="L188" s="2361"/>
      <c r="M188" s="2361"/>
      <c r="N188" s="2361"/>
      <c r="O188" s="2361"/>
      <c r="P188" s="2361"/>
      <c r="Q188" s="2361"/>
      <c r="R188" s="1018"/>
      <c r="S188" s="124" t="s">
        <v>740</v>
      </c>
      <c r="T188" s="2361"/>
      <c r="U188" s="1018" t="s">
        <v>177</v>
      </c>
      <c r="V188" s="4467" t="str">
        <f>IF(V186="","",SUM(ROUND(V186,0),ROUND(V187,0)))</f>
        <v/>
      </c>
      <c r="W188" s="4492"/>
      <c r="X188" s="1170"/>
      <c r="Y188" s="1170"/>
      <c r="Z188" s="1170"/>
      <c r="AA188" s="1213">
        <v>3000</v>
      </c>
      <c r="AM188" s="4520" t="s">
        <v>3640</v>
      </c>
      <c r="AO188" s="4520" t="s">
        <v>3640</v>
      </c>
    </row>
    <row r="189" spans="1:41" ht="16.5" customHeight="1">
      <c r="A189" s="66"/>
      <c r="B189" s="6029" t="s">
        <v>182</v>
      </c>
      <c r="C189" s="2361"/>
      <c r="D189" s="2361" t="str">
        <f>"Enter "&amp;TEXT(AA188,"$0,000")&amp;" if you had one qualifying person ("&amp;TEXT(AA188*2,"$0,000")&amp;" if you had two or more)"</f>
        <v>Enter $3,000 if you had one qualifying person ($6,000 if you had two or more)</v>
      </c>
      <c r="E189" s="2361"/>
      <c r="F189" s="2361"/>
      <c r="G189" s="2361"/>
      <c r="H189" s="2361"/>
      <c r="I189" s="2361"/>
      <c r="J189" s="2361"/>
      <c r="K189" s="2361"/>
      <c r="L189" s="2361"/>
      <c r="M189" s="2361"/>
      <c r="N189" s="2361"/>
      <c r="O189" s="5046"/>
      <c r="P189" s="5046"/>
      <c r="Q189" s="5046"/>
      <c r="R189" s="5046"/>
      <c r="S189" s="5045" t="s">
        <v>699</v>
      </c>
      <c r="T189" s="2361"/>
      <c r="U189" s="1018" t="s">
        <v>182</v>
      </c>
      <c r="V189" s="4467" t="str">
        <f>IF(Y189="","",IF(Y189&gt;=2,2*AA188,IF(Y189&gt;0,AA188,0)))</f>
        <v/>
      </c>
      <c r="W189" s="4492"/>
      <c r="X189" s="1170"/>
      <c r="Y189" s="4501"/>
      <c r="Z189" s="1170"/>
      <c r="AA189" s="4520" t="s">
        <v>3640</v>
      </c>
      <c r="AM189" s="4468" t="str">
        <f>"persons in "&amp;TaxYear-1</f>
        <v>persons in 2022</v>
      </c>
      <c r="AO189" s="4468" t="str">
        <f>"persons in "&amp;TaxYear-1</f>
        <v>persons in 2022</v>
      </c>
    </row>
    <row r="190" spans="1:41" ht="16.5" customHeight="1">
      <c r="A190" s="66"/>
      <c r="B190" s="6029" t="s">
        <v>198</v>
      </c>
      <c r="C190" s="2361"/>
      <c r="D190" s="2361" t="str">
        <f>"Enter any dependent care benefits received for "&amp;TaxYear-1&amp;" and deducted on your return and/or excluded"</f>
        <v>Enter any dependent care benefits received for 2022 and deducted on your return and/or excluded</v>
      </c>
      <c r="E190" s="2361"/>
      <c r="F190" s="2361"/>
      <c r="G190" s="2361"/>
      <c r="H190" s="2361"/>
      <c r="I190" s="2361"/>
      <c r="J190" s="2361"/>
      <c r="K190" s="2361"/>
      <c r="L190" s="2361"/>
      <c r="M190" s="2361"/>
      <c r="N190" s="2361"/>
      <c r="O190" s="2361"/>
      <c r="P190" s="2361"/>
      <c r="Q190" s="2361"/>
      <c r="R190" s="2361"/>
      <c r="S190" s="2361"/>
      <c r="T190" s="2361"/>
      <c r="U190" s="2361"/>
      <c r="V190" s="2361"/>
      <c r="W190" s="4492"/>
      <c r="X190" s="1170"/>
      <c r="Y190" s="1170"/>
      <c r="Z190" s="1170"/>
      <c r="AA190" s="4468" t="str">
        <f>"persons in "&amp;TaxYear-1</f>
        <v>persons in 2022</v>
      </c>
    </row>
    <row r="191" spans="1:41" ht="16.5" customHeight="1">
      <c r="A191" s="66"/>
      <c r="B191" s="6030"/>
      <c r="C191" s="2361"/>
      <c r="D191" s="3142" t="str">
        <f>"from your income (from your "&amp;TaxYear-1&amp;" Form 2441, lines 24 and 25)"</f>
        <v>from your income (from your 2022 Form 2441, lines 24 and 25)</v>
      </c>
      <c r="E191" s="2361"/>
      <c r="F191" s="2361"/>
      <c r="G191" s="2361"/>
      <c r="H191" s="2361"/>
      <c r="I191" s="2361"/>
      <c r="J191" s="2361"/>
      <c r="K191" s="2361"/>
      <c r="L191" s="2361"/>
      <c r="M191" s="2361"/>
      <c r="N191" s="2361"/>
      <c r="O191" s="2361"/>
      <c r="P191" s="2361"/>
      <c r="Q191" s="2361"/>
      <c r="R191" s="1018"/>
      <c r="S191" s="2361"/>
      <c r="T191" s="2361"/>
      <c r="U191" s="1018" t="s">
        <v>198</v>
      </c>
      <c r="V191" s="4500"/>
      <c r="W191" s="4492"/>
      <c r="X191" s="1170"/>
      <c r="Y191" s="1170"/>
      <c r="Z191" s="1170"/>
    </row>
    <row r="192" spans="1:41" ht="16.5" customHeight="1">
      <c r="A192" s="66"/>
      <c r="B192" s="6029" t="s">
        <v>202</v>
      </c>
      <c r="C192" s="2361"/>
      <c r="D192" s="2361" t="s">
        <v>3641</v>
      </c>
      <c r="E192" s="2361"/>
      <c r="F192" s="2361"/>
      <c r="G192" s="2361"/>
      <c r="H192" s="2361"/>
      <c r="I192" s="2361"/>
      <c r="J192" s="2361"/>
      <c r="K192" s="2361"/>
      <c r="L192" s="2361"/>
      <c r="M192" s="2361"/>
      <c r="N192" s="2361"/>
      <c r="O192" s="2361"/>
      <c r="P192" s="2361"/>
      <c r="Q192" s="2361"/>
      <c r="R192" s="1018"/>
      <c r="S192" s="5045" t="s">
        <v>677</v>
      </c>
      <c r="T192" s="2361"/>
      <c r="U192" s="1018" t="s">
        <v>202</v>
      </c>
      <c r="V192" s="4467" t="str">
        <f>IF(V186="","",MAX(0,SUM(V189,-V191)))</f>
        <v/>
      </c>
      <c r="W192" s="4492"/>
      <c r="X192" s="1170"/>
      <c r="Y192" s="1170"/>
      <c r="Z192" s="1170"/>
    </row>
    <row r="193" spans="1:41" ht="16.5" customHeight="1">
      <c r="A193" s="66"/>
      <c r="B193" s="6029" t="s">
        <v>215</v>
      </c>
      <c r="C193" s="2361"/>
      <c r="D193" s="2361" t="str">
        <f>"Compare your earned income for "&amp;TaxYear-1&amp;" and your spouse's earned income for "&amp;TaxYear-1&amp;" and enter the"</f>
        <v>Compare your earned income for 2022 and your spouse's earned income for 2022 and enter the</v>
      </c>
      <c r="E193" s="2361"/>
      <c r="F193" s="2361"/>
      <c r="G193" s="2361"/>
      <c r="H193" s="2361"/>
      <c r="I193" s="2361"/>
      <c r="J193" s="2361"/>
      <c r="K193" s="2361"/>
      <c r="L193" s="2361"/>
      <c r="M193" s="2361"/>
      <c r="N193" s="2361"/>
      <c r="O193" s="2361"/>
      <c r="P193" s="2361"/>
      <c r="Q193" s="2361"/>
      <c r="R193" s="2361"/>
      <c r="S193" s="2361"/>
      <c r="T193" s="2361"/>
      <c r="U193" s="2361"/>
      <c r="V193" s="2361"/>
      <c r="W193" s="4492"/>
      <c r="X193" s="1170"/>
      <c r="Y193" s="1170"/>
      <c r="Z193" s="1170"/>
    </row>
    <row r="194" spans="1:41" ht="16.5" customHeight="1">
      <c r="A194" s="66"/>
      <c r="B194" s="6030"/>
      <c r="C194" s="2361"/>
      <c r="D194" s="3142" t="s">
        <v>3642</v>
      </c>
      <c r="E194" s="2361"/>
      <c r="F194" s="2361"/>
      <c r="G194" s="2361"/>
      <c r="H194" s="2361"/>
      <c r="I194" s="2361"/>
      <c r="J194" s="2361"/>
      <c r="K194" s="2361"/>
      <c r="L194" s="2361"/>
      <c r="M194" s="2361"/>
      <c r="N194" s="2361"/>
      <c r="O194" s="2361"/>
      <c r="P194" s="2361"/>
      <c r="Q194" s="2361"/>
      <c r="R194" s="1018"/>
      <c r="S194" s="2681" t="s">
        <v>2163</v>
      </c>
      <c r="T194" s="2361"/>
      <c r="U194" s="1018" t="s">
        <v>215</v>
      </c>
      <c r="V194" s="4500"/>
      <c r="W194" s="4492"/>
      <c r="X194" s="1170"/>
      <c r="Y194" s="1170"/>
      <c r="Z194" s="1170"/>
    </row>
    <row r="195" spans="1:41">
      <c r="A195" s="66"/>
      <c r="B195" s="6029" t="s">
        <v>217</v>
      </c>
      <c r="C195" s="2361"/>
      <c r="D195" s="2361" t="s">
        <v>3643</v>
      </c>
      <c r="E195" s="2361"/>
      <c r="F195" s="2361"/>
      <c r="G195" s="2361"/>
      <c r="H195" s="2361"/>
      <c r="I195" s="2361"/>
      <c r="J195" s="2361"/>
      <c r="K195" s="2361"/>
      <c r="L195" s="2361"/>
      <c r="M195" s="2361"/>
      <c r="N195" s="2361"/>
      <c r="O195" s="2361"/>
      <c r="P195" s="2361"/>
      <c r="Q195" s="2361"/>
      <c r="R195" s="1018"/>
      <c r="S195" s="5045" t="s">
        <v>677</v>
      </c>
      <c r="T195" s="2361"/>
      <c r="U195" s="1018" t="s">
        <v>217</v>
      </c>
      <c r="V195" s="4467" t="str">
        <f>IF(V186="","",MIN(V188,V192,V194))</f>
        <v/>
      </c>
      <c r="W195" s="4492"/>
      <c r="X195" s="1170"/>
      <c r="Y195" s="1170"/>
      <c r="Z195" s="1170"/>
    </row>
    <row r="196" spans="1:41">
      <c r="A196" s="66"/>
      <c r="B196" s="6029" t="s">
        <v>222</v>
      </c>
      <c r="C196" s="2361"/>
      <c r="D196" s="2361" t="str">
        <f>"Enter the amount on which you figured the credit for "&amp;TaxYear-1&amp;" (from your "&amp;TaxYear-1&amp;" Form 2441, line 6)"</f>
        <v>Enter the amount on which you figured the credit for 2022 (from your 2022 Form 2441, line 6)</v>
      </c>
      <c r="E196" s="2361"/>
      <c r="F196" s="2361"/>
      <c r="G196" s="2361"/>
      <c r="H196" s="2361"/>
      <c r="I196" s="2361"/>
      <c r="J196" s="2361"/>
      <c r="K196" s="2361"/>
      <c r="L196" s="2361"/>
      <c r="M196" s="2361"/>
      <c r="N196" s="2361"/>
      <c r="O196" s="2361"/>
      <c r="P196" s="2361"/>
      <c r="Q196" s="2361"/>
      <c r="R196" s="1018"/>
      <c r="S196" s="5045" t="s">
        <v>2734</v>
      </c>
      <c r="T196" s="2361"/>
      <c r="U196" s="1018" t="s">
        <v>222</v>
      </c>
      <c r="V196" s="4500"/>
      <c r="W196" s="4492"/>
      <c r="X196" s="1170"/>
      <c r="Y196" s="1170"/>
      <c r="Z196" s="1170"/>
    </row>
    <row r="197" spans="1:41">
      <c r="A197" s="66"/>
      <c r="B197" s="6029" t="s">
        <v>227</v>
      </c>
      <c r="C197" s="2361"/>
      <c r="D197" s="2361" t="s">
        <v>3644</v>
      </c>
      <c r="E197" s="2361"/>
      <c r="F197" s="2361"/>
      <c r="G197" s="2361"/>
      <c r="H197" s="2361"/>
      <c r="I197" s="2361"/>
      <c r="J197" s="2361"/>
      <c r="K197" s="2361"/>
      <c r="L197" s="2361"/>
      <c r="M197" s="2361"/>
      <c r="N197" s="2361"/>
      <c r="O197" s="2361" t="s">
        <v>3645</v>
      </c>
      <c r="P197" s="2361"/>
      <c r="Q197" s="2361"/>
      <c r="R197" s="3417"/>
      <c r="S197" s="2361"/>
      <c r="U197" s="2361"/>
      <c r="V197" s="2361"/>
      <c r="W197" s="4492"/>
      <c r="X197" s="1170"/>
      <c r="Y197" s="1170"/>
      <c r="Z197" s="1170"/>
    </row>
    <row r="198" spans="1:41">
      <c r="A198" s="66"/>
      <c r="B198" s="6030"/>
      <c r="C198" s="6028" t="b">
        <f>AND(V186&lt;&gt;"",V198&lt;=0)</f>
        <v>0</v>
      </c>
      <c r="D198" s="2361" t="str">
        <f>"You can't increase your "&amp;TaxYear&amp;" credit by any previous year's expenses"</f>
        <v>You can't increase your 2023 credit by any previous year's expenses</v>
      </c>
      <c r="E198" s="2361"/>
      <c r="F198" s="2361"/>
      <c r="G198" s="2361"/>
      <c r="H198" s="2361"/>
      <c r="I198" s="2361"/>
      <c r="J198" s="2361"/>
      <c r="K198" s="2361"/>
      <c r="L198" s="2361"/>
      <c r="M198" s="2361"/>
      <c r="N198" s="2361"/>
      <c r="O198" s="2361"/>
      <c r="P198" s="2361"/>
      <c r="Q198" s="2361"/>
      <c r="R198" s="1018"/>
      <c r="S198" s="5045" t="s">
        <v>677</v>
      </c>
      <c r="T198" s="2361"/>
      <c r="U198" s="1018" t="s">
        <v>227</v>
      </c>
      <c r="V198" s="4467" t="str">
        <f>IF(V186="","",SUM(V195,-V196))</f>
        <v/>
      </c>
      <c r="W198" s="4492"/>
      <c r="X198" s="1170"/>
      <c r="Y198" s="1170"/>
      <c r="Z198" s="1170"/>
    </row>
    <row r="199" spans="1:41">
      <c r="A199" s="66"/>
      <c r="B199" s="6029" t="s">
        <v>229</v>
      </c>
      <c r="C199" s="2361"/>
      <c r="D199" s="2361" t="str">
        <f>"Enter your "&amp;TaxYear-1&amp;" adjusted gross income (from your "&amp;TaxYear-1&amp;" Form 1040, 1040-SR, or 1040-NR,"</f>
        <v>Enter your 2022 adjusted gross income (from your 2022 Form 1040, 1040-SR, or 1040-NR,</v>
      </c>
      <c r="E199" s="2361"/>
      <c r="F199" s="2361"/>
      <c r="G199" s="2361"/>
      <c r="H199" s="2361"/>
      <c r="I199" s="2361"/>
      <c r="J199" s="2361"/>
      <c r="K199" s="2361"/>
      <c r="L199" s="2361"/>
      <c r="M199" s="2361"/>
      <c r="N199" s="2361"/>
      <c r="O199" s="2361"/>
      <c r="P199" s="2361"/>
      <c r="Q199" s="2361"/>
      <c r="R199" s="2361"/>
      <c r="S199" s="2361"/>
      <c r="T199" s="2361"/>
      <c r="U199" s="2361"/>
      <c r="V199" s="2361"/>
      <c r="W199" s="4492"/>
      <c r="X199" s="1170"/>
      <c r="Y199" s="1170"/>
      <c r="Z199" s="1170"/>
    </row>
    <row r="200" spans="1:41">
      <c r="A200" s="66"/>
      <c r="B200" s="6030"/>
      <c r="C200" s="2361"/>
      <c r="D200" s="2361" t="s">
        <v>3646</v>
      </c>
      <c r="E200" s="2361"/>
      <c r="F200" s="2361"/>
      <c r="G200" s="2361"/>
      <c r="H200" s="2361"/>
      <c r="I200" s="2361"/>
      <c r="J200" s="2361"/>
      <c r="K200" s="2361"/>
      <c r="L200" s="2361"/>
      <c r="M200" s="2361"/>
      <c r="N200" s="2361"/>
      <c r="O200" s="2361"/>
      <c r="P200" s="2361"/>
      <c r="Q200" s="2361"/>
      <c r="R200" s="1018"/>
      <c r="S200" s="2681" t="s">
        <v>2163</v>
      </c>
      <c r="T200" s="2361"/>
      <c r="U200" s="1018" t="s">
        <v>229</v>
      </c>
      <c r="V200" s="4500"/>
      <c r="W200" s="4492"/>
      <c r="X200" s="1170"/>
      <c r="Y200" s="1170"/>
      <c r="Z200" s="1170"/>
      <c r="AM200" s="5044"/>
      <c r="AO200" s="5044"/>
    </row>
    <row r="201" spans="1:41">
      <c r="A201" s="66"/>
      <c r="B201" s="6029" t="s">
        <v>1605</v>
      </c>
      <c r="C201" s="2361"/>
      <c r="D201" s="2361" t="str">
        <f>"Find your "&amp;TaxYear-1&amp;" adjusted gross income in the table below and enter the corresponding decimal amount"</f>
        <v>Find your 2022 adjusted gross income in the table below and enter the corresponding decimal amount</v>
      </c>
      <c r="E201" s="2361"/>
      <c r="F201" s="2361"/>
      <c r="G201" s="2361"/>
      <c r="H201" s="2361"/>
      <c r="I201" s="2361"/>
      <c r="J201" s="2361"/>
      <c r="K201" s="2361"/>
      <c r="L201" s="2361"/>
      <c r="M201" s="2361"/>
      <c r="N201" s="2361"/>
      <c r="O201" s="2361"/>
      <c r="P201" s="2361"/>
      <c r="Q201" s="2361"/>
      <c r="R201" s="2361"/>
      <c r="S201" s="2361"/>
      <c r="T201" s="2361"/>
      <c r="U201" s="2361"/>
      <c r="V201" s="2361"/>
      <c r="W201" s="4492"/>
      <c r="X201" s="1170"/>
      <c r="Y201" s="1170"/>
      <c r="Z201" s="1170"/>
      <c r="AA201" s="5044"/>
      <c r="AM201" s="5044"/>
      <c r="AO201" s="5044"/>
    </row>
    <row r="202" spans="1:41">
      <c r="A202" s="66"/>
      <c r="B202" s="3403"/>
      <c r="C202" s="3417"/>
      <c r="D202" s="2361" t="s">
        <v>636</v>
      </c>
      <c r="E202" s="2361"/>
      <c r="F202" s="2361"/>
      <c r="G202" s="2361"/>
      <c r="H202" s="2361"/>
      <c r="I202" s="2361"/>
      <c r="J202" s="2361"/>
      <c r="K202" s="2361"/>
      <c r="L202" s="2361"/>
      <c r="M202" s="2361"/>
      <c r="N202" s="2361"/>
      <c r="O202" s="2361"/>
      <c r="P202" s="2361"/>
      <c r="Q202" s="2361"/>
      <c r="R202" s="1018"/>
      <c r="S202" s="2681" t="s">
        <v>2163</v>
      </c>
      <c r="T202" s="2361"/>
      <c r="U202" s="1018" t="s">
        <v>1605</v>
      </c>
      <c r="V202" s="6022" t="str">
        <f>IF(V200="","",LOOKUP(V200-1,G208:G223,Q208:Q223))</f>
        <v/>
      </c>
      <c r="W202" s="4492"/>
      <c r="X202" s="1170"/>
      <c r="Y202" s="1170"/>
      <c r="Z202" s="1170"/>
      <c r="AA202" s="5044"/>
    </row>
    <row r="203" spans="1:41">
      <c r="A203" s="66"/>
      <c r="B203" s="3403"/>
      <c r="C203" s="2361"/>
      <c r="D203" s="2361"/>
      <c r="E203" s="2361"/>
      <c r="F203" s="2361"/>
      <c r="G203" s="2361"/>
      <c r="H203" s="2361"/>
      <c r="I203" s="2361"/>
      <c r="J203" s="2361"/>
      <c r="K203" s="2361"/>
      <c r="L203" s="2361"/>
      <c r="M203" s="2361"/>
      <c r="N203" s="2361"/>
      <c r="O203" s="2361"/>
      <c r="P203" s="2361"/>
      <c r="Q203" s="2361"/>
      <c r="R203" s="2361"/>
      <c r="S203" s="2361"/>
      <c r="T203" s="2361"/>
      <c r="U203" s="2361"/>
      <c r="V203" s="2361"/>
      <c r="W203" s="4492"/>
      <c r="X203" s="1170"/>
      <c r="Y203" s="1170"/>
      <c r="Z203" s="1170"/>
    </row>
    <row r="204" spans="1:41" ht="12.75" customHeight="1">
      <c r="A204" s="66"/>
      <c r="B204" s="3403"/>
      <c r="C204" s="4491" t="str">
        <f>"IF your "&amp;TaxYear-1&amp;" adjusted gross income was:"</f>
        <v>IF your 2022 adjusted gross income was:</v>
      </c>
      <c r="D204" s="2361"/>
      <c r="E204" s="2361"/>
      <c r="F204" s="2361"/>
      <c r="G204" s="2361"/>
      <c r="H204" s="2361"/>
      <c r="I204" s="2361"/>
      <c r="J204" s="2361"/>
      <c r="K204" s="1009"/>
      <c r="L204" s="1009"/>
      <c r="M204" s="1009"/>
      <c r="N204" s="1009"/>
      <c r="O204" s="1009"/>
      <c r="P204" s="1009"/>
      <c r="Q204" s="1009"/>
      <c r="R204" s="1009"/>
      <c r="S204" s="1009"/>
      <c r="T204" s="1009"/>
      <c r="U204" s="1009"/>
      <c r="V204" s="1009"/>
      <c r="W204" s="1844"/>
      <c r="X204" s="1170"/>
      <c r="Y204" s="1170"/>
      <c r="Z204" s="1170"/>
    </row>
    <row r="205" spans="1:41" ht="12.75" customHeight="1">
      <c r="A205" s="66"/>
      <c r="B205" s="3403"/>
      <c r="C205" s="2361"/>
      <c r="D205" s="2361"/>
      <c r="E205" s="2361"/>
      <c r="F205" s="2361"/>
      <c r="G205" s="2361"/>
      <c r="H205" s="2361"/>
      <c r="I205" s="2361"/>
      <c r="J205" s="2361"/>
      <c r="K205" s="1009"/>
      <c r="L205" s="1009"/>
      <c r="M205" s="1009"/>
      <c r="N205" s="1009"/>
      <c r="O205" s="1009"/>
      <c r="P205" s="1009"/>
      <c r="Q205" s="1009"/>
      <c r="R205" s="1009"/>
      <c r="S205" s="1009"/>
      <c r="T205" s="1009"/>
      <c r="U205" s="1009"/>
      <c r="V205" s="1009"/>
      <c r="W205" s="1844"/>
      <c r="X205" s="1170"/>
      <c r="Y205" s="1170"/>
      <c r="Z205" s="1170"/>
    </row>
    <row r="206" spans="1:41" ht="12.75" customHeight="1">
      <c r="A206" s="66"/>
      <c r="B206" s="3403"/>
      <c r="C206" s="6024"/>
      <c r="D206" s="1009"/>
      <c r="E206" s="4491"/>
      <c r="F206" s="4491"/>
      <c r="G206" s="4491"/>
      <c r="H206" s="4491"/>
      <c r="I206" s="1009"/>
      <c r="J206" s="8314" t="s">
        <v>3647</v>
      </c>
      <c r="K206" s="8314"/>
      <c r="L206" s="6024"/>
      <c r="M206" s="1009"/>
      <c r="N206" s="1009"/>
      <c r="O206" s="8691" t="s">
        <v>3648</v>
      </c>
      <c r="P206" s="8691"/>
      <c r="Q206" s="8691"/>
      <c r="R206" s="8691"/>
      <c r="S206" s="8691"/>
      <c r="T206" s="1009"/>
      <c r="U206" s="1009"/>
      <c r="V206" s="1009"/>
      <c r="W206" s="1844"/>
      <c r="X206" s="1170"/>
      <c r="Y206" s="1170"/>
      <c r="Z206" s="1170"/>
    </row>
    <row r="207" spans="1:41">
      <c r="A207" s="66"/>
      <c r="B207" s="3403"/>
      <c r="C207" s="6024"/>
      <c r="D207" s="1009"/>
      <c r="E207" s="6024"/>
      <c r="F207" s="6024"/>
      <c r="G207" s="4400" t="s">
        <v>5683</v>
      </c>
      <c r="H207" s="4491"/>
      <c r="I207" s="1009"/>
      <c r="J207" s="8488"/>
      <c r="K207" s="8488"/>
      <c r="L207" s="6024"/>
      <c r="M207" s="1009"/>
      <c r="N207" s="1009"/>
      <c r="O207" s="8691"/>
      <c r="P207" s="8691"/>
      <c r="Q207" s="8691"/>
      <c r="R207" s="8691"/>
      <c r="S207" s="8691"/>
      <c r="T207" s="1009"/>
      <c r="U207" s="1009"/>
      <c r="V207" s="1009"/>
      <c r="W207" s="1844"/>
      <c r="X207" s="1170"/>
      <c r="Y207" s="1170"/>
      <c r="Z207" s="1170"/>
    </row>
    <row r="208" spans="1:41">
      <c r="A208" s="66"/>
      <c r="B208" s="6031"/>
      <c r="C208" s="6027"/>
      <c r="D208" s="2361"/>
      <c r="E208" s="1009"/>
      <c r="F208" s="1009"/>
      <c r="G208" s="6027">
        <v>0</v>
      </c>
      <c r="H208" s="1018" t="s">
        <v>399</v>
      </c>
      <c r="I208" s="1009"/>
      <c r="J208" s="4496">
        <f t="shared" ref="J208:J222" si="1">G209</f>
        <v>15000</v>
      </c>
      <c r="K208" s="6025"/>
      <c r="L208" s="2361"/>
      <c r="M208" s="1009"/>
      <c r="N208" s="1009"/>
      <c r="O208" s="1009"/>
      <c r="P208" s="1009"/>
      <c r="Q208" s="8487">
        <v>0.35</v>
      </c>
      <c r="R208" s="8487"/>
      <c r="S208" s="1009"/>
      <c r="T208" s="1009"/>
      <c r="U208" s="1009"/>
      <c r="V208" s="1009"/>
      <c r="W208" s="1844"/>
      <c r="X208" s="1170"/>
      <c r="Y208" s="1170"/>
      <c r="Z208" s="1170"/>
    </row>
    <row r="209" spans="1:26" ht="12.75" customHeight="1">
      <c r="A209" s="66"/>
      <c r="B209" s="6032"/>
      <c r="C209" s="6023"/>
      <c r="D209" s="2361"/>
      <c r="E209" s="2361"/>
      <c r="F209" s="1009"/>
      <c r="G209" s="6023">
        <v>15000</v>
      </c>
      <c r="H209" s="1018" t="s">
        <v>399</v>
      </c>
      <c r="I209" s="1009"/>
      <c r="J209" s="4496">
        <f t="shared" si="1"/>
        <v>17000</v>
      </c>
      <c r="K209" s="780"/>
      <c r="L209" s="6026"/>
      <c r="M209" s="1009"/>
      <c r="N209" s="1009"/>
      <c r="O209" s="1009"/>
      <c r="P209" s="1009"/>
      <c r="Q209" s="8487">
        <v>0.34</v>
      </c>
      <c r="R209" s="8487"/>
      <c r="S209" s="1009"/>
      <c r="T209" s="1009"/>
      <c r="U209" s="1009"/>
      <c r="V209" s="1009"/>
      <c r="W209" s="1844"/>
      <c r="X209" s="1170"/>
      <c r="Y209" s="1170"/>
      <c r="Z209" s="1170"/>
    </row>
    <row r="210" spans="1:26" ht="12.75" customHeight="1">
      <c r="A210" s="66"/>
      <c r="B210" s="6032"/>
      <c r="C210" s="6023"/>
      <c r="D210" s="2361"/>
      <c r="E210" s="2361"/>
      <c r="F210" s="1009"/>
      <c r="G210" s="6023">
        <v>17000</v>
      </c>
      <c r="H210" s="1018" t="s">
        <v>399</v>
      </c>
      <c r="I210" s="1009"/>
      <c r="J210" s="4496">
        <f t="shared" si="1"/>
        <v>19000</v>
      </c>
      <c r="K210" s="780"/>
      <c r="L210" s="6026"/>
      <c r="M210" s="1009"/>
      <c r="N210" s="1009"/>
      <c r="O210" s="1009"/>
      <c r="P210" s="1009"/>
      <c r="Q210" s="8487">
        <v>0.33</v>
      </c>
      <c r="R210" s="8487"/>
      <c r="S210" s="1009"/>
      <c r="T210" s="1009"/>
      <c r="U210" s="1009"/>
      <c r="V210" s="1009"/>
      <c r="W210" s="1844"/>
      <c r="X210" s="1170"/>
      <c r="Y210" s="1170"/>
      <c r="Z210" s="1170"/>
    </row>
    <row r="211" spans="1:26">
      <c r="A211" s="66"/>
      <c r="B211" s="6032"/>
      <c r="C211" s="6023"/>
      <c r="D211" s="2361"/>
      <c r="E211" s="2361"/>
      <c r="F211" s="1009"/>
      <c r="G211" s="6023">
        <v>19000</v>
      </c>
      <c r="H211" s="1018" t="s">
        <v>399</v>
      </c>
      <c r="I211" s="1009"/>
      <c r="J211" s="4496">
        <f t="shared" si="1"/>
        <v>21000</v>
      </c>
      <c r="K211" s="780"/>
      <c r="L211" s="6026"/>
      <c r="M211" s="1009"/>
      <c r="N211" s="1009"/>
      <c r="O211" s="1009"/>
      <c r="P211" s="1009"/>
      <c r="Q211" s="8487">
        <v>0.32</v>
      </c>
      <c r="R211" s="8487"/>
      <c r="S211" s="1009"/>
      <c r="T211" s="1009"/>
      <c r="U211" s="1009"/>
      <c r="V211" s="1009"/>
      <c r="W211" s="1844"/>
      <c r="X211" s="1170"/>
      <c r="Y211" s="1170"/>
      <c r="Z211" s="1170"/>
    </row>
    <row r="212" spans="1:26">
      <c r="A212" s="66"/>
      <c r="B212" s="6032"/>
      <c r="C212" s="6023"/>
      <c r="D212" s="2361"/>
      <c r="E212" s="2361"/>
      <c r="F212" s="1009"/>
      <c r="G212" s="6023">
        <v>21000</v>
      </c>
      <c r="H212" s="1018" t="s">
        <v>399</v>
      </c>
      <c r="I212" s="1009"/>
      <c r="J212" s="4496">
        <f t="shared" si="1"/>
        <v>23000</v>
      </c>
      <c r="K212" s="780"/>
      <c r="L212" s="6026"/>
      <c r="M212" s="1009"/>
      <c r="N212" s="1009"/>
      <c r="O212" s="1009"/>
      <c r="P212" s="1009"/>
      <c r="Q212" s="8487">
        <v>0.31</v>
      </c>
      <c r="R212" s="8487"/>
      <c r="S212" s="1009"/>
      <c r="T212" s="1009"/>
      <c r="U212" s="1009"/>
      <c r="V212" s="1009"/>
      <c r="W212" s="1844"/>
      <c r="X212" s="1170"/>
      <c r="Y212" s="1170"/>
      <c r="Z212" s="1170"/>
    </row>
    <row r="213" spans="1:26">
      <c r="A213" s="66"/>
      <c r="B213" s="6032"/>
      <c r="C213" s="6023"/>
      <c r="D213" s="2361"/>
      <c r="E213" s="2361"/>
      <c r="F213" s="1009"/>
      <c r="G213" s="6023">
        <v>23000</v>
      </c>
      <c r="H213" s="1018" t="s">
        <v>399</v>
      </c>
      <c r="I213" s="1009"/>
      <c r="J213" s="4496">
        <f t="shared" si="1"/>
        <v>25000</v>
      </c>
      <c r="K213" s="780"/>
      <c r="L213" s="6026"/>
      <c r="M213" s="1009"/>
      <c r="N213" s="1009"/>
      <c r="O213" s="1009"/>
      <c r="P213" s="1009"/>
      <c r="Q213" s="8487">
        <v>0.3</v>
      </c>
      <c r="R213" s="8487"/>
      <c r="S213" s="1009"/>
      <c r="T213" s="1009"/>
      <c r="U213" s="1009"/>
      <c r="V213" s="1009"/>
      <c r="W213" s="1844"/>
      <c r="X213" s="1170"/>
      <c r="Y213" s="1170"/>
      <c r="Z213" s="1170"/>
    </row>
    <row r="214" spans="1:26" ht="12.75" customHeight="1">
      <c r="A214" s="66"/>
      <c r="B214" s="6032"/>
      <c r="C214" s="6023"/>
      <c r="D214" s="2361"/>
      <c r="E214" s="2361"/>
      <c r="F214" s="1009"/>
      <c r="G214" s="6023">
        <v>25000</v>
      </c>
      <c r="H214" s="1018" t="s">
        <v>399</v>
      </c>
      <c r="I214" s="1009"/>
      <c r="J214" s="4496">
        <f t="shared" si="1"/>
        <v>27000</v>
      </c>
      <c r="K214" s="780"/>
      <c r="L214" s="6026"/>
      <c r="M214" s="1009"/>
      <c r="N214" s="1009"/>
      <c r="O214" s="1009"/>
      <c r="P214" s="1009"/>
      <c r="Q214" s="8487">
        <v>0.28999999999999998</v>
      </c>
      <c r="R214" s="8487"/>
      <c r="S214" s="1009"/>
      <c r="T214" s="1009"/>
      <c r="U214" s="1009"/>
      <c r="V214" s="1009"/>
      <c r="W214" s="1844"/>
      <c r="X214" s="1170"/>
      <c r="Y214" s="1170"/>
      <c r="Z214" s="1170"/>
    </row>
    <row r="215" spans="1:26" ht="12.75" customHeight="1">
      <c r="A215" s="66"/>
      <c r="B215" s="6032"/>
      <c r="C215" s="6023"/>
      <c r="D215" s="2361"/>
      <c r="E215" s="2361"/>
      <c r="F215" s="1009"/>
      <c r="G215" s="6023">
        <v>27000</v>
      </c>
      <c r="H215" s="1018" t="s">
        <v>399</v>
      </c>
      <c r="I215" s="1009"/>
      <c r="J215" s="4496">
        <f t="shared" si="1"/>
        <v>29000</v>
      </c>
      <c r="K215" s="780"/>
      <c r="L215" s="6026"/>
      <c r="M215" s="1009"/>
      <c r="N215" s="1009"/>
      <c r="O215" s="1009"/>
      <c r="P215" s="1009"/>
      <c r="Q215" s="8487">
        <v>0.28000000000000003</v>
      </c>
      <c r="R215" s="8487"/>
      <c r="S215" s="1009"/>
      <c r="T215" s="1009"/>
      <c r="U215" s="1009"/>
      <c r="V215" s="1009"/>
      <c r="W215" s="1844"/>
      <c r="X215" s="1170"/>
      <c r="Y215" s="1170"/>
      <c r="Z215" s="1170"/>
    </row>
    <row r="216" spans="1:26" ht="12.75" customHeight="1">
      <c r="A216" s="66"/>
      <c r="B216" s="6032"/>
      <c r="C216" s="6023"/>
      <c r="D216" s="2361"/>
      <c r="E216" s="2361"/>
      <c r="F216" s="1009"/>
      <c r="G216" s="6023">
        <v>29000</v>
      </c>
      <c r="H216" s="1018" t="s">
        <v>399</v>
      </c>
      <c r="I216" s="1009"/>
      <c r="J216" s="4496">
        <f t="shared" si="1"/>
        <v>31000</v>
      </c>
      <c r="K216" s="780"/>
      <c r="L216" s="6026"/>
      <c r="M216" s="1009"/>
      <c r="N216" s="1009"/>
      <c r="O216" s="1009"/>
      <c r="P216" s="1009"/>
      <c r="Q216" s="8487">
        <v>0.27</v>
      </c>
      <c r="R216" s="8487"/>
      <c r="S216" s="1009"/>
      <c r="T216" s="1009"/>
      <c r="U216" s="1009"/>
      <c r="V216" s="1009"/>
      <c r="W216" s="1844"/>
      <c r="X216" s="1170"/>
      <c r="Y216" s="1170"/>
      <c r="Z216" s="1170"/>
    </row>
    <row r="217" spans="1:26" ht="12.75" customHeight="1">
      <c r="A217" s="66"/>
      <c r="B217" s="6032"/>
      <c r="C217" s="6023"/>
      <c r="D217" s="2361"/>
      <c r="E217" s="2361"/>
      <c r="F217" s="1009"/>
      <c r="G217" s="6023">
        <v>31000</v>
      </c>
      <c r="H217" s="1018" t="s">
        <v>399</v>
      </c>
      <c r="I217" s="1009"/>
      <c r="J217" s="4496">
        <f t="shared" si="1"/>
        <v>33000</v>
      </c>
      <c r="K217" s="780"/>
      <c r="L217" s="6026"/>
      <c r="M217" s="1009"/>
      <c r="N217" s="1009"/>
      <c r="O217" s="1009"/>
      <c r="P217" s="1009"/>
      <c r="Q217" s="8487">
        <v>0.26</v>
      </c>
      <c r="R217" s="8487"/>
      <c r="S217" s="1009"/>
      <c r="T217" s="1009"/>
      <c r="U217" s="1009"/>
      <c r="V217" s="1009"/>
      <c r="W217" s="1844"/>
      <c r="X217" s="1170"/>
      <c r="Y217" s="1170"/>
      <c r="Z217" s="1170"/>
    </row>
    <row r="218" spans="1:26" ht="12.75" customHeight="1">
      <c r="A218" s="66"/>
      <c r="B218" s="6032"/>
      <c r="C218" s="6023"/>
      <c r="D218" s="2361"/>
      <c r="E218" s="2361"/>
      <c r="F218" s="1009"/>
      <c r="G218" s="6023">
        <v>33000</v>
      </c>
      <c r="H218" s="1018" t="s">
        <v>399</v>
      </c>
      <c r="I218" s="1009"/>
      <c r="J218" s="4496">
        <f t="shared" si="1"/>
        <v>35000</v>
      </c>
      <c r="K218" s="780"/>
      <c r="L218" s="6026"/>
      <c r="M218" s="1009"/>
      <c r="N218" s="1009"/>
      <c r="O218" s="1009"/>
      <c r="P218" s="1009"/>
      <c r="Q218" s="8487">
        <v>0.25</v>
      </c>
      <c r="R218" s="8487"/>
      <c r="S218" s="1009"/>
      <c r="T218" s="1009"/>
      <c r="U218" s="1009"/>
      <c r="V218" s="1009"/>
      <c r="W218" s="1844"/>
      <c r="X218" s="1170"/>
      <c r="Y218" s="1170"/>
      <c r="Z218" s="1170"/>
    </row>
    <row r="219" spans="1:26" ht="12.75" customHeight="1">
      <c r="A219" s="66"/>
      <c r="B219" s="6032"/>
      <c r="C219" s="6023"/>
      <c r="D219" s="2361"/>
      <c r="E219" s="2361"/>
      <c r="F219" s="1009"/>
      <c r="G219" s="6023">
        <v>35000</v>
      </c>
      <c r="H219" s="1018" t="s">
        <v>399</v>
      </c>
      <c r="I219" s="1009"/>
      <c r="J219" s="4496">
        <f t="shared" si="1"/>
        <v>37000</v>
      </c>
      <c r="K219" s="780"/>
      <c r="L219" s="6026"/>
      <c r="M219" s="1009"/>
      <c r="N219" s="1009"/>
      <c r="O219" s="1009"/>
      <c r="P219" s="1009"/>
      <c r="Q219" s="8487">
        <v>0.24</v>
      </c>
      <c r="R219" s="8487"/>
      <c r="S219" s="1009"/>
      <c r="T219" s="1009"/>
      <c r="U219" s="1009"/>
      <c r="V219" s="1009"/>
      <c r="W219" s="1844"/>
      <c r="X219" s="1170"/>
      <c r="Y219" s="1170"/>
      <c r="Z219" s="1170"/>
    </row>
    <row r="220" spans="1:26" ht="12.75" customHeight="1">
      <c r="A220" s="66"/>
      <c r="B220" s="6032"/>
      <c r="C220" s="6023"/>
      <c r="D220" s="2361"/>
      <c r="E220" s="2361"/>
      <c r="F220" s="1009"/>
      <c r="G220" s="6023">
        <v>37000</v>
      </c>
      <c r="H220" s="1018" t="s">
        <v>399</v>
      </c>
      <c r="I220" s="1009"/>
      <c r="J220" s="4496">
        <f t="shared" si="1"/>
        <v>39000</v>
      </c>
      <c r="K220" s="780"/>
      <c r="L220" s="6026"/>
      <c r="M220" s="1009"/>
      <c r="N220" s="1009"/>
      <c r="O220" s="1009"/>
      <c r="P220" s="1009"/>
      <c r="Q220" s="8487">
        <v>0.23</v>
      </c>
      <c r="R220" s="8487"/>
      <c r="S220" s="1009"/>
      <c r="T220" s="1009"/>
      <c r="U220" s="1009"/>
      <c r="V220" s="1009"/>
      <c r="W220" s="1844"/>
      <c r="X220" s="1170"/>
      <c r="Y220" s="1170"/>
      <c r="Z220" s="1170"/>
    </row>
    <row r="221" spans="1:26" ht="12.75" customHeight="1">
      <c r="A221" s="66"/>
      <c r="B221" s="6032"/>
      <c r="C221" s="6023"/>
      <c r="D221" s="2361"/>
      <c r="E221" s="2361"/>
      <c r="F221" s="1009"/>
      <c r="G221" s="6023">
        <v>39000</v>
      </c>
      <c r="H221" s="1018" t="s">
        <v>399</v>
      </c>
      <c r="I221" s="1009"/>
      <c r="J221" s="4496">
        <f t="shared" si="1"/>
        <v>41000</v>
      </c>
      <c r="K221" s="780"/>
      <c r="L221" s="6026"/>
      <c r="M221" s="1009"/>
      <c r="N221" s="1009"/>
      <c r="O221" s="1009"/>
      <c r="P221" s="1009"/>
      <c r="Q221" s="8487">
        <v>0.22</v>
      </c>
      <c r="R221" s="8487"/>
      <c r="S221" s="1009"/>
      <c r="T221" s="1009"/>
      <c r="U221" s="1009"/>
      <c r="V221" s="1009"/>
      <c r="W221" s="1844"/>
      <c r="X221" s="1170"/>
      <c r="Y221" s="1170"/>
      <c r="Z221" s="1170"/>
    </row>
    <row r="222" spans="1:26" ht="12.75" customHeight="1">
      <c r="A222" s="66"/>
      <c r="B222" s="6032"/>
      <c r="C222" s="6023"/>
      <c r="D222" s="2361"/>
      <c r="E222" s="2361"/>
      <c r="F222" s="1009"/>
      <c r="G222" s="6023">
        <v>41000</v>
      </c>
      <c r="H222" s="1018" t="s">
        <v>399</v>
      </c>
      <c r="I222" s="1009"/>
      <c r="J222" s="4496">
        <f t="shared" si="1"/>
        <v>43000</v>
      </c>
      <c r="K222" s="780"/>
      <c r="L222" s="6026"/>
      <c r="M222" s="1009"/>
      <c r="N222" s="1009"/>
      <c r="O222" s="1009"/>
      <c r="P222" s="1009"/>
      <c r="Q222" s="8487">
        <v>0.21</v>
      </c>
      <c r="R222" s="8487"/>
      <c r="S222" s="1009"/>
      <c r="T222" s="1009"/>
      <c r="U222" s="1009"/>
      <c r="V222" s="1009"/>
      <c r="W222" s="1844"/>
      <c r="X222" s="1170"/>
      <c r="Y222" s="1170"/>
      <c r="Z222" s="1170"/>
    </row>
    <row r="223" spans="1:26" ht="12.75" customHeight="1">
      <c r="A223" s="66"/>
      <c r="B223" s="6032"/>
      <c r="C223" s="6023"/>
      <c r="D223" s="2361"/>
      <c r="E223" s="2361"/>
      <c r="F223" s="1009"/>
      <c r="G223" s="6023">
        <v>43000</v>
      </c>
      <c r="H223" s="1018" t="s">
        <v>399</v>
      </c>
      <c r="I223" s="1009"/>
      <c r="J223" s="4496" t="s">
        <v>3558</v>
      </c>
      <c r="K223" s="780"/>
      <c r="L223" s="6026"/>
      <c r="M223" s="1009"/>
      <c r="N223" s="1009"/>
      <c r="O223" s="1009"/>
      <c r="P223" s="1009"/>
      <c r="Q223" s="8487">
        <v>0.2</v>
      </c>
      <c r="R223" s="8487"/>
      <c r="S223" s="1009"/>
      <c r="T223" s="1009"/>
      <c r="U223" s="1009"/>
      <c r="V223" s="1009"/>
      <c r="W223" s="1844"/>
      <c r="X223" s="1170"/>
      <c r="Y223" s="1170"/>
      <c r="Z223" s="1170"/>
    </row>
    <row r="224" spans="1:26" ht="12.75" customHeight="1">
      <c r="A224" s="66"/>
      <c r="B224" s="3403"/>
      <c r="C224" s="8690"/>
      <c r="D224" s="8690"/>
      <c r="E224" s="8690"/>
      <c r="F224" s="3879"/>
      <c r="G224" s="4496"/>
      <c r="H224" s="8689"/>
      <c r="I224" s="8689"/>
      <c r="J224" s="2361"/>
      <c r="K224" s="1009"/>
      <c r="L224" s="1009"/>
      <c r="M224" s="1009"/>
      <c r="N224" s="1009"/>
      <c r="O224" s="1009"/>
      <c r="P224" s="1009"/>
      <c r="Q224" s="1009"/>
      <c r="R224" s="1009"/>
      <c r="S224" s="1009"/>
      <c r="T224" s="1009"/>
      <c r="U224" s="1009"/>
      <c r="V224" s="1009"/>
      <c r="W224" s="1844"/>
      <c r="X224" s="1170"/>
      <c r="Y224" s="1170"/>
      <c r="Z224" s="1170"/>
    </row>
    <row r="225" spans="1:26">
      <c r="A225" s="66"/>
      <c r="B225" s="6029" t="s">
        <v>1607</v>
      </c>
      <c r="C225" s="2361"/>
      <c r="D225" s="2361" t="s">
        <v>3649</v>
      </c>
      <c r="E225" s="2361"/>
      <c r="F225" s="2361"/>
      <c r="G225" s="2361"/>
      <c r="H225" s="2361"/>
      <c r="I225" s="2361"/>
      <c r="J225" s="2361"/>
      <c r="K225" s="2361"/>
      <c r="L225" s="2361"/>
      <c r="M225" s="2361"/>
      <c r="N225" s="2361"/>
      <c r="O225" s="2361"/>
      <c r="P225" s="2361"/>
      <c r="Q225" s="2361"/>
      <c r="R225" s="1018"/>
      <c r="S225" s="2361"/>
      <c r="T225" s="1010" t="s">
        <v>994</v>
      </c>
      <c r="U225" s="1018" t="s">
        <v>1607</v>
      </c>
      <c r="V225" s="4467" t="str">
        <f>IF(OR(V186="",C198),"",ROUND(V198*V202,0))</f>
        <v/>
      </c>
      <c r="W225" s="4492"/>
      <c r="X225" s="1170"/>
      <c r="Y225" s="1170"/>
      <c r="Z225" s="1170"/>
    </row>
    <row r="226" spans="1:26">
      <c r="A226" s="66"/>
      <c r="B226" s="6029" t="s">
        <v>5684</v>
      </c>
      <c r="C226" s="2361"/>
      <c r="D226" s="2361" t="s">
        <v>3650</v>
      </c>
      <c r="E226" s="2361"/>
      <c r="F226" s="2361"/>
      <c r="G226" s="2361"/>
      <c r="H226" s="2361"/>
      <c r="I226" s="2361"/>
      <c r="J226" s="2361"/>
      <c r="K226" s="2361"/>
      <c r="L226" s="2361"/>
      <c r="M226" s="2361"/>
      <c r="N226" s="2361"/>
      <c r="O226" s="2361"/>
      <c r="P226" s="2361"/>
      <c r="Q226" s="2361"/>
      <c r="R226" s="2361"/>
      <c r="S226" s="2361"/>
      <c r="T226" s="2361"/>
      <c r="U226" s="2361"/>
      <c r="V226" s="2361"/>
      <c r="W226" s="4492"/>
      <c r="X226" s="1170"/>
      <c r="Y226" s="1170"/>
      <c r="Z226" s="1170"/>
    </row>
    <row r="227" spans="1:26" ht="6" customHeight="1">
      <c r="A227" s="66"/>
      <c r="B227" s="6029"/>
      <c r="C227" s="2361"/>
      <c r="D227" s="2361"/>
      <c r="E227" s="2361"/>
      <c r="F227" s="2361"/>
      <c r="G227" s="2361"/>
      <c r="H227" s="2361"/>
      <c r="I227" s="2361"/>
      <c r="J227" s="2361"/>
      <c r="K227" s="2361"/>
      <c r="L227" s="2361"/>
      <c r="M227" s="2361"/>
      <c r="N227" s="2361"/>
      <c r="O227" s="2361"/>
      <c r="P227" s="2361"/>
      <c r="Q227" s="2361"/>
      <c r="R227" s="2361"/>
      <c r="S227" s="2361"/>
      <c r="T227" s="2361"/>
      <c r="U227" s="2361"/>
      <c r="V227" s="2361"/>
      <c r="W227" s="4492"/>
      <c r="X227" s="1170"/>
      <c r="Y227" s="1170"/>
      <c r="Z227" s="1170"/>
    </row>
    <row r="228" spans="1:26">
      <c r="A228" s="66"/>
      <c r="B228" s="5193"/>
      <c r="C228" s="4491"/>
      <c r="D228" s="8545"/>
      <c r="E228" s="8545"/>
      <c r="F228" s="8545"/>
      <c r="G228" s="8545"/>
      <c r="H228" s="8545"/>
      <c r="I228" s="8545"/>
      <c r="J228" s="8545"/>
      <c r="K228" s="8545"/>
      <c r="L228" s="8545"/>
      <c r="M228" s="8545"/>
      <c r="N228" s="8545"/>
      <c r="O228" s="8545"/>
      <c r="P228" s="8545"/>
      <c r="Q228" s="8545"/>
      <c r="R228" s="8545"/>
      <c r="S228" s="8545"/>
      <c r="T228" s="8545"/>
      <c r="U228" s="8545"/>
      <c r="V228" s="8545"/>
      <c r="W228" s="5698"/>
      <c r="X228" s="1170"/>
      <c r="Y228" s="1170"/>
      <c r="Z228" s="1170"/>
    </row>
    <row r="229" spans="1:26" ht="6" customHeight="1">
      <c r="A229" s="66"/>
      <c r="B229" s="3403"/>
      <c r="C229" s="2361"/>
      <c r="D229" s="2361"/>
      <c r="E229" s="2361"/>
      <c r="F229" s="2361"/>
      <c r="G229" s="2361"/>
      <c r="H229" s="2361"/>
      <c r="I229" s="2361"/>
      <c r="J229" s="2361"/>
      <c r="K229" s="2361"/>
      <c r="L229" s="2361"/>
      <c r="M229" s="2361"/>
      <c r="N229" s="2361"/>
      <c r="O229" s="2361"/>
      <c r="P229" s="2361"/>
      <c r="Q229" s="2361"/>
      <c r="R229" s="2361"/>
      <c r="S229" s="2361"/>
      <c r="T229" s="2361"/>
      <c r="U229" s="2361"/>
      <c r="V229" s="2361"/>
      <c r="W229" s="4492"/>
      <c r="X229" s="1170"/>
      <c r="Y229" s="1170"/>
      <c r="Z229" s="1170"/>
    </row>
    <row r="230" spans="1:26">
      <c r="A230" s="66"/>
      <c r="B230" s="6029" t="s">
        <v>5685</v>
      </c>
      <c r="C230" s="2361"/>
      <c r="D230" s="2361" t="s">
        <v>5686</v>
      </c>
      <c r="E230" s="2361"/>
      <c r="F230" s="2361"/>
      <c r="G230" s="2361"/>
      <c r="H230" s="2361"/>
      <c r="I230" s="2361"/>
      <c r="J230" s="2361"/>
      <c r="K230" s="2361"/>
      <c r="L230" s="2361"/>
      <c r="M230" s="6033"/>
      <c r="N230" s="4491" t="s">
        <v>1448</v>
      </c>
      <c r="O230" s="6033"/>
      <c r="P230" s="4491" t="s">
        <v>820</v>
      </c>
      <c r="Q230" s="2361"/>
      <c r="R230" s="2361"/>
      <c r="S230" s="2361"/>
      <c r="T230" s="2361"/>
      <c r="U230" s="2361"/>
      <c r="V230" s="2361"/>
      <c r="W230" s="4492"/>
      <c r="X230" s="1170"/>
      <c r="Y230" s="1170"/>
      <c r="Z230" s="1170"/>
    </row>
    <row r="231" spans="1:26" ht="14.25" customHeight="1">
      <c r="A231" s="66"/>
      <c r="B231" s="6029" t="s">
        <v>5687</v>
      </c>
      <c r="C231" s="2361"/>
      <c r="D231" s="2361" t="s">
        <v>3651</v>
      </c>
      <c r="E231" s="2361"/>
      <c r="F231" s="2361"/>
      <c r="G231" s="2361"/>
      <c r="H231" s="2361"/>
      <c r="I231" s="2361"/>
      <c r="J231" s="2361"/>
      <c r="K231" s="2361"/>
      <c r="L231" s="2361"/>
      <c r="M231" s="2361"/>
      <c r="N231" s="2361"/>
      <c r="O231" s="2361"/>
      <c r="P231" s="2361"/>
      <c r="Q231" s="2361"/>
      <c r="R231" s="2361"/>
      <c r="S231" s="2361"/>
      <c r="T231" s="2361"/>
      <c r="U231" s="2361"/>
      <c r="V231" s="2361"/>
      <c r="W231" s="4492"/>
      <c r="X231" s="1170"/>
      <c r="Y231" s="1170"/>
      <c r="Z231" s="1170"/>
    </row>
    <row r="232" spans="1:26" ht="6" customHeight="1">
      <c r="A232" s="66"/>
      <c r="B232" s="6029"/>
      <c r="C232" s="2361"/>
      <c r="D232" s="2361"/>
      <c r="E232" s="2361"/>
      <c r="F232" s="2361"/>
      <c r="G232" s="2361"/>
      <c r="H232" s="2361"/>
      <c r="I232" s="2361"/>
      <c r="J232" s="2361"/>
      <c r="K232" s="2361"/>
      <c r="L232" s="2361"/>
      <c r="M232" s="2361"/>
      <c r="N232" s="2361"/>
      <c r="O232" s="2361"/>
      <c r="P232" s="2361"/>
      <c r="Q232" s="2361"/>
      <c r="R232" s="2361"/>
      <c r="S232" s="2361"/>
      <c r="T232" s="2361"/>
      <c r="U232" s="2361"/>
      <c r="V232" s="2361"/>
      <c r="W232" s="4492"/>
      <c r="X232" s="1170"/>
      <c r="Y232" s="1170"/>
      <c r="Z232" s="1170"/>
    </row>
    <row r="233" spans="1:26">
      <c r="A233" s="66"/>
      <c r="B233" s="3403"/>
      <c r="C233" s="2361"/>
      <c r="D233" s="8545"/>
      <c r="E233" s="8545"/>
      <c r="F233" s="8545"/>
      <c r="G233" s="8545"/>
      <c r="H233" s="8545"/>
      <c r="I233" s="8545"/>
      <c r="J233" s="8545"/>
      <c r="K233" s="8545"/>
      <c r="L233" s="8545"/>
      <c r="M233" s="8545"/>
      <c r="N233" s="8545"/>
      <c r="O233" s="8545"/>
      <c r="P233" s="8545"/>
      <c r="Q233" s="8545"/>
      <c r="R233" s="8545"/>
      <c r="S233" s="8545"/>
      <c r="T233" s="8545"/>
      <c r="U233" s="8545"/>
      <c r="V233" s="8545"/>
      <c r="W233" s="4492"/>
      <c r="X233" s="1170"/>
      <c r="Y233" s="1170"/>
      <c r="Z233" s="1170"/>
    </row>
    <row r="234" spans="1:26" ht="6" customHeight="1">
      <c r="A234" s="66"/>
      <c r="B234" s="3403"/>
      <c r="C234" s="2361"/>
      <c r="D234" s="2361"/>
      <c r="E234" s="2361"/>
      <c r="F234" s="2361"/>
      <c r="G234" s="2361"/>
      <c r="H234" s="2361"/>
      <c r="I234" s="2361"/>
      <c r="J234" s="2361"/>
      <c r="K234" s="2361"/>
      <c r="L234" s="2361"/>
      <c r="M234" s="2361"/>
      <c r="N234" s="2361"/>
      <c r="O234" s="2361"/>
      <c r="P234" s="2361"/>
      <c r="Q234" s="2361"/>
      <c r="R234" s="2361"/>
      <c r="S234" s="2361"/>
      <c r="T234" s="2361"/>
      <c r="U234" s="2361"/>
      <c r="V234" s="2361"/>
      <c r="W234" s="4492"/>
      <c r="X234" s="1170"/>
      <c r="Y234" s="1170"/>
      <c r="Z234" s="1170"/>
    </row>
    <row r="235" spans="1:26">
      <c r="A235" s="66"/>
      <c r="B235" s="6029" t="s">
        <v>5688</v>
      </c>
      <c r="C235" s="2361"/>
      <c r="D235" s="2361" t="s">
        <v>5689</v>
      </c>
      <c r="E235" s="2361"/>
      <c r="F235" s="2361"/>
      <c r="G235" s="2361"/>
      <c r="H235" s="2361"/>
      <c r="I235" s="2361"/>
      <c r="J235" s="2361"/>
      <c r="K235" s="2361"/>
      <c r="L235" s="2361"/>
      <c r="M235" s="2361"/>
      <c r="N235" s="2361"/>
      <c r="O235" s="2361"/>
      <c r="P235" s="2361"/>
      <c r="Q235" s="2361"/>
      <c r="R235" s="2361"/>
      <c r="S235" s="2361"/>
      <c r="T235" s="2361"/>
      <c r="U235" s="6033"/>
      <c r="V235" s="2361"/>
      <c r="W235" s="4492"/>
      <c r="X235" s="1170"/>
      <c r="Y235" s="1170"/>
      <c r="Z235" s="1170"/>
    </row>
    <row r="236" spans="1:26">
      <c r="A236" s="66"/>
      <c r="B236" s="3403"/>
      <c r="C236" s="2361"/>
      <c r="D236" s="2361"/>
      <c r="E236" s="2361"/>
      <c r="F236" s="2361"/>
      <c r="G236" s="2361"/>
      <c r="H236" s="2361"/>
      <c r="I236" s="2361"/>
      <c r="J236" s="2361"/>
      <c r="K236" s="2361"/>
      <c r="L236" s="2361"/>
      <c r="M236" s="2361"/>
      <c r="N236" s="2361"/>
      <c r="O236" s="2361"/>
      <c r="P236" s="2361"/>
      <c r="Q236" s="2361"/>
      <c r="R236" s="2361"/>
      <c r="S236" s="2361"/>
      <c r="T236" s="2361"/>
      <c r="U236" s="2361"/>
      <c r="V236" s="2361"/>
      <c r="W236" s="4492"/>
      <c r="X236" s="1170"/>
      <c r="Y236" s="1170"/>
      <c r="Z236" s="1170"/>
    </row>
    <row r="237" spans="1:26" ht="13.5" customHeight="1">
      <c r="A237" s="66"/>
      <c r="B237" s="3403"/>
      <c r="C237" s="2361" t="s">
        <v>3652</v>
      </c>
      <c r="D237" s="2361"/>
      <c r="E237" s="2361"/>
      <c r="F237" s="2361"/>
      <c r="G237" s="2361"/>
      <c r="H237" s="2361"/>
      <c r="I237" s="2361"/>
      <c r="J237" s="2361"/>
      <c r="K237" s="2361"/>
      <c r="L237" s="2361"/>
      <c r="M237" s="2361"/>
      <c r="N237" s="2361"/>
      <c r="O237" s="2361"/>
      <c r="P237" s="2361"/>
      <c r="Q237" s="2361"/>
      <c r="R237" s="2361"/>
      <c r="S237" s="2361"/>
      <c r="T237" s="2361"/>
      <c r="U237" s="2361"/>
      <c r="V237" s="2361"/>
      <c r="W237" s="4492"/>
      <c r="X237" s="1170"/>
      <c r="Y237" s="1170"/>
      <c r="Z237" s="1170"/>
    </row>
    <row r="238" spans="1:26">
      <c r="A238" s="66"/>
      <c r="B238" s="3403"/>
      <c r="C238" s="2361" t="s">
        <v>3653</v>
      </c>
      <c r="D238" s="2361"/>
      <c r="E238" s="2361"/>
      <c r="F238" s="2361"/>
      <c r="G238" s="2361"/>
      <c r="H238" s="2361"/>
      <c r="I238" s="2361"/>
      <c r="J238" s="2361"/>
      <c r="K238" s="2361"/>
      <c r="L238" s="2361"/>
      <c r="M238" s="2361"/>
      <c r="N238" s="2361"/>
      <c r="O238" s="2361"/>
      <c r="P238" s="2361"/>
      <c r="Q238" s="2361"/>
      <c r="R238" s="2361"/>
      <c r="S238" s="2361"/>
      <c r="T238" s="2361"/>
      <c r="U238" s="2361"/>
      <c r="V238" s="2361"/>
      <c r="W238" s="4492"/>
      <c r="X238" s="1170"/>
      <c r="Y238" s="1170"/>
      <c r="Z238" s="1170"/>
    </row>
    <row r="239" spans="1:26" ht="12.75" customHeight="1">
      <c r="A239" s="66"/>
      <c r="B239" s="3403"/>
      <c r="C239" s="2361" t="s">
        <v>3654</v>
      </c>
      <c r="D239" s="2361"/>
      <c r="E239" s="2361"/>
      <c r="F239" s="2361"/>
      <c r="G239" s="2361"/>
      <c r="H239" s="2361"/>
      <c r="I239" s="2361"/>
      <c r="J239" s="2361"/>
      <c r="K239" s="2361"/>
      <c r="L239" s="2361"/>
      <c r="M239" s="2361"/>
      <c r="N239" s="2361"/>
      <c r="O239" s="2361"/>
      <c r="P239" s="2361"/>
      <c r="Q239" s="2361"/>
      <c r="R239" s="2361"/>
      <c r="S239" s="2361"/>
      <c r="T239" s="2361"/>
      <c r="U239" s="2361"/>
      <c r="V239" s="2361"/>
      <c r="W239" s="4492"/>
      <c r="X239" s="1170"/>
      <c r="Y239" s="1170"/>
      <c r="Z239" s="1170"/>
    </row>
    <row r="240" spans="1:26">
      <c r="A240" s="66"/>
      <c r="B240" s="3403"/>
      <c r="C240" s="2361" t="s">
        <v>3655</v>
      </c>
      <c r="D240" s="2361"/>
      <c r="E240" s="2361"/>
      <c r="F240" s="2361"/>
      <c r="G240" s="2361"/>
      <c r="H240" s="2361"/>
      <c r="I240" s="2361"/>
      <c r="J240" s="2361"/>
      <c r="K240" s="2361"/>
      <c r="L240" s="2361"/>
      <c r="M240" s="2361"/>
      <c r="N240" s="2361"/>
      <c r="O240" s="2361"/>
      <c r="P240" s="2361"/>
      <c r="Q240" s="2361"/>
      <c r="R240" s="2361"/>
      <c r="S240" s="2361"/>
      <c r="T240" s="2361"/>
      <c r="U240" s="2361"/>
      <c r="V240" s="2361"/>
      <c r="W240" s="4492"/>
      <c r="X240" s="1170"/>
      <c r="Y240" s="1170"/>
      <c r="Z240" s="1170"/>
    </row>
    <row r="241" spans="1:26">
      <c r="A241" s="66"/>
      <c r="B241" s="3403"/>
      <c r="C241" s="2361"/>
      <c r="D241" s="2361"/>
      <c r="E241" s="2361"/>
      <c r="F241" s="2361"/>
      <c r="G241" s="2361"/>
      <c r="H241" s="2361"/>
      <c r="I241" s="2361"/>
      <c r="J241" s="2361"/>
      <c r="K241" s="2361"/>
      <c r="L241" s="2361"/>
      <c r="M241" s="2361"/>
      <c r="N241" s="2361"/>
      <c r="O241" s="2361"/>
      <c r="P241" s="2361"/>
      <c r="Q241" s="2361"/>
      <c r="R241" s="2361"/>
      <c r="S241" s="2361"/>
      <c r="T241" s="2361"/>
      <c r="U241" s="2361"/>
      <c r="V241" s="2361"/>
      <c r="W241" s="4492"/>
      <c r="X241" s="1170"/>
      <c r="Y241" s="1170"/>
      <c r="Z241" s="1170"/>
    </row>
    <row r="242" spans="1:26">
      <c r="A242" s="66"/>
      <c r="B242" s="4497"/>
      <c r="C242" s="4498"/>
      <c r="D242" s="4498"/>
      <c r="E242" s="4498"/>
      <c r="F242" s="4498"/>
      <c r="G242" s="4498"/>
      <c r="H242" s="4498"/>
      <c r="I242" s="4498"/>
      <c r="J242" s="4498"/>
      <c r="K242" s="4498"/>
      <c r="L242" s="4498"/>
      <c r="M242" s="4498"/>
      <c r="N242" s="4498"/>
      <c r="O242" s="4498"/>
      <c r="P242" s="4498"/>
      <c r="Q242" s="4498"/>
      <c r="R242" s="4498"/>
      <c r="S242" s="4498"/>
      <c r="T242" s="4498"/>
      <c r="U242" s="4498"/>
      <c r="V242" s="4498"/>
      <c r="W242" s="4499"/>
      <c r="X242" s="1170"/>
      <c r="Y242" s="1170"/>
      <c r="Z242" s="1170"/>
    </row>
    <row r="243" spans="1:26">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1170"/>
    </row>
    <row r="244" spans="1:26" ht="13.5" thickBot="1">
      <c r="A244"/>
    </row>
    <row r="245" spans="1:26" ht="14.25" thickTop="1" thickBot="1">
      <c r="B245" s="5637"/>
      <c r="C245" s="8617" t="s">
        <v>3656</v>
      </c>
      <c r="D245" s="8618"/>
      <c r="E245" s="8618"/>
      <c r="F245" s="8618"/>
      <c r="G245" s="8618"/>
      <c r="H245" s="8618"/>
      <c r="I245" s="8618"/>
      <c r="J245" s="8619"/>
      <c r="K245" s="5637"/>
      <c r="L245" s="5637"/>
      <c r="M245" s="5637"/>
      <c r="N245" s="5637"/>
      <c r="O245" s="5637"/>
      <c r="P245" s="5637"/>
      <c r="Q245" s="5637"/>
      <c r="R245" s="5637"/>
      <c r="S245" s="5637"/>
      <c r="T245" s="5637"/>
      <c r="U245" s="5637"/>
      <c r="V245" s="5637"/>
      <c r="W245" s="5637"/>
    </row>
    <row r="246" spans="1:26" ht="14.25" thickTop="1" thickBot="1">
      <c r="B246" s="5637"/>
      <c r="C246" s="5637"/>
      <c r="D246" s="5637"/>
      <c r="E246" s="5637"/>
      <c r="F246" s="5637"/>
      <c r="G246" s="5637"/>
      <c r="H246" s="5637"/>
      <c r="I246" s="5637"/>
      <c r="J246" s="5637"/>
      <c r="K246" s="5637"/>
      <c r="L246" s="5637"/>
      <c r="M246" s="5637"/>
      <c r="N246" s="5637"/>
      <c r="O246" s="5637"/>
      <c r="P246" s="5637"/>
      <c r="Q246" s="5637"/>
      <c r="R246" s="5637"/>
      <c r="S246" s="5637"/>
      <c r="T246" s="5637"/>
      <c r="U246" s="5637"/>
      <c r="V246" s="5637"/>
      <c r="W246" s="5637"/>
    </row>
    <row r="247" spans="1:26" ht="14.25" thickTop="1" thickBot="1">
      <c r="B247" s="5637"/>
      <c r="C247" s="8617" t="s">
        <v>3657</v>
      </c>
      <c r="D247" s="8618"/>
      <c r="E247" s="8618"/>
      <c r="F247" s="8618"/>
      <c r="G247" s="8618"/>
      <c r="H247" s="8618"/>
      <c r="I247" s="8618"/>
      <c r="J247" s="8619"/>
      <c r="K247" s="5637"/>
      <c r="L247" s="5637"/>
      <c r="M247" s="5637"/>
      <c r="N247" s="5637"/>
      <c r="O247" s="5637"/>
      <c r="P247" s="5637"/>
      <c r="Q247" s="5637"/>
      <c r="R247" s="5637"/>
      <c r="S247" s="5637"/>
      <c r="T247" s="5637"/>
      <c r="U247" s="5637"/>
      <c r="V247" s="5637"/>
      <c r="W247" s="5637"/>
    </row>
    <row r="248" spans="1:26" ht="13.5" thickTop="1"/>
  </sheetData>
  <sheetProtection password="F07E" sheet="1" objects="1" scenarios="1"/>
  <mergeCells count="311">
    <mergeCell ref="H145:L145"/>
    <mergeCell ref="B165:G165"/>
    <mergeCell ref="H165:L165"/>
    <mergeCell ref="M165:S165"/>
    <mergeCell ref="B129:G130"/>
    <mergeCell ref="M166:S166"/>
    <mergeCell ref="C57:D57"/>
    <mergeCell ref="H224:I224"/>
    <mergeCell ref="C224:E224"/>
    <mergeCell ref="O206:S207"/>
    <mergeCell ref="Q208:R208"/>
    <mergeCell ref="Q209:R209"/>
    <mergeCell ref="Q210:R210"/>
    <mergeCell ref="Q211:R211"/>
    <mergeCell ref="Q212:R212"/>
    <mergeCell ref="Q213:R213"/>
    <mergeCell ref="R131:S132"/>
    <mergeCell ref="R133:S134"/>
    <mergeCell ref="R135:S136"/>
    <mergeCell ref="R137:S138"/>
    <mergeCell ref="R139:S140"/>
    <mergeCell ref="R141:S142"/>
    <mergeCell ref="R143:S144"/>
    <mergeCell ref="R129:S130"/>
    <mergeCell ref="G40:J40"/>
    <mergeCell ref="K38:M38"/>
    <mergeCell ref="K39:M39"/>
    <mergeCell ref="K40:M40"/>
    <mergeCell ref="B133:G134"/>
    <mergeCell ref="H133:L133"/>
    <mergeCell ref="H134:L134"/>
    <mergeCell ref="C119:F120"/>
    <mergeCell ref="H129:L129"/>
    <mergeCell ref="C55:D55"/>
    <mergeCell ref="B38:F38"/>
    <mergeCell ref="B39:F39"/>
    <mergeCell ref="B40:F40"/>
    <mergeCell ref="G38:J38"/>
    <mergeCell ref="G39:J39"/>
    <mergeCell ref="N55:O55"/>
    <mergeCell ref="C56:D56"/>
    <mergeCell ref="N56:O56"/>
    <mergeCell ref="N47:T47"/>
    <mergeCell ref="C51:D51"/>
    <mergeCell ref="G50:G51"/>
    <mergeCell ref="L50:L51"/>
    <mergeCell ref="H51:I51"/>
    <mergeCell ref="K50:K51"/>
    <mergeCell ref="C52:D52"/>
    <mergeCell ref="N52:O52"/>
    <mergeCell ref="V116:W116"/>
    <mergeCell ref="V112:W112"/>
    <mergeCell ref="V114:W114"/>
    <mergeCell ref="O93:T93"/>
    <mergeCell ref="O98:T98"/>
    <mergeCell ref="V60:W60"/>
    <mergeCell ref="V58:W58"/>
    <mergeCell ref="N57:O57"/>
    <mergeCell ref="O62:T62"/>
    <mergeCell ref="T38:W38"/>
    <mergeCell ref="V45:W45"/>
    <mergeCell ref="V46:W46"/>
    <mergeCell ref="C53:D53"/>
    <mergeCell ref="N53:O53"/>
    <mergeCell ref="C54:D54"/>
    <mergeCell ref="P127:U128"/>
    <mergeCell ref="V102:W102"/>
    <mergeCell ref="V104:W104"/>
    <mergeCell ref="V109:W109"/>
    <mergeCell ref="V110:W110"/>
    <mergeCell ref="V97:W97"/>
    <mergeCell ref="V100:W100"/>
    <mergeCell ref="V86:W86"/>
    <mergeCell ref="V87:W87"/>
    <mergeCell ref="V88:W88"/>
    <mergeCell ref="O89:T89"/>
    <mergeCell ref="V84:W84"/>
    <mergeCell ref="V85:W85"/>
    <mergeCell ref="O85:T85"/>
    <mergeCell ref="N54:O54"/>
    <mergeCell ref="T40:W40"/>
    <mergeCell ref="V119:W120"/>
    <mergeCell ref="V48:W48"/>
    <mergeCell ref="V130:W130"/>
    <mergeCell ref="V132:W132"/>
    <mergeCell ref="V134:W134"/>
    <mergeCell ref="V136:W136"/>
    <mergeCell ref="V138:W138"/>
    <mergeCell ref="V140:W140"/>
    <mergeCell ref="U129:U130"/>
    <mergeCell ref="U131:U132"/>
    <mergeCell ref="U133:U134"/>
    <mergeCell ref="U135:U136"/>
    <mergeCell ref="U137:U138"/>
    <mergeCell ref="U139:U140"/>
    <mergeCell ref="U141:U142"/>
    <mergeCell ref="U143:U144"/>
    <mergeCell ref="G7:U7"/>
    <mergeCell ref="G4:U5"/>
    <mergeCell ref="M16:O17"/>
    <mergeCell ref="T147:T148"/>
    <mergeCell ref="H119:U119"/>
    <mergeCell ref="H120:U120"/>
    <mergeCell ref="H136:L136"/>
    <mergeCell ref="T143:T144"/>
    <mergeCell ref="T129:T130"/>
    <mergeCell ref="Q129:Q130"/>
    <mergeCell ref="Q131:Q132"/>
    <mergeCell ref="Q133:Q134"/>
    <mergeCell ref="Q135:Q136"/>
    <mergeCell ref="Q137:Q138"/>
    <mergeCell ref="Q139:Q140"/>
    <mergeCell ref="Q141:Q142"/>
    <mergeCell ref="Q143:Q144"/>
    <mergeCell ref="R145:S146"/>
    <mergeCell ref="O78:T78"/>
    <mergeCell ref="O79:T79"/>
    <mergeCell ref="O80:T80"/>
    <mergeCell ref="O86:T86"/>
    <mergeCell ref="V23:W23"/>
    <mergeCell ref="S9:W9"/>
    <mergeCell ref="AA8:AB8"/>
    <mergeCell ref="AA9:AB9"/>
    <mergeCell ref="AA10:AB10"/>
    <mergeCell ref="AA11:AB11"/>
    <mergeCell ref="AA12:AB12"/>
    <mergeCell ref="AA13:AB13"/>
    <mergeCell ref="AA14:AB14"/>
    <mergeCell ref="AA15:AB15"/>
    <mergeCell ref="AA16:AB16"/>
    <mergeCell ref="AA17:AB17"/>
    <mergeCell ref="T18:T19"/>
    <mergeCell ref="T20:T21"/>
    <mergeCell ref="V41:W41"/>
    <mergeCell ref="V79:W79"/>
    <mergeCell ref="V80:W80"/>
    <mergeCell ref="V81:W81"/>
    <mergeCell ref="V82:W82"/>
    <mergeCell ref="V83:W83"/>
    <mergeCell ref="V64:W64"/>
    <mergeCell ref="V72:W72"/>
    <mergeCell ref="V74:W74"/>
    <mergeCell ref="V75:W75"/>
    <mergeCell ref="V76:W76"/>
    <mergeCell ref="V42:W42"/>
    <mergeCell ref="V43:W43"/>
    <mergeCell ref="V61:W61"/>
    <mergeCell ref="C245:J245"/>
    <mergeCell ref="C247:J247"/>
    <mergeCell ref="B139:G140"/>
    <mergeCell ref="H139:L139"/>
    <mergeCell ref="H140:L140"/>
    <mergeCell ref="B137:G138"/>
    <mergeCell ref="H137:L137"/>
    <mergeCell ref="B141:G142"/>
    <mergeCell ref="H141:L141"/>
    <mergeCell ref="H142:L142"/>
    <mergeCell ref="H138:L138"/>
    <mergeCell ref="H146:L146"/>
    <mergeCell ref="B147:G148"/>
    <mergeCell ref="H147:L147"/>
    <mergeCell ref="H148:L148"/>
    <mergeCell ref="H162:L162"/>
    <mergeCell ref="B143:G144"/>
    <mergeCell ref="H143:L143"/>
    <mergeCell ref="B166:G166"/>
    <mergeCell ref="H166:L166"/>
    <mergeCell ref="B151:B152"/>
    <mergeCell ref="C151:L152"/>
    <mergeCell ref="H144:L144"/>
    <mergeCell ref="B145:G146"/>
    <mergeCell ref="B163:G163"/>
    <mergeCell ref="H163:L163"/>
    <mergeCell ref="AE33:AG34"/>
    <mergeCell ref="K28:L29"/>
    <mergeCell ref="B22:G23"/>
    <mergeCell ref="H22:L22"/>
    <mergeCell ref="C4:F5"/>
    <mergeCell ref="V3:W3"/>
    <mergeCell ref="V4:W5"/>
    <mergeCell ref="B4:B5"/>
    <mergeCell ref="V16:W16"/>
    <mergeCell ref="G25:J26"/>
    <mergeCell ref="B18:G19"/>
    <mergeCell ref="H18:L18"/>
    <mergeCell ref="H19:L19"/>
    <mergeCell ref="H23:L23"/>
    <mergeCell ref="G27:J27"/>
    <mergeCell ref="B20:G21"/>
    <mergeCell ref="H20:L20"/>
    <mergeCell ref="H21:L21"/>
    <mergeCell ref="W6:W7"/>
    <mergeCell ref="Q18:Q19"/>
    <mergeCell ref="Q20:Q21"/>
    <mergeCell ref="Q22:Q23"/>
    <mergeCell ref="AA7:AB7"/>
    <mergeCell ref="G6:U6"/>
    <mergeCell ref="M23:O23"/>
    <mergeCell ref="K35:M37"/>
    <mergeCell ref="H16:L16"/>
    <mergeCell ref="H17:L17"/>
    <mergeCell ref="P16:U17"/>
    <mergeCell ref="R18:S19"/>
    <mergeCell ref="R20:S21"/>
    <mergeCell ref="R22:S23"/>
    <mergeCell ref="U18:U19"/>
    <mergeCell ref="U20:U21"/>
    <mergeCell ref="U22:U23"/>
    <mergeCell ref="F35:H36"/>
    <mergeCell ref="T35:W35"/>
    <mergeCell ref="T36:W36"/>
    <mergeCell ref="T37:W37"/>
    <mergeCell ref="M19:O19"/>
    <mergeCell ref="M21:O21"/>
    <mergeCell ref="N35:S37"/>
    <mergeCell ref="S8:W8"/>
    <mergeCell ref="T22:T23"/>
    <mergeCell ref="V19:W19"/>
    <mergeCell ref="V21:W21"/>
    <mergeCell ref="T156:W156"/>
    <mergeCell ref="M162:S162"/>
    <mergeCell ref="B131:G132"/>
    <mergeCell ref="H131:L131"/>
    <mergeCell ref="H132:L132"/>
    <mergeCell ref="B135:G136"/>
    <mergeCell ref="H135:L135"/>
    <mergeCell ref="T141:T142"/>
    <mergeCell ref="T160:W160"/>
    <mergeCell ref="B161:G161"/>
    <mergeCell ref="H161:L161"/>
    <mergeCell ref="M161:S161"/>
    <mergeCell ref="T161:W161"/>
    <mergeCell ref="B162:G162"/>
    <mergeCell ref="Q147:Q148"/>
    <mergeCell ref="V142:W142"/>
    <mergeCell ref="V144:W144"/>
    <mergeCell ref="V146:W146"/>
    <mergeCell ref="R147:S148"/>
    <mergeCell ref="U147:U148"/>
    <mergeCell ref="T145:T146"/>
    <mergeCell ref="V148:W148"/>
    <mergeCell ref="Q145:Q146"/>
    <mergeCell ref="U145:U146"/>
    <mergeCell ref="D233:V233"/>
    <mergeCell ref="D228:V228"/>
    <mergeCell ref="U123:W123"/>
    <mergeCell ref="V73:W73"/>
    <mergeCell ref="T131:T132"/>
    <mergeCell ref="T133:T134"/>
    <mergeCell ref="T135:T136"/>
    <mergeCell ref="T137:T138"/>
    <mergeCell ref="T139:T140"/>
    <mergeCell ref="M163:S163"/>
    <mergeCell ref="T163:W163"/>
    <mergeCell ref="B164:G164"/>
    <mergeCell ref="H164:L164"/>
    <mergeCell ref="M164:S164"/>
    <mergeCell ref="T164:W164"/>
    <mergeCell ref="B160:G160"/>
    <mergeCell ref="H160:L160"/>
    <mergeCell ref="M160:S160"/>
    <mergeCell ref="T165:W165"/>
    <mergeCell ref="T154:W154"/>
    <mergeCell ref="T155:W155"/>
    <mergeCell ref="B156:G156"/>
    <mergeCell ref="H156:L156"/>
    <mergeCell ref="M156:S156"/>
    <mergeCell ref="AE66:AG74"/>
    <mergeCell ref="T166:W166"/>
    <mergeCell ref="AE26:AG28"/>
    <mergeCell ref="T162:W162"/>
    <mergeCell ref="B157:G157"/>
    <mergeCell ref="H157:L157"/>
    <mergeCell ref="M157:S157"/>
    <mergeCell ref="T157:W157"/>
    <mergeCell ref="B158:G158"/>
    <mergeCell ref="H158:L158"/>
    <mergeCell ref="M158:S158"/>
    <mergeCell ref="T158:W158"/>
    <mergeCell ref="B159:G159"/>
    <mergeCell ref="H159:L159"/>
    <mergeCell ref="M159:S159"/>
    <mergeCell ref="T159:W159"/>
    <mergeCell ref="M153:S155"/>
    <mergeCell ref="T153:W153"/>
    <mergeCell ref="M127:O127"/>
    <mergeCell ref="V127:W127"/>
    <mergeCell ref="M128:O128"/>
    <mergeCell ref="AC94:AG98"/>
    <mergeCell ref="T39:W39"/>
    <mergeCell ref="H130:L130"/>
    <mergeCell ref="AE24:AF25"/>
    <mergeCell ref="AE29:AG30"/>
    <mergeCell ref="AE32:AG32"/>
    <mergeCell ref="AH36:AH37"/>
    <mergeCell ref="AI36:AI37"/>
    <mergeCell ref="AJ36:AJ37"/>
    <mergeCell ref="AK36:AK37"/>
    <mergeCell ref="AL36:AL37"/>
    <mergeCell ref="AN36:AN37"/>
    <mergeCell ref="Q223:R223"/>
    <mergeCell ref="J206:K207"/>
    <mergeCell ref="Q214:R214"/>
    <mergeCell ref="Q215:R215"/>
    <mergeCell ref="Q216:R216"/>
    <mergeCell ref="Q217:R217"/>
    <mergeCell ref="Q218:R218"/>
    <mergeCell ref="Q219:R219"/>
    <mergeCell ref="Q220:R220"/>
    <mergeCell ref="Q221:R221"/>
    <mergeCell ref="Q222:R222"/>
  </mergeCells>
  <conditionalFormatting sqref="B10:B11">
    <cfRule type="expression" dxfId="1475" priority="445">
      <formula>OR($AB$18,$AB$19)</formula>
    </cfRule>
  </conditionalFormatting>
  <conditionalFormatting sqref="B38:B40 K38:K40">
    <cfRule type="expression" dxfId="1474" priority="539">
      <formula>IF(NoColor,1,0)</formula>
    </cfRule>
  </conditionalFormatting>
  <conditionalFormatting sqref="B20:L23">
    <cfRule type="expression" dxfId="1473" priority="370">
      <formula>IF(NoColor,1,0)</formula>
    </cfRule>
  </conditionalFormatting>
  <conditionalFormatting sqref="B19:M19">
    <cfRule type="expression" dxfId="1472" priority="541">
      <formula>IF(NoColor,1,0)</formula>
    </cfRule>
  </conditionalFormatting>
  <conditionalFormatting sqref="B156:M166">
    <cfRule type="expression" dxfId="1471" priority="210">
      <formula>IF(NoColor,1,0)</formula>
    </cfRule>
  </conditionalFormatting>
  <conditionalFormatting sqref="B18:O18">
    <cfRule type="expression" dxfId="1470" priority="366">
      <formula>IF(NoColor,1,0)</formula>
    </cfRule>
  </conditionalFormatting>
  <conditionalFormatting sqref="B129:P148">
    <cfRule type="expression" dxfId="1469" priority="115">
      <formula>IF(NoColor,1,0)</formula>
    </cfRule>
  </conditionalFormatting>
  <conditionalFormatting sqref="B9:Q9">
    <cfRule type="expression" dxfId="1468" priority="543">
      <formula>IF(NoColor,1,0)</formula>
    </cfRule>
  </conditionalFormatting>
  <conditionalFormatting sqref="B123:U123 V186:V189">
    <cfRule type="expression" dxfId="1467" priority="376">
      <formula>NoColor</formula>
    </cfRule>
  </conditionalFormatting>
  <conditionalFormatting sqref="C95">
    <cfRule type="expression" dxfId="1466" priority="510">
      <formula>IF(NoColor,1,0)</formula>
    </cfRule>
  </conditionalFormatting>
  <conditionalFormatting sqref="C97">
    <cfRule type="expression" dxfId="1465" priority="509">
      <formula>IF(NoColor,1,0)</formula>
    </cfRule>
  </conditionalFormatting>
  <conditionalFormatting sqref="C170:E170">
    <cfRule type="expression" dxfId="1464" priority="208">
      <formula>#REF!</formula>
    </cfRule>
  </conditionalFormatting>
  <conditionalFormatting sqref="D228:V228">
    <cfRule type="expression" dxfId="1463" priority="194">
      <formula>NoColor</formula>
    </cfRule>
  </conditionalFormatting>
  <conditionalFormatting sqref="D233:V233">
    <cfRule type="expression" dxfId="1462" priority="193">
      <formula>NoColor</formula>
    </cfRule>
  </conditionalFormatting>
  <conditionalFormatting sqref="G38:G40">
    <cfRule type="expression" dxfId="1461" priority="319">
      <formula>IF(NoColor,1,0)</formula>
    </cfRule>
  </conditionalFormatting>
  <conditionalFormatting sqref="I111">
    <cfRule type="expression" dxfId="1460" priority="405">
      <formula>AND($V$112&lt;&gt;"",$V$112&lt;=0)</formula>
    </cfRule>
  </conditionalFormatting>
  <conditionalFormatting sqref="M21">
    <cfRule type="expression" dxfId="1459" priority="11">
      <formula>IF(NoColor,1,0)</formula>
    </cfRule>
  </conditionalFormatting>
  <conditionalFormatting sqref="M23">
    <cfRule type="expression" dxfId="1458" priority="10">
      <formula>IF(NoColor,1,0)</formula>
    </cfRule>
  </conditionalFormatting>
  <conditionalFormatting sqref="M25">
    <cfRule type="expression" dxfId="1457" priority="540">
      <formula>IF(NoColor,1,0)</formula>
    </cfRule>
  </conditionalFormatting>
  <conditionalFormatting sqref="M27">
    <cfRule type="expression" dxfId="1456" priority="526">
      <formula>IF(NoColor,1,0)</formula>
    </cfRule>
  </conditionalFormatting>
  <conditionalFormatting sqref="M20:O20">
    <cfRule type="expression" dxfId="1455" priority="329">
      <formula>IF(NoColor,1,0)</formula>
    </cfRule>
  </conditionalFormatting>
  <conditionalFormatting sqref="M22:O22">
    <cfRule type="expression" dxfId="1454" priority="327">
      <formula>IF(NoColor,1,0)</formula>
    </cfRule>
  </conditionalFormatting>
  <conditionalFormatting sqref="N47">
    <cfRule type="expression" dxfId="1453" priority="530">
      <formula>IF(NoColor,1,0)</formula>
    </cfRule>
  </conditionalFormatting>
  <conditionalFormatting sqref="O197 R197:S197 U197 D198:E198">
    <cfRule type="expression" dxfId="1452" priority="313">
      <formula>$C$198</formula>
    </cfRule>
  </conditionalFormatting>
  <conditionalFormatting sqref="P18:P23">
    <cfRule type="expression" dxfId="1451" priority="178">
      <formula>IF(NoColor,1,0)</formula>
    </cfRule>
  </conditionalFormatting>
  <conditionalFormatting sqref="P38:Q40">
    <cfRule type="expression" dxfId="1450" priority="9">
      <formula>IF(NoColor,1,0)</formula>
    </cfRule>
  </conditionalFormatting>
  <conditionalFormatting sqref="Q156:Q166">
    <cfRule type="expression" dxfId="1449" priority="135">
      <formula>IF(NoColor,1,0)</formula>
    </cfRule>
  </conditionalFormatting>
  <conditionalFormatting sqref="Q18:R18">
    <cfRule type="expression" dxfId="1448" priority="179">
      <formula>IF(NoColor,1,0)</formula>
    </cfRule>
  </conditionalFormatting>
  <conditionalFormatting sqref="Q20:R20">
    <cfRule type="expression" dxfId="1447" priority="80">
      <formula>IF(NoColor,1,0)</formula>
    </cfRule>
  </conditionalFormatting>
  <conditionalFormatting sqref="Q22:R22">
    <cfRule type="expression" dxfId="1446" priority="79">
      <formula>IF(NoColor,1,0)</formula>
    </cfRule>
  </conditionalFormatting>
  <conditionalFormatting sqref="Q129:R129">
    <cfRule type="expression" dxfId="1445" priority="75">
      <formula>IF(NoColor,1,0)</formula>
    </cfRule>
  </conditionalFormatting>
  <conditionalFormatting sqref="Q131:R131">
    <cfRule type="expression" dxfId="1444" priority="74">
      <formula>IF(NoColor,1,0)</formula>
    </cfRule>
  </conditionalFormatting>
  <conditionalFormatting sqref="Q133:R133">
    <cfRule type="expression" dxfId="1443" priority="69">
      <formula>IF(NoColor,1,0)</formula>
    </cfRule>
  </conditionalFormatting>
  <conditionalFormatting sqref="Q135:R135">
    <cfRule type="expression" dxfId="1442" priority="65">
      <formula>IF(NoColor,1,0)</formula>
    </cfRule>
  </conditionalFormatting>
  <conditionalFormatting sqref="Q137:R137">
    <cfRule type="expression" dxfId="1441" priority="61">
      <formula>IF(NoColor,1,0)</formula>
    </cfRule>
  </conditionalFormatting>
  <conditionalFormatting sqref="Q139:R139">
    <cfRule type="expression" dxfId="1440" priority="57">
      <formula>IF(NoColor,1,0)</formula>
    </cfRule>
  </conditionalFormatting>
  <conditionalFormatting sqref="Q141:R141">
    <cfRule type="expression" dxfId="1439" priority="53">
      <formula>IF(NoColor,1,0)</formula>
    </cfRule>
  </conditionalFormatting>
  <conditionalFormatting sqref="Q143:R143">
    <cfRule type="expression" dxfId="1438" priority="49">
      <formula>IF(NoColor,1,0)</formula>
    </cfRule>
  </conditionalFormatting>
  <conditionalFormatting sqref="Q145:R145">
    <cfRule type="expression" dxfId="1437" priority="45">
      <formula>IF(NoColor,1,0)</formula>
    </cfRule>
  </conditionalFormatting>
  <conditionalFormatting sqref="Q147:R147">
    <cfRule type="expression" dxfId="1436" priority="41">
      <formula>IF(NoColor,1,0)</formula>
    </cfRule>
  </conditionalFormatting>
  <conditionalFormatting sqref="S9">
    <cfRule type="expression" dxfId="1435" priority="542">
      <formula>IF(NoColor,1,0)</formula>
    </cfRule>
  </conditionalFormatting>
  <conditionalFormatting sqref="T38:T40">
    <cfRule type="expression" dxfId="1434" priority="318">
      <formula>IF(NoColor,1,0)</formula>
    </cfRule>
  </conditionalFormatting>
  <conditionalFormatting sqref="T156:T166">
    <cfRule type="expression" dxfId="1433" priority="209">
      <formula>IF(NoColor,1,0)</formula>
    </cfRule>
  </conditionalFormatting>
  <conditionalFormatting sqref="T18:V18">
    <cfRule type="expression" dxfId="1432" priority="78">
      <formula>IF(NoColor,1,0)</formula>
    </cfRule>
  </conditionalFormatting>
  <conditionalFormatting sqref="T20:V20">
    <cfRule type="expression" dxfId="1431" priority="25">
      <formula>IF(NoColor,1,0)</formula>
    </cfRule>
  </conditionalFormatting>
  <conditionalFormatting sqref="T22:V22">
    <cfRule type="expression" dxfId="1430" priority="24">
      <formula>IF(NoColor,1,0)</formula>
    </cfRule>
  </conditionalFormatting>
  <conditionalFormatting sqref="T129:V129">
    <cfRule type="expression" dxfId="1429" priority="23">
      <formula>IF(NoColor,1,0)</formula>
    </cfRule>
  </conditionalFormatting>
  <conditionalFormatting sqref="T131:V131">
    <cfRule type="expression" dxfId="1428" priority="22">
      <formula>IF(NoColor,1,0)</formula>
    </cfRule>
  </conditionalFormatting>
  <conditionalFormatting sqref="T133:V133">
    <cfRule type="expression" dxfId="1427" priority="21">
      <formula>IF(NoColor,1,0)</formula>
    </cfRule>
  </conditionalFormatting>
  <conditionalFormatting sqref="T135:V135">
    <cfRule type="expression" dxfId="1426" priority="20">
      <formula>IF(NoColor,1,0)</formula>
    </cfRule>
  </conditionalFormatting>
  <conditionalFormatting sqref="T137:V137">
    <cfRule type="expression" dxfId="1425" priority="19">
      <formula>IF(NoColor,1,0)</formula>
    </cfRule>
  </conditionalFormatting>
  <conditionalFormatting sqref="T139:V139">
    <cfRule type="expression" dxfId="1424" priority="18">
      <formula>IF(NoColor,1,0)</formula>
    </cfRule>
  </conditionalFormatting>
  <conditionalFormatting sqref="T141:V141">
    <cfRule type="expression" dxfId="1423" priority="17">
      <formula>IF(NoColor,1,0)</formula>
    </cfRule>
  </conditionalFormatting>
  <conditionalFormatting sqref="T143:V143">
    <cfRule type="expression" dxfId="1422" priority="16">
      <formula>IF(NoColor,1,0)</formula>
    </cfRule>
  </conditionalFormatting>
  <conditionalFormatting sqref="T145:V145">
    <cfRule type="expression" dxfId="1421" priority="15">
      <formula>IF(NoColor,1,0)</formula>
    </cfRule>
  </conditionalFormatting>
  <conditionalFormatting sqref="T147:V147">
    <cfRule type="expression" dxfId="1420" priority="14">
      <formula>IF(NoColor,1,0)</formula>
    </cfRule>
  </conditionalFormatting>
  <conditionalFormatting sqref="V11">
    <cfRule type="expression" dxfId="1419" priority="444">
      <formula>OR($AB$18,$AB$19)</formula>
    </cfRule>
  </conditionalFormatting>
  <conditionalFormatting sqref="V42:V43">
    <cfRule type="expression" dxfId="1418" priority="455">
      <formula>IF(NoColor,1,0)</formula>
    </cfRule>
  </conditionalFormatting>
  <conditionalFormatting sqref="V45:V46">
    <cfRule type="expression" dxfId="1417" priority="453">
      <formula>IF(NoColor,1,0)</formula>
    </cfRule>
  </conditionalFormatting>
  <conditionalFormatting sqref="V58">
    <cfRule type="expression" dxfId="1416" priority="317">
      <formula>IF(NoColor,1,0)</formula>
    </cfRule>
  </conditionalFormatting>
  <conditionalFormatting sqref="V60:V61">
    <cfRule type="expression" dxfId="1415" priority="451">
      <formula>IF(NoColor,1,0)</formula>
    </cfRule>
  </conditionalFormatting>
  <conditionalFormatting sqref="V64">
    <cfRule type="expression" dxfId="1414" priority="450">
      <formula>IF(NoColor,1,0)</formula>
    </cfRule>
  </conditionalFormatting>
  <conditionalFormatting sqref="V72:V76">
    <cfRule type="expression" dxfId="1413" priority="302">
      <formula>IF(NoColor,1,0)</formula>
    </cfRule>
  </conditionalFormatting>
  <conditionalFormatting sqref="V79:V88">
    <cfRule type="expression" dxfId="1412" priority="4678">
      <formula>AND($M$25="",$M$27&lt;&gt;"",$AD$18="",$AD$19="",File_Marr_Sep&lt;&gt;"")</formula>
    </cfRule>
  </conditionalFormatting>
  <conditionalFormatting sqref="V97">
    <cfRule type="expression" dxfId="1411" priority="508">
      <formula>IF(NoColor,1,0)</formula>
    </cfRule>
  </conditionalFormatting>
  <conditionalFormatting sqref="V100">
    <cfRule type="expression" dxfId="1410" priority="503">
      <formula>IF(NoColor,1,0)</formula>
    </cfRule>
  </conditionalFormatting>
  <conditionalFormatting sqref="V102">
    <cfRule type="expression" dxfId="1409" priority="502">
      <formula>IF(NoColor,1,0)</formula>
    </cfRule>
  </conditionalFormatting>
  <conditionalFormatting sqref="V104">
    <cfRule type="expression" dxfId="1408" priority="501">
      <formula>IF(NoColor,1,0)</formula>
    </cfRule>
  </conditionalFormatting>
  <conditionalFormatting sqref="V109:V110">
    <cfRule type="expression" dxfId="1407" priority="442">
      <formula>IF(NoColor,1,0)</formula>
    </cfRule>
  </conditionalFormatting>
  <conditionalFormatting sqref="V112">
    <cfRule type="expression" dxfId="1406" priority="441">
      <formula>IF(NoColor,1,0)</formula>
    </cfRule>
  </conditionalFormatting>
  <conditionalFormatting sqref="V114">
    <cfRule type="expression" dxfId="1405" priority="440">
      <formula>IF(NoColor,1,0)</formula>
    </cfRule>
  </conditionalFormatting>
  <conditionalFormatting sqref="V116">
    <cfRule type="expression" dxfId="1404" priority="492">
      <formula>IF(NoColor,1,0)</formula>
    </cfRule>
  </conditionalFormatting>
  <conditionalFormatting sqref="V173">
    <cfRule type="expression" dxfId="1403" priority="190">
      <formula>NoColor</formula>
    </cfRule>
  </conditionalFormatting>
  <conditionalFormatting sqref="V175">
    <cfRule type="expression" dxfId="1402" priority="189">
      <formula>NoColor</formula>
    </cfRule>
  </conditionalFormatting>
  <conditionalFormatting sqref="V177">
    <cfRule type="expression" dxfId="1401" priority="188">
      <formula>NoColor</formula>
    </cfRule>
  </conditionalFormatting>
  <conditionalFormatting sqref="V191:V192">
    <cfRule type="expression" dxfId="1400" priority="199">
      <formula>NoColor</formula>
    </cfRule>
  </conditionalFormatting>
  <conditionalFormatting sqref="V194:V196">
    <cfRule type="expression" dxfId="1399" priority="198">
      <formula>NoColor</formula>
    </cfRule>
  </conditionalFormatting>
  <conditionalFormatting sqref="V198">
    <cfRule type="expression" dxfId="1398" priority="197">
      <formula>NoColor</formula>
    </cfRule>
  </conditionalFormatting>
  <conditionalFormatting sqref="V200">
    <cfRule type="expression" dxfId="1397" priority="202">
      <formula>NoColor</formula>
    </cfRule>
  </conditionalFormatting>
  <conditionalFormatting sqref="V202">
    <cfRule type="expression" dxfId="1396" priority="196">
      <formula>NoColor</formula>
    </cfRule>
  </conditionalFormatting>
  <conditionalFormatting sqref="V225">
    <cfRule type="expression" dxfId="1395" priority="195">
      <formula>NoColor</formula>
    </cfRule>
  </conditionalFormatting>
  <conditionalFormatting sqref="W11">
    <cfRule type="expression" dxfId="1394" priority="447">
      <formula>NoColor</formula>
    </cfRule>
  </conditionalFormatting>
  <conditionalFormatting sqref="W13">
    <cfRule type="expression" dxfId="1393" priority="307">
      <formula>NoColor</formula>
    </cfRule>
  </conditionalFormatting>
  <conditionalFormatting sqref="W15">
    <cfRule type="expression" dxfId="1392" priority="371">
      <formula>NoColor</formula>
    </cfRule>
  </conditionalFormatting>
  <conditionalFormatting sqref="W34">
    <cfRule type="expression" dxfId="1391" priority="320">
      <formula>NoColor</formula>
    </cfRule>
  </conditionalFormatting>
  <conditionalFormatting sqref="W53">
    <cfRule type="expression" dxfId="1390" priority="13">
      <formula>NoColor</formula>
    </cfRule>
  </conditionalFormatting>
  <conditionalFormatting sqref="Y33">
    <cfRule type="expression" dxfId="1389" priority="462">
      <formula>AND(File_Marr_Sep&lt;&gt;"",$AD$19&lt;&gt;"")</formula>
    </cfRule>
  </conditionalFormatting>
  <conditionalFormatting sqref="Y150">
    <cfRule type="expression" dxfId="1388" priority="229">
      <formula>AND(File_Marr_Sep&lt;&gt;"",$AD$19&lt;&gt;"")</formula>
    </cfRule>
  </conditionalFormatting>
  <conditionalFormatting sqref="Y189">
    <cfRule type="expression" dxfId="1387" priority="192">
      <formula>NoColor</formula>
    </cfRule>
  </conditionalFormatting>
  <conditionalFormatting sqref="AA7:AA17">
    <cfRule type="expression" dxfId="1386" priority="443">
      <formula>AND($AD$18="",$AD$19="",File_Marr_Sep&lt;&gt;"")</formula>
    </cfRule>
  </conditionalFormatting>
  <conditionalFormatting sqref="AA44 AA87:AA91">
    <cfRule type="expression" dxfId="1385" priority="531">
      <formula>IF(File_Marr_Joint&lt;&gt;"",1,0)</formula>
    </cfRule>
  </conditionalFormatting>
  <conditionalFormatting sqref="AA48:AA51">
    <cfRule type="expression" dxfId="1384" priority="402">
      <formula>IF(File_Marr_Joint&lt;&gt;"",1,0)</formula>
    </cfRule>
  </conditionalFormatting>
  <conditionalFormatting sqref="AA54:AA59">
    <cfRule type="expression" dxfId="1383" priority="314">
      <formula>IF(File_Marr_Joint&lt;&gt;"",1,0)</formula>
    </cfRule>
  </conditionalFormatting>
  <conditionalFormatting sqref="AA61">
    <cfRule type="expression" dxfId="1382" priority="400">
      <formula>IF(File_Marr_Joint&lt;&gt;"",1,0)</formula>
    </cfRule>
  </conditionalFormatting>
  <conditionalFormatting sqref="AA63">
    <cfRule type="expression" dxfId="1381" priority="399">
      <formula>IF(File_Marr_Joint&lt;&gt;"",1,0)</formula>
    </cfRule>
  </conditionalFormatting>
  <conditionalFormatting sqref="AA65:AA70">
    <cfRule type="expression" dxfId="1380" priority="397">
      <formula>IF(File_Marr_Joint&lt;&gt;"",1,0)</formula>
    </cfRule>
  </conditionalFormatting>
  <conditionalFormatting sqref="AA77">
    <cfRule type="expression" dxfId="1379" priority="395">
      <formula>IF(File_Marr_Joint&lt;&gt;"",1,0)</formula>
    </cfRule>
  </conditionalFormatting>
  <conditionalFormatting sqref="AA81:AA84">
    <cfRule type="expression" dxfId="1378" priority="394">
      <formula>IF(File_Marr_Joint&lt;&gt;"",1,0)</formula>
    </cfRule>
  </conditionalFormatting>
  <conditionalFormatting sqref="AA94:AA96">
    <cfRule type="expression" dxfId="1377" priority="391">
      <formula>AND($C$97&lt;&gt;"",File_Marr_Joint&lt;&gt;"")</formula>
    </cfRule>
  </conditionalFormatting>
  <conditionalFormatting sqref="AA97">
    <cfRule type="expression" dxfId="1376" priority="392">
      <formula>AND($C$97&lt;&gt;"",File_Marr_Joint&lt;&gt;"")</formula>
    </cfRule>
  </conditionalFormatting>
  <conditionalFormatting sqref="AA98:AA100">
    <cfRule type="expression" dxfId="1375" priority="390">
      <formula>IF(File_Marr_Joint&lt;&gt;"",1,0)</formula>
    </cfRule>
  </conditionalFormatting>
  <conditionalFormatting sqref="AA103">
    <cfRule type="expression" dxfId="1374" priority="389">
      <formula>IF(File_Marr_Joint&lt;&gt;"",1,0)</formula>
    </cfRule>
  </conditionalFormatting>
  <conditionalFormatting sqref="AA105:AA107">
    <cfRule type="expression" dxfId="1373" priority="388">
      <formula>IF(File_Marr_Joint&lt;&gt;"",1,0)</formula>
    </cfRule>
  </conditionalFormatting>
  <conditionalFormatting sqref="AA110:AA111">
    <cfRule type="expression" dxfId="1372" priority="386">
      <formula>IF(File_Marr_Joint&lt;&gt;"",1,0)</formula>
    </cfRule>
  </conditionalFormatting>
  <conditionalFormatting sqref="AA113">
    <cfRule type="expression" dxfId="1371" priority="385">
      <formula>IF(File_Marr_Joint&lt;&gt;"",1,0)</formula>
    </cfRule>
  </conditionalFormatting>
  <conditionalFormatting sqref="AA115">
    <cfRule type="expression" dxfId="1370" priority="384">
      <formula>IF(File_Marr_Joint&lt;&gt;"",1,0)</formula>
    </cfRule>
  </conditionalFormatting>
  <conditionalFormatting sqref="AA117">
    <cfRule type="expression" dxfId="1369" priority="383">
      <formula>IF(File_Marr_Joint&lt;&gt;"",1,0)</formula>
    </cfRule>
  </conditionalFormatting>
  <conditionalFormatting sqref="AA125:AB128 AQ125:AQ128">
    <cfRule type="expression" dxfId="1368" priority="477">
      <formula>AND($AD$18="",$AD$19="",File_Marr_Sep&lt;&gt;"")</formula>
    </cfRule>
  </conditionalFormatting>
  <conditionalFormatting sqref="AC2:AL21">
    <cfRule type="expression" dxfId="1367" priority="5">
      <formula>IF(File_Marr_Sep="",1,0)</formula>
    </cfRule>
  </conditionalFormatting>
  <conditionalFormatting sqref="AM28:AM35 AO28:AO35">
    <cfRule type="expression" dxfId="1366" priority="2">
      <formula>IF(File_Marr_Joint&lt;&gt;"",1,0)</formula>
    </cfRule>
  </conditionalFormatting>
  <conditionalFormatting sqref="AM39:AM46 AO39:AO46 AM50 AO50 AM53:AM62 AO53:AO62 AM66:AM72 AO66:AO72">
    <cfRule type="expression" dxfId="1365" priority="3">
      <formula>IF(File_Marr_Joint&lt;&gt;"",1,0)</formula>
    </cfRule>
  </conditionalFormatting>
  <conditionalFormatting sqref="AM124:AM127 AO124:AO127 AL125:AL128 AN125:AN128">
    <cfRule type="expression" dxfId="1364" priority="6">
      <formula>AND($AD$18="",$AD$19="",File_Marr_Sep&lt;&gt;"")</formula>
    </cfRule>
  </conditionalFormatting>
  <conditionalFormatting sqref="AN2:AN21">
    <cfRule type="expression" dxfId="1363" priority="1">
      <formula>IF(File_Marr_Sep="",1,0)</formula>
    </cfRule>
  </conditionalFormatting>
  <conditionalFormatting sqref="AP2:AQ21">
    <cfRule type="expression" dxfId="1362" priority="467">
      <formula>IF(File_Marr_Sep="",1,0)</formula>
    </cfRule>
  </conditionalFormatting>
  <hyperlinks>
    <hyperlink ref="C245:J245" r:id="rId1" display="Download Form 2441" xr:uid="{00000000-0004-0000-2500-000000000000}"/>
    <hyperlink ref="C247:J247" r:id="rId2" display="Download Form 2441 Instructions" xr:uid="{00000000-0004-0000-2500-000001000000}"/>
  </hyperlinks>
  <pageMargins left="0.75" right="0.25" top="0.36" bottom="0.28999999999999998" header="0.36" footer="0.21"/>
  <pageSetup scale="75" fitToHeight="0" orientation="portrait" r:id="rId3"/>
  <rowBreaks count="4" manualBreakCount="4">
    <brk id="65" min="1" max="18" man="1"/>
    <brk id="117" min="1" max="18" man="1"/>
    <brk id="166" min="1" max="18" man="1"/>
    <brk id="17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424"/>
  <sheetViews>
    <sheetView zoomScaleNormal="100" zoomScaleSheetLayoutView="100" workbookViewId="0"/>
  </sheetViews>
  <sheetFormatPr defaultColWidth="9.140625" defaultRowHeight="12.75"/>
  <cols>
    <col min="1" max="1" width="3.7109375" style="39" customWidth="1"/>
    <col min="2" max="3" width="5" style="39" customWidth="1"/>
    <col min="4" max="19" width="3.7109375" style="39" customWidth="1"/>
    <col min="20" max="20" width="5" style="39" customWidth="1"/>
    <col min="21" max="21" width="2.85546875" style="39" customWidth="1"/>
    <col min="22" max="27" width="3.7109375" style="39" customWidth="1"/>
    <col min="28" max="28" width="4.42578125" style="39" customWidth="1"/>
    <col min="29" max="36" width="3.7109375" style="39" customWidth="1"/>
    <col min="37" max="37" width="9.140625" style="39"/>
    <col min="38" max="38" width="4.42578125" style="1332" customWidth="1"/>
    <col min="39" max="39" width="12.5703125" style="1332" customWidth="1"/>
    <col min="40" max="40" width="5.140625" style="1332" customWidth="1"/>
    <col min="41" max="41" width="12.5703125" style="1332" customWidth="1"/>
    <col min="42" max="42" width="3.5703125" style="1332" customWidth="1"/>
    <col min="43" max="51" width="10.7109375" style="2038" customWidth="1"/>
    <col min="52" max="53" width="9.140625" style="1332"/>
    <col min="54" max="54" width="10" style="1332" customWidth="1"/>
    <col min="55" max="59" width="9.140625" style="1332"/>
    <col min="60" max="60" width="3.42578125" style="1332" customWidth="1"/>
    <col min="61" max="62" width="9.140625" style="1332"/>
    <col min="63" max="66" width="11.7109375" style="1332" customWidth="1"/>
    <col min="67" max="67" width="9.140625" style="1332" customWidth="1"/>
    <col min="68" max="75" width="9.140625" style="1332"/>
    <col min="76" max="16384" width="9.140625" style="39"/>
  </cols>
  <sheetData>
    <row r="1" spans="1:62" ht="17.25" customHeight="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92"/>
      <c r="AM1" s="892"/>
      <c r="AN1" s="892"/>
      <c r="AO1" s="892"/>
      <c r="AP1" s="892"/>
      <c r="AQ1" s="2037" t="s">
        <v>241</v>
      </c>
      <c r="AR1" s="2037"/>
      <c r="AS1" s="2037"/>
      <c r="AT1" s="2037"/>
      <c r="AU1" s="2037"/>
      <c r="AV1" s="2037"/>
      <c r="AW1" s="2037"/>
      <c r="AX1" s="2037"/>
      <c r="AY1" s="2037"/>
    </row>
    <row r="2" spans="1:62" ht="18" customHeight="1">
      <c r="A2" s="461"/>
      <c r="B2" s="808"/>
      <c r="C2" s="808"/>
      <c r="D2" s="8768" t="s">
        <v>127</v>
      </c>
      <c r="E2" s="8769"/>
      <c r="F2" s="8769"/>
      <c r="G2" s="8769"/>
      <c r="H2" s="860"/>
      <c r="I2" s="8770" t="s">
        <v>3658</v>
      </c>
      <c r="J2" s="6966"/>
      <c r="K2" s="6966"/>
      <c r="L2" s="6966"/>
      <c r="M2" s="6966"/>
      <c r="N2" s="6966"/>
      <c r="O2" s="6966"/>
      <c r="P2" s="6966"/>
      <c r="Q2" s="6966"/>
      <c r="R2" s="6966"/>
      <c r="S2" s="6966"/>
      <c r="T2" s="6966"/>
      <c r="U2" s="6966"/>
      <c r="V2" s="6966"/>
      <c r="W2" s="6966"/>
      <c r="X2" s="6966"/>
      <c r="Y2" s="6966"/>
      <c r="Z2" s="6966"/>
      <c r="AA2" s="6966"/>
      <c r="AB2" s="6967"/>
      <c r="AC2" s="8772" t="s">
        <v>576</v>
      </c>
      <c r="AD2" s="8773"/>
      <c r="AE2" s="8773"/>
      <c r="AF2" s="8773"/>
      <c r="AG2" s="8773"/>
      <c r="AH2" s="8773"/>
      <c r="AI2" s="8773"/>
      <c r="AJ2" s="8773"/>
      <c r="AK2" s="461"/>
      <c r="AL2" s="892"/>
      <c r="AM2" s="892"/>
      <c r="AN2" s="892"/>
      <c r="AO2" s="892"/>
      <c r="AP2" s="892"/>
    </row>
    <row r="3" spans="1:62" ht="24" customHeight="1" thickBot="1">
      <c r="A3" s="461"/>
      <c r="B3" s="8774" t="s">
        <v>50</v>
      </c>
      <c r="C3" s="7256"/>
      <c r="D3" s="8769"/>
      <c r="E3" s="8769"/>
      <c r="F3" s="8769"/>
      <c r="G3" s="8769"/>
      <c r="H3" s="860"/>
      <c r="I3" s="8771"/>
      <c r="J3" s="6966"/>
      <c r="K3" s="6966"/>
      <c r="L3" s="6966"/>
      <c r="M3" s="6966"/>
      <c r="N3" s="6966"/>
      <c r="O3" s="6966"/>
      <c r="P3" s="6966"/>
      <c r="Q3" s="6966"/>
      <c r="R3" s="6966"/>
      <c r="S3" s="6966"/>
      <c r="T3" s="6966"/>
      <c r="U3" s="6966"/>
      <c r="V3" s="6966"/>
      <c r="W3" s="6966"/>
      <c r="X3" s="6966"/>
      <c r="Y3" s="6966"/>
      <c r="Z3" s="6966"/>
      <c r="AA3" s="6966"/>
      <c r="AB3" s="6967"/>
      <c r="AC3" s="8775">
        <f>TaxYear</f>
        <v>2023</v>
      </c>
      <c r="AD3" s="8776"/>
      <c r="AE3" s="8776"/>
      <c r="AF3" s="8776"/>
      <c r="AG3" s="8776"/>
      <c r="AH3" s="8776"/>
      <c r="AI3" s="8776"/>
      <c r="AJ3" s="8776"/>
      <c r="AK3" s="461"/>
      <c r="AL3" s="892" t="s">
        <v>3659</v>
      </c>
      <c r="AM3" s="892"/>
      <c r="AN3" s="892"/>
      <c r="AO3" s="892"/>
      <c r="AP3" s="892"/>
    </row>
    <row r="4" spans="1:62" ht="13.5" customHeight="1" thickBot="1">
      <c r="A4" s="461"/>
      <c r="B4" s="808"/>
      <c r="C4" s="808"/>
      <c r="D4" s="808"/>
      <c r="E4" s="808"/>
      <c r="F4" s="808"/>
      <c r="G4" s="808"/>
      <c r="H4" s="860"/>
      <c r="I4" s="8779"/>
      <c r="J4" s="6466"/>
      <c r="K4" s="6466"/>
      <c r="L4" s="6466"/>
      <c r="M4" s="6466"/>
      <c r="N4" s="6466"/>
      <c r="O4" s="6466"/>
      <c r="P4" s="6466"/>
      <c r="Q4" s="6466"/>
      <c r="R4" s="6466"/>
      <c r="S4" s="6466"/>
      <c r="T4" s="6466"/>
      <c r="U4" s="6466"/>
      <c r="V4" s="6466"/>
      <c r="W4" s="6466"/>
      <c r="X4" s="6466"/>
      <c r="Y4" s="6466"/>
      <c r="Z4" s="6466"/>
      <c r="AA4" s="6466"/>
      <c r="AB4" s="6971"/>
      <c r="AC4" s="8777"/>
      <c r="AD4" s="8778"/>
      <c r="AE4" s="8778"/>
      <c r="AF4" s="8778"/>
      <c r="AG4" s="8778"/>
      <c r="AH4" s="8778"/>
      <c r="AI4" s="8778"/>
      <c r="AJ4" s="8778"/>
      <c r="AK4" s="461"/>
      <c r="AL4" s="873" t="s">
        <v>2268</v>
      </c>
      <c r="AM4" s="892" t="s">
        <v>605</v>
      </c>
      <c r="AN4" s="892"/>
      <c r="AO4" s="900" t="b">
        <f>AL4&lt;&gt;""</f>
        <v>1</v>
      </c>
      <c r="AP4" s="892"/>
    </row>
    <row r="5" spans="1:62" ht="14.25" customHeight="1" thickBot="1">
      <c r="A5" s="461"/>
      <c r="B5" s="808" t="s">
        <v>535</v>
      </c>
      <c r="C5" s="808"/>
      <c r="D5" s="808"/>
      <c r="E5" s="808"/>
      <c r="F5" s="808"/>
      <c r="G5" s="808"/>
      <c r="H5" s="860"/>
      <c r="I5" s="8779" t="s">
        <v>2090</v>
      </c>
      <c r="J5" s="6466"/>
      <c r="K5" s="6466"/>
      <c r="L5" s="6466"/>
      <c r="M5" s="6466"/>
      <c r="N5" s="6466"/>
      <c r="O5" s="6466"/>
      <c r="P5" s="6466"/>
      <c r="Q5" s="6466"/>
      <c r="R5" s="6466"/>
      <c r="S5" s="6466"/>
      <c r="T5" s="6466"/>
      <c r="U5" s="6466"/>
      <c r="V5" s="6466"/>
      <c r="W5" s="6466"/>
      <c r="X5" s="6466"/>
      <c r="Y5" s="6466"/>
      <c r="Z5" s="6466"/>
      <c r="AA5" s="6466"/>
      <c r="AB5" s="6971"/>
      <c r="AC5" s="894"/>
      <c r="AD5" s="8780" t="s">
        <v>3660</v>
      </c>
      <c r="AE5" s="8781"/>
      <c r="AF5" s="8781"/>
      <c r="AG5" s="8781"/>
      <c r="AH5" s="8782">
        <v>34</v>
      </c>
      <c r="AI5" s="8782"/>
      <c r="AJ5" s="808"/>
      <c r="AK5" s="461"/>
      <c r="AL5" s="873"/>
      <c r="AM5" s="892" t="s">
        <v>3661</v>
      </c>
      <c r="AN5" s="892"/>
      <c r="AO5" s="900" t="b">
        <f>AL5&lt;&gt;""</f>
        <v>0</v>
      </c>
      <c r="AP5" s="892"/>
    </row>
    <row r="6" spans="1:62" ht="13.5" customHeight="1" thickBot="1">
      <c r="A6" s="461"/>
      <c r="B6" s="896" t="s">
        <v>537</v>
      </c>
      <c r="C6" s="896"/>
      <c r="D6" s="896"/>
      <c r="E6" s="896"/>
      <c r="F6" s="896"/>
      <c r="G6" s="896"/>
      <c r="H6" s="897"/>
      <c r="I6" s="8714" t="s">
        <v>3662</v>
      </c>
      <c r="J6" s="8715"/>
      <c r="K6" s="8715"/>
      <c r="L6" s="8715"/>
      <c r="M6" s="8715"/>
      <c r="N6" s="8715"/>
      <c r="O6" s="8715"/>
      <c r="P6" s="8715"/>
      <c r="Q6" s="8715"/>
      <c r="R6" s="8715"/>
      <c r="S6" s="8715"/>
      <c r="T6" s="8715"/>
      <c r="U6" s="8715"/>
      <c r="V6" s="8715"/>
      <c r="W6" s="8715"/>
      <c r="X6" s="8715"/>
      <c r="Y6" s="8715"/>
      <c r="Z6" s="8715"/>
      <c r="AA6" s="8715"/>
      <c r="AB6" s="8716"/>
      <c r="AC6" s="1118"/>
      <c r="AD6" s="8740" t="s">
        <v>3474</v>
      </c>
      <c r="AE6" s="8741"/>
      <c r="AF6" s="8741"/>
      <c r="AG6" s="8741"/>
      <c r="AH6" s="8783"/>
      <c r="AI6" s="8783"/>
      <c r="AJ6" s="896"/>
      <c r="AK6" s="461"/>
      <c r="AL6" s="892"/>
      <c r="AM6" s="892"/>
      <c r="AN6" s="892"/>
      <c r="AO6" s="892"/>
      <c r="AP6" s="892"/>
    </row>
    <row r="7" spans="1:62" ht="16.5" customHeight="1" thickBot="1">
      <c r="A7" s="461"/>
      <c r="B7" s="1327"/>
      <c r="C7" s="1327"/>
      <c r="D7" s="1327"/>
      <c r="E7" s="1327"/>
      <c r="F7" s="1327"/>
      <c r="G7" s="1327"/>
      <c r="H7" s="1327"/>
      <c r="I7" s="1327"/>
      <c r="J7" s="1327"/>
      <c r="K7" s="1327"/>
      <c r="L7" s="1327"/>
      <c r="M7" s="1327"/>
      <c r="N7" s="1327"/>
      <c r="O7" s="1327"/>
      <c r="P7" s="1327"/>
      <c r="Q7" s="1328" t="s">
        <v>3663</v>
      </c>
      <c r="R7" s="1327"/>
      <c r="S7" s="1327"/>
      <c r="T7" s="1327"/>
      <c r="U7" s="1327"/>
      <c r="V7" s="1327"/>
      <c r="W7" s="1327"/>
      <c r="X7" s="1327"/>
      <c r="Y7" s="1327"/>
      <c r="Z7" s="1327"/>
      <c r="AA7" s="1327"/>
      <c r="AB7" s="1327"/>
      <c r="AC7" s="1327"/>
      <c r="AD7" s="1327"/>
      <c r="AE7" s="1327"/>
      <c r="AF7" s="1327"/>
      <c r="AG7" s="1327"/>
      <c r="AH7" s="1327"/>
      <c r="AI7" s="1327"/>
      <c r="AJ7" s="1327"/>
      <c r="AK7" s="461"/>
      <c r="AL7" s="892"/>
      <c r="AM7" s="892"/>
      <c r="AN7" s="892"/>
      <c r="AO7" s="892"/>
      <c r="AP7" s="892"/>
    </row>
    <row r="8" spans="1:62">
      <c r="A8" s="461"/>
      <c r="B8" s="892" t="s">
        <v>3664</v>
      </c>
      <c r="C8" s="892"/>
      <c r="D8" s="892"/>
      <c r="E8" s="892"/>
      <c r="F8" s="892"/>
      <c r="G8" s="892"/>
      <c r="H8" s="892"/>
      <c r="I8" s="892"/>
      <c r="J8" s="892"/>
      <c r="K8" s="892"/>
      <c r="L8" s="892"/>
      <c r="M8" s="892"/>
      <c r="N8" s="892"/>
      <c r="O8" s="892"/>
      <c r="P8" s="892"/>
      <c r="Q8" s="892"/>
      <c r="R8" s="892"/>
      <c r="S8" s="892"/>
      <c r="T8" s="892"/>
      <c r="U8" s="892"/>
      <c r="V8" s="892"/>
      <c r="W8" s="892"/>
      <c r="X8" s="892"/>
      <c r="Y8" s="2950" t="s">
        <v>586</v>
      </c>
      <c r="Z8" s="808"/>
      <c r="AA8" s="808"/>
      <c r="AB8" s="808"/>
      <c r="AC8" s="1150"/>
      <c r="AD8" s="1255"/>
      <c r="AE8" s="1255"/>
      <c r="AF8" s="1255"/>
      <c r="AG8" s="1255"/>
      <c r="AH8" s="1255"/>
      <c r="AI8" s="1255"/>
      <c r="AJ8" s="1255"/>
      <c r="AK8" s="461"/>
      <c r="AL8" s="892"/>
      <c r="AM8" s="892"/>
      <c r="AN8" s="892"/>
      <c r="AO8" s="892"/>
      <c r="AP8" s="892"/>
    </row>
    <row r="9" spans="1:62" ht="13.5" customHeight="1">
      <c r="A9" s="461"/>
      <c r="B9" s="8742" t="str">
        <f>IF(AND(AL4&lt;&gt;"",AL5&lt;&gt;""),Names,IF(AL4&lt;&gt;"",NameYours,IF(AL5&lt;&gt;"",NameSpouse,Names)))</f>
        <v xml:space="preserve"> </v>
      </c>
      <c r="C9" s="8743"/>
      <c r="D9" s="8743"/>
      <c r="E9" s="8743"/>
      <c r="F9" s="8743"/>
      <c r="G9" s="8743"/>
      <c r="H9" s="8743"/>
      <c r="I9" s="8743"/>
      <c r="J9" s="8743"/>
      <c r="K9" s="8743"/>
      <c r="L9" s="8744"/>
      <c r="M9" s="8744"/>
      <c r="N9" s="8744"/>
      <c r="O9" s="8744"/>
      <c r="P9" s="8744"/>
      <c r="Q9" s="8744"/>
      <c r="R9" s="8744"/>
      <c r="S9" s="8744"/>
      <c r="T9" s="7311"/>
      <c r="U9" s="7311"/>
      <c r="V9" s="7311"/>
      <c r="W9" s="7311"/>
      <c r="X9" s="8745"/>
      <c r="Y9" s="8748">
        <f>IF(NoSSN,"",IF(AND(AL4="",AL5&lt;&gt;""),SS_Spouse,SS_Yours))</f>
        <v>1010001</v>
      </c>
      <c r="Z9" s="6733"/>
      <c r="AA9" s="6733"/>
      <c r="AB9" s="6733"/>
      <c r="AC9" s="6733"/>
      <c r="AD9" s="6733"/>
      <c r="AE9" s="6733"/>
      <c r="AF9" s="6733"/>
      <c r="AG9" s="6733"/>
      <c r="AH9" s="6733"/>
      <c r="AI9" s="6733"/>
      <c r="AJ9" s="6733"/>
      <c r="AK9" s="461"/>
      <c r="AL9" s="892"/>
      <c r="AM9" s="892"/>
      <c r="AN9" s="892"/>
      <c r="AO9" s="892"/>
      <c r="AP9" s="892"/>
    </row>
    <row r="10" spans="1:62" ht="5.25" customHeight="1">
      <c r="A10" s="461"/>
      <c r="B10" s="8746"/>
      <c r="C10" s="8746"/>
      <c r="D10" s="8746"/>
      <c r="E10" s="8746"/>
      <c r="F10" s="8746"/>
      <c r="G10" s="8746"/>
      <c r="H10" s="8746"/>
      <c r="I10" s="8746"/>
      <c r="J10" s="8746"/>
      <c r="K10" s="8746"/>
      <c r="L10" s="8746"/>
      <c r="M10" s="8746"/>
      <c r="N10" s="8746"/>
      <c r="O10" s="8746"/>
      <c r="P10" s="8746"/>
      <c r="Q10" s="8746"/>
      <c r="R10" s="8746"/>
      <c r="S10" s="8746"/>
      <c r="T10" s="8310"/>
      <c r="U10" s="8310"/>
      <c r="V10" s="8310"/>
      <c r="W10" s="8310"/>
      <c r="X10" s="8747"/>
      <c r="Y10" s="6734"/>
      <c r="Z10" s="6731"/>
      <c r="AA10" s="6731"/>
      <c r="AB10" s="6731"/>
      <c r="AC10" s="6731"/>
      <c r="AD10" s="6731"/>
      <c r="AE10" s="6731"/>
      <c r="AF10" s="6731"/>
      <c r="AG10" s="6731"/>
      <c r="AH10" s="6731"/>
      <c r="AI10" s="6731"/>
      <c r="AJ10" s="6731"/>
      <c r="AK10" s="461"/>
      <c r="AL10" s="892"/>
      <c r="AM10" s="892"/>
      <c r="AN10" s="892"/>
      <c r="AO10" s="892"/>
      <c r="AP10" s="892"/>
    </row>
    <row r="11" spans="1:62" ht="18.75" customHeight="1">
      <c r="A11" s="461"/>
      <c r="B11" s="8698" t="s">
        <v>884</v>
      </c>
      <c r="C11" s="6435"/>
      <c r="D11" s="4549" t="s">
        <v>3665</v>
      </c>
      <c r="E11" s="4315"/>
      <c r="F11" s="4315"/>
      <c r="G11" s="4315"/>
      <c r="H11" s="4315"/>
      <c r="I11" s="4315"/>
      <c r="J11" s="4315"/>
      <c r="K11" s="4315"/>
      <c r="L11" s="4315"/>
      <c r="M11" s="4315"/>
      <c r="N11" s="4315"/>
      <c r="O11" s="4315"/>
      <c r="P11" s="4315"/>
      <c r="Q11" s="4315"/>
      <c r="R11" s="4315"/>
      <c r="S11" s="4315"/>
      <c r="T11" s="4315"/>
      <c r="U11" s="4315"/>
      <c r="V11" s="4315"/>
      <c r="W11" s="4315"/>
      <c r="X11" s="4315"/>
      <c r="Y11" s="4315"/>
      <c r="Z11" s="4315"/>
      <c r="AA11" s="4315"/>
      <c r="AB11" s="4315"/>
      <c r="AC11" s="4315"/>
      <c r="AD11" s="4315"/>
      <c r="AE11" s="4315"/>
      <c r="AF11" s="4315"/>
      <c r="AG11" s="4315"/>
      <c r="AH11" s="4315"/>
      <c r="AI11" s="4315"/>
      <c r="AJ11" s="4315"/>
      <c r="AK11" s="461"/>
      <c r="AL11" s="892"/>
      <c r="AM11" s="892"/>
      <c r="AN11" s="892"/>
      <c r="AO11" s="892"/>
      <c r="AP11" s="892"/>
    </row>
    <row r="12" spans="1:62" ht="15" customHeight="1">
      <c r="A12" s="461"/>
      <c r="B12" s="808"/>
      <c r="C12" s="1124" t="s">
        <v>252</v>
      </c>
      <c r="D12" s="892" t="s">
        <v>3666</v>
      </c>
      <c r="E12" s="808"/>
      <c r="F12" s="808"/>
      <c r="G12" s="808"/>
      <c r="H12" s="808"/>
      <c r="I12" s="808"/>
      <c r="J12" s="808"/>
      <c r="K12" s="808"/>
      <c r="L12" s="808"/>
      <c r="M12" s="808"/>
      <c r="N12" s="808"/>
      <c r="O12" s="808"/>
      <c r="P12" s="808"/>
      <c r="Q12" s="808"/>
      <c r="R12" s="808"/>
      <c r="S12" s="808"/>
      <c r="T12" s="808"/>
      <c r="U12" s="808"/>
      <c r="V12" s="808"/>
      <c r="W12" s="808"/>
      <c r="X12" s="808"/>
      <c r="Y12" s="4548" t="s">
        <v>254</v>
      </c>
      <c r="Z12" s="892" t="s">
        <v>829</v>
      </c>
      <c r="AA12" s="808"/>
      <c r="AB12" s="808"/>
      <c r="AC12" s="808"/>
      <c r="AD12" s="808"/>
      <c r="AE12" s="808"/>
      <c r="AF12" s="808"/>
      <c r="AG12" s="808"/>
      <c r="AH12" s="808"/>
      <c r="AI12" s="808"/>
      <c r="AJ12" s="808"/>
      <c r="AK12" s="461"/>
      <c r="AL12" s="892"/>
      <c r="AM12" s="892"/>
      <c r="AN12" s="1703"/>
      <c r="AO12" s="3241"/>
      <c r="AP12" s="3241"/>
      <c r="AZ12" s="1334"/>
      <c r="BA12" s="1335"/>
      <c r="BB12" s="1335"/>
      <c r="BC12" s="1335"/>
      <c r="BD12" s="1335"/>
      <c r="BE12" s="1335"/>
      <c r="BF12" s="1335"/>
      <c r="BG12" s="1335"/>
      <c r="BH12" s="1335"/>
      <c r="BI12" s="1335"/>
      <c r="BJ12" s="1335"/>
    </row>
    <row r="13" spans="1:62" ht="16.5" customHeight="1">
      <c r="A13" s="461"/>
      <c r="B13" s="8717"/>
      <c r="C13" s="8718"/>
      <c r="D13" s="8718"/>
      <c r="E13" s="8718"/>
      <c r="F13" s="8718"/>
      <c r="G13" s="8718"/>
      <c r="H13" s="8718"/>
      <c r="I13" s="8718"/>
      <c r="J13" s="8718"/>
      <c r="K13" s="8718"/>
      <c r="L13" s="8718"/>
      <c r="M13" s="8718"/>
      <c r="N13" s="8718"/>
      <c r="O13" s="8718"/>
      <c r="P13" s="8718"/>
      <c r="Q13" s="8718"/>
      <c r="R13" s="8718"/>
      <c r="S13" s="8718"/>
      <c r="T13" s="8718"/>
      <c r="U13" s="8718"/>
      <c r="V13" s="8718"/>
      <c r="W13" s="8718"/>
      <c r="X13" s="8719"/>
      <c r="Y13" s="8720"/>
      <c r="Z13" s="8721"/>
      <c r="AA13" s="8721"/>
      <c r="AB13" s="8721"/>
      <c r="AC13" s="8721"/>
      <c r="AD13" s="8721"/>
      <c r="AE13" s="8721"/>
      <c r="AF13" s="8721"/>
      <c r="AG13" s="8721"/>
      <c r="AH13" s="8721"/>
      <c r="AI13" s="8721"/>
      <c r="AJ13" s="8721"/>
      <c r="AK13" s="461"/>
      <c r="AL13" s="892"/>
      <c r="AM13" s="892"/>
      <c r="AN13" s="3241"/>
      <c r="AO13" s="3241"/>
      <c r="AP13" s="3241"/>
      <c r="AZ13" s="1335"/>
      <c r="BA13" s="1335"/>
      <c r="BB13" s="1335"/>
      <c r="BC13" s="1335"/>
      <c r="BD13" s="1335"/>
      <c r="BE13" s="1335"/>
      <c r="BF13" s="1335"/>
      <c r="BG13" s="1335"/>
      <c r="BH13" s="1335"/>
      <c r="BI13" s="1335"/>
      <c r="BJ13" s="1335"/>
    </row>
    <row r="14" spans="1:62" ht="15" customHeight="1">
      <c r="A14" s="461"/>
      <c r="B14" s="808"/>
      <c r="C14" s="1124" t="s">
        <v>256</v>
      </c>
      <c r="D14" s="892" t="s">
        <v>3667</v>
      </c>
      <c r="E14" s="808"/>
      <c r="F14" s="808"/>
      <c r="G14" s="808"/>
      <c r="H14" s="808"/>
      <c r="I14" s="8722"/>
      <c r="J14" s="8723"/>
      <c r="K14" s="8724"/>
      <c r="L14" s="8724"/>
      <c r="M14" s="8724"/>
      <c r="N14" s="8724"/>
      <c r="O14" s="8724"/>
      <c r="P14" s="8724"/>
      <c r="Q14" s="8724"/>
      <c r="R14" s="8724"/>
      <c r="S14" s="8724"/>
      <c r="T14" s="8724"/>
      <c r="U14" s="8724"/>
      <c r="V14" s="8724"/>
      <c r="W14" s="8724"/>
      <c r="X14" s="8724"/>
      <c r="Y14" s="8724"/>
      <c r="Z14" s="8724"/>
      <c r="AA14" s="8724"/>
      <c r="AB14" s="8724"/>
      <c r="AC14" s="8724"/>
      <c r="AD14" s="8724"/>
      <c r="AE14" s="8724"/>
      <c r="AF14" s="8725"/>
      <c r="AG14" s="8725"/>
      <c r="AH14" s="8725"/>
      <c r="AI14" s="8725"/>
      <c r="AJ14" s="8725"/>
      <c r="AK14" s="461"/>
      <c r="AL14" s="892"/>
      <c r="AM14" s="892"/>
      <c r="AN14" s="3241"/>
      <c r="AO14" s="3241"/>
      <c r="AP14" s="3241"/>
      <c r="AZ14" s="1335"/>
      <c r="BA14" s="1335"/>
      <c r="BB14" s="1335"/>
      <c r="BC14" s="1335"/>
      <c r="BD14" s="1335"/>
      <c r="BE14" s="1335"/>
      <c r="BF14" s="1335"/>
      <c r="BG14" s="1335"/>
      <c r="BH14" s="1335"/>
      <c r="BI14" s="1335"/>
      <c r="BJ14" s="1335"/>
    </row>
    <row r="15" spans="1:62" ht="15" customHeight="1">
      <c r="A15" s="461"/>
      <c r="B15" s="808"/>
      <c r="C15" s="1363" t="s">
        <v>3668</v>
      </c>
      <c r="D15" s="892" t="s">
        <v>3669</v>
      </c>
      <c r="E15" s="808"/>
      <c r="F15" s="808"/>
      <c r="G15" s="808"/>
      <c r="H15" s="808"/>
      <c r="I15" s="808"/>
      <c r="J15" s="808"/>
      <c r="K15" s="8726"/>
      <c r="L15" s="8727"/>
      <c r="M15" s="8727"/>
      <c r="N15" s="8727"/>
      <c r="O15" s="8727"/>
      <c r="P15" s="8727"/>
      <c r="Q15" s="8727"/>
      <c r="R15" s="8727"/>
      <c r="S15" s="8727"/>
      <c r="T15" s="8727"/>
      <c r="U15" s="8727"/>
      <c r="V15" s="8727"/>
      <c r="W15" s="8727"/>
      <c r="X15" s="8727"/>
      <c r="Y15" s="8727"/>
      <c r="Z15" s="8727"/>
      <c r="AA15" s="8727"/>
      <c r="AB15" s="8727"/>
      <c r="AC15" s="8727"/>
      <c r="AD15" s="8727"/>
      <c r="AE15" s="8727"/>
      <c r="AF15" s="8727"/>
      <c r="AG15" s="8727"/>
      <c r="AH15" s="8727"/>
      <c r="AI15" s="8727"/>
      <c r="AJ15" s="8727"/>
      <c r="AK15" s="461"/>
      <c r="AL15" s="892"/>
      <c r="AM15" s="892"/>
      <c r="AN15" s="3241"/>
      <c r="AO15" s="3241"/>
      <c r="AP15" s="3241"/>
      <c r="AZ15" s="1335"/>
      <c r="BA15" s="1335"/>
      <c r="BB15" s="1335"/>
      <c r="BC15" s="1335"/>
      <c r="BD15" s="1335"/>
      <c r="BE15" s="1335"/>
      <c r="BF15" s="1335"/>
      <c r="BG15" s="1335"/>
      <c r="BH15" s="1335"/>
      <c r="BI15" s="1335"/>
      <c r="BJ15" s="1335"/>
    </row>
    <row r="16" spans="1:62" ht="15" customHeight="1">
      <c r="A16" s="461"/>
      <c r="B16" s="808"/>
      <c r="C16" s="1362" t="s">
        <v>2392</v>
      </c>
      <c r="D16" s="892" t="s">
        <v>3670</v>
      </c>
      <c r="E16" s="808"/>
      <c r="F16" s="808"/>
      <c r="G16" s="808"/>
      <c r="H16" s="808"/>
      <c r="I16" s="808"/>
      <c r="J16" s="808"/>
      <c r="K16" s="8726"/>
      <c r="L16" s="8727"/>
      <c r="M16" s="8727"/>
      <c r="N16" s="8727"/>
      <c r="O16" s="8727"/>
      <c r="P16" s="8727"/>
      <c r="Q16" s="8727"/>
      <c r="R16" s="8727"/>
      <c r="S16" s="8727"/>
      <c r="T16" s="8727"/>
      <c r="U16" s="8727"/>
      <c r="V16" s="8727"/>
      <c r="W16" s="8727"/>
      <c r="X16" s="8727"/>
      <c r="Y16" s="8727"/>
      <c r="Z16" s="8727"/>
      <c r="AA16" s="8727"/>
      <c r="AB16" s="8727"/>
      <c r="AC16" s="8727"/>
      <c r="AD16" s="8727"/>
      <c r="AE16" s="8727"/>
      <c r="AF16" s="8727"/>
      <c r="AG16" s="8727"/>
      <c r="AH16" s="8727"/>
      <c r="AI16" s="8727"/>
      <c r="AJ16" s="8727"/>
      <c r="AK16" s="461"/>
      <c r="AL16" s="892"/>
      <c r="AM16" s="892"/>
      <c r="AN16" s="892"/>
      <c r="AO16" s="892"/>
      <c r="AP16" s="892"/>
    </row>
    <row r="17" spans="1:75" ht="5.25" customHeight="1" thickBot="1">
      <c r="A17" s="461"/>
      <c r="B17" s="808"/>
      <c r="C17" s="808"/>
      <c r="D17" s="808"/>
      <c r="E17" s="808"/>
      <c r="F17" s="808"/>
      <c r="G17" s="808"/>
      <c r="H17" s="808"/>
      <c r="I17" s="808"/>
      <c r="J17" s="808"/>
      <c r="K17" s="808"/>
      <c r="L17" s="808"/>
      <c r="M17" s="808"/>
      <c r="N17" s="808"/>
      <c r="O17" s="808"/>
      <c r="P17" s="808"/>
      <c r="Q17" s="808"/>
      <c r="R17" s="808"/>
      <c r="S17" s="808"/>
      <c r="T17" s="808"/>
      <c r="U17" s="808"/>
      <c r="V17" s="808"/>
      <c r="W17" s="808"/>
      <c r="X17" s="808"/>
      <c r="Y17" s="808"/>
      <c r="Z17" s="808"/>
      <c r="AA17" s="808"/>
      <c r="AB17" s="808"/>
      <c r="AC17" s="808"/>
      <c r="AD17" s="808"/>
      <c r="AE17" s="808"/>
      <c r="AF17" s="808"/>
      <c r="AG17" s="808"/>
      <c r="AH17" s="808"/>
      <c r="AI17" s="808"/>
      <c r="AJ17" s="808"/>
      <c r="AK17" s="461"/>
      <c r="AL17" s="892"/>
      <c r="AM17" s="892"/>
      <c r="AN17" s="892"/>
      <c r="AO17" s="892"/>
      <c r="AP17" s="892"/>
      <c r="BL17" s="1346"/>
      <c r="BM17" s="1346"/>
      <c r="BO17" s="1346"/>
      <c r="BP17" s="1346"/>
      <c r="BQ17" s="1346"/>
      <c r="BR17" s="1346"/>
      <c r="BS17" s="1346"/>
      <c r="BT17" s="1346"/>
      <c r="BU17" s="1346"/>
      <c r="BV17" s="1346"/>
    </row>
    <row r="18" spans="1:75" ht="13.5" customHeight="1" thickBot="1">
      <c r="A18" s="461"/>
      <c r="B18" s="808"/>
      <c r="C18" s="1363" t="s">
        <v>261</v>
      </c>
      <c r="D18" s="8752" t="s">
        <v>3671</v>
      </c>
      <c r="E18" s="7311"/>
      <c r="F18" s="7311"/>
      <c r="G18" s="7311"/>
      <c r="H18" s="7311"/>
      <c r="I18" s="808"/>
      <c r="J18" s="1362" t="s">
        <v>3672</v>
      </c>
      <c r="K18" s="810"/>
      <c r="L18" s="892" t="s">
        <v>3673</v>
      </c>
      <c r="M18" s="808"/>
      <c r="N18" s="808"/>
      <c r="O18" s="808"/>
      <c r="P18" s="808"/>
      <c r="Q18" s="808"/>
      <c r="R18" s="808"/>
      <c r="S18" s="808"/>
      <c r="T18" s="808"/>
      <c r="U18" s="1362" t="s">
        <v>2392</v>
      </c>
      <c r="V18" s="810"/>
      <c r="W18" s="892" t="s">
        <v>3674</v>
      </c>
      <c r="X18" s="808"/>
      <c r="Y18" s="808"/>
      <c r="Z18" s="808"/>
      <c r="AA18" s="808"/>
      <c r="AB18" s="808"/>
      <c r="AC18" s="1362" t="s">
        <v>2394</v>
      </c>
      <c r="AD18" s="810"/>
      <c r="AE18" s="892" t="s">
        <v>3675</v>
      </c>
      <c r="AF18" s="808"/>
      <c r="AG18" s="808"/>
      <c r="AH18" s="808"/>
      <c r="AI18" s="808"/>
      <c r="AJ18" s="808"/>
      <c r="AK18" s="461"/>
      <c r="AL18" s="892"/>
      <c r="AM18" s="892"/>
      <c r="AN18" s="892"/>
      <c r="AO18" s="892"/>
      <c r="AP18" s="892"/>
    </row>
    <row r="19" spans="1:75" ht="6" customHeight="1" thickBot="1">
      <c r="A19" s="461"/>
      <c r="B19" s="808"/>
      <c r="C19" s="808"/>
      <c r="D19" s="7311"/>
      <c r="E19" s="7311"/>
      <c r="F19" s="7311"/>
      <c r="G19" s="7311"/>
      <c r="H19" s="7311"/>
      <c r="I19" s="808"/>
      <c r="J19" s="808"/>
      <c r="K19" s="1327"/>
      <c r="L19" s="808"/>
      <c r="M19" s="808"/>
      <c r="N19" s="808"/>
      <c r="O19" s="808"/>
      <c r="P19" s="808"/>
      <c r="Q19" s="808"/>
      <c r="R19" s="808"/>
      <c r="S19" s="808"/>
      <c r="T19" s="808"/>
      <c r="U19" s="1236"/>
      <c r="V19" s="808"/>
      <c r="W19" s="808"/>
      <c r="X19" s="808"/>
      <c r="Y19" s="808"/>
      <c r="Z19" s="808"/>
      <c r="AA19" s="808"/>
      <c r="AB19" s="808"/>
      <c r="AC19" s="808"/>
      <c r="AD19" s="808"/>
      <c r="AE19" s="808"/>
      <c r="AF19" s="808"/>
      <c r="AG19" s="808"/>
      <c r="AH19" s="808"/>
      <c r="AI19" s="808"/>
      <c r="AJ19" s="808"/>
      <c r="AK19" s="461"/>
      <c r="AL19" s="892"/>
      <c r="AM19" s="892"/>
      <c r="AN19" s="892"/>
      <c r="AO19" s="892"/>
      <c r="AP19" s="892"/>
    </row>
    <row r="20" spans="1:75" ht="13.5" customHeight="1" thickBot="1">
      <c r="A20" s="461"/>
      <c r="B20" s="808"/>
      <c r="C20" s="808"/>
      <c r="D20" s="7311"/>
      <c r="E20" s="7311"/>
      <c r="F20" s="7311"/>
      <c r="G20" s="7311"/>
      <c r="H20" s="7311"/>
      <c r="I20" s="808"/>
      <c r="J20" s="1362" t="s">
        <v>3676</v>
      </c>
      <c r="K20" s="810"/>
      <c r="L20" s="892" t="s">
        <v>3677</v>
      </c>
      <c r="M20" s="808"/>
      <c r="N20" s="808"/>
      <c r="O20" s="808"/>
      <c r="P20" s="808"/>
      <c r="Q20" s="808"/>
      <c r="R20" s="808"/>
      <c r="S20" s="808"/>
      <c r="T20" s="808"/>
      <c r="U20" s="1362" t="s">
        <v>3678</v>
      </c>
      <c r="V20" s="810"/>
      <c r="W20" s="892" t="s">
        <v>3679</v>
      </c>
      <c r="X20" s="808"/>
      <c r="Y20" s="808"/>
      <c r="Z20" s="808"/>
      <c r="AA20" s="808"/>
      <c r="AB20" s="8750"/>
      <c r="AC20" s="8751"/>
      <c r="AD20" s="8751"/>
      <c r="AE20" s="8751"/>
      <c r="AF20" s="8751"/>
      <c r="AG20" s="8751"/>
      <c r="AH20" s="8751"/>
      <c r="AI20" s="8751"/>
      <c r="AJ20" s="8751"/>
      <c r="AK20" s="461"/>
    </row>
    <row r="21" spans="1:75" ht="15.75" thickBot="1">
      <c r="A21" s="461"/>
      <c r="B21" s="808"/>
      <c r="C21" s="1363" t="s">
        <v>3680</v>
      </c>
      <c r="D21" s="892" t="s">
        <v>3681</v>
      </c>
      <c r="E21" s="808"/>
      <c r="F21" s="808"/>
      <c r="G21" s="808"/>
      <c r="H21" s="808"/>
      <c r="I21" s="808"/>
      <c r="J21" s="808"/>
      <c r="K21" s="808"/>
      <c r="L21" s="808"/>
      <c r="M21" s="808"/>
      <c r="N21" s="808"/>
      <c r="O21" s="808"/>
      <c r="P21" s="808"/>
      <c r="Q21" s="808"/>
      <c r="R21" s="808"/>
      <c r="S21" s="808"/>
      <c r="T21" s="808"/>
      <c r="U21" s="808"/>
      <c r="V21" s="808"/>
      <c r="W21" s="808"/>
      <c r="X21" s="808"/>
      <c r="Y21" s="8750"/>
      <c r="Z21" s="8837"/>
      <c r="AA21" s="8751"/>
      <c r="AB21" s="8751"/>
      <c r="AC21" s="8751"/>
      <c r="AD21" s="8751"/>
      <c r="AE21" s="8751"/>
      <c r="AF21" s="8751"/>
      <c r="AG21" s="8751"/>
      <c r="AH21" s="8751"/>
      <c r="AI21" s="8751"/>
      <c r="AJ21" s="8751"/>
      <c r="AK21" s="461"/>
      <c r="AN21" s="1338"/>
      <c r="AO21" s="1339"/>
      <c r="AZ21" s="1338"/>
      <c r="BA21" s="1339"/>
    </row>
    <row r="22" spans="1:75" ht="15.75" thickBot="1">
      <c r="A22" s="461"/>
      <c r="B22" s="808"/>
      <c r="C22" s="1362" t="s">
        <v>2392</v>
      </c>
      <c r="D22" s="892" t="s">
        <v>3682</v>
      </c>
      <c r="E22" s="808"/>
      <c r="F22" s="808"/>
      <c r="G22" s="808"/>
      <c r="H22" s="808"/>
      <c r="I22" s="808"/>
      <c r="J22" s="808"/>
      <c r="K22" s="808"/>
      <c r="L22" s="808"/>
      <c r="M22" s="808"/>
      <c r="N22" s="808"/>
      <c r="O22" s="808"/>
      <c r="P22" s="808"/>
      <c r="Q22" s="808"/>
      <c r="R22" s="808"/>
      <c r="S22" s="808"/>
      <c r="T22" s="808"/>
      <c r="U22" s="808"/>
      <c r="V22" s="808"/>
      <c r="W22" s="808"/>
      <c r="X22" s="808"/>
      <c r="Y22" s="808"/>
      <c r="Z22" s="4550"/>
      <c r="AA22" s="810"/>
      <c r="AB22" s="892" t="s">
        <v>3683</v>
      </c>
      <c r="AC22" s="892"/>
      <c r="AD22" s="808"/>
      <c r="AE22" s="808"/>
      <c r="AF22" s="808"/>
      <c r="AG22" s="808"/>
      <c r="AH22" s="808"/>
      <c r="AI22" s="808"/>
      <c r="AJ22" s="808"/>
      <c r="AK22" s="461"/>
      <c r="AO22" s="1339"/>
      <c r="BA22" s="1339"/>
      <c r="BF22" s="1338"/>
    </row>
    <row r="23" spans="1:75" ht="13.5" customHeight="1" thickBot="1">
      <c r="A23" s="461"/>
      <c r="B23" s="808"/>
      <c r="C23" s="1362" t="s">
        <v>2394</v>
      </c>
      <c r="D23" s="808" t="s">
        <v>3684</v>
      </c>
      <c r="E23" s="808"/>
      <c r="F23" s="808"/>
      <c r="G23" s="808"/>
      <c r="H23" s="808"/>
      <c r="I23" s="808"/>
      <c r="J23" s="808"/>
      <c r="K23" s="808"/>
      <c r="L23" s="808"/>
      <c r="M23" s="808"/>
      <c r="N23" s="808"/>
      <c r="O23" s="808"/>
      <c r="P23" s="808"/>
      <c r="Q23" s="808"/>
      <c r="R23" s="808"/>
      <c r="S23" s="808"/>
      <c r="T23" s="808"/>
      <c r="U23" s="808"/>
      <c r="V23" s="808"/>
      <c r="W23" s="808"/>
      <c r="X23" s="808"/>
      <c r="Y23" s="808"/>
      <c r="Z23" s="808"/>
      <c r="AA23" s="808"/>
      <c r="AB23" s="808"/>
      <c r="AC23" s="808"/>
      <c r="AD23" s="859" t="s">
        <v>754</v>
      </c>
      <c r="AE23" s="810"/>
      <c r="AF23" s="899" t="s">
        <v>608</v>
      </c>
      <c r="AG23" s="808"/>
      <c r="AH23" s="810"/>
      <c r="AI23" s="899" t="s">
        <v>609</v>
      </c>
      <c r="AJ23" s="808"/>
      <c r="AK23" s="461"/>
      <c r="AO23" s="1339"/>
      <c r="BA23" s="1339"/>
      <c r="BF23" s="1338"/>
      <c r="BG23" s="1336"/>
    </row>
    <row r="24" spans="1:75" ht="12.75" customHeight="1">
      <c r="A24" s="461"/>
      <c r="B24" s="808"/>
      <c r="C24" s="1362" t="s">
        <v>3676</v>
      </c>
      <c r="D24" s="892" t="s">
        <v>3685</v>
      </c>
      <c r="E24" s="808"/>
      <c r="F24" s="808"/>
      <c r="G24" s="808"/>
      <c r="H24" s="808"/>
      <c r="I24" s="808"/>
      <c r="J24" s="808"/>
      <c r="K24" s="808"/>
      <c r="L24" s="808"/>
      <c r="M24" s="808"/>
      <c r="N24" s="808"/>
      <c r="O24" s="808"/>
      <c r="P24" s="808"/>
      <c r="Q24" s="808"/>
      <c r="R24" s="808"/>
      <c r="S24" s="808"/>
      <c r="T24" s="808"/>
      <c r="U24" s="808"/>
      <c r="V24" s="808"/>
      <c r="W24" s="808"/>
      <c r="X24" s="808"/>
      <c r="Y24" s="808"/>
      <c r="Z24" s="808"/>
      <c r="AA24" s="808"/>
      <c r="AB24" s="808"/>
      <c r="AC24" s="8750"/>
      <c r="AD24" s="8796"/>
      <c r="AE24" s="8796"/>
      <c r="AF24" s="8796"/>
      <c r="AG24" s="8796"/>
      <c r="AH24" s="8796"/>
      <c r="AI24" s="8796"/>
      <c r="AJ24" s="8796"/>
      <c r="AK24" s="461"/>
      <c r="AO24" s="1339"/>
      <c r="BA24" s="1339"/>
    </row>
    <row r="25" spans="1:75" ht="15">
      <c r="A25" s="461"/>
      <c r="B25" s="808"/>
      <c r="C25" s="1124" t="s">
        <v>266</v>
      </c>
      <c r="D25" s="808" t="s">
        <v>3686</v>
      </c>
      <c r="E25" s="808"/>
      <c r="F25" s="808"/>
      <c r="G25" s="808"/>
      <c r="H25" s="808"/>
      <c r="I25" s="808"/>
      <c r="J25" s="808"/>
      <c r="K25" s="808"/>
      <c r="L25" s="808"/>
      <c r="M25" s="808"/>
      <c r="N25" s="808"/>
      <c r="O25" s="8750"/>
      <c r="P25" s="8751"/>
      <c r="Q25" s="8751"/>
      <c r="R25" s="8751"/>
      <c r="S25" s="8751"/>
      <c r="T25" s="8751"/>
      <c r="U25" s="8751"/>
      <c r="V25" s="8751"/>
      <c r="W25" s="8751"/>
      <c r="X25" s="8751"/>
      <c r="Y25" s="8751"/>
      <c r="Z25" s="8751"/>
      <c r="AA25" s="8751"/>
      <c r="AB25" s="8751"/>
      <c r="AC25" s="8751"/>
      <c r="AD25" s="8751"/>
      <c r="AE25" s="8751"/>
      <c r="AF25" s="8751"/>
      <c r="AG25" s="8751"/>
      <c r="AH25" s="8751"/>
      <c r="AI25" s="8751"/>
      <c r="AJ25" s="8751"/>
      <c r="AK25" s="461"/>
      <c r="AN25" s="1338"/>
      <c r="AO25" s="1339"/>
      <c r="AZ25" s="1338"/>
      <c r="BA25" s="1339"/>
    </row>
    <row r="26" spans="1:75" ht="15" customHeight="1" thickBot="1">
      <c r="A26" s="461"/>
      <c r="B26" s="808"/>
      <c r="C26" s="1363" t="s">
        <v>3687</v>
      </c>
      <c r="D26" s="808" t="s">
        <v>3688</v>
      </c>
      <c r="E26" s="808"/>
      <c r="F26" s="808"/>
      <c r="G26" s="808"/>
      <c r="H26" s="808"/>
      <c r="I26" s="808"/>
      <c r="J26" s="808"/>
      <c r="K26" s="808"/>
      <c r="L26" s="808"/>
      <c r="M26" s="808"/>
      <c r="N26" s="808"/>
      <c r="O26" s="808"/>
      <c r="P26" s="808"/>
      <c r="Q26" s="808"/>
      <c r="R26" s="808"/>
      <c r="S26" s="808"/>
      <c r="T26" s="808"/>
      <c r="U26" s="808"/>
      <c r="V26" s="808"/>
      <c r="W26" s="808"/>
      <c r="X26" s="808"/>
      <c r="Y26" s="808"/>
      <c r="Z26" s="808"/>
      <c r="AA26" s="808"/>
      <c r="AB26" s="808"/>
      <c r="AC26" s="808"/>
      <c r="AD26" s="808"/>
      <c r="AE26" s="808"/>
      <c r="AF26" s="808"/>
      <c r="AG26" s="808"/>
      <c r="AH26" s="808"/>
      <c r="AI26" s="808"/>
      <c r="AJ26" s="808"/>
      <c r="AK26" s="461"/>
      <c r="AM26" s="1336"/>
      <c r="AO26" s="1339"/>
      <c r="BA26" s="1339"/>
    </row>
    <row r="27" spans="1:75" ht="13.5" customHeight="1" thickBot="1">
      <c r="A27" s="461"/>
      <c r="B27" s="808"/>
      <c r="C27" s="808"/>
      <c r="D27" s="892" t="s">
        <v>3689</v>
      </c>
      <c r="E27" s="808"/>
      <c r="F27" s="808"/>
      <c r="G27" s="808"/>
      <c r="H27" s="808"/>
      <c r="I27" s="808"/>
      <c r="J27" s="808"/>
      <c r="K27" s="808"/>
      <c r="L27" s="808"/>
      <c r="M27" s="808"/>
      <c r="N27" s="808"/>
      <c r="O27" s="808"/>
      <c r="P27" s="808"/>
      <c r="Q27" s="808"/>
      <c r="R27" s="808"/>
      <c r="S27" s="808"/>
      <c r="T27" s="808"/>
      <c r="U27" s="808"/>
      <c r="V27" s="808"/>
      <c r="W27" s="808"/>
      <c r="X27" s="808"/>
      <c r="Y27" s="808"/>
      <c r="Z27" s="808"/>
      <c r="AA27" s="808"/>
      <c r="AB27" s="808"/>
      <c r="AC27" s="808"/>
      <c r="AD27" s="859" t="s">
        <v>670</v>
      </c>
      <c r="AE27" s="810"/>
      <c r="AF27" s="899" t="s">
        <v>608</v>
      </c>
      <c r="AG27" s="808"/>
      <c r="AH27" s="810"/>
      <c r="AI27" s="899" t="s">
        <v>609</v>
      </c>
      <c r="AJ27" s="808"/>
      <c r="AK27" s="461"/>
      <c r="AO27" s="1339"/>
      <c r="BA27" s="1339"/>
    </row>
    <row r="28" spans="1:75" ht="14.25" customHeight="1">
      <c r="A28" s="461"/>
      <c r="B28" s="808"/>
      <c r="C28" s="1362" t="s">
        <v>2392</v>
      </c>
      <c r="D28" s="2112" t="s">
        <v>3690</v>
      </c>
      <c r="E28" s="808"/>
      <c r="F28" s="808"/>
      <c r="G28" s="808"/>
      <c r="H28" s="808"/>
      <c r="I28" s="808"/>
      <c r="J28" s="808"/>
      <c r="K28" s="808"/>
      <c r="L28" s="808"/>
      <c r="M28" s="808"/>
      <c r="N28" s="808"/>
      <c r="O28" s="808"/>
      <c r="P28" s="808"/>
      <c r="Q28" s="808"/>
      <c r="R28" s="808"/>
      <c r="S28" s="808"/>
      <c r="T28" s="808"/>
      <c r="U28" s="808"/>
      <c r="V28" s="808"/>
      <c r="W28" s="808"/>
      <c r="X28" s="808"/>
      <c r="Y28" s="808"/>
      <c r="Z28" s="808"/>
      <c r="AA28" s="808"/>
      <c r="AB28" s="808"/>
      <c r="AC28" s="808"/>
      <c r="AD28" s="808"/>
      <c r="AE28" s="808"/>
      <c r="AF28" s="808"/>
      <c r="AG28" s="808"/>
      <c r="AH28" s="808"/>
      <c r="AI28" s="808"/>
      <c r="AJ28" s="808"/>
      <c r="AK28" s="461"/>
      <c r="AO28" s="1339"/>
      <c r="BA28" s="1339"/>
      <c r="BE28" s="1338"/>
      <c r="BF28" s="1336"/>
    </row>
    <row r="29" spans="1:75" s="1268" customFormat="1" ht="13.5" customHeight="1">
      <c r="A29" s="461"/>
      <c r="B29" s="808"/>
      <c r="C29" s="808"/>
      <c r="D29" s="2112" t="s">
        <v>3691</v>
      </c>
      <c r="E29" s="808"/>
      <c r="F29" s="808"/>
      <c r="G29" s="808"/>
      <c r="H29" s="808"/>
      <c r="I29" s="808"/>
      <c r="J29" s="808"/>
      <c r="K29" s="808"/>
      <c r="L29" s="808"/>
      <c r="M29" s="808"/>
      <c r="N29" s="808"/>
      <c r="O29" s="808"/>
      <c r="P29" s="808"/>
      <c r="Q29" s="8749"/>
      <c r="R29" s="8749"/>
      <c r="S29" s="8749"/>
      <c r="T29" s="8749"/>
      <c r="U29" s="8749"/>
      <c r="V29" s="8749"/>
      <c r="W29" s="8749"/>
      <c r="X29" s="8749"/>
      <c r="Y29" s="8749"/>
      <c r="Z29" s="8749"/>
      <c r="AA29" s="8749"/>
      <c r="AB29" s="8749"/>
      <c r="AC29" s="8749"/>
      <c r="AD29" s="8749"/>
      <c r="AE29" s="8749"/>
      <c r="AF29" s="8749"/>
      <c r="AG29" s="8749"/>
      <c r="AH29" s="8749"/>
      <c r="AI29" s="8749"/>
      <c r="AJ29" s="8749"/>
      <c r="AK29" s="461"/>
      <c r="AL29" s="1332"/>
      <c r="AM29" s="1332"/>
      <c r="AN29" s="1338"/>
      <c r="AO29" s="1339"/>
      <c r="AP29" s="1332"/>
      <c r="AQ29" s="2038"/>
      <c r="AR29" s="2038"/>
      <c r="AS29" s="2038"/>
      <c r="AT29" s="2038"/>
      <c r="AU29" s="2038"/>
      <c r="AV29" s="2038"/>
      <c r="AW29" s="2038"/>
      <c r="AX29" s="2038"/>
      <c r="AY29" s="2038"/>
      <c r="AZ29" s="1338"/>
      <c r="BA29" s="1339"/>
      <c r="BB29" s="1332"/>
      <c r="BC29" s="1332"/>
      <c r="BD29" s="1332"/>
      <c r="BE29" s="1332"/>
      <c r="BF29" s="1332"/>
      <c r="BG29" s="1332"/>
      <c r="BH29" s="1332"/>
      <c r="BI29" s="1332"/>
      <c r="BJ29" s="1332"/>
      <c r="BK29" s="1332"/>
      <c r="BL29" s="1332"/>
      <c r="BM29" s="1332"/>
      <c r="BN29" s="1332"/>
      <c r="BO29" s="1332"/>
      <c r="BP29" s="1332"/>
      <c r="BQ29" s="1332"/>
      <c r="BR29" s="1332"/>
      <c r="BS29" s="1332"/>
      <c r="BT29" s="1332"/>
      <c r="BU29" s="1332"/>
      <c r="BV29" s="1332"/>
      <c r="BW29" s="1332"/>
    </row>
    <row r="30" spans="1:75" s="1268" customFormat="1" ht="15">
      <c r="A30" s="461"/>
      <c r="B30" s="808"/>
      <c r="C30" s="1124" t="s">
        <v>407</v>
      </c>
      <c r="D30" s="808" t="s">
        <v>3692</v>
      </c>
      <c r="E30" s="808"/>
      <c r="F30" s="808"/>
      <c r="G30" s="808"/>
      <c r="H30" s="808"/>
      <c r="I30" s="808"/>
      <c r="J30" s="808"/>
      <c r="K30" s="808"/>
      <c r="L30" s="808"/>
      <c r="M30" s="808"/>
      <c r="N30" s="808"/>
      <c r="O30" s="808"/>
      <c r="P30" s="808"/>
      <c r="Q30" s="808"/>
      <c r="R30" s="808"/>
      <c r="S30" s="808"/>
      <c r="T30" s="8726"/>
      <c r="U30" s="8739"/>
      <c r="V30" s="8739"/>
      <c r="W30" s="8739"/>
      <c r="X30" s="8739"/>
      <c r="Y30" s="8739"/>
      <c r="Z30" s="8739"/>
      <c r="AA30" s="8739"/>
      <c r="AB30" s="8739"/>
      <c r="AC30" s="8739"/>
      <c r="AD30" s="8739"/>
      <c r="AE30" s="8739"/>
      <c r="AF30" s="8739"/>
      <c r="AG30" s="8739"/>
      <c r="AH30" s="8739"/>
      <c r="AI30" s="8739"/>
      <c r="AJ30" s="8739"/>
      <c r="AK30" s="461"/>
      <c r="AL30" s="1332"/>
      <c r="AM30" s="1332"/>
      <c r="AN30" s="1332"/>
      <c r="AO30" s="1339"/>
      <c r="AP30" s="1332"/>
      <c r="AQ30" s="2038"/>
      <c r="AR30" s="2038"/>
      <c r="AS30" s="2038"/>
      <c r="AT30" s="2038"/>
      <c r="AU30" s="2038"/>
      <c r="AV30" s="2038"/>
      <c r="AW30" s="2038"/>
      <c r="AX30" s="2038"/>
      <c r="AY30" s="2038"/>
      <c r="AZ30" s="1332"/>
      <c r="BA30" s="1339"/>
      <c r="BB30" s="1332"/>
      <c r="BC30" s="1332"/>
      <c r="BD30" s="1332"/>
      <c r="BE30" s="1338"/>
      <c r="BF30" s="1338"/>
      <c r="BG30" s="1332"/>
      <c r="BH30" s="1332"/>
      <c r="BI30" s="1332"/>
      <c r="BJ30" s="1332"/>
      <c r="BK30" s="1332"/>
      <c r="BL30" s="1332"/>
      <c r="BM30" s="1332"/>
      <c r="BN30" s="1332"/>
      <c r="BO30" s="1332"/>
      <c r="BP30" s="1332"/>
      <c r="BQ30" s="1332"/>
      <c r="BR30" s="1332"/>
      <c r="BS30" s="1332"/>
      <c r="BT30" s="1332"/>
      <c r="BU30" s="1332"/>
      <c r="BV30" s="1332"/>
      <c r="BW30" s="1332"/>
    </row>
    <row r="31" spans="1:75" s="1268" customFormat="1">
      <c r="A31" s="461"/>
      <c r="B31" s="1121"/>
      <c r="C31" s="1121"/>
      <c r="D31" s="8756"/>
      <c r="E31" s="8757"/>
      <c r="F31" s="8757"/>
      <c r="G31" s="8757"/>
      <c r="H31" s="8757"/>
      <c r="I31" s="8757"/>
      <c r="J31" s="8757"/>
      <c r="K31" s="8757"/>
      <c r="L31" s="8757"/>
      <c r="M31" s="8757"/>
      <c r="N31" s="8757"/>
      <c r="O31" s="8757"/>
      <c r="P31" s="8757"/>
      <c r="Q31" s="8757"/>
      <c r="R31" s="8757"/>
      <c r="S31" s="8757"/>
      <c r="T31" s="8757"/>
      <c r="U31" s="8757"/>
      <c r="V31" s="8757"/>
      <c r="W31" s="8757"/>
      <c r="X31" s="8757"/>
      <c r="Y31" s="8757"/>
      <c r="Z31" s="8757"/>
      <c r="AA31" s="8757"/>
      <c r="AB31" s="8757"/>
      <c r="AC31" s="8757"/>
      <c r="AD31" s="8757"/>
      <c r="AE31" s="8757"/>
      <c r="AF31" s="8757"/>
      <c r="AG31" s="8757"/>
      <c r="AH31" s="8757"/>
      <c r="AI31" s="8757"/>
      <c r="AJ31" s="8757"/>
      <c r="AK31" s="461"/>
      <c r="AL31" s="1332"/>
      <c r="AM31" s="1340"/>
      <c r="AN31" s="1332"/>
      <c r="AO31" s="1339"/>
      <c r="AP31" s="1332"/>
      <c r="AQ31" s="2038"/>
      <c r="AR31" s="2038"/>
      <c r="AS31" s="2038"/>
      <c r="AT31" s="2038"/>
      <c r="AU31" s="2038"/>
      <c r="AV31" s="2038"/>
      <c r="AW31" s="2038"/>
      <c r="AX31" s="2038"/>
      <c r="AY31" s="2038"/>
      <c r="AZ31" s="1332"/>
      <c r="BA31" s="1339"/>
      <c r="BB31" s="1332"/>
      <c r="BC31" s="1332"/>
      <c r="BD31" s="1332"/>
      <c r="BE31" s="1338"/>
      <c r="BF31" s="1336"/>
      <c r="BG31" s="1332"/>
      <c r="BH31" s="1332"/>
      <c r="BI31" s="1332"/>
      <c r="BJ31" s="1332"/>
      <c r="BK31" s="1332"/>
      <c r="BL31" s="1332"/>
      <c r="BM31" s="1332"/>
      <c r="BN31" s="1332"/>
      <c r="BO31" s="1332"/>
      <c r="BP31" s="1332"/>
      <c r="BQ31" s="1332"/>
      <c r="BR31" s="1332"/>
      <c r="BS31" s="1332"/>
      <c r="BT31" s="1332"/>
      <c r="BU31" s="1332"/>
      <c r="BV31" s="1332"/>
      <c r="BW31" s="1332"/>
    </row>
    <row r="32" spans="1:75" s="1268" customFormat="1" ht="6" customHeight="1">
      <c r="A32" s="461"/>
      <c r="B32" s="4551"/>
      <c r="C32" s="4551"/>
      <c r="D32" s="4551"/>
      <c r="E32" s="4551"/>
      <c r="F32" s="4551"/>
      <c r="G32" s="4551"/>
      <c r="H32" s="4551"/>
      <c r="I32" s="4551"/>
      <c r="J32" s="4551"/>
      <c r="K32" s="4551"/>
      <c r="L32" s="4551"/>
      <c r="M32" s="4551"/>
      <c r="N32" s="4551"/>
      <c r="O32" s="4551"/>
      <c r="P32" s="4551"/>
      <c r="Q32" s="4551"/>
      <c r="R32" s="4551"/>
      <c r="S32" s="4551"/>
      <c r="T32" s="4551"/>
      <c r="U32" s="4551"/>
      <c r="V32" s="4551"/>
      <c r="W32" s="4551"/>
      <c r="X32" s="4551"/>
      <c r="Y32" s="4551"/>
      <c r="Z32" s="4551"/>
      <c r="AA32" s="4551"/>
      <c r="AB32" s="4551"/>
      <c r="AC32" s="4551"/>
      <c r="AD32" s="4551"/>
      <c r="AE32" s="4551"/>
      <c r="AF32" s="4551"/>
      <c r="AG32" s="4551"/>
      <c r="AH32" s="4551"/>
      <c r="AI32" s="4551"/>
      <c r="AJ32" s="4551"/>
      <c r="AK32" s="461"/>
      <c r="AL32" s="1332"/>
      <c r="AM32" s="1341"/>
      <c r="AN32" s="1332"/>
      <c r="AO32" s="1339"/>
      <c r="AP32" s="1332"/>
      <c r="AQ32" s="2038"/>
      <c r="AR32" s="2038"/>
      <c r="AS32" s="2038"/>
      <c r="AT32" s="2038"/>
      <c r="AU32" s="2038"/>
      <c r="AV32" s="2038"/>
      <c r="AW32" s="2038"/>
      <c r="AX32" s="2038"/>
      <c r="AY32" s="2038"/>
      <c r="AZ32" s="1332"/>
      <c r="BA32" s="1339"/>
      <c r="BB32" s="1332"/>
      <c r="BC32" s="1332"/>
      <c r="BD32" s="1332"/>
      <c r="BE32" s="1332"/>
      <c r="BF32" s="1332"/>
      <c r="BG32" s="1332"/>
      <c r="BH32" s="1332"/>
      <c r="BI32" s="1332"/>
      <c r="BJ32" s="1332"/>
      <c r="BK32" s="1332"/>
      <c r="BL32" s="1332"/>
      <c r="BM32" s="1332"/>
      <c r="BN32" s="1332"/>
      <c r="BO32" s="1332"/>
      <c r="BP32" s="1332"/>
      <c r="BQ32" s="1332"/>
      <c r="BR32" s="1332"/>
      <c r="BS32" s="1332"/>
      <c r="BT32" s="1332"/>
      <c r="BU32" s="1332"/>
      <c r="BV32" s="1332"/>
      <c r="BW32" s="1332"/>
    </row>
    <row r="33" spans="1:75" s="1268" customFormat="1" ht="15.75" customHeight="1">
      <c r="A33" s="461"/>
      <c r="B33" s="8767" t="s">
        <v>3693</v>
      </c>
      <c r="C33" s="8767"/>
      <c r="D33" s="8767"/>
      <c r="E33" s="8767"/>
      <c r="F33" s="8767"/>
      <c r="G33" s="8767"/>
      <c r="H33" s="8767"/>
      <c r="I33" s="8767"/>
      <c r="J33" s="8767"/>
      <c r="K33" s="8767"/>
      <c r="L33" s="8767"/>
      <c r="M33" s="8767"/>
      <c r="N33" s="8767"/>
      <c r="O33" s="8767"/>
      <c r="P33" s="8767"/>
      <c r="Q33" s="8767"/>
      <c r="R33" s="8767"/>
      <c r="S33" s="8767"/>
      <c r="T33" s="8767"/>
      <c r="U33" s="8767"/>
      <c r="V33" s="8767"/>
      <c r="W33" s="8767"/>
      <c r="X33" s="8767"/>
      <c r="Y33" s="8767"/>
      <c r="Z33" s="8767"/>
      <c r="AA33" s="8767"/>
      <c r="AB33" s="8767"/>
      <c r="AC33" s="8767"/>
      <c r="AD33" s="8767"/>
      <c r="AE33" s="8767"/>
      <c r="AF33" s="8767"/>
      <c r="AG33" s="8767"/>
      <c r="AH33" s="8767"/>
      <c r="AI33" s="8767"/>
      <c r="AJ33" s="8767"/>
      <c r="AK33" s="461"/>
      <c r="AL33" s="1332"/>
      <c r="AM33" s="1340"/>
      <c r="AN33" s="1338"/>
      <c r="AO33" s="1339"/>
      <c r="AP33" s="1332"/>
      <c r="AQ33" s="2038"/>
      <c r="AR33" s="2038"/>
      <c r="AS33" s="2038"/>
      <c r="AT33" s="2038"/>
      <c r="AU33" s="2038"/>
      <c r="AV33" s="2038"/>
      <c r="AW33" s="2038"/>
      <c r="AX33" s="2038"/>
      <c r="AY33" s="2038"/>
      <c r="AZ33" s="1338"/>
      <c r="BA33" s="1339"/>
      <c r="BB33" s="1332"/>
      <c r="BC33" s="1332"/>
      <c r="BD33" s="1332"/>
      <c r="BE33" s="1332"/>
      <c r="BF33" s="1332"/>
      <c r="BG33" s="1332"/>
      <c r="BH33" s="1332"/>
      <c r="BI33" s="1332"/>
      <c r="BJ33" s="1332"/>
      <c r="BK33" s="1332"/>
      <c r="BL33" s="1332"/>
      <c r="BM33" s="1332"/>
      <c r="BN33" s="1332"/>
      <c r="BO33" s="1332"/>
      <c r="BP33" s="1332"/>
      <c r="BQ33" s="1332"/>
      <c r="BR33" s="1332"/>
      <c r="BS33" s="1332"/>
      <c r="BT33" s="1332"/>
      <c r="BU33" s="1332"/>
      <c r="BV33" s="1332"/>
      <c r="BW33" s="1332"/>
    </row>
    <row r="34" spans="1:75" s="1268" customFormat="1" ht="15.75" customHeight="1">
      <c r="A34" s="461"/>
      <c r="B34" s="8767" t="s">
        <v>3694</v>
      </c>
      <c r="C34" s="8767"/>
      <c r="D34" s="8767"/>
      <c r="E34" s="8767"/>
      <c r="F34" s="8767"/>
      <c r="G34" s="8767"/>
      <c r="H34" s="8767"/>
      <c r="I34" s="8767"/>
      <c r="J34" s="8767"/>
      <c r="K34" s="8767"/>
      <c r="L34" s="8767"/>
      <c r="M34" s="8767"/>
      <c r="N34" s="8767"/>
      <c r="O34" s="8767"/>
      <c r="P34" s="8767"/>
      <c r="Q34" s="8767"/>
      <c r="R34" s="8767"/>
      <c r="S34" s="8767"/>
      <c r="T34" s="8767"/>
      <c r="U34" s="8767"/>
      <c r="V34" s="8767"/>
      <c r="W34" s="8767"/>
      <c r="X34" s="8767"/>
      <c r="Y34" s="8767"/>
      <c r="Z34" s="8767"/>
      <c r="AA34" s="8767"/>
      <c r="AB34" s="8767"/>
      <c r="AC34" s="8767"/>
      <c r="AD34" s="8767"/>
      <c r="AE34" s="8767"/>
      <c r="AF34" s="8767"/>
      <c r="AG34" s="8767"/>
      <c r="AH34" s="8767"/>
      <c r="AI34" s="8767"/>
      <c r="AJ34" s="8767"/>
      <c r="AK34" s="461"/>
      <c r="AL34" s="1332"/>
      <c r="AM34" s="1340"/>
      <c r="AN34" s="1338"/>
      <c r="AO34" s="1339"/>
      <c r="AP34" s="1332"/>
      <c r="AQ34" s="2038"/>
      <c r="AR34" s="2038"/>
      <c r="AS34" s="2038"/>
      <c r="AT34" s="2038"/>
      <c r="AU34" s="2038"/>
      <c r="AV34" s="2038"/>
      <c r="AW34" s="2038"/>
      <c r="AX34" s="2038"/>
      <c r="AY34" s="2038"/>
      <c r="AZ34" s="1338"/>
      <c r="BA34" s="1339"/>
      <c r="BB34" s="1332"/>
      <c r="BC34" s="1332"/>
      <c r="BD34" s="1332"/>
      <c r="BE34" s="1332"/>
      <c r="BF34" s="1332"/>
      <c r="BG34" s="1332"/>
      <c r="BH34" s="1332"/>
      <c r="BI34" s="1332"/>
      <c r="BJ34" s="1332"/>
      <c r="BK34" s="1332"/>
      <c r="BL34" s="1332"/>
      <c r="BM34" s="1332"/>
      <c r="BN34" s="1332"/>
      <c r="BO34" s="1332"/>
      <c r="BP34" s="1332"/>
      <c r="BQ34" s="1332"/>
      <c r="BR34" s="1332"/>
      <c r="BS34" s="1332"/>
      <c r="BT34" s="1332"/>
      <c r="BU34" s="1332"/>
      <c r="BV34" s="1332"/>
      <c r="BW34" s="1332"/>
    </row>
    <row r="35" spans="1:75" s="1268" customFormat="1" ht="6" customHeight="1">
      <c r="A35" s="461"/>
      <c r="B35" s="808"/>
      <c r="C35" s="808"/>
      <c r="D35" s="808"/>
      <c r="E35" s="808"/>
      <c r="F35" s="808"/>
      <c r="G35" s="808"/>
      <c r="H35" s="808"/>
      <c r="I35" s="808"/>
      <c r="J35" s="808"/>
      <c r="K35" s="808"/>
      <c r="L35" s="808"/>
      <c r="M35" s="808"/>
      <c r="N35" s="808"/>
      <c r="O35" s="808"/>
      <c r="P35" s="808"/>
      <c r="Q35" s="808"/>
      <c r="R35" s="808"/>
      <c r="S35" s="808"/>
      <c r="T35" s="808"/>
      <c r="U35" s="808"/>
      <c r="V35" s="808"/>
      <c r="W35" s="808"/>
      <c r="X35" s="808"/>
      <c r="Y35" s="808"/>
      <c r="Z35" s="808"/>
      <c r="AA35" s="808"/>
      <c r="AB35" s="808"/>
      <c r="AC35" s="808"/>
      <c r="AD35" s="808"/>
      <c r="AE35" s="808"/>
      <c r="AF35" s="808"/>
      <c r="AG35" s="808"/>
      <c r="AH35" s="808"/>
      <c r="AI35" s="808"/>
      <c r="AJ35" s="808"/>
      <c r="AK35" s="461"/>
      <c r="AL35" s="1332"/>
      <c r="AM35" s="1332"/>
      <c r="AN35" s="1332"/>
      <c r="AO35" s="1342"/>
      <c r="AP35" s="1332"/>
      <c r="AQ35" s="2038"/>
      <c r="AR35" s="2038"/>
      <c r="AS35" s="2038"/>
      <c r="AT35" s="2038"/>
      <c r="AU35" s="2038"/>
      <c r="AV35" s="2038"/>
      <c r="AW35" s="2038"/>
      <c r="AX35" s="2038"/>
      <c r="AY35" s="2038"/>
      <c r="AZ35" s="1332"/>
      <c r="BA35" s="1342"/>
      <c r="BB35" s="1332"/>
      <c r="BC35" s="1332"/>
      <c r="BD35" s="1332"/>
      <c r="BE35" s="1338"/>
      <c r="BF35" s="1336"/>
      <c r="BG35" s="1332"/>
      <c r="BH35" s="1332"/>
      <c r="BI35" s="1332"/>
      <c r="BJ35" s="1332"/>
      <c r="BK35" s="1332"/>
      <c r="BL35" s="1332"/>
      <c r="BM35" s="1332"/>
      <c r="BN35" s="1332"/>
      <c r="BO35" s="1332"/>
      <c r="BP35" s="1332"/>
      <c r="BQ35" s="1332"/>
      <c r="BR35" s="1332"/>
      <c r="BS35" s="1332"/>
      <c r="BT35" s="1332"/>
      <c r="BU35" s="1332"/>
      <c r="BV35" s="1332"/>
      <c r="BW35" s="1332"/>
    </row>
    <row r="36" spans="1:75" ht="5.25" customHeight="1">
      <c r="A36" s="461"/>
      <c r="B36" s="1326"/>
      <c r="C36" s="1326"/>
      <c r="D36" s="1326"/>
      <c r="E36" s="1326"/>
      <c r="F36" s="1326"/>
      <c r="G36" s="1326"/>
      <c r="H36" s="1326"/>
      <c r="I36" s="1326"/>
      <c r="J36" s="1326"/>
      <c r="K36" s="1326"/>
      <c r="L36" s="1326"/>
      <c r="M36" s="1326"/>
      <c r="N36" s="1326"/>
      <c r="O36" s="1326"/>
      <c r="P36" s="1326"/>
      <c r="Q36" s="1326"/>
      <c r="R36" s="1326"/>
      <c r="S36" s="1326"/>
      <c r="T36" s="1326"/>
      <c r="U36" s="1326"/>
      <c r="V36" s="1326"/>
      <c r="W36" s="1326"/>
      <c r="X36" s="1326"/>
      <c r="Y36" s="1326"/>
      <c r="Z36" s="1326"/>
      <c r="AA36" s="1326"/>
      <c r="AB36" s="1326"/>
      <c r="AC36" s="1326"/>
      <c r="AD36" s="1326"/>
      <c r="AE36" s="1326"/>
      <c r="AF36" s="1326"/>
      <c r="AG36" s="1326"/>
      <c r="AH36" s="1326"/>
      <c r="AI36" s="1326"/>
      <c r="AJ36" s="1326"/>
      <c r="AK36" s="461"/>
    </row>
    <row r="37" spans="1:75" ht="15" customHeight="1">
      <c r="A37" s="461"/>
      <c r="B37" s="8698" t="s">
        <v>982</v>
      </c>
      <c r="C37" s="6435"/>
      <c r="D37" s="5054" t="s">
        <v>3695</v>
      </c>
      <c r="E37" s="1329"/>
      <c r="F37" s="1329"/>
      <c r="G37" s="1329"/>
      <c r="H37" s="1329"/>
      <c r="I37" s="1329"/>
      <c r="J37" s="1329"/>
      <c r="K37" s="1329"/>
      <c r="L37" s="1329"/>
      <c r="M37" s="1329"/>
      <c r="N37" s="1329"/>
      <c r="O37" s="1329"/>
      <c r="P37" s="1329"/>
      <c r="Q37" s="1329"/>
      <c r="R37" s="1329"/>
      <c r="S37" s="1329"/>
      <c r="T37" s="1329"/>
      <c r="U37" s="1329"/>
      <c r="V37" s="1329"/>
      <c r="W37" s="1329"/>
      <c r="X37" s="1329"/>
      <c r="Y37" s="1329"/>
      <c r="Z37" s="1329"/>
      <c r="AA37" s="1329"/>
      <c r="AB37" s="1329"/>
      <c r="AC37" s="1329"/>
      <c r="AD37" s="1329"/>
      <c r="AE37" s="1329"/>
      <c r="AF37" s="1329"/>
      <c r="AG37" s="1329"/>
      <c r="AH37" s="1329"/>
      <c r="AI37" s="1329"/>
      <c r="AJ37" s="1329"/>
      <c r="AK37" s="461"/>
    </row>
    <row r="38" spans="1:75" ht="15.75" customHeight="1">
      <c r="A38" s="461"/>
      <c r="B38" s="1329"/>
      <c r="C38" s="1329"/>
      <c r="D38" s="1329"/>
      <c r="E38" s="8766" t="s">
        <v>3696</v>
      </c>
      <c r="F38" s="8766"/>
      <c r="G38" s="8766"/>
      <c r="H38" s="8766"/>
      <c r="I38" s="8766"/>
      <c r="J38" s="8766"/>
      <c r="K38" s="8766"/>
      <c r="L38" s="8766"/>
      <c r="M38" s="8766"/>
      <c r="N38" s="8766"/>
      <c r="O38" s="8766"/>
      <c r="P38" s="8766"/>
      <c r="Q38" s="8766"/>
      <c r="R38" s="8766"/>
      <c r="S38" s="8766"/>
      <c r="T38" s="8766"/>
      <c r="U38" s="8766"/>
      <c r="V38" s="8766"/>
      <c r="W38" s="8766"/>
      <c r="X38" s="8766"/>
      <c r="Y38" s="8766"/>
      <c r="Z38" s="8766"/>
      <c r="AA38" s="8766"/>
      <c r="AB38" s="8766"/>
      <c r="AC38" s="8766"/>
      <c r="AD38" s="8766"/>
      <c r="AE38" s="8766"/>
      <c r="AF38" s="8766"/>
      <c r="AG38" s="8766"/>
      <c r="AH38" s="8766"/>
      <c r="AI38" s="8766"/>
      <c r="AJ38" s="8766"/>
      <c r="AK38" s="461"/>
    </row>
    <row r="39" spans="1:75" ht="15.75" customHeight="1">
      <c r="A39" s="461"/>
      <c r="B39" s="1330"/>
      <c r="C39" s="1330"/>
      <c r="D39" s="1330"/>
      <c r="E39" s="4539" t="s">
        <v>3697</v>
      </c>
      <c r="F39" s="4015"/>
      <c r="G39" s="4015"/>
      <c r="H39" s="4015"/>
      <c r="I39" s="4015"/>
      <c r="J39" s="4015"/>
      <c r="K39" s="4015"/>
      <c r="L39" s="4015"/>
      <c r="M39" s="4015"/>
      <c r="N39" s="4015"/>
      <c r="O39" s="4015"/>
      <c r="P39" s="4015"/>
      <c r="Q39" s="4015"/>
      <c r="R39" s="4015"/>
      <c r="S39" s="4015"/>
      <c r="T39" s="4015"/>
      <c r="U39" s="4015"/>
      <c r="V39" s="4015"/>
      <c r="W39" s="4015"/>
      <c r="X39" s="4015"/>
      <c r="Y39" s="4015"/>
      <c r="Z39" s="4015"/>
      <c r="AA39" s="4015"/>
      <c r="AB39" s="4015"/>
      <c r="AC39" s="4015"/>
      <c r="AD39" s="4015"/>
      <c r="AE39" s="4015"/>
      <c r="AF39" s="4015"/>
      <c r="AG39" s="4015"/>
      <c r="AH39" s="4015"/>
      <c r="AI39" s="4015"/>
      <c r="AJ39" s="4015"/>
      <c r="AK39" s="461"/>
    </row>
    <row r="40" spans="1:75" s="1268" customFormat="1" ht="13.5" customHeight="1">
      <c r="A40" s="461"/>
      <c r="B40" s="808"/>
      <c r="C40" s="1124" t="s">
        <v>270</v>
      </c>
      <c r="D40" s="892" t="s">
        <v>3698</v>
      </c>
      <c r="E40" s="808"/>
      <c r="F40" s="808"/>
      <c r="G40" s="808"/>
      <c r="H40" s="808"/>
      <c r="I40" s="808"/>
      <c r="J40" s="808"/>
      <c r="K40" s="808"/>
      <c r="L40" s="8753"/>
      <c r="M40" s="8754"/>
      <c r="N40" s="8754"/>
      <c r="O40" s="8754"/>
      <c r="P40" s="8754"/>
      <c r="Q40" s="8754"/>
      <c r="R40" s="8754"/>
      <c r="S40" s="8754"/>
      <c r="T40" s="8754"/>
      <c r="U40" s="892" t="s">
        <v>3699</v>
      </c>
      <c r="V40" s="808"/>
      <c r="W40" s="808"/>
      <c r="X40" s="808"/>
      <c r="Y40" s="8753"/>
      <c r="Z40" s="8754"/>
      <c r="AA40" s="8754"/>
      <c r="AB40" s="8754"/>
      <c r="AC40" s="8754"/>
      <c r="AD40" s="8754"/>
      <c r="AE40" s="8754"/>
      <c r="AF40" s="8754"/>
      <c r="AG40" s="8754"/>
      <c r="AH40" s="8755"/>
      <c r="AI40" s="8755"/>
      <c r="AJ40" s="8755"/>
      <c r="AK40" s="461"/>
      <c r="AL40" s="1332"/>
      <c r="AM40" s="1332"/>
      <c r="AN40" s="1332"/>
      <c r="AO40" s="1339"/>
      <c r="AP40" s="1332"/>
      <c r="AQ40" s="2038"/>
      <c r="AR40" s="2038"/>
      <c r="AS40" s="2038"/>
      <c r="AT40" s="2038"/>
      <c r="AU40" s="2038"/>
      <c r="AV40" s="2038"/>
      <c r="AW40" s="2038"/>
      <c r="AX40" s="2038"/>
      <c r="AY40" s="2038"/>
      <c r="AZ40" s="1332"/>
      <c r="BA40" s="1339"/>
      <c r="BB40" s="1332"/>
      <c r="BC40" s="1332"/>
      <c r="BD40" s="1332"/>
      <c r="BE40" s="1332"/>
      <c r="BF40" s="1332"/>
      <c r="BG40" s="1332"/>
      <c r="BH40" s="1332"/>
      <c r="BI40" s="1332"/>
      <c r="BJ40" s="1332"/>
      <c r="BK40" s="1332"/>
      <c r="BL40" s="1332"/>
      <c r="BM40" s="1332"/>
      <c r="BN40" s="1332"/>
      <c r="BO40" s="1332"/>
      <c r="BP40" s="1332"/>
      <c r="BQ40" s="1332"/>
      <c r="BR40" s="1332"/>
      <c r="BS40" s="1332"/>
      <c r="BT40" s="1332"/>
      <c r="BU40" s="1332"/>
      <c r="BV40" s="1332"/>
      <c r="BW40" s="1332"/>
    </row>
    <row r="41" spans="1:75" ht="5.25" customHeight="1" thickBot="1">
      <c r="A41" s="461"/>
      <c r="B41" s="808"/>
      <c r="C41" s="808"/>
      <c r="D41" s="808"/>
      <c r="E41" s="808"/>
      <c r="F41" s="808"/>
      <c r="G41" s="808"/>
      <c r="H41" s="808"/>
      <c r="I41" s="808"/>
      <c r="J41" s="808"/>
      <c r="K41" s="808"/>
      <c r="L41" s="808"/>
      <c r="M41" s="808"/>
      <c r="N41" s="808"/>
      <c r="O41" s="808"/>
      <c r="P41" s="808"/>
      <c r="Q41" s="808"/>
      <c r="R41" s="808"/>
      <c r="S41" s="808"/>
      <c r="T41" s="808"/>
      <c r="U41" s="808"/>
      <c r="V41" s="808"/>
      <c r="W41" s="808"/>
      <c r="X41" s="808"/>
      <c r="Y41" s="808"/>
      <c r="Z41" s="808"/>
      <c r="AA41" s="808"/>
      <c r="AB41" s="808"/>
      <c r="AC41" s="808"/>
      <c r="AD41" s="808"/>
      <c r="AE41" s="808"/>
      <c r="AF41" s="808"/>
      <c r="AG41" s="808"/>
      <c r="AH41" s="808"/>
      <c r="AI41" s="808"/>
      <c r="AJ41" s="808"/>
      <c r="AK41" s="461"/>
      <c r="BL41" s="1346"/>
      <c r="BM41" s="1346"/>
      <c r="BO41" s="1346"/>
      <c r="BP41" s="1346"/>
      <c r="BQ41" s="1346"/>
      <c r="BR41" s="1346"/>
      <c r="BS41" s="1346"/>
      <c r="BT41" s="1346"/>
      <c r="BU41" s="1346"/>
      <c r="BV41" s="1346"/>
    </row>
    <row r="42" spans="1:75" s="1268" customFormat="1" ht="13.5" customHeight="1" thickBot="1">
      <c r="A42" s="461"/>
      <c r="B42" s="808"/>
      <c r="C42" s="1124" t="s">
        <v>272</v>
      </c>
      <c r="D42" s="892" t="s">
        <v>3700</v>
      </c>
      <c r="E42" s="808"/>
      <c r="F42" s="808"/>
      <c r="G42" s="808"/>
      <c r="H42" s="808"/>
      <c r="I42" s="808"/>
      <c r="J42" s="808"/>
      <c r="K42" s="808"/>
      <c r="L42" s="808"/>
      <c r="M42" s="808"/>
      <c r="N42" s="1366" t="s">
        <v>640</v>
      </c>
      <c r="O42" s="810"/>
      <c r="P42" s="892" t="s">
        <v>3701</v>
      </c>
      <c r="Q42" s="808"/>
      <c r="R42" s="808"/>
      <c r="S42" s="808"/>
      <c r="T42" s="808"/>
      <c r="U42" s="1366" t="s">
        <v>644</v>
      </c>
      <c r="V42" s="810"/>
      <c r="W42" s="892" t="s">
        <v>3702</v>
      </c>
      <c r="X42" s="808"/>
      <c r="Y42" s="808"/>
      <c r="Z42" s="808"/>
      <c r="AA42" s="808"/>
      <c r="AB42" s="808"/>
      <c r="AC42" s="808"/>
      <c r="AD42" s="1366" t="s">
        <v>648</v>
      </c>
      <c r="AE42" s="810"/>
      <c r="AF42" s="892" t="s">
        <v>3703</v>
      </c>
      <c r="AG42" s="808"/>
      <c r="AH42" s="808"/>
      <c r="AI42" s="808"/>
      <c r="AJ42" s="808"/>
      <c r="AK42" s="461"/>
      <c r="AL42" s="1332"/>
      <c r="AM42" s="1332"/>
      <c r="AN42" s="1338"/>
      <c r="AO42" s="1339"/>
      <c r="AP42" s="1332"/>
      <c r="AQ42" s="2038"/>
      <c r="AR42" s="2038"/>
      <c r="AS42" s="2038"/>
      <c r="AT42" s="2038"/>
      <c r="AU42" s="2038"/>
      <c r="AV42" s="2038"/>
      <c r="AW42" s="2038"/>
      <c r="AX42" s="2038"/>
      <c r="AY42" s="2038"/>
      <c r="AZ42" s="1338"/>
      <c r="BA42" s="1339"/>
      <c r="BB42" s="1332"/>
      <c r="BC42" s="1332"/>
      <c r="BD42" s="1332"/>
      <c r="BE42" s="1332"/>
      <c r="BF42" s="1338"/>
      <c r="BG42" s="1337"/>
      <c r="BH42" s="1332"/>
      <c r="BI42" s="1332"/>
      <c r="BJ42" s="1332"/>
      <c r="BK42" s="1332"/>
      <c r="BL42" s="1332"/>
      <c r="BM42" s="1332"/>
      <c r="BN42" s="1332"/>
      <c r="BO42" s="1332"/>
      <c r="BP42" s="1332"/>
      <c r="BQ42" s="1332"/>
      <c r="BR42" s="1332"/>
      <c r="BS42" s="1332"/>
      <c r="BT42" s="1332"/>
      <c r="BU42" s="1332"/>
      <c r="BV42" s="1332"/>
      <c r="BW42" s="1332"/>
    </row>
    <row r="43" spans="1:75" s="1268" customFormat="1" ht="5.25" customHeight="1" thickBot="1">
      <c r="A43" s="461"/>
      <c r="B43" s="808"/>
      <c r="C43" s="808"/>
      <c r="D43" s="808"/>
      <c r="E43" s="808"/>
      <c r="F43" s="808"/>
      <c r="G43" s="808"/>
      <c r="H43" s="808"/>
      <c r="I43" s="808"/>
      <c r="J43" s="808"/>
      <c r="K43" s="808"/>
      <c r="L43" s="808"/>
      <c r="M43" s="808"/>
      <c r="N43" s="808"/>
      <c r="O43" s="808"/>
      <c r="P43" s="808"/>
      <c r="Q43" s="808"/>
      <c r="R43" s="808"/>
      <c r="S43" s="808"/>
      <c r="T43" s="808"/>
      <c r="U43" s="808"/>
      <c r="V43" s="808"/>
      <c r="W43" s="808"/>
      <c r="X43" s="808"/>
      <c r="Y43" s="808"/>
      <c r="Z43" s="808"/>
      <c r="AA43" s="808"/>
      <c r="AB43" s="808"/>
      <c r="AC43" s="808"/>
      <c r="AD43" s="808"/>
      <c r="AE43" s="808"/>
      <c r="AF43" s="808"/>
      <c r="AG43" s="808"/>
      <c r="AH43" s="808"/>
      <c r="AI43" s="808"/>
      <c r="AJ43" s="808"/>
      <c r="AK43" s="461"/>
      <c r="AL43" s="1332"/>
      <c r="AM43" s="1332"/>
      <c r="AN43" s="1332"/>
      <c r="AO43" s="1339"/>
      <c r="AP43" s="1332"/>
      <c r="AQ43" s="2038"/>
      <c r="AR43" s="2038"/>
      <c r="AS43" s="2038"/>
      <c r="AT43" s="2038"/>
      <c r="AU43" s="2038"/>
      <c r="AV43" s="2038"/>
      <c r="AW43" s="2038"/>
      <c r="AX43" s="2038"/>
      <c r="AY43" s="2038"/>
      <c r="AZ43" s="1332"/>
      <c r="BA43" s="1339"/>
      <c r="BB43" s="1332"/>
      <c r="BC43" s="1332"/>
      <c r="BD43" s="1332"/>
      <c r="BE43" s="1332"/>
      <c r="BF43" s="1332"/>
      <c r="BG43" s="1332"/>
      <c r="BH43" s="1332"/>
      <c r="BI43" s="1332"/>
      <c r="BJ43" s="1332"/>
      <c r="BK43" s="1332"/>
      <c r="BL43" s="1332"/>
      <c r="BM43" s="1332"/>
      <c r="BN43" s="1332"/>
      <c r="BO43" s="1332"/>
      <c r="BP43" s="1332"/>
      <c r="BQ43" s="1332"/>
      <c r="BR43" s="1332"/>
      <c r="BS43" s="1332"/>
      <c r="BT43" s="1332"/>
      <c r="BU43" s="1332"/>
      <c r="BV43" s="1332"/>
      <c r="BW43" s="1332"/>
    </row>
    <row r="44" spans="1:75" s="1268" customFormat="1" ht="13.5" customHeight="1" thickBot="1">
      <c r="A44" s="461"/>
      <c r="B44" s="808"/>
      <c r="C44" s="808"/>
      <c r="D44" s="808"/>
      <c r="E44" s="808"/>
      <c r="F44" s="808"/>
      <c r="G44" s="808"/>
      <c r="H44" s="808"/>
      <c r="I44" s="808"/>
      <c r="J44" s="808"/>
      <c r="K44" s="808"/>
      <c r="L44" s="808"/>
      <c r="M44" s="808"/>
      <c r="N44" s="1366" t="s">
        <v>652</v>
      </c>
      <c r="O44" s="810"/>
      <c r="P44" s="892" t="s">
        <v>3704</v>
      </c>
      <c r="Q44" s="808"/>
      <c r="R44" s="808"/>
      <c r="S44" s="808"/>
      <c r="T44" s="808"/>
      <c r="U44" s="808"/>
      <c r="V44" s="808"/>
      <c r="W44" s="808"/>
      <c r="X44" s="808"/>
      <c r="Y44" s="808"/>
      <c r="Z44" s="808"/>
      <c r="AA44" s="808"/>
      <c r="AB44" s="808"/>
      <c r="AC44" s="808"/>
      <c r="AD44" s="808"/>
      <c r="AE44" s="808"/>
      <c r="AF44" s="808"/>
      <c r="AG44" s="808"/>
      <c r="AH44" s="808"/>
      <c r="AI44" s="808"/>
      <c r="AJ44" s="808"/>
      <c r="AK44" s="461"/>
      <c r="AL44" s="1332"/>
      <c r="AM44" s="1332"/>
      <c r="AN44" s="1338"/>
      <c r="AO44" s="1339"/>
      <c r="AP44" s="1332"/>
      <c r="AQ44" s="2038"/>
      <c r="AR44" s="2038"/>
      <c r="AS44" s="2038"/>
      <c r="AT44" s="2038"/>
      <c r="AU44" s="2038"/>
      <c r="AV44" s="2038"/>
      <c r="AW44" s="2038"/>
      <c r="AX44" s="2038"/>
      <c r="AY44" s="2038"/>
      <c r="AZ44" s="1338"/>
      <c r="BA44" s="1339"/>
      <c r="BB44" s="1332"/>
      <c r="BC44" s="1332"/>
      <c r="BD44" s="1332"/>
      <c r="BE44" s="1332"/>
      <c r="BF44" s="1338"/>
      <c r="BG44" s="1337"/>
      <c r="BH44" s="1332"/>
      <c r="BI44" s="1343"/>
      <c r="BJ44" s="1343"/>
      <c r="BK44" s="1332"/>
      <c r="BL44" s="1332"/>
      <c r="BM44" s="1332"/>
      <c r="BN44" s="1332"/>
      <c r="BO44" s="1332"/>
      <c r="BP44" s="1332"/>
      <c r="BQ44" s="1332"/>
      <c r="BR44" s="1332"/>
      <c r="BS44" s="1332"/>
      <c r="BT44" s="1332"/>
      <c r="BU44" s="1332"/>
      <c r="BV44" s="1332"/>
      <c r="BW44" s="1332"/>
    </row>
    <row r="45" spans="1:75" s="1268" customFormat="1" ht="15.75" thickBot="1">
      <c r="A45" s="461"/>
      <c r="B45" s="808"/>
      <c r="C45" s="1362" t="s">
        <v>3705</v>
      </c>
      <c r="D45" s="808" t="s">
        <v>3706</v>
      </c>
      <c r="E45" s="808"/>
      <c r="F45" s="808"/>
      <c r="G45" s="808"/>
      <c r="H45" s="808"/>
      <c r="I45" s="808"/>
      <c r="J45" s="808"/>
      <c r="K45" s="808"/>
      <c r="L45" s="808"/>
      <c r="M45" s="808"/>
      <c r="N45" s="808"/>
      <c r="O45" s="808"/>
      <c r="P45" s="808"/>
      <c r="Q45" s="808"/>
      <c r="R45" s="808"/>
      <c r="S45" s="808"/>
      <c r="T45" s="808"/>
      <c r="U45" s="808"/>
      <c r="V45" s="808"/>
      <c r="W45" s="808"/>
      <c r="X45" s="808"/>
      <c r="Y45" s="808"/>
      <c r="Z45" s="808"/>
      <c r="AA45" s="808"/>
      <c r="AB45" s="808"/>
      <c r="AC45" s="808"/>
      <c r="AD45" s="859" t="s">
        <v>642</v>
      </c>
      <c r="AE45" s="810"/>
      <c r="AF45" s="899" t="s">
        <v>608</v>
      </c>
      <c r="AG45" s="808"/>
      <c r="AH45" s="810"/>
      <c r="AI45" s="899" t="s">
        <v>609</v>
      </c>
      <c r="AJ45" s="808"/>
      <c r="AK45" s="461"/>
      <c r="AL45" s="1332"/>
      <c r="AM45" s="1332"/>
      <c r="AN45" s="1332"/>
      <c r="AO45" s="1339"/>
      <c r="AP45" s="1332"/>
      <c r="AQ45" s="2038"/>
      <c r="AR45" s="2038"/>
      <c r="AS45" s="2038"/>
      <c r="AT45" s="2038"/>
      <c r="AU45" s="2038"/>
      <c r="AV45" s="2038"/>
      <c r="AW45" s="2038"/>
      <c r="AX45" s="2038"/>
      <c r="AY45" s="2038"/>
      <c r="AZ45" s="1332"/>
      <c r="BA45" s="1339"/>
      <c r="BB45" s="1332"/>
      <c r="BC45" s="1332"/>
      <c r="BD45" s="1332"/>
      <c r="BE45" s="1332"/>
      <c r="BF45" s="1332"/>
      <c r="BG45" s="1332"/>
      <c r="BH45" s="1332"/>
      <c r="BI45" s="1332"/>
      <c r="BJ45" s="1332"/>
      <c r="BK45" s="1332"/>
      <c r="BL45" s="1332"/>
      <c r="BM45" s="1332"/>
      <c r="BN45" s="1332"/>
      <c r="BO45" s="1332"/>
      <c r="BP45" s="1332"/>
      <c r="BQ45" s="1332"/>
      <c r="BR45" s="1332"/>
      <c r="BS45" s="1332"/>
      <c r="BT45" s="1332"/>
      <c r="BU45" s="1332"/>
      <c r="BV45" s="1332"/>
      <c r="BW45" s="1332"/>
    </row>
    <row r="46" spans="1:75" s="1268" customFormat="1" ht="12.75" customHeight="1">
      <c r="A46" s="461"/>
      <c r="B46" s="808"/>
      <c r="C46" s="1362" t="s">
        <v>2392</v>
      </c>
      <c r="D46" s="892" t="s">
        <v>3707</v>
      </c>
      <c r="E46" s="808"/>
      <c r="F46" s="808"/>
      <c r="G46" s="808"/>
      <c r="H46" s="808"/>
      <c r="I46" s="808"/>
      <c r="J46" s="808"/>
      <c r="K46" s="808"/>
      <c r="L46" s="808"/>
      <c r="M46" s="8750"/>
      <c r="N46" s="8751"/>
      <c r="O46" s="8751"/>
      <c r="P46" s="8751"/>
      <c r="Q46" s="8751"/>
      <c r="R46" s="8751"/>
      <c r="S46" s="8751"/>
      <c r="T46" s="8751"/>
      <c r="U46" s="8751"/>
      <c r="V46" s="8751"/>
      <c r="W46" s="8751"/>
      <c r="X46" s="8751"/>
      <c r="Y46" s="8751"/>
      <c r="Z46" s="8751"/>
      <c r="AA46" s="8751"/>
      <c r="AB46" s="8751"/>
      <c r="AC46" s="8751"/>
      <c r="AD46" s="8751"/>
      <c r="AE46" s="8751"/>
      <c r="AF46" s="8751"/>
      <c r="AG46" s="8751"/>
      <c r="AH46" s="8751"/>
      <c r="AI46" s="8751"/>
      <c r="AJ46" s="8751"/>
      <c r="AK46" s="461"/>
      <c r="AL46" s="1332"/>
      <c r="AM46" s="1332"/>
      <c r="AN46" s="1344"/>
      <c r="AO46" s="1335"/>
      <c r="AP46" s="1335"/>
      <c r="AQ46" s="2038"/>
      <c r="AR46" s="2038"/>
      <c r="AS46" s="2038"/>
      <c r="AT46" s="2038"/>
      <c r="AU46" s="2038"/>
      <c r="AV46" s="2038"/>
      <c r="AW46" s="2038"/>
      <c r="AX46" s="2038"/>
      <c r="AY46" s="2038"/>
      <c r="AZ46" s="1344"/>
      <c r="BA46" s="1335"/>
      <c r="BB46" s="1335"/>
      <c r="BC46" s="1335"/>
      <c r="BD46" s="1335"/>
      <c r="BE46" s="1335"/>
      <c r="BF46" s="1335"/>
      <c r="BG46" s="1335"/>
      <c r="BH46" s="1335"/>
      <c r="BI46" s="1335"/>
      <c r="BJ46" s="1335"/>
      <c r="BK46" s="1332"/>
      <c r="BL46" s="1332"/>
      <c r="BM46" s="1332"/>
      <c r="BN46" s="1332"/>
      <c r="BO46" s="1332"/>
      <c r="BP46" s="1332"/>
      <c r="BQ46" s="1332"/>
      <c r="BR46" s="1332"/>
      <c r="BS46" s="1332"/>
      <c r="BT46" s="1332"/>
      <c r="BU46" s="1332"/>
      <c r="BV46" s="1332"/>
      <c r="BW46" s="1332"/>
    </row>
    <row r="47" spans="1:75" s="1268" customFormat="1" ht="5.25" customHeight="1">
      <c r="A47" s="461"/>
      <c r="B47" s="808"/>
      <c r="C47" s="808"/>
      <c r="D47" s="808"/>
      <c r="E47" s="808"/>
      <c r="F47" s="808"/>
      <c r="G47" s="808"/>
      <c r="H47" s="808"/>
      <c r="I47" s="808"/>
      <c r="J47" s="808"/>
      <c r="K47" s="808"/>
      <c r="L47" s="808"/>
      <c r="M47" s="808"/>
      <c r="N47" s="808"/>
      <c r="O47" s="808"/>
      <c r="P47" s="808"/>
      <c r="Q47" s="808"/>
      <c r="R47" s="808"/>
      <c r="S47" s="808"/>
      <c r="T47" s="808"/>
      <c r="U47" s="808"/>
      <c r="V47" s="808"/>
      <c r="W47" s="808"/>
      <c r="X47" s="808"/>
      <c r="Y47" s="808"/>
      <c r="Z47" s="808"/>
      <c r="AA47" s="808"/>
      <c r="AB47" s="808"/>
      <c r="AC47" s="808"/>
      <c r="AD47" s="808"/>
      <c r="AE47" s="808"/>
      <c r="AF47" s="808"/>
      <c r="AG47" s="808"/>
      <c r="AH47" s="808"/>
      <c r="AI47" s="808"/>
      <c r="AJ47" s="808"/>
      <c r="AK47" s="461"/>
      <c r="AL47" s="1332"/>
      <c r="AM47" s="1332"/>
      <c r="AN47" s="1335"/>
      <c r="AO47" s="1335"/>
      <c r="AP47" s="1335"/>
      <c r="AQ47" s="2038"/>
      <c r="AR47" s="2038"/>
      <c r="AS47" s="2038"/>
      <c r="AT47" s="2038"/>
      <c r="AU47" s="2038"/>
      <c r="AV47" s="2038"/>
      <c r="AW47" s="2038"/>
      <c r="AX47" s="2038"/>
      <c r="AY47" s="2038"/>
      <c r="AZ47" s="1335"/>
      <c r="BA47" s="1335"/>
      <c r="BB47" s="1335"/>
      <c r="BC47" s="1335"/>
      <c r="BD47" s="1335"/>
      <c r="BE47" s="1335"/>
      <c r="BF47" s="1335"/>
      <c r="BG47" s="1335"/>
      <c r="BH47" s="1335"/>
      <c r="BI47" s="1335"/>
      <c r="BJ47" s="1335"/>
      <c r="BK47" s="1332"/>
      <c r="BL47" s="1332"/>
      <c r="BM47" s="1332"/>
      <c r="BN47" s="1332"/>
      <c r="BO47" s="1332"/>
      <c r="BP47" s="1332"/>
      <c r="BQ47" s="1332"/>
      <c r="BR47" s="1332"/>
      <c r="BS47" s="1332"/>
      <c r="BT47" s="1332"/>
      <c r="BU47" s="1332"/>
      <c r="BV47" s="1332"/>
      <c r="BW47" s="1332"/>
    </row>
    <row r="48" spans="1:75" s="1268" customFormat="1" ht="12.75" customHeight="1" thickBot="1">
      <c r="A48" s="461"/>
      <c r="B48" s="808"/>
      <c r="C48" s="1362" t="s">
        <v>3708</v>
      </c>
      <c r="D48" s="2112" t="s">
        <v>3709</v>
      </c>
      <c r="E48" s="808"/>
      <c r="F48" s="808"/>
      <c r="G48" s="808"/>
      <c r="H48" s="808"/>
      <c r="I48" s="808"/>
      <c r="J48" s="808"/>
      <c r="K48" s="808"/>
      <c r="L48" s="808"/>
      <c r="M48" s="808"/>
      <c r="N48" s="808"/>
      <c r="O48" s="808"/>
      <c r="P48" s="808"/>
      <c r="Q48" s="808"/>
      <c r="R48" s="808"/>
      <c r="S48" s="808"/>
      <c r="T48" s="808"/>
      <c r="U48" s="808"/>
      <c r="V48" s="808"/>
      <c r="W48" s="808"/>
      <c r="X48" s="808"/>
      <c r="Y48" s="808"/>
      <c r="Z48" s="808"/>
      <c r="AA48" s="808"/>
      <c r="AB48" s="808"/>
      <c r="AC48" s="808"/>
      <c r="AD48" s="808"/>
      <c r="AE48" s="808"/>
      <c r="AF48" s="808"/>
      <c r="AG48" s="808"/>
      <c r="AH48" s="808"/>
      <c r="AI48" s="808"/>
      <c r="AJ48" s="808"/>
      <c r="AK48" s="461"/>
      <c r="AL48" s="1332"/>
      <c r="AM48" s="1345"/>
      <c r="AN48" s="1335"/>
      <c r="AO48" s="1335"/>
      <c r="AP48" s="1335"/>
      <c r="AQ48" s="2038"/>
      <c r="AR48" s="2038"/>
      <c r="AS48" s="2038"/>
      <c r="AT48" s="2038"/>
      <c r="AU48" s="2038"/>
      <c r="AV48" s="2038"/>
      <c r="AW48" s="2038"/>
      <c r="AX48" s="2038"/>
      <c r="AY48" s="2038"/>
      <c r="AZ48" s="1335"/>
      <c r="BA48" s="1335"/>
      <c r="BB48" s="1335"/>
      <c r="BC48" s="1335"/>
      <c r="BD48" s="1335"/>
      <c r="BE48" s="1335"/>
      <c r="BF48" s="1335"/>
      <c r="BG48" s="1335"/>
      <c r="BH48" s="1335"/>
      <c r="BI48" s="1335"/>
      <c r="BJ48" s="1335"/>
      <c r="BK48" s="1332"/>
      <c r="BL48" s="1332"/>
      <c r="BM48" s="1332"/>
      <c r="BN48" s="1332"/>
      <c r="BO48" s="1332"/>
      <c r="BP48" s="1332"/>
      <c r="BQ48" s="1332"/>
      <c r="BR48" s="1332"/>
      <c r="BS48" s="1332"/>
      <c r="BT48" s="1332"/>
      <c r="BU48" s="1332"/>
      <c r="BV48" s="1332"/>
      <c r="BW48" s="1332"/>
    </row>
    <row r="49" spans="1:74" ht="15" customHeight="1" thickBot="1">
      <c r="A49" s="461"/>
      <c r="B49" s="808"/>
      <c r="C49" s="808"/>
      <c r="D49" s="2112" t="s">
        <v>3710</v>
      </c>
      <c r="E49" s="808"/>
      <c r="F49" s="808"/>
      <c r="G49" s="808"/>
      <c r="H49" s="808"/>
      <c r="I49" s="808"/>
      <c r="J49" s="808"/>
      <c r="K49" s="808"/>
      <c r="L49" s="808"/>
      <c r="M49" s="808"/>
      <c r="N49" s="808"/>
      <c r="O49" s="808"/>
      <c r="P49" s="808"/>
      <c r="Q49" s="808"/>
      <c r="R49" s="808"/>
      <c r="S49" s="808"/>
      <c r="T49" s="808"/>
      <c r="U49" s="808"/>
      <c r="V49" s="808"/>
      <c r="W49" s="808"/>
      <c r="X49" s="808"/>
      <c r="Y49" s="808"/>
      <c r="Z49" s="808"/>
      <c r="AA49" s="808"/>
      <c r="AB49" s="808"/>
      <c r="AC49" s="808"/>
      <c r="AD49" s="859" t="s">
        <v>646</v>
      </c>
      <c r="AE49" s="810"/>
      <c r="AF49" s="899" t="s">
        <v>608</v>
      </c>
      <c r="AG49" s="808"/>
      <c r="AH49" s="810"/>
      <c r="AI49" s="899" t="s">
        <v>609</v>
      </c>
      <c r="AJ49" s="808"/>
      <c r="AK49" s="461"/>
      <c r="AM49" s="1345"/>
      <c r="AN49" s="1335"/>
      <c r="AO49" s="1335"/>
      <c r="AP49" s="1335"/>
      <c r="AZ49" s="1335"/>
      <c r="BA49" s="1335"/>
      <c r="BB49" s="1335"/>
      <c r="BC49" s="1335"/>
      <c r="BD49" s="1335"/>
      <c r="BE49" s="1335"/>
      <c r="BF49" s="1335"/>
      <c r="BG49" s="1335"/>
      <c r="BH49" s="1335"/>
      <c r="BI49" s="1335"/>
      <c r="BJ49" s="1335"/>
    </row>
    <row r="50" spans="1:74" ht="5.25" customHeight="1" thickBot="1">
      <c r="A50" s="461"/>
      <c r="B50" s="808"/>
      <c r="C50" s="808"/>
      <c r="D50" s="808"/>
      <c r="E50" s="808"/>
      <c r="F50" s="808"/>
      <c r="G50" s="808"/>
      <c r="H50" s="808"/>
      <c r="I50" s="808"/>
      <c r="J50" s="808"/>
      <c r="K50" s="808"/>
      <c r="L50" s="808"/>
      <c r="M50" s="808"/>
      <c r="N50" s="808"/>
      <c r="O50" s="808"/>
      <c r="P50" s="808"/>
      <c r="Q50" s="808"/>
      <c r="R50" s="808"/>
      <c r="S50" s="808"/>
      <c r="T50" s="808"/>
      <c r="U50" s="808"/>
      <c r="V50" s="808"/>
      <c r="W50" s="808"/>
      <c r="X50" s="808"/>
      <c r="Y50" s="808"/>
      <c r="Z50" s="808"/>
      <c r="AA50" s="808"/>
      <c r="AB50" s="808"/>
      <c r="AC50" s="808"/>
      <c r="AD50" s="808"/>
      <c r="AE50" s="808"/>
      <c r="AF50" s="808"/>
      <c r="AG50" s="808"/>
      <c r="AH50" s="808"/>
      <c r="AI50" s="808"/>
      <c r="AJ50" s="808"/>
      <c r="AK50" s="461"/>
      <c r="BL50" s="1346"/>
      <c r="BM50" s="1346"/>
      <c r="BO50" s="1346"/>
      <c r="BP50" s="1346"/>
      <c r="BQ50" s="1346"/>
      <c r="BR50" s="1346"/>
      <c r="BS50" s="1346"/>
      <c r="BT50" s="1346"/>
      <c r="BU50" s="1346"/>
      <c r="BV50" s="1346"/>
    </row>
    <row r="51" spans="1:74" ht="13.5" customHeight="1" thickBot="1">
      <c r="A51" s="461"/>
      <c r="B51" s="808"/>
      <c r="C51" s="1362" t="s">
        <v>2392</v>
      </c>
      <c r="D51" s="892" t="s">
        <v>3711</v>
      </c>
      <c r="E51" s="808"/>
      <c r="F51" s="808"/>
      <c r="G51" s="808"/>
      <c r="H51" s="808"/>
      <c r="I51" s="808"/>
      <c r="J51" s="808"/>
      <c r="K51" s="808"/>
      <c r="L51" s="808"/>
      <c r="M51" s="808"/>
      <c r="N51" s="808"/>
      <c r="O51" s="808"/>
      <c r="P51" s="808"/>
      <c r="Q51" s="808"/>
      <c r="R51" s="808"/>
      <c r="S51" s="808"/>
      <c r="T51" s="808"/>
      <c r="U51" s="808"/>
      <c r="V51" s="808"/>
      <c r="W51" s="808"/>
      <c r="X51" s="808"/>
      <c r="Y51" s="808"/>
      <c r="Z51" s="808"/>
      <c r="AA51" s="808"/>
      <c r="AB51" s="808"/>
      <c r="AC51" s="808"/>
      <c r="AD51" s="859" t="s">
        <v>680</v>
      </c>
      <c r="AE51" s="810"/>
      <c r="AF51" s="899" t="s">
        <v>608</v>
      </c>
      <c r="AG51" s="808"/>
      <c r="AH51" s="810"/>
      <c r="AI51" s="899" t="s">
        <v>609</v>
      </c>
      <c r="AJ51" s="808"/>
      <c r="AK51" s="461"/>
      <c r="AM51" s="1347"/>
      <c r="BL51" s="1346"/>
      <c r="BM51" s="1346"/>
      <c r="BO51" s="1346"/>
      <c r="BP51" s="1346"/>
      <c r="BQ51" s="1346"/>
      <c r="BR51" s="1346"/>
      <c r="BS51" s="1346"/>
      <c r="BT51" s="1346"/>
      <c r="BU51" s="1346"/>
      <c r="BV51" s="1346"/>
    </row>
    <row r="52" spans="1:74" ht="16.5" customHeight="1">
      <c r="A52" s="461"/>
      <c r="B52" s="808"/>
      <c r="C52" s="808"/>
      <c r="D52" s="1145" t="s">
        <v>3712</v>
      </c>
      <c r="E52" s="808"/>
      <c r="F52" s="808"/>
      <c r="G52" s="808"/>
      <c r="H52" s="808"/>
      <c r="I52" s="808"/>
      <c r="J52" s="808"/>
      <c r="K52" s="808"/>
      <c r="L52" s="808"/>
      <c r="M52" s="808"/>
      <c r="N52" s="808"/>
      <c r="O52" s="808"/>
      <c r="P52" s="808"/>
      <c r="Q52" s="808"/>
      <c r="R52" s="808"/>
      <c r="S52" s="808"/>
      <c r="T52" s="808"/>
      <c r="U52" s="808"/>
      <c r="V52" s="808"/>
      <c r="W52" s="808"/>
      <c r="X52" s="808"/>
      <c r="Y52" s="808"/>
      <c r="Z52" s="808"/>
      <c r="AA52" s="808"/>
      <c r="AB52" s="808"/>
      <c r="AC52" s="808"/>
      <c r="AD52" s="808"/>
      <c r="AE52" s="808"/>
      <c r="AF52" s="808"/>
      <c r="AG52" s="808"/>
      <c r="AH52" s="808"/>
      <c r="AI52" s="808"/>
      <c r="AJ52" s="808"/>
      <c r="AK52" s="461"/>
      <c r="AM52" s="1347"/>
      <c r="BL52" s="1346"/>
      <c r="BM52" s="1346"/>
      <c r="BO52" s="1346"/>
      <c r="BP52" s="1346"/>
      <c r="BQ52" s="1346"/>
      <c r="BR52" s="1346"/>
      <c r="BS52" s="1346"/>
      <c r="BT52" s="1346"/>
      <c r="BU52" s="1346"/>
      <c r="BV52" s="1346"/>
    </row>
    <row r="53" spans="1:74" ht="16.5" customHeight="1">
      <c r="A53" s="461"/>
      <c r="B53" s="808"/>
      <c r="C53" s="808"/>
      <c r="D53" s="2951" t="s">
        <v>3713</v>
      </c>
      <c r="E53" s="808"/>
      <c r="F53" s="808"/>
      <c r="G53" s="808"/>
      <c r="H53" s="808"/>
      <c r="I53" s="808"/>
      <c r="J53" s="808"/>
      <c r="K53" s="808"/>
      <c r="L53" s="808"/>
      <c r="M53" s="808"/>
      <c r="N53" s="808"/>
      <c r="O53" s="808"/>
      <c r="P53" s="808"/>
      <c r="Q53" s="808"/>
      <c r="R53" s="808"/>
      <c r="S53" s="808"/>
      <c r="T53" s="808"/>
      <c r="U53" s="808"/>
      <c r="V53" s="808"/>
      <c r="W53" s="808"/>
      <c r="X53" s="808"/>
      <c r="Y53" s="808"/>
      <c r="Z53" s="808"/>
      <c r="AA53" s="808"/>
      <c r="AB53" s="808"/>
      <c r="AC53" s="808"/>
      <c r="AD53" s="808"/>
      <c r="AE53" s="808"/>
      <c r="AF53" s="808"/>
      <c r="AG53" s="808"/>
      <c r="AH53" s="808"/>
      <c r="AI53" s="808"/>
      <c r="AJ53" s="808"/>
      <c r="AK53" s="461"/>
      <c r="AM53" s="1347"/>
      <c r="AO53" s="1348"/>
      <c r="AP53" s="1345"/>
      <c r="BL53" s="1346"/>
      <c r="BM53" s="1346"/>
      <c r="BO53" s="1346"/>
      <c r="BP53" s="1346"/>
      <c r="BQ53" s="1346"/>
      <c r="BR53" s="1346"/>
      <c r="BS53" s="1346"/>
      <c r="BT53" s="1346"/>
      <c r="BU53" s="1346"/>
      <c r="BV53" s="1346"/>
    </row>
    <row r="54" spans="1:74" ht="16.5" customHeight="1">
      <c r="A54" s="461"/>
      <c r="B54" s="808"/>
      <c r="C54" s="1124" t="s">
        <v>282</v>
      </c>
      <c r="D54" s="2112" t="s">
        <v>3714</v>
      </c>
      <c r="E54" s="808"/>
      <c r="F54" s="808"/>
      <c r="G54" s="808"/>
      <c r="H54" s="808"/>
      <c r="I54" s="808"/>
      <c r="J54" s="808"/>
      <c r="K54" s="808"/>
      <c r="L54" s="808"/>
      <c r="M54" s="808"/>
      <c r="N54" s="808"/>
      <c r="O54" s="808"/>
      <c r="P54" s="808"/>
      <c r="Q54" s="808"/>
      <c r="R54" s="808"/>
      <c r="S54" s="808"/>
      <c r="T54" s="808"/>
      <c r="U54" s="808"/>
      <c r="V54" s="808"/>
      <c r="W54" s="808"/>
      <c r="X54" s="808"/>
      <c r="Y54" s="808"/>
      <c r="Z54" s="808"/>
      <c r="AA54" s="808"/>
      <c r="AB54" s="808"/>
      <c r="AC54" s="808"/>
      <c r="AD54" s="808"/>
      <c r="AE54" s="808"/>
      <c r="AF54" s="808"/>
      <c r="AG54" s="808"/>
      <c r="AH54" s="808"/>
      <c r="AI54" s="808"/>
      <c r="AJ54" s="808"/>
      <c r="AK54" s="461"/>
      <c r="AO54" s="1348"/>
      <c r="AP54" s="1345"/>
      <c r="BL54" s="1346"/>
      <c r="BM54" s="1346"/>
      <c r="BO54" s="1346"/>
      <c r="BP54" s="1346"/>
      <c r="BQ54" s="1346"/>
      <c r="BR54" s="1346"/>
      <c r="BS54" s="1346"/>
      <c r="BT54" s="1346"/>
      <c r="BU54" s="1346"/>
      <c r="BV54" s="1346"/>
    </row>
    <row r="55" spans="1:74" ht="16.5" customHeight="1">
      <c r="A55" s="461"/>
      <c r="B55" s="808"/>
      <c r="C55" s="808"/>
      <c r="D55" s="2952" t="s">
        <v>3715</v>
      </c>
      <c r="E55" s="808"/>
      <c r="F55" s="808"/>
      <c r="G55" s="808"/>
      <c r="H55" s="808"/>
      <c r="I55" s="808"/>
      <c r="J55" s="808"/>
      <c r="K55" s="808"/>
      <c r="L55" s="808"/>
      <c r="M55" s="808"/>
      <c r="N55" s="808"/>
      <c r="O55" s="808"/>
      <c r="P55" s="808"/>
      <c r="Q55" s="808"/>
      <c r="R55" s="808"/>
      <c r="S55" s="808"/>
      <c r="T55" s="808"/>
      <c r="U55" s="808"/>
      <c r="V55" s="808"/>
      <c r="W55" s="808"/>
      <c r="X55" s="808"/>
      <c r="Y55" s="808"/>
      <c r="Z55" s="808"/>
      <c r="AA55" s="808"/>
      <c r="AB55" s="808"/>
      <c r="AC55" s="808"/>
      <c r="AD55" s="808"/>
      <c r="AE55" s="808"/>
      <c r="AF55" s="808"/>
      <c r="AG55" s="808"/>
      <c r="AH55" s="808"/>
      <c r="AI55" s="808"/>
      <c r="AJ55" s="808"/>
      <c r="AK55" s="461"/>
      <c r="AO55" s="1345"/>
      <c r="AP55" s="1333"/>
      <c r="BL55" s="1346"/>
      <c r="BM55" s="1346"/>
      <c r="BO55" s="1346"/>
      <c r="BP55" s="1346"/>
      <c r="BQ55" s="1346"/>
      <c r="BR55" s="1346"/>
      <c r="BS55" s="1346"/>
      <c r="BT55" s="1346"/>
      <c r="BU55" s="1346"/>
      <c r="BV55" s="1346"/>
    </row>
    <row r="56" spans="1:74" ht="35.25" customHeight="1" thickBot="1">
      <c r="A56" s="461"/>
      <c r="B56" s="8758" t="s">
        <v>3716</v>
      </c>
      <c r="C56" s="8759"/>
      <c r="D56" s="8759"/>
      <c r="E56" s="8760"/>
      <c r="F56" s="8758" t="s">
        <v>3717</v>
      </c>
      <c r="G56" s="8759"/>
      <c r="H56" s="8759"/>
      <c r="I56" s="8760"/>
      <c r="J56" s="8758" t="s">
        <v>3718</v>
      </c>
      <c r="K56" s="8759"/>
      <c r="L56" s="8759"/>
      <c r="M56" s="8760"/>
      <c r="N56" s="8761" t="s">
        <v>3719</v>
      </c>
      <c r="O56" s="8759"/>
      <c r="P56" s="8759"/>
      <c r="Q56" s="8759"/>
      <c r="R56" s="8762"/>
      <c r="S56" s="8763" t="s">
        <v>3720</v>
      </c>
      <c r="T56" s="8764"/>
      <c r="U56" s="8764"/>
      <c r="V56" s="8765"/>
      <c r="W56" s="8758" t="s">
        <v>3717</v>
      </c>
      <c r="X56" s="8759"/>
      <c r="Y56" s="8759"/>
      <c r="Z56" s="8760"/>
      <c r="AA56" s="8758" t="s">
        <v>3718</v>
      </c>
      <c r="AB56" s="8759"/>
      <c r="AC56" s="8759"/>
      <c r="AD56" s="8760"/>
      <c r="AE56" s="8761" t="s">
        <v>3719</v>
      </c>
      <c r="AF56" s="8759"/>
      <c r="AG56" s="8759"/>
      <c r="AH56" s="8759"/>
      <c r="AI56" s="8759"/>
      <c r="AJ56" s="8759"/>
      <c r="AK56" s="461"/>
      <c r="AM56" s="1376" t="s">
        <v>867</v>
      </c>
      <c r="AO56" s="1376" t="s">
        <v>867</v>
      </c>
      <c r="AP56" s="1349"/>
      <c r="BL56" s="1346"/>
      <c r="BM56" s="1346"/>
      <c r="BO56" s="1346"/>
      <c r="BP56" s="1346"/>
      <c r="BQ56" s="1346"/>
      <c r="BR56" s="1346"/>
      <c r="BS56" s="1346"/>
      <c r="BT56" s="1346"/>
      <c r="BU56" s="1346"/>
      <c r="BV56" s="1346"/>
    </row>
    <row r="57" spans="1:74" ht="14.25" customHeight="1" thickBot="1">
      <c r="A57" s="461"/>
      <c r="B57" s="8703"/>
      <c r="C57" s="8701"/>
      <c r="D57" s="8701"/>
      <c r="E57" s="8701"/>
      <c r="F57" s="8700"/>
      <c r="G57" s="8701"/>
      <c r="H57" s="8701"/>
      <c r="I57" s="8702"/>
      <c r="J57" s="8704" t="str">
        <f>IF(AM57&lt;&gt;"",ROUND(AM57,0),IF(OR(B57="",F57=""),"",F57-B57))</f>
        <v/>
      </c>
      <c r="K57" s="8705"/>
      <c r="L57" s="8705"/>
      <c r="M57" s="8706"/>
      <c r="N57" s="8707"/>
      <c r="O57" s="8708"/>
      <c r="P57" s="8708"/>
      <c r="Q57" s="8708"/>
      <c r="R57" s="8709"/>
      <c r="S57" s="8710"/>
      <c r="T57" s="8711"/>
      <c r="U57" s="8711"/>
      <c r="V57" s="8712"/>
      <c r="W57" s="8700"/>
      <c r="X57" s="8701"/>
      <c r="Y57" s="8701"/>
      <c r="Z57" s="8702"/>
      <c r="AA57" s="8704" t="str">
        <f>IF(AO57&lt;&gt;"",ROUND(AO57,0),IF(OR(S57="",W57=""),"",W57-S57))</f>
        <v/>
      </c>
      <c r="AB57" s="8705"/>
      <c r="AC57" s="8705"/>
      <c r="AD57" s="8706"/>
      <c r="AE57" s="8707"/>
      <c r="AF57" s="8708"/>
      <c r="AG57" s="8708"/>
      <c r="AH57" s="8708"/>
      <c r="AI57" s="8708"/>
      <c r="AJ57" s="8713"/>
      <c r="AK57" s="461"/>
      <c r="AM57" s="1432"/>
      <c r="AO57" s="1432"/>
      <c r="AP57" s="1349"/>
      <c r="BL57" s="1346"/>
      <c r="BM57" s="1346"/>
      <c r="BO57" s="1346"/>
      <c r="BP57" s="1346"/>
      <c r="BQ57" s="1346"/>
      <c r="BR57" s="1346"/>
      <c r="BS57" s="1346"/>
      <c r="BT57" s="1346"/>
      <c r="BU57" s="1346"/>
      <c r="BV57" s="1346"/>
    </row>
    <row r="58" spans="1:74" ht="14.25" customHeight="1" thickBot="1">
      <c r="A58" s="461"/>
      <c r="B58" s="8703"/>
      <c r="C58" s="8701"/>
      <c r="D58" s="8701"/>
      <c r="E58" s="8701"/>
      <c r="F58" s="8700"/>
      <c r="G58" s="8701"/>
      <c r="H58" s="8701"/>
      <c r="I58" s="8702"/>
      <c r="J58" s="8704" t="str">
        <f>IF(AM58&lt;&gt;"",ROUND(AM58,0),IF(OR(B58="",F58=""),"",F58-B58))</f>
        <v/>
      </c>
      <c r="K58" s="8705"/>
      <c r="L58" s="8705"/>
      <c r="M58" s="8706"/>
      <c r="N58" s="8707"/>
      <c r="O58" s="8708"/>
      <c r="P58" s="8708"/>
      <c r="Q58" s="8708"/>
      <c r="R58" s="8709"/>
      <c r="S58" s="8710"/>
      <c r="T58" s="8711"/>
      <c r="U58" s="8711"/>
      <c r="V58" s="8712"/>
      <c r="W58" s="8700"/>
      <c r="X58" s="8701"/>
      <c r="Y58" s="8701"/>
      <c r="Z58" s="8702"/>
      <c r="AA58" s="8704" t="str">
        <f>IF(AO58&lt;&gt;"",ROUND(AO58,0),IF(OR(S58="",W58=""),"",W58-S58))</f>
        <v/>
      </c>
      <c r="AB58" s="8705"/>
      <c r="AC58" s="8705"/>
      <c r="AD58" s="8706"/>
      <c r="AE58" s="8707"/>
      <c r="AF58" s="8708"/>
      <c r="AG58" s="8708"/>
      <c r="AH58" s="8708"/>
      <c r="AI58" s="8708"/>
      <c r="AJ58" s="8713"/>
      <c r="AK58" s="461"/>
      <c r="AM58" s="1432"/>
      <c r="AO58" s="1432"/>
      <c r="AP58" s="1349"/>
      <c r="BL58" s="1346"/>
      <c r="BM58" s="1346"/>
      <c r="BO58" s="1346"/>
      <c r="BP58" s="1346"/>
      <c r="BQ58" s="1346"/>
      <c r="BR58" s="1346"/>
      <c r="BS58" s="1346"/>
      <c r="BT58" s="1346"/>
      <c r="BU58" s="1346"/>
      <c r="BV58" s="1346"/>
    </row>
    <row r="59" spans="1:74" ht="14.25" customHeight="1" thickBot="1">
      <c r="A59" s="461"/>
      <c r="B59" s="8703"/>
      <c r="C59" s="8701"/>
      <c r="D59" s="8701"/>
      <c r="E59" s="8701"/>
      <c r="F59" s="8700"/>
      <c r="G59" s="8701"/>
      <c r="H59" s="8701"/>
      <c r="I59" s="8702"/>
      <c r="J59" s="8704" t="str">
        <f>IF(AM59&lt;&gt;"",ROUND(AM59,0),IF(OR(B59="",F59=""),"",F59-B59))</f>
        <v/>
      </c>
      <c r="K59" s="8705"/>
      <c r="L59" s="8705"/>
      <c r="M59" s="8706"/>
      <c r="N59" s="8707"/>
      <c r="O59" s="8708"/>
      <c r="P59" s="8708"/>
      <c r="Q59" s="8708"/>
      <c r="R59" s="8709"/>
      <c r="S59" s="8710"/>
      <c r="T59" s="8711"/>
      <c r="U59" s="8711"/>
      <c r="V59" s="8712"/>
      <c r="W59" s="8700"/>
      <c r="X59" s="8701"/>
      <c r="Y59" s="8701"/>
      <c r="Z59" s="8702"/>
      <c r="AA59" s="8704" t="str">
        <f>IF(AO59&lt;&gt;"",ROUND(AO59,0),IF(OR(S59="",W59=""),"",W59-S59))</f>
        <v/>
      </c>
      <c r="AB59" s="8705"/>
      <c r="AC59" s="8705"/>
      <c r="AD59" s="8706"/>
      <c r="AE59" s="8707"/>
      <c r="AF59" s="8708"/>
      <c r="AG59" s="8708"/>
      <c r="AH59" s="8708"/>
      <c r="AI59" s="8708"/>
      <c r="AJ59" s="8713"/>
      <c r="AK59" s="461"/>
      <c r="AM59" s="1432"/>
      <c r="AO59" s="1432"/>
      <c r="AP59" s="1349"/>
      <c r="BL59" s="1346"/>
      <c r="BM59" s="1346"/>
      <c r="BO59" s="1346"/>
      <c r="BP59" s="1346"/>
      <c r="BQ59" s="1346"/>
      <c r="BR59" s="1346"/>
      <c r="BS59" s="1346"/>
      <c r="BT59" s="1346"/>
      <c r="BU59" s="1346"/>
      <c r="BV59" s="1346"/>
    </row>
    <row r="60" spans="1:74" ht="14.25" customHeight="1" thickBot="1">
      <c r="A60" s="461"/>
      <c r="B60" s="8703"/>
      <c r="C60" s="8701"/>
      <c r="D60" s="8701"/>
      <c r="E60" s="8701"/>
      <c r="F60" s="8700"/>
      <c r="G60" s="8701"/>
      <c r="H60" s="8701"/>
      <c r="I60" s="8702"/>
      <c r="J60" s="8704" t="str">
        <f>IF(AM60&lt;&gt;"",ROUND(AM60,0),IF(OR(B60="",F60=""),"",F60-B60))</f>
        <v/>
      </c>
      <c r="K60" s="8705"/>
      <c r="L60" s="8705"/>
      <c r="M60" s="8706"/>
      <c r="N60" s="8707"/>
      <c r="O60" s="8708"/>
      <c r="P60" s="8708"/>
      <c r="Q60" s="8708"/>
      <c r="R60" s="8709"/>
      <c r="S60" s="8710"/>
      <c r="T60" s="8711"/>
      <c r="U60" s="8711"/>
      <c r="V60" s="8712"/>
      <c r="W60" s="8700"/>
      <c r="X60" s="8701"/>
      <c r="Y60" s="8701"/>
      <c r="Z60" s="8702"/>
      <c r="AA60" s="8704" t="str">
        <f>IF(AO60&lt;&gt;"",ROUND(AO60,0),IF(OR(S60="",W60=""),"",W60-S60))</f>
        <v/>
      </c>
      <c r="AB60" s="8705"/>
      <c r="AC60" s="8705"/>
      <c r="AD60" s="8706"/>
      <c r="AE60" s="8707"/>
      <c r="AF60" s="8708"/>
      <c r="AG60" s="8708"/>
      <c r="AH60" s="8708"/>
      <c r="AI60" s="8708"/>
      <c r="AJ60" s="8713"/>
      <c r="AK60" s="461"/>
      <c r="AM60" s="1432"/>
      <c r="AO60" s="1432"/>
      <c r="AP60" s="1349"/>
      <c r="BL60" s="1346"/>
      <c r="BM60" s="1346"/>
      <c r="BO60" s="1346"/>
      <c r="BP60" s="1346"/>
      <c r="BQ60" s="1346"/>
      <c r="BR60" s="1346"/>
      <c r="BS60" s="1346"/>
      <c r="BT60" s="1346"/>
      <c r="BU60" s="1346"/>
      <c r="BV60" s="1346"/>
    </row>
    <row r="61" spans="1:74" ht="14.25" customHeight="1">
      <c r="A61" s="461"/>
      <c r="B61" s="808"/>
      <c r="C61" s="1362" t="s">
        <v>3721</v>
      </c>
      <c r="D61" s="892" t="s">
        <v>3722</v>
      </c>
      <c r="E61" s="808"/>
      <c r="F61" s="808"/>
      <c r="G61" s="808"/>
      <c r="H61" s="808"/>
      <c r="I61" s="808"/>
      <c r="J61" s="808"/>
      <c r="K61" s="808"/>
      <c r="L61" s="808"/>
      <c r="M61" s="808"/>
      <c r="N61" s="808"/>
      <c r="O61" s="808"/>
      <c r="P61" s="808"/>
      <c r="Q61" s="808"/>
      <c r="R61" s="808"/>
      <c r="S61" s="808"/>
      <c r="T61" s="808"/>
      <c r="U61" s="808"/>
      <c r="V61" s="808"/>
      <c r="W61" s="808"/>
      <c r="X61" s="808"/>
      <c r="Y61" s="808"/>
      <c r="Z61" s="808"/>
      <c r="AA61" s="8695"/>
      <c r="AB61" s="8695"/>
      <c r="AC61" s="8695"/>
      <c r="AD61" s="8695"/>
      <c r="AE61" s="8695"/>
      <c r="AF61" s="8695"/>
      <c r="AG61" s="8695"/>
      <c r="AH61" s="8695"/>
      <c r="AI61" s="8695"/>
      <c r="AJ61" s="8695"/>
      <c r="AK61" s="461"/>
      <c r="AO61" s="1345"/>
      <c r="AP61" s="1349"/>
      <c r="BL61" s="1346"/>
      <c r="BM61" s="1346"/>
      <c r="BO61" s="1346"/>
      <c r="BP61" s="1346"/>
      <c r="BQ61" s="1346"/>
      <c r="BR61" s="1346"/>
      <c r="BS61" s="1346"/>
      <c r="BT61" s="1346"/>
      <c r="BU61" s="1346"/>
      <c r="BV61" s="1346"/>
    </row>
    <row r="62" spans="1:74" ht="14.25" customHeight="1">
      <c r="A62" s="461"/>
      <c r="B62" s="808"/>
      <c r="C62" s="808"/>
      <c r="D62" s="8750"/>
      <c r="E62" s="8751"/>
      <c r="F62" s="8751"/>
      <c r="G62" s="8751"/>
      <c r="H62" s="8751"/>
      <c r="I62" s="8751"/>
      <c r="J62" s="8751"/>
      <c r="K62" s="8751"/>
      <c r="L62" s="8751"/>
      <c r="M62" s="8751"/>
      <c r="N62" s="8751"/>
      <c r="O62" s="8751"/>
      <c r="P62" s="8751"/>
      <c r="Q62" s="8751"/>
      <c r="R62" s="8751"/>
      <c r="S62" s="8751"/>
      <c r="T62" s="8751"/>
      <c r="U62" s="8751"/>
      <c r="V62" s="8751"/>
      <c r="W62" s="8751"/>
      <c r="X62" s="8751"/>
      <c r="Y62" s="8751"/>
      <c r="Z62" s="8751"/>
      <c r="AA62" s="8751"/>
      <c r="AB62" s="8751"/>
      <c r="AC62" s="8751"/>
      <c r="AD62" s="8751"/>
      <c r="AE62" s="8751"/>
      <c r="AF62" s="8751"/>
      <c r="AG62" s="8751"/>
      <c r="AH62" s="8751"/>
      <c r="AI62" s="8751"/>
      <c r="AJ62" s="8751"/>
      <c r="AK62" s="461"/>
      <c r="AO62" s="1345"/>
      <c r="AP62" s="1349"/>
      <c r="BL62" s="1346"/>
      <c r="BM62" s="1346"/>
      <c r="BO62" s="1346"/>
      <c r="BP62" s="1346"/>
      <c r="BQ62" s="1346"/>
      <c r="BR62" s="1346"/>
      <c r="BS62" s="1346"/>
      <c r="BT62" s="1346"/>
      <c r="BU62" s="1346"/>
      <c r="BV62" s="1346"/>
    </row>
    <row r="63" spans="1:74" ht="14.25" customHeight="1">
      <c r="A63" s="461"/>
      <c r="B63" s="808"/>
      <c r="C63" s="1362" t="s">
        <v>2392</v>
      </c>
      <c r="D63" s="892" t="s">
        <v>3723</v>
      </c>
      <c r="E63" s="808"/>
      <c r="F63" s="808"/>
      <c r="G63" s="808"/>
      <c r="H63" s="808"/>
      <c r="I63" s="808"/>
      <c r="J63" s="808"/>
      <c r="K63" s="808"/>
      <c r="L63" s="808"/>
      <c r="M63" s="808"/>
      <c r="N63" s="808"/>
      <c r="O63" s="808"/>
      <c r="P63" s="808"/>
      <c r="Q63" s="808"/>
      <c r="R63" s="808"/>
      <c r="S63" s="808"/>
      <c r="T63" s="8726"/>
      <c r="U63" s="8739"/>
      <c r="V63" s="8739"/>
      <c r="W63" s="8739"/>
      <c r="X63" s="8739"/>
      <c r="Y63" s="8739"/>
      <c r="Z63" s="8739"/>
      <c r="AA63" s="8739"/>
      <c r="AB63" s="8739"/>
      <c r="AC63" s="8739"/>
      <c r="AD63" s="8739"/>
      <c r="AE63" s="8739"/>
      <c r="AF63" s="8739"/>
      <c r="AG63" s="8739"/>
      <c r="AH63" s="8739"/>
      <c r="AI63" s="8739"/>
      <c r="AJ63" s="8739"/>
      <c r="AK63" s="461"/>
      <c r="AO63" s="1345"/>
      <c r="AP63" s="1349"/>
      <c r="BL63" s="1346"/>
      <c r="BM63" s="1346"/>
      <c r="BO63" s="1346"/>
      <c r="BP63" s="1346"/>
      <c r="BQ63" s="1346"/>
      <c r="BR63" s="1346"/>
      <c r="BS63" s="1346"/>
      <c r="BT63" s="1346"/>
      <c r="BU63" s="1346"/>
      <c r="BV63" s="1346"/>
    </row>
    <row r="64" spans="1:74" ht="5.25" customHeight="1" thickBot="1">
      <c r="A64" s="461"/>
      <c r="B64" s="808"/>
      <c r="C64" s="808"/>
      <c r="D64" s="808"/>
      <c r="E64" s="808"/>
      <c r="F64" s="808"/>
      <c r="G64" s="808"/>
      <c r="H64" s="808"/>
      <c r="I64" s="808"/>
      <c r="J64" s="808"/>
      <c r="K64" s="808"/>
      <c r="L64" s="808"/>
      <c r="M64" s="808"/>
      <c r="N64" s="808"/>
      <c r="O64" s="808"/>
      <c r="P64" s="808"/>
      <c r="Q64" s="808"/>
      <c r="R64" s="808"/>
      <c r="S64" s="808"/>
      <c r="T64" s="808"/>
      <c r="U64" s="808"/>
      <c r="V64" s="808"/>
      <c r="W64" s="808"/>
      <c r="X64" s="808"/>
      <c r="Y64" s="808"/>
      <c r="Z64" s="808"/>
      <c r="AA64" s="808"/>
      <c r="AB64" s="808"/>
      <c r="AC64" s="808"/>
      <c r="AD64" s="808"/>
      <c r="AE64" s="808"/>
      <c r="AF64" s="808"/>
      <c r="AG64" s="808"/>
      <c r="AH64" s="808"/>
      <c r="AI64" s="808"/>
      <c r="AJ64" s="808"/>
      <c r="AK64" s="461"/>
      <c r="BL64" s="1346"/>
      <c r="BM64" s="1346"/>
      <c r="BO64" s="1346"/>
      <c r="BP64" s="1346"/>
      <c r="BQ64" s="1346"/>
      <c r="BR64" s="1346"/>
      <c r="BS64" s="1346"/>
      <c r="BT64" s="1346"/>
      <c r="BU64" s="1346"/>
      <c r="BV64" s="1346"/>
    </row>
    <row r="65" spans="1:74" ht="13.5" customHeight="1" thickBot="1">
      <c r="A65" s="461"/>
      <c r="B65" s="808"/>
      <c r="C65" s="1362" t="s">
        <v>2394</v>
      </c>
      <c r="D65" s="2112" t="s">
        <v>3724</v>
      </c>
      <c r="E65" s="808"/>
      <c r="F65" s="808"/>
      <c r="G65" s="808"/>
      <c r="H65" s="808"/>
      <c r="I65" s="808"/>
      <c r="J65" s="808"/>
      <c r="K65" s="808"/>
      <c r="L65" s="808"/>
      <c r="M65" s="808"/>
      <c r="N65" s="808"/>
      <c r="O65" s="808"/>
      <c r="P65" s="808"/>
      <c r="Q65" s="808"/>
      <c r="R65" s="808"/>
      <c r="S65" s="808"/>
      <c r="T65" s="808"/>
      <c r="U65" s="808"/>
      <c r="V65" s="808"/>
      <c r="W65" s="808"/>
      <c r="X65" s="808"/>
      <c r="Y65" s="808"/>
      <c r="Z65" s="808"/>
      <c r="AA65" s="808"/>
      <c r="AB65" s="808"/>
      <c r="AC65" s="808"/>
      <c r="AD65" s="859" t="s">
        <v>2734</v>
      </c>
      <c r="AE65" s="810"/>
      <c r="AF65" s="892" t="s">
        <v>608</v>
      </c>
      <c r="AG65" s="808"/>
      <c r="AH65" s="810"/>
      <c r="AI65" s="892" t="s">
        <v>609</v>
      </c>
      <c r="AJ65" s="808"/>
      <c r="AK65" s="461"/>
      <c r="AO65" s="1345"/>
      <c r="AP65" s="1349"/>
      <c r="BL65" s="1346"/>
      <c r="BM65" s="1346"/>
      <c r="BO65" s="1346"/>
      <c r="BP65" s="1346"/>
      <c r="BQ65" s="1346"/>
      <c r="BR65" s="1346"/>
      <c r="BS65" s="1346"/>
      <c r="BT65" s="1346"/>
      <c r="BU65" s="1346"/>
      <c r="BV65" s="1346"/>
    </row>
    <row r="66" spans="1:74" ht="3.75" customHeight="1" thickBot="1">
      <c r="A66" s="461"/>
      <c r="B66" s="808"/>
      <c r="C66" s="1362"/>
      <c r="D66" s="808"/>
      <c r="E66" s="808"/>
      <c r="F66" s="808"/>
      <c r="G66" s="808"/>
      <c r="H66" s="808"/>
      <c r="I66" s="808"/>
      <c r="J66" s="808"/>
      <c r="K66" s="808"/>
      <c r="L66" s="808"/>
      <c r="M66" s="808"/>
      <c r="N66" s="808"/>
      <c r="O66" s="808"/>
      <c r="P66" s="808"/>
      <c r="Q66" s="808"/>
      <c r="R66" s="808"/>
      <c r="S66" s="808"/>
      <c r="T66" s="808"/>
      <c r="U66" s="808"/>
      <c r="V66" s="808"/>
      <c r="W66" s="808"/>
      <c r="X66" s="808"/>
      <c r="Y66" s="808"/>
      <c r="Z66" s="808"/>
      <c r="AA66" s="808"/>
      <c r="AB66" s="808"/>
      <c r="AC66" s="808"/>
      <c r="AD66" s="808"/>
      <c r="AE66" s="1367"/>
      <c r="AF66" s="892"/>
      <c r="AG66" s="808"/>
      <c r="AH66" s="1367"/>
      <c r="AI66" s="892"/>
      <c r="AJ66" s="808"/>
      <c r="AK66" s="461"/>
      <c r="AO66" s="1345"/>
      <c r="AP66" s="1349"/>
      <c r="BL66" s="1346"/>
      <c r="BM66" s="1346"/>
      <c r="BO66" s="1346"/>
      <c r="BP66" s="1346"/>
      <c r="BQ66" s="1346"/>
      <c r="BR66" s="1346"/>
      <c r="BS66" s="1346"/>
      <c r="BT66" s="1346"/>
      <c r="BU66" s="1346"/>
      <c r="BV66" s="1346"/>
    </row>
    <row r="67" spans="1:74" ht="13.5" customHeight="1" thickBot="1">
      <c r="A67" s="461"/>
      <c r="B67" s="808"/>
      <c r="C67" s="1362" t="s">
        <v>652</v>
      </c>
      <c r="D67" s="2112" t="s">
        <v>3725</v>
      </c>
      <c r="E67" s="808"/>
      <c r="F67" s="808"/>
      <c r="G67" s="808"/>
      <c r="H67" s="808"/>
      <c r="I67" s="808"/>
      <c r="J67" s="808"/>
      <c r="K67" s="808"/>
      <c r="L67" s="808"/>
      <c r="M67" s="808"/>
      <c r="N67" s="808"/>
      <c r="O67" s="808"/>
      <c r="P67" s="808"/>
      <c r="Q67" s="808"/>
      <c r="R67" s="808"/>
      <c r="S67" s="808"/>
      <c r="T67" s="808"/>
      <c r="U67" s="808"/>
      <c r="V67" s="808"/>
      <c r="W67" s="808"/>
      <c r="X67" s="808"/>
      <c r="Y67" s="808"/>
      <c r="Z67" s="808"/>
      <c r="AA67" s="808"/>
      <c r="AB67" s="808"/>
      <c r="AC67" s="808"/>
      <c r="AD67" s="859" t="s">
        <v>2521</v>
      </c>
      <c r="AE67" s="810"/>
      <c r="AF67" s="892" t="s">
        <v>608</v>
      </c>
      <c r="AG67" s="808"/>
      <c r="AH67" s="810"/>
      <c r="AI67" s="892" t="s">
        <v>609</v>
      </c>
      <c r="AJ67" s="808"/>
      <c r="AK67" s="461"/>
      <c r="AO67" s="1346"/>
      <c r="AP67" s="1346"/>
      <c r="BL67" s="1346"/>
      <c r="BM67" s="1346"/>
      <c r="BO67" s="1346"/>
      <c r="BP67" s="1346"/>
      <c r="BQ67" s="1346"/>
      <c r="BR67" s="1346"/>
      <c r="BS67" s="1346"/>
      <c r="BT67" s="1346"/>
      <c r="BU67" s="1346"/>
      <c r="BV67" s="1346"/>
    </row>
    <row r="68" spans="1:74" ht="14.25" customHeight="1">
      <c r="A68" s="461"/>
      <c r="B68" s="808"/>
      <c r="C68" s="1362" t="s">
        <v>656</v>
      </c>
      <c r="D68" s="2112" t="s">
        <v>3726</v>
      </c>
      <c r="E68" s="808"/>
      <c r="F68" s="808"/>
      <c r="G68" s="808"/>
      <c r="H68" s="808"/>
      <c r="I68" s="808"/>
      <c r="J68" s="808"/>
      <c r="K68" s="808"/>
      <c r="L68" s="808"/>
      <c r="M68" s="808"/>
      <c r="N68" s="808"/>
      <c r="O68" s="808"/>
      <c r="P68" s="808"/>
      <c r="Q68" s="808"/>
      <c r="R68" s="808"/>
      <c r="S68" s="808"/>
      <c r="T68" s="808"/>
      <c r="U68" s="808"/>
      <c r="V68" s="808"/>
      <c r="W68" s="808"/>
      <c r="X68" s="808"/>
      <c r="Y68" s="808"/>
      <c r="Z68" s="808"/>
      <c r="AA68" s="808"/>
      <c r="AB68" s="808"/>
      <c r="AC68" s="808"/>
      <c r="AD68" s="808"/>
      <c r="AE68" s="808"/>
      <c r="AF68" s="808"/>
      <c r="AG68" s="808"/>
      <c r="AH68" s="808"/>
      <c r="AI68" s="808"/>
      <c r="AJ68" s="808"/>
      <c r="AK68" s="461"/>
      <c r="AO68" s="1346"/>
      <c r="AP68" s="1346"/>
      <c r="BL68" s="1346"/>
      <c r="BM68" s="1346"/>
      <c r="BO68" s="1346"/>
      <c r="BP68" s="1346"/>
      <c r="BQ68" s="1346"/>
      <c r="BR68" s="1346"/>
      <c r="BS68" s="1346"/>
      <c r="BT68" s="1346"/>
      <c r="BU68" s="1346"/>
      <c r="BV68" s="1346"/>
    </row>
    <row r="69" spans="1:74" ht="14.25" customHeight="1">
      <c r="A69" s="461"/>
      <c r="B69" s="808"/>
      <c r="C69" s="1362"/>
      <c r="D69" s="2112" t="s">
        <v>3594</v>
      </c>
      <c r="E69" s="808"/>
      <c r="F69" s="808"/>
      <c r="G69" s="8836"/>
      <c r="H69" s="8803"/>
      <c r="I69" s="8803"/>
      <c r="J69" s="8803"/>
      <c r="K69" s="8803"/>
      <c r="L69" s="8803"/>
      <c r="M69" s="8803"/>
      <c r="N69" s="8803"/>
      <c r="O69" s="8803"/>
      <c r="P69" s="8803"/>
      <c r="Q69" s="8803"/>
      <c r="R69" s="8803"/>
      <c r="S69" s="8803"/>
      <c r="T69" s="8803"/>
      <c r="U69" s="8803"/>
      <c r="V69" s="8803"/>
      <c r="W69" s="8803"/>
      <c r="X69" s="8803"/>
      <c r="Y69" s="8803"/>
      <c r="Z69" s="8803"/>
      <c r="AA69" s="8803"/>
      <c r="AB69" s="8803"/>
      <c r="AC69" s="8803"/>
      <c r="AD69" s="8803"/>
      <c r="AE69" s="8803"/>
      <c r="AF69" s="8803"/>
      <c r="AG69" s="8803"/>
      <c r="AH69" s="8803"/>
      <c r="AI69" s="8803"/>
      <c r="AJ69" s="8803"/>
      <c r="AK69" s="461"/>
      <c r="AO69" s="1350"/>
      <c r="AP69" s="1350"/>
      <c r="BL69" s="1346"/>
      <c r="BM69" s="1346"/>
      <c r="BO69" s="1346"/>
      <c r="BP69" s="1346"/>
      <c r="BQ69" s="1346"/>
      <c r="BR69" s="1346"/>
      <c r="BS69" s="1346"/>
      <c r="BT69" s="1346"/>
      <c r="BU69" s="1346"/>
      <c r="BV69" s="1346"/>
    </row>
    <row r="70" spans="1:74" ht="15">
      <c r="A70" s="461"/>
      <c r="B70" s="808"/>
      <c r="C70" s="808"/>
      <c r="D70" s="8836"/>
      <c r="E70" s="8803"/>
      <c r="F70" s="8803"/>
      <c r="G70" s="8803"/>
      <c r="H70" s="8803"/>
      <c r="I70" s="8803"/>
      <c r="J70" s="8803"/>
      <c r="K70" s="8803"/>
      <c r="L70" s="8803"/>
      <c r="M70" s="8803"/>
      <c r="N70" s="8803"/>
      <c r="O70" s="8803"/>
      <c r="P70" s="8803"/>
      <c r="Q70" s="8803"/>
      <c r="R70" s="8803"/>
      <c r="S70" s="8803"/>
      <c r="T70" s="8803"/>
      <c r="U70" s="8803"/>
      <c r="V70" s="8803"/>
      <c r="W70" s="8803"/>
      <c r="X70" s="8803"/>
      <c r="Y70" s="8803"/>
      <c r="Z70" s="8803"/>
      <c r="AA70" s="8803"/>
      <c r="AB70" s="8803"/>
      <c r="AC70" s="8803"/>
      <c r="AD70" s="8803"/>
      <c r="AE70" s="8803"/>
      <c r="AF70" s="8803"/>
      <c r="AG70" s="8803"/>
      <c r="AH70" s="8803"/>
      <c r="AI70" s="8803"/>
      <c r="AJ70" s="8803"/>
      <c r="AK70" s="461"/>
      <c r="AM70" s="1336"/>
      <c r="AN70" s="1336"/>
      <c r="AO70" s="1352"/>
      <c r="AP70" s="1353"/>
      <c r="BL70" s="1346"/>
      <c r="BM70" s="1346"/>
      <c r="BO70" s="1346"/>
      <c r="BP70" s="1346"/>
      <c r="BQ70" s="1346"/>
      <c r="BR70" s="1346"/>
      <c r="BS70" s="1346"/>
      <c r="BT70" s="1346"/>
      <c r="BU70" s="1346"/>
      <c r="BV70" s="1346"/>
    </row>
    <row r="71" spans="1:74" ht="18.75" customHeight="1">
      <c r="A71" s="461"/>
      <c r="B71" s="23" t="s">
        <v>3727</v>
      </c>
      <c r="C71" s="61"/>
      <c r="D71" s="61"/>
      <c r="E71" s="61"/>
      <c r="F71" s="61"/>
      <c r="G71" s="61"/>
      <c r="H71" s="61"/>
      <c r="I71" s="61"/>
      <c r="J71" s="61"/>
      <c r="K71" s="61"/>
      <c r="L71" s="61"/>
      <c r="M71" s="61"/>
      <c r="N71" s="61"/>
      <c r="O71" s="61"/>
      <c r="P71" s="61"/>
      <c r="Q71" s="22"/>
      <c r="R71" s="22"/>
      <c r="S71" s="22"/>
      <c r="T71" s="22"/>
      <c r="U71" s="29"/>
      <c r="V71" s="22"/>
      <c r="W71" s="29" t="s">
        <v>3728</v>
      </c>
      <c r="X71" s="22"/>
      <c r="Y71" s="22"/>
      <c r="Z71" s="22"/>
      <c r="AA71" s="22"/>
      <c r="AB71" s="22"/>
      <c r="AC71" s="22"/>
      <c r="AD71" s="22"/>
      <c r="AE71" s="22"/>
      <c r="AF71" s="22"/>
      <c r="AG71" s="22"/>
      <c r="AH71" s="705" t="s">
        <v>3729</v>
      </c>
      <c r="AI71" s="22"/>
      <c r="AJ71" s="705" t="str">
        <f>"("&amp;TaxYear&amp;")"</f>
        <v>(2023)</v>
      </c>
      <c r="AK71" s="461"/>
      <c r="AM71" s="1336"/>
      <c r="AN71" s="1336"/>
      <c r="AO71" s="1352"/>
      <c r="AP71" s="1353"/>
      <c r="BL71" s="1346"/>
      <c r="BM71" s="1346"/>
      <c r="BO71" s="1346"/>
      <c r="BP71" s="1346"/>
      <c r="BQ71" s="1346"/>
      <c r="BR71" s="1346"/>
      <c r="BS71" s="1346"/>
      <c r="BT71" s="1346"/>
      <c r="BU71" s="1346"/>
      <c r="BV71" s="1346"/>
    </row>
    <row r="72" spans="1:74" ht="18.75" thickBot="1">
      <c r="A72" s="461"/>
      <c r="B72" s="964" t="str">
        <f>"Form 2555 ("&amp;TaxYear&amp;")"</f>
        <v>Form 2555 (2023)</v>
      </c>
      <c r="C72" s="964"/>
      <c r="D72" s="964"/>
      <c r="E72" s="964"/>
      <c r="F72" s="964"/>
      <c r="G72" s="964"/>
      <c r="H72" s="964"/>
      <c r="I72" s="964"/>
      <c r="J72" s="964"/>
      <c r="K72" s="964"/>
      <c r="L72" s="964"/>
      <c r="M72" s="964"/>
      <c r="N72" s="964"/>
      <c r="O72" s="964"/>
      <c r="P72" s="964"/>
      <c r="Q72" s="964"/>
      <c r="R72" s="964"/>
      <c r="S72" s="964"/>
      <c r="T72" s="964"/>
      <c r="U72" s="964"/>
      <c r="V72" s="964"/>
      <c r="W72" s="964"/>
      <c r="X72" s="964"/>
      <c r="Y72" s="964"/>
      <c r="Z72" s="964"/>
      <c r="AA72" s="964"/>
      <c r="AB72" s="964"/>
      <c r="AC72" s="964"/>
      <c r="AD72" s="964"/>
      <c r="AE72" s="964"/>
      <c r="AF72" s="964"/>
      <c r="AG72" s="964"/>
      <c r="AH72" s="964"/>
      <c r="AI72" s="1368" t="s">
        <v>2387</v>
      </c>
      <c r="AJ72" s="1369">
        <v>2</v>
      </c>
      <c r="AK72" s="461"/>
      <c r="AO72" s="1352"/>
      <c r="AP72" s="1353"/>
      <c r="BL72" s="1346"/>
      <c r="BM72" s="1346"/>
      <c r="BO72" s="1346"/>
      <c r="BP72" s="1346"/>
      <c r="BQ72" s="1346"/>
      <c r="BR72" s="1346"/>
      <c r="BS72" s="1346"/>
      <c r="BT72" s="1346"/>
      <c r="BU72" s="1346"/>
      <c r="BV72" s="1346"/>
    </row>
    <row r="73" spans="1:74" ht="5.25" customHeight="1" thickTop="1">
      <c r="A73" s="461"/>
      <c r="B73" s="1326"/>
      <c r="C73" s="1326"/>
      <c r="D73" s="1326"/>
      <c r="E73" s="1326"/>
      <c r="F73" s="1326"/>
      <c r="G73" s="1326"/>
      <c r="H73" s="1326"/>
      <c r="I73" s="1326"/>
      <c r="J73" s="1326"/>
      <c r="K73" s="1326"/>
      <c r="L73" s="1326"/>
      <c r="M73" s="1326"/>
      <c r="N73" s="1326"/>
      <c r="O73" s="1326"/>
      <c r="P73" s="1326"/>
      <c r="Q73" s="1326"/>
      <c r="R73" s="1326"/>
      <c r="S73" s="1326"/>
      <c r="T73" s="1326"/>
      <c r="U73" s="1326"/>
      <c r="V73" s="1326"/>
      <c r="W73" s="1326"/>
      <c r="X73" s="1326"/>
      <c r="Y73" s="1326"/>
      <c r="Z73" s="1326"/>
      <c r="AA73" s="1326"/>
      <c r="AB73" s="1326"/>
      <c r="AC73" s="1326"/>
      <c r="AD73" s="1326"/>
      <c r="AE73" s="1326"/>
      <c r="AF73" s="1326"/>
      <c r="AG73" s="1326"/>
      <c r="AH73" s="1326"/>
      <c r="AI73" s="1326"/>
      <c r="AJ73" s="1326"/>
      <c r="AK73" s="461"/>
    </row>
    <row r="74" spans="1:74" ht="15" customHeight="1">
      <c r="A74" s="461"/>
      <c r="B74" s="6909" t="s">
        <v>2243</v>
      </c>
      <c r="C74" s="8699"/>
      <c r="D74" s="5055" t="s">
        <v>3730</v>
      </c>
      <c r="E74" s="1329"/>
      <c r="F74" s="1329"/>
      <c r="G74" s="1329"/>
      <c r="H74" s="1329"/>
      <c r="I74" s="1329"/>
      <c r="J74" s="1329"/>
      <c r="K74" s="1329"/>
      <c r="L74" s="1329"/>
      <c r="M74" s="1329"/>
      <c r="N74" s="1329"/>
      <c r="O74" s="1329"/>
      <c r="P74" s="1329"/>
      <c r="Q74" s="1329"/>
      <c r="R74" s="1329"/>
      <c r="S74" s="1329"/>
      <c r="T74" s="1329"/>
      <c r="U74" s="1329"/>
      <c r="V74" s="1329"/>
      <c r="W74" s="1329"/>
      <c r="X74" s="1329"/>
      <c r="Y74" s="1329"/>
      <c r="Z74" s="1329"/>
      <c r="AA74" s="1329"/>
      <c r="AB74" s="1329"/>
      <c r="AC74" s="1329"/>
      <c r="AD74" s="1329"/>
      <c r="AE74" s="1329"/>
      <c r="AF74" s="1329"/>
      <c r="AG74" s="1329"/>
      <c r="AH74" s="1329"/>
      <c r="AI74" s="1329"/>
      <c r="AJ74" s="1329"/>
      <c r="AK74" s="461"/>
    </row>
    <row r="75" spans="1:74" ht="18.75" customHeight="1">
      <c r="A75" s="461"/>
      <c r="B75" s="1330"/>
      <c r="C75" s="1330"/>
      <c r="D75" s="5056" t="s">
        <v>3731</v>
      </c>
      <c r="E75" s="1330"/>
      <c r="F75" s="1330"/>
      <c r="G75" s="1330"/>
      <c r="H75" s="1330"/>
      <c r="I75" s="1330"/>
      <c r="J75" s="1330"/>
      <c r="K75" s="1330"/>
      <c r="L75" s="1330"/>
      <c r="M75" s="1330"/>
      <c r="N75" s="1330"/>
      <c r="O75" s="1330"/>
      <c r="P75" s="1330"/>
      <c r="Q75" s="1330"/>
      <c r="R75" s="1330"/>
      <c r="S75" s="1330"/>
      <c r="T75" s="1330"/>
      <c r="U75" s="1330"/>
      <c r="V75" s="1330"/>
      <c r="W75" s="1330"/>
      <c r="X75" s="1330"/>
      <c r="Y75" s="1330"/>
      <c r="Z75" s="1330"/>
      <c r="AA75" s="1330"/>
      <c r="AB75" s="1330"/>
      <c r="AC75" s="1330"/>
      <c r="AD75" s="1330"/>
      <c r="AE75" s="1330"/>
      <c r="AF75" s="1330"/>
      <c r="AG75" s="1330"/>
      <c r="AH75" s="1330"/>
      <c r="AI75" s="1330"/>
      <c r="AJ75" s="1330"/>
      <c r="AK75" s="461"/>
    </row>
    <row r="76" spans="1:74" ht="12.75" customHeight="1">
      <c r="A76" s="461"/>
      <c r="B76" s="8696" t="s">
        <v>289</v>
      </c>
      <c r="C76" s="8696"/>
      <c r="D76" s="892" t="s">
        <v>3732</v>
      </c>
      <c r="E76" s="808"/>
      <c r="F76" s="808"/>
      <c r="G76" s="808"/>
      <c r="H76" s="808"/>
      <c r="I76" s="808"/>
      <c r="J76" s="808"/>
      <c r="K76" s="808"/>
      <c r="L76" s="808"/>
      <c r="M76" s="808"/>
      <c r="N76" s="808"/>
      <c r="O76" s="808"/>
      <c r="P76" s="808"/>
      <c r="Q76" s="808"/>
      <c r="R76" s="808"/>
      <c r="S76" s="808"/>
      <c r="T76" s="8736"/>
      <c r="U76" s="8737"/>
      <c r="V76" s="8737"/>
      <c r="W76" s="8737"/>
      <c r="X76" s="8738"/>
      <c r="Y76" s="8738"/>
      <c r="Z76" s="8738"/>
      <c r="AA76" s="808"/>
      <c r="AB76" s="1461" t="s">
        <v>3733</v>
      </c>
      <c r="AC76" s="808"/>
      <c r="AD76" s="8736"/>
      <c r="AE76" s="8737"/>
      <c r="AF76" s="8737"/>
      <c r="AG76" s="8737"/>
      <c r="AH76" s="8738"/>
      <c r="AI76" s="8738"/>
      <c r="AJ76" s="8738"/>
      <c r="AK76" s="461"/>
      <c r="AO76" s="1352"/>
      <c r="AP76" s="1353"/>
      <c r="BL76" s="1346"/>
      <c r="BM76" s="1346"/>
      <c r="BO76" s="1346"/>
      <c r="BP76" s="1346"/>
      <c r="BQ76" s="1346"/>
      <c r="BR76" s="1346"/>
      <c r="BS76" s="1346"/>
      <c r="BT76" s="1346"/>
      <c r="BU76" s="1346"/>
      <c r="BV76" s="1346"/>
    </row>
    <row r="77" spans="1:74" ht="15" customHeight="1">
      <c r="A77" s="461"/>
      <c r="B77" s="8697" t="s">
        <v>291</v>
      </c>
      <c r="C77" s="8697"/>
      <c r="D77" s="892" t="s">
        <v>3734</v>
      </c>
      <c r="E77" s="808"/>
      <c r="F77" s="808"/>
      <c r="G77" s="808"/>
      <c r="H77" s="808"/>
      <c r="I77" s="808"/>
      <c r="J77" s="808"/>
      <c r="K77" s="808"/>
      <c r="L77" s="808"/>
      <c r="M77" s="808"/>
      <c r="N77" s="808"/>
      <c r="O77" s="808"/>
      <c r="P77" s="808"/>
      <c r="Q77" s="808"/>
      <c r="R77" s="808"/>
      <c r="S77" s="8750"/>
      <c r="T77" s="8796"/>
      <c r="U77" s="8796"/>
      <c r="V77" s="8796"/>
      <c r="W77" s="8796"/>
      <c r="X77" s="8796"/>
      <c r="Y77" s="8796"/>
      <c r="Z77" s="8796"/>
      <c r="AA77" s="8796"/>
      <c r="AB77" s="8796"/>
      <c r="AC77" s="8796"/>
      <c r="AD77" s="8796"/>
      <c r="AE77" s="8796"/>
      <c r="AF77" s="8796"/>
      <c r="AG77" s="8796"/>
      <c r="AH77" s="8796"/>
      <c r="AI77" s="8796"/>
      <c r="AJ77" s="8796"/>
      <c r="AK77" s="461"/>
      <c r="AM77" s="1336"/>
      <c r="AN77" s="1336"/>
      <c r="AO77" s="1352"/>
      <c r="AP77" s="1353"/>
      <c r="BL77" s="1346"/>
      <c r="BM77" s="1346"/>
      <c r="BO77" s="1346"/>
      <c r="BP77" s="1346"/>
      <c r="BQ77" s="1346"/>
      <c r="BR77" s="1346"/>
      <c r="BS77" s="1346"/>
      <c r="BT77" s="1346"/>
      <c r="BU77" s="1346"/>
      <c r="BV77" s="1346"/>
    </row>
    <row r="78" spans="1:74" ht="18" customHeight="1">
      <c r="A78" s="461"/>
      <c r="B78" s="8697" t="s">
        <v>293</v>
      </c>
      <c r="C78" s="8697"/>
      <c r="D78" s="2112" t="s">
        <v>3735</v>
      </c>
      <c r="E78" s="808"/>
      <c r="F78" s="808"/>
      <c r="G78" s="808"/>
      <c r="H78" s="808"/>
      <c r="I78" s="808"/>
      <c r="J78" s="808"/>
      <c r="K78" s="808"/>
      <c r="L78" s="808"/>
      <c r="M78" s="808"/>
      <c r="N78" s="808"/>
      <c r="O78" s="808"/>
      <c r="P78" s="808"/>
      <c r="Q78" s="808"/>
      <c r="R78" s="808"/>
      <c r="S78" s="808"/>
      <c r="T78" s="808"/>
      <c r="U78" s="808"/>
      <c r="V78" s="808"/>
      <c r="W78" s="808"/>
      <c r="X78" s="808"/>
      <c r="Y78" s="808"/>
      <c r="Z78" s="808"/>
      <c r="AA78" s="808"/>
      <c r="AB78" s="808"/>
      <c r="AC78" s="808"/>
      <c r="AD78" s="808"/>
      <c r="AE78" s="808"/>
      <c r="AF78" s="808"/>
      <c r="AG78" s="808"/>
      <c r="AH78" s="808"/>
      <c r="AI78" s="808"/>
      <c r="AJ78" s="808"/>
      <c r="AK78" s="461"/>
      <c r="AO78" s="1352"/>
      <c r="AP78" s="1354"/>
      <c r="BL78" s="1346"/>
      <c r="BM78" s="1346"/>
      <c r="BO78" s="1346"/>
      <c r="BP78" s="1346"/>
      <c r="BQ78" s="1346"/>
      <c r="BR78" s="1346"/>
      <c r="BS78" s="1346"/>
      <c r="BT78" s="1346"/>
      <c r="BU78" s="1346"/>
      <c r="BV78" s="1346"/>
    </row>
    <row r="79" spans="1:74" ht="15.75" customHeight="1">
      <c r="A79" s="461"/>
      <c r="B79" s="808"/>
      <c r="C79" s="808"/>
      <c r="D79" s="2112" t="s">
        <v>3736</v>
      </c>
      <c r="E79" s="808"/>
      <c r="F79" s="808"/>
      <c r="G79" s="808"/>
      <c r="H79" s="808"/>
      <c r="I79" s="808"/>
      <c r="J79" s="808"/>
      <c r="K79" s="808"/>
      <c r="L79" s="808"/>
      <c r="M79" s="808"/>
      <c r="N79" s="808"/>
      <c r="O79" s="808"/>
      <c r="P79" s="808"/>
      <c r="Q79" s="808"/>
      <c r="R79" s="808"/>
      <c r="S79" s="808"/>
      <c r="T79" s="808"/>
      <c r="U79" s="808"/>
      <c r="V79" s="808"/>
      <c r="W79" s="808"/>
      <c r="X79" s="808"/>
      <c r="Y79" s="808"/>
      <c r="Z79" s="808"/>
      <c r="AA79" s="808"/>
      <c r="AB79" s="808"/>
      <c r="AC79" s="808"/>
      <c r="AD79" s="808"/>
      <c r="AE79" s="808"/>
      <c r="AF79" s="808"/>
      <c r="AG79" s="808"/>
      <c r="AH79" s="808"/>
      <c r="AI79" s="808"/>
      <c r="AJ79" s="808"/>
      <c r="AK79" s="461"/>
      <c r="AM79" s="1336"/>
      <c r="AN79" s="1336"/>
      <c r="AO79" s="1355"/>
      <c r="AP79" s="1356"/>
      <c r="BL79" s="1346"/>
      <c r="BM79" s="1346"/>
      <c r="BO79" s="1346"/>
      <c r="BP79" s="1346"/>
      <c r="BQ79" s="1346"/>
      <c r="BR79" s="1346"/>
      <c r="BS79" s="1346"/>
      <c r="BT79" s="1346"/>
      <c r="BU79" s="1346"/>
      <c r="BV79" s="1346"/>
    </row>
    <row r="80" spans="1:74" ht="14.25">
      <c r="A80" s="461"/>
      <c r="B80" s="808"/>
      <c r="C80" s="808"/>
      <c r="D80" s="2112" t="s">
        <v>3737</v>
      </c>
      <c r="E80" s="808"/>
      <c r="F80" s="808"/>
      <c r="G80" s="808"/>
      <c r="H80" s="808"/>
      <c r="I80" s="808"/>
      <c r="J80" s="808"/>
      <c r="K80" s="808"/>
      <c r="L80" s="808"/>
      <c r="M80" s="808"/>
      <c r="N80" s="808"/>
      <c r="O80" s="808"/>
      <c r="P80" s="808"/>
      <c r="Q80" s="808"/>
      <c r="R80" s="808"/>
      <c r="S80" s="808"/>
      <c r="T80" s="808"/>
      <c r="U80" s="808"/>
      <c r="V80" s="808"/>
      <c r="W80" s="808"/>
      <c r="X80" s="808"/>
      <c r="Y80" s="808"/>
      <c r="Z80" s="808"/>
      <c r="AA80" s="808"/>
      <c r="AB80" s="808"/>
      <c r="AC80" s="808"/>
      <c r="AD80" s="808"/>
      <c r="AE80" s="808"/>
      <c r="AF80" s="808"/>
      <c r="AG80" s="808"/>
      <c r="AH80" s="808"/>
      <c r="AI80" s="808"/>
      <c r="AJ80" s="808"/>
      <c r="AK80" s="461"/>
      <c r="AM80" s="1336"/>
      <c r="AN80" s="1336"/>
      <c r="AO80" s="1357"/>
      <c r="AP80" s="1358"/>
      <c r="BL80" s="1346"/>
      <c r="BM80" s="1346"/>
      <c r="BO80" s="1346"/>
      <c r="BP80" s="1346"/>
      <c r="BQ80" s="1346"/>
      <c r="BR80" s="1346"/>
      <c r="BS80" s="1346"/>
      <c r="BT80" s="1346"/>
      <c r="BU80" s="1346"/>
      <c r="BV80" s="1346"/>
    </row>
    <row r="81" spans="1:75" ht="15">
      <c r="A81" s="461"/>
      <c r="B81" s="808"/>
      <c r="C81" s="808"/>
      <c r="D81" s="2112" t="s">
        <v>3738</v>
      </c>
      <c r="E81" s="808"/>
      <c r="F81" s="808"/>
      <c r="G81" s="808"/>
      <c r="H81" s="808"/>
      <c r="I81" s="808"/>
      <c r="J81" s="808"/>
      <c r="K81" s="808"/>
      <c r="L81" s="808"/>
      <c r="M81" s="808"/>
      <c r="N81" s="808"/>
      <c r="O81" s="808"/>
      <c r="P81" s="808"/>
      <c r="Q81" s="808"/>
      <c r="R81" s="808"/>
      <c r="S81" s="808"/>
      <c r="T81" s="808"/>
      <c r="U81" s="808"/>
      <c r="V81" s="808"/>
      <c r="W81" s="808"/>
      <c r="X81" s="808"/>
      <c r="Y81" s="808"/>
      <c r="Z81" s="808"/>
      <c r="AA81" s="808"/>
      <c r="AB81" s="808"/>
      <c r="AC81" s="808"/>
      <c r="AD81" s="808"/>
      <c r="AE81" s="808"/>
      <c r="AF81" s="808"/>
      <c r="AG81" s="808"/>
      <c r="AH81" s="808"/>
      <c r="AI81" s="808"/>
      <c r="AJ81" s="808"/>
      <c r="AK81" s="461"/>
      <c r="AL81" s="1345"/>
      <c r="AM81" s="1345"/>
      <c r="AN81" s="1345"/>
      <c r="AO81" s="1352"/>
      <c r="AP81" s="1346"/>
      <c r="BL81" s="1346"/>
      <c r="BM81" s="1346"/>
      <c r="BO81" s="1346"/>
      <c r="BP81" s="1346"/>
      <c r="BQ81" s="1346"/>
      <c r="BR81" s="1346"/>
      <c r="BS81" s="1346"/>
      <c r="BT81" s="1346"/>
      <c r="BU81" s="1346"/>
      <c r="BV81" s="1346"/>
    </row>
    <row r="82" spans="1:75" ht="35.25" customHeight="1" thickBot="1">
      <c r="A82" s="461"/>
      <c r="B82" s="8763" t="s">
        <v>3739</v>
      </c>
      <c r="C82" s="8788"/>
      <c r="D82" s="8788"/>
      <c r="E82" s="8788"/>
      <c r="F82" s="8788"/>
      <c r="G82" s="8788"/>
      <c r="H82" s="8788"/>
      <c r="I82" s="8788"/>
      <c r="J82" s="8788"/>
      <c r="K82" s="8788"/>
      <c r="L82" s="8788"/>
      <c r="M82" s="8789"/>
      <c r="N82" s="8787" t="s">
        <v>3740</v>
      </c>
      <c r="O82" s="8788"/>
      <c r="P82" s="8788"/>
      <c r="Q82" s="8788"/>
      <c r="R82" s="8789"/>
      <c r="S82" s="8787" t="s">
        <v>3741</v>
      </c>
      <c r="T82" s="8788"/>
      <c r="U82" s="8788"/>
      <c r="V82" s="8788"/>
      <c r="W82" s="8789"/>
      <c r="X82" s="8787" t="s">
        <v>3742</v>
      </c>
      <c r="Y82" s="8788"/>
      <c r="Z82" s="8788"/>
      <c r="AA82" s="8789"/>
      <c r="AB82" s="8787" t="s">
        <v>3743</v>
      </c>
      <c r="AC82" s="8788"/>
      <c r="AD82" s="8788"/>
      <c r="AE82" s="8789"/>
      <c r="AF82" s="8787" t="s">
        <v>3744</v>
      </c>
      <c r="AG82" s="8788"/>
      <c r="AH82" s="8788"/>
      <c r="AI82" s="8788"/>
      <c r="AJ82" s="8788"/>
      <c r="AK82" s="461"/>
      <c r="AM82" s="1376" t="s">
        <v>867</v>
      </c>
      <c r="AO82" s="1345"/>
      <c r="AP82" s="1349"/>
      <c r="BL82" s="1346"/>
      <c r="BM82" s="1346"/>
      <c r="BO82" s="1346"/>
      <c r="BP82" s="1346"/>
      <c r="BQ82" s="1346"/>
      <c r="BR82" s="1346"/>
      <c r="BS82" s="1346"/>
      <c r="BT82" s="1346"/>
      <c r="BU82" s="1346"/>
      <c r="BV82" s="1346"/>
    </row>
    <row r="83" spans="1:75" ht="14.25" customHeight="1" thickBot="1">
      <c r="A83" s="461"/>
      <c r="B83" s="8732"/>
      <c r="C83" s="8733"/>
      <c r="D83" s="8733"/>
      <c r="E83" s="8733"/>
      <c r="F83" s="8733"/>
      <c r="G83" s="8733"/>
      <c r="H83" s="8733"/>
      <c r="I83" s="8733"/>
      <c r="J83" s="8733"/>
      <c r="K83" s="8733"/>
      <c r="L83" s="8733"/>
      <c r="M83" s="8734"/>
      <c r="N83" s="8700"/>
      <c r="O83" s="8701"/>
      <c r="P83" s="8701"/>
      <c r="Q83" s="8701"/>
      <c r="R83" s="8735"/>
      <c r="S83" s="8700"/>
      <c r="T83" s="8701"/>
      <c r="U83" s="8701"/>
      <c r="V83" s="8701"/>
      <c r="W83" s="8735"/>
      <c r="X83" s="8704" t="str">
        <f>IF(AM83&lt;&gt;"",ROUND(AM83,0),IF(OR(N83="",S83=""),"",S83-N83-2))</f>
        <v/>
      </c>
      <c r="Y83" s="8705"/>
      <c r="Z83" s="8705"/>
      <c r="AA83" s="8706"/>
      <c r="AB83" s="8784"/>
      <c r="AC83" s="8785"/>
      <c r="AD83" s="8785"/>
      <c r="AE83" s="8786"/>
      <c r="AF83" s="8707"/>
      <c r="AG83" s="8713"/>
      <c r="AH83" s="8713"/>
      <c r="AI83" s="8713"/>
      <c r="AJ83" s="8713"/>
      <c r="AK83" s="461"/>
      <c r="AM83" s="1432"/>
      <c r="AO83" s="1345"/>
      <c r="AP83" s="1349"/>
      <c r="BL83" s="1346"/>
      <c r="BM83" s="1346"/>
      <c r="BO83" s="1346"/>
      <c r="BP83" s="1346"/>
      <c r="BQ83" s="1346"/>
      <c r="BR83" s="1346"/>
      <c r="BS83" s="1346"/>
      <c r="BT83" s="1346"/>
      <c r="BU83" s="1346"/>
      <c r="BV83" s="1346"/>
    </row>
    <row r="84" spans="1:75" ht="14.25" customHeight="1" thickBot="1">
      <c r="A84" s="461"/>
      <c r="B84" s="8732"/>
      <c r="C84" s="8733"/>
      <c r="D84" s="8733"/>
      <c r="E84" s="8733"/>
      <c r="F84" s="8733"/>
      <c r="G84" s="8733"/>
      <c r="H84" s="8733"/>
      <c r="I84" s="8733"/>
      <c r="J84" s="8733"/>
      <c r="K84" s="8733"/>
      <c r="L84" s="8733"/>
      <c r="M84" s="8734"/>
      <c r="N84" s="8700"/>
      <c r="O84" s="8701"/>
      <c r="P84" s="8701"/>
      <c r="Q84" s="8701"/>
      <c r="R84" s="8735"/>
      <c r="S84" s="8700"/>
      <c r="T84" s="8701"/>
      <c r="U84" s="8701"/>
      <c r="V84" s="8701"/>
      <c r="W84" s="8735"/>
      <c r="X84" s="8704" t="str">
        <f>IF(AM84&lt;&gt;"",ROUND(AM84,0),IF(OR(N84="",S84=""),"",S84-N84-2))</f>
        <v/>
      </c>
      <c r="Y84" s="8705"/>
      <c r="Z84" s="8705"/>
      <c r="AA84" s="8706"/>
      <c r="AB84" s="8784"/>
      <c r="AC84" s="8785"/>
      <c r="AD84" s="8785"/>
      <c r="AE84" s="8786"/>
      <c r="AF84" s="8707"/>
      <c r="AG84" s="8713"/>
      <c r="AH84" s="8713"/>
      <c r="AI84" s="8713"/>
      <c r="AJ84" s="8713"/>
      <c r="AK84" s="461"/>
      <c r="AM84" s="1432"/>
      <c r="AO84" s="1345"/>
      <c r="AP84" s="1349"/>
      <c r="BL84" s="1346"/>
      <c r="BM84" s="1346"/>
      <c r="BO84" s="1346"/>
      <c r="BP84" s="1346"/>
      <c r="BQ84" s="1346"/>
      <c r="BR84" s="1346"/>
      <c r="BS84" s="1346"/>
      <c r="BT84" s="1346"/>
      <c r="BU84" s="1346"/>
      <c r="BV84" s="1346"/>
    </row>
    <row r="85" spans="1:75" ht="14.25" customHeight="1" thickBot="1">
      <c r="A85" s="461"/>
      <c r="B85" s="8732"/>
      <c r="C85" s="8733"/>
      <c r="D85" s="8733"/>
      <c r="E85" s="8733"/>
      <c r="F85" s="8733"/>
      <c r="G85" s="8733"/>
      <c r="H85" s="8733"/>
      <c r="I85" s="8733"/>
      <c r="J85" s="8733"/>
      <c r="K85" s="8733"/>
      <c r="L85" s="8733"/>
      <c r="M85" s="8734"/>
      <c r="N85" s="8700"/>
      <c r="O85" s="8701"/>
      <c r="P85" s="8701"/>
      <c r="Q85" s="8701"/>
      <c r="R85" s="8735"/>
      <c r="S85" s="8700"/>
      <c r="T85" s="8701"/>
      <c r="U85" s="8701"/>
      <c r="V85" s="8701"/>
      <c r="W85" s="8735"/>
      <c r="X85" s="8704" t="str">
        <f>IF(AM85&lt;&gt;"",ROUND(AM85,0),IF(OR(N85="",S85=""),"",S85-N85-2))</f>
        <v/>
      </c>
      <c r="Y85" s="8705"/>
      <c r="Z85" s="8705"/>
      <c r="AA85" s="8706"/>
      <c r="AB85" s="8784"/>
      <c r="AC85" s="8785"/>
      <c r="AD85" s="8785"/>
      <c r="AE85" s="8786"/>
      <c r="AF85" s="8707"/>
      <c r="AG85" s="8713"/>
      <c r="AH85" s="8713"/>
      <c r="AI85" s="8713"/>
      <c r="AJ85" s="8713"/>
      <c r="AK85" s="461"/>
      <c r="AM85" s="1432"/>
      <c r="AO85" s="1345"/>
      <c r="AP85" s="1349"/>
      <c r="BL85" s="1346"/>
      <c r="BM85" s="1346"/>
      <c r="BO85" s="1346"/>
      <c r="BP85" s="1346"/>
      <c r="BQ85" s="1346"/>
      <c r="BR85" s="1346"/>
      <c r="BS85" s="1346"/>
      <c r="BT85" s="1346"/>
      <c r="BU85" s="1346"/>
      <c r="BV85" s="1346"/>
    </row>
    <row r="86" spans="1:75" ht="14.25" customHeight="1" thickBot="1">
      <c r="A86" s="461"/>
      <c r="B86" s="8732"/>
      <c r="C86" s="8733"/>
      <c r="D86" s="8733"/>
      <c r="E86" s="8733"/>
      <c r="F86" s="8733"/>
      <c r="G86" s="8733"/>
      <c r="H86" s="8733"/>
      <c r="I86" s="8733"/>
      <c r="J86" s="8733"/>
      <c r="K86" s="8733"/>
      <c r="L86" s="8733"/>
      <c r="M86" s="8734"/>
      <c r="N86" s="8700"/>
      <c r="O86" s="8701"/>
      <c r="P86" s="8701"/>
      <c r="Q86" s="8701"/>
      <c r="R86" s="8735"/>
      <c r="S86" s="8700"/>
      <c r="T86" s="8701"/>
      <c r="U86" s="8701"/>
      <c r="V86" s="8701"/>
      <c r="W86" s="8735"/>
      <c r="X86" s="8704" t="str">
        <f>IF(AM86&lt;&gt;"",ROUND(AM86,0),IF(OR(N86="",S86=""),"",S86-N86-2))</f>
        <v/>
      </c>
      <c r="Y86" s="8705"/>
      <c r="Z86" s="8705"/>
      <c r="AA86" s="8706"/>
      <c r="AB86" s="8784"/>
      <c r="AC86" s="8785"/>
      <c r="AD86" s="8785"/>
      <c r="AE86" s="8786"/>
      <c r="AF86" s="8707"/>
      <c r="AG86" s="8713"/>
      <c r="AH86" s="8713"/>
      <c r="AI86" s="8713"/>
      <c r="AJ86" s="8713"/>
      <c r="AK86" s="461"/>
      <c r="AM86" s="1432"/>
      <c r="AO86" s="1345"/>
      <c r="AP86" s="1349"/>
      <c r="BL86" s="1346"/>
      <c r="BM86" s="1346"/>
      <c r="BO86" s="1346"/>
      <c r="BP86" s="1346"/>
      <c r="BQ86" s="1346"/>
      <c r="BR86" s="1346"/>
      <c r="BS86" s="1346"/>
      <c r="BT86" s="1346"/>
      <c r="BU86" s="1346"/>
      <c r="BV86" s="1346"/>
    </row>
    <row r="87" spans="1:75" ht="4.5" customHeight="1">
      <c r="A87" s="461"/>
      <c r="B87" s="6888" t="s">
        <v>2410</v>
      </c>
      <c r="C87" s="6864"/>
      <c r="D87" s="1326"/>
      <c r="E87" s="1326"/>
      <c r="F87" s="1326"/>
      <c r="G87" s="1326"/>
      <c r="H87" s="1326"/>
      <c r="I87" s="1326"/>
      <c r="J87" s="1326"/>
      <c r="K87" s="1326"/>
      <c r="L87" s="1326"/>
      <c r="M87" s="1326"/>
      <c r="N87" s="1326"/>
      <c r="O87" s="1326"/>
      <c r="P87" s="1326"/>
      <c r="Q87" s="1326"/>
      <c r="R87" s="1326"/>
      <c r="S87" s="1326"/>
      <c r="T87" s="1326"/>
      <c r="U87" s="1326"/>
      <c r="V87" s="1326"/>
      <c r="W87" s="1326"/>
      <c r="X87" s="1326"/>
      <c r="Y87" s="1326"/>
      <c r="Z87" s="1326"/>
      <c r="AA87" s="1326"/>
      <c r="AB87" s="1326"/>
      <c r="AC87" s="1326"/>
      <c r="AD87" s="1326"/>
      <c r="AE87" s="1326"/>
      <c r="AF87" s="1326"/>
      <c r="AG87" s="1326"/>
      <c r="AH87" s="1326"/>
      <c r="AI87" s="1326"/>
      <c r="AJ87" s="1326"/>
      <c r="AK87" s="461"/>
    </row>
    <row r="88" spans="1:75" ht="13.5" customHeight="1">
      <c r="A88" s="461"/>
      <c r="B88" s="6733"/>
      <c r="C88" s="6733"/>
      <c r="D88" s="1331" t="s">
        <v>3745</v>
      </c>
      <c r="E88" s="1329"/>
      <c r="F88" s="1329"/>
      <c r="G88" s="1329"/>
      <c r="H88" s="1329"/>
      <c r="I88" s="1329"/>
      <c r="J88" s="1329"/>
      <c r="K88" s="1329"/>
      <c r="L88" s="1329"/>
      <c r="M88" s="1329"/>
      <c r="N88" s="1329"/>
      <c r="O88" s="1329"/>
      <c r="P88" s="1329"/>
      <c r="Q88" s="1329"/>
      <c r="R88" s="1329"/>
      <c r="S88" s="1329"/>
      <c r="T88" s="1329"/>
      <c r="U88" s="1329"/>
      <c r="V88" s="1329"/>
      <c r="W88" s="1329"/>
      <c r="X88" s="1329"/>
      <c r="Y88" s="1329"/>
      <c r="Z88" s="1329"/>
      <c r="AA88" s="1329"/>
      <c r="AB88" s="1329"/>
      <c r="AC88" s="1329"/>
      <c r="AD88" s="1329"/>
      <c r="AE88" s="1329"/>
      <c r="AF88" s="1329"/>
      <c r="AG88" s="1329"/>
      <c r="AH88" s="1329"/>
      <c r="AI88" s="1329"/>
      <c r="AJ88" s="1329"/>
      <c r="AK88" s="461"/>
    </row>
    <row r="89" spans="1:75" ht="4.5" customHeight="1">
      <c r="A89" s="461"/>
      <c r="B89" s="6731"/>
      <c r="C89" s="6731"/>
      <c r="D89" s="1330"/>
      <c r="E89" s="1330"/>
      <c r="F89" s="1330"/>
      <c r="G89" s="1330"/>
      <c r="H89" s="1330"/>
      <c r="I89" s="1330"/>
      <c r="J89" s="1330"/>
      <c r="K89" s="1330"/>
      <c r="L89" s="1330"/>
      <c r="M89" s="1330"/>
      <c r="N89" s="1330"/>
      <c r="O89" s="1330"/>
      <c r="P89" s="1330"/>
      <c r="Q89" s="1330"/>
      <c r="R89" s="1330"/>
      <c r="S89" s="1330"/>
      <c r="T89" s="1330"/>
      <c r="U89" s="1330"/>
      <c r="V89" s="1330"/>
      <c r="W89" s="1330"/>
      <c r="X89" s="1330"/>
      <c r="Y89" s="1330"/>
      <c r="Z89" s="1330"/>
      <c r="AA89" s="1330"/>
      <c r="AB89" s="1330"/>
      <c r="AC89" s="1330"/>
      <c r="AD89" s="1330"/>
      <c r="AE89" s="1330"/>
      <c r="AF89" s="1330"/>
      <c r="AG89" s="1330"/>
      <c r="AH89" s="1330"/>
      <c r="AI89" s="1330"/>
      <c r="AJ89" s="1330"/>
      <c r="AK89" s="461"/>
    </row>
    <row r="90" spans="1:75" ht="16.5" customHeight="1">
      <c r="A90" s="461"/>
      <c r="B90" s="2953" t="s">
        <v>3746</v>
      </c>
      <c r="C90" s="808"/>
      <c r="D90" s="808"/>
      <c r="E90" s="808"/>
      <c r="F90" s="808"/>
      <c r="G90" s="808"/>
      <c r="H90" s="808"/>
      <c r="I90" s="808"/>
      <c r="J90" s="808"/>
      <c r="K90" s="808"/>
      <c r="L90" s="808"/>
      <c r="M90" s="808"/>
      <c r="N90" s="808"/>
      <c r="O90" s="808"/>
      <c r="P90" s="808"/>
      <c r="Q90" s="808"/>
      <c r="R90" s="808"/>
      <c r="S90" s="808"/>
      <c r="T90" s="808"/>
      <c r="U90" s="808"/>
      <c r="V90" s="808"/>
      <c r="W90" s="808"/>
      <c r="X90" s="808"/>
      <c r="Y90" s="808"/>
      <c r="Z90" s="808"/>
      <c r="AA90" s="808"/>
      <c r="AB90" s="808"/>
      <c r="AC90" s="808"/>
      <c r="AD90" s="808"/>
      <c r="AE90" s="808"/>
      <c r="AF90" s="808"/>
      <c r="AG90" s="808"/>
      <c r="AH90" s="808"/>
      <c r="AI90" s="808"/>
      <c r="AJ90" s="808"/>
      <c r="AK90" s="461"/>
      <c r="AO90" s="1359"/>
      <c r="AP90" s="1361"/>
      <c r="BL90" s="1346"/>
      <c r="BM90" s="1346"/>
      <c r="BO90" s="1346"/>
      <c r="BP90" s="1346"/>
      <c r="BQ90" s="1346"/>
      <c r="BR90" s="1346"/>
      <c r="BS90" s="1346"/>
      <c r="BT90" s="1346"/>
      <c r="BU90" s="1346"/>
      <c r="BV90" s="1346"/>
    </row>
    <row r="91" spans="1:75" ht="14.25">
      <c r="A91" s="461"/>
      <c r="B91" s="2953"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91" s="808"/>
      <c r="D91" s="808"/>
      <c r="E91" s="808"/>
      <c r="F91" s="808"/>
      <c r="G91" s="808"/>
      <c r="H91" s="808"/>
      <c r="I91" s="808"/>
      <c r="J91" s="808"/>
      <c r="K91" s="808"/>
      <c r="L91" s="808"/>
      <c r="M91" s="808"/>
      <c r="N91" s="808"/>
      <c r="O91" s="808"/>
      <c r="P91" s="808"/>
      <c r="Q91" s="808"/>
      <c r="R91" s="808"/>
      <c r="S91" s="808"/>
      <c r="T91" s="808"/>
      <c r="U91" s="808"/>
      <c r="V91" s="808"/>
      <c r="W91" s="808"/>
      <c r="X91" s="808"/>
      <c r="Y91" s="808"/>
      <c r="Z91" s="808"/>
      <c r="AA91" s="808"/>
      <c r="AB91" s="808"/>
      <c r="AC91" s="808"/>
      <c r="AD91" s="808"/>
      <c r="AE91" s="808"/>
      <c r="AF91" s="808"/>
      <c r="AG91" s="808"/>
      <c r="AH91" s="808"/>
      <c r="AI91" s="808"/>
      <c r="AJ91" s="808"/>
      <c r="AK91" s="461"/>
      <c r="AO91" s="1346"/>
      <c r="AP91" s="1360"/>
      <c r="BL91" s="1346"/>
      <c r="BM91" s="1346"/>
      <c r="BO91" s="1346"/>
      <c r="BP91" s="1346"/>
      <c r="BQ91" s="1346"/>
      <c r="BR91" s="1346"/>
      <c r="BS91" s="1346"/>
      <c r="BT91" s="1346"/>
      <c r="BU91" s="1346"/>
      <c r="BV91" s="1346"/>
    </row>
    <row r="92" spans="1:75" ht="15">
      <c r="A92" s="461"/>
      <c r="B92" s="2953" t="s">
        <v>3747</v>
      </c>
      <c r="C92" s="808"/>
      <c r="D92" s="808"/>
      <c r="E92" s="808"/>
      <c r="F92" s="808"/>
      <c r="G92" s="808"/>
      <c r="H92" s="808"/>
      <c r="I92" s="808"/>
      <c r="J92" s="808"/>
      <c r="K92" s="808"/>
      <c r="L92" s="808"/>
      <c r="M92" s="808"/>
      <c r="N92" s="808"/>
      <c r="O92" s="808"/>
      <c r="P92" s="808"/>
      <c r="Q92" s="808"/>
      <c r="R92" s="808"/>
      <c r="S92" s="808"/>
      <c r="T92" s="808"/>
      <c r="U92" s="808"/>
      <c r="V92" s="808"/>
      <c r="W92" s="808"/>
      <c r="X92" s="808"/>
      <c r="Y92" s="808"/>
      <c r="Z92" s="808"/>
      <c r="AA92" s="808"/>
      <c r="AB92" s="808"/>
      <c r="AC92" s="808"/>
      <c r="AD92" s="808"/>
      <c r="AE92" s="808"/>
      <c r="AF92" s="808"/>
      <c r="AG92" s="808"/>
      <c r="AH92" s="808"/>
      <c r="AI92" s="808"/>
      <c r="AJ92" s="808"/>
      <c r="AK92" s="461"/>
      <c r="AO92" s="1346"/>
      <c r="AP92" s="1346"/>
      <c r="BL92" s="1346"/>
      <c r="BM92" s="1346"/>
      <c r="BO92" s="1346"/>
      <c r="BP92" s="1346"/>
      <c r="BQ92" s="1346"/>
      <c r="BR92" s="1346"/>
      <c r="BS92" s="1346"/>
      <c r="BT92" s="1346"/>
      <c r="BU92" s="1346"/>
      <c r="BV92" s="1346"/>
    </row>
    <row r="93" spans="1:75" ht="12.75" customHeight="1">
      <c r="A93" s="461"/>
      <c r="B93" s="2953" t="s">
        <v>3748</v>
      </c>
      <c r="C93" s="808"/>
      <c r="D93" s="808"/>
      <c r="E93" s="808"/>
      <c r="F93" s="808"/>
      <c r="G93" s="808"/>
      <c r="H93" s="808"/>
      <c r="I93" s="808"/>
      <c r="J93" s="808"/>
      <c r="K93" s="808"/>
      <c r="L93" s="808"/>
      <c r="M93" s="808"/>
      <c r="N93" s="808"/>
      <c r="O93" s="808"/>
      <c r="P93" s="808"/>
      <c r="Q93" s="808"/>
      <c r="R93" s="808"/>
      <c r="S93" s="808"/>
      <c r="T93" s="808"/>
      <c r="U93" s="808"/>
      <c r="V93" s="808"/>
      <c r="W93" s="808"/>
      <c r="X93" s="808"/>
      <c r="Y93" s="808"/>
      <c r="Z93" s="808"/>
      <c r="AA93" s="808"/>
      <c r="AB93" s="808"/>
      <c r="AC93" s="808"/>
      <c r="AD93" s="808"/>
      <c r="AE93" s="808"/>
      <c r="AF93" s="808"/>
      <c r="AG93" s="808"/>
      <c r="AH93" s="808"/>
      <c r="AI93" s="808"/>
      <c r="AJ93" s="808"/>
      <c r="AK93" s="461"/>
      <c r="AO93" s="1346"/>
      <c r="AP93" s="1346"/>
      <c r="BL93" s="1346"/>
      <c r="BM93" s="1346"/>
      <c r="BO93" s="1346"/>
      <c r="BP93" s="1346"/>
      <c r="BQ93" s="1346"/>
      <c r="BR93" s="1346"/>
      <c r="BS93" s="1346"/>
      <c r="BT93" s="1346"/>
      <c r="BU93" s="1346"/>
      <c r="BV93" s="1346"/>
    </row>
    <row r="94" spans="1:75" ht="14.25">
      <c r="A94" s="461"/>
      <c r="B94" s="2953" t="s">
        <v>3749</v>
      </c>
      <c r="C94" s="808"/>
      <c r="D94" s="808"/>
      <c r="E94" s="808"/>
      <c r="F94" s="808"/>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08"/>
      <c r="AE94" s="808"/>
      <c r="AF94" s="808"/>
      <c r="AG94" s="808"/>
      <c r="AH94" s="808"/>
      <c r="AI94" s="808"/>
      <c r="AJ94" s="808"/>
      <c r="AK94" s="461"/>
      <c r="AO94" s="1346"/>
      <c r="AP94" s="1346"/>
      <c r="BL94" s="1346"/>
      <c r="BM94" s="1346"/>
      <c r="BO94" s="1346"/>
      <c r="BP94" s="1346"/>
      <c r="BQ94" s="1346"/>
      <c r="BR94" s="1346"/>
      <c r="BS94" s="1346"/>
      <c r="BT94" s="1346"/>
      <c r="BU94" s="1346"/>
      <c r="BV94" s="1346"/>
    </row>
    <row r="95" spans="1:75" ht="18" customHeight="1">
      <c r="A95" s="461"/>
      <c r="B95" s="808"/>
      <c r="C95" s="1145" t="str">
        <f>"If you are a cash basis taxpayer, report on Form 1040 or 1040-SR all income you received in "&amp;TaxYear&amp;", no matter when you"</f>
        <v>If you are a cash basis taxpayer, report on Form 1040 or 1040-SR all income you received in 2023, no matter when you</v>
      </c>
      <c r="D95" s="1145"/>
      <c r="E95" s="899"/>
      <c r="F95" s="808"/>
      <c r="G95" s="808"/>
      <c r="H95" s="808"/>
      <c r="I95" s="808"/>
      <c r="J95" s="808"/>
      <c r="K95" s="808"/>
      <c r="L95" s="808"/>
      <c r="M95" s="808"/>
      <c r="N95" s="808"/>
      <c r="O95" s="808"/>
      <c r="P95" s="808"/>
      <c r="Q95" s="808"/>
      <c r="R95" s="808"/>
      <c r="S95" s="808"/>
      <c r="T95" s="808"/>
      <c r="U95" s="808"/>
      <c r="V95" s="808"/>
      <c r="W95" s="808"/>
      <c r="X95" s="808"/>
      <c r="Y95" s="808"/>
      <c r="Z95" s="808"/>
      <c r="AA95" s="808"/>
      <c r="AB95" s="808"/>
      <c r="AC95" s="808"/>
      <c r="AD95" s="808"/>
      <c r="AE95" s="808"/>
      <c r="AF95" s="808"/>
      <c r="AG95" s="808"/>
      <c r="AH95" s="808"/>
      <c r="AI95" s="808"/>
      <c r="AJ95" s="808"/>
      <c r="AK95" s="461"/>
      <c r="AO95" s="1346"/>
      <c r="AP95" s="1346"/>
      <c r="BL95" s="1346"/>
      <c r="BM95" s="1346"/>
      <c r="BO95" s="1346"/>
      <c r="BP95" s="1346"/>
      <c r="BQ95" s="1346"/>
      <c r="BR95" s="1346"/>
      <c r="BS95" s="1346"/>
      <c r="BT95" s="1346"/>
      <c r="BU95" s="1346"/>
      <c r="BV95" s="1346"/>
    </row>
    <row r="96" spans="1:75" s="649" customFormat="1" ht="18" customHeight="1">
      <c r="A96" s="4064"/>
      <c r="B96" s="1372"/>
      <c r="C96" s="2954" t="s">
        <v>3750</v>
      </c>
      <c r="D96" s="2954"/>
      <c r="E96" s="1375"/>
      <c r="F96" s="1372"/>
      <c r="G96" s="1372"/>
      <c r="H96" s="1372"/>
      <c r="I96" s="1372"/>
      <c r="J96" s="1372"/>
      <c r="K96" s="1372"/>
      <c r="L96" s="1372"/>
      <c r="M96" s="1372"/>
      <c r="N96" s="1372"/>
      <c r="O96" s="1372"/>
      <c r="P96" s="1372"/>
      <c r="Q96" s="1372"/>
      <c r="R96" s="1372"/>
      <c r="S96" s="1372"/>
      <c r="T96" s="1372"/>
      <c r="U96" s="1372"/>
      <c r="V96" s="1372"/>
      <c r="W96" s="1372"/>
      <c r="X96" s="1372"/>
      <c r="Y96" s="1372"/>
      <c r="Z96" s="1372"/>
      <c r="AA96" s="1372"/>
      <c r="AB96" s="1372"/>
      <c r="AC96" s="1372"/>
      <c r="AD96" s="1372"/>
      <c r="AE96" s="1372"/>
      <c r="AF96" s="1372"/>
      <c r="AG96" s="1372"/>
      <c r="AH96" s="1372"/>
      <c r="AI96" s="1372"/>
      <c r="AJ96" s="1372"/>
      <c r="AK96" s="4064"/>
      <c r="AL96" s="1373"/>
      <c r="AM96" s="1373"/>
      <c r="AN96" s="1373"/>
      <c r="AO96" s="1374"/>
      <c r="AP96" s="1374"/>
      <c r="AQ96" s="2038"/>
      <c r="AR96" s="2038"/>
      <c r="AS96" s="2038"/>
      <c r="AT96" s="2038"/>
      <c r="AU96" s="2038"/>
      <c r="AV96" s="2038"/>
      <c r="AW96" s="2038"/>
      <c r="AX96" s="2038"/>
      <c r="AY96" s="2038"/>
      <c r="AZ96" s="1373"/>
      <c r="BA96" s="1373"/>
      <c r="BB96" s="1373"/>
      <c r="BC96" s="1373"/>
      <c r="BD96" s="1373"/>
      <c r="BE96" s="1373"/>
      <c r="BF96" s="1373"/>
      <c r="BG96" s="1373"/>
      <c r="BH96" s="1373"/>
      <c r="BI96" s="1373"/>
      <c r="BJ96" s="1373"/>
      <c r="BK96" s="1373"/>
      <c r="BL96" s="1374"/>
      <c r="BM96" s="1374"/>
      <c r="BN96" s="1373"/>
      <c r="BO96" s="1374"/>
      <c r="BP96" s="1374"/>
      <c r="BQ96" s="1374"/>
      <c r="BR96" s="1374"/>
      <c r="BS96" s="1374"/>
      <c r="BT96" s="1374"/>
      <c r="BU96" s="1374"/>
      <c r="BV96" s="1374"/>
      <c r="BW96" s="1373"/>
    </row>
    <row r="97" spans="1:74" ht="28.5" customHeight="1">
      <c r="A97" s="461"/>
      <c r="B97" s="8790" t="str">
        <f>TaxYear&amp;" Foreign Earned Income"</f>
        <v>2023 Foreign Earned Income</v>
      </c>
      <c r="C97" s="8791"/>
      <c r="D97" s="8791"/>
      <c r="E97" s="8791"/>
      <c r="F97" s="8791"/>
      <c r="G97" s="8791"/>
      <c r="H97" s="8791"/>
      <c r="I97" s="8791"/>
      <c r="J97" s="8791"/>
      <c r="K97" s="8791"/>
      <c r="L97" s="8791"/>
      <c r="M97" s="8791"/>
      <c r="N97" s="8791"/>
      <c r="O97" s="8791"/>
      <c r="P97" s="8791"/>
      <c r="Q97" s="8791"/>
      <c r="R97" s="8791"/>
      <c r="S97" s="8791"/>
      <c r="T97" s="8791"/>
      <c r="U97" s="8791"/>
      <c r="V97" s="8791"/>
      <c r="W97" s="8791"/>
      <c r="X97" s="8791"/>
      <c r="Y97" s="8791"/>
      <c r="Z97" s="8791"/>
      <c r="AA97" s="8792"/>
      <c r="AB97" s="8793"/>
      <c r="AC97" s="7946" t="s">
        <v>3751</v>
      </c>
      <c r="AD97" s="8788"/>
      <c r="AE97" s="8788"/>
      <c r="AF97" s="8788"/>
      <c r="AG97" s="8788"/>
      <c r="AH97" s="8788"/>
      <c r="AI97" s="8788"/>
      <c r="AJ97" s="8788"/>
      <c r="AK97" s="461"/>
      <c r="AO97" s="1346"/>
      <c r="AP97" s="1346"/>
      <c r="BL97" s="1346"/>
      <c r="BM97" s="1346"/>
      <c r="BO97" s="1346"/>
      <c r="BP97" s="1346"/>
      <c r="BQ97" s="1346"/>
      <c r="BR97" s="1346"/>
      <c r="BS97" s="1346"/>
      <c r="BT97" s="1346"/>
      <c r="BU97" s="1346"/>
      <c r="BV97" s="1346"/>
    </row>
    <row r="98" spans="1:74" ht="16.5" customHeight="1">
      <c r="A98" s="461"/>
      <c r="B98" s="808"/>
      <c r="C98" s="1362" t="s">
        <v>3752</v>
      </c>
      <c r="D98" s="2112" t="s">
        <v>3753</v>
      </c>
      <c r="E98" s="808"/>
      <c r="F98" s="808"/>
      <c r="G98" s="808"/>
      <c r="H98" s="808"/>
      <c r="I98" s="808"/>
      <c r="J98" s="808"/>
      <c r="K98" s="808"/>
      <c r="L98" s="808"/>
      <c r="M98" s="808"/>
      <c r="N98" s="808"/>
      <c r="O98" s="808"/>
      <c r="P98" s="808"/>
      <c r="Q98" s="808"/>
      <c r="R98" s="808"/>
      <c r="S98" s="808"/>
      <c r="T98" s="808"/>
      <c r="U98" s="808"/>
      <c r="V98" s="808"/>
      <c r="W98" s="808"/>
      <c r="X98" s="808"/>
      <c r="Y98" s="808"/>
      <c r="Z98" s="808"/>
      <c r="AA98" s="808"/>
      <c r="AB98" s="859" t="s">
        <v>3754</v>
      </c>
      <c r="AC98" s="8794" t="s">
        <v>295</v>
      </c>
      <c r="AD98" s="8795"/>
      <c r="AE98" s="8797"/>
      <c r="AF98" s="8797"/>
      <c r="AG98" s="8797"/>
      <c r="AH98" s="8797"/>
      <c r="AI98" s="8797"/>
      <c r="AJ98" s="8797"/>
      <c r="AK98" s="461"/>
      <c r="AO98" s="1346"/>
      <c r="AP98" s="1346"/>
      <c r="BL98" s="1346"/>
      <c r="BM98" s="1346"/>
      <c r="BO98" s="1346"/>
      <c r="BP98" s="1346"/>
      <c r="BQ98" s="1346"/>
      <c r="BR98" s="1346"/>
      <c r="BS98" s="1346"/>
      <c r="BT98" s="1346"/>
      <c r="BU98" s="1346"/>
      <c r="BV98" s="1346"/>
    </row>
    <row r="99" spans="1:74" ht="13.5" customHeight="1">
      <c r="A99" s="461"/>
      <c r="B99" s="808"/>
      <c r="C99" s="1362" t="s">
        <v>3755</v>
      </c>
      <c r="D99" s="2112" t="s">
        <v>3756</v>
      </c>
      <c r="E99" s="808"/>
      <c r="F99" s="808"/>
      <c r="G99" s="808"/>
      <c r="H99" s="808"/>
      <c r="I99" s="808"/>
      <c r="J99" s="808"/>
      <c r="K99" s="808"/>
      <c r="L99" s="808"/>
      <c r="M99" s="808"/>
      <c r="N99" s="808"/>
      <c r="O99" s="808"/>
      <c r="P99" s="808"/>
      <c r="Q99" s="808"/>
      <c r="R99" s="808"/>
      <c r="S99" s="808"/>
      <c r="T99" s="808"/>
      <c r="U99" s="808"/>
      <c r="V99" s="808"/>
      <c r="W99" s="808"/>
      <c r="X99" s="808"/>
      <c r="Y99" s="808"/>
      <c r="Z99" s="808"/>
      <c r="AA99" s="808"/>
      <c r="AB99" s="808"/>
      <c r="AC99" s="8011"/>
      <c r="AD99" s="7638"/>
      <c r="AE99" s="8731"/>
      <c r="AF99" s="7635"/>
      <c r="AG99" s="8731"/>
      <c r="AH99" s="7635"/>
      <c r="AI99" s="8731"/>
      <c r="AJ99" s="7635"/>
      <c r="AK99" s="461"/>
      <c r="AO99" s="1346"/>
      <c r="AP99" s="1346"/>
      <c r="BL99" s="1346"/>
      <c r="BM99" s="1346"/>
    </row>
    <row r="100" spans="1:74" ht="13.5" customHeight="1">
      <c r="A100" s="461"/>
      <c r="B100" s="808"/>
      <c r="C100" s="1362" t="s">
        <v>3672</v>
      </c>
      <c r="D100" s="2112" t="s">
        <v>3757</v>
      </c>
      <c r="E100" s="808"/>
      <c r="F100" s="808"/>
      <c r="G100" s="808"/>
      <c r="H100" s="808"/>
      <c r="I100" s="808"/>
      <c r="J100" s="808"/>
      <c r="K100" s="808"/>
      <c r="L100" s="808"/>
      <c r="M100" s="808"/>
      <c r="N100" s="808"/>
      <c r="O100" s="808"/>
      <c r="P100" s="808"/>
      <c r="Q100" s="808"/>
      <c r="R100" s="808"/>
      <c r="S100" s="808"/>
      <c r="T100" s="808"/>
      <c r="U100" s="808"/>
      <c r="V100" s="808"/>
      <c r="W100" s="808"/>
      <c r="X100" s="808"/>
      <c r="Y100" s="808"/>
      <c r="Z100" s="808"/>
      <c r="AA100" s="808"/>
      <c r="AB100" s="859" t="s">
        <v>670</v>
      </c>
      <c r="AC100" s="8694" t="s">
        <v>2313</v>
      </c>
      <c r="AD100" s="8728"/>
      <c r="AE100" s="8729"/>
      <c r="AF100" s="8729"/>
      <c r="AG100" s="8729"/>
      <c r="AH100" s="8729"/>
      <c r="AI100" s="8729"/>
      <c r="AJ100" s="8729"/>
      <c r="AK100" s="461"/>
      <c r="AO100" s="1346"/>
      <c r="AP100" s="1346"/>
      <c r="BL100" s="1346"/>
      <c r="BM100" s="1346"/>
    </row>
    <row r="101" spans="1:74" ht="13.5" customHeight="1">
      <c r="A101" s="461"/>
      <c r="B101" s="808"/>
      <c r="C101" s="1362" t="s">
        <v>2392</v>
      </c>
      <c r="D101" s="892" t="s">
        <v>3758</v>
      </c>
      <c r="E101" s="808"/>
      <c r="F101" s="808"/>
      <c r="G101" s="808"/>
      <c r="H101" s="808"/>
      <c r="I101" s="808"/>
      <c r="J101" s="808"/>
      <c r="K101" s="808"/>
      <c r="L101" s="808"/>
      <c r="M101" s="808"/>
      <c r="N101" s="808"/>
      <c r="O101" s="808"/>
      <c r="P101" s="808"/>
      <c r="Q101" s="808"/>
      <c r="R101" s="808"/>
      <c r="S101" s="808"/>
      <c r="T101" s="808"/>
      <c r="U101" s="808"/>
      <c r="V101" s="8750"/>
      <c r="W101" s="8803"/>
      <c r="X101" s="8803"/>
      <c r="Y101" s="8803"/>
      <c r="Z101" s="8803"/>
      <c r="AA101" s="8803"/>
      <c r="AB101" s="808"/>
      <c r="AC101" s="8011"/>
      <c r="AD101" s="8730"/>
      <c r="AE101" s="8011"/>
      <c r="AF101" s="8731"/>
      <c r="AG101" s="8731"/>
      <c r="AH101" s="8731"/>
      <c r="AI101" s="8731"/>
      <c r="AJ101" s="8731"/>
      <c r="AK101" s="461"/>
      <c r="AO101" s="1346"/>
      <c r="AP101" s="1346"/>
      <c r="BL101" s="1346"/>
      <c r="BM101" s="1346"/>
    </row>
    <row r="102" spans="1:74" ht="13.5" customHeight="1">
      <c r="A102" s="461"/>
      <c r="B102" s="808"/>
      <c r="C102" s="1362"/>
      <c r="D102" s="8750"/>
      <c r="E102" s="8803"/>
      <c r="F102" s="8803"/>
      <c r="G102" s="8803"/>
      <c r="H102" s="8803"/>
      <c r="I102" s="8803"/>
      <c r="J102" s="8803"/>
      <c r="K102" s="8803"/>
      <c r="L102" s="8803"/>
      <c r="M102" s="8803"/>
      <c r="N102" s="8803"/>
      <c r="O102" s="8803"/>
      <c r="P102" s="8803"/>
      <c r="Q102" s="8803"/>
      <c r="R102" s="8803"/>
      <c r="S102" s="8803"/>
      <c r="T102" s="8803"/>
      <c r="U102" s="8803"/>
      <c r="V102" s="8803"/>
      <c r="W102" s="8803"/>
      <c r="X102" s="8803"/>
      <c r="Y102" s="8803"/>
      <c r="Z102" s="8803"/>
      <c r="AA102" s="8803"/>
      <c r="AB102" s="808"/>
      <c r="AC102" s="8694" t="s">
        <v>2318</v>
      </c>
      <c r="AD102" s="8728"/>
      <c r="AE102" s="8729"/>
      <c r="AF102" s="8729"/>
      <c r="AG102" s="8729"/>
      <c r="AH102" s="8729"/>
      <c r="AI102" s="8729"/>
      <c r="AJ102" s="8729"/>
      <c r="AK102" s="461"/>
      <c r="AO102" s="1346"/>
      <c r="AP102" s="1346"/>
      <c r="BL102" s="1346"/>
      <c r="BM102" s="1346"/>
    </row>
    <row r="103" spans="1:74" ht="13.5" customHeight="1">
      <c r="A103" s="461"/>
      <c r="B103" s="808"/>
      <c r="C103" s="1362" t="s">
        <v>3759</v>
      </c>
      <c r="D103" s="2112" t="s">
        <v>3760</v>
      </c>
      <c r="E103" s="808"/>
      <c r="F103" s="808"/>
      <c r="G103" s="808"/>
      <c r="H103" s="808"/>
      <c r="I103" s="808"/>
      <c r="J103" s="808"/>
      <c r="K103" s="808"/>
      <c r="L103" s="808"/>
      <c r="M103" s="808"/>
      <c r="N103" s="808"/>
      <c r="O103" s="808"/>
      <c r="P103" s="808"/>
      <c r="Q103" s="808"/>
      <c r="R103" s="808"/>
      <c r="S103" s="808"/>
      <c r="T103" s="808"/>
      <c r="U103" s="808"/>
      <c r="V103" s="808"/>
      <c r="W103" s="808"/>
      <c r="X103" s="808"/>
      <c r="Y103" s="808"/>
      <c r="Z103" s="808"/>
      <c r="AA103" s="808"/>
      <c r="AB103" s="808"/>
      <c r="AC103" s="8798"/>
      <c r="AD103" s="8799"/>
      <c r="AE103" s="8731"/>
      <c r="AF103" s="7635"/>
      <c r="AG103" s="8731"/>
      <c r="AH103" s="7635"/>
      <c r="AI103" s="8731"/>
      <c r="AJ103" s="7635"/>
      <c r="AK103" s="461"/>
      <c r="AO103" s="1346"/>
      <c r="AP103" s="1346"/>
      <c r="BL103" s="1346"/>
      <c r="BM103" s="1346"/>
    </row>
    <row r="104" spans="1:74" ht="13.5" customHeight="1">
      <c r="A104" s="461"/>
      <c r="B104" s="808"/>
      <c r="C104" s="808"/>
      <c r="D104" s="2112" t="s">
        <v>3761</v>
      </c>
      <c r="E104" s="808"/>
      <c r="F104" s="808"/>
      <c r="G104" s="808"/>
      <c r="H104" s="808"/>
      <c r="I104" s="808"/>
      <c r="J104" s="808"/>
      <c r="K104" s="808"/>
      <c r="L104" s="808"/>
      <c r="M104" s="808"/>
      <c r="N104" s="808"/>
      <c r="O104" s="808"/>
      <c r="P104" s="808"/>
      <c r="Q104" s="808"/>
      <c r="R104" s="808"/>
      <c r="S104" s="808"/>
      <c r="T104" s="808"/>
      <c r="U104" s="808"/>
      <c r="V104" s="808"/>
      <c r="W104" s="808"/>
      <c r="X104" s="808"/>
      <c r="Y104" s="808"/>
      <c r="Z104" s="808"/>
      <c r="AA104" s="808"/>
      <c r="AB104" s="808"/>
      <c r="AC104" s="8800"/>
      <c r="AD104" s="8801"/>
      <c r="AE104" s="7933"/>
      <c r="AF104" s="8802"/>
      <c r="AG104" s="8802"/>
      <c r="AH104" s="8802"/>
      <c r="AI104" s="8802"/>
      <c r="AJ104" s="8802"/>
      <c r="AK104" s="461"/>
      <c r="AO104" s="1346"/>
      <c r="AP104" s="1346"/>
      <c r="BL104" s="1346"/>
      <c r="BM104" s="1346"/>
    </row>
    <row r="105" spans="1:74" ht="13.5" customHeight="1">
      <c r="A105" s="461"/>
      <c r="B105" s="808"/>
      <c r="C105" s="1362" t="s">
        <v>3672</v>
      </c>
      <c r="D105" s="2112" t="s">
        <v>3762</v>
      </c>
      <c r="E105" s="808"/>
      <c r="F105" s="808"/>
      <c r="G105" s="808"/>
      <c r="H105" s="808"/>
      <c r="I105" s="808"/>
      <c r="J105" s="808"/>
      <c r="K105" s="808"/>
      <c r="L105" s="808"/>
      <c r="M105" s="808"/>
      <c r="N105" s="808"/>
      <c r="O105" s="808"/>
      <c r="P105" s="808"/>
      <c r="Q105" s="808"/>
      <c r="R105" s="808"/>
      <c r="S105" s="808"/>
      <c r="T105" s="808"/>
      <c r="U105" s="808"/>
      <c r="V105" s="808"/>
      <c r="W105" s="808"/>
      <c r="X105" s="808"/>
      <c r="Y105" s="808"/>
      <c r="Z105" s="808"/>
      <c r="AA105" s="808"/>
      <c r="AB105" s="859" t="s">
        <v>3763</v>
      </c>
      <c r="AC105" s="8694" t="s">
        <v>2869</v>
      </c>
      <c r="AD105" s="8728"/>
      <c r="AE105" s="8729"/>
      <c r="AF105" s="8729"/>
      <c r="AG105" s="8729"/>
      <c r="AH105" s="8729"/>
      <c r="AI105" s="8729"/>
      <c r="AJ105" s="8729"/>
      <c r="AK105" s="461"/>
      <c r="AO105" s="1346"/>
      <c r="AP105" s="1346"/>
      <c r="BL105" s="1346"/>
      <c r="BM105" s="1346"/>
    </row>
    <row r="106" spans="1:74" ht="13.5" customHeight="1">
      <c r="A106" s="461"/>
      <c r="B106" s="808"/>
      <c r="C106" s="808"/>
      <c r="D106" s="808"/>
      <c r="E106" s="808"/>
      <c r="F106" s="808"/>
      <c r="G106" s="808"/>
      <c r="H106" s="808"/>
      <c r="I106" s="808"/>
      <c r="J106" s="808"/>
      <c r="K106" s="808"/>
      <c r="L106" s="808"/>
      <c r="M106" s="808"/>
      <c r="N106" s="808"/>
      <c r="O106" s="808"/>
      <c r="P106" s="808"/>
      <c r="Q106" s="808"/>
      <c r="R106" s="808"/>
      <c r="S106" s="808"/>
      <c r="T106" s="808"/>
      <c r="U106" s="808"/>
      <c r="V106" s="808"/>
      <c r="W106" s="808"/>
      <c r="X106" s="808"/>
      <c r="Y106" s="808"/>
      <c r="Z106" s="808"/>
      <c r="AA106" s="808"/>
      <c r="AB106" s="808"/>
      <c r="AC106" s="8011"/>
      <c r="AD106" s="8730"/>
      <c r="AE106" s="8011"/>
      <c r="AF106" s="8731"/>
      <c r="AG106" s="8731"/>
      <c r="AH106" s="8731"/>
      <c r="AI106" s="8731"/>
      <c r="AJ106" s="8731"/>
      <c r="AK106" s="461"/>
      <c r="AO106" s="1346"/>
      <c r="AP106" s="1346"/>
      <c r="BL106" s="1346"/>
      <c r="BM106" s="1346"/>
    </row>
    <row r="107" spans="1:74" ht="13.5" customHeight="1">
      <c r="A107" s="461"/>
      <c r="B107" s="808"/>
      <c r="C107" s="1362" t="s">
        <v>2392</v>
      </c>
      <c r="D107" s="2112" t="s">
        <v>3764</v>
      </c>
      <c r="E107" s="808"/>
      <c r="F107" s="808"/>
      <c r="G107" s="808"/>
      <c r="H107" s="808"/>
      <c r="I107" s="808"/>
      <c r="J107" s="808"/>
      <c r="K107" s="808"/>
      <c r="L107" s="808"/>
      <c r="M107" s="808"/>
      <c r="N107" s="808"/>
      <c r="O107" s="808"/>
      <c r="P107" s="808"/>
      <c r="Q107" s="808"/>
      <c r="R107" s="808"/>
      <c r="S107" s="808"/>
      <c r="T107" s="808"/>
      <c r="U107" s="808"/>
      <c r="V107" s="808"/>
      <c r="W107" s="808"/>
      <c r="X107" s="808"/>
      <c r="Y107" s="808"/>
      <c r="Z107" s="808"/>
      <c r="AA107" s="808"/>
      <c r="AB107" s="859" t="s">
        <v>2407</v>
      </c>
      <c r="AC107" s="8694" t="s">
        <v>2871</v>
      </c>
      <c r="AD107" s="8728"/>
      <c r="AE107" s="8729"/>
      <c r="AF107" s="8729"/>
      <c r="AG107" s="8729"/>
      <c r="AH107" s="8729"/>
      <c r="AI107" s="8729"/>
      <c r="AJ107" s="8729"/>
      <c r="AK107" s="461"/>
      <c r="AO107" s="1346"/>
      <c r="AP107" s="1346"/>
      <c r="BL107" s="1346"/>
      <c r="BM107" s="1346"/>
    </row>
    <row r="108" spans="1:74" ht="13.5" customHeight="1">
      <c r="A108" s="461"/>
      <c r="B108" s="808"/>
      <c r="C108" s="808"/>
      <c r="D108" s="808"/>
      <c r="E108" s="808"/>
      <c r="F108" s="808"/>
      <c r="G108" s="808"/>
      <c r="H108" s="808"/>
      <c r="I108" s="808"/>
      <c r="J108" s="808"/>
      <c r="K108" s="808"/>
      <c r="L108" s="808"/>
      <c r="M108" s="808"/>
      <c r="N108" s="808"/>
      <c r="O108" s="808"/>
      <c r="P108" s="808"/>
      <c r="Q108" s="808"/>
      <c r="R108" s="808"/>
      <c r="S108" s="808"/>
      <c r="T108" s="808"/>
      <c r="U108" s="808"/>
      <c r="V108" s="808"/>
      <c r="W108" s="808"/>
      <c r="X108" s="808"/>
      <c r="Y108" s="808"/>
      <c r="Z108" s="808"/>
      <c r="AA108" s="808"/>
      <c r="AB108" s="808"/>
      <c r="AC108" s="8011"/>
      <c r="AD108" s="8730"/>
      <c r="AE108" s="8011"/>
      <c r="AF108" s="8731"/>
      <c r="AG108" s="8731"/>
      <c r="AH108" s="8731"/>
      <c r="AI108" s="8731"/>
      <c r="AJ108" s="8731"/>
      <c r="AK108" s="461"/>
      <c r="AO108" s="1346"/>
      <c r="AP108" s="1346"/>
      <c r="BL108" s="1346"/>
      <c r="BM108" s="1346"/>
    </row>
    <row r="109" spans="1:74" ht="13.5" customHeight="1">
      <c r="A109" s="461"/>
      <c r="B109" s="808"/>
      <c r="C109" s="1362" t="s">
        <v>2394</v>
      </c>
      <c r="D109" s="2112" t="s">
        <v>3765</v>
      </c>
      <c r="E109" s="808"/>
      <c r="F109" s="808"/>
      <c r="G109" s="808"/>
      <c r="H109" s="808"/>
      <c r="I109" s="808"/>
      <c r="J109" s="808"/>
      <c r="K109" s="808"/>
      <c r="L109" s="808"/>
      <c r="M109" s="808"/>
      <c r="N109" s="808"/>
      <c r="O109" s="808"/>
      <c r="P109" s="808"/>
      <c r="Q109" s="808"/>
      <c r="R109" s="808"/>
      <c r="S109" s="808"/>
      <c r="T109" s="808"/>
      <c r="U109" s="808"/>
      <c r="V109" s="808"/>
      <c r="W109" s="808"/>
      <c r="X109" s="808"/>
      <c r="Y109" s="808"/>
      <c r="Z109" s="808"/>
      <c r="AA109" s="808"/>
      <c r="AB109" s="859" t="s">
        <v>3766</v>
      </c>
      <c r="AC109" s="8694" t="s">
        <v>3767</v>
      </c>
      <c r="AD109" s="8728"/>
      <c r="AE109" s="8729"/>
      <c r="AF109" s="8729"/>
      <c r="AG109" s="8729"/>
      <c r="AH109" s="8729"/>
      <c r="AI109" s="8729"/>
      <c r="AJ109" s="8729"/>
      <c r="AK109" s="461"/>
      <c r="AO109" s="1346"/>
      <c r="AP109" s="1346"/>
      <c r="BL109" s="1346"/>
      <c r="BM109" s="1346"/>
    </row>
    <row r="110" spans="1:74" ht="13.5" customHeight="1">
      <c r="A110" s="461"/>
      <c r="B110" s="808"/>
      <c r="C110" s="1362" t="s">
        <v>3676</v>
      </c>
      <c r="D110" s="892" t="s">
        <v>3768</v>
      </c>
      <c r="E110" s="808"/>
      <c r="F110" s="808"/>
      <c r="G110" s="808"/>
      <c r="H110" s="808"/>
      <c r="I110" s="808"/>
      <c r="J110" s="808"/>
      <c r="K110" s="808"/>
      <c r="L110" s="808"/>
      <c r="M110" s="808"/>
      <c r="N110" s="808"/>
      <c r="O110" s="808"/>
      <c r="P110" s="8750"/>
      <c r="Q110" s="8803"/>
      <c r="R110" s="8803"/>
      <c r="S110" s="8803"/>
      <c r="T110" s="8803"/>
      <c r="U110" s="8803"/>
      <c r="V110" s="8803"/>
      <c r="W110" s="8803"/>
      <c r="X110" s="8803"/>
      <c r="Y110" s="8803"/>
      <c r="Z110" s="8803"/>
      <c r="AA110" s="8803"/>
      <c r="AB110" s="808"/>
      <c r="AC110" s="8011"/>
      <c r="AD110" s="8730"/>
      <c r="AE110" s="8011"/>
      <c r="AF110" s="8731"/>
      <c r="AG110" s="8731"/>
      <c r="AH110" s="8731"/>
      <c r="AI110" s="8731"/>
      <c r="AJ110" s="8731"/>
      <c r="AK110" s="461"/>
      <c r="AO110" s="1346"/>
      <c r="AP110" s="1346"/>
      <c r="BL110" s="1346"/>
      <c r="BM110" s="1346"/>
    </row>
    <row r="111" spans="1:74" ht="13.5" customHeight="1">
      <c r="A111" s="461"/>
      <c r="B111" s="808"/>
      <c r="C111" s="808"/>
      <c r="D111" s="8750"/>
      <c r="E111" s="8751"/>
      <c r="F111" s="8751"/>
      <c r="G111" s="8751"/>
      <c r="H111" s="8751"/>
      <c r="I111" s="8751"/>
      <c r="J111" s="8751"/>
      <c r="K111" s="8751"/>
      <c r="L111" s="8751"/>
      <c r="M111" s="8751"/>
      <c r="N111" s="8751"/>
      <c r="O111" s="8751"/>
      <c r="P111" s="8751"/>
      <c r="Q111" s="8751"/>
      <c r="R111" s="8751"/>
      <c r="S111" s="8751"/>
      <c r="T111" s="8751"/>
      <c r="U111" s="8751"/>
      <c r="V111" s="8751"/>
      <c r="W111" s="8751"/>
      <c r="X111" s="8751"/>
      <c r="Y111" s="8751"/>
      <c r="Z111" s="8751"/>
      <c r="AA111" s="8751"/>
      <c r="AB111" s="808"/>
      <c r="AC111" s="8694" t="s">
        <v>3769</v>
      </c>
      <c r="AD111" s="8728"/>
      <c r="AE111" s="8729"/>
      <c r="AF111" s="8729"/>
      <c r="AG111" s="8729"/>
      <c r="AH111" s="8729"/>
      <c r="AI111" s="8729"/>
      <c r="AJ111" s="8729"/>
      <c r="AK111" s="461"/>
      <c r="AO111" s="1346"/>
      <c r="AP111" s="1346"/>
      <c r="BL111" s="1346"/>
      <c r="BM111" s="1346"/>
    </row>
    <row r="112" spans="1:74" ht="13.5" customHeight="1">
      <c r="A112" s="461"/>
      <c r="B112" s="808"/>
      <c r="C112" s="1362" t="s">
        <v>3770</v>
      </c>
      <c r="D112" s="808" t="s">
        <v>3771</v>
      </c>
      <c r="E112" s="808"/>
      <c r="F112" s="808"/>
      <c r="G112" s="808"/>
      <c r="H112" s="808"/>
      <c r="I112" s="808"/>
      <c r="J112" s="808"/>
      <c r="K112" s="808"/>
      <c r="L112" s="808"/>
      <c r="M112" s="808"/>
      <c r="N112" s="808"/>
      <c r="O112" s="808"/>
      <c r="P112" s="808"/>
      <c r="Q112" s="808"/>
      <c r="R112" s="808"/>
      <c r="S112" s="808"/>
      <c r="T112" s="808"/>
      <c r="U112" s="808"/>
      <c r="V112" s="808"/>
      <c r="W112" s="808"/>
      <c r="X112" s="808"/>
      <c r="Y112" s="808"/>
      <c r="Z112" s="808"/>
      <c r="AA112" s="808"/>
      <c r="AB112" s="808"/>
      <c r="AC112" s="1379"/>
      <c r="AD112" s="1380"/>
      <c r="AE112" s="808"/>
      <c r="AF112" s="808"/>
      <c r="AG112" s="808"/>
      <c r="AH112" s="808"/>
      <c r="AI112" s="808"/>
      <c r="AJ112" s="808"/>
      <c r="AK112" s="461"/>
      <c r="AO112" s="1346"/>
      <c r="AP112" s="1346"/>
      <c r="BL112" s="1346"/>
      <c r="BM112" s="1346"/>
    </row>
    <row r="113" spans="1:65" ht="13.5" customHeight="1">
      <c r="A113" s="461"/>
      <c r="B113" s="808"/>
      <c r="C113" s="1362" t="s">
        <v>3672</v>
      </c>
      <c r="D113" s="808" t="s">
        <v>3772</v>
      </c>
      <c r="E113" s="808"/>
      <c r="F113" s="808"/>
      <c r="G113" s="808"/>
      <c r="H113" s="808"/>
      <c r="I113" s="808"/>
      <c r="J113" s="808"/>
      <c r="K113" s="808"/>
      <c r="L113" s="808"/>
      <c r="M113" s="808"/>
      <c r="N113" s="808"/>
      <c r="O113" s="808"/>
      <c r="P113" s="808"/>
      <c r="Q113" s="808"/>
      <c r="R113" s="808"/>
      <c r="S113" s="808"/>
      <c r="T113" s="808"/>
      <c r="U113" s="8694" t="s">
        <v>3773</v>
      </c>
      <c r="V113" s="8728"/>
      <c r="W113" s="8729"/>
      <c r="X113" s="8729"/>
      <c r="Y113" s="8729"/>
      <c r="Z113" s="8729"/>
      <c r="AA113" s="8729"/>
      <c r="AB113" s="8729"/>
      <c r="AC113" s="1379"/>
      <c r="AD113" s="1380"/>
      <c r="AE113" s="808"/>
      <c r="AF113" s="808"/>
      <c r="AG113" s="808"/>
      <c r="AH113" s="808"/>
      <c r="AI113" s="808"/>
      <c r="AJ113" s="808"/>
      <c r="AK113" s="461"/>
      <c r="AO113" s="1346"/>
      <c r="AP113" s="1346"/>
      <c r="BL113" s="1346"/>
      <c r="BM113" s="1346"/>
    </row>
    <row r="114" spans="1:65" ht="13.5" customHeight="1">
      <c r="A114" s="461"/>
      <c r="B114" s="808"/>
      <c r="C114" s="1362" t="s">
        <v>2392</v>
      </c>
      <c r="D114" s="808" t="s">
        <v>3774</v>
      </c>
      <c r="E114" s="808"/>
      <c r="F114" s="808"/>
      <c r="G114" s="808"/>
      <c r="H114" s="808"/>
      <c r="I114" s="808"/>
      <c r="J114" s="808"/>
      <c r="K114" s="808"/>
      <c r="L114" s="808"/>
      <c r="M114" s="808"/>
      <c r="N114" s="808"/>
      <c r="O114" s="808"/>
      <c r="P114" s="808"/>
      <c r="Q114" s="808"/>
      <c r="R114" s="808"/>
      <c r="S114" s="808"/>
      <c r="T114" s="859" t="s">
        <v>665</v>
      </c>
      <c r="U114" s="8694" t="s">
        <v>3775</v>
      </c>
      <c r="V114" s="8728"/>
      <c r="W114" s="8729"/>
      <c r="X114" s="8729"/>
      <c r="Y114" s="8729"/>
      <c r="Z114" s="8729"/>
      <c r="AA114" s="8729"/>
      <c r="AB114" s="8729"/>
      <c r="AC114" s="1379"/>
      <c r="AD114" s="1380"/>
      <c r="AE114" s="808"/>
      <c r="AF114" s="808"/>
      <c r="AG114" s="808"/>
      <c r="AH114" s="808"/>
      <c r="AI114" s="808"/>
      <c r="AJ114" s="808"/>
      <c r="AK114" s="461"/>
      <c r="BL114" s="1346"/>
      <c r="BM114" s="1346"/>
    </row>
    <row r="115" spans="1:65" ht="13.5" customHeight="1">
      <c r="A115" s="461"/>
      <c r="B115" s="808"/>
      <c r="C115" s="1362" t="s">
        <v>2394</v>
      </c>
      <c r="D115" s="808" t="s">
        <v>3776</v>
      </c>
      <c r="E115" s="808"/>
      <c r="F115" s="808"/>
      <c r="G115" s="808"/>
      <c r="H115" s="808"/>
      <c r="I115" s="808"/>
      <c r="J115" s="808"/>
      <c r="K115" s="808"/>
      <c r="L115" s="808"/>
      <c r="M115" s="808"/>
      <c r="N115" s="808"/>
      <c r="O115" s="808"/>
      <c r="P115" s="808"/>
      <c r="Q115" s="808"/>
      <c r="R115" s="808"/>
      <c r="S115" s="808"/>
      <c r="T115" s="859" t="s">
        <v>740</v>
      </c>
      <c r="U115" s="8694" t="s">
        <v>3777</v>
      </c>
      <c r="V115" s="8728"/>
      <c r="W115" s="8729"/>
      <c r="X115" s="8729"/>
      <c r="Y115" s="8729"/>
      <c r="Z115" s="8729"/>
      <c r="AA115" s="8729"/>
      <c r="AB115" s="8729"/>
      <c r="AC115" s="1379"/>
      <c r="AD115" s="1380"/>
      <c r="AE115" s="808"/>
      <c r="AF115" s="808"/>
      <c r="AG115" s="808"/>
      <c r="AH115" s="808"/>
      <c r="AI115" s="808"/>
      <c r="AJ115" s="808"/>
      <c r="AK115" s="461"/>
      <c r="BL115" s="1346"/>
      <c r="BM115" s="1346"/>
    </row>
    <row r="116" spans="1:65" ht="13.5" customHeight="1">
      <c r="A116" s="461"/>
      <c r="B116" s="808"/>
      <c r="C116" s="1362" t="s">
        <v>3676</v>
      </c>
      <c r="D116" s="808" t="s">
        <v>3778</v>
      </c>
      <c r="E116" s="808"/>
      <c r="F116" s="808"/>
      <c r="G116" s="808"/>
      <c r="H116" s="808"/>
      <c r="I116" s="808"/>
      <c r="J116" s="808"/>
      <c r="K116" s="808"/>
      <c r="L116" s="808"/>
      <c r="M116" s="808"/>
      <c r="N116" s="808"/>
      <c r="O116" s="808"/>
      <c r="P116" s="808"/>
      <c r="Q116" s="808"/>
      <c r="R116" s="808"/>
      <c r="S116" s="808"/>
      <c r="T116" s="859" t="s">
        <v>705</v>
      </c>
      <c r="U116" s="8694" t="s">
        <v>3779</v>
      </c>
      <c r="V116" s="8728"/>
      <c r="W116" s="8729"/>
      <c r="X116" s="8729"/>
      <c r="Y116" s="8729"/>
      <c r="Z116" s="8729"/>
      <c r="AA116" s="8729"/>
      <c r="AB116" s="8729"/>
      <c r="AC116" s="1379"/>
      <c r="AD116" s="1380"/>
      <c r="AE116" s="808"/>
      <c r="AF116" s="808"/>
      <c r="AG116" s="808"/>
      <c r="AH116" s="808"/>
      <c r="AI116" s="808"/>
      <c r="AJ116" s="808"/>
      <c r="AK116" s="461"/>
      <c r="BL116" s="1346"/>
      <c r="BM116" s="1346"/>
    </row>
    <row r="117" spans="1:65" ht="13.5" customHeight="1">
      <c r="A117" s="461"/>
      <c r="B117" s="808"/>
      <c r="C117" s="1362" t="s">
        <v>3678</v>
      </c>
      <c r="D117" s="808" t="s">
        <v>3780</v>
      </c>
      <c r="E117" s="808"/>
      <c r="F117" s="808"/>
      <c r="G117" s="808"/>
      <c r="H117" s="808"/>
      <c r="I117" s="808"/>
      <c r="J117" s="808"/>
      <c r="K117" s="808"/>
      <c r="L117" s="808"/>
      <c r="M117" s="808"/>
      <c r="N117" s="808"/>
      <c r="O117" s="808"/>
      <c r="P117" s="808"/>
      <c r="Q117" s="808"/>
      <c r="R117" s="808"/>
      <c r="S117" s="808"/>
      <c r="T117" s="859" t="s">
        <v>740</v>
      </c>
      <c r="U117" s="8694" t="s">
        <v>3781</v>
      </c>
      <c r="V117" s="8728"/>
      <c r="W117" s="8729"/>
      <c r="X117" s="8729"/>
      <c r="Y117" s="8729"/>
      <c r="Z117" s="8729"/>
      <c r="AA117" s="8729"/>
      <c r="AB117" s="8729"/>
      <c r="AC117" s="1379"/>
      <c r="AD117" s="1380"/>
      <c r="AE117" s="808"/>
      <c r="AF117" s="808"/>
      <c r="AG117" s="808"/>
      <c r="AH117" s="808"/>
      <c r="AI117" s="808"/>
      <c r="AJ117" s="808"/>
      <c r="AK117" s="461"/>
      <c r="BL117" s="1346"/>
      <c r="BM117" s="1346"/>
    </row>
    <row r="118" spans="1:65" ht="13.5" customHeight="1">
      <c r="A118" s="461"/>
      <c r="B118" s="808"/>
      <c r="C118" s="1362" t="s">
        <v>3782</v>
      </c>
      <c r="D118" s="808" t="s">
        <v>3783</v>
      </c>
      <c r="E118" s="808"/>
      <c r="F118" s="808"/>
      <c r="G118" s="808"/>
      <c r="H118" s="808"/>
      <c r="I118" s="808"/>
      <c r="J118" s="808"/>
      <c r="K118" s="808"/>
      <c r="L118" s="808"/>
      <c r="M118" s="808"/>
      <c r="N118" s="808"/>
      <c r="O118" s="8750"/>
      <c r="P118" s="8751"/>
      <c r="Q118" s="8751"/>
      <c r="R118" s="8751"/>
      <c r="S118" s="8751"/>
      <c r="T118" s="808"/>
      <c r="U118" s="8794"/>
      <c r="V118" s="8806"/>
      <c r="W118" s="8011"/>
      <c r="X118" s="8731"/>
      <c r="Y118" s="8731"/>
      <c r="Z118" s="8731"/>
      <c r="AA118" s="8731"/>
      <c r="AB118" s="8730"/>
      <c r="AC118" s="1379"/>
      <c r="AD118" s="1380"/>
      <c r="AE118" s="808"/>
      <c r="AF118" s="808"/>
      <c r="AG118" s="808"/>
      <c r="AH118" s="808"/>
      <c r="AI118" s="808"/>
      <c r="AJ118" s="808"/>
      <c r="AK118" s="461"/>
      <c r="BL118" s="1346"/>
      <c r="BM118" s="1346"/>
    </row>
    <row r="119" spans="1:65" ht="13.5" customHeight="1">
      <c r="A119" s="461"/>
      <c r="B119" s="808"/>
      <c r="C119" s="808"/>
      <c r="D119" s="8750"/>
      <c r="E119" s="8751"/>
      <c r="F119" s="8751"/>
      <c r="G119" s="8751"/>
      <c r="H119" s="8751"/>
      <c r="I119" s="8751"/>
      <c r="J119" s="8751"/>
      <c r="K119" s="8751"/>
      <c r="L119" s="8751"/>
      <c r="M119" s="8751"/>
      <c r="N119" s="8751"/>
      <c r="O119" s="8751"/>
      <c r="P119" s="8751"/>
      <c r="Q119" s="8751"/>
      <c r="R119" s="8751"/>
      <c r="S119" s="8751"/>
      <c r="T119" s="808"/>
      <c r="U119" s="8694" t="s">
        <v>3784</v>
      </c>
      <c r="V119" s="8728"/>
      <c r="W119" s="8804"/>
      <c r="X119" s="8729"/>
      <c r="Y119" s="8729"/>
      <c r="Z119" s="8729"/>
      <c r="AA119" s="8729"/>
      <c r="AB119" s="8805"/>
      <c r="AC119" s="1379"/>
      <c r="AD119" s="1380"/>
      <c r="AE119" s="808"/>
      <c r="AF119" s="808"/>
      <c r="AG119" s="808"/>
      <c r="AH119" s="808"/>
      <c r="AI119" s="808"/>
      <c r="AJ119" s="808"/>
      <c r="AK119" s="461"/>
      <c r="BL119" s="1346"/>
      <c r="BM119" s="1346"/>
    </row>
    <row r="120" spans="1:65" ht="13.5" customHeight="1">
      <c r="A120" s="461"/>
      <c r="B120" s="808"/>
      <c r="C120" s="808"/>
      <c r="D120" s="808"/>
      <c r="E120" s="808"/>
      <c r="F120" s="808"/>
      <c r="G120" s="808"/>
      <c r="H120" s="808"/>
      <c r="I120" s="808"/>
      <c r="J120" s="808"/>
      <c r="K120" s="808"/>
      <c r="L120" s="808"/>
      <c r="M120" s="808"/>
      <c r="N120" s="808"/>
      <c r="O120" s="808"/>
      <c r="P120" s="808"/>
      <c r="Q120" s="808"/>
      <c r="R120" s="808"/>
      <c r="S120" s="808"/>
      <c r="T120" s="808"/>
      <c r="U120" s="808"/>
      <c r="V120" s="808"/>
      <c r="W120" s="808"/>
      <c r="X120" s="808"/>
      <c r="Y120" s="808"/>
      <c r="Z120" s="808"/>
      <c r="AA120" s="808"/>
      <c r="AB120" s="808"/>
      <c r="AC120" s="8011"/>
      <c r="AD120" s="8730"/>
      <c r="AE120" s="8011"/>
      <c r="AF120" s="8731"/>
      <c r="AG120" s="8731"/>
      <c r="AH120" s="8731"/>
      <c r="AI120" s="8731"/>
      <c r="AJ120" s="8731"/>
      <c r="AK120" s="461"/>
      <c r="BL120" s="1346"/>
      <c r="BM120" s="1346"/>
    </row>
    <row r="121" spans="1:65" ht="15" customHeight="1">
      <c r="A121" s="461"/>
      <c r="B121" s="808"/>
      <c r="C121" s="1362" t="s">
        <v>3785</v>
      </c>
      <c r="D121" s="2112" t="s">
        <v>3786</v>
      </c>
      <c r="E121" s="808"/>
      <c r="F121" s="808"/>
      <c r="G121" s="808"/>
      <c r="H121" s="808"/>
      <c r="I121" s="808"/>
      <c r="J121" s="808"/>
      <c r="K121" s="808"/>
      <c r="L121" s="808"/>
      <c r="M121" s="808"/>
      <c r="N121" s="808"/>
      <c r="O121" s="808"/>
      <c r="P121" s="808"/>
      <c r="Q121" s="808"/>
      <c r="R121" s="808"/>
      <c r="S121" s="808"/>
      <c r="T121" s="808"/>
      <c r="U121" s="808"/>
      <c r="V121" s="808"/>
      <c r="W121" s="808"/>
      <c r="X121" s="808"/>
      <c r="Y121" s="808"/>
      <c r="Z121" s="808"/>
      <c r="AA121" s="808"/>
      <c r="AB121" s="859" t="s">
        <v>2163</v>
      </c>
      <c r="AC121" s="8694" t="s">
        <v>3787</v>
      </c>
      <c r="AD121" s="8728"/>
      <c r="AE121" s="8807">
        <f>IF(ISERROR(SUM(W113:W119)),"",SUM(W113:W119))</f>
        <v>0</v>
      </c>
      <c r="AF121" s="8807"/>
      <c r="AG121" s="8807"/>
      <c r="AH121" s="8807"/>
      <c r="AI121" s="8807"/>
      <c r="AJ121" s="8807"/>
      <c r="AK121" s="461"/>
      <c r="BL121" s="1346"/>
      <c r="BM121" s="1346"/>
    </row>
    <row r="122" spans="1:65" ht="15" customHeight="1">
      <c r="A122" s="461"/>
      <c r="B122" s="808"/>
      <c r="C122" s="1362" t="s">
        <v>3788</v>
      </c>
      <c r="D122" s="2112" t="s">
        <v>3789</v>
      </c>
      <c r="E122" s="808"/>
      <c r="F122" s="808"/>
      <c r="G122" s="808"/>
      <c r="H122" s="808"/>
      <c r="I122" s="808"/>
      <c r="J122" s="808"/>
      <c r="K122" s="808"/>
      <c r="L122" s="808"/>
      <c r="M122" s="808"/>
      <c r="N122" s="808"/>
      <c r="O122" s="808"/>
      <c r="P122" s="808"/>
      <c r="Q122" s="407"/>
      <c r="R122" s="8749"/>
      <c r="S122" s="8749"/>
      <c r="T122" s="8749"/>
      <c r="U122" s="8749"/>
      <c r="V122" s="8749"/>
      <c r="W122" s="8749"/>
      <c r="X122" s="8749"/>
      <c r="Y122" s="8749"/>
      <c r="Z122" s="8749"/>
      <c r="AA122" s="8749"/>
      <c r="AB122" s="808"/>
      <c r="AC122" s="8011"/>
      <c r="AD122" s="8730"/>
      <c r="AE122" s="8011"/>
      <c r="AF122" s="8731"/>
      <c r="AG122" s="8731"/>
      <c r="AH122" s="8731"/>
      <c r="AI122" s="8731"/>
      <c r="AJ122" s="8731"/>
      <c r="AK122" s="461"/>
      <c r="BL122" s="1346"/>
      <c r="BM122" s="1346"/>
    </row>
    <row r="123" spans="1:65" ht="15" customHeight="1">
      <c r="A123" s="461"/>
      <c r="B123" s="808"/>
      <c r="C123" s="808"/>
      <c r="D123" s="8750"/>
      <c r="E123" s="8803"/>
      <c r="F123" s="8803"/>
      <c r="G123" s="8803"/>
      <c r="H123" s="8803"/>
      <c r="I123" s="8803"/>
      <c r="J123" s="8803"/>
      <c r="K123" s="8803"/>
      <c r="L123" s="8803"/>
      <c r="M123" s="8803"/>
      <c r="N123" s="8803"/>
      <c r="O123" s="8803"/>
      <c r="P123" s="8803"/>
      <c r="Q123" s="8803"/>
      <c r="R123" s="8803"/>
      <c r="S123" s="8803"/>
      <c r="T123" s="8803"/>
      <c r="U123" s="8803"/>
      <c r="V123" s="8803"/>
      <c r="W123" s="8803"/>
      <c r="X123" s="8803"/>
      <c r="Y123" s="8803"/>
      <c r="Z123" s="8803"/>
      <c r="AA123" s="8803"/>
      <c r="AB123" s="808"/>
      <c r="AC123" s="8694">
        <v>23</v>
      </c>
      <c r="AD123" s="8728"/>
      <c r="AE123" s="8729"/>
      <c r="AF123" s="8729"/>
      <c r="AG123" s="8729"/>
      <c r="AH123" s="8729"/>
      <c r="AI123" s="8729"/>
      <c r="AJ123" s="8729"/>
      <c r="AK123" s="461"/>
      <c r="BL123" s="1346"/>
      <c r="BM123" s="1346"/>
    </row>
    <row r="124" spans="1:65" ht="15" customHeight="1">
      <c r="A124" s="461"/>
      <c r="B124" s="808"/>
      <c r="C124" s="808"/>
      <c r="D124" s="808"/>
      <c r="E124" s="808"/>
      <c r="F124" s="808"/>
      <c r="G124" s="808"/>
      <c r="H124" s="808"/>
      <c r="I124" s="808"/>
      <c r="J124" s="808"/>
      <c r="K124" s="808"/>
      <c r="L124" s="808"/>
      <c r="M124" s="808"/>
      <c r="N124" s="808"/>
      <c r="O124" s="808"/>
      <c r="P124" s="808"/>
      <c r="Q124" s="808"/>
      <c r="R124" s="808"/>
      <c r="S124" s="808"/>
      <c r="T124" s="808"/>
      <c r="U124" s="808"/>
      <c r="V124" s="808"/>
      <c r="W124" s="808"/>
      <c r="X124" s="808"/>
      <c r="Y124" s="808"/>
      <c r="Z124" s="808"/>
      <c r="AA124" s="808"/>
      <c r="AB124" s="808"/>
      <c r="AC124" s="8794"/>
      <c r="AD124" s="8806"/>
      <c r="AE124" s="8011"/>
      <c r="AF124" s="8731"/>
      <c r="AG124" s="8731"/>
      <c r="AH124" s="8731"/>
      <c r="AI124" s="8731"/>
      <c r="AJ124" s="8731"/>
      <c r="AK124" s="461"/>
      <c r="BL124" s="1346"/>
      <c r="BM124" s="1346"/>
    </row>
    <row r="125" spans="1:65" ht="15" customHeight="1">
      <c r="A125" s="461"/>
      <c r="B125" s="808"/>
      <c r="C125" s="1362" t="s">
        <v>3790</v>
      </c>
      <c r="D125" s="2112" t="s">
        <v>3791</v>
      </c>
      <c r="E125" s="808"/>
      <c r="F125" s="808"/>
      <c r="G125" s="808"/>
      <c r="H125" s="808"/>
      <c r="I125" s="808"/>
      <c r="J125" s="808"/>
      <c r="K125" s="808"/>
      <c r="L125" s="808"/>
      <c r="M125" s="808"/>
      <c r="N125" s="808"/>
      <c r="O125" s="808"/>
      <c r="P125" s="808"/>
      <c r="Q125" s="808"/>
      <c r="R125" s="808"/>
      <c r="S125" s="808"/>
      <c r="T125" s="808"/>
      <c r="U125" s="808"/>
      <c r="V125" s="808"/>
      <c r="W125" s="808"/>
      <c r="X125" s="808"/>
      <c r="Y125" s="808"/>
      <c r="Z125" s="808"/>
      <c r="AA125" s="808"/>
      <c r="AB125" s="859" t="s">
        <v>740</v>
      </c>
      <c r="AC125" s="8694">
        <v>24</v>
      </c>
      <c r="AD125" s="8728"/>
      <c r="AE125" s="8807">
        <f>IF(ISERROR(SUM(AE98,AE100,AE102,AE105,AE107,AE109,AE111,AE121,AE123)),"",SUM(AE98,AE100,AE102,AE105,AE107,AE109,AE111,AE121,AE123))</f>
        <v>0</v>
      </c>
      <c r="AF125" s="8807"/>
      <c r="AG125" s="8807"/>
      <c r="AH125" s="8807"/>
      <c r="AI125" s="8807"/>
      <c r="AJ125" s="8807"/>
      <c r="AK125" s="461"/>
      <c r="BL125" s="1346"/>
      <c r="BM125" s="1346"/>
    </row>
    <row r="126" spans="1:65" ht="15" customHeight="1">
      <c r="A126" s="461"/>
      <c r="B126" s="808"/>
      <c r="C126" s="808"/>
      <c r="D126" s="808"/>
      <c r="E126" s="808"/>
      <c r="F126" s="808"/>
      <c r="G126" s="808"/>
      <c r="H126" s="808"/>
      <c r="I126" s="808"/>
      <c r="J126" s="808"/>
      <c r="K126" s="808"/>
      <c r="L126" s="808"/>
      <c r="M126" s="808"/>
      <c r="N126" s="808"/>
      <c r="O126" s="808"/>
      <c r="P126" s="808"/>
      <c r="Q126" s="808"/>
      <c r="R126" s="808"/>
      <c r="S126" s="808"/>
      <c r="T126" s="808"/>
      <c r="U126" s="808"/>
      <c r="V126" s="808"/>
      <c r="W126" s="808"/>
      <c r="X126" s="808"/>
      <c r="Y126" s="808"/>
      <c r="Z126" s="808"/>
      <c r="AA126" s="808"/>
      <c r="AB126" s="808"/>
      <c r="AC126" s="8794"/>
      <c r="AD126" s="8806"/>
      <c r="AE126" s="8011"/>
      <c r="AF126" s="8731"/>
      <c r="AG126" s="8731"/>
      <c r="AH126" s="8731"/>
      <c r="AI126" s="8731"/>
      <c r="AJ126" s="8731"/>
      <c r="AK126" s="461"/>
      <c r="BL126" s="1346"/>
      <c r="BM126" s="1346"/>
    </row>
    <row r="127" spans="1:65" ht="15" customHeight="1">
      <c r="A127" s="461"/>
      <c r="B127" s="808"/>
      <c r="C127" s="1362" t="s">
        <v>3792</v>
      </c>
      <c r="D127" s="2112" t="s">
        <v>3793</v>
      </c>
      <c r="E127" s="808"/>
      <c r="F127" s="808"/>
      <c r="G127" s="808"/>
      <c r="H127" s="808"/>
      <c r="I127" s="808"/>
      <c r="J127" s="808"/>
      <c r="K127" s="808"/>
      <c r="L127" s="808"/>
      <c r="M127" s="808"/>
      <c r="N127" s="808"/>
      <c r="O127" s="808"/>
      <c r="P127" s="808"/>
      <c r="Q127" s="808"/>
      <c r="R127" s="808"/>
      <c r="S127" s="808"/>
      <c r="T127" s="808"/>
      <c r="U127" s="808"/>
      <c r="V127" s="808"/>
      <c r="W127" s="808"/>
      <c r="X127" s="808"/>
      <c r="Y127" s="808"/>
      <c r="Z127" s="808"/>
      <c r="AA127" s="808"/>
      <c r="AB127" s="808"/>
      <c r="AC127" s="8694">
        <v>25</v>
      </c>
      <c r="AD127" s="8728"/>
      <c r="AE127" s="8729"/>
      <c r="AF127" s="8729"/>
      <c r="AG127" s="8729"/>
      <c r="AH127" s="8729"/>
      <c r="AI127" s="8729"/>
      <c r="AJ127" s="8729"/>
      <c r="AK127" s="461"/>
      <c r="BL127" s="1346"/>
      <c r="BM127" s="1346"/>
    </row>
    <row r="128" spans="1:65" ht="15" customHeight="1" thickBot="1">
      <c r="A128" s="461"/>
      <c r="B128" s="808"/>
      <c r="C128" s="1362" t="s">
        <v>3794</v>
      </c>
      <c r="D128" s="2112" t="s">
        <v>3795</v>
      </c>
      <c r="E128" s="808"/>
      <c r="F128" s="808"/>
      <c r="G128" s="808"/>
      <c r="H128" s="808"/>
      <c r="I128" s="808"/>
      <c r="J128" s="808"/>
      <c r="K128" s="808"/>
      <c r="L128" s="808"/>
      <c r="M128" s="808"/>
      <c r="N128" s="808"/>
      <c r="O128" s="808"/>
      <c r="P128" s="808"/>
      <c r="Q128" s="808"/>
      <c r="R128" s="808"/>
      <c r="S128" s="808"/>
      <c r="T128" s="808"/>
      <c r="U128" s="899"/>
      <c r="V128" s="899"/>
      <c r="W128" s="1145" t="str">
        <f>"This is your "&amp;TaxYear</f>
        <v>This is your 2023</v>
      </c>
      <c r="X128" s="808"/>
      <c r="Y128" s="808"/>
      <c r="Z128" s="808"/>
      <c r="AA128" s="808"/>
      <c r="AB128" s="808"/>
      <c r="AC128" s="8794"/>
      <c r="AD128" s="8806"/>
      <c r="AE128" s="8011"/>
      <c r="AF128" s="8731"/>
      <c r="AG128" s="8731"/>
      <c r="AH128" s="8731"/>
      <c r="AI128" s="8731"/>
      <c r="AJ128" s="8731"/>
      <c r="AK128" s="461"/>
      <c r="AM128" s="1376" t="s">
        <v>867</v>
      </c>
      <c r="BL128" s="1346"/>
      <c r="BM128" s="1346"/>
    </row>
    <row r="129" spans="1:74" ht="15" customHeight="1" thickBot="1">
      <c r="A129" s="461"/>
      <c r="B129" s="808"/>
      <c r="C129" s="1362"/>
      <c r="D129" s="1145" t="s">
        <v>3796</v>
      </c>
      <c r="E129" s="808"/>
      <c r="F129" s="808"/>
      <c r="G129" s="808"/>
      <c r="H129" s="808"/>
      <c r="I129" s="808"/>
      <c r="J129" s="808"/>
      <c r="K129" s="808"/>
      <c r="L129" s="808"/>
      <c r="M129" s="808"/>
      <c r="N129" s="808"/>
      <c r="O129" s="808"/>
      <c r="P129" s="808"/>
      <c r="Q129" s="808"/>
      <c r="R129" s="808"/>
      <c r="S129" s="808"/>
      <c r="T129" s="808"/>
      <c r="U129" s="808"/>
      <c r="V129" s="808"/>
      <c r="W129" s="808"/>
      <c r="X129" s="808"/>
      <c r="Y129" s="808"/>
      <c r="Z129" s="808"/>
      <c r="AA129" s="954" t="s">
        <v>744</v>
      </c>
      <c r="AB129" s="1387"/>
      <c r="AC129" s="8818">
        <v>26</v>
      </c>
      <c r="AD129" s="8819"/>
      <c r="AE129" s="8807">
        <f>IF(AM129&lt;&gt;"",ROUND(AM129,0),ROUND(SUM(AE125,-AE127),0))</f>
        <v>0</v>
      </c>
      <c r="AF129" s="8807"/>
      <c r="AG129" s="8807"/>
      <c r="AH129" s="8807"/>
      <c r="AI129" s="8807"/>
      <c r="AJ129" s="8807"/>
      <c r="AK129" s="461"/>
      <c r="AM129" s="1407"/>
      <c r="BL129" s="1346"/>
      <c r="BM129" s="1346"/>
    </row>
    <row r="130" spans="1:74" ht="18.75" thickTop="1">
      <c r="A130" s="461"/>
      <c r="B130" s="963"/>
      <c r="C130" s="963"/>
      <c r="D130" s="963"/>
      <c r="E130" s="963"/>
      <c r="F130" s="963"/>
      <c r="G130" s="963"/>
      <c r="H130" s="963"/>
      <c r="I130" s="963"/>
      <c r="J130" s="963"/>
      <c r="K130" s="963"/>
      <c r="L130" s="963"/>
      <c r="M130" s="963"/>
      <c r="N130" s="963"/>
      <c r="O130" s="963"/>
      <c r="P130" s="963"/>
      <c r="Q130" s="963"/>
      <c r="R130" s="963"/>
      <c r="S130" s="963"/>
      <c r="T130" s="963"/>
      <c r="U130" s="963"/>
      <c r="V130" s="963"/>
      <c r="W130" s="963"/>
      <c r="X130" s="963"/>
      <c r="Y130" s="963"/>
      <c r="Z130" s="963"/>
      <c r="AA130" s="963"/>
      <c r="AB130" s="963"/>
      <c r="AC130" s="963"/>
      <c r="AD130" s="963"/>
      <c r="AE130" s="963"/>
      <c r="AF130" s="963"/>
      <c r="AG130" s="963"/>
      <c r="AH130" s="2955" t="s">
        <v>3797</v>
      </c>
      <c r="AI130" s="2956" t="str">
        <f>" ("&amp;TaxYear&amp;")"</f>
        <v xml:space="preserve"> (2023)</v>
      </c>
      <c r="AJ130" s="1381"/>
      <c r="AK130" s="461"/>
      <c r="AO130" s="1352"/>
      <c r="AP130" s="1353"/>
      <c r="BL130" s="1346"/>
      <c r="BM130" s="1346"/>
      <c r="BO130" s="1346"/>
      <c r="BP130" s="1346"/>
      <c r="BQ130" s="1346"/>
      <c r="BR130" s="1346"/>
      <c r="BS130" s="1346"/>
      <c r="BT130" s="1346"/>
      <c r="BU130" s="1346"/>
      <c r="BV130" s="1346"/>
    </row>
    <row r="131" spans="1:74" ht="18.75" thickBot="1">
      <c r="A131" s="461"/>
      <c r="B131" s="5057" t="str">
        <f>"Form 2555 ("&amp;TaxYear&amp;")"</f>
        <v>Form 2555 (2023)</v>
      </c>
      <c r="C131" s="964"/>
      <c r="D131" s="964"/>
      <c r="E131" s="964"/>
      <c r="F131" s="964"/>
      <c r="G131" s="964"/>
      <c r="H131" s="964"/>
      <c r="I131" s="964"/>
      <c r="J131" s="964"/>
      <c r="K131" s="964"/>
      <c r="L131" s="964"/>
      <c r="M131" s="964"/>
      <c r="N131" s="964"/>
      <c r="O131" s="964"/>
      <c r="P131" s="964"/>
      <c r="Q131" s="964"/>
      <c r="R131" s="964"/>
      <c r="S131" s="964"/>
      <c r="T131" s="964"/>
      <c r="U131" s="964"/>
      <c r="V131" s="964"/>
      <c r="W131" s="964"/>
      <c r="X131" s="964"/>
      <c r="Y131" s="964"/>
      <c r="Z131" s="964"/>
      <c r="AA131" s="964"/>
      <c r="AB131" s="964"/>
      <c r="AC131" s="964"/>
      <c r="AD131" s="964"/>
      <c r="AE131" s="964"/>
      <c r="AF131" s="964"/>
      <c r="AG131" s="964"/>
      <c r="AH131" s="964"/>
      <c r="AI131" s="1368" t="s">
        <v>2387</v>
      </c>
      <c r="AJ131" s="1369">
        <v>3</v>
      </c>
      <c r="AK131" s="461"/>
      <c r="AO131" s="1352"/>
      <c r="AP131" s="1353"/>
      <c r="BL131" s="1346"/>
      <c r="BM131" s="1346"/>
      <c r="BO131" s="1346"/>
      <c r="BP131" s="1346"/>
      <c r="BQ131" s="1346"/>
      <c r="BR131" s="1346"/>
      <c r="BS131" s="1346"/>
      <c r="BT131" s="1346"/>
      <c r="BU131" s="1346"/>
      <c r="BV131" s="1346"/>
    </row>
    <row r="132" spans="1:74" ht="20.25" customHeight="1" thickTop="1">
      <c r="A132" s="461"/>
      <c r="B132" s="8698" t="s">
        <v>2425</v>
      </c>
      <c r="C132" s="6435"/>
      <c r="D132" s="4552" t="s">
        <v>3745</v>
      </c>
      <c r="E132" s="4553"/>
      <c r="F132" s="4553"/>
      <c r="G132" s="4553"/>
      <c r="H132" s="4553"/>
      <c r="I132" s="4553"/>
      <c r="J132" s="4553"/>
      <c r="K132" s="4553"/>
      <c r="L132" s="4553"/>
      <c r="M132" s="4553"/>
      <c r="N132" s="4553"/>
      <c r="O132" s="4553"/>
      <c r="P132" s="4553"/>
      <c r="Q132" s="4553"/>
      <c r="R132" s="4553"/>
      <c r="S132" s="4553"/>
      <c r="T132" s="4553"/>
      <c r="U132" s="4553"/>
      <c r="V132" s="4553"/>
      <c r="W132" s="4553"/>
      <c r="X132" s="4553"/>
      <c r="Y132" s="4553"/>
      <c r="Z132" s="4553"/>
      <c r="AA132" s="4553"/>
      <c r="AB132" s="4553"/>
      <c r="AC132" s="4553"/>
      <c r="AD132" s="4553"/>
      <c r="AE132" s="4553"/>
      <c r="AF132" s="4553"/>
      <c r="AG132" s="4553"/>
      <c r="AH132" s="4553"/>
      <c r="AI132" s="4553"/>
      <c r="AJ132" s="4553"/>
      <c r="AK132" s="461"/>
    </row>
    <row r="133" spans="1:74" ht="15" customHeight="1">
      <c r="A133" s="461"/>
      <c r="B133" s="808"/>
      <c r="C133" s="808"/>
      <c r="D133" s="808"/>
      <c r="E133" s="808"/>
      <c r="F133" s="808"/>
      <c r="G133" s="808"/>
      <c r="H133" s="808"/>
      <c r="I133" s="808"/>
      <c r="J133" s="808"/>
      <c r="K133" s="808"/>
      <c r="L133" s="808"/>
      <c r="M133" s="808"/>
      <c r="N133" s="808"/>
      <c r="O133" s="808"/>
      <c r="P133" s="808"/>
      <c r="Q133" s="808"/>
      <c r="R133" s="808"/>
      <c r="S133" s="808"/>
      <c r="T133" s="808"/>
      <c r="U133" s="808"/>
      <c r="V133" s="808"/>
      <c r="W133" s="808"/>
      <c r="X133" s="808"/>
      <c r="Y133" s="808"/>
      <c r="Z133" s="808"/>
      <c r="AA133" s="808"/>
      <c r="AB133" s="808"/>
      <c r="AC133" s="7933"/>
      <c r="AD133" s="8809"/>
      <c r="AE133" s="7933"/>
      <c r="AF133" s="8802"/>
      <c r="AG133" s="8802"/>
      <c r="AH133" s="8802"/>
      <c r="AI133" s="8802"/>
      <c r="AJ133" s="8802"/>
      <c r="AK133" s="461"/>
      <c r="BL133" s="1346"/>
      <c r="BM133" s="1346"/>
    </row>
    <row r="134" spans="1:74" ht="15" customHeight="1">
      <c r="A134" s="461"/>
      <c r="B134" s="808"/>
      <c r="C134" s="1362" t="s">
        <v>3798</v>
      </c>
      <c r="D134" s="2112" t="s">
        <v>3799</v>
      </c>
      <c r="E134" s="808"/>
      <c r="F134" s="808"/>
      <c r="G134" s="808"/>
      <c r="H134" s="808"/>
      <c r="I134" s="808"/>
      <c r="J134" s="808"/>
      <c r="K134" s="808"/>
      <c r="L134" s="808"/>
      <c r="M134" s="808"/>
      <c r="N134" s="808"/>
      <c r="O134" s="808"/>
      <c r="P134" s="808"/>
      <c r="Q134" s="808"/>
      <c r="R134" s="808"/>
      <c r="S134" s="808"/>
      <c r="T134" s="808"/>
      <c r="U134" s="808"/>
      <c r="V134" s="808"/>
      <c r="W134" s="808"/>
      <c r="X134" s="808"/>
      <c r="Y134" s="808"/>
      <c r="Z134" s="808"/>
      <c r="AA134" s="808"/>
      <c r="AB134" s="859" t="s">
        <v>744</v>
      </c>
      <c r="AC134" s="8694">
        <v>27</v>
      </c>
      <c r="AD134" s="8728"/>
      <c r="AE134" s="8807">
        <f>ForeignEarnedIncome1</f>
        <v>0</v>
      </c>
      <c r="AF134" s="8807"/>
      <c r="AG134" s="8807"/>
      <c r="AH134" s="8807"/>
      <c r="AI134" s="8807"/>
      <c r="AJ134" s="8807"/>
      <c r="AK134" s="461"/>
      <c r="AO134" s="4671">
        <f>IF(AE129="",0,AE129)</f>
        <v>0</v>
      </c>
      <c r="BL134" s="1346"/>
      <c r="BM134" s="1346"/>
    </row>
    <row r="135" spans="1:74" ht="16.5" customHeight="1" thickBot="1">
      <c r="A135" s="461"/>
      <c r="B135" s="808"/>
      <c r="C135" s="808"/>
      <c r="D135" s="2645" t="s">
        <v>3800</v>
      </c>
      <c r="E135" s="808"/>
      <c r="F135" s="808"/>
      <c r="G135" s="808"/>
      <c r="H135" s="808"/>
      <c r="I135" s="808"/>
      <c r="J135" s="808"/>
      <c r="K135" s="808"/>
      <c r="L135" s="808"/>
      <c r="M135" s="808"/>
      <c r="N135" s="808"/>
      <c r="O135" s="808"/>
      <c r="P135" s="808"/>
      <c r="Q135" s="808"/>
      <c r="R135" s="808"/>
      <c r="S135" s="808"/>
      <c r="T135" s="808"/>
      <c r="U135" s="808"/>
      <c r="V135" s="808"/>
      <c r="W135" s="808"/>
      <c r="X135" s="808"/>
      <c r="Y135" s="808"/>
      <c r="Z135" s="808"/>
      <c r="AA135" s="808"/>
      <c r="AB135" s="808"/>
      <c r="AC135" s="808"/>
      <c r="AD135" s="808"/>
      <c r="AE135" s="808"/>
      <c r="AF135" s="808"/>
      <c r="AG135" s="808"/>
      <c r="AH135" s="808"/>
      <c r="AI135" s="808"/>
      <c r="AJ135" s="808"/>
      <c r="AK135" s="461"/>
      <c r="BL135" s="1346"/>
      <c r="BM135" s="1346"/>
    </row>
    <row r="136" spans="1:74" ht="15" customHeight="1" thickBot="1">
      <c r="A136" s="461"/>
      <c r="B136" s="900"/>
      <c r="C136" s="808"/>
      <c r="D136" s="810"/>
      <c r="E136" s="2112" t="s">
        <v>3801</v>
      </c>
      <c r="F136" s="808"/>
      <c r="G136" s="808"/>
      <c r="H136" s="808"/>
      <c r="I136" s="808"/>
      <c r="J136" s="808"/>
      <c r="K136" s="901"/>
      <c r="L136" s="808"/>
      <c r="M136" s="808"/>
      <c r="N136" s="808"/>
      <c r="O136" s="808"/>
      <c r="P136" s="808"/>
      <c r="Q136" s="808"/>
      <c r="R136" s="808"/>
      <c r="S136" s="808"/>
      <c r="T136" s="808"/>
      <c r="U136" s="808"/>
      <c r="V136" s="808"/>
      <c r="W136" s="808"/>
      <c r="X136" s="808"/>
      <c r="Y136" s="808"/>
      <c r="Z136" s="808"/>
      <c r="AA136" s="808"/>
      <c r="AB136" s="808"/>
      <c r="AC136" s="808"/>
      <c r="AD136" s="808"/>
      <c r="AE136" s="808"/>
      <c r="AF136" s="808"/>
      <c r="AG136" s="808"/>
      <c r="AH136" s="808"/>
      <c r="AI136" s="808"/>
      <c r="AJ136" s="808"/>
      <c r="AK136" s="461"/>
      <c r="AM136" s="4659" t="b">
        <f>(D136&lt;&gt;"")</f>
        <v>0</v>
      </c>
      <c r="BL136" s="1346"/>
      <c r="BM136" s="1346"/>
    </row>
    <row r="137" spans="1:74" ht="4.5" customHeight="1" thickBot="1">
      <c r="A137" s="461"/>
      <c r="B137" s="808"/>
      <c r="C137" s="808"/>
      <c r="D137" s="808"/>
      <c r="E137" s="808"/>
      <c r="F137" s="808"/>
      <c r="G137" s="808"/>
      <c r="H137" s="808"/>
      <c r="I137" s="808"/>
      <c r="J137" s="808"/>
      <c r="K137" s="808"/>
      <c r="L137" s="808"/>
      <c r="M137" s="808"/>
      <c r="N137" s="808"/>
      <c r="O137" s="808"/>
      <c r="P137" s="808"/>
      <c r="Q137" s="808"/>
      <c r="R137" s="808"/>
      <c r="S137" s="808"/>
      <c r="T137" s="808"/>
      <c r="U137" s="808"/>
      <c r="V137" s="808"/>
      <c r="W137" s="808"/>
      <c r="X137" s="808"/>
      <c r="Y137" s="808"/>
      <c r="Z137" s="808"/>
      <c r="AA137" s="808"/>
      <c r="AB137" s="808"/>
      <c r="AC137" s="808"/>
      <c r="AD137" s="808"/>
      <c r="AE137" s="808"/>
      <c r="AF137" s="808"/>
      <c r="AG137" s="808"/>
      <c r="AH137" s="808"/>
      <c r="AI137" s="808"/>
      <c r="AJ137" s="808"/>
      <c r="AK137" s="461"/>
      <c r="BL137" s="1346"/>
      <c r="BM137" s="1346"/>
    </row>
    <row r="138" spans="1:74" ht="15" customHeight="1" thickBot="1">
      <c r="A138" s="461"/>
      <c r="B138" s="900"/>
      <c r="C138" s="808"/>
      <c r="D138" s="1413" t="str">
        <f>IF(D136="","X","")</f>
        <v>X</v>
      </c>
      <c r="E138" s="2112" t="s">
        <v>3802</v>
      </c>
      <c r="F138" s="808"/>
      <c r="G138" s="808"/>
      <c r="H138" s="808"/>
      <c r="I138" s="808"/>
      <c r="J138" s="808"/>
      <c r="K138" s="808"/>
      <c r="L138" s="808"/>
      <c r="M138" s="808"/>
      <c r="N138" s="808"/>
      <c r="O138" s="808"/>
      <c r="P138" s="808"/>
      <c r="Q138" s="808"/>
      <c r="R138" s="808"/>
      <c r="S138" s="808"/>
      <c r="T138" s="808"/>
      <c r="U138" s="808"/>
      <c r="V138" s="808"/>
      <c r="W138" s="808"/>
      <c r="X138" s="808"/>
      <c r="Y138" s="808"/>
      <c r="Z138" s="808"/>
      <c r="AA138" s="808"/>
      <c r="AB138" s="808"/>
      <c r="AC138" s="808"/>
      <c r="AD138" s="808"/>
      <c r="AE138" s="808"/>
      <c r="AF138" s="808"/>
      <c r="AG138" s="808"/>
      <c r="AH138" s="808"/>
      <c r="AI138" s="808"/>
      <c r="AJ138" s="808"/>
      <c r="AK138" s="461"/>
      <c r="AM138" s="4659" t="b">
        <f>(D138&lt;&gt;"")</f>
        <v>1</v>
      </c>
      <c r="BL138" s="1346"/>
      <c r="BM138" s="1346"/>
    </row>
    <row r="139" spans="1:74" ht="6.75" customHeight="1">
      <c r="A139" s="461"/>
      <c r="B139" s="1330"/>
      <c r="C139" s="1330"/>
      <c r="D139" s="1330"/>
      <c r="E139" s="1330"/>
      <c r="F139" s="1330"/>
      <c r="G139" s="1330"/>
      <c r="H139" s="1330"/>
      <c r="I139" s="1330"/>
      <c r="J139" s="1330"/>
      <c r="K139" s="1330"/>
      <c r="L139" s="1330"/>
      <c r="M139" s="1330"/>
      <c r="N139" s="1330"/>
      <c r="O139" s="1330"/>
      <c r="P139" s="1330"/>
      <c r="Q139" s="1330"/>
      <c r="R139" s="1330"/>
      <c r="S139" s="1330"/>
      <c r="T139" s="1330"/>
      <c r="U139" s="1330"/>
      <c r="V139" s="1330"/>
      <c r="W139" s="1330"/>
      <c r="X139" s="1330"/>
      <c r="Y139" s="1330"/>
      <c r="Z139" s="1330"/>
      <c r="AA139" s="1330"/>
      <c r="AB139" s="1330"/>
      <c r="AC139" s="1330"/>
      <c r="AD139" s="1330"/>
      <c r="AE139" s="1330"/>
      <c r="AF139" s="1330"/>
      <c r="AG139" s="1330"/>
      <c r="AH139" s="1330"/>
      <c r="AI139" s="1330"/>
      <c r="AJ139" s="1330"/>
      <c r="AK139" s="461"/>
    </row>
    <row r="140" spans="1:74" ht="18.75" customHeight="1">
      <c r="A140" s="461"/>
      <c r="B140" s="8698" t="s">
        <v>3803</v>
      </c>
      <c r="C140" s="6435"/>
      <c r="D140" s="1258" t="s">
        <v>3804</v>
      </c>
      <c r="E140" s="4315"/>
      <c r="F140" s="4315"/>
      <c r="G140" s="4315"/>
      <c r="H140" s="4315"/>
      <c r="I140" s="4315"/>
      <c r="J140" s="4315"/>
      <c r="K140" s="4315"/>
      <c r="L140" s="4315"/>
      <c r="M140" s="4315"/>
      <c r="N140" s="4315"/>
      <c r="O140" s="4315"/>
      <c r="P140" s="4315"/>
      <c r="Q140" s="4315"/>
      <c r="R140" s="4315"/>
      <c r="S140" s="4315"/>
      <c r="T140" s="4315"/>
      <c r="U140" s="4315"/>
      <c r="V140" s="4315"/>
      <c r="W140" s="4315"/>
      <c r="X140" s="4315"/>
      <c r="Y140" s="4315"/>
      <c r="Z140" s="4315"/>
      <c r="AA140" s="4315"/>
      <c r="AB140" s="4315"/>
      <c r="AC140" s="4315"/>
      <c r="AD140" s="4315"/>
      <c r="AE140" s="4315"/>
      <c r="AF140" s="4315"/>
      <c r="AG140" s="4315"/>
      <c r="AH140" s="4315"/>
      <c r="AI140" s="4315"/>
      <c r="AJ140" s="4315"/>
      <c r="AK140" s="461"/>
    </row>
    <row r="141" spans="1:74" ht="15" customHeight="1">
      <c r="A141" s="461"/>
      <c r="B141" s="808"/>
      <c r="C141" s="808"/>
      <c r="D141" s="808"/>
      <c r="E141" s="808"/>
      <c r="F141" s="808"/>
      <c r="G141" s="808"/>
      <c r="H141" s="808"/>
      <c r="I141" s="808"/>
      <c r="J141" s="808"/>
      <c r="K141" s="808"/>
      <c r="L141" s="808"/>
      <c r="M141" s="808"/>
      <c r="N141" s="808"/>
      <c r="O141" s="808"/>
      <c r="P141" s="808"/>
      <c r="Q141" s="808"/>
      <c r="R141" s="808"/>
      <c r="S141" s="808"/>
      <c r="T141" s="808"/>
      <c r="U141" s="808"/>
      <c r="V141" s="808"/>
      <c r="W141" s="808"/>
      <c r="X141" s="808"/>
      <c r="Y141" s="808"/>
      <c r="Z141" s="808"/>
      <c r="AA141" s="808"/>
      <c r="AB141" s="808"/>
      <c r="AC141" s="7933"/>
      <c r="AD141" s="8809"/>
      <c r="AE141" s="7933"/>
      <c r="AF141" s="8802"/>
      <c r="AG141" s="8802"/>
      <c r="AH141" s="8802"/>
      <c r="AI141" s="8802"/>
      <c r="AJ141" s="8802"/>
      <c r="AK141" s="461"/>
      <c r="BL141" s="1346"/>
      <c r="BM141" s="1346"/>
    </row>
    <row r="142" spans="1:74" ht="15" customHeight="1">
      <c r="A142" s="461"/>
      <c r="B142" s="808"/>
      <c r="C142" s="1362" t="s">
        <v>3805</v>
      </c>
      <c r="D142" s="2112" t="s">
        <v>3806</v>
      </c>
      <c r="E142" s="808"/>
      <c r="F142" s="808"/>
      <c r="G142" s="808"/>
      <c r="H142" s="808"/>
      <c r="I142" s="808"/>
      <c r="J142" s="808"/>
      <c r="K142" s="808"/>
      <c r="L142" s="808"/>
      <c r="M142" s="808"/>
      <c r="N142" s="808"/>
      <c r="O142" s="808"/>
      <c r="P142" s="808"/>
      <c r="Q142" s="808"/>
      <c r="R142" s="808"/>
      <c r="S142" s="808"/>
      <c r="T142" s="808"/>
      <c r="U142" s="808"/>
      <c r="V142" s="808"/>
      <c r="W142" s="808"/>
      <c r="X142" s="808"/>
      <c r="Y142" s="808"/>
      <c r="Z142" s="808"/>
      <c r="AA142" s="808"/>
      <c r="AB142" s="859" t="s">
        <v>650</v>
      </c>
      <c r="AC142" s="8694">
        <v>28</v>
      </c>
      <c r="AD142" s="8728"/>
      <c r="AE142" s="8729"/>
      <c r="AF142" s="8729"/>
      <c r="AG142" s="8729"/>
      <c r="AH142" s="8729"/>
      <c r="AI142" s="8729"/>
      <c r="AJ142" s="8729"/>
      <c r="AK142" s="461"/>
      <c r="BL142" s="1346"/>
      <c r="BM142" s="1346"/>
    </row>
    <row r="143" spans="1:74" ht="15" customHeight="1">
      <c r="A143" s="461"/>
      <c r="B143" s="808"/>
      <c r="C143" s="1362" t="s">
        <v>3807</v>
      </c>
      <c r="D143" s="892" t="s">
        <v>3808</v>
      </c>
      <c r="E143" s="808"/>
      <c r="F143" s="808"/>
      <c r="G143" s="808"/>
      <c r="H143" s="808"/>
      <c r="I143" s="808"/>
      <c r="J143" s="808"/>
      <c r="K143" s="808"/>
      <c r="L143" s="808"/>
      <c r="M143" s="808"/>
      <c r="N143" s="808"/>
      <c r="O143" s="808"/>
      <c r="P143" s="808"/>
      <c r="Q143" s="808"/>
      <c r="R143" s="808"/>
      <c r="S143" s="808"/>
      <c r="T143" s="8838"/>
      <c r="U143" s="8839"/>
      <c r="V143" s="8839"/>
      <c r="W143" s="8839"/>
      <c r="X143" s="8839"/>
      <c r="Y143" s="8839"/>
      <c r="Z143" s="8839"/>
      <c r="AA143" s="8839"/>
      <c r="AB143" s="808"/>
      <c r="AC143" s="8815"/>
      <c r="AD143" s="8816"/>
      <c r="AE143" s="8011"/>
      <c r="AF143" s="8731"/>
      <c r="AG143" s="8731"/>
      <c r="AH143" s="8731"/>
      <c r="AI143" s="8731"/>
      <c r="AJ143" s="8731"/>
      <c r="AK143" s="461"/>
      <c r="BL143" s="1346"/>
      <c r="BM143" s="1346"/>
    </row>
    <row r="144" spans="1:74" ht="15" customHeight="1" thickBot="1">
      <c r="A144" s="461"/>
      <c r="B144" s="808"/>
      <c r="C144" s="1362" t="s">
        <v>2392</v>
      </c>
      <c r="D144" s="2112" t="s">
        <v>3809</v>
      </c>
      <c r="E144" s="808"/>
      <c r="F144" s="808"/>
      <c r="G144" s="808"/>
      <c r="H144" s="808"/>
      <c r="I144" s="808"/>
      <c r="J144" s="808"/>
      <c r="K144" s="808"/>
      <c r="L144" s="808"/>
      <c r="M144" s="808"/>
      <c r="N144" s="808"/>
      <c r="O144" s="808"/>
      <c r="P144" s="808"/>
      <c r="Q144" s="808"/>
      <c r="R144" s="808"/>
      <c r="S144" s="808"/>
      <c r="T144" s="808"/>
      <c r="U144" s="808"/>
      <c r="V144" s="808"/>
      <c r="W144" s="808"/>
      <c r="X144" s="808"/>
      <c r="Y144" s="808"/>
      <c r="Z144" s="808"/>
      <c r="AA144" s="808"/>
      <c r="AB144" s="859" t="s">
        <v>670</v>
      </c>
      <c r="AC144" s="8694" t="s">
        <v>3810</v>
      </c>
      <c r="AD144" s="8728"/>
      <c r="AE144" s="8729"/>
      <c r="AF144" s="8729"/>
      <c r="AG144" s="8729"/>
      <c r="AH144" s="8729"/>
      <c r="AI144" s="8729"/>
      <c r="AJ144" s="8729"/>
      <c r="AK144" s="461"/>
      <c r="AM144" s="1376" t="s">
        <v>867</v>
      </c>
      <c r="BL144" s="1346"/>
      <c r="BM144" s="1346"/>
    </row>
    <row r="145" spans="1:65" ht="15" customHeight="1" thickBot="1">
      <c r="A145" s="461"/>
      <c r="B145" s="808"/>
      <c r="C145" s="1362" t="s">
        <v>3811</v>
      </c>
      <c r="D145" s="2112" t="s">
        <v>3812</v>
      </c>
      <c r="E145" s="808"/>
      <c r="F145" s="808"/>
      <c r="G145" s="808"/>
      <c r="H145" s="808"/>
      <c r="I145" s="808"/>
      <c r="J145" s="808"/>
      <c r="K145" s="808"/>
      <c r="L145" s="808"/>
      <c r="M145" s="808"/>
      <c r="N145" s="808"/>
      <c r="O145" s="808"/>
      <c r="P145" s="808"/>
      <c r="Q145" s="808"/>
      <c r="R145" s="808"/>
      <c r="S145" s="808"/>
      <c r="T145" s="808"/>
      <c r="U145" s="808"/>
      <c r="V145" s="808"/>
      <c r="W145" s="808"/>
      <c r="X145" s="808"/>
      <c r="Y145" s="808"/>
      <c r="Z145" s="808"/>
      <c r="AA145" s="808"/>
      <c r="AB145" s="859" t="s">
        <v>754</v>
      </c>
      <c r="AC145" s="8694">
        <v>30</v>
      </c>
      <c r="AD145" s="8728"/>
      <c r="AE145" s="8807" t="str">
        <f>IF(AM145&lt;&gt;"",AM145,IF(AM138,"",IF(AE142&lt;&gt;"",MIN(AE144,AE142),0)))</f>
        <v/>
      </c>
      <c r="AF145" s="8807"/>
      <c r="AG145" s="8807"/>
      <c r="AH145" s="8807"/>
      <c r="AI145" s="8807"/>
      <c r="AJ145" s="8807"/>
      <c r="AK145" s="461"/>
      <c r="AM145" s="1407"/>
      <c r="BL145" s="1346"/>
      <c r="BM145" s="1346"/>
    </row>
    <row r="146" spans="1:65" ht="15" customHeight="1" thickBot="1">
      <c r="A146" s="461"/>
      <c r="B146" s="808"/>
      <c r="C146" s="1362" t="s">
        <v>3813</v>
      </c>
      <c r="D146" s="2112" t="str">
        <f>"Number of days in your qualifying period that fall within your "&amp;TaxYear</f>
        <v>Number of days in your qualifying period that fall within your 2023</v>
      </c>
      <c r="E146" s="808"/>
      <c r="F146" s="808"/>
      <c r="G146" s="808"/>
      <c r="H146" s="808"/>
      <c r="I146" s="808"/>
      <c r="J146" s="808"/>
      <c r="K146" s="808"/>
      <c r="L146" s="808"/>
      <c r="M146" s="808"/>
      <c r="N146" s="808"/>
      <c r="O146" s="808"/>
      <c r="P146" s="808"/>
      <c r="Q146" s="808"/>
      <c r="R146" s="808"/>
      <c r="S146" s="808"/>
      <c r="T146" s="808"/>
      <c r="U146" s="7933"/>
      <c r="V146" s="8809"/>
      <c r="W146" s="1462"/>
      <c r="X146" s="1461"/>
      <c r="Y146" s="1461"/>
      <c r="Z146" s="1461"/>
      <c r="AA146" s="8802"/>
      <c r="AB146" s="8809"/>
      <c r="AC146" s="808"/>
      <c r="AD146" s="808"/>
      <c r="AE146" s="8043">
        <f>ROUND(AE147/DaysInTaxYear,2)</f>
        <v>52.6</v>
      </c>
      <c r="AF146" s="7694"/>
      <c r="AG146" s="7694"/>
      <c r="AH146" s="7694"/>
      <c r="AI146" s="7694"/>
      <c r="AJ146" s="7694"/>
      <c r="AK146" s="461"/>
      <c r="AO146" s="1332" t="s">
        <v>3814</v>
      </c>
      <c r="BL146" s="1346"/>
      <c r="BM146" s="1346"/>
    </row>
    <row r="147" spans="1:65" ht="15" customHeight="1" thickBot="1">
      <c r="A147" s="461"/>
      <c r="B147" s="808"/>
      <c r="C147" s="808"/>
      <c r="D147" s="2112" t="s">
        <v>5534</v>
      </c>
      <c r="E147" s="808"/>
      <c r="F147" s="808"/>
      <c r="G147" s="808"/>
      <c r="H147" s="808"/>
      <c r="I147" s="808"/>
      <c r="J147" s="808"/>
      <c r="K147" s="808"/>
      <c r="L147" s="808"/>
      <c r="M147" s="808"/>
      <c r="N147" s="808"/>
      <c r="O147" s="808"/>
      <c r="P147" s="808"/>
      <c r="Q147" s="808"/>
      <c r="R147" s="808"/>
      <c r="S147" s="808"/>
      <c r="T147" s="859" t="s">
        <v>2162</v>
      </c>
      <c r="U147" s="8694">
        <v>31</v>
      </c>
      <c r="V147" s="8728"/>
      <c r="W147" s="8811" t="str">
        <f>IF(AM147&lt;&gt;"",ROUND(AM147,0),IF(AM138,"",DaysInTaxYear))</f>
        <v/>
      </c>
      <c r="X147" s="8812"/>
      <c r="Y147" s="8812"/>
      <c r="Z147" s="8812"/>
      <c r="AA147" s="8810" t="s">
        <v>3815</v>
      </c>
      <c r="AB147" s="8138"/>
      <c r="AC147" s="808"/>
      <c r="AD147" s="808"/>
      <c r="AE147" s="8840">
        <f>ROUND(0.16*FEI_Exclusion_Limit,0)</f>
        <v>19200</v>
      </c>
      <c r="AF147" s="8841"/>
      <c r="AG147" s="8841"/>
      <c r="AH147" s="8841"/>
      <c r="AI147" s="8841"/>
      <c r="AJ147" s="8841"/>
      <c r="AK147" s="461"/>
      <c r="AL147" s="4670"/>
      <c r="AM147" s="4555"/>
      <c r="AN147" s="4670" t="s">
        <v>3816</v>
      </c>
      <c r="AO147" s="1332" t="s">
        <v>3817</v>
      </c>
      <c r="BL147" s="1346"/>
      <c r="BM147" s="1346"/>
    </row>
    <row r="148" spans="1:65" ht="15" customHeight="1" thickBot="1">
      <c r="A148" s="461"/>
      <c r="B148" s="808"/>
      <c r="C148" s="1362" t="s">
        <v>3818</v>
      </c>
      <c r="D148" s="2112" t="str">
        <f>"Multiply "&amp;TEXT(AE146,"$0.00")&amp;" by the number of days on line 31. If "&amp;TEXT(DaysInTaxYear,"0")&amp;" is entered on line 31, enter "&amp;TEXT(AE147,"$0,000")&amp;" here"</f>
        <v>Multiply $52.60 by the number of days on line 31. If 365 is entered on line 31, enter $19,200 here</v>
      </c>
      <c r="E148" s="808"/>
      <c r="F148" s="808"/>
      <c r="G148" s="808"/>
      <c r="H148" s="808"/>
      <c r="I148" s="808"/>
      <c r="J148" s="808"/>
      <c r="K148" s="808"/>
      <c r="L148" s="808"/>
      <c r="M148" s="808"/>
      <c r="N148" s="808"/>
      <c r="O148" s="808"/>
      <c r="P148" s="808"/>
      <c r="Q148" s="808"/>
      <c r="R148" s="808"/>
      <c r="S148" s="808"/>
      <c r="T148" s="808"/>
      <c r="U148" s="808"/>
      <c r="V148" s="808"/>
      <c r="W148" s="808"/>
      <c r="X148" s="808"/>
      <c r="Y148" s="808"/>
      <c r="Z148" s="808"/>
      <c r="AA148" s="808"/>
      <c r="AB148" s="808"/>
      <c r="AC148" s="8694">
        <v>32</v>
      </c>
      <c r="AD148" s="8728"/>
      <c r="AE148" s="8807" t="str">
        <f>IF(AM148&lt;&gt;"",ROUND(AM148,0),IF(OR(AM138,AE142=""),"",IF(W147=DaysInTaxYear,AE147,W147*AE146)))</f>
        <v/>
      </c>
      <c r="AF148" s="8807"/>
      <c r="AG148" s="8807"/>
      <c r="AH148" s="8807"/>
      <c r="AI148" s="8807"/>
      <c r="AJ148" s="8807"/>
      <c r="AK148" s="461"/>
      <c r="AL148" s="4670"/>
      <c r="AM148" s="1407"/>
      <c r="BL148" s="1346"/>
      <c r="BM148" s="1346"/>
    </row>
    <row r="149" spans="1:65" ht="15" customHeight="1">
      <c r="A149" s="461"/>
      <c r="B149" s="808"/>
      <c r="C149" s="1362" t="s">
        <v>3819</v>
      </c>
      <c r="D149" s="2112" t="s">
        <v>3820</v>
      </c>
      <c r="E149" s="808"/>
      <c r="F149" s="808"/>
      <c r="G149" s="808"/>
      <c r="H149" s="808"/>
      <c r="I149" s="808"/>
      <c r="J149" s="808"/>
      <c r="K149" s="892"/>
      <c r="L149" s="2112" t="s">
        <v>3821</v>
      </c>
      <c r="M149" s="808"/>
      <c r="N149" s="808"/>
      <c r="O149" s="808"/>
      <c r="P149" s="808"/>
      <c r="Q149" s="808"/>
      <c r="R149" s="808"/>
      <c r="S149" s="808"/>
      <c r="T149" s="808"/>
      <c r="U149" s="808"/>
      <c r="V149" s="808"/>
      <c r="W149" s="808"/>
      <c r="X149" s="808"/>
      <c r="Y149" s="808"/>
      <c r="Z149" s="808"/>
      <c r="AA149" s="808"/>
      <c r="AB149" s="808"/>
      <c r="AC149" s="8011"/>
      <c r="AD149" s="8730"/>
      <c r="AE149" s="8011"/>
      <c r="AF149" s="8731"/>
      <c r="AG149" s="8731"/>
      <c r="AH149" s="8731"/>
      <c r="AI149" s="8731"/>
      <c r="AJ149" s="8731"/>
      <c r="AK149" s="461"/>
      <c r="BL149" s="1346"/>
      <c r="BM149" s="1346"/>
    </row>
    <row r="150" spans="1:65" ht="15" customHeight="1">
      <c r="A150" s="461"/>
      <c r="B150" s="808"/>
      <c r="C150" s="808"/>
      <c r="D150" s="2112" t="s">
        <v>3822</v>
      </c>
      <c r="E150" s="808"/>
      <c r="F150" s="808"/>
      <c r="G150" s="808"/>
      <c r="H150" s="808"/>
      <c r="I150" s="808"/>
      <c r="J150" s="808"/>
      <c r="K150" s="808"/>
      <c r="L150" s="808"/>
      <c r="M150" s="808"/>
      <c r="N150" s="808"/>
      <c r="O150" s="808"/>
      <c r="P150" s="808"/>
      <c r="Q150" s="808"/>
      <c r="R150" s="808"/>
      <c r="S150" s="808"/>
      <c r="T150" s="808"/>
      <c r="U150" s="808"/>
      <c r="V150" s="808"/>
      <c r="W150" s="808"/>
      <c r="X150" s="808"/>
      <c r="Y150" s="808"/>
      <c r="Z150" s="808"/>
      <c r="AA150" s="808"/>
      <c r="AB150" s="859" t="s">
        <v>2170</v>
      </c>
      <c r="AC150" s="8694">
        <v>33</v>
      </c>
      <c r="AD150" s="8728"/>
      <c r="AE150" s="8808" t="str">
        <f>IF(AM138,"",IF(AE148="",AE145,SUM(AE145,-AE148)))</f>
        <v/>
      </c>
      <c r="AF150" s="8808"/>
      <c r="AG150" s="8808"/>
      <c r="AH150" s="8808"/>
      <c r="AI150" s="8808"/>
      <c r="AJ150" s="8808"/>
      <c r="AK150" s="461"/>
      <c r="AM150" s="4659" t="b">
        <f>AE150&lt;=0</f>
        <v>0</v>
      </c>
      <c r="AO150" s="4671">
        <f>IF(AE150="",0,AE150)</f>
        <v>0</v>
      </c>
      <c r="BL150" s="1346"/>
      <c r="BM150" s="1346"/>
    </row>
    <row r="151" spans="1:65" ht="15" customHeight="1">
      <c r="A151" s="461"/>
      <c r="B151" s="808"/>
      <c r="C151" s="1362" t="s">
        <v>3823</v>
      </c>
      <c r="D151" s="2112" t="s">
        <v>3824</v>
      </c>
      <c r="E151" s="808"/>
      <c r="F151" s="808"/>
      <c r="G151" s="808"/>
      <c r="H151" s="808"/>
      <c r="I151" s="808"/>
      <c r="J151" s="808"/>
      <c r="K151" s="808"/>
      <c r="L151" s="808"/>
      <c r="M151" s="808"/>
      <c r="N151" s="808"/>
      <c r="O151" s="808"/>
      <c r="P151" s="808"/>
      <c r="Q151" s="808"/>
      <c r="R151" s="808"/>
      <c r="S151" s="808"/>
      <c r="T151" s="808"/>
      <c r="U151" s="8694">
        <v>34</v>
      </c>
      <c r="V151" s="8728"/>
      <c r="W151" s="8729"/>
      <c r="X151" s="8729"/>
      <c r="Y151" s="8729"/>
      <c r="Z151" s="8729"/>
      <c r="AA151" s="8729"/>
      <c r="AB151" s="8729"/>
      <c r="AC151" s="8815"/>
      <c r="AD151" s="8816"/>
      <c r="AE151" s="8011"/>
      <c r="AF151" s="8731"/>
      <c r="AG151" s="8731"/>
      <c r="AH151" s="8731"/>
      <c r="AI151" s="8731"/>
      <c r="AJ151" s="8731"/>
      <c r="AK151" s="461"/>
      <c r="AM151" s="4669"/>
      <c r="BL151" s="1346"/>
      <c r="BM151" s="1346"/>
    </row>
    <row r="152" spans="1:65" ht="15" customHeight="1" thickBot="1">
      <c r="A152" s="461"/>
      <c r="B152" s="808"/>
      <c r="C152" s="1362" t="s">
        <v>3825</v>
      </c>
      <c r="D152" s="2112" t="s">
        <v>3826</v>
      </c>
      <c r="E152" s="808"/>
      <c r="F152" s="808"/>
      <c r="G152" s="808"/>
      <c r="H152" s="808"/>
      <c r="I152" s="808"/>
      <c r="J152" s="808"/>
      <c r="K152" s="808"/>
      <c r="L152" s="808"/>
      <c r="M152" s="808"/>
      <c r="N152" s="808"/>
      <c r="O152" s="808"/>
      <c r="P152" s="808"/>
      <c r="Q152" s="808"/>
      <c r="R152" s="808"/>
      <c r="S152" s="808"/>
      <c r="T152" s="808"/>
      <c r="U152" s="808"/>
      <c r="V152" s="808"/>
      <c r="W152" s="808"/>
      <c r="X152" s="808"/>
      <c r="Y152" s="808"/>
      <c r="Z152" s="808"/>
      <c r="AA152" s="808"/>
      <c r="AB152" s="808"/>
      <c r="AC152" s="7933"/>
      <c r="AD152" s="8809"/>
      <c r="AE152" s="7933"/>
      <c r="AF152" s="8802"/>
      <c r="AG152" s="8802"/>
      <c r="AH152" s="8802"/>
      <c r="AI152" s="8802"/>
      <c r="AJ152" s="8802"/>
      <c r="AK152" s="461"/>
      <c r="AM152" s="1376" t="s">
        <v>867</v>
      </c>
      <c r="BL152" s="1346"/>
      <c r="BM152" s="1346"/>
    </row>
    <row r="153" spans="1:65" ht="15" customHeight="1" thickBot="1">
      <c r="A153" s="461"/>
      <c r="B153" s="808"/>
      <c r="C153" s="808"/>
      <c r="D153" s="2112" t="s">
        <v>3827</v>
      </c>
      <c r="E153" s="808"/>
      <c r="F153" s="808"/>
      <c r="G153" s="808"/>
      <c r="H153" s="808"/>
      <c r="I153" s="808"/>
      <c r="J153" s="808"/>
      <c r="K153" s="808"/>
      <c r="L153" s="808"/>
      <c r="M153" s="808"/>
      <c r="N153" s="808"/>
      <c r="O153" s="808"/>
      <c r="P153" s="808"/>
      <c r="Q153" s="808"/>
      <c r="R153" s="808"/>
      <c r="S153" s="808"/>
      <c r="T153" s="808"/>
      <c r="U153" s="808"/>
      <c r="V153" s="808"/>
      <c r="W153" s="808"/>
      <c r="X153" s="808"/>
      <c r="Y153" s="808"/>
      <c r="Z153" s="808"/>
      <c r="AA153" s="808"/>
      <c r="AB153" s="859" t="s">
        <v>2163</v>
      </c>
      <c r="AC153" s="8694">
        <v>35</v>
      </c>
      <c r="AD153" s="8728"/>
      <c r="AE153" s="1384"/>
      <c r="AF153" s="1384"/>
      <c r="AG153" s="1385" t="s">
        <v>2429</v>
      </c>
      <c r="AH153" s="8813" t="str">
        <f>IF(AM153&lt;&gt;"",ROUND(AM153,3),IF(OR(AM138,AM150),"",IF(ISERROR(W151/ForeignEarnedIncome1),"---",IF(ForeignEarnedIncome1&gt;0,ROUND(W151/ForeignEarnedIncome1,3),""))))</f>
        <v/>
      </c>
      <c r="AI153" s="8814"/>
      <c r="AJ153" s="8814"/>
      <c r="AK153" s="461"/>
      <c r="AM153" s="1389"/>
      <c r="BL153" s="1346"/>
      <c r="BM153" s="1346"/>
    </row>
    <row r="154" spans="1:65" ht="15" customHeight="1" thickBot="1">
      <c r="A154" s="461"/>
      <c r="B154" s="808"/>
      <c r="C154" s="1362" t="s">
        <v>3828</v>
      </c>
      <c r="D154" s="2112" t="s">
        <v>3829</v>
      </c>
      <c r="E154" s="808"/>
      <c r="F154" s="808"/>
      <c r="G154" s="808"/>
      <c r="H154" s="808"/>
      <c r="I154" s="808"/>
      <c r="J154" s="808"/>
      <c r="K154" s="808"/>
      <c r="L154" s="808"/>
      <c r="M154" s="808"/>
      <c r="N154" s="808"/>
      <c r="O154" s="808"/>
      <c r="P154" s="808"/>
      <c r="Q154" s="808"/>
      <c r="R154" s="808"/>
      <c r="S154" s="808"/>
      <c r="T154" s="808"/>
      <c r="U154" s="808"/>
      <c r="V154" s="808"/>
      <c r="W154" s="808"/>
      <c r="X154" s="808"/>
      <c r="Y154" s="808"/>
      <c r="Z154" s="808"/>
      <c r="AA154" s="808"/>
      <c r="AB154" s="808"/>
      <c r="AC154" s="8011"/>
      <c r="AD154" s="8730"/>
      <c r="AE154" s="8011"/>
      <c r="AF154" s="8731"/>
      <c r="AG154" s="8731"/>
      <c r="AH154" s="8731"/>
      <c r="AI154" s="8731"/>
      <c r="AJ154" s="8731"/>
      <c r="AK154" s="461"/>
      <c r="BL154" s="1346"/>
      <c r="BM154" s="1346"/>
    </row>
    <row r="155" spans="1:65" ht="15" customHeight="1" thickBot="1">
      <c r="A155" s="461"/>
      <c r="B155" s="808"/>
      <c r="C155" s="808"/>
      <c r="D155" s="2112" t="s">
        <v>3830</v>
      </c>
      <c r="E155" s="808"/>
      <c r="F155" s="808"/>
      <c r="G155" s="808"/>
      <c r="H155" s="808"/>
      <c r="I155" s="808"/>
      <c r="J155" s="808"/>
      <c r="K155" s="808"/>
      <c r="L155" s="808"/>
      <c r="M155" s="808"/>
      <c r="N155" s="808"/>
      <c r="O155" s="808"/>
      <c r="P155" s="808"/>
      <c r="Q155" s="808"/>
      <c r="R155" s="808"/>
      <c r="S155" s="808"/>
      <c r="T155" s="808"/>
      <c r="U155" s="808"/>
      <c r="V155" s="808"/>
      <c r="W155" s="808"/>
      <c r="X155" s="808"/>
      <c r="Y155" s="808"/>
      <c r="Z155" s="808"/>
      <c r="AA155" s="808"/>
      <c r="AB155" s="859" t="s">
        <v>665</v>
      </c>
      <c r="AC155" s="8694">
        <v>36</v>
      </c>
      <c r="AD155" s="8728"/>
      <c r="AE155" s="8807" t="str">
        <f>IF(AM155&lt;&gt;"",ROUND(AM155,0),IF(OR(AM138,AM150),"",IF(ISERROR(W151/ForeignEarnedIncome1),"---",IF(W151="",0,MIN(W151,ROUND(AE150*AH153,0))))))</f>
        <v/>
      </c>
      <c r="AF155" s="8807"/>
      <c r="AG155" s="8807"/>
      <c r="AH155" s="8807"/>
      <c r="AI155" s="8807"/>
      <c r="AJ155" s="8807"/>
      <c r="AK155" s="461"/>
      <c r="AM155" s="1407"/>
      <c r="AO155" s="4671">
        <f>IF(OR(AE155="",AE155="---"),0,AE155)</f>
        <v>0</v>
      </c>
      <c r="BL155" s="1346"/>
      <c r="BM155" s="1346"/>
    </row>
    <row r="156" spans="1:65" ht="15" customHeight="1">
      <c r="A156" s="461"/>
      <c r="B156" s="808"/>
      <c r="C156" s="808"/>
      <c r="D156" s="2112" t="s">
        <v>3831</v>
      </c>
      <c r="E156" s="808"/>
      <c r="F156" s="808"/>
      <c r="G156" s="808"/>
      <c r="H156" s="808"/>
      <c r="I156" s="808"/>
      <c r="J156" s="808"/>
      <c r="K156" s="808"/>
      <c r="L156" s="808"/>
      <c r="M156" s="808"/>
      <c r="N156" s="808"/>
      <c r="O156" s="808"/>
      <c r="P156" s="808"/>
      <c r="Q156" s="808"/>
      <c r="R156" s="808"/>
      <c r="S156" s="808"/>
      <c r="T156" s="808"/>
      <c r="U156" s="808"/>
      <c r="V156" s="808"/>
      <c r="W156" s="808"/>
      <c r="X156" s="808"/>
      <c r="Y156" s="808"/>
      <c r="Z156" s="808"/>
      <c r="AA156" s="808"/>
      <c r="AB156" s="808"/>
      <c r="AC156" s="808"/>
      <c r="AD156" s="808"/>
      <c r="AE156" s="8823">
        <f>IF(OR(AE155="",AE155="---"),0,AE155)</f>
        <v>0</v>
      </c>
      <c r="AF156" s="7694"/>
      <c r="AG156" s="7694"/>
      <c r="AH156" s="7694"/>
      <c r="AI156" s="7694"/>
      <c r="AJ156" s="7694"/>
      <c r="AK156" s="461"/>
      <c r="BL156" s="1346"/>
      <c r="BM156" s="1346"/>
    </row>
    <row r="157" spans="1:65" ht="15" customHeight="1" thickBot="1">
      <c r="A157" s="461"/>
      <c r="B157" s="808"/>
      <c r="C157" s="808"/>
      <c r="D157" s="2112" t="s">
        <v>3832</v>
      </c>
      <c r="E157" s="808"/>
      <c r="F157" s="808"/>
      <c r="G157" s="808"/>
      <c r="H157" s="808"/>
      <c r="I157" s="808"/>
      <c r="J157" s="808"/>
      <c r="K157" s="808"/>
      <c r="L157" s="808"/>
      <c r="M157" s="808"/>
      <c r="N157" s="808"/>
      <c r="O157" s="808"/>
      <c r="P157" s="808"/>
      <c r="Q157" s="808"/>
      <c r="R157" s="808"/>
      <c r="S157" s="808"/>
      <c r="T157" s="808"/>
      <c r="U157" s="808"/>
      <c r="V157" s="808"/>
      <c r="W157" s="808"/>
      <c r="X157" s="808"/>
      <c r="Y157" s="808"/>
      <c r="Z157" s="808"/>
      <c r="AA157" s="808"/>
      <c r="AB157" s="808"/>
      <c r="AC157" s="808"/>
      <c r="AD157" s="808"/>
      <c r="AE157" s="808"/>
      <c r="AF157" s="808"/>
      <c r="AG157" s="808"/>
      <c r="AH157" s="808"/>
      <c r="AI157" s="808"/>
      <c r="AJ157" s="808"/>
      <c r="AK157" s="461"/>
      <c r="BL157" s="1346"/>
      <c r="BM157" s="1346"/>
    </row>
    <row r="158" spans="1:65" ht="18.75" customHeight="1" thickBot="1">
      <c r="A158" s="461"/>
      <c r="B158" s="8698" t="s">
        <v>3833</v>
      </c>
      <c r="C158" s="6435"/>
      <c r="D158" s="3846" t="s">
        <v>3834</v>
      </c>
      <c r="E158" s="3847"/>
      <c r="F158" s="3847"/>
      <c r="G158" s="3847"/>
      <c r="H158" s="3847"/>
      <c r="I158" s="3847"/>
      <c r="J158" s="3847"/>
      <c r="K158" s="3847"/>
      <c r="L158" s="3847"/>
      <c r="M158" s="3847"/>
      <c r="N158" s="3847"/>
      <c r="O158" s="3847"/>
      <c r="P158" s="3847"/>
      <c r="Q158" s="3847"/>
      <c r="R158" s="3847"/>
      <c r="S158" s="3847"/>
      <c r="T158" s="3847"/>
      <c r="U158" s="3847"/>
      <c r="V158" s="3847"/>
      <c r="W158" s="3847"/>
      <c r="X158" s="3847"/>
      <c r="Y158" s="3847"/>
      <c r="Z158" s="3847"/>
      <c r="AA158" s="3847"/>
      <c r="AB158" s="3847"/>
      <c r="AC158" s="3847"/>
      <c r="AD158" s="3847"/>
      <c r="AE158" s="8821"/>
      <c r="AF158" s="8822"/>
      <c r="AG158" s="8822"/>
      <c r="AH158" s="8822"/>
      <c r="AI158" s="8822"/>
      <c r="AJ158" s="8822"/>
      <c r="AK158" s="461"/>
      <c r="AM158" s="1376" t="s">
        <v>867</v>
      </c>
    </row>
    <row r="159" spans="1:65" ht="15" customHeight="1" thickBot="1">
      <c r="A159" s="461"/>
      <c r="B159" s="808"/>
      <c r="C159" s="1362" t="s">
        <v>3835</v>
      </c>
      <c r="D159" s="2112" t="str">
        <f>"Maximum foreign earned income exclusion."</f>
        <v>Maximum foreign earned income exclusion.</v>
      </c>
      <c r="E159" s="808"/>
      <c r="F159" s="808"/>
      <c r="G159" s="808"/>
      <c r="H159" s="808"/>
      <c r="I159" s="808"/>
      <c r="J159" s="808"/>
      <c r="K159" s="808"/>
      <c r="L159" s="808"/>
      <c r="M159" s="808"/>
      <c r="N159" s="808"/>
      <c r="O159" s="808"/>
      <c r="P159" s="808" t="str">
        <f>"Enter "&amp;TEXT(FEI_Exclusion_Limit,"$0,000")</f>
        <v>Enter $120,000</v>
      </c>
      <c r="Q159" s="808"/>
      <c r="R159" s="808"/>
      <c r="S159" s="808"/>
      <c r="T159" s="808"/>
      <c r="U159" s="808"/>
      <c r="V159" s="808"/>
      <c r="W159" s="808"/>
      <c r="X159" s="808"/>
      <c r="Y159" s="808"/>
      <c r="Z159" s="808"/>
      <c r="AA159" s="808"/>
      <c r="AB159" s="859" t="s">
        <v>642</v>
      </c>
      <c r="AC159" s="8694">
        <v>37</v>
      </c>
      <c r="AD159" s="8728"/>
      <c r="AE159" s="8817">
        <v>120000</v>
      </c>
      <c r="AF159" s="8817"/>
      <c r="AG159" s="8817"/>
      <c r="AH159" s="8817"/>
      <c r="AI159" s="8817"/>
      <c r="AJ159" s="8817"/>
      <c r="AK159" s="461"/>
      <c r="AM159" s="1390"/>
      <c r="BL159" s="1346"/>
      <c r="BM159" s="1346"/>
    </row>
    <row r="160" spans="1:65" ht="15" customHeight="1" thickBot="1">
      <c r="A160" s="461"/>
      <c r="B160" s="808"/>
      <c r="C160" s="1362" t="s">
        <v>3836</v>
      </c>
      <c r="D160" s="1386" t="s">
        <v>668</v>
      </c>
      <c r="E160" s="2112" t="s">
        <v>3837</v>
      </c>
      <c r="F160" s="808"/>
      <c r="G160" s="808"/>
      <c r="H160" s="808"/>
      <c r="I160" s="808"/>
      <c r="J160" s="808"/>
      <c r="K160" s="808"/>
      <c r="L160" s="808"/>
      <c r="M160" s="808"/>
      <c r="N160" s="808"/>
      <c r="O160" s="808"/>
      <c r="P160" s="808"/>
      <c r="Q160" s="808"/>
      <c r="R160" s="808"/>
      <c r="S160" s="808"/>
      <c r="T160" s="808"/>
      <c r="U160" s="808"/>
      <c r="V160" s="808"/>
      <c r="W160" s="1461"/>
      <c r="X160" s="1461"/>
      <c r="Y160" s="1461"/>
      <c r="Z160" s="1461"/>
      <c r="AA160" s="808"/>
      <c r="AB160" s="1383"/>
      <c r="AC160" s="1377"/>
      <c r="AD160" s="1378"/>
      <c r="AE160" s="8824"/>
      <c r="AF160" s="8825"/>
      <c r="AG160" s="8825"/>
      <c r="AH160" s="8825"/>
      <c r="AI160" s="8825"/>
      <c r="AJ160" s="8825"/>
      <c r="AK160" s="461"/>
      <c r="AM160" s="1376"/>
      <c r="AO160" s="4659" t="b">
        <f>AND(AE155&lt;&gt;0,AE155&lt;&gt;"")</f>
        <v>0</v>
      </c>
      <c r="BL160" s="1346"/>
      <c r="BM160" s="1346"/>
    </row>
    <row r="161" spans="1:65" ht="15" customHeight="1" thickBot="1">
      <c r="A161" s="461"/>
      <c r="B161" s="808"/>
      <c r="C161" s="808"/>
      <c r="D161" s="1386" t="s">
        <v>668</v>
      </c>
      <c r="E161" s="2112" t="s">
        <v>3838</v>
      </c>
      <c r="F161" s="808"/>
      <c r="G161" s="808"/>
      <c r="H161" s="808"/>
      <c r="I161" s="808"/>
      <c r="J161" s="808"/>
      <c r="K161" s="808"/>
      <c r="L161" s="808"/>
      <c r="M161" s="808"/>
      <c r="N161" s="808"/>
      <c r="O161" s="808"/>
      <c r="P161" s="808"/>
      <c r="Q161" s="808"/>
      <c r="R161" s="808"/>
      <c r="S161" s="808"/>
      <c r="T161" s="808"/>
      <c r="U161" s="4554"/>
      <c r="V161" s="8694">
        <v>38</v>
      </c>
      <c r="W161" s="7334"/>
      <c r="X161" s="8693">
        <f>IF(AO160,W147,IF(AM161&lt;&gt;"",AM161,DaysInTaxYear))</f>
        <v>365</v>
      </c>
      <c r="Y161" s="8693"/>
      <c r="Z161" s="8693"/>
      <c r="AA161" s="8810" t="s">
        <v>3815</v>
      </c>
      <c r="AB161" s="8810"/>
      <c r="AC161" s="1379"/>
      <c r="AD161" s="1380"/>
      <c r="AE161" s="808"/>
      <c r="AF161" s="808"/>
      <c r="AG161" s="808"/>
      <c r="AH161" s="808"/>
      <c r="AI161" s="808"/>
      <c r="AJ161" s="808"/>
      <c r="AK161" s="461"/>
      <c r="AM161" s="4555"/>
      <c r="AN161" s="1332" t="s">
        <v>3839</v>
      </c>
      <c r="BL161" s="1346"/>
      <c r="BM161" s="1346"/>
    </row>
    <row r="162" spans="1:65" ht="15" customHeight="1">
      <c r="A162" s="461"/>
      <c r="B162" s="808"/>
      <c r="C162" s="808"/>
      <c r="D162" s="808"/>
      <c r="E162" s="2112" t="str">
        <f>"fall within your "&amp;TaxYear&amp;" tax year (see the instructions for line 31)."</f>
        <v>fall within your 2023 tax year (see the instructions for line 31).</v>
      </c>
      <c r="F162" s="808"/>
      <c r="G162" s="808"/>
      <c r="H162" s="808"/>
      <c r="I162" s="808"/>
      <c r="J162" s="808"/>
      <c r="K162" s="808"/>
      <c r="L162" s="808"/>
      <c r="M162" s="808"/>
      <c r="N162" s="808"/>
      <c r="O162" s="808"/>
      <c r="P162" s="808"/>
      <c r="Q162" s="808"/>
      <c r="R162" s="808"/>
      <c r="S162" s="808"/>
      <c r="T162" s="808"/>
      <c r="U162" s="808"/>
      <c r="V162" s="808"/>
      <c r="W162" s="808"/>
      <c r="X162" s="808"/>
      <c r="Y162" s="808"/>
      <c r="Z162" s="808"/>
      <c r="AA162" s="808"/>
      <c r="AB162" s="808"/>
      <c r="AC162" s="1150"/>
      <c r="AD162" s="1151"/>
      <c r="AE162" s="808"/>
      <c r="AF162" s="808"/>
      <c r="AG162" s="808"/>
      <c r="AH162" s="808"/>
      <c r="AI162" s="808"/>
      <c r="AJ162" s="808"/>
      <c r="AK162" s="461"/>
      <c r="AL162" s="1332" t="s">
        <v>3840</v>
      </c>
      <c r="BL162" s="1346"/>
      <c r="BM162" s="1346"/>
    </row>
    <row r="163" spans="1:65" ht="15" customHeight="1" thickBot="1">
      <c r="A163" s="461"/>
      <c r="B163" s="808"/>
      <c r="C163" s="1362" t="s">
        <v>3841</v>
      </c>
      <c r="D163" s="1386" t="s">
        <v>668</v>
      </c>
      <c r="E163" s="892" t="str">
        <f>"If line 38 and the number of days in your "&amp;TaxYear&amp;" tax year (usually "&amp;TEXT(DaysInTaxYear,"0")&amp;") are the same, enter “1.000.”"</f>
        <v>If line 38 and the number of days in your 2023 tax year (usually 365) are the same, enter “1.000.”</v>
      </c>
      <c r="F163" s="808"/>
      <c r="G163" s="808"/>
      <c r="H163" s="808"/>
      <c r="I163" s="808"/>
      <c r="J163" s="808"/>
      <c r="K163" s="808"/>
      <c r="L163" s="808"/>
      <c r="M163" s="808"/>
      <c r="N163" s="808"/>
      <c r="O163" s="808"/>
      <c r="P163" s="808"/>
      <c r="Q163" s="808"/>
      <c r="R163" s="808"/>
      <c r="S163" s="808"/>
      <c r="T163" s="808"/>
      <c r="U163" s="808"/>
      <c r="V163" s="808"/>
      <c r="W163" s="808"/>
      <c r="X163" s="808"/>
      <c r="Y163" s="808"/>
      <c r="Z163" s="808"/>
      <c r="AA163" s="808"/>
      <c r="AB163" s="808"/>
      <c r="AC163" s="1150"/>
      <c r="AD163" s="1151"/>
      <c r="AE163" s="808"/>
      <c r="AF163" s="808"/>
      <c r="AG163" s="808"/>
      <c r="AH163" s="808"/>
      <c r="AI163" s="808"/>
      <c r="AJ163" s="808"/>
      <c r="AK163" s="461"/>
      <c r="AL163" s="1332" t="str">
        <f>TaxYear&amp;" tax year."</f>
        <v>2023 tax year.</v>
      </c>
      <c r="BL163" s="1346"/>
      <c r="BM163" s="1346"/>
    </row>
    <row r="164" spans="1:65" ht="15" customHeight="1" thickBot="1">
      <c r="A164" s="461"/>
      <c r="B164" s="808"/>
      <c r="C164" s="808"/>
      <c r="D164" s="1386" t="s">
        <v>668</v>
      </c>
      <c r="E164" s="892" t="str">
        <f>"Otherwise, divide line 38 by the number of days in your "&amp;TaxYear&amp;" tax year and enter the result as"</f>
        <v>Otherwise, divide line 38 by the number of days in your 2023 tax year and enter the result as</v>
      </c>
      <c r="F164" s="808"/>
      <c r="G164" s="808"/>
      <c r="H164" s="808"/>
      <c r="I164" s="808"/>
      <c r="J164" s="808"/>
      <c r="K164" s="808"/>
      <c r="L164" s="808"/>
      <c r="M164" s="808"/>
      <c r="N164" s="808"/>
      <c r="O164" s="808"/>
      <c r="P164" s="808"/>
      <c r="Q164" s="808"/>
      <c r="R164" s="808"/>
      <c r="S164" s="808"/>
      <c r="T164" s="808"/>
      <c r="U164" s="808"/>
      <c r="V164" s="808"/>
      <c r="W164" s="808"/>
      <c r="X164" s="808"/>
      <c r="Y164" s="808"/>
      <c r="Z164" s="808"/>
      <c r="AA164" s="808"/>
      <c r="AB164" s="808"/>
      <c r="AC164" s="8694">
        <v>39</v>
      </c>
      <c r="AD164" s="8728"/>
      <c r="AE164" s="1384"/>
      <c r="AF164" s="1384"/>
      <c r="AG164" s="1385" t="s">
        <v>2429</v>
      </c>
      <c r="AH164" s="8813">
        <f>IF(AND(AM161="",AM164=""),1,IF(ISERROR(X161/AM164),"",ROUND(X161/AM164,3)))</f>
        <v>1</v>
      </c>
      <c r="AI164" s="8814"/>
      <c r="AJ164" s="8814"/>
      <c r="AK164" s="461"/>
      <c r="AM164" s="4555">
        <v>365</v>
      </c>
      <c r="AN164" s="1332" t="str">
        <f>"No. of days in your "</f>
        <v xml:space="preserve">No. of days in your </v>
      </c>
      <c r="BL164" s="1346"/>
      <c r="BM164" s="1346"/>
    </row>
    <row r="165" spans="1:65" ht="15" customHeight="1">
      <c r="A165" s="461"/>
      <c r="B165" s="808"/>
      <c r="C165" s="808"/>
      <c r="D165" s="808"/>
      <c r="E165" s="892" t="s">
        <v>3842</v>
      </c>
      <c r="F165" s="808"/>
      <c r="G165" s="808"/>
      <c r="H165" s="808"/>
      <c r="I165" s="808"/>
      <c r="J165" s="808"/>
      <c r="K165" s="808"/>
      <c r="L165" s="808"/>
      <c r="M165" s="808"/>
      <c r="N165" s="808"/>
      <c r="O165" s="808"/>
      <c r="P165" s="808"/>
      <c r="Q165" s="808"/>
      <c r="R165" s="808"/>
      <c r="S165" s="808"/>
      <c r="T165" s="808"/>
      <c r="U165" s="808"/>
      <c r="V165" s="808"/>
      <c r="W165" s="808"/>
      <c r="X165" s="808"/>
      <c r="Y165" s="808"/>
      <c r="Z165" s="808"/>
      <c r="AA165" s="808"/>
      <c r="AB165" s="808"/>
      <c r="AC165" s="8011"/>
      <c r="AD165" s="8730"/>
      <c r="AE165" s="8011"/>
      <c r="AF165" s="8731"/>
      <c r="AG165" s="8731"/>
      <c r="AH165" s="8731"/>
      <c r="AI165" s="8731"/>
      <c r="AJ165" s="8731"/>
      <c r="AK165" s="461"/>
      <c r="AN165" s="1332" t="str">
        <f>TaxYear&amp;" tax year."</f>
        <v>2023 tax year.</v>
      </c>
      <c r="BL165" s="1346"/>
      <c r="BM165" s="1346"/>
    </row>
    <row r="166" spans="1:65" ht="15" customHeight="1">
      <c r="A166" s="461"/>
      <c r="B166" s="808"/>
      <c r="C166" s="1362" t="s">
        <v>3843</v>
      </c>
      <c r="D166" s="2112" t="s">
        <v>3844</v>
      </c>
      <c r="E166" s="808"/>
      <c r="F166" s="808"/>
      <c r="G166" s="808"/>
      <c r="H166" s="808"/>
      <c r="I166" s="808"/>
      <c r="J166" s="808"/>
      <c r="K166" s="808"/>
      <c r="L166" s="808"/>
      <c r="M166" s="808"/>
      <c r="N166" s="808"/>
      <c r="O166" s="808"/>
      <c r="P166" s="808"/>
      <c r="Q166" s="808"/>
      <c r="R166" s="808"/>
      <c r="S166" s="808"/>
      <c r="T166" s="808"/>
      <c r="U166" s="808"/>
      <c r="V166" s="808"/>
      <c r="W166" s="808"/>
      <c r="X166" s="808"/>
      <c r="Y166" s="808"/>
      <c r="Z166" s="808"/>
      <c r="AA166" s="808"/>
      <c r="AB166" s="859" t="s">
        <v>2490</v>
      </c>
      <c r="AC166" s="8694">
        <v>40</v>
      </c>
      <c r="AD166" s="8728"/>
      <c r="AE166" s="8807" t="str">
        <f>IF(OR(ForeignEarnedIncome1=0,AH164=""),"",ROUND(AE159*AH164,0))</f>
        <v/>
      </c>
      <c r="AF166" s="8807"/>
      <c r="AG166" s="8807"/>
      <c r="AH166" s="8807"/>
      <c r="AI166" s="8807"/>
      <c r="AJ166" s="8807"/>
      <c r="AK166" s="461"/>
      <c r="BL166" s="1346"/>
      <c r="BM166" s="1346"/>
    </row>
    <row r="167" spans="1:65" ht="15" customHeight="1" thickBot="1">
      <c r="A167" s="461"/>
      <c r="B167" s="808"/>
      <c r="C167" s="1362" t="s">
        <v>3845</v>
      </c>
      <c r="D167" s="2112" t="s">
        <v>3846</v>
      </c>
      <c r="E167" s="808"/>
      <c r="F167" s="808"/>
      <c r="G167" s="808"/>
      <c r="H167" s="808"/>
      <c r="I167" s="808"/>
      <c r="J167" s="808"/>
      <c r="K167" s="808"/>
      <c r="L167" s="808"/>
      <c r="M167" s="808"/>
      <c r="N167" s="808"/>
      <c r="O167" s="808"/>
      <c r="P167" s="808"/>
      <c r="Q167" s="808"/>
      <c r="R167" s="808"/>
      <c r="S167" s="808"/>
      <c r="T167" s="808"/>
      <c r="U167" s="808"/>
      <c r="V167" s="808"/>
      <c r="W167" s="808"/>
      <c r="X167" s="808"/>
      <c r="Y167" s="808"/>
      <c r="Z167" s="808"/>
      <c r="AA167" s="808"/>
      <c r="AB167" s="859" t="s">
        <v>2163</v>
      </c>
      <c r="AC167" s="8694">
        <v>41</v>
      </c>
      <c r="AD167" s="8728"/>
      <c r="AE167" s="8807" t="str">
        <f>IF(OR(ForeignEarnedIncome1=0,AH164=""),"",SUM(ForeignEarnedIncome1,-AE156))</f>
        <v/>
      </c>
      <c r="AF167" s="8807"/>
      <c r="AG167" s="8807"/>
      <c r="AH167" s="8807"/>
      <c r="AI167" s="8807"/>
      <c r="AJ167" s="8807"/>
      <c r="AK167" s="461"/>
      <c r="AM167" s="1376" t="s">
        <v>867</v>
      </c>
      <c r="BL167" s="1346"/>
      <c r="BM167" s="1346"/>
    </row>
    <row r="168" spans="1:65" ht="15" customHeight="1" thickBot="1">
      <c r="A168" s="461"/>
      <c r="B168" s="808"/>
      <c r="C168" s="1362" t="s">
        <v>3847</v>
      </c>
      <c r="D168" s="892" t="s">
        <v>3848</v>
      </c>
      <c r="E168" s="808"/>
      <c r="F168" s="808"/>
      <c r="G168" s="808"/>
      <c r="H168" s="808"/>
      <c r="I168" s="808"/>
      <c r="J168" s="808"/>
      <c r="K168" s="808"/>
      <c r="L168" s="808"/>
      <c r="M168" s="808"/>
      <c r="N168" s="808"/>
      <c r="O168" s="808"/>
      <c r="P168" s="808"/>
      <c r="Q168" s="808"/>
      <c r="R168" s="808"/>
      <c r="S168" s="808"/>
      <c r="T168" s="808"/>
      <c r="U168" s="808"/>
      <c r="V168" s="808"/>
      <c r="W168" s="808"/>
      <c r="X168" s="808"/>
      <c r="Y168" s="808"/>
      <c r="Z168" s="808"/>
      <c r="AA168" s="808"/>
      <c r="AB168" s="859" t="s">
        <v>3849</v>
      </c>
      <c r="AC168" s="8818">
        <v>42</v>
      </c>
      <c r="AD168" s="8819"/>
      <c r="AE168" s="8820">
        <f>IF(AM168&lt;&gt;"",ROUND(AM168,0),IF(AH164="","",IF(AE167="",0,MIN(AE166,AE167))))</f>
        <v>0</v>
      </c>
      <c r="AF168" s="8820"/>
      <c r="AG168" s="8820"/>
      <c r="AH168" s="8820"/>
      <c r="AI168" s="8820"/>
      <c r="AJ168" s="8820"/>
      <c r="AK168" s="461"/>
      <c r="AM168" s="1390"/>
      <c r="BL168" s="1346"/>
      <c r="BM168" s="1346"/>
    </row>
    <row r="169" spans="1:65" ht="21.75" customHeight="1">
      <c r="A169" s="461"/>
      <c r="B169" s="3844" t="s">
        <v>3850</v>
      </c>
      <c r="C169" s="3845"/>
      <c r="D169" s="3846" t="s">
        <v>3851</v>
      </c>
      <c r="E169" s="3847"/>
      <c r="F169" s="3847"/>
      <c r="G169" s="3847"/>
      <c r="H169" s="3847"/>
      <c r="I169" s="3847"/>
      <c r="J169" s="3847"/>
      <c r="K169" s="3847"/>
      <c r="L169" s="3847"/>
      <c r="M169" s="3847"/>
      <c r="N169" s="3847"/>
      <c r="O169" s="3847"/>
      <c r="P169" s="3847"/>
      <c r="Q169" s="3847"/>
      <c r="R169" s="3847"/>
      <c r="S169" s="3847"/>
      <c r="T169" s="3847"/>
      <c r="U169" s="3847"/>
      <c r="V169" s="3847"/>
      <c r="W169" s="3847"/>
      <c r="X169" s="3847"/>
      <c r="Y169" s="3847"/>
      <c r="Z169" s="3847"/>
      <c r="AA169" s="3847"/>
      <c r="AB169" s="3847"/>
      <c r="AC169" s="3847"/>
      <c r="AD169" s="3847"/>
      <c r="AE169" s="3847"/>
      <c r="AF169" s="3847"/>
      <c r="AG169" s="3847"/>
      <c r="AH169" s="3847"/>
      <c r="AI169" s="3847"/>
      <c r="AJ169" s="3847"/>
      <c r="AK169" s="461"/>
    </row>
    <row r="170" spans="1:65" ht="15" customHeight="1">
      <c r="A170" s="461"/>
      <c r="B170" s="808"/>
      <c r="C170" s="1362" t="s">
        <v>3852</v>
      </c>
      <c r="D170" s="2112" t="s">
        <v>3853</v>
      </c>
      <c r="E170" s="808"/>
      <c r="F170" s="808"/>
      <c r="G170" s="808"/>
      <c r="H170" s="808"/>
      <c r="I170" s="808"/>
      <c r="J170" s="808"/>
      <c r="K170" s="808"/>
      <c r="L170" s="808"/>
      <c r="M170" s="808"/>
      <c r="N170" s="808"/>
      <c r="O170" s="808"/>
      <c r="P170" s="808"/>
      <c r="Q170" s="808"/>
      <c r="R170" s="808"/>
      <c r="S170" s="808"/>
      <c r="T170" s="808"/>
      <c r="U170" s="808"/>
      <c r="V170" s="808"/>
      <c r="W170" s="808"/>
      <c r="X170" s="808"/>
      <c r="Y170" s="808"/>
      <c r="Z170" s="808"/>
      <c r="AA170" s="808"/>
      <c r="AB170" s="859" t="s">
        <v>3065</v>
      </c>
      <c r="AC170" s="8694">
        <v>43</v>
      </c>
      <c r="AD170" s="8728"/>
      <c r="AE170" s="8807">
        <f>SUM(AO155,AE168)</f>
        <v>0</v>
      </c>
      <c r="AF170" s="8807"/>
      <c r="AG170" s="8807"/>
      <c r="AH170" s="8807"/>
      <c r="AI170" s="8807"/>
      <c r="AJ170" s="8807"/>
      <c r="AK170" s="461"/>
      <c r="AO170" s="4671">
        <f>IF(AE170="",0,AE170)</f>
        <v>0</v>
      </c>
      <c r="BL170" s="1346"/>
      <c r="BM170" s="1346"/>
    </row>
    <row r="171" spans="1:65" ht="15" customHeight="1">
      <c r="A171" s="461"/>
      <c r="B171" s="808"/>
      <c r="C171" s="1362" t="s">
        <v>3854</v>
      </c>
      <c r="D171" s="892" t="s">
        <v>3855</v>
      </c>
      <c r="E171" s="808"/>
      <c r="F171" s="808"/>
      <c r="G171" s="808"/>
      <c r="H171" s="808"/>
      <c r="I171" s="808"/>
      <c r="J171" s="808"/>
      <c r="K171" s="808"/>
      <c r="L171" s="808"/>
      <c r="M171" s="808"/>
      <c r="N171" s="808"/>
      <c r="O171" s="808"/>
      <c r="P171" s="808"/>
      <c r="Q171" s="808"/>
      <c r="R171" s="808"/>
      <c r="S171" s="808"/>
      <c r="T171" s="808"/>
      <c r="U171" s="808"/>
      <c r="V171" s="808"/>
      <c r="W171" s="808"/>
      <c r="X171" s="808"/>
      <c r="Y171" s="808"/>
      <c r="Z171" s="808"/>
      <c r="AA171" s="808"/>
      <c r="AB171" s="808"/>
      <c r="AC171" s="8011"/>
      <c r="AD171" s="8730"/>
      <c r="AE171" s="8011"/>
      <c r="AF171" s="8731"/>
      <c r="AG171" s="8731"/>
      <c r="AH171" s="8731"/>
      <c r="AI171" s="8731"/>
      <c r="AJ171" s="8731"/>
      <c r="AK171" s="461"/>
      <c r="AM171" s="8692" t="str">
        <f>IF(F2555_Line45_1&gt;FEI_Exclusion_Limit,"IMPORTANT NOTE: For "&amp;TaxYear&amp;", the FEI exclusion is limited to "&amp;TEXT(FEI_Exclusion_Limit,"$0,000")&amp;".","")</f>
        <v/>
      </c>
      <c r="AN171" s="8692"/>
      <c r="AO171" s="8692"/>
      <c r="BL171" s="1346"/>
      <c r="BM171" s="1346"/>
    </row>
    <row r="172" spans="1:65" ht="15" customHeight="1">
      <c r="A172" s="461"/>
      <c r="B172" s="808"/>
      <c r="C172" s="808"/>
      <c r="D172" s="2112" t="s">
        <v>3856</v>
      </c>
      <c r="E172" s="808"/>
      <c r="F172" s="808"/>
      <c r="G172" s="808"/>
      <c r="H172" s="808"/>
      <c r="I172" s="808"/>
      <c r="J172" s="808"/>
      <c r="K172" s="808"/>
      <c r="L172" s="808"/>
      <c r="M172" s="808"/>
      <c r="N172" s="808"/>
      <c r="O172" s="808"/>
      <c r="P172" s="808"/>
      <c r="Q172" s="808"/>
      <c r="R172" s="808"/>
      <c r="S172" s="808"/>
      <c r="T172" s="808"/>
      <c r="U172" s="808"/>
      <c r="V172" s="808"/>
      <c r="W172" s="808"/>
      <c r="X172" s="808"/>
      <c r="Y172" s="808"/>
      <c r="Z172" s="808"/>
      <c r="AA172" s="808"/>
      <c r="AB172" s="859" t="s">
        <v>746</v>
      </c>
      <c r="AC172" s="8694">
        <v>44</v>
      </c>
      <c r="AD172" s="8728"/>
      <c r="AE172" s="8729"/>
      <c r="AF172" s="8729"/>
      <c r="AG172" s="8729"/>
      <c r="AH172" s="8729"/>
      <c r="AI172" s="8729"/>
      <c r="AJ172" s="8729"/>
      <c r="AK172" s="461"/>
      <c r="AM172" s="8692"/>
      <c r="AN172" s="8692"/>
      <c r="AO172" s="8692"/>
      <c r="BL172" s="1346"/>
      <c r="BM172" s="1346"/>
    </row>
    <row r="173" spans="1:65" ht="15" customHeight="1">
      <c r="A173" s="461"/>
      <c r="B173" s="808"/>
      <c r="C173" s="1362" t="s">
        <v>3857</v>
      </c>
      <c r="D173" s="2112" t="s">
        <v>3858</v>
      </c>
      <c r="E173" s="808"/>
      <c r="F173" s="808"/>
      <c r="G173" s="808"/>
      <c r="H173" s="808"/>
      <c r="I173" s="808"/>
      <c r="J173" s="808"/>
      <c r="K173" s="808"/>
      <c r="L173" s="808"/>
      <c r="M173" s="808"/>
      <c r="N173" s="808"/>
      <c r="O173" s="808"/>
      <c r="P173" s="808"/>
      <c r="Q173" s="808"/>
      <c r="R173" s="808"/>
      <c r="S173" s="808"/>
      <c r="T173" s="808"/>
      <c r="U173" s="808"/>
      <c r="V173" s="808"/>
      <c r="W173" s="808"/>
      <c r="X173" s="808"/>
      <c r="Y173" s="808"/>
      <c r="Z173" s="808"/>
      <c r="AA173" s="808"/>
      <c r="AB173" s="808"/>
      <c r="AC173" s="8011"/>
      <c r="AD173" s="8730"/>
      <c r="AE173" s="8832">
        <f>IF(AO4,$AE$170,0)</f>
        <v>0</v>
      </c>
      <c r="AF173" s="8833"/>
      <c r="AG173" s="8833"/>
      <c r="AH173" s="8833"/>
      <c r="AI173" s="8833"/>
      <c r="AJ173" s="8833"/>
      <c r="AK173" s="461"/>
      <c r="AM173" s="8692"/>
      <c r="AN173" s="8692"/>
      <c r="AO173" s="8692"/>
      <c r="BL173" s="1346"/>
      <c r="BM173" s="1346"/>
    </row>
    <row r="174" spans="1:65" ht="15" customHeight="1" thickBot="1">
      <c r="A174" s="461"/>
      <c r="B174" s="808"/>
      <c r="C174" s="808"/>
      <c r="D174" s="2112" t="s">
        <v>3859</v>
      </c>
      <c r="E174" s="808"/>
      <c r="F174" s="808"/>
      <c r="G174" s="808"/>
      <c r="H174" s="808"/>
      <c r="I174" s="808"/>
      <c r="J174" s="808"/>
      <c r="K174" s="808"/>
      <c r="L174" s="808"/>
      <c r="M174" s="808"/>
      <c r="N174" s="808"/>
      <c r="O174" s="808"/>
      <c r="P174" s="808"/>
      <c r="Q174" s="808"/>
      <c r="R174" s="808"/>
      <c r="S174" s="808"/>
      <c r="T174" s="808"/>
      <c r="U174" s="808"/>
      <c r="V174" s="808"/>
      <c r="W174" s="808"/>
      <c r="X174" s="808"/>
      <c r="Y174" s="808"/>
      <c r="Z174" s="808"/>
      <c r="AA174" s="808"/>
      <c r="AB174" s="808"/>
      <c r="AC174" s="7933"/>
      <c r="AD174" s="8809"/>
      <c r="AE174" s="8826">
        <f>IF(AND(NOT(AO4),AO5),$AE$170,0)</f>
        <v>0</v>
      </c>
      <c r="AF174" s="8827"/>
      <c r="AG174" s="8827"/>
      <c r="AH174" s="8827"/>
      <c r="AI174" s="8827"/>
      <c r="AJ174" s="8827"/>
      <c r="AK174" s="461"/>
      <c r="AM174" s="1376" t="s">
        <v>867</v>
      </c>
      <c r="BL174" s="1346"/>
      <c r="BM174" s="1346"/>
    </row>
    <row r="175" spans="1:65" ht="15" customHeight="1" thickBot="1">
      <c r="A175" s="461"/>
      <c r="B175" s="808"/>
      <c r="C175" s="808"/>
      <c r="D175" s="2112" t="s">
        <v>3860</v>
      </c>
      <c r="E175" s="808"/>
      <c r="F175" s="808"/>
      <c r="G175" s="808"/>
      <c r="H175" s="808"/>
      <c r="I175" s="808"/>
      <c r="J175" s="808"/>
      <c r="K175" s="808"/>
      <c r="L175" s="808"/>
      <c r="M175" s="808"/>
      <c r="N175" s="808"/>
      <c r="O175" s="808"/>
      <c r="P175" s="808"/>
      <c r="Q175" s="808"/>
      <c r="R175" s="808"/>
      <c r="S175" s="808"/>
      <c r="T175" s="808"/>
      <c r="U175" s="808"/>
      <c r="V175" s="808"/>
      <c r="W175" s="808"/>
      <c r="X175" s="808"/>
      <c r="Y175" s="808"/>
      <c r="Z175" s="808"/>
      <c r="AA175" s="808"/>
      <c r="AB175" s="859" t="s">
        <v>714</v>
      </c>
      <c r="AC175" s="8694">
        <v>45</v>
      </c>
      <c r="AD175" s="8728"/>
      <c r="AE175" s="8807">
        <f>IF(AM175&lt;&gt;"",ROUND(AM175,0),IF(AE170=0,0,SUM(AE170,-AE172)))</f>
        <v>0</v>
      </c>
      <c r="AF175" s="8807"/>
      <c r="AG175" s="8807"/>
      <c r="AH175" s="8807"/>
      <c r="AI175" s="8807"/>
      <c r="AJ175" s="8807"/>
      <c r="AK175" s="461"/>
      <c r="AM175" s="1407"/>
      <c r="AO175" s="4671" t="e">
        <f>IF(F2555_Line45_1="",0,F2555_Line45)</f>
        <v>#NAME?</v>
      </c>
      <c r="BL175" s="1346"/>
      <c r="BM175" s="1346"/>
    </row>
    <row r="176" spans="1:65" ht="7.5" customHeight="1">
      <c r="A176" s="461"/>
      <c r="B176" s="1326"/>
      <c r="C176" s="1326"/>
      <c r="D176" s="8828" t="s">
        <v>3861</v>
      </c>
      <c r="E176" s="8829"/>
      <c r="F176" s="8829"/>
      <c r="G176" s="8829"/>
      <c r="H176" s="8829"/>
      <c r="I176" s="8829"/>
      <c r="J176" s="8829"/>
      <c r="K176" s="8829"/>
      <c r="L176" s="8829"/>
      <c r="M176" s="8829"/>
      <c r="N176" s="8829"/>
      <c r="O176" s="8829"/>
      <c r="P176" s="8829"/>
      <c r="Q176" s="8829"/>
      <c r="R176" s="8829"/>
      <c r="S176" s="8829"/>
      <c r="T176" s="8829"/>
      <c r="U176" s="8829"/>
      <c r="V176" s="8829"/>
      <c r="W176" s="8829"/>
      <c r="X176" s="8829"/>
      <c r="Y176" s="8829"/>
      <c r="Z176" s="8829"/>
      <c r="AA176" s="8829"/>
      <c r="AB176" s="8829"/>
      <c r="AC176" s="8829"/>
      <c r="AD176" s="8829"/>
      <c r="AE176" s="8829"/>
      <c r="AF176" s="8829"/>
      <c r="AG176" s="8829"/>
      <c r="AH176" s="8829"/>
      <c r="AI176" s="8829"/>
      <c r="AJ176" s="8829"/>
      <c r="AK176" s="461"/>
    </row>
    <row r="177" spans="1:74" ht="15" customHeight="1">
      <c r="A177" s="461"/>
      <c r="B177" s="8698" t="s">
        <v>3862</v>
      </c>
      <c r="C177" s="6435"/>
      <c r="D177" s="8830"/>
      <c r="E177" s="8830"/>
      <c r="F177" s="8830"/>
      <c r="G177" s="8830"/>
      <c r="H177" s="8830"/>
      <c r="I177" s="8830"/>
      <c r="J177" s="8830"/>
      <c r="K177" s="8830"/>
      <c r="L177" s="8830"/>
      <c r="M177" s="8830"/>
      <c r="N177" s="8830"/>
      <c r="O177" s="8830"/>
      <c r="P177" s="8830"/>
      <c r="Q177" s="8830"/>
      <c r="R177" s="8830"/>
      <c r="S177" s="8830"/>
      <c r="T177" s="8830"/>
      <c r="U177" s="8830"/>
      <c r="V177" s="8830"/>
      <c r="W177" s="8830"/>
      <c r="X177" s="8830"/>
      <c r="Y177" s="8830"/>
      <c r="Z177" s="8830"/>
      <c r="AA177" s="8830"/>
      <c r="AB177" s="8830"/>
      <c r="AC177" s="8830"/>
      <c r="AD177" s="8830"/>
      <c r="AE177" s="8830"/>
      <c r="AF177" s="8830"/>
      <c r="AG177" s="8830"/>
      <c r="AH177" s="8830"/>
      <c r="AI177" s="8830"/>
      <c r="AJ177" s="8830"/>
      <c r="AK177" s="461"/>
      <c r="AM177" s="4672" t="b">
        <f>AND(AO150&gt;AO155,ForeignEarnedIncome1&gt;AO170)</f>
        <v>0</v>
      </c>
    </row>
    <row r="178" spans="1:74" ht="7.5" customHeight="1">
      <c r="A178" s="461"/>
      <c r="B178" s="1330"/>
      <c r="C178" s="1330"/>
      <c r="D178" s="8831"/>
      <c r="E178" s="8831"/>
      <c r="F178" s="8831"/>
      <c r="G178" s="8831"/>
      <c r="H178" s="8831"/>
      <c r="I178" s="8831"/>
      <c r="J178" s="8831"/>
      <c r="K178" s="8831"/>
      <c r="L178" s="8831"/>
      <c r="M178" s="8831"/>
      <c r="N178" s="8831"/>
      <c r="O178" s="8831"/>
      <c r="P178" s="8831"/>
      <c r="Q178" s="8831"/>
      <c r="R178" s="8831"/>
      <c r="S178" s="8831"/>
      <c r="T178" s="8831"/>
      <c r="U178" s="8831"/>
      <c r="V178" s="8831"/>
      <c r="W178" s="8831"/>
      <c r="X178" s="8831"/>
      <c r="Y178" s="8831"/>
      <c r="Z178" s="8831"/>
      <c r="AA178" s="8831"/>
      <c r="AB178" s="8831"/>
      <c r="AC178" s="8831"/>
      <c r="AD178" s="8831"/>
      <c r="AE178" s="8831"/>
      <c r="AF178" s="8831"/>
      <c r="AG178" s="8831"/>
      <c r="AH178" s="8831"/>
      <c r="AI178" s="8831"/>
      <c r="AJ178" s="8831"/>
      <c r="AK178" s="461"/>
    </row>
    <row r="179" spans="1:74" ht="15" customHeight="1">
      <c r="A179" s="461"/>
      <c r="B179" s="808"/>
      <c r="C179" s="1362" t="s">
        <v>3863</v>
      </c>
      <c r="D179" s="2112" t="s">
        <v>3864</v>
      </c>
      <c r="E179" s="808"/>
      <c r="F179" s="808"/>
      <c r="G179" s="808"/>
      <c r="H179" s="808"/>
      <c r="I179" s="808"/>
      <c r="J179" s="808"/>
      <c r="K179" s="808"/>
      <c r="L179" s="808"/>
      <c r="M179" s="808"/>
      <c r="N179" s="808"/>
      <c r="O179" s="808"/>
      <c r="P179" s="808"/>
      <c r="Q179" s="808"/>
      <c r="R179" s="808"/>
      <c r="S179" s="808"/>
      <c r="T179" s="808"/>
      <c r="U179" s="808"/>
      <c r="V179" s="808"/>
      <c r="W179" s="808"/>
      <c r="X179" s="808"/>
      <c r="Y179" s="808"/>
      <c r="Z179" s="808"/>
      <c r="AA179" s="808"/>
      <c r="AB179" s="859" t="s">
        <v>744</v>
      </c>
      <c r="AC179" s="8694">
        <v>46</v>
      </c>
      <c r="AD179" s="8728"/>
      <c r="AE179" s="8807" t="str">
        <f>IF(OR(AM150,NOT(AM177)),"",SUM(AO150,-AO155))</f>
        <v/>
      </c>
      <c r="AF179" s="8807"/>
      <c r="AG179" s="8807"/>
      <c r="AH179" s="8807"/>
      <c r="AI179" s="8807"/>
      <c r="AJ179" s="8807"/>
      <c r="AK179" s="461"/>
      <c r="AM179" s="1332" t="str">
        <f>IF(F2555_Line45_1&gt;FEI_Exclusion_Limit,"For "&amp;TaxYear&amp;", the maximum","")</f>
        <v/>
      </c>
      <c r="BL179" s="1346"/>
      <c r="BM179" s="1346"/>
    </row>
    <row r="180" spans="1:74" ht="15" customHeight="1">
      <c r="A180" s="461"/>
      <c r="B180" s="808"/>
      <c r="C180" s="1362" t="s">
        <v>3865</v>
      </c>
      <c r="D180" s="2112" t="s">
        <v>3866</v>
      </c>
      <c r="E180" s="808"/>
      <c r="F180" s="808"/>
      <c r="G180" s="808"/>
      <c r="H180" s="808"/>
      <c r="I180" s="808"/>
      <c r="J180" s="808"/>
      <c r="K180" s="808"/>
      <c r="L180" s="808"/>
      <c r="M180" s="808"/>
      <c r="N180" s="808"/>
      <c r="O180" s="808"/>
      <c r="P180" s="808"/>
      <c r="Q180" s="808"/>
      <c r="R180" s="808"/>
      <c r="S180" s="808"/>
      <c r="T180" s="808"/>
      <c r="U180" s="808"/>
      <c r="V180" s="808"/>
      <c r="W180" s="808"/>
      <c r="X180" s="808"/>
      <c r="Y180" s="808"/>
      <c r="Z180" s="808"/>
      <c r="AA180" s="808"/>
      <c r="AB180" s="859" t="s">
        <v>744</v>
      </c>
      <c r="AC180" s="8694">
        <v>47</v>
      </c>
      <c r="AD180" s="8728"/>
      <c r="AE180" s="8807" t="str">
        <f>IF(OR(AM150,NOT(AM177)),"",SUM(ForeignEarnedIncome1,-AE170))</f>
        <v/>
      </c>
      <c r="AF180" s="8807"/>
      <c r="AG180" s="8807"/>
      <c r="AH180" s="8807"/>
      <c r="AI180" s="8807"/>
      <c r="AJ180" s="8807"/>
      <c r="AK180" s="461"/>
      <c r="BL180" s="1346"/>
      <c r="BM180" s="1346"/>
    </row>
    <row r="181" spans="1:74" ht="15" customHeight="1">
      <c r="A181" s="461"/>
      <c r="B181" s="808"/>
      <c r="C181" s="1362" t="s">
        <v>3867</v>
      </c>
      <c r="D181" s="2112" t="s">
        <v>3868</v>
      </c>
      <c r="E181" s="808"/>
      <c r="F181" s="808"/>
      <c r="G181" s="808"/>
      <c r="H181" s="808"/>
      <c r="I181" s="808"/>
      <c r="J181" s="808"/>
      <c r="K181" s="808"/>
      <c r="L181" s="808"/>
      <c r="M181" s="808"/>
      <c r="N181" s="808"/>
      <c r="O181" s="808"/>
      <c r="P181" s="808"/>
      <c r="Q181" s="808"/>
      <c r="R181" s="808"/>
      <c r="S181" s="808"/>
      <c r="T181" s="808"/>
      <c r="U181" s="808"/>
      <c r="V181" s="808"/>
      <c r="W181" s="808"/>
      <c r="X181" s="808"/>
      <c r="Y181" s="808"/>
      <c r="Z181" s="808"/>
      <c r="AA181" s="808"/>
      <c r="AB181" s="859" t="s">
        <v>754</v>
      </c>
      <c r="AC181" s="8694">
        <v>48</v>
      </c>
      <c r="AD181" s="8728"/>
      <c r="AE181" s="8807" t="str">
        <f>IF(OR(AM150,NOT(AM177)),"",MIN(AE179,AE180))</f>
        <v/>
      </c>
      <c r="AF181" s="8807"/>
      <c r="AG181" s="8807"/>
      <c r="AH181" s="8807"/>
      <c r="AI181" s="8807"/>
      <c r="AJ181" s="8807"/>
      <c r="AK181" s="461"/>
      <c r="BL181" s="1346"/>
      <c r="BM181" s="1346"/>
    </row>
    <row r="182" spans="1:74" ht="15" customHeight="1">
      <c r="A182" s="461"/>
      <c r="B182" s="808"/>
      <c r="C182" s="808"/>
      <c r="D182" s="2112" t="s">
        <v>3869</v>
      </c>
      <c r="E182" s="808"/>
      <c r="F182" s="1116"/>
      <c r="G182" s="808"/>
      <c r="H182" s="808"/>
      <c r="I182" s="808"/>
      <c r="J182" s="808"/>
      <c r="K182" s="808"/>
      <c r="L182" s="808"/>
      <c r="M182" s="808"/>
      <c r="N182" s="808"/>
      <c r="O182" s="808"/>
      <c r="P182" s="808"/>
      <c r="Q182" s="808"/>
      <c r="R182" s="808"/>
      <c r="S182" s="2112"/>
      <c r="T182" s="2112"/>
      <c r="U182" s="808"/>
      <c r="V182" s="808"/>
      <c r="W182" s="808"/>
      <c r="X182" s="808"/>
      <c r="Y182" s="808"/>
      <c r="Z182" s="808"/>
      <c r="AA182" s="808"/>
      <c r="AB182" s="3604" t="str">
        <f>"all of your "&amp;TaxYear-1&amp;" housing deduction "</f>
        <v xml:space="preserve">all of your 2022 housing deduction </v>
      </c>
      <c r="AC182" s="8815"/>
      <c r="AD182" s="8816"/>
      <c r="AE182" s="8011"/>
      <c r="AF182" s="8731"/>
      <c r="AG182" s="8731"/>
      <c r="AH182" s="8731"/>
      <c r="AI182" s="8731"/>
      <c r="AJ182" s="8731"/>
      <c r="AK182" s="461"/>
      <c r="BL182" s="1346"/>
      <c r="BM182" s="1346"/>
    </row>
    <row r="183" spans="1:74" ht="15" customHeight="1">
      <c r="A183" s="461"/>
      <c r="B183" s="808"/>
      <c r="C183" s="808"/>
      <c r="D183" s="2112" t="str">
        <f>"because of the "&amp;TaxYear-1&amp;" limit, use the Housing Deduction Carryover Worksheet in the instructions to"</f>
        <v>because of the 2022 limit, use the Housing Deduction Carryover Worksheet in the instructions to</v>
      </c>
      <c r="E183" s="808"/>
      <c r="F183" s="808"/>
      <c r="G183" s="808"/>
      <c r="H183" s="808"/>
      <c r="I183" s="808"/>
      <c r="J183" s="808"/>
      <c r="K183" s="808"/>
      <c r="L183" s="808"/>
      <c r="M183" s="808"/>
      <c r="N183" s="808"/>
      <c r="O183" s="808"/>
      <c r="P183" s="808"/>
      <c r="Q183" s="808"/>
      <c r="R183" s="808"/>
      <c r="S183" s="808"/>
      <c r="T183" s="808"/>
      <c r="U183" s="808"/>
      <c r="V183" s="808"/>
      <c r="W183" s="808"/>
      <c r="X183" s="808"/>
      <c r="Y183" s="808"/>
      <c r="Z183" s="808"/>
      <c r="AA183" s="808"/>
      <c r="AB183" s="808"/>
      <c r="AC183" s="8834"/>
      <c r="AD183" s="8835"/>
      <c r="AE183" s="7933"/>
      <c r="AF183" s="8802"/>
      <c r="AG183" s="8802"/>
      <c r="AH183" s="8802"/>
      <c r="AI183" s="8802"/>
      <c r="AJ183" s="8802"/>
      <c r="AK183" s="461"/>
      <c r="BL183" s="1346"/>
      <c r="BM183" s="1346"/>
    </row>
    <row r="184" spans="1:74" ht="15" customHeight="1">
      <c r="A184" s="461"/>
      <c r="B184" s="808"/>
      <c r="C184" s="808"/>
      <c r="D184" s="2112" t="s">
        <v>3870</v>
      </c>
      <c r="E184" s="808"/>
      <c r="F184" s="808"/>
      <c r="G184" s="808"/>
      <c r="H184" s="808"/>
      <c r="I184" s="808"/>
      <c r="J184" s="808"/>
      <c r="K184" s="808"/>
      <c r="L184" s="808"/>
      <c r="M184" s="808"/>
      <c r="N184" s="808"/>
      <c r="O184" s="808"/>
      <c r="P184" s="808"/>
      <c r="Q184" s="808"/>
      <c r="R184" s="808"/>
      <c r="S184" s="808"/>
      <c r="T184" s="808"/>
      <c r="U184" s="808"/>
      <c r="V184" s="808"/>
      <c r="W184" s="808"/>
      <c r="X184" s="808"/>
      <c r="Y184" s="808"/>
      <c r="Z184" s="808"/>
      <c r="AA184" s="808"/>
      <c r="AB184" s="808"/>
      <c r="AC184" s="8834"/>
      <c r="AD184" s="8835"/>
      <c r="AE184" s="7933"/>
      <c r="AF184" s="8802"/>
      <c r="AG184" s="8802"/>
      <c r="AH184" s="8802"/>
      <c r="AI184" s="8802"/>
      <c r="AJ184" s="8802"/>
      <c r="AK184" s="461"/>
      <c r="BL184" s="1346"/>
      <c r="BM184" s="1346"/>
    </row>
    <row r="185" spans="1:74" ht="15" customHeight="1">
      <c r="A185" s="461"/>
      <c r="B185" s="808"/>
      <c r="C185" s="1362" t="s">
        <v>3871</v>
      </c>
      <c r="D185" s="2112" t="str">
        <f>"Housing deduction carryover from "&amp;TaxYear-1&amp;" (from the Housing Deduction Carryover Worksheet in"</f>
        <v>Housing deduction carryover from 2022 (from the Housing Deduction Carryover Worksheet in</v>
      </c>
      <c r="E185" s="808"/>
      <c r="F185" s="808"/>
      <c r="G185" s="808"/>
      <c r="H185" s="808"/>
      <c r="I185" s="808"/>
      <c r="J185" s="808"/>
      <c r="K185" s="808"/>
      <c r="L185" s="808"/>
      <c r="M185" s="808"/>
      <c r="N185" s="808"/>
      <c r="O185" s="808"/>
      <c r="P185" s="808"/>
      <c r="Q185" s="808"/>
      <c r="R185" s="808"/>
      <c r="S185" s="808"/>
      <c r="T185" s="808"/>
      <c r="U185" s="808"/>
      <c r="V185" s="808"/>
      <c r="W185" s="808"/>
      <c r="X185" s="808"/>
      <c r="Y185" s="808"/>
      <c r="Z185" s="808"/>
      <c r="AA185" s="808"/>
      <c r="AB185" s="808"/>
      <c r="AC185" s="8834"/>
      <c r="AD185" s="8835"/>
      <c r="AE185" s="7933"/>
      <c r="AF185" s="8802"/>
      <c r="AG185" s="8802"/>
      <c r="AH185" s="8802"/>
      <c r="AI185" s="8802"/>
      <c r="AJ185" s="8802"/>
      <c r="AK185" s="461"/>
      <c r="BL185" s="1346"/>
      <c r="BM185" s="1346"/>
    </row>
    <row r="186" spans="1:74" ht="15" customHeight="1">
      <c r="A186" s="461"/>
      <c r="B186" s="808"/>
      <c r="C186" s="808"/>
      <c r="D186" s="2112" t="s">
        <v>3872</v>
      </c>
      <c r="E186" s="808"/>
      <c r="F186" s="808"/>
      <c r="G186" s="808"/>
      <c r="H186" s="808"/>
      <c r="I186" s="808"/>
      <c r="J186" s="808"/>
      <c r="K186" s="808"/>
      <c r="L186" s="808"/>
      <c r="M186" s="808"/>
      <c r="N186" s="808"/>
      <c r="O186" s="808"/>
      <c r="P186" s="808"/>
      <c r="Q186" s="808"/>
      <c r="R186" s="808"/>
      <c r="S186" s="808"/>
      <c r="T186" s="808"/>
      <c r="U186" s="808"/>
      <c r="V186" s="808"/>
      <c r="W186" s="808"/>
      <c r="X186" s="808"/>
      <c r="Y186" s="808"/>
      <c r="Z186" s="808"/>
      <c r="AA186" s="808"/>
      <c r="AB186" s="859" t="s">
        <v>3065</v>
      </c>
      <c r="AC186" s="8694">
        <v>49</v>
      </c>
      <c r="AD186" s="8728"/>
      <c r="AE186" s="8729"/>
      <c r="AF186" s="8729"/>
      <c r="AG186" s="8729"/>
      <c r="AH186" s="8729"/>
      <c r="AI186" s="8729"/>
      <c r="AJ186" s="8729"/>
      <c r="AK186" s="461"/>
      <c r="BL186" s="1346"/>
      <c r="BM186" s="1346"/>
    </row>
    <row r="187" spans="1:74" ht="15" customHeight="1">
      <c r="A187" s="461"/>
      <c r="B187" s="808"/>
      <c r="C187" s="1362" t="s">
        <v>3873</v>
      </c>
      <c r="D187" s="2112" t="s">
        <v>3874</v>
      </c>
      <c r="E187" s="808"/>
      <c r="F187" s="808"/>
      <c r="G187" s="808"/>
      <c r="H187" s="808"/>
      <c r="I187" s="808"/>
      <c r="J187" s="808"/>
      <c r="K187" s="808"/>
      <c r="L187" s="808"/>
      <c r="M187" s="808"/>
      <c r="N187" s="808"/>
      <c r="O187" s="808"/>
      <c r="P187" s="808"/>
      <c r="Q187" s="808"/>
      <c r="R187" s="808"/>
      <c r="S187" s="808"/>
      <c r="T187" s="808"/>
      <c r="U187" s="808"/>
      <c r="V187" s="808"/>
      <c r="W187" s="808"/>
      <c r="X187" s="808"/>
      <c r="Y187" s="808"/>
      <c r="Z187" s="808"/>
      <c r="AA187" s="808"/>
      <c r="AB187" s="808"/>
      <c r="AC187" s="8011"/>
      <c r="AD187" s="8730"/>
      <c r="AE187" s="8011"/>
      <c r="AF187" s="8731"/>
      <c r="AG187" s="8731"/>
      <c r="AH187" s="8731"/>
      <c r="AI187" s="8731"/>
      <c r="AJ187" s="8731"/>
      <c r="AK187" s="461"/>
      <c r="BL187" s="1346"/>
      <c r="BM187" s="1346"/>
    </row>
    <row r="188" spans="1:74" ht="15" customHeight="1" thickBot="1">
      <c r="A188" s="461"/>
      <c r="B188" s="808"/>
      <c r="C188" s="808"/>
      <c r="D188" s="2112" t="s">
        <v>3875</v>
      </c>
      <c r="E188" s="808"/>
      <c r="F188" s="808"/>
      <c r="G188" s="808"/>
      <c r="H188" s="808"/>
      <c r="I188" s="808"/>
      <c r="J188" s="808"/>
      <c r="K188" s="808"/>
      <c r="L188" s="808"/>
      <c r="M188" s="808"/>
      <c r="N188" s="808"/>
      <c r="O188" s="808"/>
      <c r="P188" s="808"/>
      <c r="Q188" s="808"/>
      <c r="R188" s="808"/>
      <c r="S188" s="808"/>
      <c r="T188" s="808"/>
      <c r="U188" s="808"/>
      <c r="V188" s="808"/>
      <c r="W188" s="808"/>
      <c r="X188" s="808"/>
      <c r="Y188" s="808"/>
      <c r="Z188" s="808"/>
      <c r="AA188" s="808"/>
      <c r="AB188" s="808"/>
      <c r="AC188" s="7933"/>
      <c r="AD188" s="8809"/>
      <c r="AE188" s="7933"/>
      <c r="AF188" s="8802"/>
      <c r="AG188" s="8802"/>
      <c r="AH188" s="8802"/>
      <c r="AI188" s="8802"/>
      <c r="AJ188" s="8802"/>
      <c r="AK188" s="461"/>
      <c r="AM188" s="1376" t="s">
        <v>867</v>
      </c>
      <c r="BL188" s="1346"/>
      <c r="BM188" s="1346"/>
    </row>
    <row r="189" spans="1:74" ht="15" customHeight="1" thickBot="1">
      <c r="A189" s="461"/>
      <c r="B189" s="808"/>
      <c r="C189" s="808"/>
      <c r="D189" s="2112" t="s">
        <v>3876</v>
      </c>
      <c r="E189" s="808"/>
      <c r="F189" s="808"/>
      <c r="G189" s="808"/>
      <c r="H189" s="808"/>
      <c r="I189" s="808"/>
      <c r="J189" s="808"/>
      <c r="K189" s="808"/>
      <c r="L189" s="808"/>
      <c r="M189" s="808"/>
      <c r="N189" s="808"/>
      <c r="O189" s="808"/>
      <c r="P189" s="808"/>
      <c r="Q189" s="808"/>
      <c r="R189" s="808"/>
      <c r="S189" s="808"/>
      <c r="T189" s="808"/>
      <c r="U189" s="808"/>
      <c r="V189" s="808"/>
      <c r="W189" s="808"/>
      <c r="X189" s="808"/>
      <c r="Y189" s="808"/>
      <c r="Z189" s="808"/>
      <c r="AA189" s="808"/>
      <c r="AB189" s="859" t="s">
        <v>722</v>
      </c>
      <c r="AC189" s="8694">
        <v>50</v>
      </c>
      <c r="AD189" s="8728"/>
      <c r="AE189" s="8807" t="str">
        <f>IF(AM189&lt;&gt;"",ROUND(AM189,0),IF(OR(AM150,NOT(AM177)),"",SUM(AE181,AE186)))</f>
        <v/>
      </c>
      <c r="AF189" s="8807"/>
      <c r="AG189" s="8807"/>
      <c r="AH189" s="8807"/>
      <c r="AI189" s="8807"/>
      <c r="AJ189" s="8807"/>
      <c r="AK189" s="461"/>
      <c r="AM189" s="1407"/>
      <c r="AO189" s="4659">
        <f>IF(AE189="",0,AE189)</f>
        <v>0</v>
      </c>
      <c r="BL189" s="1346"/>
      <c r="BM189" s="1346"/>
    </row>
    <row r="190" spans="1:74" ht="18.75" thickTop="1">
      <c r="A190" s="461"/>
      <c r="B190" s="963"/>
      <c r="C190" s="963"/>
      <c r="D190" s="963"/>
      <c r="E190" s="963"/>
      <c r="F190" s="963"/>
      <c r="G190" s="963"/>
      <c r="H190" s="963"/>
      <c r="I190" s="963"/>
      <c r="J190" s="963"/>
      <c r="K190" s="963"/>
      <c r="L190" s="963"/>
      <c r="M190" s="963"/>
      <c r="N190" s="963"/>
      <c r="O190" s="963"/>
      <c r="P190" s="963"/>
      <c r="Q190" s="963"/>
      <c r="R190" s="963"/>
      <c r="S190" s="963"/>
      <c r="T190" s="963"/>
      <c r="U190" s="963"/>
      <c r="V190" s="963"/>
      <c r="W190" s="963"/>
      <c r="X190" s="963"/>
      <c r="Y190" s="963"/>
      <c r="Z190" s="963"/>
      <c r="AA190" s="963"/>
      <c r="AB190" s="963"/>
      <c r="AC190" s="963"/>
      <c r="AD190" s="963"/>
      <c r="AE190" s="963"/>
      <c r="AF190" s="963"/>
      <c r="AG190" s="963"/>
      <c r="AH190" s="3409" t="s">
        <v>3877</v>
      </c>
      <c r="AI190" s="1381"/>
      <c r="AJ190" s="3408" t="str">
        <f>"("&amp;TaxYear&amp;")"</f>
        <v>(2023)</v>
      </c>
      <c r="AK190" s="461"/>
      <c r="AM190" s="4658" t="b">
        <f>OR(AO155&gt;0,AO344&gt;0,AND(ForeignIncExclusion1&lt;&gt;"",ForeignIncExclusion1&gt;0),AND(ForeignIncExclusion2&lt;&gt;"",ForeignIncExclusion2&gt;0),AND(F2555_Line45_1&lt;&gt;"",F2555_Line45_1&gt;0),AND(F2555_Line45_2&lt;&gt;"",F2555_Line45_2&gt;0),AND(F2555_Line45_1&lt;&gt;"",F2555_Line45_1&gt;0),AND(F2555_Line45_2&lt;&gt;"",F2555_Line45_2&gt;0))</f>
        <v>0</v>
      </c>
      <c r="AO190" s="1352"/>
      <c r="AP190" s="1353"/>
      <c r="BL190" s="1346"/>
      <c r="BM190" s="1346"/>
      <c r="BO190" s="1346"/>
      <c r="BP190" s="1346"/>
      <c r="BQ190" s="1346"/>
      <c r="BR190" s="1346"/>
      <c r="BS190" s="1346"/>
      <c r="BT190" s="1346"/>
      <c r="BU190" s="1346"/>
      <c r="BV190" s="1346"/>
    </row>
    <row r="191" spans="1:74" ht="18" customHeight="1">
      <c r="A191" s="461"/>
      <c r="B191" s="808"/>
      <c r="C191" s="808"/>
      <c r="D191" s="8768" t="s">
        <v>127</v>
      </c>
      <c r="E191" s="8769"/>
      <c r="F191" s="8769"/>
      <c r="G191" s="8769"/>
      <c r="H191" s="860"/>
      <c r="I191" s="8770" t="s">
        <v>3658</v>
      </c>
      <c r="J191" s="6966"/>
      <c r="K191" s="6966"/>
      <c r="L191" s="6966"/>
      <c r="M191" s="6966"/>
      <c r="N191" s="6966"/>
      <c r="O191" s="6966"/>
      <c r="P191" s="6966"/>
      <c r="Q191" s="6966"/>
      <c r="R191" s="6966"/>
      <c r="S191" s="6966"/>
      <c r="T191" s="6966"/>
      <c r="U191" s="6966"/>
      <c r="V191" s="6966"/>
      <c r="W191" s="6966"/>
      <c r="X191" s="6966"/>
      <c r="Y191" s="6966"/>
      <c r="Z191" s="6966"/>
      <c r="AA191" s="6966"/>
      <c r="AB191" s="6967"/>
      <c r="AC191" s="8772" t="s">
        <v>576</v>
      </c>
      <c r="AD191" s="8773"/>
      <c r="AE191" s="8773"/>
      <c r="AF191" s="8773"/>
      <c r="AG191" s="8773"/>
      <c r="AH191" s="8773"/>
      <c r="AI191" s="8773"/>
      <c r="AJ191" s="8773"/>
      <c r="AK191" s="461"/>
      <c r="AL191" s="892"/>
      <c r="AM191" s="892"/>
      <c r="AN191" s="892"/>
      <c r="AO191" s="892"/>
      <c r="AP191" s="892"/>
    </row>
    <row r="192" spans="1:74" ht="24" customHeight="1" thickBot="1">
      <c r="A192" s="461"/>
      <c r="B192" s="8774" t="s">
        <v>50</v>
      </c>
      <c r="C192" s="7256"/>
      <c r="D192" s="8769"/>
      <c r="E192" s="8769"/>
      <c r="F192" s="8769"/>
      <c r="G192" s="8769"/>
      <c r="H192" s="860"/>
      <c r="I192" s="8771"/>
      <c r="J192" s="6966"/>
      <c r="K192" s="6966"/>
      <c r="L192" s="6966"/>
      <c r="M192" s="6966"/>
      <c r="N192" s="6966"/>
      <c r="O192" s="6966"/>
      <c r="P192" s="6966"/>
      <c r="Q192" s="6966"/>
      <c r="R192" s="6966"/>
      <c r="S192" s="6966"/>
      <c r="T192" s="6966"/>
      <c r="U192" s="6966"/>
      <c r="V192" s="6966"/>
      <c r="W192" s="6966"/>
      <c r="X192" s="6966"/>
      <c r="Y192" s="6966"/>
      <c r="Z192" s="6966"/>
      <c r="AA192" s="6966"/>
      <c r="AB192" s="6967"/>
      <c r="AC192" s="8775">
        <f>TaxYear</f>
        <v>2023</v>
      </c>
      <c r="AD192" s="8776"/>
      <c r="AE192" s="8776"/>
      <c r="AF192" s="8776"/>
      <c r="AG192" s="8776"/>
      <c r="AH192" s="8776"/>
      <c r="AI192" s="8776"/>
      <c r="AJ192" s="8776"/>
      <c r="AK192" s="461"/>
      <c r="AL192" s="892" t="s">
        <v>3659</v>
      </c>
      <c r="AM192" s="892"/>
      <c r="AN192" s="892"/>
      <c r="AO192" s="892"/>
      <c r="AP192" s="892"/>
    </row>
    <row r="193" spans="1:74" ht="13.5" customHeight="1" thickBot="1">
      <c r="A193" s="461"/>
      <c r="B193" s="808"/>
      <c r="C193" s="808"/>
      <c r="D193" s="808"/>
      <c r="E193" s="808"/>
      <c r="F193" s="808"/>
      <c r="G193" s="808"/>
      <c r="H193" s="860"/>
      <c r="I193" s="8779"/>
      <c r="J193" s="6466"/>
      <c r="K193" s="6466"/>
      <c r="L193" s="6466"/>
      <c r="M193" s="6466"/>
      <c r="N193" s="6466"/>
      <c r="O193" s="6466"/>
      <c r="P193" s="6466"/>
      <c r="Q193" s="6466"/>
      <c r="R193" s="6466"/>
      <c r="S193" s="6466"/>
      <c r="T193" s="6466"/>
      <c r="U193" s="6466"/>
      <c r="V193" s="6466"/>
      <c r="W193" s="6466"/>
      <c r="X193" s="6466"/>
      <c r="Y193" s="6466"/>
      <c r="Z193" s="6466"/>
      <c r="AA193" s="6466"/>
      <c r="AB193" s="6971"/>
      <c r="AC193" s="8777"/>
      <c r="AD193" s="8778"/>
      <c r="AE193" s="8778"/>
      <c r="AF193" s="8778"/>
      <c r="AG193" s="8778"/>
      <c r="AH193" s="8778"/>
      <c r="AI193" s="8778"/>
      <c r="AJ193" s="8778"/>
      <c r="AK193" s="461"/>
      <c r="AL193" s="873"/>
      <c r="AM193" s="892" t="s">
        <v>605</v>
      </c>
      <c r="AN193" s="892"/>
      <c r="AO193" s="900" t="b">
        <f>AL193&lt;&gt;""</f>
        <v>0</v>
      </c>
      <c r="AP193" s="892"/>
    </row>
    <row r="194" spans="1:74" ht="14.25" customHeight="1" thickBot="1">
      <c r="A194" s="461"/>
      <c r="B194" s="808" t="s">
        <v>535</v>
      </c>
      <c r="C194" s="808"/>
      <c r="D194" s="808"/>
      <c r="E194" s="808"/>
      <c r="F194" s="808"/>
      <c r="G194" s="808"/>
      <c r="H194" s="860"/>
      <c r="I194" s="8779" t="s">
        <v>2090</v>
      </c>
      <c r="J194" s="6466"/>
      <c r="K194" s="6466"/>
      <c r="L194" s="6466"/>
      <c r="M194" s="6466"/>
      <c r="N194" s="6466"/>
      <c r="O194" s="6466"/>
      <c r="P194" s="6466"/>
      <c r="Q194" s="6466"/>
      <c r="R194" s="6466"/>
      <c r="S194" s="6466"/>
      <c r="T194" s="6466"/>
      <c r="U194" s="6466"/>
      <c r="V194" s="6466"/>
      <c r="W194" s="6466"/>
      <c r="X194" s="6466"/>
      <c r="Y194" s="6466"/>
      <c r="Z194" s="6466"/>
      <c r="AA194" s="6466"/>
      <c r="AB194" s="6971"/>
      <c r="AC194" s="894"/>
      <c r="AD194" s="8780" t="s">
        <v>3660</v>
      </c>
      <c r="AE194" s="8781"/>
      <c r="AF194" s="8781"/>
      <c r="AG194" s="8781"/>
      <c r="AH194" s="8782">
        <v>34</v>
      </c>
      <c r="AI194" s="8782"/>
      <c r="AJ194" s="808"/>
      <c r="AK194" s="461"/>
      <c r="AL194" s="873" t="s">
        <v>2268</v>
      </c>
      <c r="AM194" s="892" t="s">
        <v>3661</v>
      </c>
      <c r="AN194" s="892"/>
      <c r="AO194" s="900" t="b">
        <f>AL194&lt;&gt;""</f>
        <v>1</v>
      </c>
      <c r="AP194" s="892"/>
    </row>
    <row r="195" spans="1:74" ht="13.5" customHeight="1" thickBot="1">
      <c r="A195" s="461"/>
      <c r="B195" s="896" t="s">
        <v>537</v>
      </c>
      <c r="C195" s="896"/>
      <c r="D195" s="896"/>
      <c r="E195" s="896"/>
      <c r="F195" s="896"/>
      <c r="G195" s="896"/>
      <c r="H195" s="897"/>
      <c r="I195" s="8714" t="s">
        <v>3662</v>
      </c>
      <c r="J195" s="8715"/>
      <c r="K195" s="8715"/>
      <c r="L195" s="8715"/>
      <c r="M195" s="8715"/>
      <c r="N195" s="8715"/>
      <c r="O195" s="8715"/>
      <c r="P195" s="8715"/>
      <c r="Q195" s="8715"/>
      <c r="R195" s="8715"/>
      <c r="S195" s="8715"/>
      <c r="T195" s="8715"/>
      <c r="U195" s="8715"/>
      <c r="V195" s="8715"/>
      <c r="W195" s="8715"/>
      <c r="X195" s="8715"/>
      <c r="Y195" s="8715"/>
      <c r="Z195" s="8715"/>
      <c r="AA195" s="8715"/>
      <c r="AB195" s="8716"/>
      <c r="AC195" s="1118"/>
      <c r="AD195" s="8740" t="s">
        <v>3474</v>
      </c>
      <c r="AE195" s="8741"/>
      <c r="AF195" s="8741"/>
      <c r="AG195" s="8741"/>
      <c r="AH195" s="8783"/>
      <c r="AI195" s="8783"/>
      <c r="AJ195" s="896"/>
      <c r="AK195" s="461"/>
      <c r="AL195" s="892"/>
      <c r="AM195" s="892"/>
      <c r="AN195" s="892"/>
      <c r="AO195" s="892"/>
      <c r="AP195" s="892"/>
    </row>
    <row r="196" spans="1:74" ht="16.5" customHeight="1" thickBot="1">
      <c r="A196" s="461"/>
      <c r="B196" s="1327"/>
      <c r="C196" s="1327"/>
      <c r="D196" s="1327"/>
      <c r="E196" s="1327"/>
      <c r="F196" s="1327"/>
      <c r="G196" s="1327"/>
      <c r="H196" s="1327"/>
      <c r="I196" s="1327"/>
      <c r="J196" s="1327"/>
      <c r="K196" s="1327"/>
      <c r="L196" s="1327"/>
      <c r="M196" s="1327"/>
      <c r="N196" s="1327"/>
      <c r="O196" s="1327"/>
      <c r="P196" s="1327"/>
      <c r="Q196" s="1328" t="s">
        <v>3663</v>
      </c>
      <c r="R196" s="1327"/>
      <c r="S196" s="1327"/>
      <c r="T196" s="1327"/>
      <c r="U196" s="1327"/>
      <c r="V196" s="1327"/>
      <c r="W196" s="1327"/>
      <c r="X196" s="1327"/>
      <c r="Y196" s="1327"/>
      <c r="Z196" s="1327"/>
      <c r="AA196" s="1327"/>
      <c r="AB196" s="1327"/>
      <c r="AC196" s="1327"/>
      <c r="AD196" s="1327"/>
      <c r="AE196" s="1327"/>
      <c r="AF196" s="1327"/>
      <c r="AG196" s="1327"/>
      <c r="AH196" s="1327"/>
      <c r="AI196" s="1327"/>
      <c r="AJ196" s="1327"/>
      <c r="AK196" s="461"/>
      <c r="AL196" s="892"/>
      <c r="AM196" s="892"/>
      <c r="AN196" s="892"/>
      <c r="AO196" s="892"/>
      <c r="AP196" s="892"/>
    </row>
    <row r="197" spans="1:74">
      <c r="A197" s="461"/>
      <c r="B197" s="892" t="s">
        <v>3664</v>
      </c>
      <c r="C197" s="892"/>
      <c r="D197" s="892"/>
      <c r="E197" s="892"/>
      <c r="F197" s="892"/>
      <c r="G197" s="892"/>
      <c r="H197" s="892"/>
      <c r="I197" s="892"/>
      <c r="J197" s="892"/>
      <c r="K197" s="892"/>
      <c r="L197" s="892"/>
      <c r="M197" s="892"/>
      <c r="N197" s="892"/>
      <c r="O197" s="892"/>
      <c r="P197" s="892"/>
      <c r="Q197" s="892"/>
      <c r="R197" s="892"/>
      <c r="S197" s="892"/>
      <c r="T197" s="892"/>
      <c r="U197" s="892"/>
      <c r="V197" s="892"/>
      <c r="W197" s="892"/>
      <c r="X197" s="892"/>
      <c r="Y197" s="2950" t="s">
        <v>586</v>
      </c>
      <c r="Z197" s="808"/>
      <c r="AA197" s="808"/>
      <c r="AB197" s="808"/>
      <c r="AC197" s="1150"/>
      <c r="AD197" s="1255"/>
      <c r="AE197" s="1255"/>
      <c r="AF197" s="1255"/>
      <c r="AG197" s="1255"/>
      <c r="AH197" s="1255"/>
      <c r="AI197" s="1255"/>
      <c r="AJ197" s="1255"/>
      <c r="AK197" s="461"/>
      <c r="AL197" s="892"/>
      <c r="AM197" s="892"/>
      <c r="AN197" s="892"/>
      <c r="AO197" s="892"/>
      <c r="AP197" s="892"/>
    </row>
    <row r="198" spans="1:74" ht="13.5" customHeight="1">
      <c r="A198" s="461"/>
      <c r="B198" s="8742" t="str">
        <f>IF(AND(AL193&lt;&gt;"",AL194&lt;&gt;""),Names,IF(AL193&lt;&gt;"",NameYours,IF(AL194&lt;&gt;"",NameSpouse,Names)))</f>
        <v xml:space="preserve"> </v>
      </c>
      <c r="C198" s="8743"/>
      <c r="D198" s="8743"/>
      <c r="E198" s="8743"/>
      <c r="F198" s="8743"/>
      <c r="G198" s="8743"/>
      <c r="H198" s="8743"/>
      <c r="I198" s="8743"/>
      <c r="J198" s="8743"/>
      <c r="K198" s="8743"/>
      <c r="L198" s="8744"/>
      <c r="M198" s="8744"/>
      <c r="N198" s="8744"/>
      <c r="O198" s="8744"/>
      <c r="P198" s="8744"/>
      <c r="Q198" s="8744"/>
      <c r="R198" s="8744"/>
      <c r="S198" s="8744"/>
      <c r="T198" s="7311"/>
      <c r="U198" s="7311"/>
      <c r="V198" s="7311"/>
      <c r="W198" s="7311"/>
      <c r="X198" s="8745"/>
      <c r="Y198" s="8748">
        <f>IF(NoSSN,"",IF(AND(AL193="",AL194&lt;&gt;""),SS_Spouse,SS_Yours))</f>
        <v>1010002</v>
      </c>
      <c r="Z198" s="6733"/>
      <c r="AA198" s="6733"/>
      <c r="AB198" s="6733"/>
      <c r="AC198" s="6733"/>
      <c r="AD198" s="6733"/>
      <c r="AE198" s="6733"/>
      <c r="AF198" s="6733"/>
      <c r="AG198" s="6733"/>
      <c r="AH198" s="6733"/>
      <c r="AI198" s="6733"/>
      <c r="AJ198" s="6733"/>
      <c r="AK198" s="461"/>
      <c r="AL198" s="892"/>
      <c r="AM198" s="892"/>
      <c r="AN198" s="892"/>
      <c r="AO198" s="892"/>
      <c r="AP198" s="892"/>
    </row>
    <row r="199" spans="1:74" ht="5.25" customHeight="1">
      <c r="A199" s="461"/>
      <c r="B199" s="8746"/>
      <c r="C199" s="8746"/>
      <c r="D199" s="8746"/>
      <c r="E199" s="8746"/>
      <c r="F199" s="8746"/>
      <c r="G199" s="8746"/>
      <c r="H199" s="8746"/>
      <c r="I199" s="8746"/>
      <c r="J199" s="8746"/>
      <c r="K199" s="8746"/>
      <c r="L199" s="8746"/>
      <c r="M199" s="8746"/>
      <c r="N199" s="8746"/>
      <c r="O199" s="8746"/>
      <c r="P199" s="8746"/>
      <c r="Q199" s="8746"/>
      <c r="R199" s="8746"/>
      <c r="S199" s="8746"/>
      <c r="T199" s="8310"/>
      <c r="U199" s="8310"/>
      <c r="V199" s="8310"/>
      <c r="W199" s="8310"/>
      <c r="X199" s="8747"/>
      <c r="Y199" s="6734"/>
      <c r="Z199" s="6731"/>
      <c r="AA199" s="6731"/>
      <c r="AB199" s="6731"/>
      <c r="AC199" s="6731"/>
      <c r="AD199" s="6731"/>
      <c r="AE199" s="6731"/>
      <c r="AF199" s="6731"/>
      <c r="AG199" s="6731"/>
      <c r="AH199" s="6731"/>
      <c r="AI199" s="6731"/>
      <c r="AJ199" s="6731"/>
      <c r="AK199" s="461"/>
      <c r="AL199" s="892"/>
      <c r="AM199" s="892"/>
      <c r="AN199" s="892"/>
      <c r="AO199" s="892"/>
      <c r="AP199" s="892"/>
    </row>
    <row r="200" spans="1:74" ht="18.75" customHeight="1">
      <c r="A200" s="461"/>
      <c r="B200" s="8698" t="s">
        <v>884</v>
      </c>
      <c r="C200" s="6435"/>
      <c r="D200" s="4549" t="s">
        <v>3665</v>
      </c>
      <c r="E200" s="4315"/>
      <c r="F200" s="4315"/>
      <c r="G200" s="4315"/>
      <c r="H200" s="4315"/>
      <c r="I200" s="4315"/>
      <c r="J200" s="4315"/>
      <c r="K200" s="4315"/>
      <c r="L200" s="4315"/>
      <c r="M200" s="4315"/>
      <c r="N200" s="4315"/>
      <c r="O200" s="4315"/>
      <c r="P200" s="4315"/>
      <c r="Q200" s="4315"/>
      <c r="R200" s="4315"/>
      <c r="S200" s="4315"/>
      <c r="T200" s="4315"/>
      <c r="U200" s="4315"/>
      <c r="V200" s="4315"/>
      <c r="W200" s="4315"/>
      <c r="X200" s="4315"/>
      <c r="Y200" s="4315"/>
      <c r="Z200" s="4315"/>
      <c r="AA200" s="4315"/>
      <c r="AB200" s="4315"/>
      <c r="AC200" s="4315"/>
      <c r="AD200" s="4315"/>
      <c r="AE200" s="4315"/>
      <c r="AF200" s="4315"/>
      <c r="AG200" s="4315"/>
      <c r="AH200" s="4315"/>
      <c r="AI200" s="4315"/>
      <c r="AJ200" s="4315"/>
      <c r="AK200" s="461"/>
      <c r="AL200" s="892"/>
      <c r="AM200" s="892"/>
      <c r="AN200" s="892"/>
      <c r="AO200" s="892"/>
      <c r="AP200" s="892"/>
    </row>
    <row r="201" spans="1:74" ht="15" customHeight="1">
      <c r="A201" s="461"/>
      <c r="B201" s="808"/>
      <c r="C201" s="1124" t="s">
        <v>252</v>
      </c>
      <c r="D201" s="892" t="s">
        <v>3666</v>
      </c>
      <c r="E201" s="808"/>
      <c r="F201" s="808"/>
      <c r="G201" s="808"/>
      <c r="H201" s="808"/>
      <c r="I201" s="808"/>
      <c r="J201" s="808"/>
      <c r="K201" s="808"/>
      <c r="L201" s="808"/>
      <c r="M201" s="808"/>
      <c r="N201" s="808"/>
      <c r="O201" s="808"/>
      <c r="P201" s="808"/>
      <c r="Q201" s="808"/>
      <c r="R201" s="808"/>
      <c r="S201" s="808"/>
      <c r="T201" s="808"/>
      <c r="U201" s="808"/>
      <c r="V201" s="808"/>
      <c r="W201" s="808"/>
      <c r="X201" s="808"/>
      <c r="Y201" s="4548" t="s">
        <v>254</v>
      </c>
      <c r="Z201" s="892" t="s">
        <v>829</v>
      </c>
      <c r="AA201" s="808"/>
      <c r="AB201" s="808"/>
      <c r="AC201" s="808"/>
      <c r="AD201" s="808"/>
      <c r="AE201" s="808"/>
      <c r="AF201" s="808"/>
      <c r="AG201" s="808"/>
      <c r="AH201" s="808"/>
      <c r="AI201" s="808"/>
      <c r="AJ201" s="808"/>
      <c r="AK201" s="461"/>
      <c r="AL201" s="892"/>
      <c r="AM201" s="892"/>
      <c r="AN201" s="1703"/>
      <c r="AO201" s="3241"/>
      <c r="AP201" s="3241"/>
      <c r="AZ201" s="1334"/>
      <c r="BA201" s="1335"/>
      <c r="BB201" s="1335"/>
      <c r="BC201" s="1335"/>
      <c r="BD201" s="1335"/>
      <c r="BE201" s="1335"/>
      <c r="BF201" s="1335"/>
      <c r="BG201" s="1335"/>
      <c r="BH201" s="1335"/>
      <c r="BI201" s="1335"/>
      <c r="BJ201" s="1335"/>
    </row>
    <row r="202" spans="1:74" ht="16.5" customHeight="1">
      <c r="A202" s="461"/>
      <c r="B202" s="8717"/>
      <c r="C202" s="8718"/>
      <c r="D202" s="8718"/>
      <c r="E202" s="8718"/>
      <c r="F202" s="8718"/>
      <c r="G202" s="8718"/>
      <c r="H202" s="8718"/>
      <c r="I202" s="8718"/>
      <c r="J202" s="8718"/>
      <c r="K202" s="8718"/>
      <c r="L202" s="8718"/>
      <c r="M202" s="8718"/>
      <c r="N202" s="8718"/>
      <c r="O202" s="8718"/>
      <c r="P202" s="8718"/>
      <c r="Q202" s="8718"/>
      <c r="R202" s="8718"/>
      <c r="S202" s="8718"/>
      <c r="T202" s="8718"/>
      <c r="U202" s="8718"/>
      <c r="V202" s="8718"/>
      <c r="W202" s="8718"/>
      <c r="X202" s="8719"/>
      <c r="Y202" s="8720"/>
      <c r="Z202" s="8721"/>
      <c r="AA202" s="8721"/>
      <c r="AB202" s="8721"/>
      <c r="AC202" s="8721"/>
      <c r="AD202" s="8721"/>
      <c r="AE202" s="8721"/>
      <c r="AF202" s="8721"/>
      <c r="AG202" s="8721"/>
      <c r="AH202" s="8721"/>
      <c r="AI202" s="8721"/>
      <c r="AJ202" s="8721"/>
      <c r="AK202" s="461"/>
      <c r="AL202" s="892"/>
      <c r="AM202" s="892"/>
      <c r="AN202" s="3241"/>
      <c r="AO202" s="3241"/>
      <c r="AP202" s="3241"/>
      <c r="AZ202" s="1335"/>
      <c r="BA202" s="1335"/>
      <c r="BB202" s="1335"/>
      <c r="BC202" s="1335"/>
      <c r="BD202" s="1335"/>
      <c r="BE202" s="1335"/>
      <c r="BF202" s="1335"/>
      <c r="BG202" s="1335"/>
      <c r="BH202" s="1335"/>
      <c r="BI202" s="1335"/>
      <c r="BJ202" s="1335"/>
    </row>
    <row r="203" spans="1:74" ht="15" customHeight="1">
      <c r="A203" s="461"/>
      <c r="B203" s="808"/>
      <c r="C203" s="1124" t="s">
        <v>256</v>
      </c>
      <c r="D203" s="892" t="s">
        <v>3667</v>
      </c>
      <c r="E203" s="808"/>
      <c r="F203" s="808"/>
      <c r="G203" s="808"/>
      <c r="H203" s="808"/>
      <c r="I203" s="8722"/>
      <c r="J203" s="8723"/>
      <c r="K203" s="8724"/>
      <c r="L203" s="8724"/>
      <c r="M203" s="8724"/>
      <c r="N203" s="8724"/>
      <c r="O203" s="8724"/>
      <c r="P203" s="8724"/>
      <c r="Q203" s="8724"/>
      <c r="R203" s="8724"/>
      <c r="S203" s="8724"/>
      <c r="T203" s="8724"/>
      <c r="U203" s="8724"/>
      <c r="V203" s="8724"/>
      <c r="W203" s="8724"/>
      <c r="X203" s="8724"/>
      <c r="Y203" s="8724"/>
      <c r="Z203" s="8724"/>
      <c r="AA203" s="8724"/>
      <c r="AB203" s="8724"/>
      <c r="AC203" s="8724"/>
      <c r="AD203" s="8724"/>
      <c r="AE203" s="8724"/>
      <c r="AF203" s="8725"/>
      <c r="AG203" s="8725"/>
      <c r="AH203" s="8725"/>
      <c r="AI203" s="8725"/>
      <c r="AJ203" s="8725"/>
      <c r="AK203" s="461"/>
      <c r="AL203" s="892"/>
      <c r="AM203" s="892"/>
      <c r="AN203" s="3241"/>
      <c r="AO203" s="3241"/>
      <c r="AP203" s="3241"/>
      <c r="AZ203" s="1335"/>
      <c r="BA203" s="1335"/>
      <c r="BB203" s="1335"/>
      <c r="BC203" s="1335"/>
      <c r="BD203" s="1335"/>
      <c r="BE203" s="1335"/>
      <c r="BF203" s="1335"/>
      <c r="BG203" s="1335"/>
      <c r="BH203" s="1335"/>
      <c r="BI203" s="1335"/>
      <c r="BJ203" s="1335"/>
    </row>
    <row r="204" spans="1:74" ht="15" customHeight="1">
      <c r="A204" s="461"/>
      <c r="B204" s="808"/>
      <c r="C204" s="1363" t="s">
        <v>3668</v>
      </c>
      <c r="D204" s="892" t="s">
        <v>3669</v>
      </c>
      <c r="E204" s="808"/>
      <c r="F204" s="808"/>
      <c r="G204" s="808"/>
      <c r="H204" s="808"/>
      <c r="I204" s="808"/>
      <c r="J204" s="808"/>
      <c r="K204" s="8726"/>
      <c r="L204" s="8727"/>
      <c r="M204" s="8727"/>
      <c r="N204" s="8727"/>
      <c r="O204" s="8727"/>
      <c r="P204" s="8727"/>
      <c r="Q204" s="8727"/>
      <c r="R204" s="8727"/>
      <c r="S204" s="8727"/>
      <c r="T204" s="8727"/>
      <c r="U204" s="8727"/>
      <c r="V204" s="8727"/>
      <c r="W204" s="8727"/>
      <c r="X204" s="8727"/>
      <c r="Y204" s="8727"/>
      <c r="Z204" s="8727"/>
      <c r="AA204" s="8727"/>
      <c r="AB204" s="8727"/>
      <c r="AC204" s="8727"/>
      <c r="AD204" s="8727"/>
      <c r="AE204" s="8727"/>
      <c r="AF204" s="8727"/>
      <c r="AG204" s="8727"/>
      <c r="AH204" s="8727"/>
      <c r="AI204" s="8727"/>
      <c r="AJ204" s="8727"/>
      <c r="AK204" s="461"/>
      <c r="AL204" s="892"/>
      <c r="AM204" s="892"/>
      <c r="AN204" s="3241"/>
      <c r="AO204" s="3241"/>
      <c r="AP204" s="3241"/>
      <c r="AZ204" s="1335"/>
      <c r="BA204" s="1335"/>
      <c r="BB204" s="1335"/>
      <c r="BC204" s="1335"/>
      <c r="BD204" s="1335"/>
      <c r="BE204" s="1335"/>
      <c r="BF204" s="1335"/>
      <c r="BG204" s="1335"/>
      <c r="BH204" s="1335"/>
      <c r="BI204" s="1335"/>
      <c r="BJ204" s="1335"/>
    </row>
    <row r="205" spans="1:74" ht="15" customHeight="1">
      <c r="A205" s="461"/>
      <c r="B205" s="808"/>
      <c r="C205" s="1362" t="s">
        <v>2392</v>
      </c>
      <c r="D205" s="892" t="s">
        <v>3670</v>
      </c>
      <c r="E205" s="808"/>
      <c r="F205" s="808"/>
      <c r="G205" s="808"/>
      <c r="H205" s="808"/>
      <c r="I205" s="808"/>
      <c r="J205" s="808"/>
      <c r="K205" s="8726"/>
      <c r="L205" s="8727"/>
      <c r="M205" s="8727"/>
      <c r="N205" s="8727"/>
      <c r="O205" s="8727"/>
      <c r="P205" s="8727"/>
      <c r="Q205" s="8727"/>
      <c r="R205" s="8727"/>
      <c r="S205" s="8727"/>
      <c r="T205" s="8727"/>
      <c r="U205" s="8727"/>
      <c r="V205" s="8727"/>
      <c r="W205" s="8727"/>
      <c r="X205" s="8727"/>
      <c r="Y205" s="8727"/>
      <c r="Z205" s="8727"/>
      <c r="AA205" s="8727"/>
      <c r="AB205" s="8727"/>
      <c r="AC205" s="8727"/>
      <c r="AD205" s="8727"/>
      <c r="AE205" s="8727"/>
      <c r="AF205" s="8727"/>
      <c r="AG205" s="8727"/>
      <c r="AH205" s="8727"/>
      <c r="AI205" s="8727"/>
      <c r="AJ205" s="8727"/>
      <c r="AK205" s="461"/>
      <c r="AL205" s="892"/>
      <c r="AM205" s="892"/>
      <c r="AN205" s="892"/>
      <c r="AO205" s="892"/>
      <c r="AP205" s="892"/>
    </row>
    <row r="206" spans="1:74" ht="5.25" customHeight="1" thickBot="1">
      <c r="A206" s="461"/>
      <c r="B206" s="808"/>
      <c r="C206" s="808"/>
      <c r="D206" s="808"/>
      <c r="E206" s="808"/>
      <c r="F206" s="808"/>
      <c r="G206" s="808"/>
      <c r="H206" s="808"/>
      <c r="I206" s="808"/>
      <c r="J206" s="808"/>
      <c r="K206" s="808"/>
      <c r="L206" s="808"/>
      <c r="M206" s="808"/>
      <c r="N206" s="808"/>
      <c r="O206" s="808"/>
      <c r="P206" s="808"/>
      <c r="Q206" s="808"/>
      <c r="R206" s="808"/>
      <c r="S206" s="808"/>
      <c r="T206" s="808"/>
      <c r="U206" s="808"/>
      <c r="V206" s="808"/>
      <c r="W206" s="808"/>
      <c r="X206" s="808"/>
      <c r="Y206" s="808"/>
      <c r="Z206" s="808"/>
      <c r="AA206" s="808"/>
      <c r="AB206" s="808"/>
      <c r="AC206" s="808"/>
      <c r="AD206" s="808"/>
      <c r="AE206" s="808"/>
      <c r="AF206" s="808"/>
      <c r="AG206" s="808"/>
      <c r="AH206" s="808"/>
      <c r="AI206" s="808"/>
      <c r="AJ206" s="808"/>
      <c r="AK206" s="461"/>
      <c r="AL206" s="892"/>
      <c r="AM206" s="892"/>
      <c r="AN206" s="892"/>
      <c r="AO206" s="892"/>
      <c r="AP206" s="892"/>
      <c r="BL206" s="1346"/>
      <c r="BM206" s="1346"/>
      <c r="BO206" s="1346"/>
      <c r="BP206" s="1346"/>
      <c r="BQ206" s="1346"/>
      <c r="BR206" s="1346"/>
      <c r="BS206" s="1346"/>
      <c r="BT206" s="1346"/>
      <c r="BU206" s="1346"/>
      <c r="BV206" s="1346"/>
    </row>
    <row r="207" spans="1:74" ht="13.5" customHeight="1" thickBot="1">
      <c r="A207" s="461"/>
      <c r="B207" s="808"/>
      <c r="C207" s="1363" t="s">
        <v>261</v>
      </c>
      <c r="D207" s="8752" t="s">
        <v>3671</v>
      </c>
      <c r="E207" s="7311"/>
      <c r="F207" s="7311"/>
      <c r="G207" s="7311"/>
      <c r="H207" s="7311"/>
      <c r="I207" s="808"/>
      <c r="J207" s="1362" t="s">
        <v>3672</v>
      </c>
      <c r="K207" s="810"/>
      <c r="L207" s="892" t="s">
        <v>3673</v>
      </c>
      <c r="M207" s="808"/>
      <c r="N207" s="808"/>
      <c r="O207" s="808"/>
      <c r="P207" s="808"/>
      <c r="Q207" s="808"/>
      <c r="R207" s="808"/>
      <c r="S207" s="808"/>
      <c r="T207" s="808"/>
      <c r="U207" s="1362" t="s">
        <v>2392</v>
      </c>
      <c r="V207" s="810"/>
      <c r="W207" s="892" t="s">
        <v>3674</v>
      </c>
      <c r="X207" s="808"/>
      <c r="Y207" s="808"/>
      <c r="Z207" s="808"/>
      <c r="AA207" s="808"/>
      <c r="AB207" s="808"/>
      <c r="AC207" s="1362" t="s">
        <v>2394</v>
      </c>
      <c r="AD207" s="810"/>
      <c r="AE207" s="892" t="s">
        <v>3675</v>
      </c>
      <c r="AF207" s="808"/>
      <c r="AG207" s="808"/>
      <c r="AH207" s="808"/>
      <c r="AI207" s="808"/>
      <c r="AJ207" s="808"/>
      <c r="AK207" s="461"/>
      <c r="AL207" s="892"/>
      <c r="AM207" s="892"/>
      <c r="AN207" s="892"/>
      <c r="AO207" s="892"/>
      <c r="AP207" s="892"/>
    </row>
    <row r="208" spans="1:74" ht="6" customHeight="1" thickBot="1">
      <c r="A208" s="461"/>
      <c r="B208" s="808"/>
      <c r="C208" s="808"/>
      <c r="D208" s="7311"/>
      <c r="E208" s="7311"/>
      <c r="F208" s="7311"/>
      <c r="G208" s="7311"/>
      <c r="H208" s="7311"/>
      <c r="I208" s="808"/>
      <c r="J208" s="808"/>
      <c r="K208" s="1327"/>
      <c r="L208" s="808"/>
      <c r="M208" s="808"/>
      <c r="N208" s="808"/>
      <c r="O208" s="808"/>
      <c r="P208" s="808"/>
      <c r="Q208" s="808"/>
      <c r="R208" s="808"/>
      <c r="S208" s="808"/>
      <c r="T208" s="808"/>
      <c r="U208" s="1236"/>
      <c r="V208" s="808"/>
      <c r="W208" s="808"/>
      <c r="X208" s="808"/>
      <c r="Y208" s="808"/>
      <c r="Z208" s="808"/>
      <c r="AA208" s="808"/>
      <c r="AB208" s="808"/>
      <c r="AC208" s="808"/>
      <c r="AD208" s="808"/>
      <c r="AE208" s="808"/>
      <c r="AF208" s="808"/>
      <c r="AG208" s="808"/>
      <c r="AH208" s="808"/>
      <c r="AI208" s="808"/>
      <c r="AJ208" s="808"/>
      <c r="AK208" s="461"/>
      <c r="AL208" s="892"/>
      <c r="AM208" s="892"/>
      <c r="AN208" s="892"/>
      <c r="AO208" s="892"/>
      <c r="AP208" s="892"/>
    </row>
    <row r="209" spans="1:75" ht="13.5" customHeight="1" thickBot="1">
      <c r="A209" s="461"/>
      <c r="B209" s="808"/>
      <c r="C209" s="808"/>
      <c r="D209" s="7311"/>
      <c r="E209" s="7311"/>
      <c r="F209" s="7311"/>
      <c r="G209" s="7311"/>
      <c r="H209" s="7311"/>
      <c r="I209" s="808"/>
      <c r="J209" s="1362" t="s">
        <v>3676</v>
      </c>
      <c r="K209" s="810"/>
      <c r="L209" s="892" t="s">
        <v>3677</v>
      </c>
      <c r="M209" s="808"/>
      <c r="N209" s="808"/>
      <c r="O209" s="808"/>
      <c r="P209" s="808"/>
      <c r="Q209" s="808"/>
      <c r="R209" s="808"/>
      <c r="S209" s="808"/>
      <c r="T209" s="808"/>
      <c r="U209" s="1362" t="s">
        <v>3678</v>
      </c>
      <c r="V209" s="810"/>
      <c r="W209" s="892" t="s">
        <v>3679</v>
      </c>
      <c r="X209" s="808"/>
      <c r="Y209" s="808"/>
      <c r="Z209" s="808"/>
      <c r="AA209" s="808"/>
      <c r="AB209" s="8750"/>
      <c r="AC209" s="8751"/>
      <c r="AD209" s="8751"/>
      <c r="AE209" s="8751"/>
      <c r="AF209" s="8751"/>
      <c r="AG209" s="8751"/>
      <c r="AH209" s="8751"/>
      <c r="AI209" s="8751"/>
      <c r="AJ209" s="8751"/>
      <c r="AK209" s="461"/>
    </row>
    <row r="210" spans="1:75" ht="15.75" thickBot="1">
      <c r="A210" s="461"/>
      <c r="B210" s="808"/>
      <c r="C210" s="1363" t="s">
        <v>3680</v>
      </c>
      <c r="D210" s="892" t="s">
        <v>3681</v>
      </c>
      <c r="E210" s="808"/>
      <c r="F210" s="808"/>
      <c r="G210" s="808"/>
      <c r="H210" s="808"/>
      <c r="I210" s="808"/>
      <c r="J210" s="808"/>
      <c r="K210" s="808"/>
      <c r="L210" s="808"/>
      <c r="M210" s="808"/>
      <c r="N210" s="808"/>
      <c r="O210" s="808"/>
      <c r="P210" s="808"/>
      <c r="Q210" s="808"/>
      <c r="R210" s="808"/>
      <c r="S210" s="808"/>
      <c r="T210" s="808"/>
      <c r="U210" s="808"/>
      <c r="V210" s="808"/>
      <c r="W210" s="808"/>
      <c r="X210" s="808"/>
      <c r="Y210" s="8750"/>
      <c r="Z210" s="8837"/>
      <c r="AA210" s="8751"/>
      <c r="AB210" s="8751"/>
      <c r="AC210" s="8751"/>
      <c r="AD210" s="8751"/>
      <c r="AE210" s="8751"/>
      <c r="AF210" s="8751"/>
      <c r="AG210" s="8751"/>
      <c r="AH210" s="8751"/>
      <c r="AI210" s="8751"/>
      <c r="AJ210" s="8751"/>
      <c r="AK210" s="461"/>
      <c r="AN210" s="1338"/>
      <c r="AO210" s="1339"/>
      <c r="AZ210" s="1338"/>
      <c r="BA210" s="1339"/>
    </row>
    <row r="211" spans="1:75" ht="15.75" thickBot="1">
      <c r="A211" s="461"/>
      <c r="B211" s="808"/>
      <c r="C211" s="1362" t="s">
        <v>2392</v>
      </c>
      <c r="D211" s="892" t="s">
        <v>3682</v>
      </c>
      <c r="E211" s="808"/>
      <c r="F211" s="808"/>
      <c r="G211" s="808"/>
      <c r="H211" s="808"/>
      <c r="I211" s="808"/>
      <c r="J211" s="808"/>
      <c r="K211" s="808"/>
      <c r="L211" s="808"/>
      <c r="M211" s="808"/>
      <c r="N211" s="808"/>
      <c r="O211" s="808"/>
      <c r="P211" s="808"/>
      <c r="Q211" s="808"/>
      <c r="R211" s="808"/>
      <c r="S211" s="808"/>
      <c r="T211" s="808"/>
      <c r="U211" s="808"/>
      <c r="V211" s="808"/>
      <c r="W211" s="808"/>
      <c r="X211" s="808"/>
      <c r="Y211" s="808"/>
      <c r="Z211" s="4550"/>
      <c r="AA211" s="810"/>
      <c r="AB211" s="892" t="s">
        <v>3683</v>
      </c>
      <c r="AC211" s="892"/>
      <c r="AD211" s="808"/>
      <c r="AE211" s="808"/>
      <c r="AF211" s="808"/>
      <c r="AG211" s="808"/>
      <c r="AH211" s="808"/>
      <c r="AI211" s="808"/>
      <c r="AJ211" s="808"/>
      <c r="AK211" s="461"/>
      <c r="AO211" s="1339"/>
      <c r="BA211" s="1339"/>
      <c r="BF211" s="1338"/>
    </row>
    <row r="212" spans="1:75" ht="13.5" customHeight="1" thickBot="1">
      <c r="A212" s="461"/>
      <c r="B212" s="808"/>
      <c r="C212" s="1362" t="s">
        <v>2394</v>
      </c>
      <c r="D212" s="808" t="s">
        <v>3684</v>
      </c>
      <c r="E212" s="808"/>
      <c r="F212" s="808"/>
      <c r="G212" s="808"/>
      <c r="H212" s="808"/>
      <c r="I212" s="808"/>
      <c r="J212" s="808"/>
      <c r="K212" s="808"/>
      <c r="L212" s="808"/>
      <c r="M212" s="808"/>
      <c r="N212" s="808"/>
      <c r="O212" s="808"/>
      <c r="P212" s="808"/>
      <c r="Q212" s="808"/>
      <c r="R212" s="808"/>
      <c r="S212" s="808"/>
      <c r="T212" s="808"/>
      <c r="U212" s="808"/>
      <c r="V212" s="808"/>
      <c r="W212" s="808"/>
      <c r="X212" s="808"/>
      <c r="Y212" s="808"/>
      <c r="Z212" s="808"/>
      <c r="AA212" s="808"/>
      <c r="AB212" s="808"/>
      <c r="AC212" s="808"/>
      <c r="AD212" s="859" t="s">
        <v>754</v>
      </c>
      <c r="AE212" s="810"/>
      <c r="AF212" s="899" t="s">
        <v>608</v>
      </c>
      <c r="AG212" s="808"/>
      <c r="AH212" s="810"/>
      <c r="AI212" s="899" t="s">
        <v>609</v>
      </c>
      <c r="AJ212" s="808"/>
      <c r="AK212" s="461"/>
      <c r="AO212" s="1339"/>
      <c r="BA212" s="1339"/>
      <c r="BF212" s="1338"/>
      <c r="BG212" s="1336"/>
    </row>
    <row r="213" spans="1:75" ht="12.75" customHeight="1">
      <c r="A213" s="461"/>
      <c r="B213" s="808"/>
      <c r="C213" s="1362" t="s">
        <v>3676</v>
      </c>
      <c r="D213" s="892" t="s">
        <v>3685</v>
      </c>
      <c r="E213" s="808"/>
      <c r="F213" s="808"/>
      <c r="G213" s="808"/>
      <c r="H213" s="808"/>
      <c r="I213" s="808"/>
      <c r="J213" s="808"/>
      <c r="K213" s="808"/>
      <c r="L213" s="808"/>
      <c r="M213" s="808"/>
      <c r="N213" s="808"/>
      <c r="O213" s="808"/>
      <c r="P213" s="808"/>
      <c r="Q213" s="808"/>
      <c r="R213" s="808"/>
      <c r="S213" s="808"/>
      <c r="T213" s="808"/>
      <c r="U213" s="808"/>
      <c r="V213" s="808"/>
      <c r="W213" s="808"/>
      <c r="X213" s="808"/>
      <c r="Y213" s="808"/>
      <c r="Z213" s="808"/>
      <c r="AA213" s="808"/>
      <c r="AB213" s="808"/>
      <c r="AC213" s="8750"/>
      <c r="AD213" s="8796"/>
      <c r="AE213" s="8796"/>
      <c r="AF213" s="8796"/>
      <c r="AG213" s="8796"/>
      <c r="AH213" s="8796"/>
      <c r="AI213" s="8796"/>
      <c r="AJ213" s="8796"/>
      <c r="AK213" s="461"/>
      <c r="AO213" s="1339"/>
      <c r="BA213" s="1339"/>
    </row>
    <row r="214" spans="1:75" ht="15">
      <c r="A214" s="461"/>
      <c r="B214" s="808"/>
      <c r="C214" s="1124" t="s">
        <v>266</v>
      </c>
      <c r="D214" s="808" t="s">
        <v>3686</v>
      </c>
      <c r="E214" s="808"/>
      <c r="F214" s="808"/>
      <c r="G214" s="808"/>
      <c r="H214" s="808"/>
      <c r="I214" s="808"/>
      <c r="J214" s="808"/>
      <c r="K214" s="808"/>
      <c r="L214" s="808"/>
      <c r="M214" s="808"/>
      <c r="N214" s="808"/>
      <c r="O214" s="8750"/>
      <c r="P214" s="8751"/>
      <c r="Q214" s="8751"/>
      <c r="R214" s="8751"/>
      <c r="S214" s="8751"/>
      <c r="T214" s="8751"/>
      <c r="U214" s="8751"/>
      <c r="V214" s="8751"/>
      <c r="W214" s="8751"/>
      <c r="X214" s="8751"/>
      <c r="Y214" s="8751"/>
      <c r="Z214" s="8751"/>
      <c r="AA214" s="8751"/>
      <c r="AB214" s="8751"/>
      <c r="AC214" s="8751"/>
      <c r="AD214" s="8751"/>
      <c r="AE214" s="8751"/>
      <c r="AF214" s="8751"/>
      <c r="AG214" s="8751"/>
      <c r="AH214" s="8751"/>
      <c r="AI214" s="8751"/>
      <c r="AJ214" s="8751"/>
      <c r="AK214" s="461"/>
      <c r="AN214" s="1338"/>
      <c r="AO214" s="1339"/>
      <c r="AZ214" s="1338"/>
      <c r="BA214" s="1339"/>
    </row>
    <row r="215" spans="1:75" ht="15" customHeight="1" thickBot="1">
      <c r="A215" s="461"/>
      <c r="B215" s="808"/>
      <c r="C215" s="1363" t="s">
        <v>3687</v>
      </c>
      <c r="D215" s="808" t="s">
        <v>3688</v>
      </c>
      <c r="E215" s="808"/>
      <c r="F215" s="808"/>
      <c r="G215" s="808"/>
      <c r="H215" s="808"/>
      <c r="I215" s="808"/>
      <c r="J215" s="808"/>
      <c r="K215" s="808"/>
      <c r="L215" s="808"/>
      <c r="M215" s="808"/>
      <c r="N215" s="808"/>
      <c r="O215" s="808"/>
      <c r="P215" s="808"/>
      <c r="Q215" s="808"/>
      <c r="R215" s="808"/>
      <c r="S215" s="808"/>
      <c r="T215" s="808"/>
      <c r="U215" s="808"/>
      <c r="V215" s="808"/>
      <c r="W215" s="808"/>
      <c r="X215" s="808"/>
      <c r="Y215" s="808"/>
      <c r="Z215" s="808"/>
      <c r="AA215" s="808"/>
      <c r="AB215" s="808"/>
      <c r="AC215" s="808"/>
      <c r="AD215" s="808"/>
      <c r="AE215" s="808"/>
      <c r="AF215" s="808"/>
      <c r="AG215" s="808"/>
      <c r="AH215" s="808"/>
      <c r="AI215" s="808"/>
      <c r="AJ215" s="808"/>
      <c r="AK215" s="461"/>
      <c r="AM215" s="1336"/>
      <c r="AO215" s="1339"/>
      <c r="BA215" s="1339"/>
    </row>
    <row r="216" spans="1:75" ht="13.5" customHeight="1" thickBot="1">
      <c r="A216" s="461"/>
      <c r="B216" s="808"/>
      <c r="C216" s="808"/>
      <c r="D216" s="892" t="s">
        <v>3689</v>
      </c>
      <c r="E216" s="808"/>
      <c r="F216" s="808"/>
      <c r="G216" s="808"/>
      <c r="H216" s="808"/>
      <c r="I216" s="808"/>
      <c r="J216" s="808"/>
      <c r="K216" s="808"/>
      <c r="L216" s="808"/>
      <c r="M216" s="808"/>
      <c r="N216" s="808"/>
      <c r="O216" s="808"/>
      <c r="P216" s="808"/>
      <c r="Q216" s="808"/>
      <c r="R216" s="808"/>
      <c r="S216" s="808"/>
      <c r="T216" s="808"/>
      <c r="U216" s="808"/>
      <c r="V216" s="808"/>
      <c r="W216" s="808"/>
      <c r="X216" s="808"/>
      <c r="Y216" s="808"/>
      <c r="Z216" s="808"/>
      <c r="AA216" s="808"/>
      <c r="AB216" s="808"/>
      <c r="AC216" s="808"/>
      <c r="AD216" s="859" t="s">
        <v>670</v>
      </c>
      <c r="AE216" s="810"/>
      <c r="AF216" s="899" t="s">
        <v>608</v>
      </c>
      <c r="AG216" s="808"/>
      <c r="AH216" s="810"/>
      <c r="AI216" s="899" t="s">
        <v>609</v>
      </c>
      <c r="AJ216" s="808"/>
      <c r="AK216" s="461"/>
      <c r="AO216" s="1339"/>
      <c r="BA216" s="1339"/>
    </row>
    <row r="217" spans="1:75" ht="14.25" customHeight="1">
      <c r="A217" s="461"/>
      <c r="B217" s="808"/>
      <c r="C217" s="1362" t="s">
        <v>2392</v>
      </c>
      <c r="D217" s="2112" t="s">
        <v>3690</v>
      </c>
      <c r="E217" s="808"/>
      <c r="F217" s="808"/>
      <c r="G217" s="808"/>
      <c r="H217" s="808"/>
      <c r="I217" s="808"/>
      <c r="J217" s="808"/>
      <c r="K217" s="808"/>
      <c r="L217" s="808"/>
      <c r="M217" s="808"/>
      <c r="N217" s="808"/>
      <c r="O217" s="808"/>
      <c r="P217" s="808"/>
      <c r="Q217" s="808"/>
      <c r="R217" s="808"/>
      <c r="S217" s="808"/>
      <c r="T217" s="808"/>
      <c r="U217" s="808"/>
      <c r="V217" s="808"/>
      <c r="W217" s="808"/>
      <c r="X217" s="808"/>
      <c r="Y217" s="808"/>
      <c r="Z217" s="808"/>
      <c r="AA217" s="808"/>
      <c r="AB217" s="808"/>
      <c r="AC217" s="808"/>
      <c r="AD217" s="808"/>
      <c r="AE217" s="808"/>
      <c r="AF217" s="808"/>
      <c r="AG217" s="808"/>
      <c r="AH217" s="808"/>
      <c r="AI217" s="808"/>
      <c r="AJ217" s="808"/>
      <c r="AK217" s="461"/>
      <c r="AO217" s="1339"/>
      <c r="BA217" s="1339"/>
      <c r="BE217" s="1338"/>
      <c r="BF217" s="1336"/>
    </row>
    <row r="218" spans="1:75" s="1268" customFormat="1" ht="13.5" customHeight="1">
      <c r="A218" s="461"/>
      <c r="B218" s="808"/>
      <c r="C218" s="808"/>
      <c r="D218" s="892" t="s">
        <v>3691</v>
      </c>
      <c r="E218" s="808"/>
      <c r="F218" s="808"/>
      <c r="G218" s="808"/>
      <c r="H218" s="808"/>
      <c r="I218" s="808"/>
      <c r="J218" s="808"/>
      <c r="K218" s="808"/>
      <c r="L218" s="808"/>
      <c r="M218" s="808"/>
      <c r="N218" s="808"/>
      <c r="O218" s="808"/>
      <c r="P218" s="8750"/>
      <c r="Q218" s="8751"/>
      <c r="R218" s="8751"/>
      <c r="S218" s="8751"/>
      <c r="T218" s="8751"/>
      <c r="U218" s="8751"/>
      <c r="V218" s="8751"/>
      <c r="W218" s="8751"/>
      <c r="X218" s="8751"/>
      <c r="Y218" s="8751"/>
      <c r="Z218" s="8751"/>
      <c r="AA218" s="8751"/>
      <c r="AB218" s="8751"/>
      <c r="AC218" s="8751"/>
      <c r="AD218" s="8751"/>
      <c r="AE218" s="8751"/>
      <c r="AF218" s="8751"/>
      <c r="AG218" s="8751"/>
      <c r="AH218" s="8751"/>
      <c r="AI218" s="8751"/>
      <c r="AJ218" s="8751"/>
      <c r="AK218" s="461"/>
      <c r="AL218" s="1332"/>
      <c r="AM218" s="1332"/>
      <c r="AN218" s="1338"/>
      <c r="AO218" s="1339"/>
      <c r="AP218" s="1332"/>
      <c r="AQ218" s="2038"/>
      <c r="AR218" s="2038"/>
      <c r="AS218" s="2038"/>
      <c r="AT218" s="2038"/>
      <c r="AU218" s="2038"/>
      <c r="AV218" s="2038"/>
      <c r="AW218" s="2038"/>
      <c r="AX218" s="2038"/>
      <c r="AY218" s="2038"/>
      <c r="AZ218" s="1338"/>
      <c r="BA218" s="1339"/>
      <c r="BB218" s="1332"/>
      <c r="BC218" s="1332"/>
      <c r="BD218" s="1332"/>
      <c r="BE218" s="1332"/>
      <c r="BF218" s="1332"/>
      <c r="BG218" s="1332"/>
      <c r="BH218" s="1332"/>
      <c r="BI218" s="1332"/>
      <c r="BJ218" s="1332"/>
      <c r="BK218" s="1332"/>
      <c r="BL218" s="1332"/>
      <c r="BM218" s="1332"/>
      <c r="BN218" s="1332"/>
      <c r="BO218" s="1332"/>
      <c r="BP218" s="1332"/>
      <c r="BQ218" s="1332"/>
      <c r="BR218" s="1332"/>
      <c r="BS218" s="1332"/>
      <c r="BT218" s="1332"/>
      <c r="BU218" s="1332"/>
      <c r="BV218" s="1332"/>
      <c r="BW218" s="1332"/>
    </row>
    <row r="219" spans="1:75" s="1268" customFormat="1" ht="15">
      <c r="A219" s="461"/>
      <c r="B219" s="808"/>
      <c r="C219" s="1124" t="s">
        <v>407</v>
      </c>
      <c r="D219" s="808" t="s">
        <v>3692</v>
      </c>
      <c r="E219" s="808"/>
      <c r="F219" s="808"/>
      <c r="G219" s="808"/>
      <c r="H219" s="808"/>
      <c r="I219" s="808"/>
      <c r="J219" s="808"/>
      <c r="K219" s="808"/>
      <c r="L219" s="808"/>
      <c r="M219" s="808"/>
      <c r="N219" s="808"/>
      <c r="O219" s="808"/>
      <c r="P219" s="808"/>
      <c r="Q219" s="808"/>
      <c r="R219" s="808"/>
      <c r="S219" s="808"/>
      <c r="T219" s="8726"/>
      <c r="U219" s="8739"/>
      <c r="V219" s="8739"/>
      <c r="W219" s="8739"/>
      <c r="X219" s="8739"/>
      <c r="Y219" s="8739"/>
      <c r="Z219" s="8739"/>
      <c r="AA219" s="8739"/>
      <c r="AB219" s="8739"/>
      <c r="AC219" s="8739"/>
      <c r="AD219" s="8739"/>
      <c r="AE219" s="8739"/>
      <c r="AF219" s="8739"/>
      <c r="AG219" s="8739"/>
      <c r="AH219" s="8739"/>
      <c r="AI219" s="8739"/>
      <c r="AJ219" s="8739"/>
      <c r="AK219" s="461"/>
      <c r="AL219" s="1332"/>
      <c r="AM219" s="1332"/>
      <c r="AN219" s="1332"/>
      <c r="AO219" s="1339"/>
      <c r="AP219" s="1332"/>
      <c r="AQ219" s="2038"/>
      <c r="AR219" s="2038"/>
      <c r="AS219" s="2038"/>
      <c r="AT219" s="2038"/>
      <c r="AU219" s="2038"/>
      <c r="AV219" s="2038"/>
      <c r="AW219" s="2038"/>
      <c r="AX219" s="2038"/>
      <c r="AY219" s="2038"/>
      <c r="AZ219" s="1332"/>
      <c r="BA219" s="1339"/>
      <c r="BB219" s="1332"/>
      <c r="BC219" s="1332"/>
      <c r="BD219" s="1332"/>
      <c r="BE219" s="1338"/>
      <c r="BF219" s="1338"/>
      <c r="BG219" s="1332"/>
      <c r="BH219" s="1332"/>
      <c r="BI219" s="1332"/>
      <c r="BJ219" s="1332"/>
      <c r="BK219" s="1332"/>
      <c r="BL219" s="1332"/>
      <c r="BM219" s="1332"/>
      <c r="BN219" s="1332"/>
      <c r="BO219" s="1332"/>
      <c r="BP219" s="1332"/>
      <c r="BQ219" s="1332"/>
      <c r="BR219" s="1332"/>
      <c r="BS219" s="1332"/>
      <c r="BT219" s="1332"/>
      <c r="BU219" s="1332"/>
      <c r="BV219" s="1332"/>
      <c r="BW219" s="1332"/>
    </row>
    <row r="220" spans="1:75" s="1268" customFormat="1">
      <c r="A220" s="461"/>
      <c r="B220" s="1121"/>
      <c r="C220" s="1121"/>
      <c r="D220" s="8756"/>
      <c r="E220" s="8757"/>
      <c r="F220" s="8757"/>
      <c r="G220" s="8757"/>
      <c r="H220" s="8757"/>
      <c r="I220" s="8757"/>
      <c r="J220" s="8757"/>
      <c r="K220" s="8757"/>
      <c r="L220" s="8757"/>
      <c r="M220" s="8757"/>
      <c r="N220" s="8757"/>
      <c r="O220" s="8757"/>
      <c r="P220" s="8757"/>
      <c r="Q220" s="8757"/>
      <c r="R220" s="8757"/>
      <c r="S220" s="8757"/>
      <c r="T220" s="8757"/>
      <c r="U220" s="8757"/>
      <c r="V220" s="8757"/>
      <c r="W220" s="8757"/>
      <c r="X220" s="8757"/>
      <c r="Y220" s="8757"/>
      <c r="Z220" s="8757"/>
      <c r="AA220" s="8757"/>
      <c r="AB220" s="8757"/>
      <c r="AC220" s="8757"/>
      <c r="AD220" s="8757"/>
      <c r="AE220" s="8757"/>
      <c r="AF220" s="8757"/>
      <c r="AG220" s="8757"/>
      <c r="AH220" s="8757"/>
      <c r="AI220" s="8757"/>
      <c r="AJ220" s="8757"/>
      <c r="AK220" s="461"/>
      <c r="AL220" s="1332"/>
      <c r="AM220" s="1340"/>
      <c r="AN220" s="1332"/>
      <c r="AO220" s="1339"/>
      <c r="AP220" s="1332"/>
      <c r="AQ220" s="2038"/>
      <c r="AR220" s="2038"/>
      <c r="AS220" s="2038"/>
      <c r="AT220" s="2038"/>
      <c r="AU220" s="2038"/>
      <c r="AV220" s="2038"/>
      <c r="AW220" s="2038"/>
      <c r="AX220" s="2038"/>
      <c r="AY220" s="2038"/>
      <c r="AZ220" s="1332"/>
      <c r="BA220" s="1339"/>
      <c r="BB220" s="1332"/>
      <c r="BC220" s="1332"/>
      <c r="BD220" s="1332"/>
      <c r="BE220" s="1338"/>
      <c r="BF220" s="1336"/>
      <c r="BG220" s="1332"/>
      <c r="BH220" s="1332"/>
      <c r="BI220" s="1332"/>
      <c r="BJ220" s="1332"/>
      <c r="BK220" s="1332"/>
      <c r="BL220" s="1332"/>
      <c r="BM220" s="1332"/>
      <c r="BN220" s="1332"/>
      <c r="BO220" s="1332"/>
      <c r="BP220" s="1332"/>
      <c r="BQ220" s="1332"/>
      <c r="BR220" s="1332"/>
      <c r="BS220" s="1332"/>
      <c r="BT220" s="1332"/>
      <c r="BU220" s="1332"/>
      <c r="BV220" s="1332"/>
      <c r="BW220" s="1332"/>
    </row>
    <row r="221" spans="1:75" s="1268" customFormat="1" ht="6" customHeight="1">
      <c r="A221" s="461"/>
      <c r="B221" s="4551"/>
      <c r="C221" s="4551"/>
      <c r="D221" s="4551"/>
      <c r="E221" s="4551"/>
      <c r="F221" s="4551"/>
      <c r="G221" s="4551"/>
      <c r="H221" s="4551"/>
      <c r="I221" s="4551"/>
      <c r="J221" s="4551"/>
      <c r="K221" s="4551"/>
      <c r="L221" s="4551"/>
      <c r="M221" s="4551"/>
      <c r="N221" s="4551"/>
      <c r="O221" s="4551"/>
      <c r="P221" s="4551"/>
      <c r="Q221" s="4551"/>
      <c r="R221" s="4551"/>
      <c r="S221" s="4551"/>
      <c r="T221" s="4551"/>
      <c r="U221" s="4551"/>
      <c r="V221" s="4551"/>
      <c r="W221" s="4551"/>
      <c r="X221" s="4551"/>
      <c r="Y221" s="4551"/>
      <c r="Z221" s="4551"/>
      <c r="AA221" s="4551"/>
      <c r="AB221" s="4551"/>
      <c r="AC221" s="4551"/>
      <c r="AD221" s="4551"/>
      <c r="AE221" s="4551"/>
      <c r="AF221" s="4551"/>
      <c r="AG221" s="4551"/>
      <c r="AH221" s="4551"/>
      <c r="AI221" s="4551"/>
      <c r="AJ221" s="4551"/>
      <c r="AK221" s="461"/>
      <c r="AL221" s="1332"/>
      <c r="AM221" s="1341"/>
      <c r="AN221" s="1332"/>
      <c r="AO221" s="1339"/>
      <c r="AP221" s="1332"/>
      <c r="AQ221" s="2038"/>
      <c r="AR221" s="2038"/>
      <c r="AS221" s="2038"/>
      <c r="AT221" s="2038"/>
      <c r="AU221" s="2038"/>
      <c r="AV221" s="2038"/>
      <c r="AW221" s="2038"/>
      <c r="AX221" s="2038"/>
      <c r="AY221" s="2038"/>
      <c r="AZ221" s="1332"/>
      <c r="BA221" s="1339"/>
      <c r="BB221" s="1332"/>
      <c r="BC221" s="1332"/>
      <c r="BD221" s="1332"/>
      <c r="BE221" s="1332"/>
      <c r="BF221" s="1332"/>
      <c r="BG221" s="1332"/>
      <c r="BH221" s="1332"/>
      <c r="BI221" s="1332"/>
      <c r="BJ221" s="1332"/>
      <c r="BK221" s="1332"/>
      <c r="BL221" s="1332"/>
      <c r="BM221" s="1332"/>
      <c r="BN221" s="1332"/>
      <c r="BO221" s="1332"/>
      <c r="BP221" s="1332"/>
      <c r="BQ221" s="1332"/>
      <c r="BR221" s="1332"/>
      <c r="BS221" s="1332"/>
      <c r="BT221" s="1332"/>
      <c r="BU221" s="1332"/>
      <c r="BV221" s="1332"/>
      <c r="BW221" s="1332"/>
    </row>
    <row r="222" spans="1:75" s="1268" customFormat="1" ht="15.75" customHeight="1">
      <c r="A222" s="461"/>
      <c r="B222" s="8767" t="s">
        <v>3693</v>
      </c>
      <c r="C222" s="8767"/>
      <c r="D222" s="8767"/>
      <c r="E222" s="8767"/>
      <c r="F222" s="8767"/>
      <c r="G222" s="8767"/>
      <c r="H222" s="8767"/>
      <c r="I222" s="8767"/>
      <c r="J222" s="8767"/>
      <c r="K222" s="8767"/>
      <c r="L222" s="8767"/>
      <c r="M222" s="8767"/>
      <c r="N222" s="8767"/>
      <c r="O222" s="8767"/>
      <c r="P222" s="8767"/>
      <c r="Q222" s="8767"/>
      <c r="R222" s="8767"/>
      <c r="S222" s="8767"/>
      <c r="T222" s="8767"/>
      <c r="U222" s="8767"/>
      <c r="V222" s="8767"/>
      <c r="W222" s="8767"/>
      <c r="X222" s="8767"/>
      <c r="Y222" s="8767"/>
      <c r="Z222" s="8767"/>
      <c r="AA222" s="8767"/>
      <c r="AB222" s="8767"/>
      <c r="AC222" s="8767"/>
      <c r="AD222" s="8767"/>
      <c r="AE222" s="8767"/>
      <c r="AF222" s="8767"/>
      <c r="AG222" s="8767"/>
      <c r="AH222" s="8767"/>
      <c r="AI222" s="8767"/>
      <c r="AJ222" s="8767"/>
      <c r="AK222" s="461"/>
      <c r="AL222" s="1332"/>
      <c r="AM222" s="1340"/>
      <c r="AN222" s="1338"/>
      <c r="AO222" s="1339"/>
      <c r="AP222" s="1332"/>
      <c r="AQ222" s="2038"/>
      <c r="AR222" s="2038"/>
      <c r="AS222" s="2038"/>
      <c r="AT222" s="2038"/>
      <c r="AU222" s="2038"/>
      <c r="AV222" s="2038"/>
      <c r="AW222" s="2038"/>
      <c r="AX222" s="2038"/>
      <c r="AY222" s="2038"/>
      <c r="AZ222" s="1338"/>
      <c r="BA222" s="1339"/>
      <c r="BB222" s="1332"/>
      <c r="BC222" s="1332"/>
      <c r="BD222" s="1332"/>
      <c r="BE222" s="1332"/>
      <c r="BF222" s="1332"/>
      <c r="BG222" s="1332"/>
      <c r="BH222" s="1332"/>
      <c r="BI222" s="1332"/>
      <c r="BJ222" s="1332"/>
      <c r="BK222" s="1332"/>
      <c r="BL222" s="1332"/>
      <c r="BM222" s="1332"/>
      <c r="BN222" s="1332"/>
      <c r="BO222" s="1332"/>
      <c r="BP222" s="1332"/>
      <c r="BQ222" s="1332"/>
      <c r="BR222" s="1332"/>
      <c r="BS222" s="1332"/>
      <c r="BT222" s="1332"/>
      <c r="BU222" s="1332"/>
      <c r="BV222" s="1332"/>
      <c r="BW222" s="1332"/>
    </row>
    <row r="223" spans="1:75" s="1268" customFormat="1" ht="15.75" customHeight="1">
      <c r="A223" s="461"/>
      <c r="B223" s="8767" t="s">
        <v>3694</v>
      </c>
      <c r="C223" s="8767"/>
      <c r="D223" s="8767"/>
      <c r="E223" s="8767"/>
      <c r="F223" s="8767"/>
      <c r="G223" s="8767"/>
      <c r="H223" s="8767"/>
      <c r="I223" s="8767"/>
      <c r="J223" s="8767"/>
      <c r="K223" s="8767"/>
      <c r="L223" s="8767"/>
      <c r="M223" s="8767"/>
      <c r="N223" s="8767"/>
      <c r="O223" s="8767"/>
      <c r="P223" s="8767"/>
      <c r="Q223" s="8767"/>
      <c r="R223" s="8767"/>
      <c r="S223" s="8767"/>
      <c r="T223" s="8767"/>
      <c r="U223" s="8767"/>
      <c r="V223" s="8767"/>
      <c r="W223" s="8767"/>
      <c r="X223" s="8767"/>
      <c r="Y223" s="8767"/>
      <c r="Z223" s="8767"/>
      <c r="AA223" s="8767"/>
      <c r="AB223" s="8767"/>
      <c r="AC223" s="8767"/>
      <c r="AD223" s="8767"/>
      <c r="AE223" s="8767"/>
      <c r="AF223" s="8767"/>
      <c r="AG223" s="8767"/>
      <c r="AH223" s="8767"/>
      <c r="AI223" s="8767"/>
      <c r="AJ223" s="8767"/>
      <c r="AK223" s="461"/>
      <c r="AL223" s="1332"/>
      <c r="AM223" s="1340"/>
      <c r="AN223" s="1338"/>
      <c r="AO223" s="1339"/>
      <c r="AP223" s="1332"/>
      <c r="AQ223" s="2038"/>
      <c r="AR223" s="2038"/>
      <c r="AS223" s="2038"/>
      <c r="AT223" s="2038"/>
      <c r="AU223" s="2038"/>
      <c r="AV223" s="2038"/>
      <c r="AW223" s="2038"/>
      <c r="AX223" s="2038"/>
      <c r="AY223" s="2038"/>
      <c r="AZ223" s="1338"/>
      <c r="BA223" s="1339"/>
      <c r="BB223" s="1332"/>
      <c r="BC223" s="1332"/>
      <c r="BD223" s="1332"/>
      <c r="BE223" s="1332"/>
      <c r="BF223" s="1332"/>
      <c r="BG223" s="1332"/>
      <c r="BH223" s="1332"/>
      <c r="BI223" s="1332"/>
      <c r="BJ223" s="1332"/>
      <c r="BK223" s="1332"/>
      <c r="BL223" s="1332"/>
      <c r="BM223" s="1332"/>
      <c r="BN223" s="1332"/>
      <c r="BO223" s="1332"/>
      <c r="BP223" s="1332"/>
      <c r="BQ223" s="1332"/>
      <c r="BR223" s="1332"/>
      <c r="BS223" s="1332"/>
      <c r="BT223" s="1332"/>
      <c r="BU223" s="1332"/>
      <c r="BV223" s="1332"/>
      <c r="BW223" s="1332"/>
    </row>
    <row r="224" spans="1:75" s="1268" customFormat="1" ht="6" customHeight="1">
      <c r="A224" s="461"/>
      <c r="B224" s="808"/>
      <c r="C224" s="808"/>
      <c r="D224" s="808"/>
      <c r="E224" s="808"/>
      <c r="F224" s="808"/>
      <c r="G224" s="808"/>
      <c r="H224" s="808"/>
      <c r="I224" s="808"/>
      <c r="J224" s="808"/>
      <c r="K224" s="808"/>
      <c r="L224" s="808"/>
      <c r="M224" s="808"/>
      <c r="N224" s="808"/>
      <c r="O224" s="808"/>
      <c r="P224" s="808"/>
      <c r="Q224" s="808"/>
      <c r="R224" s="808"/>
      <c r="S224" s="808"/>
      <c r="T224" s="808"/>
      <c r="U224" s="808"/>
      <c r="V224" s="808"/>
      <c r="W224" s="808"/>
      <c r="X224" s="808"/>
      <c r="Y224" s="808"/>
      <c r="Z224" s="808"/>
      <c r="AA224" s="808"/>
      <c r="AB224" s="808"/>
      <c r="AC224" s="808"/>
      <c r="AD224" s="808"/>
      <c r="AE224" s="808"/>
      <c r="AF224" s="808"/>
      <c r="AG224" s="808"/>
      <c r="AH224" s="808"/>
      <c r="AI224" s="808"/>
      <c r="AJ224" s="808"/>
      <c r="AK224" s="461"/>
      <c r="AL224" s="1332"/>
      <c r="AM224" s="1332"/>
      <c r="AN224" s="1332"/>
      <c r="AO224" s="1342"/>
      <c r="AP224" s="1332"/>
      <c r="AQ224" s="2038"/>
      <c r="AR224" s="2038"/>
      <c r="AS224" s="2038"/>
      <c r="AT224" s="2038"/>
      <c r="AU224" s="2038"/>
      <c r="AV224" s="2038"/>
      <c r="AW224" s="2038"/>
      <c r="AX224" s="2038"/>
      <c r="AY224" s="2038"/>
      <c r="AZ224" s="1332"/>
      <c r="BA224" s="1342"/>
      <c r="BB224" s="1332"/>
      <c r="BC224" s="1332"/>
      <c r="BD224" s="1332"/>
      <c r="BE224" s="1338"/>
      <c r="BF224" s="1336"/>
      <c r="BG224" s="1332"/>
      <c r="BH224" s="1332"/>
      <c r="BI224" s="1332"/>
      <c r="BJ224" s="1332"/>
      <c r="BK224" s="1332"/>
      <c r="BL224" s="1332"/>
      <c r="BM224" s="1332"/>
      <c r="BN224" s="1332"/>
      <c r="BO224" s="1332"/>
      <c r="BP224" s="1332"/>
      <c r="BQ224" s="1332"/>
      <c r="BR224" s="1332"/>
      <c r="BS224" s="1332"/>
      <c r="BT224" s="1332"/>
      <c r="BU224" s="1332"/>
      <c r="BV224" s="1332"/>
      <c r="BW224" s="1332"/>
    </row>
    <row r="225" spans="1:75" ht="5.25" customHeight="1">
      <c r="A225" s="461"/>
      <c r="B225" s="1326"/>
      <c r="C225" s="1326"/>
      <c r="D225" s="1326"/>
      <c r="E225" s="1326"/>
      <c r="F225" s="1326"/>
      <c r="G225" s="1326"/>
      <c r="H225" s="1326"/>
      <c r="I225" s="1326"/>
      <c r="J225" s="1326"/>
      <c r="K225" s="1326"/>
      <c r="L225" s="1326"/>
      <c r="M225" s="1326"/>
      <c r="N225" s="1326"/>
      <c r="O225" s="1326"/>
      <c r="P225" s="1326"/>
      <c r="Q225" s="1326"/>
      <c r="R225" s="1326"/>
      <c r="S225" s="1326"/>
      <c r="T225" s="1326"/>
      <c r="U225" s="1326"/>
      <c r="V225" s="1326"/>
      <c r="W225" s="1326"/>
      <c r="X225" s="1326"/>
      <c r="Y225" s="1326"/>
      <c r="Z225" s="1326"/>
      <c r="AA225" s="1326"/>
      <c r="AB225" s="1326"/>
      <c r="AC225" s="1326"/>
      <c r="AD225" s="1326"/>
      <c r="AE225" s="1326"/>
      <c r="AF225" s="1326"/>
      <c r="AG225" s="1326"/>
      <c r="AH225" s="1326"/>
      <c r="AI225" s="1326"/>
      <c r="AJ225" s="1326"/>
      <c r="AK225" s="461"/>
    </row>
    <row r="226" spans="1:75" ht="15" customHeight="1">
      <c r="A226" s="461"/>
      <c r="B226" s="8698" t="s">
        <v>982</v>
      </c>
      <c r="C226" s="6435"/>
      <c r="D226" s="5054" t="s">
        <v>3695</v>
      </c>
      <c r="E226" s="1329"/>
      <c r="F226" s="1329"/>
      <c r="G226" s="1329"/>
      <c r="H226" s="1329"/>
      <c r="I226" s="1329"/>
      <c r="J226" s="1329"/>
      <c r="K226" s="1329"/>
      <c r="L226" s="1329"/>
      <c r="M226" s="1329"/>
      <c r="N226" s="1329"/>
      <c r="O226" s="1329"/>
      <c r="P226" s="1329"/>
      <c r="Q226" s="1329"/>
      <c r="R226" s="1329"/>
      <c r="S226" s="1329"/>
      <c r="T226" s="1329"/>
      <c r="U226" s="1329"/>
      <c r="V226" s="1329"/>
      <c r="W226" s="1329"/>
      <c r="X226" s="1329"/>
      <c r="Y226" s="1329"/>
      <c r="Z226" s="1329"/>
      <c r="AA226" s="1329"/>
      <c r="AB226" s="1329"/>
      <c r="AC226" s="1329"/>
      <c r="AD226" s="1329"/>
      <c r="AE226" s="1329"/>
      <c r="AF226" s="1329"/>
      <c r="AG226" s="1329"/>
      <c r="AH226" s="1329"/>
      <c r="AI226" s="1329"/>
      <c r="AJ226" s="1329"/>
      <c r="AK226" s="461"/>
    </row>
    <row r="227" spans="1:75" ht="15.75" customHeight="1">
      <c r="A227" s="461"/>
      <c r="B227" s="1329"/>
      <c r="C227" s="1329"/>
      <c r="D227" s="1329"/>
      <c r="E227" s="8766" t="s">
        <v>3696</v>
      </c>
      <c r="F227" s="8766"/>
      <c r="G227" s="8766"/>
      <c r="H227" s="8766"/>
      <c r="I227" s="8766"/>
      <c r="J227" s="8766"/>
      <c r="K227" s="8766"/>
      <c r="L227" s="8766"/>
      <c r="M227" s="8766"/>
      <c r="N227" s="8766"/>
      <c r="O227" s="8766"/>
      <c r="P227" s="8766"/>
      <c r="Q227" s="8766"/>
      <c r="R227" s="8766"/>
      <c r="S227" s="8766"/>
      <c r="T227" s="8766"/>
      <c r="U227" s="8766"/>
      <c r="V227" s="8766"/>
      <c r="W227" s="8766"/>
      <c r="X227" s="8766"/>
      <c r="Y227" s="8766"/>
      <c r="Z227" s="8766"/>
      <c r="AA227" s="8766"/>
      <c r="AB227" s="8766"/>
      <c r="AC227" s="8766"/>
      <c r="AD227" s="8766"/>
      <c r="AE227" s="8766"/>
      <c r="AF227" s="8766"/>
      <c r="AG227" s="8766"/>
      <c r="AH227" s="8766"/>
      <c r="AI227" s="8766"/>
      <c r="AJ227" s="8766"/>
      <c r="AK227" s="461"/>
    </row>
    <row r="228" spans="1:75" ht="15.75" customHeight="1">
      <c r="A228" s="461"/>
      <c r="B228" s="1330"/>
      <c r="C228" s="1330"/>
      <c r="D228" s="1330"/>
      <c r="E228" s="4539" t="s">
        <v>3697</v>
      </c>
      <c r="F228" s="4015"/>
      <c r="G228" s="4015"/>
      <c r="H228" s="4015"/>
      <c r="I228" s="4015"/>
      <c r="J228" s="4015"/>
      <c r="K228" s="4015"/>
      <c r="L228" s="4015"/>
      <c r="M228" s="4015"/>
      <c r="N228" s="4015"/>
      <c r="O228" s="4015"/>
      <c r="P228" s="4015"/>
      <c r="Q228" s="4015"/>
      <c r="R228" s="4015"/>
      <c r="S228" s="4015"/>
      <c r="T228" s="4015"/>
      <c r="U228" s="4015"/>
      <c r="V228" s="4015"/>
      <c r="W228" s="4015"/>
      <c r="X228" s="4015"/>
      <c r="Y228" s="4015"/>
      <c r="Z228" s="4015"/>
      <c r="AA228" s="4015"/>
      <c r="AB228" s="4015"/>
      <c r="AC228" s="4015"/>
      <c r="AD228" s="4015"/>
      <c r="AE228" s="4015"/>
      <c r="AF228" s="4015"/>
      <c r="AG228" s="4015"/>
      <c r="AH228" s="4015"/>
      <c r="AI228" s="4015"/>
      <c r="AJ228" s="4015"/>
      <c r="AK228" s="461"/>
    </row>
    <row r="229" spans="1:75" s="1268" customFormat="1" ht="13.5" customHeight="1">
      <c r="A229" s="461"/>
      <c r="B229" s="808"/>
      <c r="C229" s="1124" t="s">
        <v>270</v>
      </c>
      <c r="D229" s="892" t="s">
        <v>3698</v>
      </c>
      <c r="E229" s="808"/>
      <c r="F229" s="808"/>
      <c r="G229" s="808"/>
      <c r="H229" s="808"/>
      <c r="I229" s="808"/>
      <c r="J229" s="808"/>
      <c r="K229" s="808"/>
      <c r="L229" s="8753"/>
      <c r="M229" s="8754"/>
      <c r="N229" s="8754"/>
      <c r="O229" s="8754"/>
      <c r="P229" s="8754"/>
      <c r="Q229" s="8754"/>
      <c r="R229" s="8754"/>
      <c r="S229" s="8754"/>
      <c r="T229" s="8754"/>
      <c r="U229" s="892" t="s">
        <v>3699</v>
      </c>
      <c r="V229" s="808"/>
      <c r="W229" s="808"/>
      <c r="X229" s="808"/>
      <c r="Y229" s="8753"/>
      <c r="Z229" s="8754"/>
      <c r="AA229" s="8754"/>
      <c r="AB229" s="8754"/>
      <c r="AC229" s="8754"/>
      <c r="AD229" s="8754"/>
      <c r="AE229" s="8754"/>
      <c r="AF229" s="8754"/>
      <c r="AG229" s="8754"/>
      <c r="AH229" s="8755"/>
      <c r="AI229" s="8755"/>
      <c r="AJ229" s="8755"/>
      <c r="AK229" s="461"/>
      <c r="AL229" s="1332"/>
      <c r="AM229" s="1332"/>
      <c r="AN229" s="1332"/>
      <c r="AO229" s="1339"/>
      <c r="AP229" s="1332"/>
      <c r="AQ229" s="2038"/>
      <c r="AR229" s="2038"/>
      <c r="AS229" s="2038"/>
      <c r="AT229" s="2038"/>
      <c r="AU229" s="2038"/>
      <c r="AV229" s="2038"/>
      <c r="AW229" s="2038"/>
      <c r="AX229" s="2038"/>
      <c r="AY229" s="2038"/>
      <c r="AZ229" s="1332"/>
      <c r="BA229" s="1339"/>
      <c r="BB229" s="1332"/>
      <c r="BC229" s="1332"/>
      <c r="BD229" s="1332"/>
      <c r="BE229" s="1332"/>
      <c r="BF229" s="1332"/>
      <c r="BG229" s="1332"/>
      <c r="BH229" s="1332"/>
      <c r="BI229" s="1332"/>
      <c r="BJ229" s="1332"/>
      <c r="BK229" s="1332"/>
      <c r="BL229" s="1332"/>
      <c r="BM229" s="1332"/>
      <c r="BN229" s="1332"/>
      <c r="BO229" s="1332"/>
      <c r="BP229" s="1332"/>
      <c r="BQ229" s="1332"/>
      <c r="BR229" s="1332"/>
      <c r="BS229" s="1332"/>
      <c r="BT229" s="1332"/>
      <c r="BU229" s="1332"/>
      <c r="BV229" s="1332"/>
      <c r="BW229" s="1332"/>
    </row>
    <row r="230" spans="1:75" ht="5.25" customHeight="1" thickBot="1">
      <c r="A230" s="461"/>
      <c r="B230" s="808"/>
      <c r="C230" s="808"/>
      <c r="D230" s="808"/>
      <c r="E230" s="808"/>
      <c r="F230" s="808"/>
      <c r="G230" s="808"/>
      <c r="H230" s="808"/>
      <c r="I230" s="808"/>
      <c r="J230" s="808"/>
      <c r="K230" s="808"/>
      <c r="L230" s="808"/>
      <c r="M230" s="808"/>
      <c r="N230" s="808"/>
      <c r="O230" s="808"/>
      <c r="P230" s="808"/>
      <c r="Q230" s="808"/>
      <c r="R230" s="808"/>
      <c r="S230" s="808"/>
      <c r="T230" s="808"/>
      <c r="U230" s="808"/>
      <c r="V230" s="808"/>
      <c r="W230" s="808"/>
      <c r="X230" s="808"/>
      <c r="Y230" s="808"/>
      <c r="Z230" s="808"/>
      <c r="AA230" s="808"/>
      <c r="AB230" s="808"/>
      <c r="AC230" s="808"/>
      <c r="AD230" s="808"/>
      <c r="AE230" s="808"/>
      <c r="AF230" s="808"/>
      <c r="AG230" s="808"/>
      <c r="AH230" s="808"/>
      <c r="AI230" s="808"/>
      <c r="AJ230" s="808"/>
      <c r="AK230" s="461"/>
      <c r="BL230" s="1346"/>
      <c r="BM230" s="1346"/>
      <c r="BO230" s="1346"/>
      <c r="BP230" s="1346"/>
      <c r="BQ230" s="1346"/>
      <c r="BR230" s="1346"/>
      <c r="BS230" s="1346"/>
      <c r="BT230" s="1346"/>
      <c r="BU230" s="1346"/>
      <c r="BV230" s="1346"/>
    </row>
    <row r="231" spans="1:75" s="1268" customFormat="1" ht="13.5" customHeight="1" thickBot="1">
      <c r="A231" s="461"/>
      <c r="B231" s="808"/>
      <c r="C231" s="1124" t="s">
        <v>272</v>
      </c>
      <c r="D231" s="892" t="s">
        <v>3700</v>
      </c>
      <c r="E231" s="808"/>
      <c r="F231" s="808"/>
      <c r="G231" s="808"/>
      <c r="H231" s="808"/>
      <c r="I231" s="808"/>
      <c r="J231" s="808"/>
      <c r="K231" s="808"/>
      <c r="L231" s="808"/>
      <c r="M231" s="808"/>
      <c r="N231" s="1366" t="s">
        <v>640</v>
      </c>
      <c r="O231" s="810"/>
      <c r="P231" s="892" t="s">
        <v>3701</v>
      </c>
      <c r="Q231" s="808"/>
      <c r="R231" s="808"/>
      <c r="S231" s="808"/>
      <c r="T231" s="808"/>
      <c r="U231" s="1366" t="s">
        <v>644</v>
      </c>
      <c r="V231" s="810"/>
      <c r="W231" s="892" t="s">
        <v>3702</v>
      </c>
      <c r="X231" s="808"/>
      <c r="Y231" s="808"/>
      <c r="Z231" s="808"/>
      <c r="AA231" s="808"/>
      <c r="AB231" s="808"/>
      <c r="AC231" s="808"/>
      <c r="AD231" s="1366" t="s">
        <v>648</v>
      </c>
      <c r="AE231" s="810"/>
      <c r="AF231" s="892" t="s">
        <v>3703</v>
      </c>
      <c r="AG231" s="808"/>
      <c r="AH231" s="808"/>
      <c r="AI231" s="808"/>
      <c r="AJ231" s="808"/>
      <c r="AK231" s="461"/>
      <c r="AL231" s="1332"/>
      <c r="AM231" s="1332"/>
      <c r="AN231" s="1338"/>
      <c r="AO231" s="1339"/>
      <c r="AP231" s="1332"/>
      <c r="AQ231" s="2038"/>
      <c r="AR231" s="2038"/>
      <c r="AS231" s="2038"/>
      <c r="AT231" s="2038"/>
      <c r="AU231" s="2038"/>
      <c r="AV231" s="2038"/>
      <c r="AW231" s="2038"/>
      <c r="AX231" s="2038"/>
      <c r="AY231" s="2038"/>
      <c r="AZ231" s="1338"/>
      <c r="BA231" s="1339"/>
      <c r="BB231" s="1332"/>
      <c r="BC231" s="1332"/>
      <c r="BD231" s="1332"/>
      <c r="BE231" s="1332"/>
      <c r="BF231" s="1338"/>
      <c r="BG231" s="1337"/>
      <c r="BH231" s="1332"/>
      <c r="BI231" s="1332"/>
      <c r="BJ231" s="1332"/>
      <c r="BK231" s="1332"/>
      <c r="BL231" s="1332"/>
      <c r="BM231" s="1332"/>
      <c r="BN231" s="1332"/>
      <c r="BO231" s="1332"/>
      <c r="BP231" s="1332"/>
      <c r="BQ231" s="1332"/>
      <c r="BR231" s="1332"/>
      <c r="BS231" s="1332"/>
      <c r="BT231" s="1332"/>
      <c r="BU231" s="1332"/>
      <c r="BV231" s="1332"/>
      <c r="BW231" s="1332"/>
    </row>
    <row r="232" spans="1:75" s="1268" customFormat="1" ht="5.25" customHeight="1" thickBot="1">
      <c r="A232" s="461"/>
      <c r="B232" s="808"/>
      <c r="C232" s="808"/>
      <c r="D232" s="808"/>
      <c r="E232" s="808"/>
      <c r="F232" s="808"/>
      <c r="G232" s="808"/>
      <c r="H232" s="808"/>
      <c r="I232" s="808"/>
      <c r="J232" s="808"/>
      <c r="K232" s="808"/>
      <c r="L232" s="808"/>
      <c r="M232" s="808"/>
      <c r="N232" s="808"/>
      <c r="O232" s="808"/>
      <c r="P232" s="808"/>
      <c r="Q232" s="808"/>
      <c r="R232" s="808"/>
      <c r="S232" s="808"/>
      <c r="T232" s="808"/>
      <c r="U232" s="808"/>
      <c r="V232" s="808"/>
      <c r="W232" s="808"/>
      <c r="X232" s="808"/>
      <c r="Y232" s="808"/>
      <c r="Z232" s="808"/>
      <c r="AA232" s="808"/>
      <c r="AB232" s="808"/>
      <c r="AC232" s="808"/>
      <c r="AD232" s="808"/>
      <c r="AE232" s="808"/>
      <c r="AF232" s="808"/>
      <c r="AG232" s="808"/>
      <c r="AH232" s="808"/>
      <c r="AI232" s="808"/>
      <c r="AJ232" s="808"/>
      <c r="AK232" s="461"/>
      <c r="AL232" s="1332"/>
      <c r="AM232" s="1332"/>
      <c r="AN232" s="1332"/>
      <c r="AO232" s="1339"/>
      <c r="AP232" s="1332"/>
      <c r="AQ232" s="2038"/>
      <c r="AR232" s="2038"/>
      <c r="AS232" s="2038"/>
      <c r="AT232" s="2038"/>
      <c r="AU232" s="2038"/>
      <c r="AV232" s="2038"/>
      <c r="AW232" s="2038"/>
      <c r="AX232" s="2038"/>
      <c r="AY232" s="2038"/>
      <c r="AZ232" s="1332"/>
      <c r="BA232" s="1339"/>
      <c r="BB232" s="1332"/>
      <c r="BC232" s="1332"/>
      <c r="BD232" s="1332"/>
      <c r="BE232" s="1332"/>
      <c r="BF232" s="1332"/>
      <c r="BG232" s="1332"/>
      <c r="BH232" s="1332"/>
      <c r="BI232" s="1332"/>
      <c r="BJ232" s="1332"/>
      <c r="BK232" s="1332"/>
      <c r="BL232" s="1332"/>
      <c r="BM232" s="1332"/>
      <c r="BN232" s="1332"/>
      <c r="BO232" s="1332"/>
      <c r="BP232" s="1332"/>
      <c r="BQ232" s="1332"/>
      <c r="BR232" s="1332"/>
      <c r="BS232" s="1332"/>
      <c r="BT232" s="1332"/>
      <c r="BU232" s="1332"/>
      <c r="BV232" s="1332"/>
      <c r="BW232" s="1332"/>
    </row>
    <row r="233" spans="1:75" s="1268" customFormat="1" ht="13.5" customHeight="1" thickBot="1">
      <c r="A233" s="461"/>
      <c r="B233" s="808"/>
      <c r="C233" s="808"/>
      <c r="D233" s="808"/>
      <c r="E233" s="808"/>
      <c r="F233" s="808"/>
      <c r="G233" s="808"/>
      <c r="H233" s="808"/>
      <c r="I233" s="808"/>
      <c r="J233" s="808"/>
      <c r="K233" s="808"/>
      <c r="L233" s="808"/>
      <c r="M233" s="808"/>
      <c r="N233" s="1366" t="s">
        <v>652</v>
      </c>
      <c r="O233" s="810"/>
      <c r="P233" s="892" t="s">
        <v>3704</v>
      </c>
      <c r="Q233" s="808"/>
      <c r="R233" s="808"/>
      <c r="S233" s="808"/>
      <c r="T233" s="808"/>
      <c r="U233" s="808"/>
      <c r="V233" s="808"/>
      <c r="W233" s="808"/>
      <c r="X233" s="808"/>
      <c r="Y233" s="808"/>
      <c r="Z233" s="808"/>
      <c r="AA233" s="808"/>
      <c r="AB233" s="808"/>
      <c r="AC233" s="808"/>
      <c r="AD233" s="808"/>
      <c r="AE233" s="808"/>
      <c r="AF233" s="808"/>
      <c r="AG233" s="808"/>
      <c r="AH233" s="808"/>
      <c r="AI233" s="808"/>
      <c r="AJ233" s="808"/>
      <c r="AK233" s="461"/>
      <c r="AL233" s="1332"/>
      <c r="AM233" s="1332"/>
      <c r="AN233" s="1338"/>
      <c r="AO233" s="1339"/>
      <c r="AP233" s="1332"/>
      <c r="AQ233" s="2038"/>
      <c r="AR233" s="2038"/>
      <c r="AS233" s="2038"/>
      <c r="AT233" s="2038"/>
      <c r="AU233" s="2038"/>
      <c r="AV233" s="2038"/>
      <c r="AW233" s="2038"/>
      <c r="AX233" s="2038"/>
      <c r="AY233" s="2038"/>
      <c r="AZ233" s="1338"/>
      <c r="BA233" s="1339"/>
      <c r="BB233" s="1332"/>
      <c r="BC233" s="1332"/>
      <c r="BD233" s="1332"/>
      <c r="BE233" s="1332"/>
      <c r="BF233" s="1338"/>
      <c r="BG233" s="1337"/>
      <c r="BH233" s="1332"/>
      <c r="BI233" s="1343"/>
      <c r="BJ233" s="1343"/>
      <c r="BK233" s="1332"/>
      <c r="BL233" s="1332"/>
      <c r="BM233" s="1332"/>
      <c r="BN233" s="1332"/>
      <c r="BO233" s="1332"/>
      <c r="BP233" s="1332"/>
      <c r="BQ233" s="1332"/>
      <c r="BR233" s="1332"/>
      <c r="BS233" s="1332"/>
      <c r="BT233" s="1332"/>
      <c r="BU233" s="1332"/>
      <c r="BV233" s="1332"/>
      <c r="BW233" s="1332"/>
    </row>
    <row r="234" spans="1:75" s="1268" customFormat="1" ht="15.75" thickBot="1">
      <c r="A234" s="461"/>
      <c r="B234" s="808"/>
      <c r="C234" s="1362" t="s">
        <v>3705</v>
      </c>
      <c r="D234" s="808" t="s">
        <v>3706</v>
      </c>
      <c r="E234" s="808"/>
      <c r="F234" s="808"/>
      <c r="G234" s="808"/>
      <c r="H234" s="808"/>
      <c r="I234" s="808"/>
      <c r="J234" s="808"/>
      <c r="K234" s="808"/>
      <c r="L234" s="808"/>
      <c r="M234" s="808"/>
      <c r="N234" s="808"/>
      <c r="O234" s="808"/>
      <c r="P234" s="808"/>
      <c r="Q234" s="808"/>
      <c r="R234" s="808"/>
      <c r="S234" s="808"/>
      <c r="T234" s="808"/>
      <c r="U234" s="808"/>
      <c r="V234" s="808"/>
      <c r="W234" s="808"/>
      <c r="X234" s="808"/>
      <c r="Y234" s="808"/>
      <c r="Z234" s="808"/>
      <c r="AA234" s="808"/>
      <c r="AB234" s="808"/>
      <c r="AC234" s="808"/>
      <c r="AD234" s="859" t="s">
        <v>642</v>
      </c>
      <c r="AE234" s="810"/>
      <c r="AF234" s="899" t="s">
        <v>608</v>
      </c>
      <c r="AG234" s="808"/>
      <c r="AH234" s="810"/>
      <c r="AI234" s="899" t="s">
        <v>609</v>
      </c>
      <c r="AJ234" s="808"/>
      <c r="AK234" s="461"/>
      <c r="AL234" s="1332"/>
      <c r="AM234" s="1332"/>
      <c r="AN234" s="1332"/>
      <c r="AO234" s="1339"/>
      <c r="AP234" s="1332"/>
      <c r="AQ234" s="2038"/>
      <c r="AR234" s="2038"/>
      <c r="AS234" s="2038"/>
      <c r="AT234" s="2038"/>
      <c r="AU234" s="2038"/>
      <c r="AV234" s="2038"/>
      <c r="AW234" s="2038"/>
      <c r="AX234" s="2038"/>
      <c r="AY234" s="2038"/>
      <c r="AZ234" s="1332"/>
      <c r="BA234" s="1339"/>
      <c r="BB234" s="1332"/>
      <c r="BC234" s="1332"/>
      <c r="BD234" s="1332"/>
      <c r="BE234" s="1332"/>
      <c r="BF234" s="1332"/>
      <c r="BG234" s="1332"/>
      <c r="BH234" s="1332"/>
      <c r="BI234" s="1332"/>
      <c r="BJ234" s="1332"/>
      <c r="BK234" s="1332"/>
      <c r="BL234" s="1332"/>
      <c r="BM234" s="1332"/>
      <c r="BN234" s="1332"/>
      <c r="BO234" s="1332"/>
      <c r="BP234" s="1332"/>
      <c r="BQ234" s="1332"/>
      <c r="BR234" s="1332"/>
      <c r="BS234" s="1332"/>
      <c r="BT234" s="1332"/>
      <c r="BU234" s="1332"/>
      <c r="BV234" s="1332"/>
      <c r="BW234" s="1332"/>
    </row>
    <row r="235" spans="1:75" s="1268" customFormat="1" ht="12.75" customHeight="1">
      <c r="A235" s="461"/>
      <c r="B235" s="808"/>
      <c r="C235" s="1362" t="s">
        <v>2392</v>
      </c>
      <c r="D235" s="892" t="s">
        <v>3707</v>
      </c>
      <c r="E235" s="808"/>
      <c r="F235" s="808"/>
      <c r="G235" s="808"/>
      <c r="H235" s="808"/>
      <c r="I235" s="808"/>
      <c r="J235" s="808"/>
      <c r="K235" s="808"/>
      <c r="L235" s="808"/>
      <c r="M235" s="8750"/>
      <c r="N235" s="8751"/>
      <c r="O235" s="8751"/>
      <c r="P235" s="8751"/>
      <c r="Q235" s="8751"/>
      <c r="R235" s="8751"/>
      <c r="S235" s="8751"/>
      <c r="T235" s="8751"/>
      <c r="U235" s="8751"/>
      <c r="V235" s="8751"/>
      <c r="W235" s="8751"/>
      <c r="X235" s="8751"/>
      <c r="Y235" s="8751"/>
      <c r="Z235" s="8751"/>
      <c r="AA235" s="8751"/>
      <c r="AB235" s="8751"/>
      <c r="AC235" s="8751"/>
      <c r="AD235" s="8751"/>
      <c r="AE235" s="8751"/>
      <c r="AF235" s="8751"/>
      <c r="AG235" s="8751"/>
      <c r="AH235" s="8751"/>
      <c r="AI235" s="8751"/>
      <c r="AJ235" s="8751"/>
      <c r="AK235" s="461"/>
      <c r="AL235" s="1332"/>
      <c r="AM235" s="1332"/>
      <c r="AN235" s="1344"/>
      <c r="AO235" s="1335"/>
      <c r="AP235" s="1335"/>
      <c r="AQ235" s="2038"/>
      <c r="AR235" s="2038"/>
      <c r="AS235" s="2038"/>
      <c r="AT235" s="2038"/>
      <c r="AU235" s="2038"/>
      <c r="AV235" s="2038"/>
      <c r="AW235" s="2038"/>
      <c r="AX235" s="2038"/>
      <c r="AY235" s="2038"/>
      <c r="AZ235" s="1344"/>
      <c r="BA235" s="1335"/>
      <c r="BB235" s="1335"/>
      <c r="BC235" s="1335"/>
      <c r="BD235" s="1335"/>
      <c r="BE235" s="1335"/>
      <c r="BF235" s="1335"/>
      <c r="BG235" s="1335"/>
      <c r="BH235" s="1335"/>
      <c r="BI235" s="1335"/>
      <c r="BJ235" s="1335"/>
      <c r="BK235" s="1332"/>
      <c r="BL235" s="1332"/>
      <c r="BM235" s="1332"/>
      <c r="BN235" s="1332"/>
      <c r="BO235" s="1332"/>
      <c r="BP235" s="1332"/>
      <c r="BQ235" s="1332"/>
      <c r="BR235" s="1332"/>
      <c r="BS235" s="1332"/>
      <c r="BT235" s="1332"/>
      <c r="BU235" s="1332"/>
      <c r="BV235" s="1332"/>
      <c r="BW235" s="1332"/>
    </row>
    <row r="236" spans="1:75" s="1268" customFormat="1" ht="5.25" customHeight="1">
      <c r="A236" s="461"/>
      <c r="B236" s="808"/>
      <c r="C236" s="808"/>
      <c r="D236" s="808"/>
      <c r="E236" s="808"/>
      <c r="F236" s="808"/>
      <c r="G236" s="808"/>
      <c r="H236" s="808"/>
      <c r="I236" s="808"/>
      <c r="J236" s="808"/>
      <c r="K236" s="808"/>
      <c r="L236" s="808"/>
      <c r="M236" s="808"/>
      <c r="N236" s="808"/>
      <c r="O236" s="808"/>
      <c r="P236" s="808"/>
      <c r="Q236" s="808"/>
      <c r="R236" s="808"/>
      <c r="S236" s="808"/>
      <c r="T236" s="808"/>
      <c r="U236" s="808"/>
      <c r="V236" s="808"/>
      <c r="W236" s="808"/>
      <c r="X236" s="808"/>
      <c r="Y236" s="808"/>
      <c r="Z236" s="808"/>
      <c r="AA236" s="808"/>
      <c r="AB236" s="808"/>
      <c r="AC236" s="808"/>
      <c r="AD236" s="808"/>
      <c r="AE236" s="808"/>
      <c r="AF236" s="808"/>
      <c r="AG236" s="808"/>
      <c r="AH236" s="808"/>
      <c r="AI236" s="808"/>
      <c r="AJ236" s="808"/>
      <c r="AK236" s="461"/>
      <c r="AL236" s="1332"/>
      <c r="AM236" s="1332"/>
      <c r="AN236" s="1335"/>
      <c r="AO236" s="1335"/>
      <c r="AP236" s="1335"/>
      <c r="AQ236" s="2038"/>
      <c r="AR236" s="2038"/>
      <c r="AS236" s="2038"/>
      <c r="AT236" s="2038"/>
      <c r="AU236" s="2038"/>
      <c r="AV236" s="2038"/>
      <c r="AW236" s="2038"/>
      <c r="AX236" s="2038"/>
      <c r="AY236" s="2038"/>
      <c r="AZ236" s="1335"/>
      <c r="BA236" s="1335"/>
      <c r="BB236" s="1335"/>
      <c r="BC236" s="1335"/>
      <c r="BD236" s="1335"/>
      <c r="BE236" s="1335"/>
      <c r="BF236" s="1335"/>
      <c r="BG236" s="1335"/>
      <c r="BH236" s="1335"/>
      <c r="BI236" s="1335"/>
      <c r="BJ236" s="1335"/>
      <c r="BK236" s="1332"/>
      <c r="BL236" s="1332"/>
      <c r="BM236" s="1332"/>
      <c r="BN236" s="1332"/>
      <c r="BO236" s="1332"/>
      <c r="BP236" s="1332"/>
      <c r="BQ236" s="1332"/>
      <c r="BR236" s="1332"/>
      <c r="BS236" s="1332"/>
      <c r="BT236" s="1332"/>
      <c r="BU236" s="1332"/>
      <c r="BV236" s="1332"/>
      <c r="BW236" s="1332"/>
    </row>
    <row r="237" spans="1:75" s="1268" customFormat="1" ht="12.75" customHeight="1" thickBot="1">
      <c r="A237" s="461"/>
      <c r="B237" s="808"/>
      <c r="C237" s="1362" t="s">
        <v>3708</v>
      </c>
      <c r="D237" s="2112" t="s">
        <v>3709</v>
      </c>
      <c r="E237" s="808"/>
      <c r="F237" s="808"/>
      <c r="G237" s="808"/>
      <c r="H237" s="808"/>
      <c r="I237" s="808"/>
      <c r="J237" s="808"/>
      <c r="K237" s="808"/>
      <c r="L237" s="808"/>
      <c r="M237" s="808"/>
      <c r="N237" s="808"/>
      <c r="O237" s="808"/>
      <c r="P237" s="808"/>
      <c r="Q237" s="808"/>
      <c r="R237" s="808"/>
      <c r="S237" s="808"/>
      <c r="T237" s="808"/>
      <c r="U237" s="808"/>
      <c r="V237" s="808"/>
      <c r="W237" s="808"/>
      <c r="X237" s="808"/>
      <c r="Y237" s="808"/>
      <c r="Z237" s="808"/>
      <c r="AA237" s="808"/>
      <c r="AB237" s="808"/>
      <c r="AC237" s="808"/>
      <c r="AD237" s="808"/>
      <c r="AE237" s="808"/>
      <c r="AF237" s="808"/>
      <c r="AG237" s="808"/>
      <c r="AH237" s="808"/>
      <c r="AI237" s="808"/>
      <c r="AJ237" s="808"/>
      <c r="AK237" s="461"/>
      <c r="AL237" s="1332"/>
      <c r="AM237" s="1345"/>
      <c r="AN237" s="1335"/>
      <c r="AO237" s="1335"/>
      <c r="AP237" s="1335"/>
      <c r="AQ237" s="2038"/>
      <c r="AR237" s="2038"/>
      <c r="AS237" s="2038"/>
      <c r="AT237" s="2038"/>
      <c r="AU237" s="2038"/>
      <c r="AV237" s="2038"/>
      <c r="AW237" s="2038"/>
      <c r="AX237" s="2038"/>
      <c r="AY237" s="2038"/>
      <c r="AZ237" s="1335"/>
      <c r="BA237" s="1335"/>
      <c r="BB237" s="1335"/>
      <c r="BC237" s="1335"/>
      <c r="BD237" s="1335"/>
      <c r="BE237" s="1335"/>
      <c r="BF237" s="1335"/>
      <c r="BG237" s="1335"/>
      <c r="BH237" s="1335"/>
      <c r="BI237" s="1335"/>
      <c r="BJ237" s="1335"/>
      <c r="BK237" s="1332"/>
      <c r="BL237" s="1332"/>
      <c r="BM237" s="1332"/>
      <c r="BN237" s="1332"/>
      <c r="BO237" s="1332"/>
      <c r="BP237" s="1332"/>
      <c r="BQ237" s="1332"/>
      <c r="BR237" s="1332"/>
      <c r="BS237" s="1332"/>
      <c r="BT237" s="1332"/>
      <c r="BU237" s="1332"/>
      <c r="BV237" s="1332"/>
      <c r="BW237" s="1332"/>
    </row>
    <row r="238" spans="1:75" ht="15" customHeight="1" thickBot="1">
      <c r="A238" s="461"/>
      <c r="B238" s="808"/>
      <c r="C238" s="808"/>
      <c r="D238" s="2112" t="s">
        <v>3710</v>
      </c>
      <c r="E238" s="808"/>
      <c r="F238" s="808"/>
      <c r="G238" s="808"/>
      <c r="H238" s="808"/>
      <c r="I238" s="808"/>
      <c r="J238" s="808"/>
      <c r="K238" s="808"/>
      <c r="L238" s="808"/>
      <c r="M238" s="808"/>
      <c r="N238" s="808"/>
      <c r="O238" s="808"/>
      <c r="P238" s="808"/>
      <c r="Q238" s="808"/>
      <c r="R238" s="808"/>
      <c r="S238" s="808"/>
      <c r="T238" s="808"/>
      <c r="U238" s="808"/>
      <c r="V238" s="808"/>
      <c r="W238" s="808"/>
      <c r="X238" s="808"/>
      <c r="Y238" s="808"/>
      <c r="Z238" s="808"/>
      <c r="AA238" s="808"/>
      <c r="AB238" s="808"/>
      <c r="AC238" s="808"/>
      <c r="AD238" s="859" t="s">
        <v>650</v>
      </c>
      <c r="AE238" s="810"/>
      <c r="AF238" s="899" t="s">
        <v>608</v>
      </c>
      <c r="AG238" s="808"/>
      <c r="AH238" s="810"/>
      <c r="AI238" s="899" t="s">
        <v>609</v>
      </c>
      <c r="AJ238" s="808"/>
      <c r="AK238" s="461"/>
      <c r="AM238" s="1345"/>
      <c r="AN238" s="1335"/>
      <c r="AO238" s="1335"/>
      <c r="AP238" s="1335"/>
      <c r="AZ238" s="1335"/>
      <c r="BA238" s="1335"/>
      <c r="BB238" s="1335"/>
      <c r="BC238" s="1335"/>
      <c r="BD238" s="1335"/>
      <c r="BE238" s="1335"/>
      <c r="BF238" s="1335"/>
      <c r="BG238" s="1335"/>
      <c r="BH238" s="1335"/>
      <c r="BI238" s="1335"/>
      <c r="BJ238" s="1335"/>
    </row>
    <row r="239" spans="1:75" ht="5.25" customHeight="1" thickBot="1">
      <c r="A239" s="461"/>
      <c r="B239" s="808"/>
      <c r="C239" s="808"/>
      <c r="D239" s="808"/>
      <c r="E239" s="808"/>
      <c r="F239" s="808"/>
      <c r="G239" s="808"/>
      <c r="H239" s="808"/>
      <c r="I239" s="808"/>
      <c r="J239" s="808"/>
      <c r="K239" s="808"/>
      <c r="L239" s="808"/>
      <c r="M239" s="808"/>
      <c r="N239" s="808"/>
      <c r="O239" s="808"/>
      <c r="P239" s="808"/>
      <c r="Q239" s="808"/>
      <c r="R239" s="808"/>
      <c r="S239" s="808"/>
      <c r="T239" s="808"/>
      <c r="U239" s="808"/>
      <c r="V239" s="808"/>
      <c r="W239" s="808"/>
      <c r="X239" s="808"/>
      <c r="Y239" s="808"/>
      <c r="Z239" s="808"/>
      <c r="AA239" s="808"/>
      <c r="AB239" s="808"/>
      <c r="AC239" s="808"/>
      <c r="AD239" s="808"/>
      <c r="AE239" s="808"/>
      <c r="AF239" s="808"/>
      <c r="AG239" s="808"/>
      <c r="AH239" s="808"/>
      <c r="AI239" s="808"/>
      <c r="AJ239" s="808"/>
      <c r="AK239" s="461"/>
      <c r="BL239" s="1346"/>
      <c r="BM239" s="1346"/>
      <c r="BO239" s="1346"/>
      <c r="BP239" s="1346"/>
      <c r="BQ239" s="1346"/>
      <c r="BR239" s="1346"/>
      <c r="BS239" s="1346"/>
      <c r="BT239" s="1346"/>
      <c r="BU239" s="1346"/>
      <c r="BV239" s="1346"/>
    </row>
    <row r="240" spans="1:75" ht="13.5" customHeight="1" thickBot="1">
      <c r="A240" s="461"/>
      <c r="B240" s="808"/>
      <c r="C240" s="1362" t="s">
        <v>2392</v>
      </c>
      <c r="D240" s="892" t="s">
        <v>3711</v>
      </c>
      <c r="E240" s="808"/>
      <c r="F240" s="808"/>
      <c r="G240" s="808"/>
      <c r="H240" s="808"/>
      <c r="I240" s="808"/>
      <c r="J240" s="808"/>
      <c r="K240" s="808"/>
      <c r="L240" s="808"/>
      <c r="M240" s="808"/>
      <c r="N240" s="808"/>
      <c r="O240" s="808"/>
      <c r="P240" s="808"/>
      <c r="Q240" s="808"/>
      <c r="R240" s="808"/>
      <c r="S240" s="808"/>
      <c r="T240" s="808"/>
      <c r="U240" s="808"/>
      <c r="V240" s="808"/>
      <c r="W240" s="808"/>
      <c r="X240" s="808"/>
      <c r="Y240" s="808"/>
      <c r="Z240" s="808"/>
      <c r="AA240" s="808"/>
      <c r="AB240" s="808"/>
      <c r="AC240" s="808"/>
      <c r="AD240" s="859" t="s">
        <v>801</v>
      </c>
      <c r="AE240" s="810"/>
      <c r="AF240" s="899" t="s">
        <v>608</v>
      </c>
      <c r="AG240" s="808"/>
      <c r="AH240" s="810"/>
      <c r="AI240" s="899" t="s">
        <v>609</v>
      </c>
      <c r="AJ240" s="808"/>
      <c r="AK240" s="461"/>
      <c r="AM240" s="1347"/>
      <c r="BL240" s="1346"/>
      <c r="BM240" s="1346"/>
      <c r="BO240" s="1346"/>
      <c r="BP240" s="1346"/>
      <c r="BQ240" s="1346"/>
      <c r="BR240" s="1346"/>
      <c r="BS240" s="1346"/>
      <c r="BT240" s="1346"/>
      <c r="BU240" s="1346"/>
      <c r="BV240" s="1346"/>
    </row>
    <row r="241" spans="1:74" ht="16.5" customHeight="1">
      <c r="A241" s="461"/>
      <c r="B241" s="808"/>
      <c r="C241" s="808"/>
      <c r="D241" s="1145" t="s">
        <v>3712</v>
      </c>
      <c r="E241" s="808"/>
      <c r="F241" s="808"/>
      <c r="G241" s="808"/>
      <c r="H241" s="808"/>
      <c r="I241" s="808"/>
      <c r="J241" s="808"/>
      <c r="K241" s="808"/>
      <c r="L241" s="808"/>
      <c r="M241" s="808"/>
      <c r="N241" s="808"/>
      <c r="O241" s="808"/>
      <c r="P241" s="808"/>
      <c r="Q241" s="808"/>
      <c r="R241" s="808"/>
      <c r="S241" s="808"/>
      <c r="T241" s="808"/>
      <c r="U241" s="808"/>
      <c r="V241" s="808"/>
      <c r="W241" s="808"/>
      <c r="X241" s="808"/>
      <c r="Y241" s="808"/>
      <c r="Z241" s="808"/>
      <c r="AA241" s="808"/>
      <c r="AB241" s="808"/>
      <c r="AC241" s="808"/>
      <c r="AD241" s="808"/>
      <c r="AE241" s="808"/>
      <c r="AF241" s="808"/>
      <c r="AG241" s="808"/>
      <c r="AH241" s="808"/>
      <c r="AI241" s="808"/>
      <c r="AJ241" s="808"/>
      <c r="AK241" s="461"/>
      <c r="AM241" s="1347"/>
      <c r="BL241" s="1346"/>
      <c r="BM241" s="1346"/>
      <c r="BO241" s="1346"/>
      <c r="BP241" s="1346"/>
      <c r="BQ241" s="1346"/>
      <c r="BR241" s="1346"/>
      <c r="BS241" s="1346"/>
      <c r="BT241" s="1346"/>
      <c r="BU241" s="1346"/>
      <c r="BV241" s="1346"/>
    </row>
    <row r="242" spans="1:74" ht="16.5" customHeight="1">
      <c r="A242" s="461"/>
      <c r="B242" s="808"/>
      <c r="C242" s="808"/>
      <c r="D242" s="2951" t="s">
        <v>3713</v>
      </c>
      <c r="E242" s="808"/>
      <c r="F242" s="808"/>
      <c r="G242" s="808"/>
      <c r="H242" s="808"/>
      <c r="I242" s="808"/>
      <c r="J242" s="808"/>
      <c r="K242" s="808"/>
      <c r="L242" s="808"/>
      <c r="M242" s="808"/>
      <c r="N242" s="808"/>
      <c r="O242" s="808"/>
      <c r="P242" s="808"/>
      <c r="Q242" s="808"/>
      <c r="R242" s="808"/>
      <c r="S242" s="808"/>
      <c r="T242" s="808"/>
      <c r="U242" s="808"/>
      <c r="V242" s="808"/>
      <c r="W242" s="808"/>
      <c r="X242" s="808"/>
      <c r="Y242" s="808"/>
      <c r="Z242" s="808"/>
      <c r="AA242" s="808"/>
      <c r="AB242" s="808"/>
      <c r="AC242" s="808"/>
      <c r="AD242" s="808"/>
      <c r="AE242" s="808"/>
      <c r="AF242" s="808"/>
      <c r="AG242" s="808"/>
      <c r="AH242" s="808"/>
      <c r="AI242" s="808"/>
      <c r="AJ242" s="808"/>
      <c r="AK242" s="461"/>
      <c r="AM242" s="1347"/>
      <c r="AO242" s="1348"/>
      <c r="AP242" s="1345"/>
      <c r="BL242" s="1346"/>
      <c r="BM242" s="1346"/>
      <c r="BO242" s="1346"/>
      <c r="BP242" s="1346"/>
      <c r="BQ242" s="1346"/>
      <c r="BR242" s="1346"/>
      <c r="BS242" s="1346"/>
      <c r="BT242" s="1346"/>
      <c r="BU242" s="1346"/>
      <c r="BV242" s="1346"/>
    </row>
    <row r="243" spans="1:74" ht="16.5" customHeight="1">
      <c r="A243" s="461"/>
      <c r="B243" s="808"/>
      <c r="C243" s="1124" t="s">
        <v>282</v>
      </c>
      <c r="D243" s="2112" t="s">
        <v>3714</v>
      </c>
      <c r="E243" s="808"/>
      <c r="F243" s="808"/>
      <c r="G243" s="808"/>
      <c r="H243" s="808"/>
      <c r="I243" s="808"/>
      <c r="J243" s="808"/>
      <c r="K243" s="808"/>
      <c r="L243" s="808"/>
      <c r="M243" s="808"/>
      <c r="N243" s="808"/>
      <c r="O243" s="808"/>
      <c r="P243" s="808"/>
      <c r="Q243" s="808"/>
      <c r="R243" s="808"/>
      <c r="S243" s="808"/>
      <c r="T243" s="808"/>
      <c r="U243" s="808"/>
      <c r="V243" s="808"/>
      <c r="W243" s="808"/>
      <c r="X243" s="808"/>
      <c r="Y243" s="808"/>
      <c r="Z243" s="808"/>
      <c r="AA243" s="808"/>
      <c r="AB243" s="808"/>
      <c r="AC243" s="808"/>
      <c r="AD243" s="808"/>
      <c r="AE243" s="808"/>
      <c r="AF243" s="808"/>
      <c r="AG243" s="808"/>
      <c r="AH243" s="808"/>
      <c r="AI243" s="808"/>
      <c r="AJ243" s="808"/>
      <c r="AK243" s="461"/>
      <c r="AO243" s="1348"/>
      <c r="AP243" s="1345"/>
      <c r="BL243" s="1346"/>
      <c r="BM243" s="1346"/>
      <c r="BO243" s="1346"/>
      <c r="BP243" s="1346"/>
      <c r="BQ243" s="1346"/>
      <c r="BR243" s="1346"/>
      <c r="BS243" s="1346"/>
      <c r="BT243" s="1346"/>
      <c r="BU243" s="1346"/>
      <c r="BV243" s="1346"/>
    </row>
    <row r="244" spans="1:74" ht="16.5" customHeight="1">
      <c r="A244" s="461"/>
      <c r="B244" s="808"/>
      <c r="C244" s="808"/>
      <c r="D244" s="2952" t="s">
        <v>3715</v>
      </c>
      <c r="E244" s="808"/>
      <c r="F244" s="808"/>
      <c r="G244" s="808"/>
      <c r="H244" s="808"/>
      <c r="I244" s="808"/>
      <c r="J244" s="808"/>
      <c r="K244" s="808"/>
      <c r="L244" s="808"/>
      <c r="M244" s="808"/>
      <c r="N244" s="808"/>
      <c r="O244" s="808"/>
      <c r="P244" s="808"/>
      <c r="Q244" s="808"/>
      <c r="R244" s="808"/>
      <c r="S244" s="808"/>
      <c r="T244" s="808"/>
      <c r="U244" s="808"/>
      <c r="V244" s="808"/>
      <c r="W244" s="808"/>
      <c r="X244" s="808"/>
      <c r="Y244" s="808"/>
      <c r="Z244" s="808"/>
      <c r="AA244" s="808"/>
      <c r="AB244" s="808"/>
      <c r="AC244" s="808"/>
      <c r="AD244" s="808"/>
      <c r="AE244" s="808"/>
      <c r="AF244" s="808"/>
      <c r="AG244" s="808"/>
      <c r="AH244" s="808"/>
      <c r="AI244" s="808"/>
      <c r="AJ244" s="808"/>
      <c r="AK244" s="461"/>
      <c r="AO244" s="1345"/>
      <c r="AP244" s="1333"/>
      <c r="BL244" s="1346"/>
      <c r="BM244" s="1346"/>
      <c r="BO244" s="1346"/>
      <c r="BP244" s="1346"/>
      <c r="BQ244" s="1346"/>
      <c r="BR244" s="1346"/>
      <c r="BS244" s="1346"/>
      <c r="BT244" s="1346"/>
      <c r="BU244" s="1346"/>
      <c r="BV244" s="1346"/>
    </row>
    <row r="245" spans="1:74" ht="35.25" customHeight="1" thickBot="1">
      <c r="A245" s="461"/>
      <c r="B245" s="8758" t="s">
        <v>3716</v>
      </c>
      <c r="C245" s="8759"/>
      <c r="D245" s="8759"/>
      <c r="E245" s="8760"/>
      <c r="F245" s="8758" t="s">
        <v>3717</v>
      </c>
      <c r="G245" s="8759"/>
      <c r="H245" s="8759"/>
      <c r="I245" s="8760"/>
      <c r="J245" s="8758" t="s">
        <v>3718</v>
      </c>
      <c r="K245" s="8759"/>
      <c r="L245" s="8759"/>
      <c r="M245" s="8760"/>
      <c r="N245" s="8761" t="s">
        <v>3719</v>
      </c>
      <c r="O245" s="8759"/>
      <c r="P245" s="8759"/>
      <c r="Q245" s="8759"/>
      <c r="R245" s="8762"/>
      <c r="S245" s="8763" t="s">
        <v>3720</v>
      </c>
      <c r="T245" s="8764"/>
      <c r="U245" s="8764"/>
      <c r="V245" s="8765"/>
      <c r="W245" s="8758" t="s">
        <v>3717</v>
      </c>
      <c r="X245" s="8759"/>
      <c r="Y245" s="8759"/>
      <c r="Z245" s="8760"/>
      <c r="AA245" s="8758" t="s">
        <v>3718</v>
      </c>
      <c r="AB245" s="8759"/>
      <c r="AC245" s="8759"/>
      <c r="AD245" s="8760"/>
      <c r="AE245" s="8761" t="s">
        <v>3719</v>
      </c>
      <c r="AF245" s="8759"/>
      <c r="AG245" s="8759"/>
      <c r="AH245" s="8759"/>
      <c r="AI245" s="8759"/>
      <c r="AJ245" s="8759"/>
      <c r="AK245" s="461"/>
      <c r="AM245" s="1376" t="s">
        <v>867</v>
      </c>
      <c r="AO245" s="1376" t="s">
        <v>867</v>
      </c>
      <c r="AP245" s="1349"/>
      <c r="BL245" s="1346"/>
      <c r="BM245" s="1346"/>
      <c r="BO245" s="1346"/>
      <c r="BP245" s="1346"/>
      <c r="BQ245" s="1346"/>
      <c r="BR245" s="1346"/>
      <c r="BS245" s="1346"/>
      <c r="BT245" s="1346"/>
      <c r="BU245" s="1346"/>
      <c r="BV245" s="1346"/>
    </row>
    <row r="246" spans="1:74" ht="14.25" customHeight="1" thickBot="1">
      <c r="A246" s="461"/>
      <c r="B246" s="8703"/>
      <c r="C246" s="8701"/>
      <c r="D246" s="8701"/>
      <c r="E246" s="8701"/>
      <c r="F246" s="8700"/>
      <c r="G246" s="8701"/>
      <c r="H246" s="8701"/>
      <c r="I246" s="8702"/>
      <c r="J246" s="8704" t="str">
        <f>IF(AM246&lt;&gt;"",ROUND(AM246,0),IF(OR(B246="",F246=""),"",F246-B246))</f>
        <v/>
      </c>
      <c r="K246" s="8705"/>
      <c r="L246" s="8705"/>
      <c r="M246" s="8706"/>
      <c r="N246" s="8707"/>
      <c r="O246" s="8708"/>
      <c r="P246" s="8708"/>
      <c r="Q246" s="8708"/>
      <c r="R246" s="8709"/>
      <c r="S246" s="8710"/>
      <c r="T246" s="8711"/>
      <c r="U246" s="8711"/>
      <c r="V246" s="8712"/>
      <c r="W246" s="8700"/>
      <c r="X246" s="8701"/>
      <c r="Y246" s="8701"/>
      <c r="Z246" s="8702"/>
      <c r="AA246" s="8704" t="str">
        <f>IF(AO246&lt;&gt;"",ROUND(AO246,0),IF(OR(S246="",W246=""),"",W246-S246))</f>
        <v/>
      </c>
      <c r="AB246" s="8705"/>
      <c r="AC246" s="8705"/>
      <c r="AD246" s="8706"/>
      <c r="AE246" s="8707"/>
      <c r="AF246" s="8708"/>
      <c r="AG246" s="8708"/>
      <c r="AH246" s="8708"/>
      <c r="AI246" s="8708"/>
      <c r="AJ246" s="8713"/>
      <c r="AK246" s="461"/>
      <c r="AM246" s="1432"/>
      <c r="AO246" s="1432"/>
      <c r="AP246" s="1349"/>
      <c r="BL246" s="1346"/>
      <c r="BM246" s="1346"/>
      <c r="BO246" s="1346"/>
      <c r="BP246" s="1346"/>
      <c r="BQ246" s="1346"/>
      <c r="BR246" s="1346"/>
      <c r="BS246" s="1346"/>
      <c r="BT246" s="1346"/>
      <c r="BU246" s="1346"/>
      <c r="BV246" s="1346"/>
    </row>
    <row r="247" spans="1:74" ht="14.25" customHeight="1" thickBot="1">
      <c r="A247" s="461"/>
      <c r="B247" s="8703"/>
      <c r="C247" s="8701"/>
      <c r="D247" s="8701"/>
      <c r="E247" s="8701"/>
      <c r="F247" s="8700"/>
      <c r="G247" s="8701"/>
      <c r="H247" s="8701"/>
      <c r="I247" s="8702"/>
      <c r="J247" s="8704" t="str">
        <f>IF(AM247&lt;&gt;"",ROUND(AM247,0),IF(OR(B247="",F247=""),"",F247-B247))</f>
        <v/>
      </c>
      <c r="K247" s="8705"/>
      <c r="L247" s="8705"/>
      <c r="M247" s="8706"/>
      <c r="N247" s="8707"/>
      <c r="O247" s="8708"/>
      <c r="P247" s="8708"/>
      <c r="Q247" s="8708"/>
      <c r="R247" s="8709"/>
      <c r="S247" s="8710"/>
      <c r="T247" s="8711"/>
      <c r="U247" s="8711"/>
      <c r="V247" s="8712"/>
      <c r="W247" s="8700"/>
      <c r="X247" s="8701"/>
      <c r="Y247" s="8701"/>
      <c r="Z247" s="8702"/>
      <c r="AA247" s="8704" t="str">
        <f>IF(AO247&lt;&gt;"",ROUND(AO247,0),IF(OR(S247="",W247=""),"",W247-S247))</f>
        <v/>
      </c>
      <c r="AB247" s="8705"/>
      <c r="AC247" s="8705"/>
      <c r="AD247" s="8706"/>
      <c r="AE247" s="8707"/>
      <c r="AF247" s="8708"/>
      <c r="AG247" s="8708"/>
      <c r="AH247" s="8708"/>
      <c r="AI247" s="8708"/>
      <c r="AJ247" s="8713"/>
      <c r="AK247" s="461"/>
      <c r="AM247" s="1432"/>
      <c r="AO247" s="1432"/>
      <c r="AP247" s="1349"/>
      <c r="BL247" s="1346"/>
      <c r="BM247" s="1346"/>
      <c r="BO247" s="1346"/>
      <c r="BP247" s="1346"/>
      <c r="BQ247" s="1346"/>
      <c r="BR247" s="1346"/>
      <c r="BS247" s="1346"/>
      <c r="BT247" s="1346"/>
      <c r="BU247" s="1346"/>
      <c r="BV247" s="1346"/>
    </row>
    <row r="248" spans="1:74" ht="14.25" customHeight="1" thickBot="1">
      <c r="A248" s="461"/>
      <c r="B248" s="8703"/>
      <c r="C248" s="8701"/>
      <c r="D248" s="8701"/>
      <c r="E248" s="8701"/>
      <c r="F248" s="8700"/>
      <c r="G248" s="8701"/>
      <c r="H248" s="8701"/>
      <c r="I248" s="8702"/>
      <c r="J248" s="8704" t="str">
        <f>IF(AM248&lt;&gt;"",ROUND(AM248,0),IF(OR(B248="",F248=""),"",F248-B248))</f>
        <v/>
      </c>
      <c r="K248" s="8705"/>
      <c r="L248" s="8705"/>
      <c r="M248" s="8706"/>
      <c r="N248" s="8707"/>
      <c r="O248" s="8708"/>
      <c r="P248" s="8708"/>
      <c r="Q248" s="8708"/>
      <c r="R248" s="8709"/>
      <c r="S248" s="8710"/>
      <c r="T248" s="8711"/>
      <c r="U248" s="8711"/>
      <c r="V248" s="8712"/>
      <c r="W248" s="8700"/>
      <c r="X248" s="8701"/>
      <c r="Y248" s="8701"/>
      <c r="Z248" s="8702"/>
      <c r="AA248" s="8704" t="str">
        <f>IF(AO248&lt;&gt;"",ROUND(AO248,0),IF(OR(S248="",W248=""),"",W248-S248))</f>
        <v/>
      </c>
      <c r="AB248" s="8705"/>
      <c r="AC248" s="8705"/>
      <c r="AD248" s="8706"/>
      <c r="AE248" s="8707"/>
      <c r="AF248" s="8708"/>
      <c r="AG248" s="8708"/>
      <c r="AH248" s="8708"/>
      <c r="AI248" s="8708"/>
      <c r="AJ248" s="8713"/>
      <c r="AK248" s="461"/>
      <c r="AM248" s="1432"/>
      <c r="AO248" s="1432"/>
      <c r="AP248" s="1349"/>
      <c r="BL248" s="1346"/>
      <c r="BM248" s="1346"/>
      <c r="BO248" s="1346"/>
      <c r="BP248" s="1346"/>
      <c r="BQ248" s="1346"/>
      <c r="BR248" s="1346"/>
      <c r="BS248" s="1346"/>
      <c r="BT248" s="1346"/>
      <c r="BU248" s="1346"/>
      <c r="BV248" s="1346"/>
    </row>
    <row r="249" spans="1:74" ht="14.25" customHeight="1" thickBot="1">
      <c r="A249" s="461"/>
      <c r="B249" s="8703"/>
      <c r="C249" s="8701"/>
      <c r="D249" s="8701"/>
      <c r="E249" s="8701"/>
      <c r="F249" s="8700"/>
      <c r="G249" s="8701"/>
      <c r="H249" s="8701"/>
      <c r="I249" s="8702"/>
      <c r="J249" s="8704" t="str">
        <f>IF(AM249&lt;&gt;"",ROUND(AM249,0),IF(OR(B249="",F249=""),"",F249-B249))</f>
        <v/>
      </c>
      <c r="K249" s="8705"/>
      <c r="L249" s="8705"/>
      <c r="M249" s="8706"/>
      <c r="N249" s="8707"/>
      <c r="O249" s="8708"/>
      <c r="P249" s="8708"/>
      <c r="Q249" s="8708"/>
      <c r="R249" s="8709"/>
      <c r="S249" s="8710"/>
      <c r="T249" s="8711"/>
      <c r="U249" s="8711"/>
      <c r="V249" s="8712"/>
      <c r="W249" s="8700"/>
      <c r="X249" s="8701"/>
      <c r="Y249" s="8701"/>
      <c r="Z249" s="8702"/>
      <c r="AA249" s="8704" t="str">
        <f>IF(AO249&lt;&gt;"",ROUND(AO249,0),IF(OR(S249="",W249=""),"",W249-S249))</f>
        <v/>
      </c>
      <c r="AB249" s="8705"/>
      <c r="AC249" s="8705"/>
      <c r="AD249" s="8706"/>
      <c r="AE249" s="8707"/>
      <c r="AF249" s="8708"/>
      <c r="AG249" s="8708"/>
      <c r="AH249" s="8708"/>
      <c r="AI249" s="8708"/>
      <c r="AJ249" s="8713"/>
      <c r="AK249" s="461"/>
      <c r="AM249" s="1432"/>
      <c r="AO249" s="1432"/>
      <c r="AP249" s="1349"/>
      <c r="BL249" s="1346"/>
      <c r="BM249" s="1346"/>
      <c r="BO249" s="1346"/>
      <c r="BP249" s="1346"/>
      <c r="BQ249" s="1346"/>
      <c r="BR249" s="1346"/>
      <c r="BS249" s="1346"/>
      <c r="BT249" s="1346"/>
      <c r="BU249" s="1346"/>
      <c r="BV249" s="1346"/>
    </row>
    <row r="250" spans="1:74" ht="14.25" customHeight="1">
      <c r="A250" s="461"/>
      <c r="B250" s="808"/>
      <c r="C250" s="1362" t="s">
        <v>3721</v>
      </c>
      <c r="D250" s="892" t="s">
        <v>3722</v>
      </c>
      <c r="E250" s="808"/>
      <c r="F250" s="808"/>
      <c r="G250" s="808"/>
      <c r="H250" s="808"/>
      <c r="I250" s="808"/>
      <c r="J250" s="808"/>
      <c r="K250" s="808"/>
      <c r="L250" s="808"/>
      <c r="M250" s="808"/>
      <c r="N250" s="808"/>
      <c r="O250" s="808"/>
      <c r="P250" s="808"/>
      <c r="Q250" s="808"/>
      <c r="R250" s="808"/>
      <c r="S250" s="808"/>
      <c r="T250" s="808"/>
      <c r="U250" s="808"/>
      <c r="V250" s="808"/>
      <c r="W250" s="808"/>
      <c r="X250" s="808"/>
      <c r="Y250" s="808"/>
      <c r="Z250" s="808"/>
      <c r="AA250" s="8695"/>
      <c r="AB250" s="8695"/>
      <c r="AC250" s="8695"/>
      <c r="AD250" s="8695"/>
      <c r="AE250" s="8695"/>
      <c r="AF250" s="8695"/>
      <c r="AG250" s="8695"/>
      <c r="AH250" s="8695"/>
      <c r="AI250" s="8695"/>
      <c r="AJ250" s="8695"/>
      <c r="AK250" s="461"/>
      <c r="AO250" s="1345"/>
      <c r="AP250" s="1349"/>
      <c r="BL250" s="1346"/>
      <c r="BM250" s="1346"/>
      <c r="BO250" s="1346"/>
      <c r="BP250" s="1346"/>
      <c r="BQ250" s="1346"/>
      <c r="BR250" s="1346"/>
      <c r="BS250" s="1346"/>
      <c r="BT250" s="1346"/>
      <c r="BU250" s="1346"/>
      <c r="BV250" s="1346"/>
    </row>
    <row r="251" spans="1:74" ht="14.25" customHeight="1">
      <c r="A251" s="461"/>
      <c r="B251" s="808"/>
      <c r="C251" s="808"/>
      <c r="D251" s="8750"/>
      <c r="E251" s="8751"/>
      <c r="F251" s="8751"/>
      <c r="G251" s="8751"/>
      <c r="H251" s="8751"/>
      <c r="I251" s="8751"/>
      <c r="J251" s="8751"/>
      <c r="K251" s="8751"/>
      <c r="L251" s="8751"/>
      <c r="M251" s="8751"/>
      <c r="N251" s="8751"/>
      <c r="O251" s="8751"/>
      <c r="P251" s="8751"/>
      <c r="Q251" s="8751"/>
      <c r="R251" s="8751"/>
      <c r="S251" s="8751"/>
      <c r="T251" s="8751"/>
      <c r="U251" s="8751"/>
      <c r="V251" s="8751"/>
      <c r="W251" s="8751"/>
      <c r="X251" s="8751"/>
      <c r="Y251" s="8751"/>
      <c r="Z251" s="8751"/>
      <c r="AA251" s="8751"/>
      <c r="AB251" s="8751"/>
      <c r="AC251" s="8751"/>
      <c r="AD251" s="8751"/>
      <c r="AE251" s="8751"/>
      <c r="AF251" s="8751"/>
      <c r="AG251" s="8751"/>
      <c r="AH251" s="8751"/>
      <c r="AI251" s="8751"/>
      <c r="AJ251" s="8751"/>
      <c r="AK251" s="461"/>
      <c r="AO251" s="1345"/>
      <c r="AP251" s="1349"/>
      <c r="BL251" s="1346"/>
      <c r="BM251" s="1346"/>
      <c r="BO251" s="1346"/>
      <c r="BP251" s="1346"/>
      <c r="BQ251" s="1346"/>
      <c r="BR251" s="1346"/>
      <c r="BS251" s="1346"/>
      <c r="BT251" s="1346"/>
      <c r="BU251" s="1346"/>
      <c r="BV251" s="1346"/>
    </row>
    <row r="252" spans="1:74" ht="14.25" customHeight="1">
      <c r="A252" s="461"/>
      <c r="B252" s="808"/>
      <c r="C252" s="1362" t="s">
        <v>2392</v>
      </c>
      <c r="D252" s="892" t="s">
        <v>3723</v>
      </c>
      <c r="E252" s="808"/>
      <c r="F252" s="808"/>
      <c r="G252" s="808"/>
      <c r="H252" s="808"/>
      <c r="I252" s="808"/>
      <c r="J252" s="808"/>
      <c r="K252" s="808"/>
      <c r="L252" s="808"/>
      <c r="M252" s="808"/>
      <c r="N252" s="808"/>
      <c r="O252" s="808"/>
      <c r="P252" s="808"/>
      <c r="Q252" s="808"/>
      <c r="R252" s="808"/>
      <c r="S252" s="808"/>
      <c r="T252" s="8726"/>
      <c r="U252" s="8739"/>
      <c r="V252" s="8739"/>
      <c r="W252" s="8739"/>
      <c r="X252" s="8739"/>
      <c r="Y252" s="8739"/>
      <c r="Z252" s="8739"/>
      <c r="AA252" s="8739"/>
      <c r="AB252" s="8739"/>
      <c r="AC252" s="8739"/>
      <c r="AD252" s="8739"/>
      <c r="AE252" s="8739"/>
      <c r="AF252" s="8739"/>
      <c r="AG252" s="8739"/>
      <c r="AH252" s="8739"/>
      <c r="AI252" s="8739"/>
      <c r="AJ252" s="8739"/>
      <c r="AK252" s="461"/>
      <c r="AO252" s="1345"/>
      <c r="AP252" s="1349"/>
      <c r="BL252" s="1346"/>
      <c r="BM252" s="1346"/>
      <c r="BO252" s="1346"/>
      <c r="BP252" s="1346"/>
      <c r="BQ252" s="1346"/>
      <c r="BR252" s="1346"/>
      <c r="BS252" s="1346"/>
      <c r="BT252" s="1346"/>
      <c r="BU252" s="1346"/>
      <c r="BV252" s="1346"/>
    </row>
    <row r="253" spans="1:74" ht="5.25" customHeight="1" thickBot="1">
      <c r="A253" s="461"/>
      <c r="B253" s="808"/>
      <c r="C253" s="808"/>
      <c r="D253" s="808"/>
      <c r="E253" s="808"/>
      <c r="F253" s="808"/>
      <c r="G253" s="808"/>
      <c r="H253" s="808"/>
      <c r="I253" s="808"/>
      <c r="J253" s="808"/>
      <c r="K253" s="808"/>
      <c r="L253" s="808"/>
      <c r="M253" s="808"/>
      <c r="N253" s="808"/>
      <c r="O253" s="808"/>
      <c r="P253" s="808"/>
      <c r="Q253" s="808"/>
      <c r="R253" s="808"/>
      <c r="S253" s="808"/>
      <c r="T253" s="808"/>
      <c r="U253" s="808"/>
      <c r="V253" s="808"/>
      <c r="W253" s="808"/>
      <c r="X253" s="808"/>
      <c r="Y253" s="808"/>
      <c r="Z253" s="808"/>
      <c r="AA253" s="808"/>
      <c r="AB253" s="808"/>
      <c r="AC253" s="808"/>
      <c r="AD253" s="808"/>
      <c r="AE253" s="808"/>
      <c r="AF253" s="808"/>
      <c r="AG253" s="808"/>
      <c r="AH253" s="808"/>
      <c r="AI253" s="808"/>
      <c r="AJ253" s="808"/>
      <c r="AK253" s="461"/>
      <c r="BL253" s="1346"/>
      <c r="BM253" s="1346"/>
      <c r="BO253" s="1346"/>
      <c r="BP253" s="1346"/>
      <c r="BQ253" s="1346"/>
      <c r="BR253" s="1346"/>
      <c r="BS253" s="1346"/>
      <c r="BT253" s="1346"/>
      <c r="BU253" s="1346"/>
      <c r="BV253" s="1346"/>
    </row>
    <row r="254" spans="1:74" ht="13.5" customHeight="1" thickBot="1">
      <c r="A254" s="461"/>
      <c r="B254" s="808"/>
      <c r="C254" s="1362" t="s">
        <v>2394</v>
      </c>
      <c r="D254" s="2112" t="s">
        <v>3724</v>
      </c>
      <c r="E254" s="808"/>
      <c r="F254" s="808"/>
      <c r="G254" s="808"/>
      <c r="H254" s="808"/>
      <c r="I254" s="808"/>
      <c r="J254" s="808"/>
      <c r="K254" s="808"/>
      <c r="L254" s="808"/>
      <c r="M254" s="808"/>
      <c r="N254" s="808"/>
      <c r="O254" s="808"/>
      <c r="P254" s="808"/>
      <c r="Q254" s="808"/>
      <c r="R254" s="808"/>
      <c r="S254" s="808"/>
      <c r="T254" s="808"/>
      <c r="U254" s="808"/>
      <c r="V254" s="808"/>
      <c r="W254" s="808"/>
      <c r="X254" s="808"/>
      <c r="Y254" s="808"/>
      <c r="Z254" s="808"/>
      <c r="AA254" s="808"/>
      <c r="AB254" s="808"/>
      <c r="AC254" s="808"/>
      <c r="AD254" s="859" t="s">
        <v>2734</v>
      </c>
      <c r="AE254" s="810"/>
      <c r="AF254" s="892" t="s">
        <v>608</v>
      </c>
      <c r="AG254" s="808"/>
      <c r="AH254" s="810"/>
      <c r="AI254" s="892" t="s">
        <v>609</v>
      </c>
      <c r="AJ254" s="808"/>
      <c r="AK254" s="461"/>
      <c r="AO254" s="1345"/>
      <c r="AP254" s="1349"/>
      <c r="BL254" s="1346"/>
      <c r="BM254" s="1346"/>
      <c r="BO254" s="1346"/>
      <c r="BP254" s="1346"/>
      <c r="BQ254" s="1346"/>
      <c r="BR254" s="1346"/>
      <c r="BS254" s="1346"/>
      <c r="BT254" s="1346"/>
      <c r="BU254" s="1346"/>
      <c r="BV254" s="1346"/>
    </row>
    <row r="255" spans="1:74" ht="3.75" customHeight="1" thickBot="1">
      <c r="A255" s="461"/>
      <c r="B255" s="808"/>
      <c r="C255" s="1362"/>
      <c r="D255" s="808"/>
      <c r="E255" s="808"/>
      <c r="F255" s="808"/>
      <c r="G255" s="808"/>
      <c r="H255" s="808"/>
      <c r="I255" s="808"/>
      <c r="J255" s="808"/>
      <c r="K255" s="808"/>
      <c r="L255" s="808"/>
      <c r="M255" s="808"/>
      <c r="N255" s="808"/>
      <c r="O255" s="808"/>
      <c r="P255" s="808"/>
      <c r="Q255" s="808"/>
      <c r="R255" s="808"/>
      <c r="S255" s="808"/>
      <c r="T255" s="808"/>
      <c r="U255" s="808"/>
      <c r="V255" s="808"/>
      <c r="W255" s="808"/>
      <c r="X255" s="808"/>
      <c r="Y255" s="808"/>
      <c r="Z255" s="808"/>
      <c r="AA255" s="808"/>
      <c r="AB255" s="808"/>
      <c r="AC255" s="808"/>
      <c r="AD255" s="808"/>
      <c r="AE255" s="1367"/>
      <c r="AF255" s="892"/>
      <c r="AG255" s="808"/>
      <c r="AH255" s="1367"/>
      <c r="AI255" s="892"/>
      <c r="AJ255" s="808"/>
      <c r="AK255" s="461"/>
      <c r="AO255" s="1345"/>
      <c r="AP255" s="1349"/>
      <c r="BL255" s="1346"/>
      <c r="BM255" s="1346"/>
      <c r="BO255" s="1346"/>
      <c r="BP255" s="1346"/>
      <c r="BQ255" s="1346"/>
      <c r="BR255" s="1346"/>
      <c r="BS255" s="1346"/>
      <c r="BT255" s="1346"/>
      <c r="BU255" s="1346"/>
      <c r="BV255" s="1346"/>
    </row>
    <row r="256" spans="1:74" ht="13.5" customHeight="1" thickBot="1">
      <c r="A256" s="461"/>
      <c r="B256" s="808"/>
      <c r="C256" s="1362" t="s">
        <v>652</v>
      </c>
      <c r="D256" s="2112" t="s">
        <v>3725</v>
      </c>
      <c r="E256" s="808"/>
      <c r="F256" s="808"/>
      <c r="G256" s="808"/>
      <c r="H256" s="808"/>
      <c r="I256" s="808"/>
      <c r="J256" s="808"/>
      <c r="K256" s="808"/>
      <c r="L256" s="808"/>
      <c r="M256" s="808"/>
      <c r="N256" s="808"/>
      <c r="O256" s="808"/>
      <c r="P256" s="808"/>
      <c r="Q256" s="808"/>
      <c r="R256" s="808"/>
      <c r="S256" s="808"/>
      <c r="T256" s="808"/>
      <c r="U256" s="808"/>
      <c r="V256" s="808"/>
      <c r="W256" s="808"/>
      <c r="X256" s="808"/>
      <c r="Y256" s="808"/>
      <c r="Z256" s="808"/>
      <c r="AA256" s="808"/>
      <c r="AB256" s="808"/>
      <c r="AC256" s="808"/>
      <c r="AD256" s="859" t="s">
        <v>2521</v>
      </c>
      <c r="AE256" s="810"/>
      <c r="AF256" s="892" t="s">
        <v>608</v>
      </c>
      <c r="AG256" s="808"/>
      <c r="AH256" s="810"/>
      <c r="AI256" s="892" t="s">
        <v>609</v>
      </c>
      <c r="AJ256" s="808"/>
      <c r="AK256" s="461"/>
      <c r="AO256" s="1346"/>
      <c r="AP256" s="1346"/>
      <c r="BL256" s="1346"/>
      <c r="BM256" s="1346"/>
      <c r="BO256" s="1346"/>
      <c r="BP256" s="1346"/>
      <c r="BQ256" s="1346"/>
      <c r="BR256" s="1346"/>
      <c r="BS256" s="1346"/>
      <c r="BT256" s="1346"/>
      <c r="BU256" s="1346"/>
      <c r="BV256" s="1346"/>
    </row>
    <row r="257" spans="1:74" ht="14.25" customHeight="1">
      <c r="A257" s="461"/>
      <c r="B257" s="808"/>
      <c r="C257" s="1362" t="s">
        <v>656</v>
      </c>
      <c r="D257" s="2112" t="s">
        <v>3726</v>
      </c>
      <c r="E257" s="808"/>
      <c r="F257" s="808"/>
      <c r="G257" s="808"/>
      <c r="H257" s="808"/>
      <c r="I257" s="808"/>
      <c r="J257" s="808"/>
      <c r="K257" s="808"/>
      <c r="L257" s="808"/>
      <c r="M257" s="808"/>
      <c r="N257" s="808"/>
      <c r="O257" s="808"/>
      <c r="P257" s="808"/>
      <c r="Q257" s="808"/>
      <c r="R257" s="808"/>
      <c r="S257" s="808"/>
      <c r="T257" s="808"/>
      <c r="U257" s="808"/>
      <c r="V257" s="808"/>
      <c r="W257" s="808"/>
      <c r="X257" s="808"/>
      <c r="Y257" s="808"/>
      <c r="Z257" s="808"/>
      <c r="AA257" s="808"/>
      <c r="AB257" s="808"/>
      <c r="AC257" s="808"/>
      <c r="AD257" s="808"/>
      <c r="AE257" s="808"/>
      <c r="AF257" s="808"/>
      <c r="AG257" s="808"/>
      <c r="AH257" s="808"/>
      <c r="AI257" s="808"/>
      <c r="AJ257" s="808"/>
      <c r="AK257" s="461"/>
      <c r="AO257" s="1346"/>
      <c r="AP257" s="1346"/>
      <c r="BL257" s="1346"/>
      <c r="BM257" s="1346"/>
      <c r="BO257" s="1346"/>
      <c r="BP257" s="1346"/>
      <c r="BQ257" s="1346"/>
      <c r="BR257" s="1346"/>
      <c r="BS257" s="1346"/>
      <c r="BT257" s="1346"/>
      <c r="BU257" s="1346"/>
      <c r="BV257" s="1346"/>
    </row>
    <row r="258" spans="1:74" ht="14.25" customHeight="1">
      <c r="A258" s="461"/>
      <c r="B258" s="808"/>
      <c r="C258" s="1362"/>
      <c r="D258" s="2112" t="s">
        <v>3594</v>
      </c>
      <c r="E258" s="808"/>
      <c r="F258" s="808"/>
      <c r="G258" s="8836"/>
      <c r="H258" s="8803"/>
      <c r="I258" s="8803"/>
      <c r="J258" s="8803"/>
      <c r="K258" s="8803"/>
      <c r="L258" s="8803"/>
      <c r="M258" s="8803"/>
      <c r="N258" s="8803"/>
      <c r="O258" s="8803"/>
      <c r="P258" s="8803"/>
      <c r="Q258" s="8803"/>
      <c r="R258" s="8803"/>
      <c r="S258" s="8803"/>
      <c r="T258" s="8803"/>
      <c r="U258" s="8803"/>
      <c r="V258" s="8803"/>
      <c r="W258" s="8803"/>
      <c r="X258" s="8803"/>
      <c r="Y258" s="8803"/>
      <c r="Z258" s="8803"/>
      <c r="AA258" s="8803"/>
      <c r="AB258" s="8803"/>
      <c r="AC258" s="8803"/>
      <c r="AD258" s="8803"/>
      <c r="AE258" s="8803"/>
      <c r="AF258" s="8803"/>
      <c r="AG258" s="8803"/>
      <c r="AH258" s="8803"/>
      <c r="AI258" s="8803"/>
      <c r="AJ258" s="8803"/>
      <c r="AK258" s="461"/>
      <c r="AO258" s="1350"/>
      <c r="AP258" s="1350"/>
      <c r="BL258" s="1346"/>
      <c r="BM258" s="1346"/>
      <c r="BO258" s="1346"/>
      <c r="BP258" s="1346"/>
      <c r="BQ258" s="1346"/>
      <c r="BR258" s="1346"/>
      <c r="BS258" s="1346"/>
      <c r="BT258" s="1346"/>
      <c r="BU258" s="1346"/>
      <c r="BV258" s="1346"/>
    </row>
    <row r="259" spans="1:74" ht="15">
      <c r="A259" s="461"/>
      <c r="B259" s="808"/>
      <c r="C259" s="808"/>
      <c r="D259" s="8836"/>
      <c r="E259" s="8803"/>
      <c r="F259" s="8803"/>
      <c r="G259" s="8803"/>
      <c r="H259" s="8803"/>
      <c r="I259" s="8803"/>
      <c r="J259" s="8803"/>
      <c r="K259" s="8803"/>
      <c r="L259" s="8803"/>
      <c r="M259" s="8803"/>
      <c r="N259" s="8803"/>
      <c r="O259" s="8803"/>
      <c r="P259" s="8803"/>
      <c r="Q259" s="8803"/>
      <c r="R259" s="8803"/>
      <c r="S259" s="8803"/>
      <c r="T259" s="8803"/>
      <c r="U259" s="8803"/>
      <c r="V259" s="8803"/>
      <c r="W259" s="8803"/>
      <c r="X259" s="8803"/>
      <c r="Y259" s="8803"/>
      <c r="Z259" s="8803"/>
      <c r="AA259" s="8803"/>
      <c r="AB259" s="8803"/>
      <c r="AC259" s="8803"/>
      <c r="AD259" s="8803"/>
      <c r="AE259" s="8803"/>
      <c r="AF259" s="8803"/>
      <c r="AG259" s="8803"/>
      <c r="AH259" s="8803"/>
      <c r="AI259" s="8803"/>
      <c r="AJ259" s="8803"/>
      <c r="AK259" s="461"/>
      <c r="AM259" s="1336"/>
      <c r="AN259" s="1336"/>
      <c r="AO259" s="1352"/>
      <c r="AP259" s="1353"/>
      <c r="BL259" s="1346"/>
      <c r="BM259" s="1346"/>
      <c r="BO259" s="1346"/>
      <c r="BP259" s="1346"/>
      <c r="BQ259" s="1346"/>
      <c r="BR259" s="1346"/>
      <c r="BS259" s="1346"/>
      <c r="BT259" s="1346"/>
      <c r="BU259" s="1346"/>
      <c r="BV259" s="1346"/>
    </row>
    <row r="260" spans="1:74" ht="18.75" customHeight="1">
      <c r="A260" s="461"/>
      <c r="B260" s="23" t="s">
        <v>3727</v>
      </c>
      <c r="C260" s="61"/>
      <c r="D260" s="61"/>
      <c r="E260" s="61"/>
      <c r="F260" s="61"/>
      <c r="G260" s="61"/>
      <c r="H260" s="61"/>
      <c r="I260" s="61"/>
      <c r="J260" s="61"/>
      <c r="K260" s="61"/>
      <c r="L260" s="61"/>
      <c r="M260" s="61"/>
      <c r="N260" s="61"/>
      <c r="O260" s="61"/>
      <c r="P260" s="61"/>
      <c r="Q260" s="22"/>
      <c r="R260" s="22"/>
      <c r="S260" s="22"/>
      <c r="T260" s="22"/>
      <c r="U260" s="29"/>
      <c r="V260" s="22"/>
      <c r="W260" s="29" t="s">
        <v>3728</v>
      </c>
      <c r="X260" s="22"/>
      <c r="Y260" s="22"/>
      <c r="Z260" s="22"/>
      <c r="AA260" s="22"/>
      <c r="AB260" s="22"/>
      <c r="AC260" s="22"/>
      <c r="AD260" s="22"/>
      <c r="AE260" s="22"/>
      <c r="AF260" s="22"/>
      <c r="AG260" s="22"/>
      <c r="AH260" s="705" t="s">
        <v>3729</v>
      </c>
      <c r="AI260" s="22"/>
      <c r="AJ260" s="705" t="str">
        <f>"("&amp;TaxYear&amp;")"</f>
        <v>(2023)</v>
      </c>
      <c r="AK260" s="461"/>
      <c r="AM260" s="1336"/>
      <c r="AN260" s="1336"/>
      <c r="AO260" s="1352"/>
      <c r="AP260" s="1353"/>
      <c r="BL260" s="1346"/>
      <c r="BM260" s="1346"/>
      <c r="BO260" s="1346"/>
      <c r="BP260" s="1346"/>
      <c r="BQ260" s="1346"/>
      <c r="BR260" s="1346"/>
      <c r="BS260" s="1346"/>
      <c r="BT260" s="1346"/>
      <c r="BU260" s="1346"/>
      <c r="BV260" s="1346"/>
    </row>
    <row r="261" spans="1:74" ht="18.75" thickBot="1">
      <c r="A261" s="461"/>
      <c r="B261" s="964" t="str">
        <f>"Form 2555 ("&amp;TaxYear&amp;")"</f>
        <v>Form 2555 (2023)</v>
      </c>
      <c r="C261" s="964"/>
      <c r="D261" s="964"/>
      <c r="E261" s="964"/>
      <c r="F261" s="964"/>
      <c r="G261" s="964"/>
      <c r="H261" s="964"/>
      <c r="I261" s="964"/>
      <c r="J261" s="964"/>
      <c r="K261" s="964"/>
      <c r="L261" s="964"/>
      <c r="M261" s="964"/>
      <c r="N261" s="964"/>
      <c r="O261" s="964"/>
      <c r="P261" s="964"/>
      <c r="Q261" s="964"/>
      <c r="R261" s="964"/>
      <c r="S261" s="964"/>
      <c r="T261" s="964"/>
      <c r="U261" s="964"/>
      <c r="V261" s="964"/>
      <c r="W261" s="964"/>
      <c r="X261" s="964"/>
      <c r="Y261" s="964"/>
      <c r="Z261" s="964"/>
      <c r="AA261" s="964"/>
      <c r="AB261" s="964"/>
      <c r="AC261" s="964"/>
      <c r="AD261" s="964"/>
      <c r="AE261" s="964"/>
      <c r="AF261" s="964"/>
      <c r="AG261" s="964"/>
      <c r="AH261" s="964"/>
      <c r="AI261" s="1368" t="s">
        <v>2387</v>
      </c>
      <c r="AJ261" s="1369">
        <v>2</v>
      </c>
      <c r="AK261" s="461"/>
      <c r="AO261" s="1352"/>
      <c r="AP261" s="1353"/>
      <c r="BL261" s="1346"/>
      <c r="BM261" s="1346"/>
      <c r="BO261" s="1346"/>
      <c r="BP261" s="1346"/>
      <c r="BQ261" s="1346"/>
      <c r="BR261" s="1346"/>
      <c r="BS261" s="1346"/>
      <c r="BT261" s="1346"/>
      <c r="BU261" s="1346"/>
      <c r="BV261" s="1346"/>
    </row>
    <row r="262" spans="1:74" ht="5.25" customHeight="1" thickTop="1">
      <c r="A262" s="461"/>
      <c r="B262" s="1326"/>
      <c r="C262" s="1326"/>
      <c r="D262" s="1326"/>
      <c r="E262" s="1326"/>
      <c r="F262" s="1326"/>
      <c r="G262" s="1326"/>
      <c r="H262" s="1326"/>
      <c r="I262" s="1326"/>
      <c r="J262" s="1326"/>
      <c r="K262" s="1326"/>
      <c r="L262" s="1326"/>
      <c r="M262" s="1326"/>
      <c r="N262" s="1326"/>
      <c r="O262" s="1326"/>
      <c r="P262" s="1326"/>
      <c r="Q262" s="1326"/>
      <c r="R262" s="1326"/>
      <c r="S262" s="1326"/>
      <c r="T262" s="1326"/>
      <c r="U262" s="1326"/>
      <c r="V262" s="1326"/>
      <c r="W262" s="1326"/>
      <c r="X262" s="1326"/>
      <c r="Y262" s="1326"/>
      <c r="Z262" s="1326"/>
      <c r="AA262" s="1326"/>
      <c r="AB262" s="1326"/>
      <c r="AC262" s="1326"/>
      <c r="AD262" s="1326"/>
      <c r="AE262" s="1326"/>
      <c r="AF262" s="1326"/>
      <c r="AG262" s="1326"/>
      <c r="AH262" s="1326"/>
      <c r="AI262" s="1326"/>
      <c r="AJ262" s="1326"/>
      <c r="AK262" s="461"/>
    </row>
    <row r="263" spans="1:74" ht="15" customHeight="1">
      <c r="A263" s="461"/>
      <c r="B263" s="6909" t="s">
        <v>2243</v>
      </c>
      <c r="C263" s="8699"/>
      <c r="D263" s="5055" t="s">
        <v>3730</v>
      </c>
      <c r="E263" s="1329"/>
      <c r="F263" s="1329"/>
      <c r="G263" s="1329"/>
      <c r="H263" s="1329"/>
      <c r="I263" s="1329"/>
      <c r="J263" s="1329"/>
      <c r="K263" s="1329"/>
      <c r="L263" s="1329"/>
      <c r="M263" s="1329"/>
      <c r="N263" s="1329"/>
      <c r="O263" s="1329"/>
      <c r="P263" s="1329"/>
      <c r="Q263" s="1329"/>
      <c r="R263" s="1329"/>
      <c r="S263" s="1329"/>
      <c r="T263" s="1329"/>
      <c r="U263" s="1329"/>
      <c r="V263" s="1329"/>
      <c r="W263" s="1329"/>
      <c r="X263" s="1329"/>
      <c r="Y263" s="1329"/>
      <c r="Z263" s="1329"/>
      <c r="AA263" s="1329"/>
      <c r="AB263" s="1329"/>
      <c r="AC263" s="1329"/>
      <c r="AD263" s="1329"/>
      <c r="AE263" s="1329"/>
      <c r="AF263" s="1329"/>
      <c r="AG263" s="1329"/>
      <c r="AH263" s="1329"/>
      <c r="AI263" s="1329"/>
      <c r="AJ263" s="1329"/>
      <c r="AK263" s="461"/>
    </row>
    <row r="264" spans="1:74" ht="18.75" customHeight="1">
      <c r="A264" s="461"/>
      <c r="B264" s="1330"/>
      <c r="C264" s="1330"/>
      <c r="D264" s="5056" t="s">
        <v>3731</v>
      </c>
      <c r="E264" s="1330"/>
      <c r="F264" s="1330"/>
      <c r="G264" s="1330"/>
      <c r="H264" s="1330"/>
      <c r="I264" s="1330"/>
      <c r="J264" s="1330"/>
      <c r="K264" s="1330"/>
      <c r="L264" s="1330"/>
      <c r="M264" s="1330"/>
      <c r="N264" s="1330"/>
      <c r="O264" s="1330"/>
      <c r="P264" s="1330"/>
      <c r="Q264" s="1330"/>
      <c r="R264" s="1330"/>
      <c r="S264" s="1330"/>
      <c r="T264" s="1330"/>
      <c r="U264" s="1330"/>
      <c r="V264" s="1330"/>
      <c r="W264" s="1330"/>
      <c r="X264" s="1330"/>
      <c r="Y264" s="1330"/>
      <c r="Z264" s="1330"/>
      <c r="AA264" s="1330"/>
      <c r="AB264" s="1330"/>
      <c r="AC264" s="1330"/>
      <c r="AD264" s="1330"/>
      <c r="AE264" s="1330"/>
      <c r="AF264" s="1330"/>
      <c r="AG264" s="1330"/>
      <c r="AH264" s="1330"/>
      <c r="AI264" s="1330"/>
      <c r="AJ264" s="1330"/>
      <c r="AK264" s="461"/>
    </row>
    <row r="265" spans="1:74" ht="12.75" customHeight="1">
      <c r="A265" s="461"/>
      <c r="B265" s="8696" t="s">
        <v>289</v>
      </c>
      <c r="C265" s="8696"/>
      <c r="D265" s="892" t="s">
        <v>3732</v>
      </c>
      <c r="E265" s="808"/>
      <c r="F265" s="808"/>
      <c r="G265" s="808"/>
      <c r="H265" s="808"/>
      <c r="I265" s="808"/>
      <c r="J265" s="808"/>
      <c r="K265" s="808"/>
      <c r="L265" s="808"/>
      <c r="M265" s="808"/>
      <c r="N265" s="808"/>
      <c r="O265" s="808"/>
      <c r="P265" s="808"/>
      <c r="Q265" s="808"/>
      <c r="R265" s="808"/>
      <c r="S265" s="808"/>
      <c r="T265" s="8736"/>
      <c r="U265" s="8737"/>
      <c r="V265" s="8737"/>
      <c r="W265" s="8737"/>
      <c r="X265" s="8738"/>
      <c r="Y265" s="8738"/>
      <c r="Z265" s="8738"/>
      <c r="AA265" s="808"/>
      <c r="AB265" s="1461" t="s">
        <v>3733</v>
      </c>
      <c r="AC265" s="808"/>
      <c r="AD265" s="8736"/>
      <c r="AE265" s="8737"/>
      <c r="AF265" s="8737"/>
      <c r="AG265" s="8737"/>
      <c r="AH265" s="8738"/>
      <c r="AI265" s="8738"/>
      <c r="AJ265" s="8738"/>
      <c r="AK265" s="461"/>
      <c r="AO265" s="1352"/>
      <c r="AP265" s="1353"/>
      <c r="BL265" s="1346"/>
      <c r="BM265" s="1346"/>
      <c r="BO265" s="1346"/>
      <c r="BP265" s="1346"/>
      <c r="BQ265" s="1346"/>
      <c r="BR265" s="1346"/>
      <c r="BS265" s="1346"/>
      <c r="BT265" s="1346"/>
      <c r="BU265" s="1346"/>
      <c r="BV265" s="1346"/>
    </row>
    <row r="266" spans="1:74" ht="15" customHeight="1">
      <c r="A266" s="461"/>
      <c r="B266" s="8697" t="s">
        <v>291</v>
      </c>
      <c r="C266" s="8697"/>
      <c r="D266" s="892" t="s">
        <v>3734</v>
      </c>
      <c r="E266" s="808"/>
      <c r="F266" s="808"/>
      <c r="G266" s="808"/>
      <c r="H266" s="808"/>
      <c r="I266" s="808"/>
      <c r="J266" s="808"/>
      <c r="K266" s="808"/>
      <c r="L266" s="808"/>
      <c r="M266" s="808"/>
      <c r="N266" s="808"/>
      <c r="O266" s="808"/>
      <c r="P266" s="808"/>
      <c r="Q266" s="808"/>
      <c r="R266" s="808"/>
      <c r="S266" s="8750"/>
      <c r="T266" s="8796"/>
      <c r="U266" s="8796"/>
      <c r="V266" s="8796"/>
      <c r="W266" s="8796"/>
      <c r="X266" s="8796"/>
      <c r="Y266" s="8796"/>
      <c r="Z266" s="8796"/>
      <c r="AA266" s="8796"/>
      <c r="AB266" s="8796"/>
      <c r="AC266" s="8796"/>
      <c r="AD266" s="8796"/>
      <c r="AE266" s="8796"/>
      <c r="AF266" s="8796"/>
      <c r="AG266" s="8796"/>
      <c r="AH266" s="8796"/>
      <c r="AI266" s="8796"/>
      <c r="AJ266" s="8796"/>
      <c r="AK266" s="461"/>
      <c r="AM266" s="1336"/>
      <c r="AN266" s="1336"/>
      <c r="AO266" s="1352"/>
      <c r="AP266" s="1353"/>
      <c r="BL266" s="1346"/>
      <c r="BM266" s="1346"/>
      <c r="BO266" s="1346"/>
      <c r="BP266" s="1346"/>
      <c r="BQ266" s="1346"/>
      <c r="BR266" s="1346"/>
      <c r="BS266" s="1346"/>
      <c r="BT266" s="1346"/>
      <c r="BU266" s="1346"/>
      <c r="BV266" s="1346"/>
    </row>
    <row r="267" spans="1:74" ht="18" customHeight="1">
      <c r="A267" s="461"/>
      <c r="B267" s="8697" t="s">
        <v>293</v>
      </c>
      <c r="C267" s="8697"/>
      <c r="D267" s="2112" t="s">
        <v>3735</v>
      </c>
      <c r="E267" s="808"/>
      <c r="F267" s="808"/>
      <c r="G267" s="808"/>
      <c r="H267" s="808"/>
      <c r="I267" s="808"/>
      <c r="J267" s="808"/>
      <c r="K267" s="808"/>
      <c r="L267" s="808"/>
      <c r="M267" s="808"/>
      <c r="N267" s="808"/>
      <c r="O267" s="808"/>
      <c r="P267" s="808"/>
      <c r="Q267" s="808"/>
      <c r="R267" s="808"/>
      <c r="S267" s="808"/>
      <c r="T267" s="808"/>
      <c r="U267" s="808"/>
      <c r="V267" s="808"/>
      <c r="W267" s="808"/>
      <c r="X267" s="808"/>
      <c r="Y267" s="808"/>
      <c r="Z267" s="808"/>
      <c r="AA267" s="808"/>
      <c r="AB267" s="808"/>
      <c r="AC267" s="808"/>
      <c r="AD267" s="808"/>
      <c r="AE267" s="808"/>
      <c r="AF267" s="808"/>
      <c r="AG267" s="808"/>
      <c r="AH267" s="808"/>
      <c r="AI267" s="808"/>
      <c r="AJ267" s="808"/>
      <c r="AK267" s="461"/>
      <c r="AO267" s="1352"/>
      <c r="AP267" s="1354"/>
      <c r="BL267" s="1346"/>
      <c r="BM267" s="1346"/>
      <c r="BO267" s="1346"/>
      <c r="BP267" s="1346"/>
      <c r="BQ267" s="1346"/>
      <c r="BR267" s="1346"/>
      <c r="BS267" s="1346"/>
      <c r="BT267" s="1346"/>
      <c r="BU267" s="1346"/>
      <c r="BV267" s="1346"/>
    </row>
    <row r="268" spans="1:74" ht="15.75" customHeight="1">
      <c r="A268" s="461"/>
      <c r="B268" s="808"/>
      <c r="C268" s="808"/>
      <c r="D268" s="2112" t="s">
        <v>3736</v>
      </c>
      <c r="E268" s="808"/>
      <c r="F268" s="808"/>
      <c r="G268" s="808"/>
      <c r="H268" s="808"/>
      <c r="I268" s="808"/>
      <c r="J268" s="808"/>
      <c r="K268" s="808"/>
      <c r="L268" s="808"/>
      <c r="M268" s="808"/>
      <c r="N268" s="808"/>
      <c r="O268" s="808"/>
      <c r="P268" s="808"/>
      <c r="Q268" s="808"/>
      <c r="R268" s="808"/>
      <c r="S268" s="808"/>
      <c r="T268" s="808"/>
      <c r="U268" s="808"/>
      <c r="V268" s="808"/>
      <c r="W268" s="808"/>
      <c r="X268" s="808"/>
      <c r="Y268" s="808"/>
      <c r="Z268" s="808"/>
      <c r="AA268" s="808"/>
      <c r="AB268" s="808"/>
      <c r="AC268" s="808"/>
      <c r="AD268" s="808"/>
      <c r="AE268" s="808"/>
      <c r="AF268" s="808"/>
      <c r="AG268" s="808"/>
      <c r="AH268" s="808"/>
      <c r="AI268" s="808"/>
      <c r="AJ268" s="808"/>
      <c r="AK268" s="461"/>
      <c r="AM268" s="1336"/>
      <c r="AN268" s="1336"/>
      <c r="AO268" s="1355"/>
      <c r="AP268" s="1356"/>
      <c r="BL268" s="1346"/>
      <c r="BM268" s="1346"/>
      <c r="BO268" s="1346"/>
      <c r="BP268" s="1346"/>
      <c r="BQ268" s="1346"/>
      <c r="BR268" s="1346"/>
      <c r="BS268" s="1346"/>
      <c r="BT268" s="1346"/>
      <c r="BU268" s="1346"/>
      <c r="BV268" s="1346"/>
    </row>
    <row r="269" spans="1:74" ht="14.25">
      <c r="A269" s="461"/>
      <c r="B269" s="808"/>
      <c r="C269" s="808"/>
      <c r="D269" s="2112" t="s">
        <v>3737</v>
      </c>
      <c r="E269" s="808"/>
      <c r="F269" s="808"/>
      <c r="G269" s="808"/>
      <c r="H269" s="808"/>
      <c r="I269" s="808"/>
      <c r="J269" s="808"/>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8"/>
      <c r="AG269" s="808"/>
      <c r="AH269" s="808"/>
      <c r="AI269" s="808"/>
      <c r="AJ269" s="808"/>
      <c r="AK269" s="461"/>
      <c r="AM269" s="1336"/>
      <c r="AN269" s="1336"/>
      <c r="AO269" s="1357"/>
      <c r="AP269" s="1358"/>
      <c r="BL269" s="1346"/>
      <c r="BM269" s="1346"/>
      <c r="BO269" s="1346"/>
      <c r="BP269" s="1346"/>
      <c r="BQ269" s="1346"/>
      <c r="BR269" s="1346"/>
      <c r="BS269" s="1346"/>
      <c r="BT269" s="1346"/>
      <c r="BU269" s="1346"/>
      <c r="BV269" s="1346"/>
    </row>
    <row r="270" spans="1:74" ht="15">
      <c r="A270" s="461"/>
      <c r="B270" s="808"/>
      <c r="C270" s="808"/>
      <c r="D270" s="2112" t="s">
        <v>3738</v>
      </c>
      <c r="E270" s="808"/>
      <c r="F270" s="808"/>
      <c r="G270" s="808"/>
      <c r="H270" s="808"/>
      <c r="I270" s="808"/>
      <c r="J270" s="808"/>
      <c r="K270" s="808"/>
      <c r="L270" s="808"/>
      <c r="M270" s="808"/>
      <c r="N270" s="808"/>
      <c r="O270" s="808"/>
      <c r="P270" s="808"/>
      <c r="Q270" s="808"/>
      <c r="R270" s="808"/>
      <c r="S270" s="808"/>
      <c r="T270" s="808"/>
      <c r="U270" s="808"/>
      <c r="V270" s="808"/>
      <c r="W270" s="808"/>
      <c r="X270" s="808"/>
      <c r="Y270" s="808"/>
      <c r="Z270" s="808"/>
      <c r="AA270" s="808"/>
      <c r="AB270" s="808"/>
      <c r="AC270" s="808"/>
      <c r="AD270" s="808"/>
      <c r="AE270" s="808"/>
      <c r="AF270" s="808"/>
      <c r="AG270" s="808"/>
      <c r="AH270" s="808"/>
      <c r="AI270" s="808"/>
      <c r="AJ270" s="808"/>
      <c r="AK270" s="461"/>
      <c r="AL270" s="1345"/>
      <c r="AM270" s="1345"/>
      <c r="AN270" s="1345"/>
      <c r="AO270" s="1352"/>
      <c r="AP270" s="1346"/>
      <c r="BL270" s="1346"/>
      <c r="BM270" s="1346"/>
      <c r="BO270" s="1346"/>
      <c r="BP270" s="1346"/>
      <c r="BQ270" s="1346"/>
      <c r="BR270" s="1346"/>
      <c r="BS270" s="1346"/>
      <c r="BT270" s="1346"/>
      <c r="BU270" s="1346"/>
      <c r="BV270" s="1346"/>
    </row>
    <row r="271" spans="1:74" ht="35.25" customHeight="1" thickBot="1">
      <c r="A271" s="461"/>
      <c r="B271" s="8763" t="s">
        <v>3739</v>
      </c>
      <c r="C271" s="8788"/>
      <c r="D271" s="8788"/>
      <c r="E271" s="8788"/>
      <c r="F271" s="8788"/>
      <c r="G271" s="8788"/>
      <c r="H271" s="8788"/>
      <c r="I271" s="8788"/>
      <c r="J271" s="8788"/>
      <c r="K271" s="8788"/>
      <c r="L271" s="8788"/>
      <c r="M271" s="8789"/>
      <c r="N271" s="8787" t="s">
        <v>3740</v>
      </c>
      <c r="O271" s="8788"/>
      <c r="P271" s="8788"/>
      <c r="Q271" s="8788"/>
      <c r="R271" s="8789"/>
      <c r="S271" s="8787" t="s">
        <v>3741</v>
      </c>
      <c r="T271" s="8788"/>
      <c r="U271" s="8788"/>
      <c r="V271" s="8788"/>
      <c r="W271" s="8789"/>
      <c r="X271" s="8787" t="s">
        <v>3742</v>
      </c>
      <c r="Y271" s="8788"/>
      <c r="Z271" s="8788"/>
      <c r="AA271" s="8789"/>
      <c r="AB271" s="8787" t="s">
        <v>3743</v>
      </c>
      <c r="AC271" s="8788"/>
      <c r="AD271" s="8788"/>
      <c r="AE271" s="8789"/>
      <c r="AF271" s="8787" t="s">
        <v>3744</v>
      </c>
      <c r="AG271" s="8788"/>
      <c r="AH271" s="8788"/>
      <c r="AI271" s="8788"/>
      <c r="AJ271" s="8788"/>
      <c r="AK271" s="461"/>
      <c r="AM271" s="1376" t="s">
        <v>867</v>
      </c>
      <c r="AO271" s="1345"/>
      <c r="AP271" s="1349"/>
      <c r="BL271" s="1346"/>
      <c r="BM271" s="1346"/>
      <c r="BO271" s="1346"/>
      <c r="BP271" s="1346"/>
      <c r="BQ271" s="1346"/>
      <c r="BR271" s="1346"/>
      <c r="BS271" s="1346"/>
      <c r="BT271" s="1346"/>
      <c r="BU271" s="1346"/>
      <c r="BV271" s="1346"/>
    </row>
    <row r="272" spans="1:74" ht="14.25" customHeight="1" thickBot="1">
      <c r="A272" s="461"/>
      <c r="B272" s="8732"/>
      <c r="C272" s="8733"/>
      <c r="D272" s="8733"/>
      <c r="E272" s="8733"/>
      <c r="F272" s="8733"/>
      <c r="G272" s="8733"/>
      <c r="H272" s="8733"/>
      <c r="I272" s="8733"/>
      <c r="J272" s="8733"/>
      <c r="K272" s="8733"/>
      <c r="L272" s="8733"/>
      <c r="M272" s="8734"/>
      <c r="N272" s="8700"/>
      <c r="O272" s="8701"/>
      <c r="P272" s="8701"/>
      <c r="Q272" s="8701"/>
      <c r="R272" s="8735"/>
      <c r="S272" s="8700"/>
      <c r="T272" s="8701"/>
      <c r="U272" s="8701"/>
      <c r="V272" s="8701"/>
      <c r="W272" s="8735"/>
      <c r="X272" s="8704" t="str">
        <f>IF(AM272&lt;&gt;"",ROUND(AM272,0),IF(OR(N272="",S272=""),"",S272-N272-2))</f>
        <v/>
      </c>
      <c r="Y272" s="8705"/>
      <c r="Z272" s="8705"/>
      <c r="AA272" s="8706"/>
      <c r="AB272" s="8784"/>
      <c r="AC272" s="8785"/>
      <c r="AD272" s="8785"/>
      <c r="AE272" s="8786"/>
      <c r="AF272" s="8707"/>
      <c r="AG272" s="8713"/>
      <c r="AH272" s="8713"/>
      <c r="AI272" s="8713"/>
      <c r="AJ272" s="8713"/>
      <c r="AK272" s="461"/>
      <c r="AM272" s="1432"/>
      <c r="AO272" s="1345"/>
      <c r="AP272" s="1349"/>
      <c r="BL272" s="1346"/>
      <c r="BM272" s="1346"/>
      <c r="BO272" s="1346"/>
      <c r="BP272" s="1346"/>
      <c r="BQ272" s="1346"/>
      <c r="BR272" s="1346"/>
      <c r="BS272" s="1346"/>
      <c r="BT272" s="1346"/>
      <c r="BU272" s="1346"/>
      <c r="BV272" s="1346"/>
    </row>
    <row r="273" spans="1:75" ht="14.25" customHeight="1" thickBot="1">
      <c r="A273" s="461"/>
      <c r="B273" s="8732"/>
      <c r="C273" s="8733"/>
      <c r="D273" s="8733"/>
      <c r="E273" s="8733"/>
      <c r="F273" s="8733"/>
      <c r="G273" s="8733"/>
      <c r="H273" s="8733"/>
      <c r="I273" s="8733"/>
      <c r="J273" s="8733"/>
      <c r="K273" s="8733"/>
      <c r="L273" s="8733"/>
      <c r="M273" s="8734"/>
      <c r="N273" s="8700"/>
      <c r="O273" s="8701"/>
      <c r="P273" s="8701"/>
      <c r="Q273" s="8701"/>
      <c r="R273" s="8735"/>
      <c r="S273" s="8700"/>
      <c r="T273" s="8701"/>
      <c r="U273" s="8701"/>
      <c r="V273" s="8701"/>
      <c r="W273" s="8735"/>
      <c r="X273" s="8704" t="str">
        <f>IF(AM273&lt;&gt;"",ROUND(AM273,0),IF(OR(N273="",S273=""),"",S273-N273-2))</f>
        <v/>
      </c>
      <c r="Y273" s="8705"/>
      <c r="Z273" s="8705"/>
      <c r="AA273" s="8706"/>
      <c r="AB273" s="8784"/>
      <c r="AC273" s="8785"/>
      <c r="AD273" s="8785"/>
      <c r="AE273" s="8786"/>
      <c r="AF273" s="8707"/>
      <c r="AG273" s="8713"/>
      <c r="AH273" s="8713"/>
      <c r="AI273" s="8713"/>
      <c r="AJ273" s="8713"/>
      <c r="AK273" s="461"/>
      <c r="AM273" s="1432"/>
      <c r="AO273" s="1345"/>
      <c r="AP273" s="1349"/>
      <c r="BL273" s="1346"/>
      <c r="BM273" s="1346"/>
      <c r="BO273" s="1346"/>
      <c r="BP273" s="1346"/>
      <c r="BQ273" s="1346"/>
      <c r="BR273" s="1346"/>
      <c r="BS273" s="1346"/>
      <c r="BT273" s="1346"/>
      <c r="BU273" s="1346"/>
      <c r="BV273" s="1346"/>
    </row>
    <row r="274" spans="1:75" ht="14.25" customHeight="1" thickBot="1">
      <c r="A274" s="461"/>
      <c r="B274" s="8732"/>
      <c r="C274" s="8733"/>
      <c r="D274" s="8733"/>
      <c r="E274" s="8733"/>
      <c r="F274" s="8733"/>
      <c r="G274" s="8733"/>
      <c r="H274" s="8733"/>
      <c r="I274" s="8733"/>
      <c r="J274" s="8733"/>
      <c r="K274" s="8733"/>
      <c r="L274" s="8733"/>
      <c r="M274" s="8734"/>
      <c r="N274" s="8700"/>
      <c r="O274" s="8701"/>
      <c r="P274" s="8701"/>
      <c r="Q274" s="8701"/>
      <c r="R274" s="8735"/>
      <c r="S274" s="8700"/>
      <c r="T274" s="8701"/>
      <c r="U274" s="8701"/>
      <c r="V274" s="8701"/>
      <c r="W274" s="8735"/>
      <c r="X274" s="8704" t="str">
        <f>IF(AM274&lt;&gt;"",ROUND(AM274,0),IF(OR(N274="",S274=""),"",S274-N274-2))</f>
        <v/>
      </c>
      <c r="Y274" s="8705"/>
      <c r="Z274" s="8705"/>
      <c r="AA274" s="8706"/>
      <c r="AB274" s="8784"/>
      <c r="AC274" s="8785"/>
      <c r="AD274" s="8785"/>
      <c r="AE274" s="8786"/>
      <c r="AF274" s="8707"/>
      <c r="AG274" s="8713"/>
      <c r="AH274" s="8713"/>
      <c r="AI274" s="8713"/>
      <c r="AJ274" s="8713"/>
      <c r="AK274" s="461"/>
      <c r="AM274" s="1432"/>
      <c r="AO274" s="1345"/>
      <c r="AP274" s="1349"/>
      <c r="BL274" s="1346"/>
      <c r="BM274" s="1346"/>
      <c r="BO274" s="1346"/>
      <c r="BP274" s="1346"/>
      <c r="BQ274" s="1346"/>
      <c r="BR274" s="1346"/>
      <c r="BS274" s="1346"/>
      <c r="BT274" s="1346"/>
      <c r="BU274" s="1346"/>
      <c r="BV274" s="1346"/>
    </row>
    <row r="275" spans="1:75" ht="14.25" customHeight="1" thickBot="1">
      <c r="A275" s="461"/>
      <c r="B275" s="8732"/>
      <c r="C275" s="8733"/>
      <c r="D275" s="8733"/>
      <c r="E275" s="8733"/>
      <c r="F275" s="8733"/>
      <c r="G275" s="8733"/>
      <c r="H275" s="8733"/>
      <c r="I275" s="8733"/>
      <c r="J275" s="8733"/>
      <c r="K275" s="8733"/>
      <c r="L275" s="8733"/>
      <c r="M275" s="8734"/>
      <c r="N275" s="8700"/>
      <c r="O275" s="8701"/>
      <c r="P275" s="8701"/>
      <c r="Q275" s="8701"/>
      <c r="R275" s="8735"/>
      <c r="S275" s="8700"/>
      <c r="T275" s="8701"/>
      <c r="U275" s="8701"/>
      <c r="V275" s="8701"/>
      <c r="W275" s="8735"/>
      <c r="X275" s="8704" t="str">
        <f>IF(AM275&lt;&gt;"",ROUND(AM275,0),IF(OR(N275="",S275=""),"",S275-N275-2))</f>
        <v/>
      </c>
      <c r="Y275" s="8705"/>
      <c r="Z275" s="8705"/>
      <c r="AA275" s="8706"/>
      <c r="AB275" s="8784"/>
      <c r="AC275" s="8785"/>
      <c r="AD275" s="8785"/>
      <c r="AE275" s="8786"/>
      <c r="AF275" s="8707"/>
      <c r="AG275" s="8713"/>
      <c r="AH275" s="8713"/>
      <c r="AI275" s="8713"/>
      <c r="AJ275" s="8713"/>
      <c r="AK275" s="461"/>
      <c r="AM275" s="1432"/>
      <c r="AO275" s="1345"/>
      <c r="AP275" s="1349"/>
      <c r="BL275" s="1346"/>
      <c r="BM275" s="1346"/>
      <c r="BO275" s="1346"/>
      <c r="BP275" s="1346"/>
      <c r="BQ275" s="1346"/>
      <c r="BR275" s="1346"/>
      <c r="BS275" s="1346"/>
      <c r="BT275" s="1346"/>
      <c r="BU275" s="1346"/>
      <c r="BV275" s="1346"/>
    </row>
    <row r="276" spans="1:75" ht="4.5" customHeight="1">
      <c r="A276" s="461"/>
      <c r="B276" s="6888" t="s">
        <v>2410</v>
      </c>
      <c r="C276" s="6864"/>
      <c r="D276" s="1326"/>
      <c r="E276" s="1326"/>
      <c r="F276" s="1326"/>
      <c r="G276" s="1326"/>
      <c r="H276" s="1326"/>
      <c r="I276" s="1326"/>
      <c r="J276" s="1326"/>
      <c r="K276" s="1326"/>
      <c r="L276" s="1326"/>
      <c r="M276" s="1326"/>
      <c r="N276" s="1326"/>
      <c r="O276" s="1326"/>
      <c r="P276" s="1326"/>
      <c r="Q276" s="1326"/>
      <c r="R276" s="1326"/>
      <c r="S276" s="1326"/>
      <c r="T276" s="1326"/>
      <c r="U276" s="1326"/>
      <c r="V276" s="1326"/>
      <c r="W276" s="1326"/>
      <c r="X276" s="1326"/>
      <c r="Y276" s="1326"/>
      <c r="Z276" s="1326"/>
      <c r="AA276" s="1326"/>
      <c r="AB276" s="1326"/>
      <c r="AC276" s="1326"/>
      <c r="AD276" s="1326"/>
      <c r="AE276" s="1326"/>
      <c r="AF276" s="1326"/>
      <c r="AG276" s="1326"/>
      <c r="AH276" s="1326"/>
      <c r="AI276" s="1326"/>
      <c r="AJ276" s="1326"/>
      <c r="AK276" s="461"/>
    </row>
    <row r="277" spans="1:75" ht="13.5" customHeight="1">
      <c r="A277" s="461"/>
      <c r="B277" s="6733"/>
      <c r="C277" s="6733"/>
      <c r="D277" s="1331" t="s">
        <v>3745</v>
      </c>
      <c r="E277" s="1329"/>
      <c r="F277" s="1329"/>
      <c r="G277" s="1329"/>
      <c r="H277" s="1329"/>
      <c r="I277" s="1329"/>
      <c r="J277" s="1329"/>
      <c r="K277" s="1329"/>
      <c r="L277" s="1329"/>
      <c r="M277" s="1329"/>
      <c r="N277" s="1329"/>
      <c r="O277" s="1329"/>
      <c r="P277" s="1329"/>
      <c r="Q277" s="1329"/>
      <c r="R277" s="1329"/>
      <c r="S277" s="1329"/>
      <c r="T277" s="1329"/>
      <c r="U277" s="1329"/>
      <c r="V277" s="1329"/>
      <c r="W277" s="1329"/>
      <c r="X277" s="1329"/>
      <c r="Y277" s="1329"/>
      <c r="Z277" s="1329"/>
      <c r="AA277" s="1329"/>
      <c r="AB277" s="1329"/>
      <c r="AC277" s="1329"/>
      <c r="AD277" s="1329"/>
      <c r="AE277" s="1329"/>
      <c r="AF277" s="1329"/>
      <c r="AG277" s="1329"/>
      <c r="AH277" s="1329"/>
      <c r="AI277" s="1329"/>
      <c r="AJ277" s="1329"/>
      <c r="AK277" s="461"/>
    </row>
    <row r="278" spans="1:75" ht="4.5" customHeight="1">
      <c r="A278" s="461"/>
      <c r="B278" s="6731"/>
      <c r="C278" s="6731"/>
      <c r="D278" s="1330"/>
      <c r="E278" s="1330"/>
      <c r="F278" s="1330"/>
      <c r="G278" s="1330"/>
      <c r="H278" s="1330"/>
      <c r="I278" s="1330"/>
      <c r="J278" s="1330"/>
      <c r="K278" s="1330"/>
      <c r="L278" s="1330"/>
      <c r="M278" s="1330"/>
      <c r="N278" s="1330"/>
      <c r="O278" s="1330"/>
      <c r="P278" s="1330"/>
      <c r="Q278" s="1330"/>
      <c r="R278" s="1330"/>
      <c r="S278" s="1330"/>
      <c r="T278" s="1330"/>
      <c r="U278" s="1330"/>
      <c r="V278" s="1330"/>
      <c r="W278" s="1330"/>
      <c r="X278" s="1330"/>
      <c r="Y278" s="1330"/>
      <c r="Z278" s="1330"/>
      <c r="AA278" s="1330"/>
      <c r="AB278" s="1330"/>
      <c r="AC278" s="1330"/>
      <c r="AD278" s="1330"/>
      <c r="AE278" s="1330"/>
      <c r="AF278" s="1330"/>
      <c r="AG278" s="1330"/>
      <c r="AH278" s="1330"/>
      <c r="AI278" s="1330"/>
      <c r="AJ278" s="1330"/>
      <c r="AK278" s="461"/>
    </row>
    <row r="279" spans="1:75" ht="16.5" customHeight="1">
      <c r="A279" s="461"/>
      <c r="B279" s="2953" t="s">
        <v>3746</v>
      </c>
      <c r="C279" s="808"/>
      <c r="D279" s="808"/>
      <c r="E279" s="808"/>
      <c r="F279" s="808"/>
      <c r="G279" s="808"/>
      <c r="H279" s="808"/>
      <c r="I279" s="808"/>
      <c r="J279" s="808"/>
      <c r="K279" s="808"/>
      <c r="L279" s="808"/>
      <c r="M279" s="808"/>
      <c r="N279" s="808"/>
      <c r="O279" s="808"/>
      <c r="P279" s="808"/>
      <c r="Q279" s="808"/>
      <c r="R279" s="808"/>
      <c r="S279" s="808"/>
      <c r="T279" s="808"/>
      <c r="U279" s="808"/>
      <c r="V279" s="808"/>
      <c r="W279" s="808"/>
      <c r="X279" s="808"/>
      <c r="Y279" s="808"/>
      <c r="Z279" s="808"/>
      <c r="AA279" s="808"/>
      <c r="AB279" s="808"/>
      <c r="AC279" s="808"/>
      <c r="AD279" s="808"/>
      <c r="AE279" s="808"/>
      <c r="AF279" s="808"/>
      <c r="AG279" s="808"/>
      <c r="AH279" s="808"/>
      <c r="AI279" s="808"/>
      <c r="AJ279" s="808"/>
      <c r="AK279" s="461"/>
      <c r="AO279" s="1359"/>
      <c r="AP279" s="1361"/>
      <c r="BL279" s="1346"/>
      <c r="BM279" s="1346"/>
      <c r="BO279" s="1346"/>
      <c r="BP279" s="1346"/>
      <c r="BQ279" s="1346"/>
      <c r="BR279" s="1346"/>
      <c r="BS279" s="1346"/>
      <c r="BT279" s="1346"/>
      <c r="BU279" s="1346"/>
      <c r="BV279" s="1346"/>
    </row>
    <row r="280" spans="1:75" ht="14.25">
      <c r="A280" s="461"/>
      <c r="B280" s="2953"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280" s="808"/>
      <c r="D280" s="808"/>
      <c r="E280" s="808"/>
      <c r="F280" s="808"/>
      <c r="G280" s="808"/>
      <c r="H280" s="808"/>
      <c r="I280" s="808"/>
      <c r="J280" s="808"/>
      <c r="K280" s="808"/>
      <c r="L280" s="808"/>
      <c r="M280" s="808"/>
      <c r="N280" s="808"/>
      <c r="O280" s="808"/>
      <c r="P280" s="808"/>
      <c r="Q280" s="808"/>
      <c r="R280" s="808"/>
      <c r="S280" s="808"/>
      <c r="T280" s="808"/>
      <c r="U280" s="808"/>
      <c r="V280" s="808"/>
      <c r="W280" s="808"/>
      <c r="X280" s="808"/>
      <c r="Y280" s="808"/>
      <c r="Z280" s="808"/>
      <c r="AA280" s="808"/>
      <c r="AB280" s="808"/>
      <c r="AC280" s="808"/>
      <c r="AD280" s="808"/>
      <c r="AE280" s="808"/>
      <c r="AF280" s="808"/>
      <c r="AG280" s="808"/>
      <c r="AH280" s="808"/>
      <c r="AI280" s="808"/>
      <c r="AJ280" s="808"/>
      <c r="AK280" s="461"/>
      <c r="AO280" s="1346"/>
      <c r="AP280" s="1360"/>
      <c r="BL280" s="1346"/>
      <c r="BM280" s="1346"/>
      <c r="BO280" s="1346"/>
      <c r="BP280" s="1346"/>
      <c r="BQ280" s="1346"/>
      <c r="BR280" s="1346"/>
      <c r="BS280" s="1346"/>
      <c r="BT280" s="1346"/>
      <c r="BU280" s="1346"/>
      <c r="BV280" s="1346"/>
    </row>
    <row r="281" spans="1:75" ht="15">
      <c r="A281" s="461"/>
      <c r="B281" s="2953" t="s">
        <v>3747</v>
      </c>
      <c r="C281" s="808"/>
      <c r="D281" s="808"/>
      <c r="E281" s="808"/>
      <c r="F281" s="808"/>
      <c r="G281" s="808"/>
      <c r="H281" s="808"/>
      <c r="I281" s="808"/>
      <c r="J281" s="808"/>
      <c r="K281" s="808"/>
      <c r="L281" s="808"/>
      <c r="M281" s="808"/>
      <c r="N281" s="808"/>
      <c r="O281" s="808"/>
      <c r="P281" s="808"/>
      <c r="Q281" s="808"/>
      <c r="R281" s="808"/>
      <c r="S281" s="808"/>
      <c r="T281" s="808"/>
      <c r="U281" s="808"/>
      <c r="V281" s="808"/>
      <c r="W281" s="808"/>
      <c r="X281" s="808"/>
      <c r="Y281" s="808"/>
      <c r="Z281" s="808"/>
      <c r="AA281" s="808"/>
      <c r="AB281" s="808"/>
      <c r="AC281" s="808"/>
      <c r="AD281" s="808"/>
      <c r="AE281" s="808"/>
      <c r="AF281" s="808"/>
      <c r="AG281" s="808"/>
      <c r="AH281" s="808"/>
      <c r="AI281" s="808"/>
      <c r="AJ281" s="808"/>
      <c r="AK281" s="461"/>
      <c r="AO281" s="1346"/>
      <c r="AP281" s="1346"/>
      <c r="BL281" s="1346"/>
      <c r="BM281" s="1346"/>
      <c r="BO281" s="1346"/>
      <c r="BP281" s="1346"/>
      <c r="BQ281" s="1346"/>
      <c r="BR281" s="1346"/>
      <c r="BS281" s="1346"/>
      <c r="BT281" s="1346"/>
      <c r="BU281" s="1346"/>
      <c r="BV281" s="1346"/>
    </row>
    <row r="282" spans="1:75" ht="12.75" customHeight="1">
      <c r="A282" s="461"/>
      <c r="B282" s="2953" t="s">
        <v>3748</v>
      </c>
      <c r="C282" s="808"/>
      <c r="D282" s="808"/>
      <c r="E282" s="808"/>
      <c r="F282" s="808"/>
      <c r="G282" s="808"/>
      <c r="H282" s="808"/>
      <c r="I282" s="808"/>
      <c r="J282" s="808"/>
      <c r="K282" s="808"/>
      <c r="L282" s="808"/>
      <c r="M282" s="808"/>
      <c r="N282" s="808"/>
      <c r="O282" s="808"/>
      <c r="P282" s="808"/>
      <c r="Q282" s="808"/>
      <c r="R282" s="808"/>
      <c r="S282" s="808"/>
      <c r="T282" s="808"/>
      <c r="U282" s="808"/>
      <c r="V282" s="808"/>
      <c r="W282" s="808"/>
      <c r="X282" s="808"/>
      <c r="Y282" s="808"/>
      <c r="Z282" s="808"/>
      <c r="AA282" s="808"/>
      <c r="AB282" s="808"/>
      <c r="AC282" s="808"/>
      <c r="AD282" s="808"/>
      <c r="AE282" s="808"/>
      <c r="AF282" s="808"/>
      <c r="AG282" s="808"/>
      <c r="AH282" s="808"/>
      <c r="AI282" s="808"/>
      <c r="AJ282" s="808"/>
      <c r="AK282" s="461"/>
      <c r="AO282" s="1346"/>
      <c r="AP282" s="1346"/>
      <c r="BL282" s="1346"/>
      <c r="BM282" s="1346"/>
      <c r="BO282" s="1346"/>
      <c r="BP282" s="1346"/>
      <c r="BQ282" s="1346"/>
      <c r="BR282" s="1346"/>
      <c r="BS282" s="1346"/>
      <c r="BT282" s="1346"/>
      <c r="BU282" s="1346"/>
      <c r="BV282" s="1346"/>
    </row>
    <row r="283" spans="1:75" ht="14.25">
      <c r="A283" s="461"/>
      <c r="B283" s="2953" t="s">
        <v>3749</v>
      </c>
      <c r="C283" s="808"/>
      <c r="D283" s="808"/>
      <c r="E283" s="808"/>
      <c r="F283" s="808"/>
      <c r="G283" s="808"/>
      <c r="H283" s="808"/>
      <c r="I283" s="808"/>
      <c r="J283" s="808"/>
      <c r="K283" s="808"/>
      <c r="L283" s="808"/>
      <c r="M283" s="808"/>
      <c r="N283" s="808"/>
      <c r="O283" s="808"/>
      <c r="P283" s="808"/>
      <c r="Q283" s="808"/>
      <c r="R283" s="808"/>
      <c r="S283" s="808"/>
      <c r="T283" s="808"/>
      <c r="U283" s="808"/>
      <c r="V283" s="808"/>
      <c r="W283" s="808"/>
      <c r="X283" s="808"/>
      <c r="Y283" s="808"/>
      <c r="Z283" s="808"/>
      <c r="AA283" s="808"/>
      <c r="AB283" s="808"/>
      <c r="AC283" s="808"/>
      <c r="AD283" s="808"/>
      <c r="AE283" s="808"/>
      <c r="AF283" s="808"/>
      <c r="AG283" s="808"/>
      <c r="AH283" s="808"/>
      <c r="AI283" s="808"/>
      <c r="AJ283" s="808"/>
      <c r="AK283" s="461"/>
      <c r="AO283" s="1346"/>
      <c r="AP283" s="1346"/>
      <c r="BL283" s="1346"/>
      <c r="BM283" s="1346"/>
      <c r="BO283" s="1346"/>
      <c r="BP283" s="1346"/>
      <c r="BQ283" s="1346"/>
      <c r="BR283" s="1346"/>
      <c r="BS283" s="1346"/>
      <c r="BT283" s="1346"/>
      <c r="BU283" s="1346"/>
      <c r="BV283" s="1346"/>
    </row>
    <row r="284" spans="1:75" ht="18" customHeight="1">
      <c r="A284" s="461"/>
      <c r="B284" s="808"/>
      <c r="C284" s="1145" t="str">
        <f>"If you are a cash basis taxpayer, report on Form 1040 or 1040-SR all income you received in "&amp;TaxYear&amp;", no matter when you"</f>
        <v>If you are a cash basis taxpayer, report on Form 1040 or 1040-SR all income you received in 2023, no matter when you</v>
      </c>
      <c r="D284" s="1145"/>
      <c r="E284" s="899"/>
      <c r="F284" s="808"/>
      <c r="G284" s="808"/>
      <c r="H284" s="808"/>
      <c r="I284" s="808"/>
      <c r="J284" s="808"/>
      <c r="K284" s="808"/>
      <c r="L284" s="808"/>
      <c r="M284" s="808"/>
      <c r="N284" s="808"/>
      <c r="O284" s="808"/>
      <c r="P284" s="808"/>
      <c r="Q284" s="808"/>
      <c r="R284" s="808"/>
      <c r="S284" s="808"/>
      <c r="T284" s="808"/>
      <c r="U284" s="808"/>
      <c r="V284" s="808"/>
      <c r="W284" s="808"/>
      <c r="X284" s="808"/>
      <c r="Y284" s="808"/>
      <c r="Z284" s="808"/>
      <c r="AA284" s="808"/>
      <c r="AB284" s="808"/>
      <c r="AC284" s="808"/>
      <c r="AD284" s="808"/>
      <c r="AE284" s="808"/>
      <c r="AF284" s="808"/>
      <c r="AG284" s="808"/>
      <c r="AH284" s="808"/>
      <c r="AI284" s="808"/>
      <c r="AJ284" s="808"/>
      <c r="AK284" s="461"/>
      <c r="AO284" s="1346"/>
      <c r="AP284" s="1346"/>
      <c r="BL284" s="1346"/>
      <c r="BM284" s="1346"/>
      <c r="BO284" s="1346"/>
      <c r="BP284" s="1346"/>
      <c r="BQ284" s="1346"/>
      <c r="BR284" s="1346"/>
      <c r="BS284" s="1346"/>
      <c r="BT284" s="1346"/>
      <c r="BU284" s="1346"/>
      <c r="BV284" s="1346"/>
    </row>
    <row r="285" spans="1:75" s="649" customFormat="1" ht="18" customHeight="1">
      <c r="A285" s="4064"/>
      <c r="B285" s="1372"/>
      <c r="C285" s="2954" t="s">
        <v>3750</v>
      </c>
      <c r="D285" s="2954"/>
      <c r="E285" s="1375"/>
      <c r="F285" s="1372"/>
      <c r="G285" s="1372"/>
      <c r="H285" s="1372"/>
      <c r="I285" s="1372"/>
      <c r="J285" s="1372"/>
      <c r="K285" s="1372"/>
      <c r="L285" s="1372"/>
      <c r="M285" s="1372"/>
      <c r="N285" s="1372"/>
      <c r="O285" s="1372"/>
      <c r="P285" s="1372"/>
      <c r="Q285" s="1372"/>
      <c r="R285" s="1372"/>
      <c r="S285" s="1372"/>
      <c r="T285" s="1372"/>
      <c r="U285" s="1372"/>
      <c r="V285" s="1372"/>
      <c r="W285" s="1372"/>
      <c r="X285" s="1372"/>
      <c r="Y285" s="1372"/>
      <c r="Z285" s="1372"/>
      <c r="AA285" s="1372"/>
      <c r="AB285" s="1372"/>
      <c r="AC285" s="1372"/>
      <c r="AD285" s="1372"/>
      <c r="AE285" s="1372"/>
      <c r="AF285" s="1372"/>
      <c r="AG285" s="1372"/>
      <c r="AH285" s="1372"/>
      <c r="AI285" s="1372"/>
      <c r="AJ285" s="1372"/>
      <c r="AK285" s="4064"/>
      <c r="AL285" s="1373"/>
      <c r="AM285" s="1373"/>
      <c r="AN285" s="1373"/>
      <c r="AO285" s="1374"/>
      <c r="AP285" s="1374"/>
      <c r="AQ285" s="2038"/>
      <c r="AR285" s="2038"/>
      <c r="AS285" s="2038"/>
      <c r="AT285" s="2038"/>
      <c r="AU285" s="2038"/>
      <c r="AV285" s="2038"/>
      <c r="AW285" s="2038"/>
      <c r="AX285" s="2038"/>
      <c r="AY285" s="2038"/>
      <c r="AZ285" s="1373"/>
      <c r="BA285" s="1373"/>
      <c r="BB285" s="1373"/>
      <c r="BC285" s="1373"/>
      <c r="BD285" s="1373"/>
      <c r="BE285" s="1373"/>
      <c r="BF285" s="1373"/>
      <c r="BG285" s="1373"/>
      <c r="BH285" s="1373"/>
      <c r="BI285" s="1373"/>
      <c r="BJ285" s="1373"/>
      <c r="BK285" s="1373"/>
      <c r="BL285" s="1374"/>
      <c r="BM285" s="1374"/>
      <c r="BN285" s="1373"/>
      <c r="BO285" s="1374"/>
      <c r="BP285" s="1374"/>
      <c r="BQ285" s="1374"/>
      <c r="BR285" s="1374"/>
      <c r="BS285" s="1374"/>
      <c r="BT285" s="1374"/>
      <c r="BU285" s="1374"/>
      <c r="BV285" s="1374"/>
      <c r="BW285" s="1373"/>
    </row>
    <row r="286" spans="1:75" ht="28.5" customHeight="1">
      <c r="A286" s="461"/>
      <c r="B286" s="8790" t="str">
        <f>TaxYear&amp;" Foreign Earned Income"</f>
        <v>2023 Foreign Earned Income</v>
      </c>
      <c r="C286" s="8791"/>
      <c r="D286" s="8791"/>
      <c r="E286" s="8791"/>
      <c r="F286" s="8791"/>
      <c r="G286" s="8791"/>
      <c r="H286" s="8791"/>
      <c r="I286" s="8791"/>
      <c r="J286" s="8791"/>
      <c r="K286" s="8791"/>
      <c r="L286" s="8791"/>
      <c r="M286" s="8791"/>
      <c r="N286" s="8791"/>
      <c r="O286" s="8791"/>
      <c r="P286" s="8791"/>
      <c r="Q286" s="8791"/>
      <c r="R286" s="8791"/>
      <c r="S286" s="8791"/>
      <c r="T286" s="8791"/>
      <c r="U286" s="8791"/>
      <c r="V286" s="8791"/>
      <c r="W286" s="8791"/>
      <c r="X286" s="8791"/>
      <c r="Y286" s="8791"/>
      <c r="Z286" s="8791"/>
      <c r="AA286" s="8792"/>
      <c r="AB286" s="8793"/>
      <c r="AC286" s="7946" t="s">
        <v>3751</v>
      </c>
      <c r="AD286" s="8788"/>
      <c r="AE286" s="8788"/>
      <c r="AF286" s="8788"/>
      <c r="AG286" s="8788"/>
      <c r="AH286" s="8788"/>
      <c r="AI286" s="8788"/>
      <c r="AJ286" s="8788"/>
      <c r="AK286" s="461"/>
      <c r="AO286" s="1346"/>
      <c r="AP286" s="1346"/>
      <c r="BL286" s="1346"/>
      <c r="BM286" s="1346"/>
      <c r="BO286" s="1346"/>
      <c r="BP286" s="1346"/>
      <c r="BQ286" s="1346"/>
      <c r="BR286" s="1346"/>
      <c r="BS286" s="1346"/>
      <c r="BT286" s="1346"/>
      <c r="BU286" s="1346"/>
      <c r="BV286" s="1346"/>
    </row>
    <row r="287" spans="1:75" ht="16.5" customHeight="1">
      <c r="A287" s="461"/>
      <c r="B287" s="808"/>
      <c r="C287" s="1362" t="s">
        <v>3752</v>
      </c>
      <c r="D287" s="2112" t="s">
        <v>3753</v>
      </c>
      <c r="E287" s="808"/>
      <c r="F287" s="808"/>
      <c r="G287" s="808"/>
      <c r="H287" s="808"/>
      <c r="I287" s="808"/>
      <c r="J287" s="808"/>
      <c r="K287" s="808"/>
      <c r="L287" s="808"/>
      <c r="M287" s="808"/>
      <c r="N287" s="808"/>
      <c r="O287" s="808"/>
      <c r="P287" s="808"/>
      <c r="Q287" s="808"/>
      <c r="R287" s="808"/>
      <c r="S287" s="808"/>
      <c r="T287" s="808"/>
      <c r="U287" s="808"/>
      <c r="V287" s="808"/>
      <c r="W287" s="808"/>
      <c r="X287" s="808"/>
      <c r="Y287" s="808"/>
      <c r="Z287" s="808"/>
      <c r="AA287" s="808"/>
      <c r="AB287" s="859" t="s">
        <v>3754</v>
      </c>
      <c r="AC287" s="8794" t="s">
        <v>295</v>
      </c>
      <c r="AD287" s="8795"/>
      <c r="AE287" s="8797"/>
      <c r="AF287" s="8797"/>
      <c r="AG287" s="8797"/>
      <c r="AH287" s="8797"/>
      <c r="AI287" s="8797"/>
      <c r="AJ287" s="8797"/>
      <c r="AK287" s="461"/>
      <c r="AO287" s="1346"/>
      <c r="AP287" s="1346"/>
      <c r="BL287" s="1346"/>
      <c r="BM287" s="1346"/>
      <c r="BO287" s="1346"/>
      <c r="BP287" s="1346"/>
      <c r="BQ287" s="1346"/>
      <c r="BR287" s="1346"/>
      <c r="BS287" s="1346"/>
      <c r="BT287" s="1346"/>
      <c r="BU287" s="1346"/>
      <c r="BV287" s="1346"/>
    </row>
    <row r="288" spans="1:75" ht="13.5" customHeight="1">
      <c r="A288" s="461"/>
      <c r="B288" s="808"/>
      <c r="C288" s="1362" t="s">
        <v>3755</v>
      </c>
      <c r="D288" s="2112" t="s">
        <v>3756</v>
      </c>
      <c r="E288" s="808"/>
      <c r="F288" s="808"/>
      <c r="G288" s="808"/>
      <c r="H288" s="808"/>
      <c r="I288" s="808"/>
      <c r="J288" s="808"/>
      <c r="K288" s="808"/>
      <c r="L288" s="808"/>
      <c r="M288" s="808"/>
      <c r="N288" s="808"/>
      <c r="O288" s="808"/>
      <c r="P288" s="808"/>
      <c r="Q288" s="808"/>
      <c r="R288" s="808"/>
      <c r="S288" s="808"/>
      <c r="T288" s="808"/>
      <c r="U288" s="808"/>
      <c r="V288" s="808"/>
      <c r="W288" s="808"/>
      <c r="X288" s="808"/>
      <c r="Y288" s="808"/>
      <c r="Z288" s="808"/>
      <c r="AA288" s="808"/>
      <c r="AB288" s="808"/>
      <c r="AC288" s="8011"/>
      <c r="AD288" s="7638"/>
      <c r="AE288" s="8731"/>
      <c r="AF288" s="7635"/>
      <c r="AG288" s="8731"/>
      <c r="AH288" s="7635"/>
      <c r="AI288" s="8731"/>
      <c r="AJ288" s="7635"/>
      <c r="AK288" s="461"/>
      <c r="AO288" s="1346"/>
      <c r="AP288" s="1346"/>
      <c r="BL288" s="1346"/>
      <c r="BM288" s="1346"/>
    </row>
    <row r="289" spans="1:65" ht="13.5" customHeight="1">
      <c r="A289" s="461"/>
      <c r="B289" s="808"/>
      <c r="C289" s="1362" t="s">
        <v>3672</v>
      </c>
      <c r="D289" s="2112" t="s">
        <v>3757</v>
      </c>
      <c r="E289" s="808"/>
      <c r="F289" s="808"/>
      <c r="G289" s="808"/>
      <c r="H289" s="808"/>
      <c r="I289" s="808"/>
      <c r="J289" s="808"/>
      <c r="K289" s="808"/>
      <c r="L289" s="808"/>
      <c r="M289" s="808"/>
      <c r="N289" s="808"/>
      <c r="O289" s="808"/>
      <c r="P289" s="808"/>
      <c r="Q289" s="808"/>
      <c r="R289" s="808"/>
      <c r="S289" s="808"/>
      <c r="T289" s="808"/>
      <c r="U289" s="808"/>
      <c r="V289" s="808"/>
      <c r="W289" s="808"/>
      <c r="X289" s="808"/>
      <c r="Y289" s="808"/>
      <c r="Z289" s="808"/>
      <c r="AA289" s="808"/>
      <c r="AB289" s="859" t="s">
        <v>670</v>
      </c>
      <c r="AC289" s="8694" t="s">
        <v>2313</v>
      </c>
      <c r="AD289" s="8728"/>
      <c r="AE289" s="8729"/>
      <c r="AF289" s="8729"/>
      <c r="AG289" s="8729"/>
      <c r="AH289" s="8729"/>
      <c r="AI289" s="8729"/>
      <c r="AJ289" s="8729"/>
      <c r="AK289" s="461"/>
      <c r="AO289" s="1346"/>
      <c r="AP289" s="1346"/>
      <c r="BL289" s="1346"/>
      <c r="BM289" s="1346"/>
    </row>
    <row r="290" spans="1:65" ht="13.5" customHeight="1">
      <c r="A290" s="461"/>
      <c r="B290" s="808"/>
      <c r="C290" s="1362" t="s">
        <v>2392</v>
      </c>
      <c r="D290" s="892" t="s">
        <v>3758</v>
      </c>
      <c r="E290" s="808"/>
      <c r="F290" s="808"/>
      <c r="G290" s="808"/>
      <c r="H290" s="808"/>
      <c r="I290" s="808"/>
      <c r="J290" s="808"/>
      <c r="K290" s="808"/>
      <c r="L290" s="808"/>
      <c r="M290" s="808"/>
      <c r="N290" s="808"/>
      <c r="O290" s="808"/>
      <c r="P290" s="808"/>
      <c r="Q290" s="808"/>
      <c r="R290" s="808"/>
      <c r="S290" s="808"/>
      <c r="T290" s="808"/>
      <c r="U290" s="808"/>
      <c r="V290" s="8750"/>
      <c r="W290" s="8803"/>
      <c r="X290" s="8803"/>
      <c r="Y290" s="8803"/>
      <c r="Z290" s="8803"/>
      <c r="AA290" s="8803"/>
      <c r="AB290" s="808"/>
      <c r="AC290" s="8011"/>
      <c r="AD290" s="8730"/>
      <c r="AE290" s="8011"/>
      <c r="AF290" s="8731"/>
      <c r="AG290" s="8731"/>
      <c r="AH290" s="8731"/>
      <c r="AI290" s="8731"/>
      <c r="AJ290" s="8731"/>
      <c r="AK290" s="461"/>
      <c r="AO290" s="1346"/>
      <c r="AP290" s="1346"/>
      <c r="BL290" s="1346"/>
      <c r="BM290" s="1346"/>
    </row>
    <row r="291" spans="1:65" ht="13.5" customHeight="1">
      <c r="A291" s="461"/>
      <c r="B291" s="808"/>
      <c r="C291" s="1362"/>
      <c r="D291" s="8750"/>
      <c r="E291" s="8803"/>
      <c r="F291" s="8803"/>
      <c r="G291" s="8803"/>
      <c r="H291" s="8803"/>
      <c r="I291" s="8803"/>
      <c r="J291" s="8803"/>
      <c r="K291" s="8803"/>
      <c r="L291" s="8803"/>
      <c r="M291" s="8803"/>
      <c r="N291" s="8803"/>
      <c r="O291" s="8803"/>
      <c r="P291" s="8803"/>
      <c r="Q291" s="8803"/>
      <c r="R291" s="8803"/>
      <c r="S291" s="8803"/>
      <c r="T291" s="8803"/>
      <c r="U291" s="8803"/>
      <c r="V291" s="8803"/>
      <c r="W291" s="8803"/>
      <c r="X291" s="8803"/>
      <c r="Y291" s="8803"/>
      <c r="Z291" s="8803"/>
      <c r="AA291" s="8803"/>
      <c r="AB291" s="808"/>
      <c r="AC291" s="8694" t="s">
        <v>2318</v>
      </c>
      <c r="AD291" s="8728"/>
      <c r="AE291" s="8729"/>
      <c r="AF291" s="8729"/>
      <c r="AG291" s="8729"/>
      <c r="AH291" s="8729"/>
      <c r="AI291" s="8729"/>
      <c r="AJ291" s="8729"/>
      <c r="AK291" s="461"/>
      <c r="AO291" s="1346"/>
      <c r="AP291" s="1346"/>
      <c r="BL291" s="1346"/>
      <c r="BM291" s="1346"/>
    </row>
    <row r="292" spans="1:65" ht="13.5" customHeight="1">
      <c r="A292" s="461"/>
      <c r="B292" s="808"/>
      <c r="C292" s="1362" t="s">
        <v>3759</v>
      </c>
      <c r="D292" s="2112" t="s">
        <v>3760</v>
      </c>
      <c r="E292" s="808"/>
      <c r="F292" s="808"/>
      <c r="G292" s="808"/>
      <c r="H292" s="808"/>
      <c r="I292" s="808"/>
      <c r="J292" s="808"/>
      <c r="K292" s="808"/>
      <c r="L292" s="808"/>
      <c r="M292" s="808"/>
      <c r="N292" s="808"/>
      <c r="O292" s="808"/>
      <c r="P292" s="808"/>
      <c r="Q292" s="808"/>
      <c r="R292" s="808"/>
      <c r="S292" s="808"/>
      <c r="T292" s="808"/>
      <c r="U292" s="808"/>
      <c r="V292" s="808"/>
      <c r="W292" s="808"/>
      <c r="X292" s="808"/>
      <c r="Y292" s="808"/>
      <c r="Z292" s="808"/>
      <c r="AA292" s="808"/>
      <c r="AB292" s="808"/>
      <c r="AC292" s="8798"/>
      <c r="AD292" s="8799"/>
      <c r="AE292" s="8731"/>
      <c r="AF292" s="7635"/>
      <c r="AG292" s="8731"/>
      <c r="AH292" s="7635"/>
      <c r="AI292" s="8731"/>
      <c r="AJ292" s="7635"/>
      <c r="AK292" s="461"/>
      <c r="AO292" s="1346"/>
      <c r="AP292" s="1346"/>
      <c r="BL292" s="1346"/>
      <c r="BM292" s="1346"/>
    </row>
    <row r="293" spans="1:65" ht="13.5" customHeight="1">
      <c r="A293" s="461"/>
      <c r="B293" s="808"/>
      <c r="C293" s="808"/>
      <c r="D293" s="2112" t="s">
        <v>3761</v>
      </c>
      <c r="E293" s="808"/>
      <c r="F293" s="808"/>
      <c r="G293" s="808"/>
      <c r="H293" s="808"/>
      <c r="I293" s="808"/>
      <c r="J293" s="808"/>
      <c r="K293" s="808"/>
      <c r="L293" s="808"/>
      <c r="M293" s="808"/>
      <c r="N293" s="808"/>
      <c r="O293" s="808"/>
      <c r="P293" s="808"/>
      <c r="Q293" s="808"/>
      <c r="R293" s="808"/>
      <c r="S293" s="808"/>
      <c r="T293" s="808"/>
      <c r="U293" s="808"/>
      <c r="V293" s="808"/>
      <c r="W293" s="808"/>
      <c r="X293" s="808"/>
      <c r="Y293" s="808"/>
      <c r="Z293" s="808"/>
      <c r="AA293" s="808"/>
      <c r="AB293" s="808"/>
      <c r="AC293" s="8800"/>
      <c r="AD293" s="8801"/>
      <c r="AE293" s="7933"/>
      <c r="AF293" s="8802"/>
      <c r="AG293" s="8802"/>
      <c r="AH293" s="8802"/>
      <c r="AI293" s="8802"/>
      <c r="AJ293" s="8802"/>
      <c r="AK293" s="461"/>
      <c r="AO293" s="1346"/>
      <c r="AP293" s="1346"/>
      <c r="BL293" s="1346"/>
      <c r="BM293" s="1346"/>
    </row>
    <row r="294" spans="1:65" ht="13.5" customHeight="1">
      <c r="A294" s="461"/>
      <c r="B294" s="808"/>
      <c r="C294" s="1362" t="s">
        <v>3672</v>
      </c>
      <c r="D294" s="2112" t="s">
        <v>3762</v>
      </c>
      <c r="E294" s="808"/>
      <c r="F294" s="808"/>
      <c r="G294" s="808"/>
      <c r="H294" s="808"/>
      <c r="I294" s="808"/>
      <c r="J294" s="808"/>
      <c r="K294" s="808"/>
      <c r="L294" s="808"/>
      <c r="M294" s="808"/>
      <c r="N294" s="808"/>
      <c r="O294" s="808"/>
      <c r="P294" s="808"/>
      <c r="Q294" s="808"/>
      <c r="R294" s="808"/>
      <c r="S294" s="808"/>
      <c r="T294" s="808"/>
      <c r="U294" s="808"/>
      <c r="V294" s="808"/>
      <c r="W294" s="808"/>
      <c r="X294" s="808"/>
      <c r="Y294" s="808"/>
      <c r="Z294" s="808"/>
      <c r="AA294" s="808"/>
      <c r="AB294" s="859" t="s">
        <v>3763</v>
      </c>
      <c r="AC294" s="8694" t="s">
        <v>2869</v>
      </c>
      <c r="AD294" s="8728"/>
      <c r="AE294" s="8729"/>
      <c r="AF294" s="8729"/>
      <c r="AG294" s="8729"/>
      <c r="AH294" s="8729"/>
      <c r="AI294" s="8729"/>
      <c r="AJ294" s="8729"/>
      <c r="AK294" s="461"/>
      <c r="AO294" s="1346"/>
      <c r="AP294" s="1346"/>
      <c r="BL294" s="1346"/>
      <c r="BM294" s="1346"/>
    </row>
    <row r="295" spans="1:65" ht="13.5" customHeight="1">
      <c r="A295" s="461"/>
      <c r="B295" s="808"/>
      <c r="C295" s="808"/>
      <c r="D295" s="808"/>
      <c r="E295" s="808"/>
      <c r="F295" s="808"/>
      <c r="G295" s="808"/>
      <c r="H295" s="808"/>
      <c r="I295" s="808"/>
      <c r="J295" s="808"/>
      <c r="K295" s="808"/>
      <c r="L295" s="808"/>
      <c r="M295" s="808"/>
      <c r="N295" s="808"/>
      <c r="O295" s="808"/>
      <c r="P295" s="808"/>
      <c r="Q295" s="808"/>
      <c r="R295" s="808"/>
      <c r="S295" s="808"/>
      <c r="T295" s="808"/>
      <c r="U295" s="808"/>
      <c r="V295" s="808"/>
      <c r="W295" s="808"/>
      <c r="X295" s="808"/>
      <c r="Y295" s="808"/>
      <c r="Z295" s="808"/>
      <c r="AA295" s="808"/>
      <c r="AB295" s="808"/>
      <c r="AC295" s="8011"/>
      <c r="AD295" s="8730"/>
      <c r="AE295" s="8011"/>
      <c r="AF295" s="8731"/>
      <c r="AG295" s="8731"/>
      <c r="AH295" s="8731"/>
      <c r="AI295" s="8731"/>
      <c r="AJ295" s="8731"/>
      <c r="AK295" s="461"/>
      <c r="AO295" s="1346"/>
      <c r="AP295" s="1346"/>
      <c r="BL295" s="1346"/>
      <c r="BM295" s="1346"/>
    </row>
    <row r="296" spans="1:65" ht="13.5" customHeight="1">
      <c r="A296" s="461"/>
      <c r="B296" s="808"/>
      <c r="C296" s="1362" t="s">
        <v>2392</v>
      </c>
      <c r="D296" s="2112" t="s">
        <v>3764</v>
      </c>
      <c r="E296" s="808"/>
      <c r="F296" s="808"/>
      <c r="G296" s="808"/>
      <c r="H296" s="808"/>
      <c r="I296" s="808"/>
      <c r="J296" s="808"/>
      <c r="K296" s="808"/>
      <c r="L296" s="808"/>
      <c r="M296" s="808"/>
      <c r="N296" s="808"/>
      <c r="O296" s="808"/>
      <c r="P296" s="808"/>
      <c r="Q296" s="808"/>
      <c r="R296" s="808"/>
      <c r="S296" s="808"/>
      <c r="T296" s="808"/>
      <c r="U296" s="808"/>
      <c r="V296" s="808"/>
      <c r="W296" s="808"/>
      <c r="X296" s="808"/>
      <c r="Y296" s="808"/>
      <c r="Z296" s="808"/>
      <c r="AA296" s="808"/>
      <c r="AB296" s="859" t="s">
        <v>2407</v>
      </c>
      <c r="AC296" s="8694" t="s">
        <v>2871</v>
      </c>
      <c r="AD296" s="8728"/>
      <c r="AE296" s="8729"/>
      <c r="AF296" s="8729"/>
      <c r="AG296" s="8729"/>
      <c r="AH296" s="8729"/>
      <c r="AI296" s="8729"/>
      <c r="AJ296" s="8729"/>
      <c r="AK296" s="461"/>
      <c r="AO296" s="1346"/>
      <c r="AP296" s="1346"/>
      <c r="BL296" s="1346"/>
      <c r="BM296" s="1346"/>
    </row>
    <row r="297" spans="1:65" ht="13.5" customHeight="1">
      <c r="A297" s="461"/>
      <c r="B297" s="808"/>
      <c r="C297" s="808"/>
      <c r="D297" s="808"/>
      <c r="E297" s="808"/>
      <c r="F297" s="808"/>
      <c r="G297" s="808"/>
      <c r="H297" s="808"/>
      <c r="I297" s="808"/>
      <c r="J297" s="808"/>
      <c r="K297" s="808"/>
      <c r="L297" s="808"/>
      <c r="M297" s="808"/>
      <c r="N297" s="808"/>
      <c r="O297" s="808"/>
      <c r="P297" s="808"/>
      <c r="Q297" s="808"/>
      <c r="R297" s="808"/>
      <c r="S297" s="808"/>
      <c r="T297" s="808"/>
      <c r="U297" s="808"/>
      <c r="V297" s="808"/>
      <c r="W297" s="808"/>
      <c r="X297" s="808"/>
      <c r="Y297" s="808"/>
      <c r="Z297" s="808"/>
      <c r="AA297" s="808"/>
      <c r="AB297" s="808"/>
      <c r="AC297" s="8011"/>
      <c r="AD297" s="8730"/>
      <c r="AE297" s="8011"/>
      <c r="AF297" s="8731"/>
      <c r="AG297" s="8731"/>
      <c r="AH297" s="8731"/>
      <c r="AI297" s="8731"/>
      <c r="AJ297" s="8731"/>
      <c r="AK297" s="461"/>
      <c r="AO297" s="1346"/>
      <c r="AP297" s="1346"/>
      <c r="BL297" s="1346"/>
      <c r="BM297" s="1346"/>
    </row>
    <row r="298" spans="1:65" ht="13.5" customHeight="1">
      <c r="A298" s="461"/>
      <c r="B298" s="808"/>
      <c r="C298" s="1362" t="s">
        <v>2394</v>
      </c>
      <c r="D298" s="2112" t="s">
        <v>3765</v>
      </c>
      <c r="E298" s="808"/>
      <c r="F298" s="808"/>
      <c r="G298" s="808"/>
      <c r="H298" s="808"/>
      <c r="I298" s="808"/>
      <c r="J298" s="808"/>
      <c r="K298" s="808"/>
      <c r="L298" s="808"/>
      <c r="M298" s="808"/>
      <c r="N298" s="808"/>
      <c r="O298" s="808"/>
      <c r="P298" s="808"/>
      <c r="Q298" s="808"/>
      <c r="R298" s="808"/>
      <c r="S298" s="808"/>
      <c r="T298" s="808"/>
      <c r="U298" s="808"/>
      <c r="V298" s="808"/>
      <c r="W298" s="808"/>
      <c r="X298" s="808"/>
      <c r="Y298" s="808"/>
      <c r="Z298" s="808"/>
      <c r="AA298" s="808"/>
      <c r="AB298" s="859" t="s">
        <v>3766</v>
      </c>
      <c r="AC298" s="8694" t="s">
        <v>3767</v>
      </c>
      <c r="AD298" s="8728"/>
      <c r="AE298" s="8729"/>
      <c r="AF298" s="8729"/>
      <c r="AG298" s="8729"/>
      <c r="AH298" s="8729"/>
      <c r="AI298" s="8729"/>
      <c r="AJ298" s="8729"/>
      <c r="AK298" s="461"/>
      <c r="AO298" s="1346"/>
      <c r="AP298" s="1346"/>
      <c r="BL298" s="1346"/>
      <c r="BM298" s="1346"/>
    </row>
    <row r="299" spans="1:65" ht="13.5" customHeight="1">
      <c r="A299" s="461"/>
      <c r="B299" s="808"/>
      <c r="C299" s="1362" t="s">
        <v>3676</v>
      </c>
      <c r="D299" s="892" t="s">
        <v>3768</v>
      </c>
      <c r="E299" s="808"/>
      <c r="F299" s="808"/>
      <c r="G299" s="808"/>
      <c r="H299" s="808"/>
      <c r="I299" s="808"/>
      <c r="J299" s="808"/>
      <c r="K299" s="808"/>
      <c r="L299" s="808"/>
      <c r="M299" s="808"/>
      <c r="N299" s="808"/>
      <c r="O299" s="808"/>
      <c r="P299" s="8750"/>
      <c r="Q299" s="8803"/>
      <c r="R299" s="8803"/>
      <c r="S299" s="8803"/>
      <c r="T299" s="8803"/>
      <c r="U299" s="8803"/>
      <c r="V299" s="8803"/>
      <c r="W299" s="8803"/>
      <c r="X299" s="8803"/>
      <c r="Y299" s="8803"/>
      <c r="Z299" s="8803"/>
      <c r="AA299" s="8803"/>
      <c r="AB299" s="808"/>
      <c r="AC299" s="8011"/>
      <c r="AD299" s="8730"/>
      <c r="AE299" s="8011"/>
      <c r="AF299" s="8731"/>
      <c r="AG299" s="8731"/>
      <c r="AH299" s="8731"/>
      <c r="AI299" s="8731"/>
      <c r="AJ299" s="8731"/>
      <c r="AK299" s="461"/>
      <c r="AO299" s="1346"/>
      <c r="AP299" s="1346"/>
      <c r="BL299" s="1346"/>
      <c r="BM299" s="1346"/>
    </row>
    <row r="300" spans="1:65" ht="13.5" customHeight="1">
      <c r="A300" s="461"/>
      <c r="B300" s="808"/>
      <c r="C300" s="808"/>
      <c r="D300" s="8750"/>
      <c r="E300" s="8751"/>
      <c r="F300" s="8751"/>
      <c r="G300" s="8751"/>
      <c r="H300" s="8751"/>
      <c r="I300" s="8751"/>
      <c r="J300" s="8751"/>
      <c r="K300" s="8751"/>
      <c r="L300" s="8751"/>
      <c r="M300" s="8751"/>
      <c r="N300" s="8751"/>
      <c r="O300" s="8751"/>
      <c r="P300" s="8751"/>
      <c r="Q300" s="8751"/>
      <c r="R300" s="8751"/>
      <c r="S300" s="8751"/>
      <c r="T300" s="8751"/>
      <c r="U300" s="8751"/>
      <c r="V300" s="8751"/>
      <c r="W300" s="8751"/>
      <c r="X300" s="8751"/>
      <c r="Y300" s="8751"/>
      <c r="Z300" s="8751"/>
      <c r="AA300" s="8751"/>
      <c r="AB300" s="808"/>
      <c r="AC300" s="8694" t="s">
        <v>3769</v>
      </c>
      <c r="AD300" s="8728"/>
      <c r="AE300" s="8729"/>
      <c r="AF300" s="8729"/>
      <c r="AG300" s="8729"/>
      <c r="AH300" s="8729"/>
      <c r="AI300" s="8729"/>
      <c r="AJ300" s="8729"/>
      <c r="AK300" s="461"/>
      <c r="AO300" s="1346"/>
      <c r="AP300" s="1346"/>
      <c r="BL300" s="1346"/>
      <c r="BM300" s="1346"/>
    </row>
    <row r="301" spans="1:65" ht="13.5" customHeight="1">
      <c r="A301" s="461"/>
      <c r="B301" s="808"/>
      <c r="C301" s="1362" t="s">
        <v>3770</v>
      </c>
      <c r="D301" s="808" t="s">
        <v>3771</v>
      </c>
      <c r="E301" s="808"/>
      <c r="F301" s="808"/>
      <c r="G301" s="808"/>
      <c r="H301" s="808"/>
      <c r="I301" s="808"/>
      <c r="J301" s="808"/>
      <c r="K301" s="808"/>
      <c r="L301" s="808"/>
      <c r="M301" s="808"/>
      <c r="N301" s="808"/>
      <c r="O301" s="808"/>
      <c r="P301" s="808"/>
      <c r="Q301" s="808"/>
      <c r="R301" s="808"/>
      <c r="S301" s="808"/>
      <c r="T301" s="808"/>
      <c r="U301" s="808"/>
      <c r="V301" s="808"/>
      <c r="W301" s="808"/>
      <c r="X301" s="808"/>
      <c r="Y301" s="808"/>
      <c r="Z301" s="808"/>
      <c r="AA301" s="808"/>
      <c r="AB301" s="808"/>
      <c r="AC301" s="1379"/>
      <c r="AD301" s="1380"/>
      <c r="AE301" s="808"/>
      <c r="AF301" s="808"/>
      <c r="AG301" s="808"/>
      <c r="AH301" s="808"/>
      <c r="AI301" s="808"/>
      <c r="AJ301" s="808"/>
      <c r="AK301" s="461"/>
      <c r="AO301" s="1346"/>
      <c r="AP301" s="1346"/>
      <c r="BL301" s="1346"/>
      <c r="BM301" s="1346"/>
    </row>
    <row r="302" spans="1:65" ht="13.5" customHeight="1">
      <c r="A302" s="461"/>
      <c r="B302" s="808"/>
      <c r="C302" s="1362" t="s">
        <v>3672</v>
      </c>
      <c r="D302" s="808" t="s">
        <v>3772</v>
      </c>
      <c r="E302" s="808"/>
      <c r="F302" s="808"/>
      <c r="G302" s="808"/>
      <c r="H302" s="808"/>
      <c r="I302" s="808"/>
      <c r="J302" s="808"/>
      <c r="K302" s="808"/>
      <c r="L302" s="808"/>
      <c r="M302" s="808"/>
      <c r="N302" s="808"/>
      <c r="O302" s="808"/>
      <c r="P302" s="808"/>
      <c r="Q302" s="808"/>
      <c r="R302" s="808"/>
      <c r="S302" s="808"/>
      <c r="T302" s="808"/>
      <c r="U302" s="8694" t="s">
        <v>3773</v>
      </c>
      <c r="V302" s="8728"/>
      <c r="W302" s="8729"/>
      <c r="X302" s="8729"/>
      <c r="Y302" s="8729"/>
      <c r="Z302" s="8729"/>
      <c r="AA302" s="8729"/>
      <c r="AB302" s="8729"/>
      <c r="AC302" s="1379"/>
      <c r="AD302" s="1380"/>
      <c r="AE302" s="808"/>
      <c r="AF302" s="808"/>
      <c r="AG302" s="808"/>
      <c r="AH302" s="808"/>
      <c r="AI302" s="808"/>
      <c r="AJ302" s="808"/>
      <c r="AK302" s="461"/>
      <c r="AO302" s="1346"/>
      <c r="AP302" s="1346"/>
      <c r="BL302" s="1346"/>
      <c r="BM302" s="1346"/>
    </row>
    <row r="303" spans="1:65" ht="13.5" customHeight="1">
      <c r="A303" s="461"/>
      <c r="B303" s="808"/>
      <c r="C303" s="1362" t="s">
        <v>2392</v>
      </c>
      <c r="D303" s="808" t="s">
        <v>3774</v>
      </c>
      <c r="E303" s="808"/>
      <c r="F303" s="808"/>
      <c r="G303" s="808"/>
      <c r="H303" s="808"/>
      <c r="I303" s="808"/>
      <c r="J303" s="808"/>
      <c r="K303" s="808"/>
      <c r="L303" s="808"/>
      <c r="M303" s="808"/>
      <c r="N303" s="808"/>
      <c r="O303" s="808"/>
      <c r="P303" s="808"/>
      <c r="Q303" s="808"/>
      <c r="R303" s="808"/>
      <c r="S303" s="808"/>
      <c r="T303" s="859" t="s">
        <v>665</v>
      </c>
      <c r="U303" s="8694" t="s">
        <v>3775</v>
      </c>
      <c r="V303" s="8728"/>
      <c r="W303" s="8729"/>
      <c r="X303" s="8729"/>
      <c r="Y303" s="8729"/>
      <c r="Z303" s="8729"/>
      <c r="AA303" s="8729"/>
      <c r="AB303" s="8729"/>
      <c r="AC303" s="1379"/>
      <c r="AD303" s="1380"/>
      <c r="AE303" s="808"/>
      <c r="AF303" s="808"/>
      <c r="AG303" s="808"/>
      <c r="AH303" s="808"/>
      <c r="AI303" s="808"/>
      <c r="AJ303" s="808"/>
      <c r="AK303" s="461"/>
      <c r="BL303" s="1346"/>
      <c r="BM303" s="1346"/>
    </row>
    <row r="304" spans="1:65" ht="13.5" customHeight="1">
      <c r="A304" s="461"/>
      <c r="B304" s="808"/>
      <c r="C304" s="1362" t="s">
        <v>2394</v>
      </c>
      <c r="D304" s="808" t="s">
        <v>3776</v>
      </c>
      <c r="E304" s="808"/>
      <c r="F304" s="808"/>
      <c r="G304" s="808"/>
      <c r="H304" s="808"/>
      <c r="I304" s="808"/>
      <c r="J304" s="808"/>
      <c r="K304" s="808"/>
      <c r="L304" s="808"/>
      <c r="M304" s="808"/>
      <c r="N304" s="808"/>
      <c r="O304" s="808"/>
      <c r="P304" s="808"/>
      <c r="Q304" s="808"/>
      <c r="R304" s="808"/>
      <c r="S304" s="808"/>
      <c r="T304" s="859" t="s">
        <v>740</v>
      </c>
      <c r="U304" s="8694" t="s">
        <v>3777</v>
      </c>
      <c r="V304" s="8728"/>
      <c r="W304" s="8729"/>
      <c r="X304" s="8729"/>
      <c r="Y304" s="8729"/>
      <c r="Z304" s="8729"/>
      <c r="AA304" s="8729"/>
      <c r="AB304" s="8729"/>
      <c r="AC304" s="1379"/>
      <c r="AD304" s="1380"/>
      <c r="AE304" s="808"/>
      <c r="AF304" s="808"/>
      <c r="AG304" s="808"/>
      <c r="AH304" s="808"/>
      <c r="AI304" s="808"/>
      <c r="AJ304" s="808"/>
      <c r="AK304" s="461"/>
      <c r="BL304" s="1346"/>
      <c r="BM304" s="1346"/>
    </row>
    <row r="305" spans="1:74" ht="13.5" customHeight="1">
      <c r="A305" s="461"/>
      <c r="B305" s="808"/>
      <c r="C305" s="1362" t="s">
        <v>3676</v>
      </c>
      <c r="D305" s="808" t="s">
        <v>3778</v>
      </c>
      <c r="E305" s="808"/>
      <c r="F305" s="808"/>
      <c r="G305" s="808"/>
      <c r="H305" s="808"/>
      <c r="I305" s="808"/>
      <c r="J305" s="808"/>
      <c r="K305" s="808"/>
      <c r="L305" s="808"/>
      <c r="M305" s="808"/>
      <c r="N305" s="808"/>
      <c r="O305" s="808"/>
      <c r="P305" s="808"/>
      <c r="Q305" s="808"/>
      <c r="R305" s="808"/>
      <c r="S305" s="808"/>
      <c r="T305" s="859" t="s">
        <v>705</v>
      </c>
      <c r="U305" s="8694" t="s">
        <v>3779</v>
      </c>
      <c r="V305" s="8728"/>
      <c r="W305" s="8729"/>
      <c r="X305" s="8729"/>
      <c r="Y305" s="8729"/>
      <c r="Z305" s="8729"/>
      <c r="AA305" s="8729"/>
      <c r="AB305" s="8729"/>
      <c r="AC305" s="1379"/>
      <c r="AD305" s="1380"/>
      <c r="AE305" s="808"/>
      <c r="AF305" s="808"/>
      <c r="AG305" s="808"/>
      <c r="AH305" s="808"/>
      <c r="AI305" s="808"/>
      <c r="AJ305" s="808"/>
      <c r="AK305" s="461"/>
      <c r="BL305" s="1346"/>
      <c r="BM305" s="1346"/>
    </row>
    <row r="306" spans="1:74" ht="13.5" customHeight="1">
      <c r="A306" s="461"/>
      <c r="B306" s="808"/>
      <c r="C306" s="1362" t="s">
        <v>3678</v>
      </c>
      <c r="D306" s="808" t="s">
        <v>3780</v>
      </c>
      <c r="E306" s="808"/>
      <c r="F306" s="808"/>
      <c r="G306" s="808"/>
      <c r="H306" s="808"/>
      <c r="I306" s="808"/>
      <c r="J306" s="808"/>
      <c r="K306" s="808"/>
      <c r="L306" s="808"/>
      <c r="M306" s="808"/>
      <c r="N306" s="808"/>
      <c r="O306" s="808"/>
      <c r="P306" s="808"/>
      <c r="Q306" s="808"/>
      <c r="R306" s="808"/>
      <c r="S306" s="808"/>
      <c r="T306" s="859" t="s">
        <v>740</v>
      </c>
      <c r="U306" s="8694" t="s">
        <v>3781</v>
      </c>
      <c r="V306" s="8728"/>
      <c r="W306" s="8729"/>
      <c r="X306" s="8729"/>
      <c r="Y306" s="8729"/>
      <c r="Z306" s="8729"/>
      <c r="AA306" s="8729"/>
      <c r="AB306" s="8729"/>
      <c r="AC306" s="1379"/>
      <c r="AD306" s="1380"/>
      <c r="AE306" s="808"/>
      <c r="AF306" s="808"/>
      <c r="AG306" s="808"/>
      <c r="AH306" s="808"/>
      <c r="AI306" s="808"/>
      <c r="AJ306" s="808"/>
      <c r="AK306" s="461"/>
      <c r="BL306" s="1346"/>
      <c r="BM306" s="1346"/>
    </row>
    <row r="307" spans="1:74" ht="13.5" customHeight="1">
      <c r="A307" s="461"/>
      <c r="B307" s="808"/>
      <c r="C307" s="1362" t="s">
        <v>3782</v>
      </c>
      <c r="D307" s="808" t="s">
        <v>3783</v>
      </c>
      <c r="E307" s="808"/>
      <c r="F307" s="808"/>
      <c r="G307" s="808"/>
      <c r="H307" s="808"/>
      <c r="I307" s="808"/>
      <c r="J307" s="808"/>
      <c r="K307" s="808"/>
      <c r="L307" s="808"/>
      <c r="M307" s="808"/>
      <c r="N307" s="808"/>
      <c r="O307" s="8750"/>
      <c r="P307" s="8751"/>
      <c r="Q307" s="8751"/>
      <c r="R307" s="8751"/>
      <c r="S307" s="8751"/>
      <c r="T307" s="808"/>
      <c r="U307" s="8794"/>
      <c r="V307" s="8806"/>
      <c r="W307" s="8011"/>
      <c r="X307" s="8731"/>
      <c r="Y307" s="8731"/>
      <c r="Z307" s="8731"/>
      <c r="AA307" s="8731"/>
      <c r="AB307" s="8730"/>
      <c r="AC307" s="1379"/>
      <c r="AD307" s="1380"/>
      <c r="AE307" s="808"/>
      <c r="AF307" s="808"/>
      <c r="AG307" s="808"/>
      <c r="AH307" s="808"/>
      <c r="AI307" s="808"/>
      <c r="AJ307" s="808"/>
      <c r="AK307" s="461"/>
      <c r="BL307" s="1346"/>
      <c r="BM307" s="1346"/>
    </row>
    <row r="308" spans="1:74" ht="13.5" customHeight="1">
      <c r="A308" s="461"/>
      <c r="B308" s="808"/>
      <c r="C308" s="808"/>
      <c r="D308" s="8750"/>
      <c r="E308" s="8751"/>
      <c r="F308" s="8751"/>
      <c r="G308" s="8751"/>
      <c r="H308" s="8751"/>
      <c r="I308" s="8751"/>
      <c r="J308" s="8751"/>
      <c r="K308" s="8751"/>
      <c r="L308" s="8751"/>
      <c r="M308" s="8751"/>
      <c r="N308" s="8751"/>
      <c r="O308" s="8751"/>
      <c r="P308" s="8751"/>
      <c r="Q308" s="8751"/>
      <c r="R308" s="8751"/>
      <c r="S308" s="8751"/>
      <c r="T308" s="808"/>
      <c r="U308" s="8694" t="s">
        <v>3784</v>
      </c>
      <c r="V308" s="8728"/>
      <c r="W308" s="8804"/>
      <c r="X308" s="8729"/>
      <c r="Y308" s="8729"/>
      <c r="Z308" s="8729"/>
      <c r="AA308" s="8729"/>
      <c r="AB308" s="8805"/>
      <c r="AC308" s="1379"/>
      <c r="AD308" s="1380"/>
      <c r="AE308" s="808"/>
      <c r="AF308" s="808"/>
      <c r="AG308" s="808"/>
      <c r="AH308" s="808"/>
      <c r="AI308" s="808"/>
      <c r="AJ308" s="808"/>
      <c r="AK308" s="461"/>
      <c r="BL308" s="1346"/>
      <c r="BM308" s="1346"/>
    </row>
    <row r="309" spans="1:74" ht="13.5" customHeight="1">
      <c r="A309" s="461"/>
      <c r="B309" s="808"/>
      <c r="C309" s="808"/>
      <c r="D309" s="808"/>
      <c r="E309" s="808"/>
      <c r="F309" s="808"/>
      <c r="G309" s="808"/>
      <c r="H309" s="808"/>
      <c r="I309" s="808"/>
      <c r="J309" s="808"/>
      <c r="K309" s="808"/>
      <c r="L309" s="808"/>
      <c r="M309" s="808"/>
      <c r="N309" s="808"/>
      <c r="O309" s="808"/>
      <c r="P309" s="808"/>
      <c r="Q309" s="808"/>
      <c r="R309" s="808"/>
      <c r="S309" s="808"/>
      <c r="T309" s="808"/>
      <c r="U309" s="808"/>
      <c r="V309" s="808"/>
      <c r="W309" s="808"/>
      <c r="X309" s="808"/>
      <c r="Y309" s="808"/>
      <c r="Z309" s="808"/>
      <c r="AA309" s="808"/>
      <c r="AB309" s="808"/>
      <c r="AC309" s="8011"/>
      <c r="AD309" s="8730"/>
      <c r="AE309" s="8011"/>
      <c r="AF309" s="8731"/>
      <c r="AG309" s="8731"/>
      <c r="AH309" s="8731"/>
      <c r="AI309" s="8731"/>
      <c r="AJ309" s="8731"/>
      <c r="AK309" s="461"/>
      <c r="BL309" s="1346"/>
      <c r="BM309" s="1346"/>
    </row>
    <row r="310" spans="1:74" ht="15" customHeight="1">
      <c r="A310" s="461"/>
      <c r="B310" s="808"/>
      <c r="C310" s="1362" t="s">
        <v>3785</v>
      </c>
      <c r="D310" s="2112" t="s">
        <v>3786</v>
      </c>
      <c r="E310" s="808"/>
      <c r="F310" s="808"/>
      <c r="G310" s="808"/>
      <c r="H310" s="808"/>
      <c r="I310" s="808"/>
      <c r="J310" s="808"/>
      <c r="K310" s="808"/>
      <c r="L310" s="808"/>
      <c r="M310" s="808"/>
      <c r="N310" s="808"/>
      <c r="O310" s="808"/>
      <c r="P310" s="808"/>
      <c r="Q310" s="808"/>
      <c r="R310" s="808"/>
      <c r="S310" s="808"/>
      <c r="T310" s="808"/>
      <c r="U310" s="808"/>
      <c r="V310" s="808"/>
      <c r="W310" s="808"/>
      <c r="X310" s="808"/>
      <c r="Y310" s="808"/>
      <c r="Z310" s="808"/>
      <c r="AA310" s="808"/>
      <c r="AB310" s="859" t="s">
        <v>2163</v>
      </c>
      <c r="AC310" s="8694" t="s">
        <v>3787</v>
      </c>
      <c r="AD310" s="8728"/>
      <c r="AE310" s="8807">
        <f>IF(ISERROR(SUM(W302:W308)),"",SUM(W302:W308))</f>
        <v>0</v>
      </c>
      <c r="AF310" s="8807"/>
      <c r="AG310" s="8807"/>
      <c r="AH310" s="8807"/>
      <c r="AI310" s="8807"/>
      <c r="AJ310" s="8807"/>
      <c r="AK310" s="461"/>
      <c r="BL310" s="1346"/>
      <c r="BM310" s="1346"/>
    </row>
    <row r="311" spans="1:74" ht="15" customHeight="1">
      <c r="A311" s="461"/>
      <c r="B311" s="808"/>
      <c r="C311" s="1362" t="s">
        <v>3788</v>
      </c>
      <c r="D311" s="2112" t="s">
        <v>3789</v>
      </c>
      <c r="E311" s="808"/>
      <c r="F311" s="808"/>
      <c r="G311" s="808"/>
      <c r="H311" s="808"/>
      <c r="I311" s="808"/>
      <c r="J311" s="808"/>
      <c r="K311" s="808"/>
      <c r="L311" s="808"/>
      <c r="M311" s="808"/>
      <c r="N311" s="808"/>
      <c r="O311" s="808"/>
      <c r="P311" s="808"/>
      <c r="Q311" s="407"/>
      <c r="R311" s="8749"/>
      <c r="S311" s="8749"/>
      <c r="T311" s="8749"/>
      <c r="U311" s="8749"/>
      <c r="V311" s="8749"/>
      <c r="W311" s="8749"/>
      <c r="X311" s="8749"/>
      <c r="Y311" s="8749"/>
      <c r="Z311" s="8749"/>
      <c r="AA311" s="8749"/>
      <c r="AB311" s="808"/>
      <c r="AC311" s="8011"/>
      <c r="AD311" s="8730"/>
      <c r="AE311" s="8011"/>
      <c r="AF311" s="8731"/>
      <c r="AG311" s="8731"/>
      <c r="AH311" s="8731"/>
      <c r="AI311" s="8731"/>
      <c r="AJ311" s="8731"/>
      <c r="AK311" s="461"/>
      <c r="BL311" s="1346"/>
      <c r="BM311" s="1346"/>
    </row>
    <row r="312" spans="1:74" ht="15" customHeight="1">
      <c r="A312" s="461"/>
      <c r="B312" s="808"/>
      <c r="C312" s="808"/>
      <c r="D312" s="8750"/>
      <c r="E312" s="8803"/>
      <c r="F312" s="8803"/>
      <c r="G312" s="8803"/>
      <c r="H312" s="8803"/>
      <c r="I312" s="8803"/>
      <c r="J312" s="8803"/>
      <c r="K312" s="8803"/>
      <c r="L312" s="8803"/>
      <c r="M312" s="8803"/>
      <c r="N312" s="8803"/>
      <c r="O312" s="8803"/>
      <c r="P312" s="8803"/>
      <c r="Q312" s="8803"/>
      <c r="R312" s="8803"/>
      <c r="S312" s="8803"/>
      <c r="T312" s="8803"/>
      <c r="U312" s="8803"/>
      <c r="V312" s="8803"/>
      <c r="W312" s="8803"/>
      <c r="X312" s="8803"/>
      <c r="Y312" s="8803"/>
      <c r="Z312" s="8803"/>
      <c r="AA312" s="8803"/>
      <c r="AB312" s="808"/>
      <c r="AC312" s="8694">
        <v>23</v>
      </c>
      <c r="AD312" s="8728"/>
      <c r="AE312" s="8729"/>
      <c r="AF312" s="8729"/>
      <c r="AG312" s="8729"/>
      <c r="AH312" s="8729"/>
      <c r="AI312" s="8729"/>
      <c r="AJ312" s="8729"/>
      <c r="AK312" s="461"/>
      <c r="BL312" s="1346"/>
      <c r="BM312" s="1346"/>
    </row>
    <row r="313" spans="1:74" ht="15" customHeight="1">
      <c r="A313" s="461"/>
      <c r="B313" s="808"/>
      <c r="C313" s="808"/>
      <c r="D313" s="808"/>
      <c r="E313" s="808"/>
      <c r="F313" s="808"/>
      <c r="G313" s="808"/>
      <c r="H313" s="808"/>
      <c r="I313" s="808"/>
      <c r="J313" s="808"/>
      <c r="K313" s="808"/>
      <c r="L313" s="808"/>
      <c r="M313" s="808"/>
      <c r="N313" s="808"/>
      <c r="O313" s="808"/>
      <c r="P313" s="808"/>
      <c r="Q313" s="808"/>
      <c r="R313" s="808"/>
      <c r="S313" s="808"/>
      <c r="T313" s="808"/>
      <c r="U313" s="808"/>
      <c r="V313" s="808"/>
      <c r="W313" s="808"/>
      <c r="X313" s="808"/>
      <c r="Y313" s="808"/>
      <c r="Z313" s="808"/>
      <c r="AA313" s="808"/>
      <c r="AB313" s="808"/>
      <c r="AC313" s="8794"/>
      <c r="AD313" s="8806"/>
      <c r="AE313" s="8011"/>
      <c r="AF313" s="8731"/>
      <c r="AG313" s="8731"/>
      <c r="AH313" s="8731"/>
      <c r="AI313" s="8731"/>
      <c r="AJ313" s="8731"/>
      <c r="AK313" s="461"/>
      <c r="BL313" s="1346"/>
      <c r="BM313" s="1346"/>
    </row>
    <row r="314" spans="1:74" ht="15" customHeight="1">
      <c r="A314" s="461"/>
      <c r="B314" s="808"/>
      <c r="C314" s="1362" t="s">
        <v>3790</v>
      </c>
      <c r="D314" s="2112" t="s">
        <v>3791</v>
      </c>
      <c r="E314" s="808"/>
      <c r="F314" s="808"/>
      <c r="G314" s="808"/>
      <c r="H314" s="808"/>
      <c r="I314" s="808"/>
      <c r="J314" s="808"/>
      <c r="K314" s="808"/>
      <c r="L314" s="808"/>
      <c r="M314" s="808"/>
      <c r="N314" s="808"/>
      <c r="O314" s="808"/>
      <c r="P314" s="808"/>
      <c r="Q314" s="808"/>
      <c r="R314" s="808"/>
      <c r="S314" s="808"/>
      <c r="T314" s="808"/>
      <c r="U314" s="808"/>
      <c r="V314" s="808"/>
      <c r="W314" s="808"/>
      <c r="X314" s="808"/>
      <c r="Y314" s="808"/>
      <c r="Z314" s="808"/>
      <c r="AA314" s="808"/>
      <c r="AB314" s="859" t="s">
        <v>740</v>
      </c>
      <c r="AC314" s="8694">
        <v>24</v>
      </c>
      <c r="AD314" s="8728"/>
      <c r="AE314" s="8807">
        <f>IF(ISERROR(SUM(AE287,AE289,AE291,AE294,AE296,AE298,AE300,AE310,AE312)),"",SUM(AE287,AE289,AE291,AE294,AE296,AE298,AE300,AE310,AE312))</f>
        <v>0</v>
      </c>
      <c r="AF314" s="8807"/>
      <c r="AG314" s="8807"/>
      <c r="AH314" s="8807"/>
      <c r="AI314" s="8807"/>
      <c r="AJ314" s="8807"/>
      <c r="AK314" s="461"/>
      <c r="BL314" s="1346"/>
      <c r="BM314" s="1346"/>
    </row>
    <row r="315" spans="1:74" ht="15" customHeight="1">
      <c r="A315" s="461"/>
      <c r="B315" s="808"/>
      <c r="C315" s="808"/>
      <c r="D315" s="808"/>
      <c r="E315" s="808"/>
      <c r="F315" s="808"/>
      <c r="G315" s="808"/>
      <c r="H315" s="808"/>
      <c r="I315" s="808"/>
      <c r="J315" s="808"/>
      <c r="K315" s="808"/>
      <c r="L315" s="808"/>
      <c r="M315" s="808"/>
      <c r="N315" s="808"/>
      <c r="O315" s="808"/>
      <c r="P315" s="808"/>
      <c r="Q315" s="808"/>
      <c r="R315" s="808"/>
      <c r="S315" s="808"/>
      <c r="T315" s="808"/>
      <c r="U315" s="808"/>
      <c r="V315" s="808"/>
      <c r="W315" s="808"/>
      <c r="X315" s="808"/>
      <c r="Y315" s="808"/>
      <c r="Z315" s="808"/>
      <c r="AA315" s="808"/>
      <c r="AB315" s="808"/>
      <c r="AC315" s="8794"/>
      <c r="AD315" s="8806"/>
      <c r="AE315" s="8011"/>
      <c r="AF315" s="8731"/>
      <c r="AG315" s="8731"/>
      <c r="AH315" s="8731"/>
      <c r="AI315" s="8731"/>
      <c r="AJ315" s="8731"/>
      <c r="AK315" s="461"/>
      <c r="BL315" s="1346"/>
      <c r="BM315" s="1346"/>
    </row>
    <row r="316" spans="1:74" ht="15" customHeight="1">
      <c r="A316" s="461"/>
      <c r="B316" s="808"/>
      <c r="C316" s="1362" t="s">
        <v>3792</v>
      </c>
      <c r="D316" s="2112" t="s">
        <v>3793</v>
      </c>
      <c r="E316" s="808"/>
      <c r="F316" s="808"/>
      <c r="G316" s="808"/>
      <c r="H316" s="808"/>
      <c r="I316" s="808"/>
      <c r="J316" s="808"/>
      <c r="K316" s="808"/>
      <c r="L316" s="808"/>
      <c r="M316" s="808"/>
      <c r="N316" s="808"/>
      <c r="O316" s="808"/>
      <c r="P316" s="808"/>
      <c r="Q316" s="808"/>
      <c r="R316" s="808"/>
      <c r="S316" s="808"/>
      <c r="T316" s="808"/>
      <c r="U316" s="808"/>
      <c r="V316" s="808"/>
      <c r="W316" s="808"/>
      <c r="X316" s="808"/>
      <c r="Y316" s="808"/>
      <c r="Z316" s="808"/>
      <c r="AA316" s="808"/>
      <c r="AB316" s="808"/>
      <c r="AC316" s="8694">
        <v>25</v>
      </c>
      <c r="AD316" s="8728"/>
      <c r="AE316" s="8729"/>
      <c r="AF316" s="8729"/>
      <c r="AG316" s="8729"/>
      <c r="AH316" s="8729"/>
      <c r="AI316" s="8729"/>
      <c r="AJ316" s="8729"/>
      <c r="AK316" s="461"/>
      <c r="BL316" s="1346"/>
      <c r="BM316" s="1346"/>
    </row>
    <row r="317" spans="1:74" ht="15" customHeight="1" thickBot="1">
      <c r="A317" s="461"/>
      <c r="B317" s="808"/>
      <c r="C317" s="1362" t="s">
        <v>3794</v>
      </c>
      <c r="D317" s="2112" t="s">
        <v>3795</v>
      </c>
      <c r="E317" s="808"/>
      <c r="F317" s="808"/>
      <c r="G317" s="808"/>
      <c r="H317" s="808"/>
      <c r="I317" s="808"/>
      <c r="J317" s="808"/>
      <c r="K317" s="808"/>
      <c r="L317" s="808"/>
      <c r="M317" s="808"/>
      <c r="N317" s="808"/>
      <c r="O317" s="808"/>
      <c r="P317" s="808"/>
      <c r="Q317" s="808"/>
      <c r="R317" s="808"/>
      <c r="S317" s="808"/>
      <c r="T317" s="808"/>
      <c r="U317" s="899"/>
      <c r="V317" s="899"/>
      <c r="W317" s="1145" t="str">
        <f>"This is your "&amp;TaxYear</f>
        <v>This is your 2023</v>
      </c>
      <c r="X317" s="808"/>
      <c r="Y317" s="808"/>
      <c r="Z317" s="808"/>
      <c r="AA317" s="808"/>
      <c r="AB317" s="808"/>
      <c r="AC317" s="8794"/>
      <c r="AD317" s="8806"/>
      <c r="AE317" s="8011"/>
      <c r="AF317" s="8731"/>
      <c r="AG317" s="8731"/>
      <c r="AH317" s="8731"/>
      <c r="AI317" s="8731"/>
      <c r="AJ317" s="8731"/>
      <c r="AK317" s="461"/>
      <c r="AM317" s="1376" t="s">
        <v>867</v>
      </c>
      <c r="BL317" s="1346"/>
      <c r="BM317" s="1346"/>
    </row>
    <row r="318" spans="1:74" ht="15" customHeight="1" thickBot="1">
      <c r="A318" s="461"/>
      <c r="B318" s="808"/>
      <c r="C318" s="1362"/>
      <c r="D318" s="1145" t="s">
        <v>3796</v>
      </c>
      <c r="E318" s="808"/>
      <c r="F318" s="808"/>
      <c r="G318" s="808"/>
      <c r="H318" s="808"/>
      <c r="I318" s="808"/>
      <c r="J318" s="808"/>
      <c r="K318" s="808"/>
      <c r="L318" s="808"/>
      <c r="M318" s="808"/>
      <c r="N318" s="808"/>
      <c r="O318" s="808"/>
      <c r="P318" s="808"/>
      <c r="Q318" s="808"/>
      <c r="R318" s="808"/>
      <c r="S318" s="808"/>
      <c r="T318" s="808"/>
      <c r="U318" s="808"/>
      <c r="V318" s="808"/>
      <c r="W318" s="808"/>
      <c r="X318" s="808"/>
      <c r="Y318" s="808"/>
      <c r="Z318" s="808"/>
      <c r="AA318" s="954" t="s">
        <v>744</v>
      </c>
      <c r="AB318" s="1387"/>
      <c r="AC318" s="8818">
        <v>26</v>
      </c>
      <c r="AD318" s="8819"/>
      <c r="AE318" s="8807">
        <f>IF(AM318&lt;&gt;"",ROUND(AM318,0),ROUND(SUM(AE314,-AE316),0))</f>
        <v>0</v>
      </c>
      <c r="AF318" s="8807"/>
      <c r="AG318" s="8807"/>
      <c r="AH318" s="8807"/>
      <c r="AI318" s="8807"/>
      <c r="AJ318" s="8807"/>
      <c r="AK318" s="461"/>
      <c r="AM318" s="1407"/>
      <c r="AO318" s="4669"/>
      <c r="BL318" s="1346"/>
      <c r="BM318" s="1346"/>
    </row>
    <row r="319" spans="1:74" ht="18.75" thickTop="1">
      <c r="A319" s="461"/>
      <c r="B319" s="963"/>
      <c r="C319" s="963"/>
      <c r="D319" s="963"/>
      <c r="E319" s="963"/>
      <c r="F319" s="963"/>
      <c r="G319" s="963"/>
      <c r="H319" s="963"/>
      <c r="I319" s="963"/>
      <c r="J319" s="963"/>
      <c r="K319" s="963"/>
      <c r="L319" s="963"/>
      <c r="M319" s="963"/>
      <c r="N319" s="963"/>
      <c r="O319" s="963"/>
      <c r="P319" s="963"/>
      <c r="Q319" s="963"/>
      <c r="R319" s="963"/>
      <c r="S319" s="963"/>
      <c r="T319" s="963"/>
      <c r="U319" s="963"/>
      <c r="V319" s="963"/>
      <c r="W319" s="963"/>
      <c r="X319" s="963"/>
      <c r="Y319" s="963"/>
      <c r="Z319" s="963"/>
      <c r="AA319" s="963"/>
      <c r="AB319" s="963"/>
      <c r="AC319" s="963"/>
      <c r="AD319" s="963"/>
      <c r="AE319" s="963"/>
      <c r="AF319" s="963"/>
      <c r="AG319" s="963"/>
      <c r="AH319" s="2955" t="s">
        <v>3797</v>
      </c>
      <c r="AI319" s="2956" t="str">
        <f>" ("&amp;TaxYear&amp;")"</f>
        <v xml:space="preserve"> (2023)</v>
      </c>
      <c r="AJ319" s="1381"/>
      <c r="AK319" s="461"/>
      <c r="AO319" s="1352"/>
      <c r="AP319" s="1353"/>
      <c r="BL319" s="1346"/>
      <c r="BM319" s="1346"/>
      <c r="BO319" s="1346"/>
      <c r="BP319" s="1346"/>
      <c r="BQ319" s="1346"/>
      <c r="BR319" s="1346"/>
      <c r="BS319" s="1346"/>
      <c r="BT319" s="1346"/>
      <c r="BU319" s="1346"/>
      <c r="BV319" s="1346"/>
    </row>
    <row r="320" spans="1:74" ht="18.75" thickBot="1">
      <c r="A320" s="461"/>
      <c r="B320" s="5057" t="str">
        <f>"Form 2555 ("&amp;TaxYear&amp;")"</f>
        <v>Form 2555 (2023)</v>
      </c>
      <c r="C320" s="964"/>
      <c r="D320" s="964"/>
      <c r="E320" s="964"/>
      <c r="F320" s="964"/>
      <c r="G320" s="964"/>
      <c r="H320" s="964"/>
      <c r="I320" s="964"/>
      <c r="J320" s="964"/>
      <c r="K320" s="964"/>
      <c r="L320" s="964"/>
      <c r="M320" s="964"/>
      <c r="N320" s="964"/>
      <c r="O320" s="964"/>
      <c r="P320" s="964"/>
      <c r="Q320" s="964"/>
      <c r="R320" s="964"/>
      <c r="S320" s="964"/>
      <c r="T320" s="964"/>
      <c r="U320" s="964"/>
      <c r="V320" s="964"/>
      <c r="W320" s="964"/>
      <c r="X320" s="964"/>
      <c r="Y320" s="964"/>
      <c r="Z320" s="964"/>
      <c r="AA320" s="964"/>
      <c r="AB320" s="964"/>
      <c r="AC320" s="964"/>
      <c r="AD320" s="964"/>
      <c r="AE320" s="964"/>
      <c r="AF320" s="964"/>
      <c r="AG320" s="964"/>
      <c r="AH320" s="964"/>
      <c r="AI320" s="1368" t="s">
        <v>2387</v>
      </c>
      <c r="AJ320" s="1369">
        <v>3</v>
      </c>
      <c r="AK320" s="461"/>
      <c r="AO320" s="1352"/>
      <c r="AP320" s="1353"/>
      <c r="BL320" s="1346"/>
      <c r="BM320" s="1346"/>
      <c r="BO320" s="1346"/>
      <c r="BP320" s="1346"/>
      <c r="BQ320" s="1346"/>
      <c r="BR320" s="1346"/>
      <c r="BS320" s="1346"/>
      <c r="BT320" s="1346"/>
      <c r="BU320" s="1346"/>
      <c r="BV320" s="1346"/>
    </row>
    <row r="321" spans="1:65" ht="20.25" customHeight="1" thickTop="1">
      <c r="A321" s="461"/>
      <c r="B321" s="8698" t="s">
        <v>2425</v>
      </c>
      <c r="C321" s="6435"/>
      <c r="D321" s="4552" t="s">
        <v>3745</v>
      </c>
      <c r="E321" s="4553"/>
      <c r="F321" s="4553"/>
      <c r="G321" s="4553"/>
      <c r="H321" s="4553"/>
      <c r="I321" s="4553"/>
      <c r="J321" s="4553"/>
      <c r="K321" s="4553"/>
      <c r="L321" s="4553"/>
      <c r="M321" s="4553"/>
      <c r="N321" s="4553"/>
      <c r="O321" s="4553"/>
      <c r="P321" s="4553"/>
      <c r="Q321" s="4553"/>
      <c r="R321" s="4553"/>
      <c r="S321" s="4553"/>
      <c r="T321" s="4553"/>
      <c r="U321" s="4553"/>
      <c r="V321" s="4553"/>
      <c r="W321" s="4553"/>
      <c r="X321" s="4553"/>
      <c r="Y321" s="4553"/>
      <c r="Z321" s="4553"/>
      <c r="AA321" s="4553"/>
      <c r="AB321" s="4553"/>
      <c r="AC321" s="4553"/>
      <c r="AD321" s="4553"/>
      <c r="AE321" s="4553"/>
      <c r="AF321" s="4553"/>
      <c r="AG321" s="4553"/>
      <c r="AH321" s="4553"/>
      <c r="AI321" s="4553"/>
      <c r="AJ321" s="4553"/>
      <c r="AK321" s="461"/>
    </row>
    <row r="322" spans="1:65" ht="15" customHeight="1">
      <c r="A322" s="461"/>
      <c r="B322" s="808"/>
      <c r="C322" s="808"/>
      <c r="D322" s="808"/>
      <c r="E322" s="808"/>
      <c r="F322" s="808"/>
      <c r="G322" s="808"/>
      <c r="H322" s="808"/>
      <c r="I322" s="808"/>
      <c r="J322" s="808"/>
      <c r="K322" s="808"/>
      <c r="L322" s="808"/>
      <c r="M322" s="808"/>
      <c r="N322" s="808"/>
      <c r="O322" s="808"/>
      <c r="P322" s="808"/>
      <c r="Q322" s="808"/>
      <c r="R322" s="808"/>
      <c r="S322" s="808"/>
      <c r="T322" s="808"/>
      <c r="U322" s="808"/>
      <c r="V322" s="808"/>
      <c r="W322" s="808"/>
      <c r="X322" s="808"/>
      <c r="Y322" s="808"/>
      <c r="Z322" s="808"/>
      <c r="AA322" s="808"/>
      <c r="AB322" s="808"/>
      <c r="AC322" s="7933"/>
      <c r="AD322" s="8809"/>
      <c r="AE322" s="7933"/>
      <c r="AF322" s="8802"/>
      <c r="AG322" s="8802"/>
      <c r="AH322" s="8802"/>
      <c r="AI322" s="8802"/>
      <c r="AJ322" s="8802"/>
      <c r="AK322" s="461"/>
      <c r="BL322" s="1346"/>
      <c r="BM322" s="1346"/>
    </row>
    <row r="323" spans="1:65" ht="15" customHeight="1">
      <c r="A323" s="461"/>
      <c r="B323" s="808"/>
      <c r="C323" s="1362" t="s">
        <v>3798</v>
      </c>
      <c r="D323" s="2112" t="s">
        <v>3799</v>
      </c>
      <c r="E323" s="808"/>
      <c r="F323" s="808"/>
      <c r="G323" s="808"/>
      <c r="H323" s="808"/>
      <c r="I323" s="808"/>
      <c r="J323" s="808"/>
      <c r="K323" s="808"/>
      <c r="L323" s="808"/>
      <c r="M323" s="808"/>
      <c r="N323" s="808"/>
      <c r="O323" s="808"/>
      <c r="P323" s="808"/>
      <c r="Q323" s="808"/>
      <c r="R323" s="808"/>
      <c r="S323" s="808"/>
      <c r="T323" s="808"/>
      <c r="U323" s="808"/>
      <c r="V323" s="808"/>
      <c r="W323" s="808"/>
      <c r="X323" s="808"/>
      <c r="Y323" s="808"/>
      <c r="Z323" s="808"/>
      <c r="AA323" s="808"/>
      <c r="AB323" s="859" t="s">
        <v>744</v>
      </c>
      <c r="AC323" s="8694">
        <v>27</v>
      </c>
      <c r="AD323" s="8728"/>
      <c r="AE323" s="8842">
        <f>ForeignEarnedIncome2</f>
        <v>0</v>
      </c>
      <c r="AF323" s="8842"/>
      <c r="AG323" s="8842"/>
      <c r="AH323" s="8842"/>
      <c r="AI323" s="8842"/>
      <c r="AJ323" s="8842"/>
      <c r="AK323" s="461"/>
      <c r="AO323" s="5910">
        <f>IF(AE318="",0,AE318)</f>
        <v>0</v>
      </c>
      <c r="BL323" s="1346"/>
      <c r="BM323" s="1346"/>
    </row>
    <row r="324" spans="1:65" ht="16.5" customHeight="1" thickBot="1">
      <c r="A324" s="461"/>
      <c r="B324" s="808"/>
      <c r="C324" s="808"/>
      <c r="D324" s="2645" t="s">
        <v>3800</v>
      </c>
      <c r="E324" s="808"/>
      <c r="F324" s="808"/>
      <c r="G324" s="808"/>
      <c r="H324" s="808"/>
      <c r="I324" s="808"/>
      <c r="J324" s="808"/>
      <c r="K324" s="808"/>
      <c r="L324" s="808"/>
      <c r="M324" s="808"/>
      <c r="N324" s="808"/>
      <c r="O324" s="808"/>
      <c r="P324" s="808"/>
      <c r="Q324" s="808"/>
      <c r="R324" s="808"/>
      <c r="S324" s="808"/>
      <c r="T324" s="808"/>
      <c r="U324" s="808"/>
      <c r="V324" s="808"/>
      <c r="W324" s="808"/>
      <c r="X324" s="808"/>
      <c r="Y324" s="808"/>
      <c r="Z324" s="808"/>
      <c r="AA324" s="808"/>
      <c r="AB324" s="808"/>
      <c r="AC324" s="808"/>
      <c r="AD324" s="808"/>
      <c r="AE324" s="808"/>
      <c r="AF324" s="808"/>
      <c r="AG324" s="808"/>
      <c r="AH324" s="808"/>
      <c r="AI324" s="808"/>
      <c r="AJ324" s="808"/>
      <c r="AK324" s="461"/>
      <c r="AO324" s="5910">
        <f>SUM(ForeignEarnedIncome1,ForeignEarnedIncome2)</f>
        <v>0</v>
      </c>
      <c r="BL324" s="1346"/>
      <c r="BM324" s="1346"/>
    </row>
    <row r="325" spans="1:65" ht="15" customHeight="1" thickBot="1">
      <c r="A325" s="461"/>
      <c r="B325" s="900"/>
      <c r="C325" s="808"/>
      <c r="D325" s="810"/>
      <c r="E325" s="2112" t="s">
        <v>3801</v>
      </c>
      <c r="F325" s="808"/>
      <c r="G325" s="808"/>
      <c r="H325" s="808"/>
      <c r="I325" s="808"/>
      <c r="J325" s="808"/>
      <c r="K325" s="901"/>
      <c r="L325" s="808"/>
      <c r="M325" s="808"/>
      <c r="N325" s="808"/>
      <c r="O325" s="808"/>
      <c r="P325" s="808"/>
      <c r="Q325" s="808"/>
      <c r="R325" s="808"/>
      <c r="S325" s="808"/>
      <c r="T325" s="808"/>
      <c r="U325" s="808"/>
      <c r="V325" s="808"/>
      <c r="W325" s="808"/>
      <c r="X325" s="808"/>
      <c r="Y325" s="808"/>
      <c r="Z325" s="808"/>
      <c r="AA325" s="808"/>
      <c r="AB325" s="808"/>
      <c r="AC325" s="808"/>
      <c r="AD325" s="808"/>
      <c r="AE325" s="808"/>
      <c r="AF325" s="808"/>
      <c r="AG325" s="808"/>
      <c r="AH325" s="808"/>
      <c r="AI325" s="808"/>
      <c r="AJ325" s="808"/>
      <c r="AK325" s="461"/>
      <c r="AM325" s="4659" t="b">
        <f>(D325&lt;&gt;"")</f>
        <v>0</v>
      </c>
      <c r="BL325" s="1346"/>
      <c r="BM325" s="1346"/>
    </row>
    <row r="326" spans="1:65" ht="4.5" customHeight="1" thickBot="1">
      <c r="A326" s="461"/>
      <c r="B326" s="808"/>
      <c r="C326" s="808"/>
      <c r="D326" s="808"/>
      <c r="E326" s="808"/>
      <c r="F326" s="808"/>
      <c r="G326" s="808"/>
      <c r="H326" s="808"/>
      <c r="I326" s="808"/>
      <c r="J326" s="808"/>
      <c r="K326" s="808"/>
      <c r="L326" s="808"/>
      <c r="M326" s="808"/>
      <c r="N326" s="808"/>
      <c r="O326" s="808"/>
      <c r="P326" s="808"/>
      <c r="Q326" s="808"/>
      <c r="R326" s="808"/>
      <c r="S326" s="808"/>
      <c r="T326" s="808"/>
      <c r="U326" s="808"/>
      <c r="V326" s="808"/>
      <c r="W326" s="808"/>
      <c r="X326" s="808"/>
      <c r="Y326" s="808"/>
      <c r="Z326" s="808"/>
      <c r="AA326" s="808"/>
      <c r="AB326" s="808"/>
      <c r="AC326" s="808"/>
      <c r="AD326" s="808"/>
      <c r="AE326" s="808"/>
      <c r="AF326" s="808"/>
      <c r="AG326" s="808"/>
      <c r="AH326" s="808"/>
      <c r="AI326" s="808"/>
      <c r="AJ326" s="808"/>
      <c r="AK326" s="461"/>
      <c r="BL326" s="1346"/>
      <c r="BM326" s="1346"/>
    </row>
    <row r="327" spans="1:65" ht="15" customHeight="1" thickBot="1">
      <c r="A327" s="461"/>
      <c r="B327" s="900"/>
      <c r="C327" s="808"/>
      <c r="D327" s="1413" t="str">
        <f>IF(D325="","X","")</f>
        <v>X</v>
      </c>
      <c r="E327" s="2112" t="s">
        <v>3802</v>
      </c>
      <c r="F327" s="808"/>
      <c r="G327" s="808"/>
      <c r="H327" s="808"/>
      <c r="I327" s="808"/>
      <c r="J327" s="808"/>
      <c r="K327" s="808"/>
      <c r="L327" s="808"/>
      <c r="M327" s="808"/>
      <c r="N327" s="808"/>
      <c r="O327" s="808"/>
      <c r="P327" s="808"/>
      <c r="Q327" s="808"/>
      <c r="R327" s="808"/>
      <c r="S327" s="808"/>
      <c r="T327" s="808"/>
      <c r="U327" s="808"/>
      <c r="V327" s="808"/>
      <c r="W327" s="808"/>
      <c r="X327" s="808"/>
      <c r="Y327" s="808"/>
      <c r="Z327" s="808"/>
      <c r="AA327" s="808"/>
      <c r="AB327" s="808"/>
      <c r="AC327" s="808"/>
      <c r="AD327" s="808"/>
      <c r="AE327" s="808"/>
      <c r="AF327" s="808"/>
      <c r="AG327" s="808"/>
      <c r="AH327" s="808"/>
      <c r="AI327" s="808"/>
      <c r="AJ327" s="808"/>
      <c r="AK327" s="461"/>
      <c r="AM327" s="4659" t="b">
        <f>(D327&lt;&gt;"")</f>
        <v>1</v>
      </c>
      <c r="BL327" s="1346"/>
      <c r="BM327" s="1346"/>
    </row>
    <row r="328" spans="1:65" ht="6.75" customHeight="1">
      <c r="A328" s="461"/>
      <c r="B328" s="1330"/>
      <c r="C328" s="1330"/>
      <c r="D328" s="1330"/>
      <c r="E328" s="1330"/>
      <c r="F328" s="1330"/>
      <c r="G328" s="1330"/>
      <c r="H328" s="1330"/>
      <c r="I328" s="1330"/>
      <c r="J328" s="1330"/>
      <c r="K328" s="1330"/>
      <c r="L328" s="1330"/>
      <c r="M328" s="1330"/>
      <c r="N328" s="1330"/>
      <c r="O328" s="1330"/>
      <c r="P328" s="1330"/>
      <c r="Q328" s="1330"/>
      <c r="R328" s="1330"/>
      <c r="S328" s="1330"/>
      <c r="T328" s="1330"/>
      <c r="U328" s="1330"/>
      <c r="V328" s="1330"/>
      <c r="W328" s="1330"/>
      <c r="X328" s="1330"/>
      <c r="Y328" s="1330"/>
      <c r="Z328" s="1330"/>
      <c r="AA328" s="1330"/>
      <c r="AB328" s="1330"/>
      <c r="AC328" s="1330"/>
      <c r="AD328" s="1330"/>
      <c r="AE328" s="1330"/>
      <c r="AF328" s="1330"/>
      <c r="AG328" s="1330"/>
      <c r="AH328" s="1330"/>
      <c r="AI328" s="1330"/>
      <c r="AJ328" s="1330"/>
      <c r="AK328" s="461"/>
    </row>
    <row r="329" spans="1:65" ht="18.75" customHeight="1">
      <c r="A329" s="461"/>
      <c r="B329" s="8698" t="s">
        <v>3803</v>
      </c>
      <c r="C329" s="6435"/>
      <c r="D329" s="1258" t="s">
        <v>3804</v>
      </c>
      <c r="E329" s="4315"/>
      <c r="F329" s="4315"/>
      <c r="G329" s="4315"/>
      <c r="H329" s="4315"/>
      <c r="I329" s="4315"/>
      <c r="J329" s="4315"/>
      <c r="K329" s="4315"/>
      <c r="L329" s="4315"/>
      <c r="M329" s="4315"/>
      <c r="N329" s="4315"/>
      <c r="O329" s="4315"/>
      <c r="P329" s="4315"/>
      <c r="Q329" s="4315"/>
      <c r="R329" s="4315"/>
      <c r="S329" s="4315"/>
      <c r="T329" s="4315"/>
      <c r="U329" s="4315"/>
      <c r="V329" s="4315"/>
      <c r="W329" s="4315"/>
      <c r="X329" s="4315"/>
      <c r="Y329" s="4315"/>
      <c r="Z329" s="4315"/>
      <c r="AA329" s="4315"/>
      <c r="AB329" s="4315"/>
      <c r="AC329" s="4315"/>
      <c r="AD329" s="4315"/>
      <c r="AE329" s="4315"/>
      <c r="AF329" s="4315"/>
      <c r="AG329" s="4315"/>
      <c r="AH329" s="4315"/>
      <c r="AI329" s="4315"/>
      <c r="AJ329" s="4315"/>
      <c r="AK329" s="461"/>
    </row>
    <row r="330" spans="1:65" ht="15" customHeight="1">
      <c r="A330" s="461"/>
      <c r="B330" s="808"/>
      <c r="C330" s="808"/>
      <c r="D330" s="808"/>
      <c r="E330" s="808"/>
      <c r="F330" s="808"/>
      <c r="G330" s="808"/>
      <c r="H330" s="808"/>
      <c r="I330" s="808"/>
      <c r="J330" s="808"/>
      <c r="K330" s="808"/>
      <c r="L330" s="808"/>
      <c r="M330" s="808"/>
      <c r="N330" s="808"/>
      <c r="O330" s="808"/>
      <c r="P330" s="808"/>
      <c r="Q330" s="808"/>
      <c r="R330" s="808"/>
      <c r="S330" s="808"/>
      <c r="T330" s="808"/>
      <c r="U330" s="808"/>
      <c r="V330" s="808"/>
      <c r="W330" s="808"/>
      <c r="X330" s="808"/>
      <c r="Y330" s="808"/>
      <c r="Z330" s="808"/>
      <c r="AA330" s="808"/>
      <c r="AB330" s="808"/>
      <c r="AC330" s="7933"/>
      <c r="AD330" s="8809"/>
      <c r="AE330" s="7933"/>
      <c r="AF330" s="8802"/>
      <c r="AG330" s="8802"/>
      <c r="AH330" s="8802"/>
      <c r="AI330" s="8802"/>
      <c r="AJ330" s="8802"/>
      <c r="AK330" s="461"/>
      <c r="BL330" s="1346"/>
      <c r="BM330" s="1346"/>
    </row>
    <row r="331" spans="1:65" ht="15" customHeight="1">
      <c r="A331" s="461"/>
      <c r="B331" s="808"/>
      <c r="C331" s="1362" t="s">
        <v>3805</v>
      </c>
      <c r="D331" s="2112" t="s">
        <v>3806</v>
      </c>
      <c r="E331" s="808"/>
      <c r="F331" s="808"/>
      <c r="G331" s="808"/>
      <c r="H331" s="808"/>
      <c r="I331" s="808"/>
      <c r="J331" s="808"/>
      <c r="K331" s="808"/>
      <c r="L331" s="808"/>
      <c r="M331" s="808"/>
      <c r="N331" s="808"/>
      <c r="O331" s="808"/>
      <c r="P331" s="808"/>
      <c r="Q331" s="808"/>
      <c r="R331" s="808"/>
      <c r="S331" s="808"/>
      <c r="T331" s="808"/>
      <c r="U331" s="808"/>
      <c r="V331" s="808"/>
      <c r="W331" s="808"/>
      <c r="X331" s="808"/>
      <c r="Y331" s="808"/>
      <c r="Z331" s="808"/>
      <c r="AA331" s="808"/>
      <c r="AB331" s="859" t="s">
        <v>650</v>
      </c>
      <c r="AC331" s="8694">
        <v>28</v>
      </c>
      <c r="AD331" s="8728"/>
      <c r="AE331" s="8729"/>
      <c r="AF331" s="8729"/>
      <c r="AG331" s="8729"/>
      <c r="AH331" s="8729"/>
      <c r="AI331" s="8729"/>
      <c r="AJ331" s="8729"/>
      <c r="AK331" s="461"/>
      <c r="BL331" s="1346"/>
      <c r="BM331" s="1346"/>
    </row>
    <row r="332" spans="1:65" ht="15" customHeight="1">
      <c r="A332" s="461"/>
      <c r="B332" s="808"/>
      <c r="C332" s="1362" t="s">
        <v>3807</v>
      </c>
      <c r="D332" s="892" t="s">
        <v>3808</v>
      </c>
      <c r="E332" s="808"/>
      <c r="F332" s="808"/>
      <c r="G332" s="808"/>
      <c r="H332" s="808"/>
      <c r="I332" s="808"/>
      <c r="J332" s="808"/>
      <c r="K332" s="808"/>
      <c r="L332" s="808"/>
      <c r="M332" s="808"/>
      <c r="N332" s="808"/>
      <c r="O332" s="808"/>
      <c r="P332" s="808"/>
      <c r="Q332" s="808"/>
      <c r="R332" s="808"/>
      <c r="S332" s="808"/>
      <c r="T332" s="8838"/>
      <c r="U332" s="8839"/>
      <c r="V332" s="8839"/>
      <c r="W332" s="8839"/>
      <c r="X332" s="8839"/>
      <c r="Y332" s="8839"/>
      <c r="Z332" s="8839"/>
      <c r="AA332" s="8839"/>
      <c r="AB332" s="808"/>
      <c r="AC332" s="8815"/>
      <c r="AD332" s="8816"/>
      <c r="AE332" s="8011"/>
      <c r="AF332" s="8731"/>
      <c r="AG332" s="8731"/>
      <c r="AH332" s="8731"/>
      <c r="AI332" s="8731"/>
      <c r="AJ332" s="8731"/>
      <c r="AK332" s="461"/>
      <c r="BL332" s="1346"/>
      <c r="BM332" s="1346"/>
    </row>
    <row r="333" spans="1:65" ht="15" customHeight="1" thickBot="1">
      <c r="A333" s="461"/>
      <c r="B333" s="808"/>
      <c r="C333" s="1362" t="s">
        <v>2392</v>
      </c>
      <c r="D333" s="2112" t="s">
        <v>3809</v>
      </c>
      <c r="E333" s="808"/>
      <c r="F333" s="808"/>
      <c r="G333" s="808"/>
      <c r="H333" s="808"/>
      <c r="I333" s="808"/>
      <c r="J333" s="808"/>
      <c r="K333" s="808"/>
      <c r="L333" s="808"/>
      <c r="M333" s="808"/>
      <c r="N333" s="808"/>
      <c r="O333" s="808"/>
      <c r="P333" s="808"/>
      <c r="Q333" s="808"/>
      <c r="R333" s="808"/>
      <c r="S333" s="808"/>
      <c r="T333" s="808"/>
      <c r="U333" s="808"/>
      <c r="V333" s="808"/>
      <c r="W333" s="808"/>
      <c r="X333" s="808"/>
      <c r="Y333" s="808"/>
      <c r="Z333" s="808"/>
      <c r="AA333" s="808"/>
      <c r="AB333" s="859" t="s">
        <v>670</v>
      </c>
      <c r="AC333" s="8694" t="s">
        <v>3810</v>
      </c>
      <c r="AD333" s="8728"/>
      <c r="AE333" s="8729"/>
      <c r="AF333" s="8729"/>
      <c r="AG333" s="8729"/>
      <c r="AH333" s="8729"/>
      <c r="AI333" s="8729"/>
      <c r="AJ333" s="8729"/>
      <c r="AK333" s="461"/>
      <c r="AM333" s="1376" t="s">
        <v>867</v>
      </c>
      <c r="BL333" s="1346"/>
      <c r="BM333" s="1346"/>
    </row>
    <row r="334" spans="1:65" ht="15" customHeight="1" thickBot="1">
      <c r="A334" s="461"/>
      <c r="B334" s="808"/>
      <c r="C334" s="1362" t="s">
        <v>3811</v>
      </c>
      <c r="D334" s="2112" t="s">
        <v>3812</v>
      </c>
      <c r="E334" s="808"/>
      <c r="F334" s="808"/>
      <c r="G334" s="808"/>
      <c r="H334" s="808"/>
      <c r="I334" s="808"/>
      <c r="J334" s="808"/>
      <c r="K334" s="808"/>
      <c r="L334" s="808"/>
      <c r="M334" s="808"/>
      <c r="N334" s="808"/>
      <c r="O334" s="808"/>
      <c r="P334" s="808"/>
      <c r="Q334" s="808"/>
      <c r="R334" s="808"/>
      <c r="S334" s="808"/>
      <c r="T334" s="808"/>
      <c r="U334" s="808"/>
      <c r="V334" s="808"/>
      <c r="W334" s="808"/>
      <c r="X334" s="808"/>
      <c r="Y334" s="808"/>
      <c r="Z334" s="808"/>
      <c r="AA334" s="808"/>
      <c r="AB334" s="859" t="s">
        <v>754</v>
      </c>
      <c r="AC334" s="8694">
        <v>30</v>
      </c>
      <c r="AD334" s="8728"/>
      <c r="AE334" s="8807" t="str">
        <f>IF(AM334&lt;&gt;"",AM334,IF(AM327,"",IF(AE331&lt;&gt;"",MIN(AE333,AE331),0)))</f>
        <v/>
      </c>
      <c r="AF334" s="8807"/>
      <c r="AG334" s="8807"/>
      <c r="AH334" s="8807"/>
      <c r="AI334" s="8807"/>
      <c r="AJ334" s="8807"/>
      <c r="AK334" s="461"/>
      <c r="AM334" s="1407"/>
      <c r="BL334" s="1346"/>
      <c r="BM334" s="1346"/>
    </row>
    <row r="335" spans="1:65" ht="15" customHeight="1" thickBot="1">
      <c r="A335" s="461"/>
      <c r="B335" s="808"/>
      <c r="C335" s="1362" t="s">
        <v>3813</v>
      </c>
      <c r="D335" s="2112" t="str">
        <f>"Number of days in your qualifying period that fall within your "&amp;TaxYear</f>
        <v>Number of days in your qualifying period that fall within your 2023</v>
      </c>
      <c r="E335" s="808"/>
      <c r="F335" s="808"/>
      <c r="G335" s="808"/>
      <c r="H335" s="808"/>
      <c r="I335" s="808"/>
      <c r="J335" s="808"/>
      <c r="K335" s="808"/>
      <c r="L335" s="808"/>
      <c r="M335" s="808"/>
      <c r="N335" s="808"/>
      <c r="O335" s="808"/>
      <c r="P335" s="808"/>
      <c r="Q335" s="808"/>
      <c r="R335" s="808"/>
      <c r="S335" s="808"/>
      <c r="T335" s="808"/>
      <c r="U335" s="7933"/>
      <c r="V335" s="8809"/>
      <c r="W335" s="1462"/>
      <c r="X335" s="1461"/>
      <c r="Y335" s="1461"/>
      <c r="Z335" s="1461"/>
      <c r="AA335" s="8802"/>
      <c r="AB335" s="8809"/>
      <c r="AC335" s="808"/>
      <c r="AD335" s="808"/>
      <c r="AE335" s="8043">
        <f>ROUND(AE336/DaysInTaxYear,2)</f>
        <v>52.6</v>
      </c>
      <c r="AF335" s="7694"/>
      <c r="AG335" s="7694"/>
      <c r="AH335" s="7694"/>
      <c r="AI335" s="7694"/>
      <c r="AJ335" s="7694"/>
      <c r="AK335" s="461"/>
      <c r="AO335" s="1332" t="s">
        <v>3814</v>
      </c>
      <c r="BL335" s="1346"/>
      <c r="BM335" s="1346"/>
    </row>
    <row r="336" spans="1:65" ht="15" customHeight="1" thickBot="1">
      <c r="A336" s="461"/>
      <c r="B336" s="808"/>
      <c r="C336" s="808"/>
      <c r="D336" s="2112" t="s">
        <v>5534</v>
      </c>
      <c r="E336" s="808"/>
      <c r="F336" s="808"/>
      <c r="G336" s="808"/>
      <c r="H336" s="808"/>
      <c r="I336" s="808"/>
      <c r="J336" s="808"/>
      <c r="K336" s="808"/>
      <c r="L336" s="808"/>
      <c r="M336" s="808"/>
      <c r="N336" s="808"/>
      <c r="O336" s="808"/>
      <c r="P336" s="808"/>
      <c r="Q336" s="808"/>
      <c r="R336" s="808"/>
      <c r="S336" s="808"/>
      <c r="T336" s="859" t="s">
        <v>2162</v>
      </c>
      <c r="U336" s="8694">
        <v>31</v>
      </c>
      <c r="V336" s="8728"/>
      <c r="W336" s="8811" t="str">
        <f>IF(AM336&lt;&gt;"",ROUND(AM336,0),IF(AM327,"",DaysInTaxYear))</f>
        <v/>
      </c>
      <c r="X336" s="8812"/>
      <c r="Y336" s="8812"/>
      <c r="Z336" s="8812"/>
      <c r="AA336" s="8810" t="s">
        <v>3815</v>
      </c>
      <c r="AB336" s="8138"/>
      <c r="AC336" s="808"/>
      <c r="AD336" s="808"/>
      <c r="AE336" s="8840">
        <f>ROUND(0.16*AE349,0)</f>
        <v>19200</v>
      </c>
      <c r="AF336" s="8841"/>
      <c r="AG336" s="8841"/>
      <c r="AH336" s="8841"/>
      <c r="AI336" s="8841"/>
      <c r="AJ336" s="8841"/>
      <c r="AK336" s="461"/>
      <c r="AL336" s="4670"/>
      <c r="AM336" s="4555"/>
      <c r="AN336" s="4670" t="s">
        <v>3816</v>
      </c>
      <c r="AO336" s="1332" t="s">
        <v>3817</v>
      </c>
      <c r="BL336" s="1346"/>
      <c r="BM336" s="1346"/>
    </row>
    <row r="337" spans="1:65" ht="15" customHeight="1" thickBot="1">
      <c r="A337" s="461"/>
      <c r="B337" s="808"/>
      <c r="C337" s="1362" t="s">
        <v>3818</v>
      </c>
      <c r="D337" s="2112" t="str">
        <f>"Multiply "&amp;TEXT(AE335,"$0.00")&amp;" by the number of days on line 31. If "&amp;TEXT(DaysInTaxYear,"0")&amp;" is entered on line 31, enter "&amp;TEXT(AE336,"$0,000")&amp;" here"</f>
        <v>Multiply $52.60 by the number of days on line 31. If 365 is entered on line 31, enter $19,200 here</v>
      </c>
      <c r="E337" s="808"/>
      <c r="F337" s="808"/>
      <c r="G337" s="808"/>
      <c r="H337" s="808"/>
      <c r="I337" s="808"/>
      <c r="J337" s="808"/>
      <c r="K337" s="808"/>
      <c r="L337" s="808"/>
      <c r="M337" s="808"/>
      <c r="N337" s="808"/>
      <c r="O337" s="808"/>
      <c r="P337" s="808"/>
      <c r="Q337" s="808"/>
      <c r="R337" s="808"/>
      <c r="S337" s="808"/>
      <c r="T337" s="808"/>
      <c r="U337" s="808"/>
      <c r="V337" s="808"/>
      <c r="W337" s="808"/>
      <c r="X337" s="808"/>
      <c r="Y337" s="808"/>
      <c r="Z337" s="808"/>
      <c r="AA337" s="808"/>
      <c r="AB337" s="808"/>
      <c r="AC337" s="8694">
        <v>32</v>
      </c>
      <c r="AD337" s="8728"/>
      <c r="AE337" s="8807" t="str">
        <f>IF(AM337&lt;&gt;"",ROUND(AM337,0),IF(OR(AM327,AE331=""),"",IF(W336=DaysInTaxYear,AE336,W336*AE335)))</f>
        <v/>
      </c>
      <c r="AF337" s="8807"/>
      <c r="AG337" s="8807"/>
      <c r="AH337" s="8807"/>
      <c r="AI337" s="8807"/>
      <c r="AJ337" s="8807"/>
      <c r="AK337" s="461"/>
      <c r="AL337" s="4670"/>
      <c r="AM337" s="1407"/>
      <c r="BL337" s="1346"/>
      <c r="BM337" s="1346"/>
    </row>
    <row r="338" spans="1:65" ht="15" customHeight="1">
      <c r="A338" s="461"/>
      <c r="B338" s="808"/>
      <c r="C338" s="1362" t="s">
        <v>3819</v>
      </c>
      <c r="D338" s="2112" t="s">
        <v>3820</v>
      </c>
      <c r="E338" s="808"/>
      <c r="F338" s="808"/>
      <c r="G338" s="808"/>
      <c r="H338" s="808"/>
      <c r="I338" s="808"/>
      <c r="J338" s="808"/>
      <c r="K338" s="892"/>
      <c r="L338" s="2112" t="s">
        <v>3821</v>
      </c>
      <c r="M338" s="808"/>
      <c r="N338" s="808"/>
      <c r="O338" s="808"/>
      <c r="P338" s="808"/>
      <c r="Q338" s="808"/>
      <c r="R338" s="808"/>
      <c r="S338" s="808"/>
      <c r="T338" s="808"/>
      <c r="U338" s="808"/>
      <c r="V338" s="808"/>
      <c r="W338" s="808"/>
      <c r="X338" s="808"/>
      <c r="Y338" s="808"/>
      <c r="Z338" s="808"/>
      <c r="AA338" s="808"/>
      <c r="AB338" s="808"/>
      <c r="AC338" s="8011"/>
      <c r="AD338" s="8730"/>
      <c r="AE338" s="8011"/>
      <c r="AF338" s="8731"/>
      <c r="AG338" s="8731"/>
      <c r="AH338" s="8731"/>
      <c r="AI338" s="8731"/>
      <c r="AJ338" s="8731"/>
      <c r="AK338" s="461"/>
      <c r="BL338" s="1346"/>
      <c r="BM338" s="1346"/>
    </row>
    <row r="339" spans="1:65" ht="15" customHeight="1">
      <c r="A339" s="461"/>
      <c r="B339" s="808"/>
      <c r="C339" s="808"/>
      <c r="D339" s="2112" t="s">
        <v>3822</v>
      </c>
      <c r="E339" s="808"/>
      <c r="F339" s="808"/>
      <c r="G339" s="808"/>
      <c r="H339" s="808"/>
      <c r="I339" s="808"/>
      <c r="J339" s="808"/>
      <c r="K339" s="808"/>
      <c r="L339" s="808"/>
      <c r="M339" s="808"/>
      <c r="N339" s="808"/>
      <c r="O339" s="808"/>
      <c r="P339" s="808"/>
      <c r="Q339" s="808"/>
      <c r="R339" s="808"/>
      <c r="S339" s="808"/>
      <c r="T339" s="808"/>
      <c r="U339" s="808"/>
      <c r="V339" s="808"/>
      <c r="W339" s="808"/>
      <c r="X339" s="808"/>
      <c r="Y339" s="808"/>
      <c r="Z339" s="808"/>
      <c r="AA339" s="808"/>
      <c r="AB339" s="859" t="s">
        <v>2170</v>
      </c>
      <c r="AC339" s="8694">
        <v>33</v>
      </c>
      <c r="AD339" s="8728"/>
      <c r="AE339" s="8808" t="str">
        <f>IF(AM327,"",IF(AE337="",AE334,SUM(AE334,-AE337)))</f>
        <v/>
      </c>
      <c r="AF339" s="8808"/>
      <c r="AG339" s="8808"/>
      <c r="AH339" s="8808"/>
      <c r="AI339" s="8808"/>
      <c r="AJ339" s="8808"/>
      <c r="AK339" s="461"/>
      <c r="AM339" s="4659" t="b">
        <f>AE339&lt;=0</f>
        <v>0</v>
      </c>
      <c r="AO339" s="4671">
        <f>IF(AE339="",0,AE339)</f>
        <v>0</v>
      </c>
      <c r="BL339" s="1346"/>
      <c r="BM339" s="1346"/>
    </row>
    <row r="340" spans="1:65" ht="15" customHeight="1">
      <c r="A340" s="461"/>
      <c r="B340" s="808"/>
      <c r="C340" s="1362" t="s">
        <v>3823</v>
      </c>
      <c r="D340" s="2112" t="s">
        <v>3824</v>
      </c>
      <c r="E340" s="808"/>
      <c r="F340" s="808"/>
      <c r="G340" s="808"/>
      <c r="H340" s="808"/>
      <c r="I340" s="808"/>
      <c r="J340" s="808"/>
      <c r="K340" s="808"/>
      <c r="L340" s="808"/>
      <c r="M340" s="808"/>
      <c r="N340" s="808"/>
      <c r="O340" s="808"/>
      <c r="P340" s="808"/>
      <c r="Q340" s="808"/>
      <c r="R340" s="808"/>
      <c r="S340" s="808"/>
      <c r="T340" s="808"/>
      <c r="U340" s="8694">
        <v>34</v>
      </c>
      <c r="V340" s="8728"/>
      <c r="W340" s="8729"/>
      <c r="X340" s="8729"/>
      <c r="Y340" s="8729"/>
      <c r="Z340" s="8729"/>
      <c r="AA340" s="8729"/>
      <c r="AB340" s="8729"/>
      <c r="AC340" s="8815"/>
      <c r="AD340" s="8816"/>
      <c r="AE340" s="8011"/>
      <c r="AF340" s="8731"/>
      <c r="AG340" s="8731"/>
      <c r="AH340" s="8731"/>
      <c r="AI340" s="8731"/>
      <c r="AJ340" s="8731"/>
      <c r="AK340" s="461"/>
      <c r="AM340" s="4669"/>
      <c r="BL340" s="1346"/>
      <c r="BM340" s="1346"/>
    </row>
    <row r="341" spans="1:65" ht="15" customHeight="1" thickBot="1">
      <c r="A341" s="461"/>
      <c r="B341" s="808"/>
      <c r="C341" s="1362" t="s">
        <v>3825</v>
      </c>
      <c r="D341" s="2112" t="s">
        <v>3826</v>
      </c>
      <c r="E341" s="808"/>
      <c r="F341" s="808"/>
      <c r="G341" s="808"/>
      <c r="H341" s="808"/>
      <c r="I341" s="808"/>
      <c r="J341" s="808"/>
      <c r="K341" s="808"/>
      <c r="L341" s="808"/>
      <c r="M341" s="808"/>
      <c r="N341" s="808"/>
      <c r="O341" s="808"/>
      <c r="P341" s="808"/>
      <c r="Q341" s="808"/>
      <c r="R341" s="808"/>
      <c r="S341" s="808"/>
      <c r="T341" s="808"/>
      <c r="U341" s="808"/>
      <c r="V341" s="808"/>
      <c r="W341" s="808"/>
      <c r="X341" s="808"/>
      <c r="Y341" s="808"/>
      <c r="Z341" s="808"/>
      <c r="AA341" s="808"/>
      <c r="AB341" s="808"/>
      <c r="AC341" s="7933"/>
      <c r="AD341" s="8809"/>
      <c r="AE341" s="7933"/>
      <c r="AF341" s="8802"/>
      <c r="AG341" s="8802"/>
      <c r="AH341" s="8802"/>
      <c r="AI341" s="8802"/>
      <c r="AJ341" s="8802"/>
      <c r="AK341" s="461"/>
      <c r="AM341" s="1376" t="s">
        <v>867</v>
      </c>
      <c r="BL341" s="1346"/>
      <c r="BM341" s="1346"/>
    </row>
    <row r="342" spans="1:65" ht="15" customHeight="1" thickBot="1">
      <c r="A342" s="461"/>
      <c r="B342" s="808"/>
      <c r="C342" s="808"/>
      <c r="D342" s="2112" t="s">
        <v>3827</v>
      </c>
      <c r="E342" s="808"/>
      <c r="F342" s="808"/>
      <c r="G342" s="808"/>
      <c r="H342" s="808"/>
      <c r="I342" s="808"/>
      <c r="J342" s="808"/>
      <c r="K342" s="808"/>
      <c r="L342" s="808"/>
      <c r="M342" s="808"/>
      <c r="N342" s="808"/>
      <c r="O342" s="808"/>
      <c r="P342" s="808"/>
      <c r="Q342" s="808"/>
      <c r="R342" s="808"/>
      <c r="S342" s="808"/>
      <c r="T342" s="808"/>
      <c r="U342" s="808"/>
      <c r="V342" s="808"/>
      <c r="W342" s="808"/>
      <c r="X342" s="808"/>
      <c r="Y342" s="808"/>
      <c r="Z342" s="808"/>
      <c r="AA342" s="808"/>
      <c r="AB342" s="859" t="s">
        <v>2163</v>
      </c>
      <c r="AC342" s="8694">
        <v>35</v>
      </c>
      <c r="AD342" s="8728"/>
      <c r="AE342" s="1384"/>
      <c r="AF342" s="1384"/>
      <c r="AG342" s="1385" t="s">
        <v>2429</v>
      </c>
      <c r="AH342" s="8813" t="str">
        <f>IF(AM342&lt;&gt;"",ROUND(AM342,3),IF(OR(AM327,AM339),"",IF(ISERROR(W340/ForeignEarnedIncome2),"---",IF(ForeignEarnedIncome2&gt;0,ROUND(W340/ForeignEarnedIncome2,3),""))))</f>
        <v/>
      </c>
      <c r="AI342" s="8814"/>
      <c r="AJ342" s="8814"/>
      <c r="AK342" s="461"/>
      <c r="AM342" s="1389"/>
      <c r="BL342" s="1346"/>
      <c r="BM342" s="1346"/>
    </row>
    <row r="343" spans="1:65" ht="15" customHeight="1" thickBot="1">
      <c r="A343" s="461"/>
      <c r="B343" s="808"/>
      <c r="C343" s="1362" t="s">
        <v>3828</v>
      </c>
      <c r="D343" s="2112" t="s">
        <v>3829</v>
      </c>
      <c r="E343" s="808"/>
      <c r="F343" s="808"/>
      <c r="G343" s="808"/>
      <c r="H343" s="808"/>
      <c r="I343" s="808"/>
      <c r="J343" s="808"/>
      <c r="K343" s="808"/>
      <c r="L343" s="808"/>
      <c r="M343" s="808"/>
      <c r="N343" s="808"/>
      <c r="O343" s="808"/>
      <c r="P343" s="808"/>
      <c r="Q343" s="808"/>
      <c r="R343" s="808"/>
      <c r="S343" s="808"/>
      <c r="T343" s="808"/>
      <c r="U343" s="808"/>
      <c r="V343" s="808"/>
      <c r="W343" s="808"/>
      <c r="X343" s="808"/>
      <c r="Y343" s="808"/>
      <c r="Z343" s="808"/>
      <c r="AA343" s="808"/>
      <c r="AB343" s="808"/>
      <c r="AC343" s="8011"/>
      <c r="AD343" s="8730"/>
      <c r="AE343" s="8011"/>
      <c r="AF343" s="8731"/>
      <c r="AG343" s="8731"/>
      <c r="AH343" s="8731"/>
      <c r="AI343" s="8731"/>
      <c r="AJ343" s="8731"/>
      <c r="AK343" s="461"/>
      <c r="BL343" s="1346"/>
      <c r="BM343" s="1346"/>
    </row>
    <row r="344" spans="1:65" ht="15" customHeight="1" thickBot="1">
      <c r="A344" s="461"/>
      <c r="B344" s="808"/>
      <c r="C344" s="808"/>
      <c r="D344" s="2112" t="s">
        <v>3830</v>
      </c>
      <c r="E344" s="808"/>
      <c r="F344" s="808"/>
      <c r="G344" s="808"/>
      <c r="H344" s="808"/>
      <c r="I344" s="808"/>
      <c r="J344" s="808"/>
      <c r="K344" s="808"/>
      <c r="L344" s="808"/>
      <c r="M344" s="808"/>
      <c r="N344" s="808"/>
      <c r="O344" s="808"/>
      <c r="P344" s="808"/>
      <c r="Q344" s="808"/>
      <c r="R344" s="808"/>
      <c r="S344" s="808"/>
      <c r="T344" s="808"/>
      <c r="U344" s="808"/>
      <c r="V344" s="808"/>
      <c r="W344" s="808"/>
      <c r="X344" s="808"/>
      <c r="Y344" s="808"/>
      <c r="Z344" s="808"/>
      <c r="AA344" s="808"/>
      <c r="AB344" s="859" t="s">
        <v>665</v>
      </c>
      <c r="AC344" s="8694">
        <v>36</v>
      </c>
      <c r="AD344" s="8728"/>
      <c r="AE344" s="8807" t="str">
        <f>IF(AM344&lt;&gt;"",ROUND(AM344,0),IF(OR(AM327,AM339),"",IF(ISERROR(W340/ForeignEarnedIncome2),"---",IF(W340="",0,MIN(W340,ROUND(AE339*AH342,0))))))</f>
        <v/>
      </c>
      <c r="AF344" s="8807"/>
      <c r="AG344" s="8807"/>
      <c r="AH344" s="8807"/>
      <c r="AI344" s="8807"/>
      <c r="AJ344" s="8807"/>
      <c r="AK344" s="461"/>
      <c r="AM344" s="1407"/>
      <c r="AO344" s="4671">
        <f>IF(OR(AE344="",AE344="---"),0,AE344)</f>
        <v>0</v>
      </c>
      <c r="BL344" s="1346"/>
      <c r="BM344" s="1346"/>
    </row>
    <row r="345" spans="1:65" ht="15" customHeight="1">
      <c r="A345" s="461"/>
      <c r="B345" s="808"/>
      <c r="C345" s="808"/>
      <c r="D345" s="2112" t="s">
        <v>3831</v>
      </c>
      <c r="E345" s="808"/>
      <c r="F345" s="808"/>
      <c r="G345" s="808"/>
      <c r="H345" s="808"/>
      <c r="I345" s="808"/>
      <c r="J345" s="808"/>
      <c r="K345" s="808"/>
      <c r="L345" s="808"/>
      <c r="M345" s="808"/>
      <c r="N345" s="808"/>
      <c r="O345" s="808"/>
      <c r="P345" s="808"/>
      <c r="Q345" s="808"/>
      <c r="R345" s="808"/>
      <c r="S345" s="808"/>
      <c r="T345" s="808"/>
      <c r="U345" s="808"/>
      <c r="V345" s="808"/>
      <c r="W345" s="808"/>
      <c r="X345" s="808"/>
      <c r="Y345" s="808"/>
      <c r="Z345" s="808"/>
      <c r="AA345" s="808"/>
      <c r="AB345" s="808"/>
      <c r="AC345" s="808"/>
      <c r="AD345" s="808"/>
      <c r="AE345" s="8823">
        <f>IF(OR(AE344="",AE344="---"),0,AE344)</f>
        <v>0</v>
      </c>
      <c r="AF345" s="7694"/>
      <c r="AG345" s="7694"/>
      <c r="AH345" s="7694"/>
      <c r="AI345" s="7694"/>
      <c r="AJ345" s="7694"/>
      <c r="AK345" s="461"/>
      <c r="BL345" s="1346"/>
      <c r="BM345" s="1346"/>
    </row>
    <row r="346" spans="1:65" ht="15" customHeight="1" thickBot="1">
      <c r="A346" s="461"/>
      <c r="B346" s="808"/>
      <c r="C346" s="808"/>
      <c r="D346" s="2112" t="s">
        <v>3832</v>
      </c>
      <c r="E346" s="808"/>
      <c r="F346" s="808"/>
      <c r="G346" s="808"/>
      <c r="H346" s="808"/>
      <c r="I346" s="808"/>
      <c r="J346" s="808"/>
      <c r="K346" s="808"/>
      <c r="L346" s="808"/>
      <c r="M346" s="808"/>
      <c r="N346" s="808"/>
      <c r="O346" s="808"/>
      <c r="P346" s="808"/>
      <c r="Q346" s="808"/>
      <c r="R346" s="808"/>
      <c r="S346" s="808"/>
      <c r="T346" s="808"/>
      <c r="U346" s="808"/>
      <c r="V346" s="808"/>
      <c r="W346" s="808"/>
      <c r="X346" s="808"/>
      <c r="Y346" s="808"/>
      <c r="Z346" s="808"/>
      <c r="AA346" s="808"/>
      <c r="AB346" s="808"/>
      <c r="AC346" s="808"/>
      <c r="AD346" s="808"/>
      <c r="AE346" s="808"/>
      <c r="AF346" s="808"/>
      <c r="AG346" s="808"/>
      <c r="AH346" s="808"/>
      <c r="AI346" s="808"/>
      <c r="AJ346" s="808"/>
      <c r="AK346" s="461"/>
      <c r="BL346" s="1346"/>
      <c r="BM346" s="1346"/>
    </row>
    <row r="347" spans="1:65" ht="18.75" customHeight="1" thickBot="1">
      <c r="A347" s="461"/>
      <c r="B347" s="8698" t="s">
        <v>3833</v>
      </c>
      <c r="C347" s="6435"/>
      <c r="D347" s="3846" t="s">
        <v>3834</v>
      </c>
      <c r="E347" s="3847"/>
      <c r="F347" s="3847"/>
      <c r="G347" s="3847"/>
      <c r="H347" s="3847"/>
      <c r="I347" s="3847"/>
      <c r="J347" s="3847"/>
      <c r="K347" s="3847"/>
      <c r="L347" s="3847"/>
      <c r="M347" s="3847"/>
      <c r="N347" s="3847"/>
      <c r="O347" s="3847"/>
      <c r="P347" s="3847"/>
      <c r="Q347" s="3847"/>
      <c r="R347" s="3847"/>
      <c r="S347" s="3847"/>
      <c r="T347" s="3847"/>
      <c r="U347" s="3847"/>
      <c r="V347" s="3847"/>
      <c r="W347" s="3847"/>
      <c r="X347" s="3847"/>
      <c r="Y347" s="3847"/>
      <c r="Z347" s="3847"/>
      <c r="AA347" s="3847"/>
      <c r="AB347" s="3847"/>
      <c r="AC347" s="3847"/>
      <c r="AD347" s="3847"/>
      <c r="AE347" s="8821"/>
      <c r="AF347" s="8822"/>
      <c r="AG347" s="8822"/>
      <c r="AH347" s="8822"/>
      <c r="AI347" s="8822"/>
      <c r="AJ347" s="8822"/>
      <c r="AK347" s="461"/>
      <c r="AM347" s="1376" t="s">
        <v>867</v>
      </c>
    </row>
    <row r="348" spans="1:65" ht="15" customHeight="1" thickBot="1">
      <c r="A348" s="461"/>
      <c r="B348" s="808"/>
      <c r="C348" s="1362" t="s">
        <v>3835</v>
      </c>
      <c r="D348" s="2112" t="str">
        <f>"Maximum foreign earned income exclusion."</f>
        <v>Maximum foreign earned income exclusion.</v>
      </c>
      <c r="E348" s="808"/>
      <c r="F348" s="808"/>
      <c r="G348" s="808"/>
      <c r="H348" s="808"/>
      <c r="I348" s="808"/>
      <c r="J348" s="808"/>
      <c r="K348" s="808"/>
      <c r="L348" s="808"/>
      <c r="M348" s="808"/>
      <c r="N348" s="808"/>
      <c r="O348" s="808"/>
      <c r="P348" s="808" t="str">
        <f>"Enter "&amp;TEXT(AE349,"$0,000")</f>
        <v>Enter $120,000</v>
      </c>
      <c r="Q348" s="808"/>
      <c r="R348" s="808"/>
      <c r="S348" s="808"/>
      <c r="T348" s="808"/>
      <c r="U348" s="808"/>
      <c r="V348" s="808"/>
      <c r="W348" s="808"/>
      <c r="X348" s="808"/>
      <c r="Y348" s="808"/>
      <c r="Z348" s="808"/>
      <c r="AA348" s="808"/>
      <c r="AB348" s="859" t="s">
        <v>642</v>
      </c>
      <c r="AC348" s="8694">
        <v>37</v>
      </c>
      <c r="AD348" s="8728"/>
      <c r="AE348" s="8817">
        <f>FEI_Exclusion_Limit</f>
        <v>120000</v>
      </c>
      <c r="AF348" s="8817"/>
      <c r="AG348" s="8817"/>
      <c r="AH348" s="8817"/>
      <c r="AI348" s="8817"/>
      <c r="AJ348" s="8817"/>
      <c r="AK348" s="461"/>
      <c r="AM348" s="1390"/>
      <c r="BL348" s="1346"/>
      <c r="BM348" s="1346"/>
    </row>
    <row r="349" spans="1:65" ht="15" customHeight="1" thickBot="1">
      <c r="A349" s="461"/>
      <c r="B349" s="808"/>
      <c r="C349" s="1362" t="s">
        <v>3836</v>
      </c>
      <c r="D349" s="1386" t="s">
        <v>668</v>
      </c>
      <c r="E349" s="2112" t="s">
        <v>3837</v>
      </c>
      <c r="F349" s="808"/>
      <c r="G349" s="808"/>
      <c r="H349" s="808"/>
      <c r="I349" s="808"/>
      <c r="J349" s="808"/>
      <c r="K349" s="808"/>
      <c r="L349" s="808"/>
      <c r="M349" s="808"/>
      <c r="N349" s="808"/>
      <c r="O349" s="808"/>
      <c r="P349" s="808"/>
      <c r="Q349" s="808"/>
      <c r="R349" s="808"/>
      <c r="S349" s="808"/>
      <c r="T349" s="808"/>
      <c r="U349" s="808"/>
      <c r="V349" s="808"/>
      <c r="W349" s="1461"/>
      <c r="X349" s="1461"/>
      <c r="Y349" s="1461"/>
      <c r="Z349" s="1461"/>
      <c r="AA349" s="808"/>
      <c r="AB349" s="1383"/>
      <c r="AC349" s="1377"/>
      <c r="AD349" s="1378"/>
      <c r="AE349" s="8824">
        <v>120000</v>
      </c>
      <c r="AF349" s="8825"/>
      <c r="AG349" s="8825"/>
      <c r="AH349" s="8825"/>
      <c r="AI349" s="8825"/>
      <c r="AJ349" s="8825"/>
      <c r="AK349" s="461"/>
      <c r="AM349" s="1376"/>
      <c r="AO349" s="4659" t="b">
        <f>AND(AE344&lt;&gt;0,AE344&lt;&gt;"")</f>
        <v>0</v>
      </c>
      <c r="BL349" s="1346"/>
      <c r="BM349" s="1346"/>
    </row>
    <row r="350" spans="1:65" ht="15" customHeight="1" thickBot="1">
      <c r="A350" s="461"/>
      <c r="B350" s="808"/>
      <c r="C350" s="808"/>
      <c r="D350" s="1386" t="s">
        <v>668</v>
      </c>
      <c r="E350" s="2112" t="s">
        <v>3838</v>
      </c>
      <c r="F350" s="808"/>
      <c r="G350" s="808"/>
      <c r="H350" s="808"/>
      <c r="I350" s="808"/>
      <c r="J350" s="808"/>
      <c r="K350" s="808"/>
      <c r="L350" s="808"/>
      <c r="M350" s="808"/>
      <c r="N350" s="808"/>
      <c r="O350" s="808"/>
      <c r="P350" s="808"/>
      <c r="Q350" s="808"/>
      <c r="R350" s="808"/>
      <c r="S350" s="808"/>
      <c r="T350" s="808"/>
      <c r="U350" s="4554"/>
      <c r="V350" s="8694">
        <v>38</v>
      </c>
      <c r="W350" s="7334"/>
      <c r="X350" s="8693">
        <f>IF(AO349,W336,IF(AM350&lt;&gt;"",AM350,DaysInTaxYear))</f>
        <v>365</v>
      </c>
      <c r="Y350" s="8693"/>
      <c r="Z350" s="8693"/>
      <c r="AA350" s="8810" t="s">
        <v>3815</v>
      </c>
      <c r="AB350" s="8810"/>
      <c r="AC350" s="1379"/>
      <c r="AD350" s="1380"/>
      <c r="AE350" s="808"/>
      <c r="AF350" s="808"/>
      <c r="AG350" s="808"/>
      <c r="AH350" s="808"/>
      <c r="AI350" s="808"/>
      <c r="AJ350" s="808"/>
      <c r="AK350" s="461"/>
      <c r="AM350" s="4555"/>
      <c r="AN350" s="1332" t="s">
        <v>3839</v>
      </c>
      <c r="BL350" s="1346"/>
      <c r="BM350" s="1346"/>
    </row>
    <row r="351" spans="1:65" ht="15" customHeight="1">
      <c r="A351" s="461"/>
      <c r="B351" s="808"/>
      <c r="C351" s="808"/>
      <c r="D351" s="808"/>
      <c r="E351" s="2112" t="str">
        <f>"fall within your "&amp;TaxYear&amp;" tax year (see the instructions for line 31)."</f>
        <v>fall within your 2023 tax year (see the instructions for line 31).</v>
      </c>
      <c r="F351" s="808"/>
      <c r="G351" s="808"/>
      <c r="H351" s="808"/>
      <c r="I351" s="808"/>
      <c r="J351" s="808"/>
      <c r="K351" s="808"/>
      <c r="L351" s="808"/>
      <c r="M351" s="808"/>
      <c r="N351" s="808"/>
      <c r="O351" s="808"/>
      <c r="P351" s="808"/>
      <c r="Q351" s="808"/>
      <c r="R351" s="808"/>
      <c r="S351" s="808"/>
      <c r="T351" s="808"/>
      <c r="U351" s="808"/>
      <c r="V351" s="808"/>
      <c r="W351" s="808"/>
      <c r="X351" s="808"/>
      <c r="Y351" s="808"/>
      <c r="Z351" s="808"/>
      <c r="AA351" s="808"/>
      <c r="AB351" s="808"/>
      <c r="AC351" s="1150"/>
      <c r="AD351" s="1151"/>
      <c r="AE351" s="808"/>
      <c r="AF351" s="808"/>
      <c r="AG351" s="808"/>
      <c r="AH351" s="808"/>
      <c r="AI351" s="808"/>
      <c r="AJ351" s="808"/>
      <c r="AK351" s="461"/>
      <c r="AL351" s="1332" t="s">
        <v>3840</v>
      </c>
      <c r="BL351" s="1346"/>
      <c r="BM351" s="1346"/>
    </row>
    <row r="352" spans="1:65" ht="15" customHeight="1" thickBot="1">
      <c r="A352" s="461"/>
      <c r="B352" s="808"/>
      <c r="C352" s="1362" t="s">
        <v>3841</v>
      </c>
      <c r="D352" s="1386" t="s">
        <v>668</v>
      </c>
      <c r="E352" s="892" t="str">
        <f>"If line 38 and the number of days in your "&amp;TaxYear&amp;" tax year (usually "&amp;TEXT(DaysInTaxYear,"0")&amp;") are the same, enter “1.000.”"</f>
        <v>If line 38 and the number of days in your 2023 tax year (usually 365) are the same, enter “1.000.”</v>
      </c>
      <c r="F352" s="808"/>
      <c r="G352" s="808"/>
      <c r="H352" s="808"/>
      <c r="I352" s="808"/>
      <c r="J352" s="808"/>
      <c r="K352" s="808"/>
      <c r="L352" s="808"/>
      <c r="M352" s="808"/>
      <c r="N352" s="808"/>
      <c r="O352" s="808"/>
      <c r="P352" s="808"/>
      <c r="Q352" s="808"/>
      <c r="R352" s="808"/>
      <c r="S352" s="808"/>
      <c r="T352" s="808"/>
      <c r="U352" s="808"/>
      <c r="V352" s="808"/>
      <c r="W352" s="808"/>
      <c r="X352" s="808"/>
      <c r="Y352" s="808"/>
      <c r="Z352" s="808"/>
      <c r="AA352" s="808"/>
      <c r="AB352" s="808"/>
      <c r="AC352" s="1150"/>
      <c r="AD352" s="1151"/>
      <c r="AE352" s="808"/>
      <c r="AF352" s="808"/>
      <c r="AG352" s="808"/>
      <c r="AH352" s="808"/>
      <c r="AI352" s="808"/>
      <c r="AJ352" s="808"/>
      <c r="AK352" s="461"/>
      <c r="AL352" s="1332" t="str">
        <f>TaxYear&amp;" tax year."</f>
        <v>2023 tax year.</v>
      </c>
      <c r="BL352" s="1346"/>
      <c r="BM352" s="1346"/>
    </row>
    <row r="353" spans="1:65" ht="15" customHeight="1" thickBot="1">
      <c r="A353" s="461"/>
      <c r="B353" s="808"/>
      <c r="C353" s="808"/>
      <c r="D353" s="1386" t="s">
        <v>668</v>
      </c>
      <c r="E353" s="892" t="str">
        <f>"Otherwise, divide line 38 by the number of days in your "&amp;TaxYear&amp;" tax year and enter the result as"</f>
        <v>Otherwise, divide line 38 by the number of days in your 2023 tax year and enter the result as</v>
      </c>
      <c r="F353" s="808"/>
      <c r="G353" s="808"/>
      <c r="H353" s="808"/>
      <c r="I353" s="808"/>
      <c r="J353" s="808"/>
      <c r="K353" s="808"/>
      <c r="L353" s="808"/>
      <c r="M353" s="808"/>
      <c r="N353" s="808"/>
      <c r="O353" s="808"/>
      <c r="P353" s="808"/>
      <c r="Q353" s="808"/>
      <c r="R353" s="808"/>
      <c r="S353" s="808"/>
      <c r="T353" s="808"/>
      <c r="U353" s="808"/>
      <c r="V353" s="808"/>
      <c r="W353" s="808"/>
      <c r="X353" s="808"/>
      <c r="Y353" s="808"/>
      <c r="Z353" s="808"/>
      <c r="AA353" s="808"/>
      <c r="AB353" s="808"/>
      <c r="AC353" s="8694">
        <v>39</v>
      </c>
      <c r="AD353" s="8728"/>
      <c r="AE353" s="1384"/>
      <c r="AF353" s="1384"/>
      <c r="AG353" s="1385" t="s">
        <v>2429</v>
      </c>
      <c r="AH353" s="8813">
        <f>IF(AND(AM350="",AM353=""),1,IF(ISERROR(X350/AM353),"",ROUND(X350/AM353,3)))</f>
        <v>1</v>
      </c>
      <c r="AI353" s="8814"/>
      <c r="AJ353" s="8814"/>
      <c r="AK353" s="461"/>
      <c r="AM353" s="4555">
        <v>365</v>
      </c>
      <c r="AN353" s="1332" t="str">
        <f>"No. of days in your "</f>
        <v xml:space="preserve">No. of days in your </v>
      </c>
      <c r="BL353" s="1346"/>
      <c r="BM353" s="1346"/>
    </row>
    <row r="354" spans="1:65" ht="15" customHeight="1">
      <c r="A354" s="461"/>
      <c r="B354" s="808"/>
      <c r="C354" s="808"/>
      <c r="D354" s="808"/>
      <c r="E354" s="892" t="s">
        <v>3842</v>
      </c>
      <c r="F354" s="808"/>
      <c r="G354" s="808"/>
      <c r="H354" s="808"/>
      <c r="I354" s="808"/>
      <c r="J354" s="808"/>
      <c r="K354" s="808"/>
      <c r="L354" s="808"/>
      <c r="M354" s="808"/>
      <c r="N354" s="808"/>
      <c r="O354" s="808"/>
      <c r="P354" s="808"/>
      <c r="Q354" s="808"/>
      <c r="R354" s="808"/>
      <c r="S354" s="808"/>
      <c r="T354" s="808"/>
      <c r="U354" s="808"/>
      <c r="V354" s="808"/>
      <c r="W354" s="808"/>
      <c r="X354" s="808"/>
      <c r="Y354" s="808"/>
      <c r="Z354" s="808"/>
      <c r="AA354" s="808"/>
      <c r="AB354" s="808"/>
      <c r="AC354" s="8011"/>
      <c r="AD354" s="8730"/>
      <c r="AE354" s="8011"/>
      <c r="AF354" s="8731"/>
      <c r="AG354" s="8731"/>
      <c r="AH354" s="8731"/>
      <c r="AI354" s="8731"/>
      <c r="AJ354" s="8731"/>
      <c r="AK354" s="461"/>
      <c r="AN354" s="1332" t="str">
        <f>TaxYear&amp;" tax year."</f>
        <v>2023 tax year.</v>
      </c>
      <c r="BL354" s="1346"/>
      <c r="BM354" s="1346"/>
    </row>
    <row r="355" spans="1:65" ht="15" customHeight="1">
      <c r="A355" s="461"/>
      <c r="B355" s="808"/>
      <c r="C355" s="1362" t="s">
        <v>3843</v>
      </c>
      <c r="D355" s="2112" t="s">
        <v>3844</v>
      </c>
      <c r="E355" s="808"/>
      <c r="F355" s="808"/>
      <c r="G355" s="808"/>
      <c r="H355" s="808"/>
      <c r="I355" s="808"/>
      <c r="J355" s="808"/>
      <c r="K355" s="808"/>
      <c r="L355" s="808"/>
      <c r="M355" s="808"/>
      <c r="N355" s="808"/>
      <c r="O355" s="808"/>
      <c r="P355" s="808"/>
      <c r="Q355" s="808"/>
      <c r="R355" s="808"/>
      <c r="S355" s="808"/>
      <c r="T355" s="808"/>
      <c r="U355" s="808"/>
      <c r="V355" s="808"/>
      <c r="W355" s="808"/>
      <c r="X355" s="808"/>
      <c r="Y355" s="808"/>
      <c r="Z355" s="808"/>
      <c r="AA355" s="808"/>
      <c r="AB355" s="859" t="s">
        <v>2490</v>
      </c>
      <c r="AC355" s="8694">
        <v>40</v>
      </c>
      <c r="AD355" s="8728"/>
      <c r="AE355" s="8807" t="str">
        <f>IF(OR(ForeignEarnedIncome2=0,AH353=""),"",ROUND(AE348*AH353,0))</f>
        <v/>
      </c>
      <c r="AF355" s="8807"/>
      <c r="AG355" s="8807"/>
      <c r="AH355" s="8807"/>
      <c r="AI355" s="8807"/>
      <c r="AJ355" s="8807"/>
      <c r="AK355" s="461"/>
      <c r="BL355" s="1346"/>
      <c r="BM355" s="1346"/>
    </row>
    <row r="356" spans="1:65" ht="15" customHeight="1" thickBot="1">
      <c r="A356" s="461"/>
      <c r="B356" s="808"/>
      <c r="C356" s="1362" t="s">
        <v>3845</v>
      </c>
      <c r="D356" s="2112" t="s">
        <v>3846</v>
      </c>
      <c r="E356" s="808"/>
      <c r="F356" s="808"/>
      <c r="G356" s="808"/>
      <c r="H356" s="808"/>
      <c r="I356" s="808"/>
      <c r="J356" s="808"/>
      <c r="K356" s="808"/>
      <c r="L356" s="808"/>
      <c r="M356" s="808"/>
      <c r="N356" s="808"/>
      <c r="O356" s="808"/>
      <c r="P356" s="808"/>
      <c r="Q356" s="808"/>
      <c r="R356" s="808"/>
      <c r="S356" s="808"/>
      <c r="T356" s="808"/>
      <c r="U356" s="808"/>
      <c r="V356" s="808"/>
      <c r="W356" s="808"/>
      <c r="X356" s="808"/>
      <c r="Y356" s="808"/>
      <c r="Z356" s="808"/>
      <c r="AA356" s="808"/>
      <c r="AB356" s="859" t="s">
        <v>2163</v>
      </c>
      <c r="AC356" s="8694">
        <v>41</v>
      </c>
      <c r="AD356" s="8728"/>
      <c r="AE356" s="8807" t="str">
        <f>IF(OR(ForeignEarnedIncome2=0,AH353=""),"",SUM(ForeignEarnedIncome2,-AE345))</f>
        <v/>
      </c>
      <c r="AF356" s="8807"/>
      <c r="AG356" s="8807"/>
      <c r="AH356" s="8807"/>
      <c r="AI356" s="8807"/>
      <c r="AJ356" s="8807"/>
      <c r="AK356" s="461"/>
      <c r="AM356" s="1376" t="s">
        <v>867</v>
      </c>
      <c r="BL356" s="1346"/>
      <c r="BM356" s="1346"/>
    </row>
    <row r="357" spans="1:65" ht="15" customHeight="1" thickBot="1">
      <c r="A357" s="461"/>
      <c r="B357" s="808"/>
      <c r="C357" s="1362" t="s">
        <v>3847</v>
      </c>
      <c r="D357" s="892" t="s">
        <v>3848</v>
      </c>
      <c r="E357" s="808"/>
      <c r="F357" s="808"/>
      <c r="G357" s="808"/>
      <c r="H357" s="808"/>
      <c r="I357" s="808"/>
      <c r="J357" s="808"/>
      <c r="K357" s="808"/>
      <c r="L357" s="808"/>
      <c r="M357" s="808"/>
      <c r="N357" s="808"/>
      <c r="O357" s="808"/>
      <c r="P357" s="808"/>
      <c r="Q357" s="808"/>
      <c r="R357" s="808"/>
      <c r="S357" s="808"/>
      <c r="T357" s="808"/>
      <c r="U357" s="808"/>
      <c r="V357" s="808"/>
      <c r="W357" s="808"/>
      <c r="X357" s="808"/>
      <c r="Y357" s="808"/>
      <c r="Z357" s="808"/>
      <c r="AA357" s="808"/>
      <c r="AB357" s="859" t="s">
        <v>3849</v>
      </c>
      <c r="AC357" s="8818">
        <v>42</v>
      </c>
      <c r="AD357" s="8819"/>
      <c r="AE357" s="8820">
        <f>IF(AM357&lt;&gt;"",ROUND(AM357,0),IF(AH353="","",IF(AE356="",0,MIN(AE355,AE356))))</f>
        <v>0</v>
      </c>
      <c r="AF357" s="8820"/>
      <c r="AG357" s="8820"/>
      <c r="AH357" s="8820"/>
      <c r="AI357" s="8820"/>
      <c r="AJ357" s="8820"/>
      <c r="AK357" s="461"/>
      <c r="AM357" s="1390"/>
      <c r="BL357" s="1346"/>
      <c r="BM357" s="1346"/>
    </row>
    <row r="358" spans="1:65" ht="21.75" customHeight="1">
      <c r="A358" s="461"/>
      <c r="B358" s="3844" t="s">
        <v>3850</v>
      </c>
      <c r="C358" s="3845"/>
      <c r="D358" s="3846" t="s">
        <v>3851</v>
      </c>
      <c r="E358" s="3847"/>
      <c r="F358" s="3847"/>
      <c r="G358" s="3847"/>
      <c r="H358" s="3847"/>
      <c r="I358" s="3847"/>
      <c r="J358" s="3847"/>
      <c r="K358" s="3847"/>
      <c r="L358" s="3847"/>
      <c r="M358" s="3847"/>
      <c r="N358" s="3847"/>
      <c r="O358" s="3847"/>
      <c r="P358" s="3847"/>
      <c r="Q358" s="3847"/>
      <c r="R358" s="3847"/>
      <c r="S358" s="3847"/>
      <c r="T358" s="3847"/>
      <c r="U358" s="3847"/>
      <c r="V358" s="3847"/>
      <c r="W358" s="3847"/>
      <c r="X358" s="3847"/>
      <c r="Y358" s="3847"/>
      <c r="Z358" s="3847"/>
      <c r="AA358" s="3847"/>
      <c r="AB358" s="3847"/>
      <c r="AC358" s="3847"/>
      <c r="AD358" s="3847"/>
      <c r="AE358" s="3847"/>
      <c r="AF358" s="3847"/>
      <c r="AG358" s="3847"/>
      <c r="AH358" s="3847"/>
      <c r="AI358" s="3847"/>
      <c r="AJ358" s="3847"/>
      <c r="AK358" s="461"/>
    </row>
    <row r="359" spans="1:65" ht="15" customHeight="1">
      <c r="A359" s="461"/>
      <c r="B359" s="808"/>
      <c r="C359" s="1362" t="s">
        <v>3852</v>
      </c>
      <c r="D359" s="2112" t="s">
        <v>3853</v>
      </c>
      <c r="E359" s="808"/>
      <c r="F359" s="808"/>
      <c r="G359" s="808"/>
      <c r="H359" s="808"/>
      <c r="I359" s="808"/>
      <c r="J359" s="808"/>
      <c r="K359" s="808"/>
      <c r="L359" s="808"/>
      <c r="M359" s="808"/>
      <c r="N359" s="808"/>
      <c r="O359" s="808"/>
      <c r="P359" s="808"/>
      <c r="Q359" s="808"/>
      <c r="R359" s="808"/>
      <c r="S359" s="808"/>
      <c r="T359" s="808"/>
      <c r="U359" s="808"/>
      <c r="V359" s="808"/>
      <c r="W359" s="808"/>
      <c r="X359" s="808"/>
      <c r="Y359" s="808"/>
      <c r="Z359" s="808"/>
      <c r="AA359" s="808"/>
      <c r="AB359" s="859" t="s">
        <v>3065</v>
      </c>
      <c r="AC359" s="8694">
        <v>43</v>
      </c>
      <c r="AD359" s="8728"/>
      <c r="AE359" s="8807">
        <f>SUM(AO344,AE357)</f>
        <v>0</v>
      </c>
      <c r="AF359" s="8807"/>
      <c r="AG359" s="8807"/>
      <c r="AH359" s="8807"/>
      <c r="AI359" s="8807"/>
      <c r="AJ359" s="8807"/>
      <c r="AK359" s="461"/>
      <c r="AO359" s="4671">
        <f>IF(AE359="",0,AE359)</f>
        <v>0</v>
      </c>
      <c r="BL359" s="1346"/>
      <c r="BM359" s="1346"/>
    </row>
    <row r="360" spans="1:65" ht="15" customHeight="1">
      <c r="A360" s="461"/>
      <c r="B360" s="808"/>
      <c r="C360" s="1362" t="s">
        <v>3854</v>
      </c>
      <c r="D360" s="892" t="s">
        <v>3855</v>
      </c>
      <c r="E360" s="808"/>
      <c r="F360" s="808"/>
      <c r="G360" s="808"/>
      <c r="H360" s="808"/>
      <c r="I360" s="808"/>
      <c r="J360" s="808"/>
      <c r="K360" s="808"/>
      <c r="L360" s="808"/>
      <c r="M360" s="808"/>
      <c r="N360" s="808"/>
      <c r="O360" s="808"/>
      <c r="P360" s="808"/>
      <c r="Q360" s="808"/>
      <c r="R360" s="808"/>
      <c r="S360" s="808"/>
      <c r="T360" s="808"/>
      <c r="U360" s="808"/>
      <c r="V360" s="808"/>
      <c r="W360" s="808"/>
      <c r="X360" s="808"/>
      <c r="Y360" s="808"/>
      <c r="Z360" s="808"/>
      <c r="AA360" s="808"/>
      <c r="AB360" s="808"/>
      <c r="AC360" s="8011"/>
      <c r="AD360" s="8730"/>
      <c r="AE360" s="8011"/>
      <c r="AF360" s="8731"/>
      <c r="AG360" s="8731"/>
      <c r="AH360" s="8731"/>
      <c r="AI360" s="8731"/>
      <c r="AJ360" s="8731"/>
      <c r="AK360" s="461"/>
      <c r="AM360" s="8692" t="str">
        <f>IF(F2555_Line45_2&gt;FEI_Exclusion_Limit,"IMPORTANT NOTE: For "&amp;TaxYear&amp;", the FEI exclusion is limited to "&amp;TEXT(FEI_Exclusion_Limit,"$0,000")&amp;".","")</f>
        <v/>
      </c>
      <c r="AN360" s="8692"/>
      <c r="AO360" s="8692"/>
      <c r="BL360" s="1346"/>
      <c r="BM360" s="1346"/>
    </row>
    <row r="361" spans="1:65" ht="15" customHeight="1">
      <c r="A361" s="461"/>
      <c r="B361" s="808"/>
      <c r="C361" s="808"/>
      <c r="D361" s="2112" t="s">
        <v>3856</v>
      </c>
      <c r="E361" s="808"/>
      <c r="F361" s="808"/>
      <c r="G361" s="808"/>
      <c r="H361" s="808"/>
      <c r="I361" s="808"/>
      <c r="J361" s="808"/>
      <c r="K361" s="808"/>
      <c r="L361" s="808"/>
      <c r="M361" s="808"/>
      <c r="N361" s="808"/>
      <c r="O361" s="808"/>
      <c r="P361" s="808"/>
      <c r="Q361" s="808"/>
      <c r="R361" s="808"/>
      <c r="S361" s="808"/>
      <c r="T361" s="808"/>
      <c r="U361" s="808"/>
      <c r="V361" s="808"/>
      <c r="W361" s="808"/>
      <c r="X361" s="808"/>
      <c r="Y361" s="808"/>
      <c r="Z361" s="808"/>
      <c r="AA361" s="808"/>
      <c r="AB361" s="859" t="s">
        <v>746</v>
      </c>
      <c r="AC361" s="8694">
        <v>44</v>
      </c>
      <c r="AD361" s="8728"/>
      <c r="AE361" s="8729"/>
      <c r="AF361" s="8729"/>
      <c r="AG361" s="8729"/>
      <c r="AH361" s="8729"/>
      <c r="AI361" s="8729"/>
      <c r="AJ361" s="8729"/>
      <c r="AK361" s="461"/>
      <c r="AM361" s="8692"/>
      <c r="AN361" s="8692"/>
      <c r="AO361" s="8692"/>
      <c r="BL361" s="1346"/>
      <c r="BM361" s="1346"/>
    </row>
    <row r="362" spans="1:65" ht="15" customHeight="1">
      <c r="A362" s="461"/>
      <c r="B362" s="808"/>
      <c r="C362" s="1362" t="s">
        <v>3857</v>
      </c>
      <c r="D362" s="2112" t="s">
        <v>3858</v>
      </c>
      <c r="E362" s="808"/>
      <c r="F362" s="808"/>
      <c r="G362" s="808"/>
      <c r="H362" s="808"/>
      <c r="I362" s="808"/>
      <c r="J362" s="808"/>
      <c r="K362" s="808"/>
      <c r="L362" s="808"/>
      <c r="M362" s="808"/>
      <c r="N362" s="808"/>
      <c r="O362" s="808"/>
      <c r="P362" s="808"/>
      <c r="Q362" s="808"/>
      <c r="R362" s="808"/>
      <c r="S362" s="808"/>
      <c r="T362" s="808"/>
      <c r="U362" s="808"/>
      <c r="V362" s="808"/>
      <c r="W362" s="808"/>
      <c r="X362" s="808"/>
      <c r="Y362" s="808"/>
      <c r="Z362" s="808"/>
      <c r="AA362" s="808"/>
      <c r="AB362" s="808"/>
      <c r="AC362" s="8011"/>
      <c r="AD362" s="8730"/>
      <c r="AE362" s="8832">
        <f>IF(AO193,$AE$170,0)</f>
        <v>0</v>
      </c>
      <c r="AF362" s="8833"/>
      <c r="AG362" s="8833"/>
      <c r="AH362" s="8833"/>
      <c r="AI362" s="8833"/>
      <c r="AJ362" s="8833"/>
      <c r="AK362" s="461"/>
      <c r="AM362" s="8692"/>
      <c r="AN362" s="8692"/>
      <c r="AO362" s="8692"/>
      <c r="BL362" s="1346"/>
      <c r="BM362" s="1346"/>
    </row>
    <row r="363" spans="1:65" ht="15" customHeight="1" thickBot="1">
      <c r="A363" s="461"/>
      <c r="B363" s="808"/>
      <c r="C363" s="808"/>
      <c r="D363" s="2112" t="s">
        <v>3859</v>
      </c>
      <c r="E363" s="808"/>
      <c r="F363" s="808"/>
      <c r="G363" s="808"/>
      <c r="H363" s="808"/>
      <c r="I363" s="808"/>
      <c r="J363" s="808"/>
      <c r="K363" s="808"/>
      <c r="L363" s="808"/>
      <c r="M363" s="808"/>
      <c r="N363" s="808"/>
      <c r="O363" s="808"/>
      <c r="P363" s="808"/>
      <c r="Q363" s="808"/>
      <c r="R363" s="808"/>
      <c r="S363" s="808"/>
      <c r="T363" s="808"/>
      <c r="U363" s="808"/>
      <c r="V363" s="808"/>
      <c r="W363" s="808"/>
      <c r="X363" s="808"/>
      <c r="Y363" s="808"/>
      <c r="Z363" s="808"/>
      <c r="AA363" s="808"/>
      <c r="AB363" s="808"/>
      <c r="AC363" s="7933"/>
      <c r="AD363" s="8809"/>
      <c r="AE363" s="8826">
        <f>IF(AND(NOT(AO193),AO194),$AE$170,0)</f>
        <v>0</v>
      </c>
      <c r="AF363" s="8827"/>
      <c r="AG363" s="8827"/>
      <c r="AH363" s="8827"/>
      <c r="AI363" s="8827"/>
      <c r="AJ363" s="8827"/>
      <c r="AK363" s="461"/>
      <c r="AM363" s="1376" t="s">
        <v>867</v>
      </c>
      <c r="BL363" s="1346"/>
      <c r="BM363" s="1346"/>
    </row>
    <row r="364" spans="1:65" ht="15" customHeight="1" thickBot="1">
      <c r="A364" s="461"/>
      <c r="B364" s="808"/>
      <c r="C364" s="808"/>
      <c r="D364" s="2112" t="s">
        <v>3860</v>
      </c>
      <c r="E364" s="808"/>
      <c r="F364" s="808"/>
      <c r="G364" s="808"/>
      <c r="H364" s="808"/>
      <c r="I364" s="808"/>
      <c r="J364" s="808"/>
      <c r="K364" s="808"/>
      <c r="L364" s="808"/>
      <c r="M364" s="808"/>
      <c r="N364" s="808"/>
      <c r="O364" s="808"/>
      <c r="P364" s="808"/>
      <c r="Q364" s="808"/>
      <c r="R364" s="808"/>
      <c r="S364" s="808"/>
      <c r="T364" s="808"/>
      <c r="U364" s="808"/>
      <c r="V364" s="808"/>
      <c r="W364" s="808"/>
      <c r="X364" s="808"/>
      <c r="Y364" s="808"/>
      <c r="Z364" s="808"/>
      <c r="AA364" s="808"/>
      <c r="AB364" s="859" t="s">
        <v>714</v>
      </c>
      <c r="AC364" s="8694">
        <v>45</v>
      </c>
      <c r="AD364" s="8728"/>
      <c r="AE364" s="8807">
        <f>IF(AM364&lt;&gt;"",ROUND(AM364,0),IF(AE359=0,0,SUM(AE359,-AE361)))</f>
        <v>0</v>
      </c>
      <c r="AF364" s="8807"/>
      <c r="AG364" s="8807"/>
      <c r="AH364" s="8807"/>
      <c r="AI364" s="8807"/>
      <c r="AJ364" s="8807"/>
      <c r="AK364" s="461"/>
      <c r="AM364" s="1407"/>
      <c r="AO364" s="4671" t="e">
        <f>IF(F2555_Line45_2="",0,F2555_Line45)</f>
        <v>#NAME?</v>
      </c>
      <c r="BL364" s="1346"/>
      <c r="BM364" s="1346"/>
    </row>
    <row r="365" spans="1:65" ht="7.5" customHeight="1">
      <c r="A365" s="461"/>
      <c r="B365" s="1326"/>
      <c r="C365" s="1326"/>
      <c r="D365" s="8828" t="s">
        <v>3861</v>
      </c>
      <c r="E365" s="8829"/>
      <c r="F365" s="8829"/>
      <c r="G365" s="8829"/>
      <c r="H365" s="8829"/>
      <c r="I365" s="8829"/>
      <c r="J365" s="8829"/>
      <c r="K365" s="8829"/>
      <c r="L365" s="8829"/>
      <c r="M365" s="8829"/>
      <c r="N365" s="8829"/>
      <c r="O365" s="8829"/>
      <c r="P365" s="8829"/>
      <c r="Q365" s="8829"/>
      <c r="R365" s="8829"/>
      <c r="S365" s="8829"/>
      <c r="T365" s="8829"/>
      <c r="U365" s="8829"/>
      <c r="V365" s="8829"/>
      <c r="W365" s="8829"/>
      <c r="X365" s="8829"/>
      <c r="Y365" s="8829"/>
      <c r="Z365" s="8829"/>
      <c r="AA365" s="8829"/>
      <c r="AB365" s="8829"/>
      <c r="AC365" s="8829"/>
      <c r="AD365" s="8829"/>
      <c r="AE365" s="8829"/>
      <c r="AF365" s="8829"/>
      <c r="AG365" s="8829"/>
      <c r="AH365" s="8829"/>
      <c r="AI365" s="8829"/>
      <c r="AJ365" s="8829"/>
      <c r="AK365" s="461"/>
    </row>
    <row r="366" spans="1:65" ht="15" customHeight="1">
      <c r="A366" s="461"/>
      <c r="B366" s="8698" t="s">
        <v>3862</v>
      </c>
      <c r="C366" s="6435"/>
      <c r="D366" s="8830"/>
      <c r="E366" s="8830"/>
      <c r="F366" s="8830"/>
      <c r="G366" s="8830"/>
      <c r="H366" s="8830"/>
      <c r="I366" s="8830"/>
      <c r="J366" s="8830"/>
      <c r="K366" s="8830"/>
      <c r="L366" s="8830"/>
      <c r="M366" s="8830"/>
      <c r="N366" s="8830"/>
      <c r="O366" s="8830"/>
      <c r="P366" s="8830"/>
      <c r="Q366" s="8830"/>
      <c r="R366" s="8830"/>
      <c r="S366" s="8830"/>
      <c r="T366" s="8830"/>
      <c r="U366" s="8830"/>
      <c r="V366" s="8830"/>
      <c r="W366" s="8830"/>
      <c r="X366" s="8830"/>
      <c r="Y366" s="8830"/>
      <c r="Z366" s="8830"/>
      <c r="AA366" s="8830"/>
      <c r="AB366" s="8830"/>
      <c r="AC366" s="8830"/>
      <c r="AD366" s="8830"/>
      <c r="AE366" s="8830"/>
      <c r="AF366" s="8830"/>
      <c r="AG366" s="8830"/>
      <c r="AH366" s="8830"/>
      <c r="AI366" s="8830"/>
      <c r="AJ366" s="8830"/>
      <c r="AK366" s="461"/>
      <c r="AM366" s="4672" t="b">
        <f>AND(AO339&gt;AO344,ForeignEarnedIncome2&gt;AO359)</f>
        <v>0</v>
      </c>
    </row>
    <row r="367" spans="1:65" ht="7.5" customHeight="1">
      <c r="A367" s="461"/>
      <c r="B367" s="1330"/>
      <c r="C367" s="1330"/>
      <c r="D367" s="8831"/>
      <c r="E367" s="8831"/>
      <c r="F367" s="8831"/>
      <c r="G367" s="8831"/>
      <c r="H367" s="8831"/>
      <c r="I367" s="8831"/>
      <c r="J367" s="8831"/>
      <c r="K367" s="8831"/>
      <c r="L367" s="8831"/>
      <c r="M367" s="8831"/>
      <c r="N367" s="8831"/>
      <c r="O367" s="8831"/>
      <c r="P367" s="8831"/>
      <c r="Q367" s="8831"/>
      <c r="R367" s="8831"/>
      <c r="S367" s="8831"/>
      <c r="T367" s="8831"/>
      <c r="U367" s="8831"/>
      <c r="V367" s="8831"/>
      <c r="W367" s="8831"/>
      <c r="X367" s="8831"/>
      <c r="Y367" s="8831"/>
      <c r="Z367" s="8831"/>
      <c r="AA367" s="8831"/>
      <c r="AB367" s="8831"/>
      <c r="AC367" s="8831"/>
      <c r="AD367" s="8831"/>
      <c r="AE367" s="8831"/>
      <c r="AF367" s="8831"/>
      <c r="AG367" s="8831"/>
      <c r="AH367" s="8831"/>
      <c r="AI367" s="8831"/>
      <c r="AJ367" s="8831"/>
      <c r="AK367" s="461"/>
    </row>
    <row r="368" spans="1:65" ht="15" customHeight="1">
      <c r="A368" s="461"/>
      <c r="B368" s="808"/>
      <c r="C368" s="1362" t="s">
        <v>3863</v>
      </c>
      <c r="D368" s="2112" t="s">
        <v>3864</v>
      </c>
      <c r="E368" s="808"/>
      <c r="F368" s="808"/>
      <c r="G368" s="808"/>
      <c r="H368" s="808"/>
      <c r="I368" s="808"/>
      <c r="J368" s="808"/>
      <c r="K368" s="808"/>
      <c r="L368" s="808"/>
      <c r="M368" s="808"/>
      <c r="N368" s="808"/>
      <c r="O368" s="808"/>
      <c r="P368" s="808"/>
      <c r="Q368" s="808"/>
      <c r="R368" s="808"/>
      <c r="S368" s="808"/>
      <c r="T368" s="808"/>
      <c r="U368" s="808"/>
      <c r="V368" s="808"/>
      <c r="W368" s="808"/>
      <c r="X368" s="808"/>
      <c r="Y368" s="808"/>
      <c r="Z368" s="808"/>
      <c r="AA368" s="808"/>
      <c r="AB368" s="859" t="s">
        <v>744</v>
      </c>
      <c r="AC368" s="8694">
        <v>46</v>
      </c>
      <c r="AD368" s="8728"/>
      <c r="AE368" s="8807" t="str">
        <f>IF(OR(AM339,NOT(AM366)),"",SUM(AO339,-AO344))</f>
        <v/>
      </c>
      <c r="AF368" s="8807"/>
      <c r="AG368" s="8807"/>
      <c r="AH368" s="8807"/>
      <c r="AI368" s="8807"/>
      <c r="AJ368" s="8807"/>
      <c r="AK368" s="461"/>
      <c r="AM368" s="1332" t="str">
        <f>IF(F2555_Line45_2&gt;FEI_Exclusion_Limit,"For "&amp;TaxYear&amp;", the maximum","")</f>
        <v/>
      </c>
      <c r="BL368" s="1346"/>
      <c r="BM368" s="1346"/>
    </row>
    <row r="369" spans="1:74" ht="15" customHeight="1">
      <c r="A369" s="461"/>
      <c r="B369" s="808"/>
      <c r="C369" s="1362" t="s">
        <v>3865</v>
      </c>
      <c r="D369" s="2112" t="s">
        <v>3866</v>
      </c>
      <c r="E369" s="808"/>
      <c r="F369" s="808"/>
      <c r="G369" s="808"/>
      <c r="H369" s="808"/>
      <c r="I369" s="808"/>
      <c r="J369" s="808"/>
      <c r="K369" s="808"/>
      <c r="L369" s="808"/>
      <c r="M369" s="808"/>
      <c r="N369" s="808"/>
      <c r="O369" s="808"/>
      <c r="P369" s="808"/>
      <c r="Q369" s="808"/>
      <c r="R369" s="808"/>
      <c r="S369" s="808"/>
      <c r="T369" s="808"/>
      <c r="U369" s="808"/>
      <c r="V369" s="808"/>
      <c r="W369" s="808"/>
      <c r="X369" s="808"/>
      <c r="Y369" s="808"/>
      <c r="Z369" s="808"/>
      <c r="AA369" s="808"/>
      <c r="AB369" s="859" t="s">
        <v>744</v>
      </c>
      <c r="AC369" s="8694">
        <v>47</v>
      </c>
      <c r="AD369" s="8728"/>
      <c r="AE369" s="8807" t="str">
        <f>IF(OR(AM339,NOT(AM366)),"",SUM(ForeignEarnedIncome2,-AE359))</f>
        <v/>
      </c>
      <c r="AF369" s="8807"/>
      <c r="AG369" s="8807"/>
      <c r="AH369" s="8807"/>
      <c r="AI369" s="8807"/>
      <c r="AJ369" s="8807"/>
      <c r="AK369" s="461"/>
      <c r="BL369" s="1346"/>
      <c r="BM369" s="1346"/>
    </row>
    <row r="370" spans="1:74" ht="15" customHeight="1">
      <c r="A370" s="461"/>
      <c r="B370" s="808"/>
      <c r="C370" s="1362" t="s">
        <v>3867</v>
      </c>
      <c r="D370" s="2112" t="s">
        <v>3868</v>
      </c>
      <c r="E370" s="808"/>
      <c r="F370" s="808"/>
      <c r="G370" s="808"/>
      <c r="H370" s="808"/>
      <c r="I370" s="808"/>
      <c r="J370" s="808"/>
      <c r="K370" s="808"/>
      <c r="L370" s="808"/>
      <c r="M370" s="808"/>
      <c r="N370" s="808"/>
      <c r="O370" s="808"/>
      <c r="P370" s="808"/>
      <c r="Q370" s="808"/>
      <c r="R370" s="808"/>
      <c r="S370" s="808"/>
      <c r="T370" s="808"/>
      <c r="U370" s="808"/>
      <c r="V370" s="808"/>
      <c r="W370" s="808"/>
      <c r="X370" s="808"/>
      <c r="Y370" s="808"/>
      <c r="Z370" s="808"/>
      <c r="AA370" s="808"/>
      <c r="AB370" s="859" t="s">
        <v>754</v>
      </c>
      <c r="AC370" s="8694">
        <v>48</v>
      </c>
      <c r="AD370" s="8728"/>
      <c r="AE370" s="8807" t="str">
        <f>IF(OR(AM339,NOT(AM366)),"",MIN(AE368,AE369))</f>
        <v/>
      </c>
      <c r="AF370" s="8807"/>
      <c r="AG370" s="8807"/>
      <c r="AH370" s="8807"/>
      <c r="AI370" s="8807"/>
      <c r="AJ370" s="8807"/>
      <c r="AK370" s="461"/>
      <c r="BL370" s="1346"/>
      <c r="BM370" s="1346"/>
    </row>
    <row r="371" spans="1:74" ht="15" customHeight="1">
      <c r="A371" s="461"/>
      <c r="B371" s="808"/>
      <c r="C371" s="808"/>
      <c r="D371" s="2112" t="s">
        <v>3869</v>
      </c>
      <c r="E371" s="808"/>
      <c r="F371" s="1116"/>
      <c r="G371" s="808"/>
      <c r="H371" s="808"/>
      <c r="I371" s="808"/>
      <c r="J371" s="808"/>
      <c r="K371" s="808"/>
      <c r="L371" s="808"/>
      <c r="M371" s="808"/>
      <c r="N371" s="808"/>
      <c r="O371" s="808"/>
      <c r="P371" s="808"/>
      <c r="Q371" s="808"/>
      <c r="R371" s="808"/>
      <c r="S371" s="2112"/>
      <c r="T371" s="2112"/>
      <c r="U371" s="808"/>
      <c r="V371" s="808"/>
      <c r="W371" s="808"/>
      <c r="X371" s="808"/>
      <c r="Y371" s="808"/>
      <c r="Z371" s="808"/>
      <c r="AA371" s="808"/>
      <c r="AB371" s="3604" t="str">
        <f>"all of your "&amp;TaxYear-1&amp;" housing deduction "</f>
        <v xml:space="preserve">all of your 2022 housing deduction </v>
      </c>
      <c r="AC371" s="8815"/>
      <c r="AD371" s="8816"/>
      <c r="AE371" s="8011"/>
      <c r="AF371" s="8731"/>
      <c r="AG371" s="8731"/>
      <c r="AH371" s="8731"/>
      <c r="AI371" s="8731"/>
      <c r="AJ371" s="8731"/>
      <c r="AK371" s="461"/>
      <c r="BL371" s="1346"/>
      <c r="BM371" s="1346"/>
    </row>
    <row r="372" spans="1:74" ht="15" customHeight="1">
      <c r="A372" s="461"/>
      <c r="B372" s="808"/>
      <c r="C372" s="808"/>
      <c r="D372" s="2112" t="str">
        <f>"because of the "&amp;TaxYear-1&amp;" limit, use the Housing Deduction Carryover Worksheet in the instructions to"</f>
        <v>because of the 2022 limit, use the Housing Deduction Carryover Worksheet in the instructions to</v>
      </c>
      <c r="E372" s="808"/>
      <c r="F372" s="808"/>
      <c r="G372" s="808"/>
      <c r="H372" s="808"/>
      <c r="I372" s="808"/>
      <c r="J372" s="808"/>
      <c r="K372" s="808"/>
      <c r="L372" s="808"/>
      <c r="M372" s="808"/>
      <c r="N372" s="808"/>
      <c r="O372" s="808"/>
      <c r="P372" s="808"/>
      <c r="Q372" s="808"/>
      <c r="R372" s="808"/>
      <c r="S372" s="808"/>
      <c r="T372" s="808"/>
      <c r="U372" s="808"/>
      <c r="V372" s="808"/>
      <c r="W372" s="808"/>
      <c r="X372" s="808"/>
      <c r="Y372" s="808"/>
      <c r="Z372" s="808"/>
      <c r="AA372" s="808"/>
      <c r="AB372" s="808"/>
      <c r="AC372" s="8834"/>
      <c r="AD372" s="8835"/>
      <c r="AE372" s="7933"/>
      <c r="AF372" s="8802"/>
      <c r="AG372" s="8802"/>
      <c r="AH372" s="8802"/>
      <c r="AI372" s="8802"/>
      <c r="AJ372" s="8802"/>
      <c r="AK372" s="461"/>
      <c r="BL372" s="1346"/>
      <c r="BM372" s="1346"/>
    </row>
    <row r="373" spans="1:74" ht="15" customHeight="1">
      <c r="A373" s="461"/>
      <c r="B373" s="808"/>
      <c r="C373" s="808"/>
      <c r="D373" s="2112" t="s">
        <v>3870</v>
      </c>
      <c r="E373" s="808"/>
      <c r="F373" s="808"/>
      <c r="G373" s="808"/>
      <c r="H373" s="808"/>
      <c r="I373" s="808"/>
      <c r="J373" s="808"/>
      <c r="K373" s="808"/>
      <c r="L373" s="808"/>
      <c r="M373" s="808"/>
      <c r="N373" s="808"/>
      <c r="O373" s="808"/>
      <c r="P373" s="808"/>
      <c r="Q373" s="808"/>
      <c r="R373" s="808"/>
      <c r="S373" s="808"/>
      <c r="T373" s="808"/>
      <c r="U373" s="808"/>
      <c r="V373" s="808"/>
      <c r="W373" s="808"/>
      <c r="X373" s="808"/>
      <c r="Y373" s="808"/>
      <c r="Z373" s="808"/>
      <c r="AA373" s="808"/>
      <c r="AB373" s="808"/>
      <c r="AC373" s="8834"/>
      <c r="AD373" s="8835"/>
      <c r="AE373" s="7933"/>
      <c r="AF373" s="8802"/>
      <c r="AG373" s="8802"/>
      <c r="AH373" s="8802"/>
      <c r="AI373" s="8802"/>
      <c r="AJ373" s="8802"/>
      <c r="AK373" s="461"/>
      <c r="BL373" s="1346"/>
      <c r="BM373" s="1346"/>
    </row>
    <row r="374" spans="1:74" ht="15" customHeight="1">
      <c r="A374" s="461"/>
      <c r="B374" s="808"/>
      <c r="C374" s="1362" t="s">
        <v>3871</v>
      </c>
      <c r="D374" s="2112" t="str">
        <f>"Housing deduction carryover from "&amp;TaxYear-1&amp;" (from the Housing Deduction Carryover Worksheet in"</f>
        <v>Housing deduction carryover from 2022 (from the Housing Deduction Carryover Worksheet in</v>
      </c>
      <c r="E374" s="808"/>
      <c r="F374" s="808"/>
      <c r="G374" s="808"/>
      <c r="H374" s="808"/>
      <c r="I374" s="808"/>
      <c r="J374" s="808"/>
      <c r="K374" s="808"/>
      <c r="L374" s="808"/>
      <c r="M374" s="808"/>
      <c r="N374" s="808"/>
      <c r="O374" s="808"/>
      <c r="P374" s="808"/>
      <c r="Q374" s="808"/>
      <c r="R374" s="808"/>
      <c r="S374" s="808"/>
      <c r="T374" s="808"/>
      <c r="U374" s="808"/>
      <c r="V374" s="808"/>
      <c r="W374" s="808"/>
      <c r="X374" s="808"/>
      <c r="Y374" s="808"/>
      <c r="Z374" s="808"/>
      <c r="AA374" s="808"/>
      <c r="AB374" s="808"/>
      <c r="AC374" s="8834"/>
      <c r="AD374" s="8835"/>
      <c r="AE374" s="7933"/>
      <c r="AF374" s="8802"/>
      <c r="AG374" s="8802"/>
      <c r="AH374" s="8802"/>
      <c r="AI374" s="8802"/>
      <c r="AJ374" s="8802"/>
      <c r="AK374" s="461"/>
      <c r="BL374" s="1346"/>
      <c r="BM374" s="1346"/>
    </row>
    <row r="375" spans="1:74" ht="15" customHeight="1">
      <c r="A375" s="461"/>
      <c r="B375" s="808"/>
      <c r="C375" s="808"/>
      <c r="D375" s="2112" t="s">
        <v>3872</v>
      </c>
      <c r="E375" s="808"/>
      <c r="F375" s="808"/>
      <c r="G375" s="808"/>
      <c r="H375" s="808"/>
      <c r="I375" s="808"/>
      <c r="J375" s="808"/>
      <c r="K375" s="808"/>
      <c r="L375" s="808"/>
      <c r="M375" s="808"/>
      <c r="N375" s="808"/>
      <c r="O375" s="808"/>
      <c r="P375" s="808"/>
      <c r="Q375" s="808"/>
      <c r="R375" s="808"/>
      <c r="S375" s="808"/>
      <c r="T375" s="808"/>
      <c r="U375" s="808"/>
      <c r="V375" s="808"/>
      <c r="W375" s="808"/>
      <c r="X375" s="808"/>
      <c r="Y375" s="808"/>
      <c r="Z375" s="808"/>
      <c r="AA375" s="808"/>
      <c r="AB375" s="859" t="s">
        <v>3065</v>
      </c>
      <c r="AC375" s="8694">
        <v>49</v>
      </c>
      <c r="AD375" s="8728"/>
      <c r="AE375" s="8729"/>
      <c r="AF375" s="8729"/>
      <c r="AG375" s="8729"/>
      <c r="AH375" s="8729"/>
      <c r="AI375" s="8729"/>
      <c r="AJ375" s="8729"/>
      <c r="AK375" s="461"/>
      <c r="BL375" s="1346"/>
      <c r="BM375" s="1346"/>
    </row>
    <row r="376" spans="1:74" ht="15" customHeight="1">
      <c r="A376" s="461"/>
      <c r="B376" s="808"/>
      <c r="C376" s="1362" t="s">
        <v>3873</v>
      </c>
      <c r="D376" s="2112" t="s">
        <v>3874</v>
      </c>
      <c r="E376" s="808"/>
      <c r="F376" s="808"/>
      <c r="G376" s="808"/>
      <c r="H376" s="808"/>
      <c r="I376" s="808"/>
      <c r="J376" s="808"/>
      <c r="K376" s="808"/>
      <c r="L376" s="808"/>
      <c r="M376" s="808"/>
      <c r="N376" s="808"/>
      <c r="O376" s="808"/>
      <c r="P376" s="808"/>
      <c r="Q376" s="808"/>
      <c r="R376" s="808"/>
      <c r="S376" s="808"/>
      <c r="T376" s="808"/>
      <c r="U376" s="808"/>
      <c r="V376" s="808"/>
      <c r="W376" s="808"/>
      <c r="X376" s="808"/>
      <c r="Y376" s="808"/>
      <c r="Z376" s="808"/>
      <c r="AA376" s="808"/>
      <c r="AB376" s="808"/>
      <c r="AC376" s="8011"/>
      <c r="AD376" s="8730"/>
      <c r="AE376" s="8011"/>
      <c r="AF376" s="8731"/>
      <c r="AG376" s="8731"/>
      <c r="AH376" s="8731"/>
      <c r="AI376" s="8731"/>
      <c r="AJ376" s="8731"/>
      <c r="AK376" s="461"/>
      <c r="BL376" s="1346"/>
      <c r="BM376" s="1346"/>
    </row>
    <row r="377" spans="1:74" ht="15" customHeight="1" thickBot="1">
      <c r="A377" s="461"/>
      <c r="B377" s="808"/>
      <c r="C377" s="808"/>
      <c r="D377" s="2112" t="s">
        <v>3875</v>
      </c>
      <c r="E377" s="808"/>
      <c r="F377" s="808"/>
      <c r="G377" s="808"/>
      <c r="H377" s="808"/>
      <c r="I377" s="808"/>
      <c r="J377" s="808"/>
      <c r="K377" s="808"/>
      <c r="L377" s="808"/>
      <c r="M377" s="808"/>
      <c r="N377" s="808"/>
      <c r="O377" s="808"/>
      <c r="P377" s="808"/>
      <c r="Q377" s="808"/>
      <c r="R377" s="808"/>
      <c r="S377" s="808"/>
      <c r="T377" s="808"/>
      <c r="U377" s="808"/>
      <c r="V377" s="808"/>
      <c r="W377" s="808"/>
      <c r="X377" s="808"/>
      <c r="Y377" s="808"/>
      <c r="Z377" s="808"/>
      <c r="AA377" s="808"/>
      <c r="AB377" s="808"/>
      <c r="AC377" s="7933"/>
      <c r="AD377" s="8809"/>
      <c r="AE377" s="7933"/>
      <c r="AF377" s="8802"/>
      <c r="AG377" s="8802"/>
      <c r="AH377" s="8802"/>
      <c r="AI377" s="8802"/>
      <c r="AJ377" s="8802"/>
      <c r="AK377" s="461"/>
      <c r="AM377" s="1376" t="s">
        <v>867</v>
      </c>
      <c r="BL377" s="1346"/>
      <c r="BM377" s="1346"/>
    </row>
    <row r="378" spans="1:74" ht="15" customHeight="1" thickBot="1">
      <c r="A378" s="461"/>
      <c r="B378" s="808"/>
      <c r="C378" s="808"/>
      <c r="D378" s="2112" t="s">
        <v>3876</v>
      </c>
      <c r="E378" s="808"/>
      <c r="F378" s="808"/>
      <c r="G378" s="808"/>
      <c r="H378" s="808"/>
      <c r="I378" s="808"/>
      <c r="J378" s="808"/>
      <c r="K378" s="808"/>
      <c r="L378" s="808"/>
      <c r="M378" s="808"/>
      <c r="N378" s="808"/>
      <c r="O378" s="808"/>
      <c r="P378" s="808"/>
      <c r="Q378" s="808"/>
      <c r="R378" s="808"/>
      <c r="S378" s="808"/>
      <c r="T378" s="808"/>
      <c r="U378" s="808"/>
      <c r="V378" s="808"/>
      <c r="W378" s="808"/>
      <c r="X378" s="808"/>
      <c r="Y378" s="808"/>
      <c r="Z378" s="808"/>
      <c r="AA378" s="808"/>
      <c r="AB378" s="859" t="s">
        <v>722</v>
      </c>
      <c r="AC378" s="8694">
        <v>50</v>
      </c>
      <c r="AD378" s="8728"/>
      <c r="AE378" s="8807" t="str">
        <f>IF(AM378&lt;&gt;"",ROUND(AM378,0),IF(OR(AM339,NOT(AM366)),"",SUM(AE370,AE375)))</f>
        <v/>
      </c>
      <c r="AF378" s="8807"/>
      <c r="AG378" s="8807"/>
      <c r="AH378" s="8807"/>
      <c r="AI378" s="8807"/>
      <c r="AJ378" s="8807"/>
      <c r="AK378" s="461"/>
      <c r="AM378" s="1407"/>
      <c r="AO378" s="4659">
        <f>IF(AE378="",0,AE378)</f>
        <v>0</v>
      </c>
      <c r="BL378" s="1346"/>
      <c r="BM378" s="1346"/>
    </row>
    <row r="379" spans="1:74" ht="18.75" thickTop="1">
      <c r="A379" s="461"/>
      <c r="B379" s="963"/>
      <c r="C379" s="963"/>
      <c r="D379" s="963"/>
      <c r="E379" s="963"/>
      <c r="F379" s="963"/>
      <c r="G379" s="963"/>
      <c r="H379" s="963"/>
      <c r="I379" s="963"/>
      <c r="J379" s="963"/>
      <c r="K379" s="963"/>
      <c r="L379" s="963"/>
      <c r="M379" s="963"/>
      <c r="N379" s="963"/>
      <c r="O379" s="963"/>
      <c r="P379" s="963"/>
      <c r="Q379" s="963"/>
      <c r="R379" s="963"/>
      <c r="S379" s="963"/>
      <c r="T379" s="963"/>
      <c r="U379" s="963"/>
      <c r="V379" s="963"/>
      <c r="W379" s="963"/>
      <c r="X379" s="963"/>
      <c r="Y379" s="963"/>
      <c r="Z379" s="963"/>
      <c r="AA379" s="963"/>
      <c r="AB379" s="963"/>
      <c r="AC379" s="963"/>
      <c r="AD379" s="963"/>
      <c r="AE379" s="963"/>
      <c r="AF379" s="963"/>
      <c r="AG379" s="963"/>
      <c r="AH379" s="3409" t="s">
        <v>3877</v>
      </c>
      <c r="AI379" s="1381"/>
      <c r="AJ379" s="3408" t="str">
        <f>"("&amp;TaxYear&amp;")"</f>
        <v>(2023)</v>
      </c>
      <c r="AK379" s="461"/>
      <c r="AM379" s="4658"/>
      <c r="AO379" s="1352"/>
      <c r="AP379" s="1353"/>
      <c r="BL379" s="1346"/>
      <c r="BM379" s="1346"/>
      <c r="BO379" s="1346"/>
      <c r="BP379" s="1346"/>
      <c r="BQ379" s="1346"/>
      <c r="BR379" s="1346"/>
      <c r="BS379" s="1346"/>
      <c r="BT379" s="1346"/>
      <c r="BU379" s="1346"/>
      <c r="BV379" s="1346"/>
    </row>
    <row r="380" spans="1:74">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c r="AA380" s="461"/>
      <c r="AB380" s="461"/>
      <c r="AC380" s="461"/>
      <c r="AD380" s="461"/>
      <c r="AE380" s="461"/>
      <c r="AF380" s="461"/>
      <c r="AG380" s="461"/>
      <c r="AH380" s="461"/>
      <c r="AI380" s="461"/>
      <c r="AJ380" s="461"/>
      <c r="AK380" s="461"/>
      <c r="BL380" s="1346"/>
      <c r="BM380" s="1346"/>
    </row>
    <row r="381" spans="1:74">
      <c r="AL381" s="4659"/>
      <c r="AM381" s="5287" t="s">
        <v>605</v>
      </c>
      <c r="AN381" s="4659"/>
      <c r="AO381" s="5287" t="s">
        <v>606</v>
      </c>
      <c r="AP381" s="4659"/>
      <c r="BL381" s="1346"/>
      <c r="BM381" s="1346"/>
    </row>
    <row r="382" spans="1:74">
      <c r="AL382" s="5288"/>
      <c r="AM382" s="4659" t="b">
        <f>AO4</f>
        <v>1</v>
      </c>
      <c r="AN382" s="4659"/>
      <c r="AO382" s="4659" t="b">
        <f>AND(NOT(AO4),AO5)</f>
        <v>0</v>
      </c>
      <c r="AP382" s="4659"/>
      <c r="BL382" s="1346"/>
      <c r="BM382" s="1346"/>
    </row>
    <row r="383" spans="1:74">
      <c r="AL383" s="4659"/>
      <c r="AM383" s="4659" t="b">
        <f>AO193</f>
        <v>0</v>
      </c>
      <c r="AN383" s="4659"/>
      <c r="AO383" s="4659" t="b">
        <f>AND(NOT(AO193),AO194)</f>
        <v>1</v>
      </c>
      <c r="AP383" s="4659"/>
      <c r="BL383" s="1346"/>
      <c r="BM383" s="1346"/>
    </row>
    <row r="384" spans="1:74">
      <c r="AL384" s="5289" t="s">
        <v>3878</v>
      </c>
      <c r="AM384" s="4659"/>
      <c r="AN384" s="4659"/>
      <c r="AO384" s="4659"/>
      <c r="AP384" s="4659"/>
      <c r="BL384" s="1346"/>
      <c r="BM384" s="1346"/>
    </row>
    <row r="385" spans="38:65">
      <c r="AL385" s="5288" t="s">
        <v>3879</v>
      </c>
      <c r="AM385" s="4671">
        <f>IF($AM$382,ForeignIncExclusion1,0)</f>
        <v>0</v>
      </c>
      <c r="AN385" s="4659"/>
      <c r="AO385" s="4671">
        <f>IF($AO$382,ForeignIncExclusion1,0)</f>
        <v>0</v>
      </c>
      <c r="AP385" s="4659"/>
      <c r="BL385" s="1346"/>
      <c r="BM385" s="1346"/>
    </row>
    <row r="386" spans="38:65">
      <c r="AL386" s="5288" t="s">
        <v>3880</v>
      </c>
      <c r="AM386" s="4671">
        <f>IF($AM$383,ForeignIncExclusion2,0)</f>
        <v>0</v>
      </c>
      <c r="AN386" s="4659"/>
      <c r="AO386" s="4671">
        <f>IF($AO$383,ForeignIncExclusion2,0)</f>
        <v>0</v>
      </c>
      <c r="AP386" s="4659"/>
      <c r="BL386" s="1346"/>
      <c r="BM386" s="1346"/>
    </row>
    <row r="387" spans="38:65">
      <c r="AL387" s="5288" t="s">
        <v>3881</v>
      </c>
      <c r="AM387" s="4671">
        <f>SUM(AM385,AM386)</f>
        <v>0</v>
      </c>
      <c r="AN387" s="5288" t="s">
        <v>3882</v>
      </c>
      <c r="AO387" s="4671">
        <f>SUM(AO385,AO386)</f>
        <v>0</v>
      </c>
      <c r="AP387" s="4659"/>
      <c r="BL387" s="1346"/>
      <c r="BM387" s="1346"/>
    </row>
    <row r="388" spans="38:65">
      <c r="AL388" s="5288" t="s">
        <v>3883</v>
      </c>
      <c r="AM388" s="4671">
        <f>SUM(ForeignIncExclusionYou,ForeignIncExclusionSpouse)</f>
        <v>0</v>
      </c>
      <c r="AN388" s="4659"/>
      <c r="AO388" s="4659"/>
      <c r="AP388" s="4659"/>
      <c r="BL388" s="1346"/>
      <c r="BM388" s="1346"/>
    </row>
    <row r="389" spans="38:65">
      <c r="AL389" s="5288"/>
      <c r="AM389" s="4671"/>
      <c r="AN389" s="4659"/>
      <c r="AO389" s="4659"/>
      <c r="AP389" s="4659"/>
      <c r="BL389" s="1346"/>
      <c r="BM389" s="1346"/>
    </row>
    <row r="390" spans="38:65">
      <c r="AL390" s="5289" t="s">
        <v>3884</v>
      </c>
      <c r="AM390" s="4659"/>
      <c r="AN390" s="4659"/>
      <c r="AO390" s="4659"/>
      <c r="AP390" s="4659"/>
      <c r="BL390" s="1346"/>
      <c r="BM390" s="1346"/>
    </row>
    <row r="391" spans="38:65">
      <c r="AL391" s="5288" t="s">
        <v>3885</v>
      </c>
      <c r="AM391" s="4671">
        <f>IF($AM$382,F2555_Line45_1,0)</f>
        <v>0</v>
      </c>
      <c r="AN391" s="4659"/>
      <c r="AO391" s="4671">
        <f>IF($AO$382,F2555_Line45_1,0)</f>
        <v>0</v>
      </c>
      <c r="AP391" s="4659"/>
      <c r="BL391" s="1346"/>
      <c r="BM391" s="1346"/>
    </row>
    <row r="392" spans="38:65">
      <c r="AL392" s="5288" t="s">
        <v>3886</v>
      </c>
      <c r="AM392" s="4671">
        <f>IF($AM$383,F2555_Line45_2,0)</f>
        <v>0</v>
      </c>
      <c r="AN392" s="4659"/>
      <c r="AO392" s="4671">
        <f>IF($AO$383,F2555_Line45_2,0)</f>
        <v>0</v>
      </c>
      <c r="AP392" s="4659"/>
      <c r="BL392" s="1346"/>
      <c r="BM392" s="1346"/>
    </row>
    <row r="393" spans="38:65">
      <c r="AL393" s="5288" t="s">
        <v>3887</v>
      </c>
      <c r="AM393" s="4671">
        <f>SUM(AM391,AM392)</f>
        <v>0</v>
      </c>
      <c r="AN393" s="5288" t="s">
        <v>3888</v>
      </c>
      <c r="AO393" s="4671">
        <f>SUM(AO391,AO392)</f>
        <v>0</v>
      </c>
      <c r="AP393" s="4659"/>
      <c r="BL393" s="1346"/>
      <c r="BM393" s="1346"/>
    </row>
    <row r="394" spans="38:65">
      <c r="AL394" s="5288" t="s">
        <v>3889</v>
      </c>
      <c r="AM394" s="4671">
        <f>SUM(F2555_Line45_You,F2555_Line45_Spouse)</f>
        <v>0</v>
      </c>
      <c r="AN394" s="4659"/>
      <c r="AO394" s="4659"/>
      <c r="AP394" s="4659"/>
      <c r="BL394" s="1346"/>
      <c r="BM394" s="1346"/>
    </row>
    <row r="395" spans="38:65">
      <c r="AL395" s="5288"/>
      <c r="AM395" s="4671"/>
      <c r="AN395" s="4659"/>
      <c r="AO395" s="4659"/>
      <c r="AP395" s="4659"/>
      <c r="BL395" s="1346"/>
      <c r="BM395" s="1346"/>
    </row>
    <row r="396" spans="38:65">
      <c r="AL396" s="5289" t="s">
        <v>3890</v>
      </c>
      <c r="AM396" s="4659"/>
      <c r="AN396" s="4659"/>
      <c r="AO396" s="4659"/>
      <c r="AP396" s="4659"/>
      <c r="BL396" s="1346"/>
      <c r="BM396" s="1346"/>
    </row>
    <row r="397" spans="38:65">
      <c r="AL397" s="5288" t="s">
        <v>3891</v>
      </c>
      <c r="AM397" s="4671">
        <f>IF($AM$382,ForeignHousingDeduction1,0)</f>
        <v>0</v>
      </c>
      <c r="AN397" s="4659"/>
      <c r="AO397" s="4671">
        <f>IF($AO$382,ForeignHousingDeduction1,0)</f>
        <v>0</v>
      </c>
      <c r="AP397" s="4659"/>
      <c r="BL397" s="1346"/>
      <c r="BM397" s="1346"/>
    </row>
    <row r="398" spans="38:65">
      <c r="AL398" s="5288" t="s">
        <v>3892</v>
      </c>
      <c r="AM398" s="4671">
        <f>IF($AM$383,ForeignHousingDeduction2,0)</f>
        <v>0</v>
      </c>
      <c r="AN398" s="4659"/>
      <c r="AO398" s="4671">
        <f>IF($AO$383,ForeignHousingDeduction2,0)</f>
        <v>0</v>
      </c>
      <c r="AP398" s="4659"/>
      <c r="BL398" s="1346"/>
      <c r="BM398" s="1346"/>
    </row>
    <row r="399" spans="38:65">
      <c r="AL399" s="5288" t="s">
        <v>3893</v>
      </c>
      <c r="AM399" s="4671">
        <f>SUM(AM397,AM398)</f>
        <v>0</v>
      </c>
      <c r="AN399" s="5288" t="s">
        <v>3894</v>
      </c>
      <c r="AO399" s="4671">
        <f>SUM(AO397,AO398)</f>
        <v>0</v>
      </c>
      <c r="AP399" s="4659"/>
      <c r="BL399" s="1346"/>
      <c r="BM399" s="1346"/>
    </row>
    <row r="400" spans="38:65">
      <c r="AL400" s="5288" t="s">
        <v>3895</v>
      </c>
      <c r="AM400" s="4671">
        <f>SUM(ForeignHousingDeductionYou,ForeignHousingDeductionSpouse)</f>
        <v>0</v>
      </c>
      <c r="AN400" s="4659"/>
      <c r="AO400" s="4659"/>
      <c r="AP400" s="4659"/>
      <c r="BL400" s="1346"/>
      <c r="BM400" s="1346"/>
    </row>
    <row r="401" spans="38:65">
      <c r="AL401" s="4659"/>
      <c r="AM401" s="4659" t="b">
        <f>ForeignHousingDeductionTotal&gt;0</f>
        <v>0</v>
      </c>
      <c r="AN401" s="4659"/>
      <c r="AO401" s="4659"/>
      <c r="AP401" s="4659"/>
      <c r="BL401" s="1346"/>
      <c r="BM401" s="1346"/>
    </row>
    <row r="402" spans="38:65">
      <c r="AL402" s="4659"/>
      <c r="AM402" s="4659"/>
      <c r="AN402" s="4659"/>
      <c r="AO402" s="4659"/>
      <c r="AP402" s="4659"/>
      <c r="BL402" s="1346"/>
      <c r="BM402" s="1346"/>
    </row>
    <row r="403" spans="38:65">
      <c r="AL403" s="4659"/>
      <c r="AM403" s="4659"/>
      <c r="AN403" s="6233" t="s">
        <v>5894</v>
      </c>
      <c r="AO403" s="4659" t="b">
        <f>ForeignIncExclusionTotal&gt;0</f>
        <v>0</v>
      </c>
      <c r="AP403" s="4659"/>
      <c r="BL403" s="1346"/>
      <c r="BM403" s="1346"/>
    </row>
    <row r="404" spans="38:65">
      <c r="AL404" s="4659"/>
      <c r="AM404" s="4659"/>
      <c r="AN404" s="6233" t="s">
        <v>5892</v>
      </c>
      <c r="AO404" s="4659" t="b">
        <f>OR(AND(FEI_HousingExclusion1&lt;&gt;"",FEI_HousingExclusion1&gt;0),AND(FEI_HousingExclusion2&lt;&gt;"",FEI_HousingExclusion2&gt;0))</f>
        <v>0</v>
      </c>
      <c r="AP404" s="4659"/>
      <c r="BL404" s="1346"/>
      <c r="BM404" s="1346"/>
    </row>
    <row r="405" spans="38:65">
      <c r="AL405" s="4659"/>
      <c r="AM405" s="4659"/>
      <c r="AN405" s="6233" t="s">
        <v>5893</v>
      </c>
      <c r="AO405" s="4659" t="b">
        <f>OR(AND(FEI_HousingDeduction1&lt;&gt;"",FEI_HousingDeduction1&gt;0),AND(FEI_HousingDeduction2&lt;&gt;"",FEI_HousingDeduction2&gt;0))</f>
        <v>0</v>
      </c>
      <c r="AP405" s="4659"/>
      <c r="BL405" s="1346"/>
      <c r="BM405" s="1346"/>
    </row>
    <row r="406" spans="38:65">
      <c r="AL406" s="4659"/>
      <c r="AM406" s="4659"/>
      <c r="AN406" s="6233" t="s">
        <v>5895</v>
      </c>
      <c r="AO406" s="4659" t="b">
        <f>OR(AO403,FEI_HousingExclusion,FEI_HousingDeduction)</f>
        <v>0</v>
      </c>
      <c r="AP406" s="4659"/>
      <c r="BL406" s="1346"/>
      <c r="BM406" s="1346"/>
    </row>
    <row r="407" spans="38:65">
      <c r="AL407" s="6232"/>
      <c r="AM407" s="6232"/>
      <c r="AN407" s="6232"/>
      <c r="AO407" s="6232"/>
      <c r="AP407" s="6232"/>
      <c r="BL407" s="1346"/>
      <c r="BM407" s="1346"/>
    </row>
    <row r="408" spans="38:65">
      <c r="AL408" s="6232"/>
      <c r="AM408" s="6232"/>
      <c r="AN408" s="6232"/>
      <c r="AO408" s="6232"/>
      <c r="AP408" s="6232"/>
      <c r="BL408" s="1346"/>
      <c r="BM408" s="1346"/>
    </row>
    <row r="409" spans="38:65">
      <c r="AL409" s="6232"/>
      <c r="AM409" s="6232"/>
      <c r="AN409" s="6232"/>
      <c r="AO409" s="6232"/>
      <c r="AP409" s="6232"/>
      <c r="BL409" s="1346"/>
      <c r="BM409" s="1346"/>
    </row>
    <row r="410" spans="38:65">
      <c r="AL410" s="6232"/>
      <c r="AM410" s="6232"/>
      <c r="AN410" s="6232"/>
      <c r="AO410" s="6232"/>
      <c r="AP410" s="6232"/>
      <c r="BL410" s="1346"/>
      <c r="BM410" s="1346"/>
    </row>
    <row r="411" spans="38:65">
      <c r="BL411" s="1346"/>
      <c r="BM411" s="1346"/>
    </row>
    <row r="412" spans="38:65">
      <c r="BL412" s="1346"/>
      <c r="BM412" s="1346"/>
    </row>
    <row r="413" spans="38:65">
      <c r="BL413" s="1346"/>
      <c r="BM413" s="1346"/>
    </row>
    <row r="414" spans="38:65">
      <c r="BL414" s="1346"/>
      <c r="BM414" s="1346"/>
    </row>
    <row r="415" spans="38:65">
      <c r="BL415" s="1346"/>
      <c r="BM415" s="1346"/>
    </row>
    <row r="416" spans="38:65">
      <c r="BL416" s="1346"/>
      <c r="BM416" s="1346"/>
    </row>
    <row r="417" spans="64:65">
      <c r="BL417" s="1346"/>
      <c r="BM417" s="1346"/>
    </row>
    <row r="418" spans="64:65">
      <c r="BL418" s="1346"/>
      <c r="BM418" s="1346"/>
    </row>
    <row r="419" spans="64:65">
      <c r="BL419" s="1346"/>
      <c r="BM419" s="1346"/>
    </row>
    <row r="420" spans="64:65">
      <c r="BL420" s="1346"/>
      <c r="BM420" s="1346"/>
    </row>
    <row r="421" spans="64:65">
      <c r="BL421" s="1346"/>
      <c r="BM421" s="1346"/>
    </row>
    <row r="422" spans="64:65">
      <c r="BL422" s="1346"/>
      <c r="BM422" s="1346"/>
    </row>
    <row r="423" spans="64:65">
      <c r="BM423" s="1346"/>
    </row>
    <row r="424" spans="64:65">
      <c r="BM424" s="1346"/>
    </row>
  </sheetData>
  <sheetProtection algorithmName="SHA-512" hashValue="DbHYulahKEqpdHIbS6P+1Eegfr6go5F4StUj7+8PqtfPowVE95JEZkNm4EAyCloFHc4OeUrZPFkoUdB8gmySuw==" saltValue="1n7Uk7pSSvy9KlpZ8/qNdA==" spinCount="100000" sheet="1" objects="1" scenarios="1"/>
  <mergeCells count="686">
    <mergeCell ref="AC376:AD376"/>
    <mergeCell ref="AE376:AF376"/>
    <mergeCell ref="AG376:AH376"/>
    <mergeCell ref="AI376:AJ376"/>
    <mergeCell ref="AC377:AD377"/>
    <mergeCell ref="AE377:AF377"/>
    <mergeCell ref="AG377:AH377"/>
    <mergeCell ref="AI377:AJ377"/>
    <mergeCell ref="AC378:AD378"/>
    <mergeCell ref="AE378:AJ378"/>
    <mergeCell ref="AC373:AD373"/>
    <mergeCell ref="AE373:AF373"/>
    <mergeCell ref="AG373:AH373"/>
    <mergeCell ref="AI373:AJ373"/>
    <mergeCell ref="AC374:AD374"/>
    <mergeCell ref="AE374:AF374"/>
    <mergeCell ref="AG374:AH374"/>
    <mergeCell ref="AI374:AJ374"/>
    <mergeCell ref="AC375:AD375"/>
    <mergeCell ref="AE375:AJ375"/>
    <mergeCell ref="AC370:AD370"/>
    <mergeCell ref="AE370:AJ370"/>
    <mergeCell ref="AC371:AD371"/>
    <mergeCell ref="AE371:AF371"/>
    <mergeCell ref="AG371:AH371"/>
    <mergeCell ref="AI371:AJ371"/>
    <mergeCell ref="AC372:AD372"/>
    <mergeCell ref="AE372:AF372"/>
    <mergeCell ref="AG372:AH372"/>
    <mergeCell ref="AI372:AJ372"/>
    <mergeCell ref="AC363:AD363"/>
    <mergeCell ref="AE363:AJ363"/>
    <mergeCell ref="AC364:AD364"/>
    <mergeCell ref="AE364:AJ364"/>
    <mergeCell ref="D365:AJ367"/>
    <mergeCell ref="B366:C366"/>
    <mergeCell ref="AC368:AD368"/>
    <mergeCell ref="AE368:AJ368"/>
    <mergeCell ref="AC369:AD369"/>
    <mergeCell ref="AE369:AJ369"/>
    <mergeCell ref="AC357:AD357"/>
    <mergeCell ref="AE357:AJ357"/>
    <mergeCell ref="AC359:AD359"/>
    <mergeCell ref="AE359:AJ359"/>
    <mergeCell ref="AC360:AD360"/>
    <mergeCell ref="AE360:AF360"/>
    <mergeCell ref="AG360:AH360"/>
    <mergeCell ref="AI360:AJ360"/>
    <mergeCell ref="AM360:AO362"/>
    <mergeCell ref="AC361:AD361"/>
    <mergeCell ref="AE361:AJ361"/>
    <mergeCell ref="AC362:AD362"/>
    <mergeCell ref="AE362:AJ362"/>
    <mergeCell ref="AC353:AD353"/>
    <mergeCell ref="AH353:AJ353"/>
    <mergeCell ref="AC354:AD354"/>
    <mergeCell ref="AE354:AF354"/>
    <mergeCell ref="AG354:AH354"/>
    <mergeCell ref="AI354:AJ354"/>
    <mergeCell ref="AC355:AD355"/>
    <mergeCell ref="AE355:AJ355"/>
    <mergeCell ref="AC356:AD356"/>
    <mergeCell ref="AE356:AJ356"/>
    <mergeCell ref="AC344:AD344"/>
    <mergeCell ref="AE344:AJ344"/>
    <mergeCell ref="AE345:AJ345"/>
    <mergeCell ref="B347:C347"/>
    <mergeCell ref="AE347:AJ347"/>
    <mergeCell ref="AC348:AD348"/>
    <mergeCell ref="AE348:AJ348"/>
    <mergeCell ref="AE349:AJ349"/>
    <mergeCell ref="V350:W350"/>
    <mergeCell ref="X350:Z350"/>
    <mergeCell ref="AA350:AB350"/>
    <mergeCell ref="AC341:AD341"/>
    <mergeCell ref="AE341:AF341"/>
    <mergeCell ref="AG341:AH341"/>
    <mergeCell ref="AI341:AJ341"/>
    <mergeCell ref="AC342:AD342"/>
    <mergeCell ref="AH342:AJ342"/>
    <mergeCell ref="AC343:AD343"/>
    <mergeCell ref="AE343:AF343"/>
    <mergeCell ref="AG343:AH343"/>
    <mergeCell ref="AI343:AJ343"/>
    <mergeCell ref="AC337:AD337"/>
    <mergeCell ref="AE337:AJ337"/>
    <mergeCell ref="AC338:AD338"/>
    <mergeCell ref="AE338:AF338"/>
    <mergeCell ref="AG338:AH338"/>
    <mergeCell ref="AI338:AJ338"/>
    <mergeCell ref="AC339:AD339"/>
    <mergeCell ref="AE339:AJ339"/>
    <mergeCell ref="U340:V340"/>
    <mergeCell ref="W340:AB340"/>
    <mergeCell ref="AC340:AD340"/>
    <mergeCell ref="AE340:AF340"/>
    <mergeCell ref="AG340:AH340"/>
    <mergeCell ref="AI340:AJ340"/>
    <mergeCell ref="AC333:AD333"/>
    <mergeCell ref="AE333:AJ333"/>
    <mergeCell ref="AC334:AD334"/>
    <mergeCell ref="AE334:AJ334"/>
    <mergeCell ref="U335:V335"/>
    <mergeCell ref="AA335:AB335"/>
    <mergeCell ref="AE335:AJ335"/>
    <mergeCell ref="U336:V336"/>
    <mergeCell ref="W336:Z336"/>
    <mergeCell ref="AA336:AB336"/>
    <mergeCell ref="AE336:AJ336"/>
    <mergeCell ref="B329:C329"/>
    <mergeCell ref="AC330:AD330"/>
    <mergeCell ref="AE330:AF330"/>
    <mergeCell ref="AG330:AH330"/>
    <mergeCell ref="AI330:AJ330"/>
    <mergeCell ref="AC331:AD331"/>
    <mergeCell ref="AE331:AJ331"/>
    <mergeCell ref="T332:AA332"/>
    <mergeCell ref="AC332:AD332"/>
    <mergeCell ref="AE332:AF332"/>
    <mergeCell ref="AG332:AH332"/>
    <mergeCell ref="AI332:AJ332"/>
    <mergeCell ref="AC318:AD318"/>
    <mergeCell ref="AE318:AJ318"/>
    <mergeCell ref="B321:C321"/>
    <mergeCell ref="AC322:AD322"/>
    <mergeCell ref="AE322:AF322"/>
    <mergeCell ref="AG322:AH322"/>
    <mergeCell ref="AI322:AJ322"/>
    <mergeCell ref="AC323:AD323"/>
    <mergeCell ref="AE323:AJ323"/>
    <mergeCell ref="AC315:AD315"/>
    <mergeCell ref="AE315:AF315"/>
    <mergeCell ref="AG315:AH315"/>
    <mergeCell ref="AI315:AJ315"/>
    <mergeCell ref="AC316:AD316"/>
    <mergeCell ref="AE316:AJ316"/>
    <mergeCell ref="AC317:AD317"/>
    <mergeCell ref="AE317:AF317"/>
    <mergeCell ref="AG317:AH317"/>
    <mergeCell ref="AI317:AJ317"/>
    <mergeCell ref="D312:AA312"/>
    <mergeCell ref="AC312:AD312"/>
    <mergeCell ref="AE312:AJ312"/>
    <mergeCell ref="AC313:AD313"/>
    <mergeCell ref="AE313:AF313"/>
    <mergeCell ref="AG313:AH313"/>
    <mergeCell ref="AI313:AJ313"/>
    <mergeCell ref="AC314:AD314"/>
    <mergeCell ref="AE314:AJ314"/>
    <mergeCell ref="AE309:AF309"/>
    <mergeCell ref="AG309:AH309"/>
    <mergeCell ref="AI309:AJ309"/>
    <mergeCell ref="AC310:AD310"/>
    <mergeCell ref="AE310:AJ310"/>
    <mergeCell ref="R311:AA311"/>
    <mergeCell ref="AC311:AD311"/>
    <mergeCell ref="AE311:AF311"/>
    <mergeCell ref="AG311:AH311"/>
    <mergeCell ref="AI311:AJ311"/>
    <mergeCell ref="O307:S307"/>
    <mergeCell ref="U307:V307"/>
    <mergeCell ref="W307:X307"/>
    <mergeCell ref="Y307:Z307"/>
    <mergeCell ref="AA307:AB307"/>
    <mergeCell ref="D308:S308"/>
    <mergeCell ref="U308:V308"/>
    <mergeCell ref="W308:AB308"/>
    <mergeCell ref="AC309:AD309"/>
    <mergeCell ref="U302:V302"/>
    <mergeCell ref="W302:AB302"/>
    <mergeCell ref="U303:V303"/>
    <mergeCell ref="W303:AB303"/>
    <mergeCell ref="U304:V304"/>
    <mergeCell ref="W304:AB304"/>
    <mergeCell ref="U305:V305"/>
    <mergeCell ref="W305:AB305"/>
    <mergeCell ref="U306:V306"/>
    <mergeCell ref="W306:AB306"/>
    <mergeCell ref="AC298:AD298"/>
    <mergeCell ref="AE298:AJ298"/>
    <mergeCell ref="P299:AA299"/>
    <mergeCell ref="AC299:AD299"/>
    <mergeCell ref="AE299:AF299"/>
    <mergeCell ref="AG299:AH299"/>
    <mergeCell ref="AI299:AJ299"/>
    <mergeCell ref="D300:AA300"/>
    <mergeCell ref="AC300:AD300"/>
    <mergeCell ref="AE300:AJ300"/>
    <mergeCell ref="AC295:AD295"/>
    <mergeCell ref="AE295:AF295"/>
    <mergeCell ref="AG295:AH295"/>
    <mergeCell ref="AI295:AJ295"/>
    <mergeCell ref="AC296:AD296"/>
    <mergeCell ref="AE296:AJ296"/>
    <mergeCell ref="AC297:AD297"/>
    <mergeCell ref="AE297:AF297"/>
    <mergeCell ref="AG297:AH297"/>
    <mergeCell ref="AI297:AJ297"/>
    <mergeCell ref="AC292:AD292"/>
    <mergeCell ref="AE292:AF292"/>
    <mergeCell ref="AG292:AH292"/>
    <mergeCell ref="AI292:AJ292"/>
    <mergeCell ref="AC293:AD293"/>
    <mergeCell ref="AE293:AF293"/>
    <mergeCell ref="AG293:AH293"/>
    <mergeCell ref="AI293:AJ293"/>
    <mergeCell ref="AC294:AD294"/>
    <mergeCell ref="AE294:AJ294"/>
    <mergeCell ref="AC289:AD289"/>
    <mergeCell ref="AE289:AJ289"/>
    <mergeCell ref="V290:AA290"/>
    <mergeCell ref="AC290:AD290"/>
    <mergeCell ref="AE290:AF290"/>
    <mergeCell ref="AG290:AH290"/>
    <mergeCell ref="AI290:AJ290"/>
    <mergeCell ref="D291:AA291"/>
    <mergeCell ref="AC291:AD291"/>
    <mergeCell ref="AE291:AJ291"/>
    <mergeCell ref="B276:C278"/>
    <mergeCell ref="B286:AB286"/>
    <mergeCell ref="AC286:AJ286"/>
    <mergeCell ref="AC287:AD287"/>
    <mergeCell ref="AE287:AJ287"/>
    <mergeCell ref="AC288:AD288"/>
    <mergeCell ref="AE288:AF288"/>
    <mergeCell ref="AG288:AH288"/>
    <mergeCell ref="AI288:AJ288"/>
    <mergeCell ref="B274:M274"/>
    <mergeCell ref="N274:R274"/>
    <mergeCell ref="S274:W274"/>
    <mergeCell ref="X274:AA274"/>
    <mergeCell ref="AB274:AE274"/>
    <mergeCell ref="AF274:AJ274"/>
    <mergeCell ref="B275:M275"/>
    <mergeCell ref="N275:R275"/>
    <mergeCell ref="S275:W275"/>
    <mergeCell ref="X275:AA275"/>
    <mergeCell ref="AB275:AE275"/>
    <mergeCell ref="AF275:AJ275"/>
    <mergeCell ref="B272:M272"/>
    <mergeCell ref="N272:R272"/>
    <mergeCell ref="S272:W272"/>
    <mergeCell ref="X272:AA272"/>
    <mergeCell ref="AB272:AE272"/>
    <mergeCell ref="AF272:AJ272"/>
    <mergeCell ref="B273:M273"/>
    <mergeCell ref="N273:R273"/>
    <mergeCell ref="S273:W273"/>
    <mergeCell ref="X273:AA273"/>
    <mergeCell ref="AB273:AE273"/>
    <mergeCell ref="AF273:AJ273"/>
    <mergeCell ref="B266:C266"/>
    <mergeCell ref="S266:AJ266"/>
    <mergeCell ref="B267:C267"/>
    <mergeCell ref="B271:M271"/>
    <mergeCell ref="N271:R271"/>
    <mergeCell ref="S271:W271"/>
    <mergeCell ref="X271:AA271"/>
    <mergeCell ref="AB271:AE271"/>
    <mergeCell ref="AF271:AJ271"/>
    <mergeCell ref="AA250:AJ250"/>
    <mergeCell ref="D251:AJ251"/>
    <mergeCell ref="T252:AJ252"/>
    <mergeCell ref="G258:AJ258"/>
    <mergeCell ref="D259:AJ259"/>
    <mergeCell ref="B263:C263"/>
    <mergeCell ref="B265:C265"/>
    <mergeCell ref="T265:Z265"/>
    <mergeCell ref="AD265:AJ265"/>
    <mergeCell ref="B248:E248"/>
    <mergeCell ref="F248:I248"/>
    <mergeCell ref="J248:M248"/>
    <mergeCell ref="N248:R248"/>
    <mergeCell ref="S248:V248"/>
    <mergeCell ref="W248:Z248"/>
    <mergeCell ref="AA248:AD248"/>
    <mergeCell ref="AE248:AJ248"/>
    <mergeCell ref="B249:E249"/>
    <mergeCell ref="F249:I249"/>
    <mergeCell ref="J249:M249"/>
    <mergeCell ref="N249:R249"/>
    <mergeCell ref="S249:V249"/>
    <mergeCell ref="W249:Z249"/>
    <mergeCell ref="AA249:AD249"/>
    <mergeCell ref="AE249:AJ249"/>
    <mergeCell ref="B246:E246"/>
    <mergeCell ref="F246:I246"/>
    <mergeCell ref="J246:M246"/>
    <mergeCell ref="N246:R246"/>
    <mergeCell ref="S246:V246"/>
    <mergeCell ref="W246:Z246"/>
    <mergeCell ref="AA246:AD246"/>
    <mergeCell ref="AE246:AJ246"/>
    <mergeCell ref="B247:E247"/>
    <mergeCell ref="F247:I247"/>
    <mergeCell ref="J247:M247"/>
    <mergeCell ref="N247:R247"/>
    <mergeCell ref="S247:V247"/>
    <mergeCell ref="W247:Z247"/>
    <mergeCell ref="AA247:AD247"/>
    <mergeCell ref="AE247:AJ247"/>
    <mergeCell ref="E227:AJ227"/>
    <mergeCell ref="L229:T229"/>
    <mergeCell ref="Y229:AJ229"/>
    <mergeCell ref="M235:AJ235"/>
    <mergeCell ref="B245:E245"/>
    <mergeCell ref="F245:I245"/>
    <mergeCell ref="J245:M245"/>
    <mergeCell ref="N245:R245"/>
    <mergeCell ref="S245:V245"/>
    <mergeCell ref="W245:Z245"/>
    <mergeCell ref="AA245:AD245"/>
    <mergeCell ref="AE245:AJ245"/>
    <mergeCell ref="Y210:AJ210"/>
    <mergeCell ref="AC213:AJ213"/>
    <mergeCell ref="O214:AJ214"/>
    <mergeCell ref="P218:AJ218"/>
    <mergeCell ref="T219:AJ219"/>
    <mergeCell ref="D220:AJ220"/>
    <mergeCell ref="B222:AJ222"/>
    <mergeCell ref="B223:AJ223"/>
    <mergeCell ref="B226:C226"/>
    <mergeCell ref="B198:X199"/>
    <mergeCell ref="Y198:AJ199"/>
    <mergeCell ref="B200:C200"/>
    <mergeCell ref="B202:X202"/>
    <mergeCell ref="Y202:AJ202"/>
    <mergeCell ref="I203:AJ203"/>
    <mergeCell ref="K204:AJ204"/>
    <mergeCell ref="K205:AJ205"/>
    <mergeCell ref="D207:H209"/>
    <mergeCell ref="AB209:AJ209"/>
    <mergeCell ref="D191:G192"/>
    <mergeCell ref="I191:AB192"/>
    <mergeCell ref="AC191:AJ191"/>
    <mergeCell ref="B192:C192"/>
    <mergeCell ref="AC192:AJ193"/>
    <mergeCell ref="I193:AB193"/>
    <mergeCell ref="I194:AB194"/>
    <mergeCell ref="AD194:AG194"/>
    <mergeCell ref="AH194:AI195"/>
    <mergeCell ref="I195:AB195"/>
    <mergeCell ref="AD195:AG195"/>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AI133:AJ133"/>
    <mergeCell ref="G69:AJ69"/>
    <mergeCell ref="D70:AJ70"/>
    <mergeCell ref="AB20:AJ20"/>
    <mergeCell ref="Y21:AJ21"/>
    <mergeCell ref="AC24:AJ24"/>
    <mergeCell ref="O25:AJ25"/>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G152:AH15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C180:AD180"/>
    <mergeCell ref="AE180:AJ180"/>
    <mergeCell ref="AC181:AD181"/>
    <mergeCell ref="AE181:AJ181"/>
    <mergeCell ref="AC175:AD175"/>
    <mergeCell ref="AE175:AJ175"/>
    <mergeCell ref="AC182:AD182"/>
    <mergeCell ref="AE182:AF182"/>
    <mergeCell ref="AG182:AH182"/>
    <mergeCell ref="AI182:AJ182"/>
    <mergeCell ref="AC173:AD173"/>
    <mergeCell ref="AC172:AD172"/>
    <mergeCell ref="AE172:AJ172"/>
    <mergeCell ref="AC174:AD174"/>
    <mergeCell ref="AE174:AJ174"/>
    <mergeCell ref="D176:AJ178"/>
    <mergeCell ref="AE173:AJ173"/>
    <mergeCell ref="AC179:AD179"/>
    <mergeCell ref="AE179:AJ179"/>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I152:AJ152"/>
    <mergeCell ref="AC153:AD153"/>
    <mergeCell ref="AH153:AJ153"/>
    <mergeCell ref="U151:V151"/>
    <mergeCell ref="W151:AB151"/>
    <mergeCell ref="AC151:AD151"/>
    <mergeCell ref="AE151:AF151"/>
    <mergeCell ref="AG151:AH151"/>
    <mergeCell ref="AI151:AJ151"/>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B83:M83"/>
    <mergeCell ref="AF83:AJ83"/>
    <mergeCell ref="AC101:AD101"/>
    <mergeCell ref="AE101:AF101"/>
    <mergeCell ref="AG101:AH101"/>
    <mergeCell ref="AI101:AJ101"/>
    <mergeCell ref="AC102:AD102"/>
    <mergeCell ref="AE102:AJ102"/>
    <mergeCell ref="AC100:AD100"/>
    <mergeCell ref="AE100:AJ100"/>
    <mergeCell ref="AE99:AF99"/>
    <mergeCell ref="AG99:AH99"/>
    <mergeCell ref="AI99:AJ99"/>
    <mergeCell ref="B82:M82"/>
    <mergeCell ref="S82:W82"/>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W57:Z57"/>
    <mergeCell ref="AE56:AJ56"/>
    <mergeCell ref="AB83:AE83"/>
    <mergeCell ref="X83:AA83"/>
    <mergeCell ref="X82:AA82"/>
    <mergeCell ref="AB82:AE82"/>
    <mergeCell ref="AF82:AJ82"/>
    <mergeCell ref="N83:R83"/>
    <mergeCell ref="N82:R82"/>
    <mergeCell ref="AE60:AJ60"/>
    <mergeCell ref="AE58:AJ58"/>
    <mergeCell ref="S58:V58"/>
    <mergeCell ref="W58:Z58"/>
    <mergeCell ref="AA58:AD58"/>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D2:G3"/>
    <mergeCell ref="I2:AB3"/>
    <mergeCell ref="AC2:AJ2"/>
    <mergeCell ref="B3:C3"/>
    <mergeCell ref="AC3:AJ4"/>
    <mergeCell ref="I5:AB5"/>
    <mergeCell ref="AD5:AG5"/>
    <mergeCell ref="AH5:AI6"/>
    <mergeCell ref="I4:AB4"/>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Q29:AJ29"/>
    <mergeCell ref="B140:C140"/>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AM171:AO173"/>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s>
  <conditionalFormatting sqref="B13">
    <cfRule type="expression" dxfId="1361" priority="307">
      <formula>IF(NoColor,1,0)</formula>
    </cfRule>
  </conditionalFormatting>
  <conditionalFormatting sqref="B57:B60 F57:F60 N57:N60">
    <cfRule type="expression" dxfId="1360" priority="282">
      <formula>IF(NoColor,1,0)</formula>
    </cfRule>
  </conditionalFormatting>
  <conditionalFormatting sqref="B83:B86">
    <cfRule type="expression" dxfId="1359" priority="245">
      <formula>IF(NoColor,1,0)</formula>
    </cfRule>
  </conditionalFormatting>
  <conditionalFormatting sqref="B202">
    <cfRule type="expression" dxfId="1358" priority="128">
      <formula>IF(NoColor,1,0)</formula>
    </cfRule>
  </conditionalFormatting>
  <conditionalFormatting sqref="B246:B249 F246:F249 N246:N249">
    <cfRule type="expression" dxfId="1357" priority="104">
      <formula>IF(NoColor,1,0)</formula>
    </cfRule>
  </conditionalFormatting>
  <conditionalFormatting sqref="B272:B275">
    <cfRule type="expression" dxfId="1356" priority="89">
      <formula>IF(NoColor,1,0)</formula>
    </cfRule>
  </conditionalFormatting>
  <conditionalFormatting sqref="B9:X10">
    <cfRule type="expression" dxfId="1355" priority="292">
      <formula>IF(NoColor,1,0)</formula>
    </cfRule>
  </conditionalFormatting>
  <conditionalFormatting sqref="B198:X199">
    <cfRule type="expression" dxfId="1354" priority="114">
      <formula>IF(NoColor,1,0)</formula>
    </cfRule>
  </conditionalFormatting>
  <conditionalFormatting sqref="D31">
    <cfRule type="expression" dxfId="1353" priority="297">
      <formula>IF(NoColor,1,0)</formula>
    </cfRule>
  </conditionalFormatting>
  <conditionalFormatting sqref="D52:D53">
    <cfRule type="expression" dxfId="1352" priority="211">
      <formula>IF(AND($AE$49&lt;&gt;"",$AH$51&lt;&gt;""),1,0)</formula>
    </cfRule>
  </conditionalFormatting>
  <conditionalFormatting sqref="D62">
    <cfRule type="expression" dxfId="1351" priority="271">
      <formula>IF(NoColor,1,0)</formula>
    </cfRule>
  </conditionalFormatting>
  <conditionalFormatting sqref="D70">
    <cfRule type="expression" dxfId="1350" priority="212">
      <formula>IF(NoColor,1,0)</formula>
    </cfRule>
  </conditionalFormatting>
  <conditionalFormatting sqref="D102">
    <cfRule type="expression" dxfId="1349" priority="223">
      <formula>IF(NoColor,1,0)</formula>
    </cfRule>
  </conditionalFormatting>
  <conditionalFormatting sqref="D111">
    <cfRule type="expression" dxfId="1348" priority="221">
      <formula>IF(NoColor,1,0)</formula>
    </cfRule>
  </conditionalFormatting>
  <conditionalFormatting sqref="D119">
    <cfRule type="expression" dxfId="1347" priority="218">
      <formula>IF(NoColor,1,0)</formula>
    </cfRule>
  </conditionalFormatting>
  <conditionalFormatting sqref="D123">
    <cfRule type="expression" dxfId="1346" priority="216">
      <formula>IF(NoColor,1,0)</formula>
    </cfRule>
  </conditionalFormatting>
  <conditionalFormatting sqref="D136">
    <cfRule type="expression" dxfId="1345" priority="147">
      <formula>IF(NoColor,1,0)</formula>
    </cfRule>
  </conditionalFormatting>
  <conditionalFormatting sqref="D138">
    <cfRule type="expression" dxfId="1344" priority="146">
      <formula>IF(NoColor,1,0)</formula>
    </cfRule>
  </conditionalFormatting>
  <conditionalFormatting sqref="D220">
    <cfRule type="expression" dxfId="1343" priority="118">
      <formula>IF(NoColor,1,0)</formula>
    </cfRule>
  </conditionalFormatting>
  <conditionalFormatting sqref="D241:D242">
    <cfRule type="expression" dxfId="1342" priority="68">
      <formula>IF(AND($AE$49&lt;&gt;"",$AH$51&lt;&gt;""),1,0)</formula>
    </cfRule>
  </conditionalFormatting>
  <conditionalFormatting sqref="D251">
    <cfRule type="expression" dxfId="1341" priority="100">
      <formula>IF(NoColor,1,0)</formula>
    </cfRule>
  </conditionalFormatting>
  <conditionalFormatting sqref="D259">
    <cfRule type="expression" dxfId="1340" priority="69">
      <formula>IF(NoColor,1,0)</formula>
    </cfRule>
  </conditionalFormatting>
  <conditionalFormatting sqref="D291">
    <cfRule type="expression" dxfId="1339" priority="77">
      <formula>IF(NoColor,1,0)</formula>
    </cfRule>
  </conditionalFormatting>
  <conditionalFormatting sqref="D300">
    <cfRule type="expression" dxfId="1338" priority="75">
      <formula>IF(NoColor,1,0)</formula>
    </cfRule>
  </conditionalFormatting>
  <conditionalFormatting sqref="D308">
    <cfRule type="expression" dxfId="1337" priority="72">
      <formula>IF(NoColor,1,0)</formula>
    </cfRule>
  </conditionalFormatting>
  <conditionalFormatting sqref="D312">
    <cfRule type="expression" dxfId="1336" priority="71">
      <formula>IF(NoColor,1,0)</formula>
    </cfRule>
  </conditionalFormatting>
  <conditionalFormatting sqref="D325">
    <cfRule type="expression" dxfId="1335" priority="8">
      <formula>IF(NoColor,1,0)</formula>
    </cfRule>
  </conditionalFormatting>
  <conditionalFormatting sqref="D327">
    <cfRule type="expression" dxfId="1334" priority="7">
      <formula>IF(NoColor,1,0)</formula>
    </cfRule>
  </conditionalFormatting>
  <conditionalFormatting sqref="G69">
    <cfRule type="expression" dxfId="1333" priority="269">
      <formula>IF(NoColor,1,0)</formula>
    </cfRule>
  </conditionalFormatting>
  <conditionalFormatting sqref="G258">
    <cfRule type="expression" dxfId="1332" priority="98">
      <formula>IF(NoColor,1,0)</formula>
    </cfRule>
  </conditionalFormatting>
  <conditionalFormatting sqref="I14">
    <cfRule type="expression" dxfId="1331" priority="306">
      <formula>IF(NoColor,1,0)</formula>
    </cfRule>
  </conditionalFormatting>
  <conditionalFormatting sqref="I203">
    <cfRule type="expression" dxfId="1330" priority="127">
      <formula>IF(NoColor,1,0)</formula>
    </cfRule>
  </conditionalFormatting>
  <conditionalFormatting sqref="J57:J60">
    <cfRule type="expression" dxfId="1329" priority="291">
      <formula>IF(NoColor,1,0)</formula>
    </cfRule>
  </conditionalFormatting>
  <conditionalFormatting sqref="J246:J249">
    <cfRule type="expression" dxfId="1328" priority="113">
      <formula>IF(NoColor,1,0)</formula>
    </cfRule>
  </conditionalFormatting>
  <conditionalFormatting sqref="K15:K16">
    <cfRule type="expression" dxfId="1327" priority="304">
      <formula>IF(NoColor,1,0)</formula>
    </cfRule>
  </conditionalFormatting>
  <conditionalFormatting sqref="K18">
    <cfRule type="expression" dxfId="1326" priority="171">
      <formula>IF(NoColor,1,0)</formula>
    </cfRule>
  </conditionalFormatting>
  <conditionalFormatting sqref="K20">
    <cfRule type="expression" dxfId="1325" priority="168">
      <formula>IF(NoColor,1,0)</formula>
    </cfRule>
  </conditionalFormatting>
  <conditionalFormatting sqref="K204:K205">
    <cfRule type="expression" dxfId="1324" priority="125">
      <formula>IF(NoColor,1,0)</formula>
    </cfRule>
  </conditionalFormatting>
  <conditionalFormatting sqref="K207">
    <cfRule type="expression" dxfId="1323" priority="31">
      <formula>IF(NoColor,1,0)</formula>
    </cfRule>
  </conditionalFormatting>
  <conditionalFormatting sqref="K209">
    <cfRule type="expression" dxfId="1322" priority="28">
      <formula>IF(NoColor,1,0)</formula>
    </cfRule>
  </conditionalFormatting>
  <conditionalFormatting sqref="L40">
    <cfRule type="expression" dxfId="1321" priority="296">
      <formula>IF(NoColor,1,0)</formula>
    </cfRule>
  </conditionalFormatting>
  <conditionalFormatting sqref="L229">
    <cfRule type="expression" dxfId="1320" priority="117">
      <formula>IF(NoColor,1,0)</formula>
    </cfRule>
  </conditionalFormatting>
  <conditionalFormatting sqref="M46">
    <cfRule type="expression" dxfId="1319" priority="293">
      <formula>IF(NoColor,1,0)</formula>
    </cfRule>
  </conditionalFormatting>
  <conditionalFormatting sqref="M235">
    <cfRule type="expression" dxfId="1318" priority="115">
      <formula>IF(NoColor,1,0)</formula>
    </cfRule>
  </conditionalFormatting>
  <conditionalFormatting sqref="N83:N86">
    <cfRule type="expression" dxfId="1317" priority="235">
      <formula>IF(NoColor,1,0)</formula>
    </cfRule>
  </conditionalFormatting>
  <conditionalFormatting sqref="N272:N275">
    <cfRule type="expression" dxfId="1316" priority="85">
      <formula>IF(NoColor,1,0)</formula>
    </cfRule>
  </conditionalFormatting>
  <conditionalFormatting sqref="O25">
    <cfRule type="expression" dxfId="1315" priority="300">
      <formula>IF(NoColor,1,0)</formula>
    </cfRule>
  </conditionalFormatting>
  <conditionalFormatting sqref="O42">
    <cfRule type="expression" dxfId="1314" priority="161">
      <formula>IF(NoColor,1,0)</formula>
    </cfRule>
  </conditionalFormatting>
  <conditionalFormatting sqref="O44">
    <cfRule type="expression" dxfId="1313" priority="158">
      <formula>IF(NoColor,1,0)</formula>
    </cfRule>
  </conditionalFormatting>
  <conditionalFormatting sqref="O118">
    <cfRule type="expression" dxfId="1312" priority="219">
      <formula>IF(NoColor,1,0)</formula>
    </cfRule>
  </conditionalFormatting>
  <conditionalFormatting sqref="O159">
    <cfRule type="expression" dxfId="1311" priority="142">
      <formula>AND(NOT(NoColor),$AE$159&lt;&gt;$AE$160)</formula>
    </cfRule>
  </conditionalFormatting>
  <conditionalFormatting sqref="O214">
    <cfRule type="expression" dxfId="1310" priority="121">
      <formula>IF(NoColor,1,0)</formula>
    </cfRule>
  </conditionalFormatting>
  <conditionalFormatting sqref="O231">
    <cfRule type="expression" dxfId="1309" priority="22">
      <formula>IF(NoColor,1,0)</formula>
    </cfRule>
  </conditionalFormatting>
  <conditionalFormatting sqref="O233">
    <cfRule type="expression" dxfId="1308" priority="19">
      <formula>IF(NoColor,1,0)</formula>
    </cfRule>
  </conditionalFormatting>
  <conditionalFormatting sqref="O307">
    <cfRule type="expression" dxfId="1307" priority="73">
      <formula>IF(NoColor,1,0)</formula>
    </cfRule>
  </conditionalFormatting>
  <conditionalFormatting sqref="O348">
    <cfRule type="expression" dxfId="1306" priority="4">
      <formula>AND(NOT(NoColor),$AE$159&lt;&gt;$AE$160)</formula>
    </cfRule>
  </conditionalFormatting>
  <conditionalFormatting sqref="P110">
    <cfRule type="expression" dxfId="1305" priority="220">
      <formula>IF(NoColor,1,0)</formula>
    </cfRule>
  </conditionalFormatting>
  <conditionalFormatting sqref="P218">
    <cfRule type="expression" dxfId="1304" priority="120">
      <formula>IF(NoColor,1,0)</formula>
    </cfRule>
  </conditionalFormatting>
  <conditionalFormatting sqref="P299">
    <cfRule type="expression" dxfId="1303" priority="74">
      <formula>IF(NoColor,1,0)</formula>
    </cfRule>
  </conditionalFormatting>
  <conditionalFormatting sqref="Q29">
    <cfRule type="expression" dxfId="1302" priority="299">
      <formula>IF(NoColor,1,0)</formula>
    </cfRule>
  </conditionalFormatting>
  <conditionalFormatting sqref="R122">
    <cfRule type="expression" dxfId="1301" priority="137">
      <formula>IF(NoColor,1,0)</formula>
    </cfRule>
  </conditionalFormatting>
  <conditionalFormatting sqref="R311">
    <cfRule type="expression" dxfId="1300" priority="1">
      <formula>IF(NoColor,1,0)</formula>
    </cfRule>
  </conditionalFormatting>
  <conditionalFormatting sqref="S57:S60 W57:W60">
    <cfRule type="expression" dxfId="1299" priority="281">
      <formula>IF(NoColor,1,0)</formula>
    </cfRule>
  </conditionalFormatting>
  <conditionalFormatting sqref="S77">
    <cfRule type="expression" dxfId="1298" priority="263">
      <formula>IF(NoColor,1,0)</formula>
    </cfRule>
  </conditionalFormatting>
  <conditionalFormatting sqref="S83:S86">
    <cfRule type="expression" dxfId="1297" priority="233">
      <formula>IF(NoColor,1,0)</formula>
    </cfRule>
  </conditionalFormatting>
  <conditionalFormatting sqref="S246:S249 W246:W249">
    <cfRule type="expression" dxfId="1296" priority="103">
      <formula>IF(NoColor,1,0)</formula>
    </cfRule>
  </conditionalFormatting>
  <conditionalFormatting sqref="S266">
    <cfRule type="expression" dxfId="1295" priority="97">
      <formula>IF(NoColor,1,0)</formula>
    </cfRule>
  </conditionalFormatting>
  <conditionalFormatting sqref="S272:S275">
    <cfRule type="expression" dxfId="1294" priority="83">
      <formula>IF(NoColor,1,0)</formula>
    </cfRule>
  </conditionalFormatting>
  <conditionalFormatting sqref="T30">
    <cfRule type="expression" dxfId="1293" priority="298">
      <formula>IF(NoColor,1,0)</formula>
    </cfRule>
  </conditionalFormatting>
  <conditionalFormatting sqref="T63">
    <cfRule type="expression" dxfId="1292" priority="270">
      <formula>IF(NoColor,1,0)</formula>
    </cfRule>
  </conditionalFormatting>
  <conditionalFormatting sqref="T76">
    <cfRule type="expression" dxfId="1291" priority="226">
      <formula>IF(NoColor,1,0)</formula>
    </cfRule>
  </conditionalFormatting>
  <conditionalFormatting sqref="T143">
    <cfRule type="expression" dxfId="1290" priority="213">
      <formula>IF(NoColor,1,0)</formula>
    </cfRule>
  </conditionalFormatting>
  <conditionalFormatting sqref="T219">
    <cfRule type="expression" dxfId="1289" priority="119">
      <formula>IF(NoColor,1,0)</formula>
    </cfRule>
  </conditionalFormatting>
  <conditionalFormatting sqref="T252">
    <cfRule type="expression" dxfId="1288" priority="99">
      <formula>IF(NoColor,1,0)</formula>
    </cfRule>
  </conditionalFormatting>
  <conditionalFormatting sqref="T265">
    <cfRule type="expression" dxfId="1287" priority="79">
      <formula>IF(NoColor,1,0)</formula>
    </cfRule>
  </conditionalFormatting>
  <conditionalFormatting sqref="T332">
    <cfRule type="expression" dxfId="1286" priority="70">
      <formula>IF(NoColor,1,0)</formula>
    </cfRule>
  </conditionalFormatting>
  <conditionalFormatting sqref="V18">
    <cfRule type="expression" dxfId="1285" priority="170">
      <formula>IF(NoColor,1,0)</formula>
    </cfRule>
  </conditionalFormatting>
  <conditionalFormatting sqref="V20">
    <cfRule type="expression" dxfId="1284" priority="167">
      <formula>IF(NoColor,1,0)</formula>
    </cfRule>
  </conditionalFormatting>
  <conditionalFormatting sqref="V42">
    <cfRule type="expression" dxfId="1283" priority="160">
      <formula>IF(NoColor,1,0)</formula>
    </cfRule>
  </conditionalFormatting>
  <conditionalFormatting sqref="V101">
    <cfRule type="expression" dxfId="1282" priority="222">
      <formula>IF(NoColor,1,0)</formula>
    </cfRule>
  </conditionalFormatting>
  <conditionalFormatting sqref="V207">
    <cfRule type="expression" dxfId="1281" priority="30">
      <formula>IF(NoColor,1,0)</formula>
    </cfRule>
  </conditionalFormatting>
  <conditionalFormatting sqref="V209">
    <cfRule type="expression" dxfId="1280" priority="27">
      <formula>IF(NoColor,1,0)</formula>
    </cfRule>
  </conditionalFormatting>
  <conditionalFormatting sqref="V231">
    <cfRule type="expression" dxfId="1279" priority="21">
      <formula>IF(NoColor,1,0)</formula>
    </cfRule>
  </conditionalFormatting>
  <conditionalFormatting sqref="V290">
    <cfRule type="expression" dxfId="1278" priority="76">
      <formula>IF(NoColor,1,0)</formula>
    </cfRule>
  </conditionalFormatting>
  <conditionalFormatting sqref="W147:Z147">
    <cfRule type="expression" dxfId="1277" priority="144">
      <formula>IF(NoColor,1,0)</formula>
    </cfRule>
  </conditionalFormatting>
  <conditionalFormatting sqref="W336:Z336">
    <cfRule type="expression" dxfId="1276" priority="6">
      <formula>IF(NoColor,1,0)</formula>
    </cfRule>
  </conditionalFormatting>
  <conditionalFormatting sqref="W113:AB117">
    <cfRule type="expression" dxfId="1275" priority="210">
      <formula>IF(NoColor,1,0)</formula>
    </cfRule>
  </conditionalFormatting>
  <conditionalFormatting sqref="W119:AB119">
    <cfRule type="expression" dxfId="1274" priority="209">
      <formula>IF(NoColor,1,0)</formula>
    </cfRule>
  </conditionalFormatting>
  <conditionalFormatting sqref="W151:AB151">
    <cfRule type="expression" dxfId="1273" priority="188">
      <formula>IF(NoColor,1,0)</formula>
    </cfRule>
  </conditionalFormatting>
  <conditionalFormatting sqref="W302:AB306">
    <cfRule type="expression" dxfId="1272" priority="67">
      <formula>IF(NoColor,1,0)</formula>
    </cfRule>
  </conditionalFormatting>
  <conditionalFormatting sqref="W308:AB308">
    <cfRule type="expression" dxfId="1271" priority="66">
      <formula>IF(NoColor,1,0)</formula>
    </cfRule>
  </conditionalFormatting>
  <conditionalFormatting sqref="W340:AB340">
    <cfRule type="expression" dxfId="1270" priority="47">
      <formula>IF(NoColor,1,0)</formula>
    </cfRule>
  </conditionalFormatting>
  <conditionalFormatting sqref="X83:X86">
    <cfRule type="expression" dxfId="1269" priority="240">
      <formula>IF(NoColor,1,0)</formula>
    </cfRule>
  </conditionalFormatting>
  <conditionalFormatting sqref="X161">
    <cfRule type="expression" dxfId="1268" priority="143">
      <formula>IF(NoColor,1,0)</formula>
    </cfRule>
  </conditionalFormatting>
  <conditionalFormatting sqref="X272:X275">
    <cfRule type="expression" dxfId="1267" priority="87">
      <formula>IF(NoColor,1,0)</formula>
    </cfRule>
  </conditionalFormatting>
  <conditionalFormatting sqref="X350">
    <cfRule type="expression" dxfId="1266" priority="5">
      <formula>IF(NoColor,1,0)</formula>
    </cfRule>
  </conditionalFormatting>
  <conditionalFormatting sqref="Y9">
    <cfRule type="expression" dxfId="1265" priority="317">
      <formula>IF(NoColor,1,0)</formula>
    </cfRule>
  </conditionalFormatting>
  <conditionalFormatting sqref="Y13">
    <cfRule type="expression" dxfId="1264" priority="417">
      <formula>IF(NoColor,1,0)</formula>
    </cfRule>
  </conditionalFormatting>
  <conditionalFormatting sqref="Y21">
    <cfRule type="expression" dxfId="1263" priority="302">
      <formula>IF(NoColor,1,0)</formula>
    </cfRule>
  </conditionalFormatting>
  <conditionalFormatting sqref="Y40">
    <cfRule type="expression" dxfId="1262" priority="294">
      <formula>IF(NoColor,1,0)</formula>
    </cfRule>
  </conditionalFormatting>
  <conditionalFormatting sqref="Y198">
    <cfRule type="expression" dxfId="1261" priority="129">
      <formula>IF(NoColor,1,0)</formula>
    </cfRule>
  </conditionalFormatting>
  <conditionalFormatting sqref="Y202">
    <cfRule type="expression" dxfId="1260" priority="136">
      <formula>IF(NoColor,1,0)</formula>
    </cfRule>
  </conditionalFormatting>
  <conditionalFormatting sqref="Y210">
    <cfRule type="expression" dxfId="1259" priority="123">
      <formula>IF(NoColor,1,0)</formula>
    </cfRule>
  </conditionalFormatting>
  <conditionalFormatting sqref="Y229">
    <cfRule type="expression" dxfId="1258" priority="116">
      <formula>IF(NoColor,1,0)</formula>
    </cfRule>
  </conditionalFormatting>
  <conditionalFormatting sqref="AA22">
    <cfRule type="expression" dxfId="1257" priority="138">
      <formula>IF(NoColor,1,0)</formula>
    </cfRule>
  </conditionalFormatting>
  <conditionalFormatting sqref="AA57:AA61">
    <cfRule type="expression" dxfId="1256" priority="141">
      <formula>IF(NoColor,1,0)</formula>
    </cfRule>
  </conditionalFormatting>
  <conditionalFormatting sqref="AA211">
    <cfRule type="expression" dxfId="1255" priority="2">
      <formula>IF(NoColor,1,0)</formula>
    </cfRule>
  </conditionalFormatting>
  <conditionalFormatting sqref="AA246:AA250">
    <cfRule type="expression" dxfId="1254" priority="3">
      <formula>IF(NoColor,1,0)</formula>
    </cfRule>
  </conditionalFormatting>
  <conditionalFormatting sqref="AB20">
    <cfRule type="expression" dxfId="1253" priority="303">
      <formula>IF(NoColor,1,0)</formula>
    </cfRule>
  </conditionalFormatting>
  <conditionalFormatting sqref="AB83:AB86">
    <cfRule type="expression" dxfId="1252" priority="242">
      <formula>IF(NoColor,1,0)</formula>
    </cfRule>
  </conditionalFormatting>
  <conditionalFormatting sqref="AB209">
    <cfRule type="expression" dxfId="1251" priority="124">
      <formula>IF(NoColor,1,0)</formula>
    </cfRule>
  </conditionalFormatting>
  <conditionalFormatting sqref="AB272:AB275">
    <cfRule type="expression" dxfId="1250" priority="88">
      <formula>IF(NoColor,1,0)</formula>
    </cfRule>
  </conditionalFormatting>
  <conditionalFormatting sqref="AC24">
    <cfRule type="expression" dxfId="1249" priority="301">
      <formula>IF(NoColor,1,0)</formula>
    </cfRule>
  </conditionalFormatting>
  <conditionalFormatting sqref="AC213">
    <cfRule type="expression" dxfId="1248" priority="122">
      <formula>IF(NoColor,1,0)</formula>
    </cfRule>
  </conditionalFormatting>
  <conditionalFormatting sqref="AD18">
    <cfRule type="expression" dxfId="1247" priority="169">
      <formula>IF(NoColor,1,0)</formula>
    </cfRule>
  </conditionalFormatting>
  <conditionalFormatting sqref="AD76">
    <cfRule type="expression" dxfId="1246" priority="225">
      <formula>IF(NoColor,1,0)</formula>
    </cfRule>
  </conditionalFormatting>
  <conditionalFormatting sqref="AD207">
    <cfRule type="expression" dxfId="1245" priority="29">
      <formula>IF(NoColor,1,0)</formula>
    </cfRule>
  </conditionalFormatting>
  <conditionalFormatting sqref="AD265">
    <cfRule type="expression" dxfId="1244" priority="78">
      <formula>IF(NoColor,1,0)</formula>
    </cfRule>
  </conditionalFormatting>
  <conditionalFormatting sqref="AE23">
    <cfRule type="expression" dxfId="1243" priority="165">
      <formula>IF(NoColor,1,0)</formula>
    </cfRule>
  </conditionalFormatting>
  <conditionalFormatting sqref="AE27">
    <cfRule type="expression" dxfId="1242" priority="163">
      <formula>IF(NoColor,1,0)</formula>
    </cfRule>
  </conditionalFormatting>
  <conditionalFormatting sqref="AE42">
    <cfRule type="expression" dxfId="1241" priority="159">
      <formula>IF(NoColor,1,0)</formula>
    </cfRule>
  </conditionalFormatting>
  <conditionalFormatting sqref="AE45">
    <cfRule type="expression" dxfId="1240" priority="157">
      <formula>IF(NoColor,1,0)</formula>
    </cfRule>
  </conditionalFormatting>
  <conditionalFormatting sqref="AE49">
    <cfRule type="expression" dxfId="1239" priority="155">
      <formula>IF(NoColor,1,0)</formula>
    </cfRule>
  </conditionalFormatting>
  <conditionalFormatting sqref="AE51">
    <cfRule type="expression" dxfId="1238" priority="153">
      <formula>IF(NoColor,1,0)</formula>
    </cfRule>
  </conditionalFormatting>
  <conditionalFormatting sqref="AE57:AE60">
    <cfRule type="expression" dxfId="1237" priority="280">
      <formula>IF(NoColor,1,0)</formula>
    </cfRule>
  </conditionalFormatting>
  <conditionalFormatting sqref="AE65">
    <cfRule type="expression" dxfId="1236" priority="151">
      <formula>IF(NoColor,1,0)</formula>
    </cfRule>
  </conditionalFormatting>
  <conditionalFormatting sqref="AE67">
    <cfRule type="expression" dxfId="1235" priority="149">
      <formula>IF(NoColor,1,0)</formula>
    </cfRule>
  </conditionalFormatting>
  <conditionalFormatting sqref="AE212">
    <cfRule type="expression" dxfId="1234" priority="26">
      <formula>IF(NoColor,1,0)</formula>
    </cfRule>
  </conditionalFormatting>
  <conditionalFormatting sqref="AE216">
    <cfRule type="expression" dxfId="1233" priority="24">
      <formula>IF(NoColor,1,0)</formula>
    </cfRule>
  </conditionalFormatting>
  <conditionalFormatting sqref="AE231">
    <cfRule type="expression" dxfId="1232" priority="20">
      <formula>IF(NoColor,1,0)</formula>
    </cfRule>
  </conditionalFormatting>
  <conditionalFormatting sqref="AE234">
    <cfRule type="expression" dxfId="1231" priority="18">
      <formula>IF(NoColor,1,0)</formula>
    </cfRule>
  </conditionalFormatting>
  <conditionalFormatting sqref="AE238">
    <cfRule type="expression" dxfId="1230" priority="16">
      <formula>IF(NoColor,1,0)</formula>
    </cfRule>
  </conditionalFormatting>
  <conditionalFormatting sqref="AE240">
    <cfRule type="expression" dxfId="1229" priority="14">
      <formula>IF(NoColor,1,0)</formula>
    </cfRule>
  </conditionalFormatting>
  <conditionalFormatting sqref="AE246:AE249">
    <cfRule type="expression" dxfId="1228" priority="102">
      <formula>IF(NoColor,1,0)</formula>
    </cfRule>
  </conditionalFormatting>
  <conditionalFormatting sqref="AE254">
    <cfRule type="expression" dxfId="1227" priority="12">
      <formula>IF(NoColor,1,0)</formula>
    </cfRule>
  </conditionalFormatting>
  <conditionalFormatting sqref="AE256">
    <cfRule type="expression" dxfId="1226" priority="10">
      <formula>IF(NoColor,1,0)</formula>
    </cfRule>
  </conditionalFormatting>
  <conditionalFormatting sqref="AE98:AJ98">
    <cfRule type="expression" dxfId="1225" priority="208">
      <formula>IF(NoColor,1,0)</formula>
    </cfRule>
  </conditionalFormatting>
  <conditionalFormatting sqref="AE100:AJ100">
    <cfRule type="expression" dxfId="1224" priority="207">
      <formula>IF(NoColor,1,0)</formula>
    </cfRule>
  </conditionalFormatting>
  <conditionalFormatting sqref="AE102:AJ102">
    <cfRule type="expression" dxfId="1223" priority="206">
      <formula>IF(NoColor,1,0)</formula>
    </cfRule>
  </conditionalFormatting>
  <conditionalFormatting sqref="AE105:AJ105">
    <cfRule type="expression" dxfId="1222" priority="205">
      <formula>IF(NoColor,1,0)</formula>
    </cfRule>
  </conditionalFormatting>
  <conditionalFormatting sqref="AE107:AJ107">
    <cfRule type="expression" dxfId="1221" priority="204">
      <formula>IF(NoColor,1,0)</formula>
    </cfRule>
  </conditionalFormatting>
  <conditionalFormatting sqref="AE109:AJ109">
    <cfRule type="expression" dxfId="1220" priority="203">
      <formula>IF(NoColor,1,0)</formula>
    </cfRule>
  </conditionalFormatting>
  <conditionalFormatting sqref="AE111:AJ111">
    <cfRule type="expression" dxfId="1219" priority="202">
      <formula>IF(NoColor,1,0)</formula>
    </cfRule>
  </conditionalFormatting>
  <conditionalFormatting sqref="AE121:AJ121">
    <cfRule type="expression" dxfId="1218" priority="201">
      <formula>IF(NoColor,1,0)</formula>
    </cfRule>
  </conditionalFormatting>
  <conditionalFormatting sqref="AE123:AJ123">
    <cfRule type="expression" dxfId="1217" priority="200">
      <formula>IF(NoColor,1,0)</formula>
    </cfRule>
  </conditionalFormatting>
  <conditionalFormatting sqref="AE125:AJ125">
    <cfRule type="expression" dxfId="1216" priority="199">
      <formula>IF(NoColor,1,0)</formula>
    </cfRule>
  </conditionalFormatting>
  <conditionalFormatting sqref="AE127:AJ127">
    <cfRule type="expression" dxfId="1215" priority="198">
      <formula>IF(NoColor,1,0)</formula>
    </cfRule>
  </conditionalFormatting>
  <conditionalFormatting sqref="AE129:AJ129">
    <cfRule type="expression" dxfId="1214" priority="197">
      <formula>IF(NoColor,1,0)</formula>
    </cfRule>
  </conditionalFormatting>
  <conditionalFormatting sqref="AE134:AJ134">
    <cfRule type="expression" dxfId="1213" priority="193">
      <formula>IF(NoColor,1,0)</formula>
    </cfRule>
  </conditionalFormatting>
  <conditionalFormatting sqref="AE142:AJ142">
    <cfRule type="expression" dxfId="1212" priority="195">
      <formula>IF(NoColor,1,0)</formula>
    </cfRule>
  </conditionalFormatting>
  <conditionalFormatting sqref="AE144:AJ145">
    <cfRule type="expression" dxfId="1211" priority="192">
      <formula>IF(NoColor,1,0)</formula>
    </cfRule>
  </conditionalFormatting>
  <conditionalFormatting sqref="AE148:AJ148">
    <cfRule type="expression" dxfId="1210" priority="190">
      <formula>IF(NoColor,1,0)</formula>
    </cfRule>
  </conditionalFormatting>
  <conditionalFormatting sqref="AE150:AJ150">
    <cfRule type="expression" dxfId="1209" priority="189">
      <formula>IF(NoColor,1,0)</formula>
    </cfRule>
  </conditionalFormatting>
  <conditionalFormatting sqref="AE155:AJ155">
    <cfRule type="expression" dxfId="1208" priority="186">
      <formula>IF(NoColor,1,0)</formula>
    </cfRule>
  </conditionalFormatting>
  <conditionalFormatting sqref="AE159:AJ159">
    <cfRule type="expression" dxfId="1207" priority="185">
      <formula>IF(NoColor,1,0)</formula>
    </cfRule>
  </conditionalFormatting>
  <conditionalFormatting sqref="AE166:AJ168">
    <cfRule type="expression" dxfId="1206" priority="180">
      <formula>IF(NoColor,1,0)</formula>
    </cfRule>
  </conditionalFormatting>
  <conditionalFormatting sqref="AE170:AJ170">
    <cfRule type="expression" dxfId="1205" priority="179">
      <formula>IF(NoColor,1,0)</formula>
    </cfRule>
  </conditionalFormatting>
  <conditionalFormatting sqref="AE172:AJ172">
    <cfRule type="expression" dxfId="1204" priority="178">
      <formula>IF(NoColor,1,0)</formula>
    </cfRule>
  </conditionalFormatting>
  <conditionalFormatting sqref="AE175:AJ175">
    <cfRule type="expression" dxfId="1203" priority="177">
      <formula>IF(NoColor,1,0)</formula>
    </cfRule>
  </conditionalFormatting>
  <conditionalFormatting sqref="AE179:AJ181">
    <cfRule type="expression" dxfId="1202" priority="174">
      <formula>IF(NoColor,1,0)</formula>
    </cfRule>
  </conditionalFormatting>
  <conditionalFormatting sqref="AE186:AJ186">
    <cfRule type="expression" dxfId="1201" priority="173">
      <formula>IF(NoColor,1,0)</formula>
    </cfRule>
  </conditionalFormatting>
  <conditionalFormatting sqref="AE189:AJ189">
    <cfRule type="expression" dxfId="1200" priority="172">
      <formula>IF(NoColor,1,0)</formula>
    </cfRule>
  </conditionalFormatting>
  <conditionalFormatting sqref="AE287:AJ287">
    <cfRule type="expression" dxfId="1199" priority="65">
      <formula>IF(NoColor,1,0)</formula>
    </cfRule>
  </conditionalFormatting>
  <conditionalFormatting sqref="AE289:AJ289">
    <cfRule type="expression" dxfId="1198" priority="64">
      <formula>IF(NoColor,1,0)</formula>
    </cfRule>
  </conditionalFormatting>
  <conditionalFormatting sqref="AE291:AJ291">
    <cfRule type="expression" dxfId="1197" priority="63">
      <formula>IF(NoColor,1,0)</formula>
    </cfRule>
  </conditionalFormatting>
  <conditionalFormatting sqref="AE294:AJ294">
    <cfRule type="expression" dxfId="1196" priority="62">
      <formula>IF(NoColor,1,0)</formula>
    </cfRule>
  </conditionalFormatting>
  <conditionalFormatting sqref="AE296:AJ296">
    <cfRule type="expression" dxfId="1195" priority="61">
      <formula>IF(NoColor,1,0)</formula>
    </cfRule>
  </conditionalFormatting>
  <conditionalFormatting sqref="AE298:AJ298">
    <cfRule type="expression" dxfId="1194" priority="60">
      <formula>IF(NoColor,1,0)</formula>
    </cfRule>
  </conditionalFormatting>
  <conditionalFormatting sqref="AE300:AJ300">
    <cfRule type="expression" dxfId="1193" priority="59">
      <formula>IF(NoColor,1,0)</formula>
    </cfRule>
  </conditionalFormatting>
  <conditionalFormatting sqref="AE310:AJ310">
    <cfRule type="expression" dxfId="1192" priority="58">
      <formula>IF(NoColor,1,0)</formula>
    </cfRule>
  </conditionalFormatting>
  <conditionalFormatting sqref="AE312:AJ312">
    <cfRule type="expression" dxfId="1191" priority="57">
      <formula>IF(NoColor,1,0)</formula>
    </cfRule>
  </conditionalFormatting>
  <conditionalFormatting sqref="AE314:AJ314">
    <cfRule type="expression" dxfId="1190" priority="56">
      <formula>IF(NoColor,1,0)</formula>
    </cfRule>
  </conditionalFormatting>
  <conditionalFormatting sqref="AE316:AJ316">
    <cfRule type="expression" dxfId="1189" priority="55">
      <formula>IF(NoColor,1,0)</formula>
    </cfRule>
  </conditionalFormatting>
  <conditionalFormatting sqref="AE318:AJ318">
    <cfRule type="expression" dxfId="1188" priority="54">
      <formula>IF(NoColor,1,0)</formula>
    </cfRule>
  </conditionalFormatting>
  <conditionalFormatting sqref="AE323:AJ323">
    <cfRule type="expression" dxfId="1187" priority="51">
      <formula>IF(NoColor,1,0)</formula>
    </cfRule>
  </conditionalFormatting>
  <conditionalFormatting sqref="AE331:AJ331">
    <cfRule type="expression" dxfId="1186" priority="53">
      <formula>IF(NoColor,1,0)</formula>
    </cfRule>
  </conditionalFormatting>
  <conditionalFormatting sqref="AE333:AJ334">
    <cfRule type="expression" dxfId="1185" priority="50">
      <formula>IF(NoColor,1,0)</formula>
    </cfRule>
  </conditionalFormatting>
  <conditionalFormatting sqref="AE337:AJ337">
    <cfRule type="expression" dxfId="1184" priority="49">
      <formula>IF(NoColor,1,0)</formula>
    </cfRule>
  </conditionalFormatting>
  <conditionalFormatting sqref="AE339:AJ339">
    <cfRule type="expression" dxfId="1183" priority="48">
      <formula>IF(NoColor,1,0)</formula>
    </cfRule>
  </conditionalFormatting>
  <conditionalFormatting sqref="AE344:AJ344">
    <cfRule type="expression" dxfId="1182" priority="45">
      <formula>IF(NoColor,1,0)</formula>
    </cfRule>
  </conditionalFormatting>
  <conditionalFormatting sqref="AE348:AJ348">
    <cfRule type="expression" dxfId="1181" priority="44">
      <formula>IF(NoColor,1,0)</formula>
    </cfRule>
  </conditionalFormatting>
  <conditionalFormatting sqref="AE355:AJ357">
    <cfRule type="expression" dxfId="1180" priority="40">
      <formula>IF(NoColor,1,0)</formula>
    </cfRule>
  </conditionalFormatting>
  <conditionalFormatting sqref="AE359:AJ359">
    <cfRule type="expression" dxfId="1179" priority="39">
      <formula>IF(NoColor,1,0)</formula>
    </cfRule>
  </conditionalFormatting>
  <conditionalFormatting sqref="AE361:AJ361">
    <cfRule type="expression" dxfId="1178" priority="38">
      <formula>IF(NoColor,1,0)</formula>
    </cfRule>
  </conditionalFormatting>
  <conditionalFormatting sqref="AE364:AJ364">
    <cfRule type="expression" dxfId="1177" priority="37">
      <formula>IF(NoColor,1,0)</formula>
    </cfRule>
  </conditionalFormatting>
  <conditionalFormatting sqref="AE368:AJ370">
    <cfRule type="expression" dxfId="1176" priority="34">
      <formula>IF(NoColor,1,0)</formula>
    </cfRule>
  </conditionalFormatting>
  <conditionalFormatting sqref="AE375:AJ375">
    <cfRule type="expression" dxfId="1175" priority="33">
      <formula>IF(NoColor,1,0)</formula>
    </cfRule>
  </conditionalFormatting>
  <conditionalFormatting sqref="AE378:AJ378">
    <cfRule type="expression" dxfId="1174" priority="32">
      <formula>IF(NoColor,1,0)</formula>
    </cfRule>
  </conditionalFormatting>
  <conditionalFormatting sqref="AF83:AF86">
    <cfRule type="expression" dxfId="1173" priority="227">
      <formula>IF(NoColor,1,0)</formula>
    </cfRule>
  </conditionalFormatting>
  <conditionalFormatting sqref="AF272:AF275">
    <cfRule type="expression" dxfId="1172" priority="80">
      <formula>IF(NoColor,1,0)</formula>
    </cfRule>
  </conditionalFormatting>
  <conditionalFormatting sqref="AH23">
    <cfRule type="expression" dxfId="1171" priority="164">
      <formula>IF(NoColor,1,0)</formula>
    </cfRule>
  </conditionalFormatting>
  <conditionalFormatting sqref="AH27">
    <cfRule type="expression" dxfId="1170" priority="162">
      <formula>IF(NoColor,1,0)</formula>
    </cfRule>
  </conditionalFormatting>
  <conditionalFormatting sqref="AH45">
    <cfRule type="expression" dxfId="1169" priority="156">
      <formula>IF(NoColor,1,0)</formula>
    </cfRule>
  </conditionalFormatting>
  <conditionalFormatting sqref="AH49">
    <cfRule type="expression" dxfId="1168" priority="154">
      <formula>IF(NoColor,1,0)</formula>
    </cfRule>
  </conditionalFormatting>
  <conditionalFormatting sqref="AH51">
    <cfRule type="expression" dxfId="1167" priority="152">
      <formula>IF(NoColor,1,0)</formula>
    </cfRule>
  </conditionalFormatting>
  <conditionalFormatting sqref="AH65">
    <cfRule type="expression" dxfId="1166" priority="150">
      <formula>IF(NoColor,1,0)</formula>
    </cfRule>
  </conditionalFormatting>
  <conditionalFormatting sqref="AH67">
    <cfRule type="expression" dxfId="1165" priority="148">
      <formula>IF(NoColor,1,0)</formula>
    </cfRule>
  </conditionalFormatting>
  <conditionalFormatting sqref="AH212">
    <cfRule type="expression" dxfId="1164" priority="25">
      <formula>IF(NoColor,1,0)</formula>
    </cfRule>
  </conditionalFormatting>
  <conditionalFormatting sqref="AH216">
    <cfRule type="expression" dxfId="1163" priority="23">
      <formula>IF(NoColor,1,0)</formula>
    </cfRule>
  </conditionalFormatting>
  <conditionalFormatting sqref="AH234">
    <cfRule type="expression" dxfId="1162" priority="17">
      <formula>IF(NoColor,1,0)</formula>
    </cfRule>
  </conditionalFormatting>
  <conditionalFormatting sqref="AH238">
    <cfRule type="expression" dxfId="1161" priority="15">
      <formula>IF(NoColor,1,0)</formula>
    </cfRule>
  </conditionalFormatting>
  <conditionalFormatting sqref="AH240">
    <cfRule type="expression" dxfId="1160" priority="13">
      <formula>IF(NoColor,1,0)</formula>
    </cfRule>
  </conditionalFormatting>
  <conditionalFormatting sqref="AH254">
    <cfRule type="expression" dxfId="1159" priority="11">
      <formula>IF(NoColor,1,0)</formula>
    </cfRule>
  </conditionalFormatting>
  <conditionalFormatting sqref="AH256">
    <cfRule type="expression" dxfId="1158" priority="9">
      <formula>IF(NoColor,1,0)</formula>
    </cfRule>
  </conditionalFormatting>
  <conditionalFormatting sqref="AH153:AJ153">
    <cfRule type="expression" dxfId="1157" priority="187">
      <formula>IF(NoColor,1,0)</formula>
    </cfRule>
  </conditionalFormatting>
  <conditionalFormatting sqref="AH164:AJ164">
    <cfRule type="expression" dxfId="1156" priority="184">
      <formula>IF(NoColor,1,0)</formula>
    </cfRule>
  </conditionalFormatting>
  <conditionalFormatting sqref="AH342:AJ342">
    <cfRule type="expression" dxfId="1155" priority="46">
      <formula>IF(NoColor,1,0)</formula>
    </cfRule>
  </conditionalFormatting>
  <conditionalFormatting sqref="AH353:AJ353">
    <cfRule type="expression" dxfId="1154" priority="43">
      <formula>IF(NoColor,1,0)</formula>
    </cfRule>
  </conditionalFormatting>
  <conditionalFormatting sqref="BF28">
    <cfRule type="expression" dxfId="1153" priority="331">
      <formula>IF(NoColor,1,0)</formula>
    </cfRule>
  </conditionalFormatting>
  <conditionalFormatting sqref="BF31">
    <cfRule type="expression" dxfId="1152" priority="330">
      <formula>IF(NoColor,1,0)</formula>
    </cfRule>
  </conditionalFormatting>
  <conditionalFormatting sqref="BF35">
    <cfRule type="expression" dxfId="1151" priority="329">
      <formula>IF(NoColor,1,0)</formula>
    </cfRule>
  </conditionalFormatting>
  <conditionalFormatting sqref="BF217">
    <cfRule type="expression" dxfId="1150" priority="132">
      <formula>IF(NoColor,1,0)</formula>
    </cfRule>
  </conditionalFormatting>
  <conditionalFormatting sqref="BF220">
    <cfRule type="expression" dxfId="1149" priority="131">
      <formula>IF(NoColor,1,0)</formula>
    </cfRule>
  </conditionalFormatting>
  <conditionalFormatting sqref="BF224">
    <cfRule type="expression" dxfId="1148" priority="130">
      <formula>IF(NoColor,1,0)</formula>
    </cfRule>
  </conditionalFormatting>
  <conditionalFormatting sqref="BG23">
    <cfRule type="expression" dxfId="1147" priority="333">
      <formula>IF(NoColor,1,0)</formula>
    </cfRule>
  </conditionalFormatting>
  <conditionalFormatting sqref="BG42">
    <cfRule type="expression" dxfId="1146" priority="334">
      <formula>IF(NoColor,1,0)</formula>
    </cfRule>
  </conditionalFormatting>
  <conditionalFormatting sqref="BG44">
    <cfRule type="expression" dxfId="1145" priority="339">
      <formula>IF(NoColor,1,0)</formula>
    </cfRule>
  </conditionalFormatting>
  <conditionalFormatting sqref="BG212">
    <cfRule type="expression" dxfId="1144" priority="133">
      <formula>IF(NoColor,1,0)</formula>
    </cfRule>
  </conditionalFormatting>
  <conditionalFormatting sqref="BG231">
    <cfRule type="expression" dxfId="1143" priority="134">
      <formula>IF(NoColor,1,0)</formula>
    </cfRule>
  </conditionalFormatting>
  <conditionalFormatting sqref="BG233">
    <cfRule type="expression" dxfId="1142" priority="135">
      <formula>IF(NoColor,1,0)</formula>
    </cfRule>
  </conditionalFormatting>
  <pageMargins left="0.75" right="0.25" top="0.36" bottom="0.28999999999999998" header="0.36" footer="0.21"/>
  <pageSetup scale="72"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K156"/>
  <sheetViews>
    <sheetView topLeftCell="A15" zoomScaleNormal="100" zoomScaleSheetLayoutView="100" workbookViewId="0">
      <selection activeCell="AD60" sqref="AD60:AJ60"/>
    </sheetView>
  </sheetViews>
  <sheetFormatPr defaultColWidth="9.140625" defaultRowHeight="12.75"/>
  <cols>
    <col min="1" max="1" width="2.7109375" style="39" customWidth="1"/>
    <col min="2" max="2" width="5.140625" style="39" customWidth="1"/>
    <col min="3" max="3" width="3.28515625" style="39" customWidth="1"/>
    <col min="4" max="4" width="5.140625" style="39" customWidth="1"/>
    <col min="5" max="8" width="3.85546875" style="39" customWidth="1"/>
    <col min="9" max="15" width="4" style="39" customWidth="1"/>
    <col min="16" max="17" width="3.85546875" style="39" customWidth="1"/>
    <col min="18" max="18" width="3.140625" style="39" customWidth="1"/>
    <col min="19" max="19" width="3.5703125" style="39" customWidth="1"/>
    <col min="20" max="20" width="6.42578125" style="39" customWidth="1"/>
    <col min="21" max="21" width="3.5703125" style="39" customWidth="1"/>
    <col min="22" max="22" width="5.7109375" style="39" customWidth="1"/>
    <col min="23" max="24" width="4.7109375" style="39" customWidth="1"/>
    <col min="25" max="27" width="3.85546875" style="39" customWidth="1"/>
    <col min="28" max="28" width="4" style="39" customWidth="1"/>
    <col min="29" max="29" width="4.7109375" style="39" customWidth="1"/>
    <col min="30" max="31" width="4" style="39" customWidth="1"/>
    <col min="32" max="32" width="3.85546875" style="39" customWidth="1"/>
    <col min="33" max="33" width="6.5703125" style="39" customWidth="1"/>
    <col min="34" max="34" width="3.140625" style="39" customWidth="1"/>
    <col min="35" max="35" width="4" style="39" customWidth="1"/>
    <col min="36" max="36" width="2.7109375" style="39" customWidth="1"/>
    <col min="37" max="37" width="9.140625" style="39"/>
    <col min="38" max="38" width="2.85546875" style="39" customWidth="1"/>
    <col min="39" max="39" width="14.42578125" style="39" customWidth="1"/>
    <col min="40" max="40" width="3.28515625" style="39" customWidth="1"/>
    <col min="41" max="41" width="25.7109375" style="39" customWidth="1"/>
    <col min="42" max="43" width="9.140625" style="39"/>
    <col min="44" max="44" width="10.7109375" style="39" customWidth="1"/>
    <col min="45" max="45" width="12" style="39" customWidth="1"/>
    <col min="46" max="46" width="11.5703125" style="39" customWidth="1"/>
    <col min="47" max="47" width="11.42578125" style="39" customWidth="1"/>
    <col min="48" max="48" width="10.85546875" style="39" customWidth="1"/>
    <col min="49" max="50" width="9.140625" style="39"/>
    <col min="51" max="51" width="12" style="39" customWidth="1"/>
    <col min="52" max="52" width="4.140625" style="39" customWidth="1"/>
    <col min="53" max="61" width="10.7109375" style="2038" customWidth="1"/>
    <col min="62" max="62" width="4.140625" style="2038" customWidth="1"/>
    <col min="63" max="16384" width="9.140625" style="39"/>
  </cols>
  <sheetData>
    <row r="1" spans="1:63" s="2690" customFormat="1" ht="12" customHeight="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08"/>
      <c r="AM1" s="808"/>
      <c r="AN1" s="808"/>
      <c r="AO1" s="39"/>
      <c r="BA1" s="2038"/>
      <c r="BB1" s="2038"/>
      <c r="BC1" s="2038"/>
      <c r="BD1" s="2038"/>
      <c r="BE1" s="2038"/>
      <c r="BF1" s="2038"/>
      <c r="BG1" s="2038"/>
      <c r="BH1" s="2038"/>
      <c r="BI1" s="2038"/>
      <c r="BJ1" s="2038"/>
      <c r="BK1" s="39"/>
    </row>
    <row r="2" spans="1:63" s="2690" customFormat="1" ht="24" customHeight="1">
      <c r="A2" s="461"/>
      <c r="B2" s="8852" t="str">
        <f>IF('Table of Contents'!A45="D","DRAFT","")</f>
        <v/>
      </c>
      <c r="C2" s="8852"/>
      <c r="D2" s="8843" t="s">
        <v>129</v>
      </c>
      <c r="E2" s="8844"/>
      <c r="F2" s="8844"/>
      <c r="G2" s="8844"/>
      <c r="H2" s="860"/>
      <c r="I2" s="8845" t="s">
        <v>3896</v>
      </c>
      <c r="J2" s="6966"/>
      <c r="K2" s="6966"/>
      <c r="L2" s="6966"/>
      <c r="M2" s="6966"/>
      <c r="N2" s="6966"/>
      <c r="O2" s="6966"/>
      <c r="P2" s="6966"/>
      <c r="Q2" s="6966"/>
      <c r="R2" s="6966"/>
      <c r="S2" s="6966"/>
      <c r="T2" s="6966"/>
      <c r="U2" s="6966"/>
      <c r="V2" s="6966"/>
      <c r="W2" s="6966"/>
      <c r="X2" s="6966"/>
      <c r="Y2" s="6966"/>
      <c r="Z2" s="6966"/>
      <c r="AA2" s="6966"/>
      <c r="AB2" s="6967"/>
      <c r="AC2" s="8846" t="str">
        <f>IF('Table of Contents'!A45="D","DRAFT","OMB No. 1545-0172")</f>
        <v>OMB No. 1545-0172</v>
      </c>
      <c r="AD2" s="8847"/>
      <c r="AE2" s="8847"/>
      <c r="AF2" s="8847"/>
      <c r="AG2" s="8847"/>
      <c r="AH2" s="8847"/>
      <c r="AI2" s="8847"/>
      <c r="AJ2" s="8847"/>
      <c r="AK2" s="461"/>
      <c r="AL2" s="808"/>
      <c r="AM2" s="808"/>
      <c r="AN2" s="808"/>
      <c r="AO2" s="39"/>
      <c r="BA2" s="2038"/>
      <c r="BB2" s="2038"/>
      <c r="BC2" s="2038"/>
      <c r="BD2" s="2038"/>
      <c r="BE2" s="2038"/>
      <c r="BF2" s="2038"/>
      <c r="BG2" s="2038"/>
      <c r="BH2" s="2038"/>
      <c r="BI2" s="2038"/>
      <c r="BJ2" s="2038"/>
      <c r="BK2" s="39"/>
    </row>
    <row r="3" spans="1:63" s="2690" customFormat="1" ht="24" customHeight="1">
      <c r="A3" s="461"/>
      <c r="B3" s="8774" t="s">
        <v>50</v>
      </c>
      <c r="C3" s="7256"/>
      <c r="D3" s="8844"/>
      <c r="E3" s="8844"/>
      <c r="F3" s="8844"/>
      <c r="G3" s="8844"/>
      <c r="H3" s="860"/>
      <c r="I3" s="8771"/>
      <c r="J3" s="6966"/>
      <c r="K3" s="6966"/>
      <c r="L3" s="6966"/>
      <c r="M3" s="6966"/>
      <c r="N3" s="6966"/>
      <c r="O3" s="6966"/>
      <c r="P3" s="6966"/>
      <c r="Q3" s="6966"/>
      <c r="R3" s="6966"/>
      <c r="S3" s="6966"/>
      <c r="T3" s="6966"/>
      <c r="U3" s="6966"/>
      <c r="V3" s="6966"/>
      <c r="W3" s="6966"/>
      <c r="X3" s="6966"/>
      <c r="Y3" s="6966"/>
      <c r="Z3" s="6966"/>
      <c r="AA3" s="6966"/>
      <c r="AB3" s="6967"/>
      <c r="AC3" s="8775">
        <f>TaxYear</f>
        <v>2023</v>
      </c>
      <c r="AD3" s="8776"/>
      <c r="AE3" s="8776"/>
      <c r="AF3" s="8776"/>
      <c r="AG3" s="8776"/>
      <c r="AH3" s="8776"/>
      <c r="AI3" s="8776"/>
      <c r="AJ3" s="8776"/>
      <c r="AK3" s="461"/>
      <c r="AL3" s="808"/>
      <c r="AM3" s="808"/>
      <c r="AN3" s="808"/>
      <c r="AO3" s="1365" t="s">
        <v>3897</v>
      </c>
      <c r="AP3" s="3963"/>
      <c r="AQ3" s="3963"/>
      <c r="AR3" s="3963"/>
      <c r="AS3" s="3963"/>
      <c r="AT3" s="3963"/>
      <c r="AU3" s="3963"/>
      <c r="AV3" s="3963"/>
      <c r="AW3" s="3963"/>
      <c r="AX3" s="3963"/>
      <c r="AY3" s="3963"/>
      <c r="BA3" s="2038"/>
      <c r="BB3" s="2038"/>
      <c r="BC3" s="2038"/>
      <c r="BD3" s="2038"/>
      <c r="BE3" s="2038"/>
      <c r="BF3" s="2038"/>
      <c r="BG3" s="2038"/>
      <c r="BH3" s="2038"/>
      <c r="BI3" s="2038"/>
      <c r="BJ3" s="2038"/>
      <c r="BK3" s="39"/>
    </row>
    <row r="4" spans="1:63" s="2690" customFormat="1" ht="6.75" customHeight="1" thickBot="1">
      <c r="A4" s="461"/>
      <c r="B4" s="808"/>
      <c r="C4" s="808"/>
      <c r="D4" s="808"/>
      <c r="E4" s="808"/>
      <c r="F4" s="808"/>
      <c r="G4" s="808"/>
      <c r="H4" s="860"/>
      <c r="I4" s="8853" t="s">
        <v>3898</v>
      </c>
      <c r="J4" s="7064"/>
      <c r="K4" s="7064"/>
      <c r="L4" s="7064"/>
      <c r="M4" s="7064"/>
      <c r="N4" s="7064"/>
      <c r="O4" s="7064"/>
      <c r="P4" s="7064"/>
      <c r="Q4" s="7064"/>
      <c r="R4" s="7064"/>
      <c r="S4" s="7064"/>
      <c r="T4" s="7064"/>
      <c r="U4" s="7064"/>
      <c r="V4" s="7064"/>
      <c r="W4" s="7064"/>
      <c r="X4" s="7064"/>
      <c r="Y4" s="7064"/>
      <c r="Z4" s="7064"/>
      <c r="AA4" s="7064"/>
      <c r="AB4" s="8854"/>
      <c r="AC4" s="8777"/>
      <c r="AD4" s="8778"/>
      <c r="AE4" s="8778"/>
      <c r="AF4" s="8778"/>
      <c r="AG4" s="8778"/>
      <c r="AH4" s="8778"/>
      <c r="AI4" s="8778"/>
      <c r="AJ4" s="8778"/>
      <c r="AK4" s="461"/>
      <c r="AL4" s="808"/>
      <c r="AM4" s="808"/>
      <c r="AN4" s="808"/>
      <c r="AO4" s="808"/>
      <c r="AP4" s="2923"/>
      <c r="AQ4" s="2923"/>
      <c r="AR4" s="2923"/>
      <c r="AS4" s="2923"/>
      <c r="AT4" s="2923"/>
      <c r="AU4" s="2923"/>
      <c r="AV4" s="2923"/>
      <c r="AW4" s="2923"/>
      <c r="AX4" s="2923"/>
      <c r="AY4" s="2923"/>
      <c r="BA4" s="2038"/>
      <c r="BB4" s="2038"/>
      <c r="BC4" s="2038"/>
      <c r="BD4" s="2038"/>
      <c r="BE4" s="2038"/>
      <c r="BF4" s="2038"/>
      <c r="BG4" s="2038"/>
      <c r="BH4" s="2038"/>
      <c r="BI4" s="2038"/>
      <c r="BJ4" s="2038"/>
      <c r="BK4" s="39"/>
    </row>
    <row r="5" spans="1:63" s="2690" customFormat="1" ht="10.5" customHeight="1">
      <c r="A5" s="461"/>
      <c r="B5" s="808" t="s">
        <v>535</v>
      </c>
      <c r="C5" s="808"/>
      <c r="D5" s="808"/>
      <c r="E5" s="808"/>
      <c r="F5" s="808"/>
      <c r="G5" s="808"/>
      <c r="H5" s="860"/>
      <c r="I5" s="8853"/>
      <c r="J5" s="7064"/>
      <c r="K5" s="7064"/>
      <c r="L5" s="7064"/>
      <c r="M5" s="7064"/>
      <c r="N5" s="7064"/>
      <c r="O5" s="7064"/>
      <c r="P5" s="7064"/>
      <c r="Q5" s="7064"/>
      <c r="R5" s="7064"/>
      <c r="S5" s="7064"/>
      <c r="T5" s="7064"/>
      <c r="U5" s="7064"/>
      <c r="V5" s="7064"/>
      <c r="W5" s="7064"/>
      <c r="X5" s="7064"/>
      <c r="Y5" s="7064"/>
      <c r="Z5" s="7064"/>
      <c r="AA5" s="7064"/>
      <c r="AB5" s="8854"/>
      <c r="AC5" s="894"/>
      <c r="AD5" s="8472" t="s">
        <v>3899</v>
      </c>
      <c r="AE5" s="6848"/>
      <c r="AF5" s="6848"/>
      <c r="AG5" s="6848"/>
      <c r="AH5" s="8160">
        <v>179</v>
      </c>
      <c r="AI5" s="8160"/>
      <c r="AJ5" s="808"/>
      <c r="AK5" s="461"/>
      <c r="AL5" s="808"/>
      <c r="AM5" s="808"/>
      <c r="AN5" s="808"/>
      <c r="AO5" s="8869" t="s">
        <v>3900</v>
      </c>
      <c r="AP5" s="8849" t="s">
        <v>3901</v>
      </c>
      <c r="AQ5" s="8849" t="s">
        <v>3902</v>
      </c>
      <c r="AR5" s="8849" t="s">
        <v>3903</v>
      </c>
      <c r="AS5" s="8870" t="s">
        <v>3904</v>
      </c>
      <c r="AT5" s="8849" t="s">
        <v>3905</v>
      </c>
      <c r="AU5" s="8849" t="s">
        <v>3906</v>
      </c>
      <c r="AV5" s="8849" t="s">
        <v>3907</v>
      </c>
      <c r="AW5" s="8849" t="s">
        <v>3908</v>
      </c>
      <c r="AX5" s="8849" t="s">
        <v>3909</v>
      </c>
      <c r="AY5" s="8855" t="s">
        <v>3910</v>
      </c>
      <c r="BA5" s="2038"/>
      <c r="BB5" s="2038"/>
      <c r="BC5" s="2038"/>
      <c r="BD5" s="2038"/>
      <c r="BE5" s="2038"/>
      <c r="BF5" s="2038"/>
      <c r="BG5" s="2038"/>
      <c r="BH5" s="2038"/>
      <c r="BI5" s="2038"/>
      <c r="BJ5" s="2038"/>
      <c r="BK5" s="39"/>
    </row>
    <row r="6" spans="1:63" s="2690" customFormat="1" ht="15.75" customHeight="1" thickBot="1">
      <c r="A6" s="461"/>
      <c r="B6" s="1257" t="s">
        <v>537</v>
      </c>
      <c r="C6" s="896"/>
      <c r="D6" s="896"/>
      <c r="E6" s="896"/>
      <c r="F6" s="896"/>
      <c r="G6" s="896"/>
      <c r="H6" s="897"/>
      <c r="I6" s="8857" t="s">
        <v>3911</v>
      </c>
      <c r="J6" s="8858"/>
      <c r="K6" s="8858"/>
      <c r="L6" s="8858"/>
      <c r="M6" s="8858"/>
      <c r="N6" s="8858"/>
      <c r="O6" s="8858"/>
      <c r="P6" s="8858"/>
      <c r="Q6" s="8858"/>
      <c r="R6" s="8858"/>
      <c r="S6" s="8858"/>
      <c r="T6" s="8858"/>
      <c r="U6" s="8858"/>
      <c r="V6" s="8858"/>
      <c r="W6" s="8858"/>
      <c r="X6" s="8858"/>
      <c r="Y6" s="8858"/>
      <c r="Z6" s="8858"/>
      <c r="AA6" s="8858"/>
      <c r="AB6" s="8859"/>
      <c r="AC6" s="1118"/>
      <c r="AD6" s="8860" t="s">
        <v>3912</v>
      </c>
      <c r="AE6" s="8861"/>
      <c r="AF6" s="8861"/>
      <c r="AG6" s="8861"/>
      <c r="AH6" s="8848"/>
      <c r="AI6" s="8848"/>
      <c r="AJ6" s="896"/>
      <c r="AK6" s="461"/>
      <c r="AL6" s="808"/>
      <c r="AM6" s="808"/>
      <c r="AN6" s="808"/>
      <c r="AO6" s="7305"/>
      <c r="AP6" s="8850"/>
      <c r="AQ6" s="8850"/>
      <c r="AR6" s="8850"/>
      <c r="AS6" s="7430"/>
      <c r="AT6" s="8850"/>
      <c r="AU6" s="8850"/>
      <c r="AV6" s="8850"/>
      <c r="AW6" s="8850"/>
      <c r="AX6" s="8850"/>
      <c r="AY6" s="7412"/>
      <c r="BA6" s="2038"/>
      <c r="BB6" s="2038"/>
      <c r="BC6" s="2038"/>
      <c r="BD6" s="2038"/>
      <c r="BE6" s="2038"/>
      <c r="BF6" s="2038"/>
      <c r="BG6" s="2038"/>
      <c r="BH6" s="2038"/>
      <c r="BI6" s="2038"/>
      <c r="BJ6" s="2038"/>
      <c r="BK6" s="39"/>
    </row>
    <row r="7" spans="1:63" s="2690" customFormat="1">
      <c r="A7" s="461"/>
      <c r="B7" s="1119" t="s">
        <v>3913</v>
      </c>
      <c r="C7" s="1119"/>
      <c r="D7" s="1119"/>
      <c r="E7" s="1119"/>
      <c r="F7" s="1119"/>
      <c r="G7" s="1119"/>
      <c r="H7" s="1119"/>
      <c r="I7" s="1119"/>
      <c r="J7" s="1119"/>
      <c r="K7" s="1119"/>
      <c r="L7" s="1119"/>
      <c r="M7" s="1119"/>
      <c r="N7" s="1119"/>
      <c r="O7" s="3964"/>
      <c r="P7" s="3965" t="s">
        <v>3914</v>
      </c>
      <c r="Q7" s="1119"/>
      <c r="R7" s="1119"/>
      <c r="S7" s="1119"/>
      <c r="T7" s="1119"/>
      <c r="U7" s="1119"/>
      <c r="V7" s="1119"/>
      <c r="W7" s="1119"/>
      <c r="X7" s="1119"/>
      <c r="Y7" s="890"/>
      <c r="Z7" s="890"/>
      <c r="AA7" s="890"/>
      <c r="AB7" s="3966" t="s">
        <v>3915</v>
      </c>
      <c r="AC7" s="890"/>
      <c r="AD7" s="3967"/>
      <c r="AE7" s="3967"/>
      <c r="AF7" s="3967"/>
      <c r="AG7" s="3967"/>
      <c r="AH7" s="3967"/>
      <c r="AI7" s="3967"/>
      <c r="AJ7" s="3967"/>
      <c r="AK7" s="461"/>
      <c r="AL7" s="808"/>
      <c r="AM7" s="808"/>
      <c r="AN7" s="808"/>
      <c r="AO7" s="7305"/>
      <c r="AP7" s="8850"/>
      <c r="AQ7" s="8850"/>
      <c r="AR7" s="8850"/>
      <c r="AS7" s="7430"/>
      <c r="AT7" s="8850"/>
      <c r="AU7" s="8850"/>
      <c r="AV7" s="8850"/>
      <c r="AW7" s="8850"/>
      <c r="AX7" s="8850"/>
      <c r="AY7" s="7412"/>
      <c r="BA7" s="2038"/>
      <c r="BB7" s="2038"/>
      <c r="BC7" s="2038"/>
      <c r="BD7" s="2038"/>
      <c r="BE7" s="2038"/>
      <c r="BF7" s="2038"/>
      <c r="BG7" s="2038"/>
      <c r="BH7" s="2038"/>
      <c r="BI7" s="2038"/>
      <c r="BJ7" s="2038"/>
      <c r="BK7" s="39"/>
    </row>
    <row r="8" spans="1:63" s="2690" customFormat="1" ht="17.25" customHeight="1">
      <c r="A8" s="461"/>
      <c r="B8" s="8862" t="str">
        <f>Names</f>
        <v/>
      </c>
      <c r="C8" s="8862"/>
      <c r="D8" s="8862"/>
      <c r="E8" s="8862"/>
      <c r="F8" s="8862"/>
      <c r="G8" s="8862"/>
      <c r="H8" s="8862"/>
      <c r="I8" s="8862"/>
      <c r="J8" s="8862"/>
      <c r="K8" s="8862"/>
      <c r="L8" s="8862"/>
      <c r="M8" s="8862"/>
      <c r="N8" s="8862"/>
      <c r="O8" s="8863"/>
      <c r="P8" s="8864"/>
      <c r="Q8" s="8865"/>
      <c r="R8" s="8865"/>
      <c r="S8" s="8865"/>
      <c r="T8" s="8865"/>
      <c r="U8" s="8865"/>
      <c r="V8" s="8865"/>
      <c r="W8" s="8865"/>
      <c r="X8" s="8865"/>
      <c r="Y8" s="8865"/>
      <c r="Z8" s="8865"/>
      <c r="AA8" s="8866"/>
      <c r="AB8" s="8867"/>
      <c r="AC8" s="8868"/>
      <c r="AD8" s="8868"/>
      <c r="AE8" s="8868"/>
      <c r="AF8" s="8868"/>
      <c r="AG8" s="8868"/>
      <c r="AH8" s="8868"/>
      <c r="AI8" s="8868"/>
      <c r="AJ8" s="8868"/>
      <c r="AK8" s="461"/>
      <c r="AL8" s="808"/>
      <c r="AM8" s="808"/>
      <c r="AN8" s="808"/>
      <c r="AO8" s="7305"/>
      <c r="AP8" s="8850"/>
      <c r="AQ8" s="8850"/>
      <c r="AR8" s="8850"/>
      <c r="AS8" s="7430"/>
      <c r="AT8" s="8850"/>
      <c r="AU8" s="8850"/>
      <c r="AV8" s="8850"/>
      <c r="AW8" s="8850"/>
      <c r="AX8" s="8850"/>
      <c r="AY8" s="7412"/>
      <c r="BA8" s="2038"/>
      <c r="BB8" s="2038"/>
      <c r="BC8" s="2038"/>
      <c r="BD8" s="2038"/>
      <c r="BE8" s="2038"/>
      <c r="BF8" s="2038"/>
      <c r="BG8" s="2038"/>
      <c r="BH8" s="2038"/>
      <c r="BI8" s="2038"/>
      <c r="BJ8" s="2038"/>
      <c r="BK8" s="39"/>
    </row>
    <row r="9" spans="1:63" s="3525" customFormat="1" ht="15.75" customHeight="1">
      <c r="A9" s="3497"/>
      <c r="B9" s="6754" t="s">
        <v>884</v>
      </c>
      <c r="C9" s="8886"/>
      <c r="D9" s="3968"/>
      <c r="E9" s="3969" t="s">
        <v>3916</v>
      </c>
      <c r="F9" s="3970"/>
      <c r="G9" s="3970"/>
      <c r="H9" s="3970"/>
      <c r="I9" s="3970"/>
      <c r="J9" s="3970"/>
      <c r="K9" s="3970"/>
      <c r="L9" s="3970"/>
      <c r="M9" s="3970"/>
      <c r="N9" s="3970"/>
      <c r="O9" s="3970"/>
      <c r="P9" s="3970"/>
      <c r="Q9" s="3970"/>
      <c r="R9" s="3970"/>
      <c r="S9" s="3970"/>
      <c r="T9" s="3970"/>
      <c r="U9" s="3970"/>
      <c r="V9" s="3970"/>
      <c r="W9" s="3970"/>
      <c r="X9" s="3970"/>
      <c r="Y9" s="3970"/>
      <c r="Z9" s="3970"/>
      <c r="AA9" s="3970"/>
      <c r="AB9" s="3970"/>
      <c r="AC9" s="3970"/>
      <c r="AD9" s="3970"/>
      <c r="AE9" s="3970"/>
      <c r="AF9" s="3970"/>
      <c r="AG9" s="3970"/>
      <c r="AH9" s="3970"/>
      <c r="AI9" s="3971"/>
      <c r="AJ9" s="3971"/>
      <c r="AK9" s="3497"/>
      <c r="AL9" s="808"/>
      <c r="AM9" s="808"/>
      <c r="AN9" s="808"/>
      <c r="AO9" s="7294"/>
      <c r="AP9" s="8851"/>
      <c r="AQ9" s="8851"/>
      <c r="AR9" s="8851"/>
      <c r="AS9" s="8871"/>
      <c r="AT9" s="8851"/>
      <c r="AU9" s="8851"/>
      <c r="AV9" s="8851"/>
      <c r="AW9" s="8851"/>
      <c r="AX9" s="8851"/>
      <c r="AY9" s="8856"/>
      <c r="BA9" s="2038"/>
      <c r="BB9" s="2038"/>
      <c r="BC9" s="2038"/>
      <c r="BD9" s="2038"/>
      <c r="BE9" s="2038"/>
      <c r="BF9" s="2038"/>
      <c r="BG9" s="2038"/>
      <c r="BH9" s="2038"/>
      <c r="BI9" s="2038"/>
      <c r="BJ9" s="2038"/>
      <c r="BK9" s="3499"/>
    </row>
    <row r="10" spans="1:63" s="3525" customFormat="1" ht="15.75" customHeight="1">
      <c r="A10" s="3497"/>
      <c r="B10" s="3972"/>
      <c r="C10" s="3972"/>
      <c r="D10" s="3973"/>
      <c r="E10" s="3974" t="s">
        <v>3917</v>
      </c>
      <c r="F10" s="3972"/>
      <c r="G10" s="3972"/>
      <c r="H10" s="3972"/>
      <c r="I10" s="3972"/>
      <c r="J10" s="3972"/>
      <c r="K10" s="3972"/>
      <c r="L10" s="3972"/>
      <c r="M10" s="3972"/>
      <c r="N10" s="3972"/>
      <c r="O10" s="3972"/>
      <c r="P10" s="3972"/>
      <c r="Q10" s="3972"/>
      <c r="R10" s="3972"/>
      <c r="S10" s="3972"/>
      <c r="T10" s="3972"/>
      <c r="U10" s="3972"/>
      <c r="V10" s="3972"/>
      <c r="W10" s="3972"/>
      <c r="X10" s="3972"/>
      <c r="Y10" s="3972"/>
      <c r="Z10" s="3972"/>
      <c r="AA10" s="3972"/>
      <c r="AB10" s="3972"/>
      <c r="AC10" s="3972"/>
      <c r="AD10" s="3972"/>
      <c r="AE10" s="3972"/>
      <c r="AF10" s="3972"/>
      <c r="AG10" s="3972"/>
      <c r="AH10" s="3972"/>
      <c r="AI10" s="3975"/>
      <c r="AJ10" s="3975"/>
      <c r="AK10" s="3497"/>
      <c r="AL10" s="808"/>
      <c r="AM10" s="808"/>
      <c r="AN10" s="808"/>
      <c r="AO10" s="3976"/>
      <c r="AP10" s="3977"/>
      <c r="AQ10" s="3977"/>
      <c r="AR10" s="3977"/>
      <c r="AS10" s="3977"/>
      <c r="AT10" s="3977"/>
      <c r="AU10" s="3977"/>
      <c r="AV10" s="3977"/>
      <c r="AW10" s="3977"/>
      <c r="AX10" s="3977"/>
      <c r="AY10" s="3978"/>
      <c r="BA10" s="2038"/>
      <c r="BB10" s="2038"/>
      <c r="BC10" s="2038"/>
      <c r="BD10" s="2038"/>
      <c r="BE10" s="2038"/>
      <c r="BF10" s="2038"/>
      <c r="BG10" s="2038"/>
      <c r="BH10" s="2038"/>
      <c r="BI10" s="2038"/>
      <c r="BJ10" s="2038"/>
      <c r="BK10" s="3499"/>
    </row>
    <row r="11" spans="1:63" s="2690" customFormat="1" ht="15.75" customHeight="1">
      <c r="A11" s="461"/>
      <c r="B11" s="2358">
        <v>1</v>
      </c>
      <c r="C11" s="2450" t="s">
        <v>3918</v>
      </c>
      <c r="D11" s="2450"/>
      <c r="E11" s="892"/>
      <c r="F11" s="892"/>
      <c r="G11" s="892"/>
      <c r="H11" s="892"/>
      <c r="I11" s="892"/>
      <c r="J11" s="892"/>
      <c r="K11" s="892"/>
      <c r="L11" s="892"/>
      <c r="M11" s="892"/>
      <c r="N11" s="892"/>
      <c r="O11" s="892"/>
      <c r="P11" s="892"/>
      <c r="Q11" s="892"/>
      <c r="R11" s="892"/>
      <c r="S11" s="892"/>
      <c r="T11" s="892"/>
      <c r="U11" s="892"/>
      <c r="V11" s="892"/>
      <c r="W11" s="892"/>
      <c r="X11" s="892"/>
      <c r="Y11" s="892"/>
      <c r="Z11" s="892"/>
      <c r="AA11" s="1128" t="s">
        <v>1226</v>
      </c>
      <c r="AB11" s="8872">
        <v>1</v>
      </c>
      <c r="AC11" s="8873"/>
      <c r="AD11" s="6722"/>
      <c r="AE11" s="6723"/>
      <c r="AF11" s="6723"/>
      <c r="AG11" s="6723"/>
      <c r="AH11" s="6723"/>
      <c r="AI11" s="6723"/>
      <c r="AJ11" s="6723"/>
      <c r="AK11" s="461"/>
      <c r="AL11" s="808"/>
      <c r="AM11" s="808"/>
      <c r="AN11" s="808"/>
      <c r="AO11" s="3976"/>
      <c r="AP11" s="3977"/>
      <c r="AQ11" s="3977"/>
      <c r="AR11" s="3977"/>
      <c r="AS11" s="3977"/>
      <c r="AT11" s="3977"/>
      <c r="AU11" s="3977"/>
      <c r="AV11" s="3977"/>
      <c r="AW11" s="3977"/>
      <c r="AX11" s="3977"/>
      <c r="AY11" s="3978"/>
      <c r="BA11" s="2038"/>
      <c r="BB11" s="2038"/>
      <c r="BC11" s="2038"/>
      <c r="BD11" s="2038"/>
      <c r="BE11" s="2038"/>
      <c r="BF11" s="2038"/>
      <c r="BG11" s="2038"/>
      <c r="BH11" s="2038"/>
      <c r="BI11" s="2038"/>
      <c r="BJ11" s="2038"/>
      <c r="BK11" s="39"/>
    </row>
    <row r="12" spans="1:63" s="2690" customFormat="1" ht="15.75" customHeight="1">
      <c r="A12" s="461"/>
      <c r="B12" s="2358">
        <v>2</v>
      </c>
      <c r="C12" s="2446" t="s">
        <v>3919</v>
      </c>
      <c r="D12" s="892"/>
      <c r="E12" s="892"/>
      <c r="F12" s="892"/>
      <c r="G12" s="892"/>
      <c r="H12" s="892"/>
      <c r="I12" s="892"/>
      <c r="J12" s="892"/>
      <c r="K12" s="892"/>
      <c r="L12" s="892"/>
      <c r="M12" s="892"/>
      <c r="N12" s="892"/>
      <c r="O12" s="892"/>
      <c r="P12" s="892"/>
      <c r="Q12" s="892"/>
      <c r="R12" s="892"/>
      <c r="S12" s="892"/>
      <c r="T12" s="892"/>
      <c r="U12" s="892"/>
      <c r="V12" s="892"/>
      <c r="W12" s="892"/>
      <c r="X12" s="892"/>
      <c r="Y12" s="892"/>
      <c r="Z12" s="892"/>
      <c r="AA12" s="1128" t="s">
        <v>1037</v>
      </c>
      <c r="AB12" s="8872">
        <v>2</v>
      </c>
      <c r="AC12" s="8873"/>
      <c r="AD12" s="6722"/>
      <c r="AE12" s="6723"/>
      <c r="AF12" s="6723"/>
      <c r="AG12" s="6723"/>
      <c r="AH12" s="6723"/>
      <c r="AI12" s="6723"/>
      <c r="AJ12" s="6723"/>
      <c r="AK12" s="461"/>
      <c r="AL12" s="808"/>
      <c r="AM12" s="808"/>
      <c r="AN12" s="808"/>
      <c r="AO12" s="3976"/>
      <c r="AP12" s="3977"/>
      <c r="AQ12" s="3977"/>
      <c r="AR12" s="3977"/>
      <c r="AS12" s="3977"/>
      <c r="AT12" s="3977"/>
      <c r="AU12" s="3977"/>
      <c r="AV12" s="3977"/>
      <c r="AW12" s="3977"/>
      <c r="AX12" s="3977"/>
      <c r="AY12" s="3978"/>
      <c r="BA12" s="2038"/>
      <c r="BB12" s="2038"/>
      <c r="BC12" s="2038"/>
      <c r="BD12" s="2038"/>
      <c r="BE12" s="2038"/>
      <c r="BF12" s="2038"/>
      <c r="BG12" s="2038"/>
      <c r="BH12" s="2038"/>
      <c r="BI12" s="2038"/>
      <c r="BJ12" s="2038"/>
      <c r="BK12" s="39"/>
    </row>
    <row r="13" spans="1:63" s="2690" customFormat="1" ht="15.75" customHeight="1">
      <c r="A13" s="461"/>
      <c r="B13" s="2358">
        <v>3</v>
      </c>
      <c r="C13" s="3979" t="s">
        <v>3920</v>
      </c>
      <c r="D13" s="2112"/>
      <c r="E13" s="892"/>
      <c r="F13" s="892"/>
      <c r="G13" s="892"/>
      <c r="H13" s="892"/>
      <c r="I13" s="892"/>
      <c r="J13" s="892"/>
      <c r="K13" s="892"/>
      <c r="L13" s="892"/>
      <c r="M13" s="892"/>
      <c r="N13" s="892"/>
      <c r="O13" s="892"/>
      <c r="P13" s="892"/>
      <c r="Q13" s="892"/>
      <c r="R13" s="892"/>
      <c r="S13" s="892"/>
      <c r="T13" s="892"/>
      <c r="U13" s="892"/>
      <c r="V13" s="892"/>
      <c r="W13" s="892"/>
      <c r="X13" s="892"/>
      <c r="Y13" s="892"/>
      <c r="Z13" s="892"/>
      <c r="AA13" s="1128" t="s">
        <v>2114</v>
      </c>
      <c r="AB13" s="8872">
        <v>3</v>
      </c>
      <c r="AC13" s="8873"/>
      <c r="AD13" s="6722"/>
      <c r="AE13" s="6723"/>
      <c r="AF13" s="6723"/>
      <c r="AG13" s="6723"/>
      <c r="AH13" s="6723"/>
      <c r="AI13" s="6723"/>
      <c r="AJ13" s="6723"/>
      <c r="AK13" s="461"/>
      <c r="AL13" s="808"/>
      <c r="AM13" s="808"/>
      <c r="AN13" s="808"/>
      <c r="AO13" s="3976"/>
      <c r="AP13" s="3977"/>
      <c r="AQ13" s="3977"/>
      <c r="AR13" s="3977"/>
      <c r="AS13" s="3977"/>
      <c r="AT13" s="3977"/>
      <c r="AU13" s="3977"/>
      <c r="AV13" s="3977"/>
      <c r="AW13" s="3977"/>
      <c r="AX13" s="3977"/>
      <c r="AY13" s="3978"/>
      <c r="BA13" s="2038"/>
      <c r="BB13" s="2038"/>
      <c r="BC13" s="2038"/>
      <c r="BD13" s="2038"/>
      <c r="BE13" s="2038"/>
      <c r="BF13" s="2038"/>
      <c r="BG13" s="2038"/>
      <c r="BH13" s="2038"/>
      <c r="BI13" s="2038"/>
      <c r="BJ13" s="2038"/>
      <c r="BK13" s="39"/>
    </row>
    <row r="14" spans="1:63" s="2690" customFormat="1" ht="15.75" customHeight="1">
      <c r="A14" s="461"/>
      <c r="B14" s="2358">
        <v>4</v>
      </c>
      <c r="C14" s="3979" t="s">
        <v>3921</v>
      </c>
      <c r="D14" s="2112"/>
      <c r="E14" s="892"/>
      <c r="F14" s="892"/>
      <c r="G14" s="892"/>
      <c r="H14" s="892"/>
      <c r="I14" s="892"/>
      <c r="J14" s="892"/>
      <c r="K14" s="892"/>
      <c r="L14" s="892"/>
      <c r="M14" s="892"/>
      <c r="N14" s="892"/>
      <c r="O14" s="892"/>
      <c r="P14" s="892"/>
      <c r="Q14" s="892"/>
      <c r="R14" s="892"/>
      <c r="S14" s="3980"/>
      <c r="T14" s="892"/>
      <c r="U14" s="892"/>
      <c r="V14" s="892"/>
      <c r="W14" s="3622"/>
      <c r="X14" s="3981"/>
      <c r="Y14" s="3981"/>
      <c r="Z14" s="3981"/>
      <c r="AA14" s="1128" t="s">
        <v>888</v>
      </c>
      <c r="AB14" s="8872">
        <v>4</v>
      </c>
      <c r="AC14" s="8873"/>
      <c r="AD14" s="8874" t="str">
        <f>IF(AND(AD12="",AD13=""),"",MAX(0,SUM(AD12,-AD13)))</f>
        <v/>
      </c>
      <c r="AE14" s="8875"/>
      <c r="AF14" s="8875"/>
      <c r="AG14" s="8875"/>
      <c r="AH14" s="8875"/>
      <c r="AI14" s="8875"/>
      <c r="AJ14" s="8875"/>
      <c r="AK14" s="461"/>
      <c r="AL14" s="808"/>
      <c r="AM14" s="23" t="s">
        <v>1113</v>
      </c>
      <c r="AN14" s="808"/>
      <c r="AO14" s="3976"/>
      <c r="AP14" s="3977"/>
      <c r="AQ14" s="3977"/>
      <c r="AR14" s="3977"/>
      <c r="AS14" s="3977"/>
      <c r="AT14" s="3977"/>
      <c r="AU14" s="3977"/>
      <c r="AV14" s="3977"/>
      <c r="AW14" s="3977"/>
      <c r="AX14" s="3977"/>
      <c r="AY14" s="3978"/>
      <c r="BA14" s="2038"/>
      <c r="BB14" s="2038"/>
      <c r="BC14" s="2038"/>
      <c r="BD14" s="2038"/>
      <c r="BE14" s="2038"/>
      <c r="BF14" s="2038"/>
      <c r="BG14" s="2038"/>
      <c r="BH14" s="2038"/>
      <c r="BI14" s="2038"/>
      <c r="BJ14" s="2038"/>
      <c r="BK14" s="39"/>
    </row>
    <row r="15" spans="1:63" s="2690" customFormat="1" ht="15.75" customHeight="1" thickBot="1">
      <c r="A15" s="461"/>
      <c r="B15" s="2358">
        <v>5</v>
      </c>
      <c r="C15" s="3979" t="s">
        <v>3922</v>
      </c>
      <c r="D15" s="2112"/>
      <c r="E15" s="892"/>
      <c r="F15" s="892"/>
      <c r="G15" s="892"/>
      <c r="H15" s="892"/>
      <c r="I15" s="892"/>
      <c r="J15" s="892"/>
      <c r="K15" s="1585"/>
      <c r="L15" s="3980"/>
      <c r="M15" s="3982"/>
      <c r="N15" s="1585"/>
      <c r="O15" s="1585"/>
      <c r="P15" s="1585"/>
      <c r="Q15" s="1585"/>
      <c r="R15" s="1585"/>
      <c r="S15" s="892"/>
      <c r="T15" s="892"/>
      <c r="U15" s="892"/>
      <c r="V15" s="1585"/>
      <c r="W15" s="3622"/>
      <c r="X15" s="3983"/>
      <c r="Y15" s="3984"/>
      <c r="Z15" s="3984"/>
      <c r="AA15" s="3984"/>
      <c r="AB15" s="8872"/>
      <c r="AC15" s="8873"/>
      <c r="AD15" s="2220"/>
      <c r="AE15" s="3981"/>
      <c r="AF15" s="3981"/>
      <c r="AG15" s="3981"/>
      <c r="AH15" s="3981"/>
      <c r="AI15" s="3981"/>
      <c r="AJ15" s="3981"/>
      <c r="AK15" s="461"/>
      <c r="AL15" s="808"/>
      <c r="AM15" s="23" t="s">
        <v>1062</v>
      </c>
      <c r="AN15" s="808"/>
      <c r="AO15" s="3976"/>
      <c r="AP15" s="3977"/>
      <c r="AQ15" s="3977"/>
      <c r="AR15" s="3977"/>
      <c r="AS15" s="3977"/>
      <c r="AT15" s="3977"/>
      <c r="AU15" s="3977"/>
      <c r="AV15" s="3977"/>
      <c r="AW15" s="3977"/>
      <c r="AX15" s="3977"/>
      <c r="AY15" s="3978"/>
      <c r="BA15" s="2038"/>
      <c r="BB15" s="2038"/>
      <c r="BC15" s="2038"/>
      <c r="BD15" s="2038"/>
      <c r="BE15" s="2038"/>
      <c r="BF15" s="2038"/>
      <c r="BG15" s="2038"/>
      <c r="BH15" s="2038"/>
      <c r="BI15" s="2038"/>
      <c r="BJ15" s="2038"/>
      <c r="BK15" s="39"/>
    </row>
    <row r="16" spans="1:63" s="2690" customFormat="1" ht="15.75" customHeight="1" thickBot="1">
      <c r="A16" s="461"/>
      <c r="B16" s="3961"/>
      <c r="C16" s="3985" t="s">
        <v>3923</v>
      </c>
      <c r="D16" s="2190"/>
      <c r="E16" s="1260"/>
      <c r="F16" s="1260"/>
      <c r="G16" s="1260"/>
      <c r="H16" s="1260"/>
      <c r="I16" s="1260"/>
      <c r="J16" s="1260"/>
      <c r="K16" s="1260"/>
      <c r="L16" s="1260"/>
      <c r="M16" s="1260"/>
      <c r="N16" s="1260"/>
      <c r="O16" s="1260"/>
      <c r="P16" s="1260"/>
      <c r="Q16" s="1260"/>
      <c r="R16" s="1260"/>
      <c r="S16" s="1260"/>
      <c r="T16" s="1260"/>
      <c r="U16" s="1260"/>
      <c r="V16" s="1260"/>
      <c r="W16" s="3986"/>
      <c r="X16" s="1260"/>
      <c r="Y16" s="1260"/>
      <c r="Z16" s="1260"/>
      <c r="AA16" s="1128" t="s">
        <v>3013</v>
      </c>
      <c r="AB16" s="7420">
        <v>5</v>
      </c>
      <c r="AC16" s="8876"/>
      <c r="AD16" s="6884" t="str">
        <f>IF(AM16&lt;&gt;"",ROUND(AM16,0),IF(AND(AD11="",AD12="",AD13=""),"",IF(AND(AD12="",AD13=""),AD11,MAX(0,SUM(AD11,-AD14)))))</f>
        <v/>
      </c>
      <c r="AE16" s="8877"/>
      <c r="AF16" s="8877"/>
      <c r="AG16" s="8877"/>
      <c r="AH16" s="8877"/>
      <c r="AI16" s="8877"/>
      <c r="AJ16" s="8877"/>
      <c r="AK16" s="461"/>
      <c r="AL16" s="808"/>
      <c r="AM16" s="3987"/>
      <c r="AN16" s="808"/>
      <c r="AO16" s="3976"/>
      <c r="AP16" s="3977"/>
      <c r="AQ16" s="3977"/>
      <c r="AR16" s="3977"/>
      <c r="AS16" s="3977"/>
      <c r="AT16" s="3977"/>
      <c r="AU16" s="3977"/>
      <c r="AV16" s="3977"/>
      <c r="AW16" s="3977"/>
      <c r="AX16" s="3977"/>
      <c r="AY16" s="3978"/>
      <c r="BA16" s="2038"/>
      <c r="BB16" s="2038"/>
      <c r="BC16" s="2038"/>
      <c r="BD16" s="2038"/>
      <c r="BE16" s="2038"/>
      <c r="BF16" s="2038"/>
      <c r="BG16" s="2038"/>
      <c r="BH16" s="2038"/>
      <c r="BI16" s="2038"/>
      <c r="BJ16" s="2038"/>
      <c r="BK16" s="39"/>
    </row>
    <row r="17" spans="1:63" s="2690" customFormat="1" ht="15.75" customHeight="1">
      <c r="A17" s="461"/>
      <c r="B17" s="3988">
        <v>6</v>
      </c>
      <c r="C17" s="8878" t="s">
        <v>3924</v>
      </c>
      <c r="D17" s="8879"/>
      <c r="E17" s="8879"/>
      <c r="F17" s="8879"/>
      <c r="G17" s="8879"/>
      <c r="H17" s="8879"/>
      <c r="I17" s="8879"/>
      <c r="J17" s="8879"/>
      <c r="K17" s="8879"/>
      <c r="L17" s="8879"/>
      <c r="M17" s="8879"/>
      <c r="N17" s="8879"/>
      <c r="O17" s="8880"/>
      <c r="P17" s="8881" t="s">
        <v>3925</v>
      </c>
      <c r="Q17" s="8882"/>
      <c r="R17" s="8882"/>
      <c r="S17" s="8882"/>
      <c r="T17" s="8882"/>
      <c r="U17" s="8883"/>
      <c r="V17" s="8884" t="s">
        <v>3926</v>
      </c>
      <c r="W17" s="8885"/>
      <c r="X17" s="8885"/>
      <c r="Y17" s="8885"/>
      <c r="Z17" s="8885"/>
      <c r="AA17" s="8885"/>
      <c r="AB17" s="8885"/>
      <c r="AC17" s="7569"/>
      <c r="AD17" s="2218"/>
      <c r="AE17" s="2218"/>
      <c r="AF17" s="2218"/>
      <c r="AG17" s="2218"/>
      <c r="AH17" s="2218"/>
      <c r="AI17" s="2218"/>
      <c r="AJ17" s="2218"/>
      <c r="AK17" s="461"/>
      <c r="AL17" s="808"/>
      <c r="AM17" s="808"/>
      <c r="AN17" s="808"/>
      <c r="AO17" s="3976"/>
      <c r="AP17" s="3977"/>
      <c r="AQ17" s="3977"/>
      <c r="AR17" s="3977"/>
      <c r="AS17" s="3977"/>
      <c r="AT17" s="3977"/>
      <c r="AU17" s="3977"/>
      <c r="AV17" s="3977"/>
      <c r="AW17" s="3977"/>
      <c r="AX17" s="3977"/>
      <c r="AY17" s="3978"/>
      <c r="BA17" s="2038"/>
      <c r="BB17" s="2038"/>
      <c r="BC17" s="2038"/>
      <c r="BD17" s="2038"/>
      <c r="BE17" s="2038"/>
      <c r="BF17" s="2038"/>
      <c r="BG17" s="2038"/>
      <c r="BH17" s="2038"/>
      <c r="BI17" s="2038"/>
      <c r="BJ17" s="2038"/>
      <c r="BK17" s="39"/>
    </row>
    <row r="18" spans="1:63" s="2690" customFormat="1" ht="15.75" customHeight="1">
      <c r="A18" s="461"/>
      <c r="B18" s="7424"/>
      <c r="C18" s="7424"/>
      <c r="D18" s="7424"/>
      <c r="E18" s="7424"/>
      <c r="F18" s="7424"/>
      <c r="G18" s="7424"/>
      <c r="H18" s="7424"/>
      <c r="I18" s="7424"/>
      <c r="J18" s="7424"/>
      <c r="K18" s="7424"/>
      <c r="L18" s="7424"/>
      <c r="M18" s="7424"/>
      <c r="N18" s="7424"/>
      <c r="O18" s="7425"/>
      <c r="P18" s="6722"/>
      <c r="Q18" s="6723"/>
      <c r="R18" s="6723"/>
      <c r="S18" s="6723"/>
      <c r="T18" s="6723"/>
      <c r="U18" s="8895"/>
      <c r="V18" s="6882"/>
      <c r="W18" s="6723"/>
      <c r="X18" s="6723"/>
      <c r="Y18" s="6723"/>
      <c r="Z18" s="6723"/>
      <c r="AA18" s="6723"/>
      <c r="AB18" s="6723"/>
      <c r="AC18" s="8895"/>
      <c r="AD18" s="2218"/>
      <c r="AE18" s="2218"/>
      <c r="AF18" s="2218"/>
      <c r="AG18" s="2218"/>
      <c r="AH18" s="2218"/>
      <c r="AI18" s="2218"/>
      <c r="AJ18" s="2218"/>
      <c r="AK18" s="461"/>
      <c r="AL18" s="808"/>
      <c r="AM18" s="23" t="s">
        <v>1113</v>
      </c>
      <c r="AN18" s="808"/>
      <c r="AO18" s="3976"/>
      <c r="AP18" s="3977"/>
      <c r="AQ18" s="3977"/>
      <c r="AR18" s="3977"/>
      <c r="AS18" s="3977"/>
      <c r="AT18" s="3977"/>
      <c r="AU18" s="3977"/>
      <c r="AV18" s="3977"/>
      <c r="AW18" s="3977"/>
      <c r="AX18" s="3977"/>
      <c r="AY18" s="3978"/>
      <c r="BA18" s="2038"/>
      <c r="BB18" s="2038"/>
      <c r="BC18" s="2038"/>
      <c r="BD18" s="2038"/>
      <c r="BE18" s="2038"/>
      <c r="BF18" s="2038"/>
      <c r="BG18" s="2038"/>
      <c r="BH18" s="2038"/>
      <c r="BI18" s="2038"/>
      <c r="BJ18" s="2038"/>
      <c r="BK18" s="39"/>
    </row>
    <row r="19" spans="1:63" s="2690" customFormat="1" ht="15.75" customHeight="1" thickBot="1">
      <c r="A19" s="461"/>
      <c r="B19" s="7424"/>
      <c r="C19" s="7424"/>
      <c r="D19" s="7424"/>
      <c r="E19" s="7424"/>
      <c r="F19" s="7424"/>
      <c r="G19" s="7424"/>
      <c r="H19" s="7424"/>
      <c r="I19" s="7424"/>
      <c r="J19" s="7424"/>
      <c r="K19" s="7424"/>
      <c r="L19" s="7424"/>
      <c r="M19" s="7424"/>
      <c r="N19" s="7424"/>
      <c r="O19" s="7425"/>
      <c r="P19" s="6722"/>
      <c r="Q19" s="6723"/>
      <c r="R19" s="6723"/>
      <c r="S19" s="6723"/>
      <c r="T19" s="6723"/>
      <c r="U19" s="8895"/>
      <c r="V19" s="6882"/>
      <c r="W19" s="6723"/>
      <c r="X19" s="6723"/>
      <c r="Y19" s="6723"/>
      <c r="Z19" s="6723"/>
      <c r="AA19" s="6723"/>
      <c r="AB19" s="6723"/>
      <c r="AC19" s="8895"/>
      <c r="AD19" s="2218"/>
      <c r="AE19" s="3989"/>
      <c r="AF19" s="3989"/>
      <c r="AG19" s="3989"/>
      <c r="AH19" s="3989"/>
      <c r="AI19" s="3989"/>
      <c r="AJ19" s="3989"/>
      <c r="AK19" s="461"/>
      <c r="AL19" s="808"/>
      <c r="AM19" s="23" t="s">
        <v>1062</v>
      </c>
      <c r="AN19" s="808"/>
      <c r="AO19" s="3976"/>
      <c r="AP19" s="3977"/>
      <c r="AQ19" s="3977"/>
      <c r="AR19" s="3977"/>
      <c r="AS19" s="3977"/>
      <c r="AT19" s="3977"/>
      <c r="AU19" s="3977"/>
      <c r="AV19" s="3977"/>
      <c r="AW19" s="3977"/>
      <c r="AX19" s="3977"/>
      <c r="AY19" s="3978"/>
      <c r="BA19" s="2038"/>
      <c r="BB19" s="2038"/>
      <c r="BC19" s="2038"/>
      <c r="BD19" s="2038"/>
      <c r="BE19" s="2038"/>
      <c r="BF19" s="2038"/>
      <c r="BG19" s="2038"/>
      <c r="BH19" s="2038"/>
      <c r="BI19" s="2038"/>
      <c r="BJ19" s="2038"/>
      <c r="BK19" s="39"/>
    </row>
    <row r="20" spans="1:63" s="2690" customFormat="1" ht="15.75" customHeight="1" thickBot="1">
      <c r="A20" s="461"/>
      <c r="B20" s="2358">
        <v>7</v>
      </c>
      <c r="C20" s="3979" t="s">
        <v>3927</v>
      </c>
      <c r="D20" s="892"/>
      <c r="E20" s="892"/>
      <c r="F20" s="892"/>
      <c r="G20" s="892"/>
      <c r="H20" s="892"/>
      <c r="I20" s="892"/>
      <c r="J20" s="892"/>
      <c r="K20" s="892"/>
      <c r="L20" s="892"/>
      <c r="M20" s="892"/>
      <c r="N20" s="892"/>
      <c r="O20" s="892"/>
      <c r="P20" s="892"/>
      <c r="Q20" s="892"/>
      <c r="R20" s="892"/>
      <c r="S20" s="892"/>
      <c r="T20" s="1128" t="s">
        <v>888</v>
      </c>
      <c r="U20" s="3722">
        <v>7</v>
      </c>
      <c r="V20" s="6855">
        <f>IF(AM20&lt;&gt;"",ROUND(AM20,0),AF85)</f>
        <v>0</v>
      </c>
      <c r="W20" s="8875"/>
      <c r="X20" s="8875"/>
      <c r="Y20" s="8875"/>
      <c r="Z20" s="8875"/>
      <c r="AA20" s="8875"/>
      <c r="AB20" s="8875"/>
      <c r="AC20" s="8888"/>
      <c r="AD20" s="2217"/>
      <c r="AE20" s="3989"/>
      <c r="AF20" s="3989"/>
      <c r="AG20" s="3989"/>
      <c r="AH20" s="3989"/>
      <c r="AI20" s="3989"/>
      <c r="AJ20" s="3989"/>
      <c r="AK20" s="461"/>
      <c r="AL20" s="808"/>
      <c r="AM20" s="3987"/>
      <c r="AN20" s="808"/>
      <c r="AO20" s="3976"/>
      <c r="AP20" s="3977"/>
      <c r="AQ20" s="3977"/>
      <c r="AR20" s="3977"/>
      <c r="AS20" s="3977"/>
      <c r="AT20" s="3977"/>
      <c r="AU20" s="3977"/>
      <c r="AV20" s="3977"/>
      <c r="AW20" s="3977"/>
      <c r="AX20" s="3977"/>
      <c r="AY20" s="3978"/>
      <c r="BA20" s="2038"/>
      <c r="BB20" s="2038"/>
      <c r="BC20" s="2038"/>
      <c r="BD20" s="2038"/>
      <c r="BE20" s="2038"/>
      <c r="BF20" s="2038"/>
      <c r="BG20" s="2038"/>
      <c r="BH20" s="2038"/>
      <c r="BI20" s="2038"/>
      <c r="BJ20" s="2038"/>
      <c r="BK20" s="39"/>
    </row>
    <row r="21" spans="1:63" s="2690" customFormat="1" ht="15.75" customHeight="1">
      <c r="A21" s="461"/>
      <c r="B21" s="2358">
        <v>8</v>
      </c>
      <c r="C21" s="3979" t="s">
        <v>3928</v>
      </c>
      <c r="D21" s="2112"/>
      <c r="E21" s="892"/>
      <c r="F21" s="892"/>
      <c r="G21" s="892"/>
      <c r="H21" s="892"/>
      <c r="I21" s="892"/>
      <c r="J21" s="892"/>
      <c r="K21" s="892"/>
      <c r="L21" s="892"/>
      <c r="M21" s="892"/>
      <c r="N21" s="892"/>
      <c r="O21" s="892"/>
      <c r="P21" s="892"/>
      <c r="Q21" s="892"/>
      <c r="R21" s="892"/>
      <c r="S21" s="3980"/>
      <c r="T21" s="892"/>
      <c r="U21" s="892"/>
      <c r="V21" s="892"/>
      <c r="W21" s="3622"/>
      <c r="X21" s="3981"/>
      <c r="Y21" s="3981"/>
      <c r="Z21" s="3981"/>
      <c r="AA21" s="1128" t="s">
        <v>2114</v>
      </c>
      <c r="AB21" s="8889">
        <v>8</v>
      </c>
      <c r="AC21" s="8890"/>
      <c r="AD21" s="6884">
        <f>SUM(ROUND(V18,0),ROUND(V19,0),V20)</f>
        <v>0</v>
      </c>
      <c r="AE21" s="8877"/>
      <c r="AF21" s="8877"/>
      <c r="AG21" s="8877"/>
      <c r="AH21" s="8877"/>
      <c r="AI21" s="8877"/>
      <c r="AJ21" s="8877"/>
      <c r="AK21" s="461"/>
      <c r="AL21" s="808"/>
      <c r="AM21" s="808"/>
      <c r="AN21" s="808"/>
      <c r="AO21" s="3976"/>
      <c r="AP21" s="3977"/>
      <c r="AQ21" s="3977"/>
      <c r="AR21" s="3977"/>
      <c r="AS21" s="3977"/>
      <c r="AT21" s="3977"/>
      <c r="AU21" s="3977"/>
      <c r="AV21" s="3977"/>
      <c r="AW21" s="3977"/>
      <c r="AX21" s="3977"/>
      <c r="AY21" s="3978"/>
      <c r="BA21" s="2038"/>
      <c r="BB21" s="2038"/>
      <c r="BC21" s="2038"/>
      <c r="BD21" s="2038"/>
      <c r="BE21" s="2038"/>
      <c r="BF21" s="2038"/>
      <c r="BG21" s="2038"/>
      <c r="BH21" s="2038"/>
      <c r="BI21" s="2038"/>
      <c r="BJ21" s="2038"/>
      <c r="BK21" s="39"/>
    </row>
    <row r="22" spans="1:63" s="2690" customFormat="1" ht="15.75" customHeight="1">
      <c r="A22" s="461"/>
      <c r="B22" s="2358">
        <v>9</v>
      </c>
      <c r="C22" s="3979" t="s">
        <v>3929</v>
      </c>
      <c r="D22" s="2112"/>
      <c r="E22" s="892"/>
      <c r="F22" s="892"/>
      <c r="G22" s="892"/>
      <c r="H22" s="892"/>
      <c r="I22" s="892"/>
      <c r="J22" s="892"/>
      <c r="K22" s="892"/>
      <c r="L22" s="892"/>
      <c r="M22" s="892"/>
      <c r="N22" s="892"/>
      <c r="O22" s="892"/>
      <c r="P22" s="892"/>
      <c r="Q22" s="892"/>
      <c r="R22" s="892"/>
      <c r="S22" s="3980"/>
      <c r="T22" s="892"/>
      <c r="U22" s="892"/>
      <c r="V22" s="892"/>
      <c r="W22" s="3622"/>
      <c r="X22" s="3981"/>
      <c r="Y22" s="3981"/>
      <c r="Z22" s="3981"/>
      <c r="AA22" s="1128" t="s">
        <v>898</v>
      </c>
      <c r="AB22" s="8889">
        <v>9</v>
      </c>
      <c r="AC22" s="8890"/>
      <c r="AD22" s="8891">
        <f>MIN(AD16,AD21)</f>
        <v>0</v>
      </c>
      <c r="AE22" s="8892"/>
      <c r="AF22" s="8892"/>
      <c r="AG22" s="8892"/>
      <c r="AH22" s="8892"/>
      <c r="AI22" s="8892"/>
      <c r="AJ22" s="8893"/>
      <c r="AK22" s="461"/>
      <c r="AL22" s="808"/>
      <c r="AM22" s="808"/>
      <c r="AN22" s="808"/>
      <c r="AO22" s="3976"/>
      <c r="AP22" s="3977"/>
      <c r="AQ22" s="3977"/>
      <c r="AR22" s="3977"/>
      <c r="AS22" s="3977"/>
      <c r="AT22" s="3977"/>
      <c r="AU22" s="3977"/>
      <c r="AV22" s="3977"/>
      <c r="AW22" s="3977"/>
      <c r="AX22" s="3977"/>
      <c r="AY22" s="3978"/>
      <c r="BA22" s="2038"/>
      <c r="BB22" s="2038"/>
      <c r="BC22" s="2038"/>
      <c r="BD22" s="2038"/>
      <c r="BE22" s="2038"/>
      <c r="BF22" s="2038"/>
      <c r="BG22" s="2038"/>
      <c r="BH22" s="2038"/>
      <c r="BI22" s="2038"/>
      <c r="BJ22" s="2038"/>
      <c r="BK22" s="39"/>
    </row>
    <row r="23" spans="1:63" s="2690" customFormat="1" ht="15.75" customHeight="1" thickBot="1">
      <c r="A23" s="461"/>
      <c r="B23" s="2358">
        <v>10</v>
      </c>
      <c r="C23" s="3979" t="str">
        <f>"Carryover of disallowed deduction from line 13 of your "&amp;TaxYear-1&amp;" Form 4562"</f>
        <v>Carryover of disallowed deduction from line 13 of your 2022 Form 4562</v>
      </c>
      <c r="D23" s="2112"/>
      <c r="E23" s="892"/>
      <c r="F23" s="892"/>
      <c r="G23" s="892"/>
      <c r="H23" s="892"/>
      <c r="I23" s="892"/>
      <c r="J23" s="892"/>
      <c r="K23" s="892"/>
      <c r="L23" s="892"/>
      <c r="M23" s="892"/>
      <c r="N23" s="892"/>
      <c r="O23" s="892"/>
      <c r="P23" s="892"/>
      <c r="Q23" s="892"/>
      <c r="R23" s="892"/>
      <c r="S23" s="3980"/>
      <c r="T23" s="892"/>
      <c r="U23" s="892"/>
      <c r="V23" s="892"/>
      <c r="W23" s="3622"/>
      <c r="X23" s="3981"/>
      <c r="Y23" s="3981"/>
      <c r="Z23" s="3981"/>
      <c r="AA23" s="1128" t="s">
        <v>990</v>
      </c>
      <c r="AB23" s="8889">
        <v>10</v>
      </c>
      <c r="AC23" s="8890"/>
      <c r="AD23" s="8894"/>
      <c r="AE23" s="8894"/>
      <c r="AF23" s="8894"/>
      <c r="AG23" s="8894"/>
      <c r="AH23" s="8894"/>
      <c r="AI23" s="8894"/>
      <c r="AJ23" s="6722"/>
      <c r="AK23" s="461"/>
      <c r="AL23" s="808"/>
      <c r="AM23" s="1376" t="s">
        <v>3930</v>
      </c>
      <c r="AN23" s="808"/>
      <c r="AO23" s="3976"/>
      <c r="AP23" s="3977"/>
      <c r="AQ23" s="3977"/>
      <c r="AR23" s="3977"/>
      <c r="AS23" s="3977"/>
      <c r="AT23" s="3977"/>
      <c r="AU23" s="3977"/>
      <c r="AV23" s="3977"/>
      <c r="AW23" s="3977"/>
      <c r="AX23" s="3977"/>
      <c r="AY23" s="3978"/>
      <c r="BA23" s="2038"/>
      <c r="BB23" s="2038"/>
      <c r="BC23" s="2038"/>
      <c r="BD23" s="2038"/>
      <c r="BE23" s="2038"/>
      <c r="BF23" s="2038"/>
      <c r="BG23" s="2038"/>
      <c r="BH23" s="2038"/>
      <c r="BI23" s="2038"/>
      <c r="BJ23" s="2038"/>
      <c r="BK23" s="39"/>
    </row>
    <row r="24" spans="1:63" s="2690" customFormat="1" ht="15.75" customHeight="1" thickBot="1">
      <c r="A24" s="461"/>
      <c r="B24" s="1895">
        <v>11</v>
      </c>
      <c r="C24" s="2447" t="s">
        <v>3931</v>
      </c>
      <c r="D24" s="2334"/>
      <c r="E24" s="2112"/>
      <c r="F24" s="892"/>
      <c r="G24" s="892"/>
      <c r="H24" s="892"/>
      <c r="I24" s="892"/>
      <c r="J24" s="892"/>
      <c r="K24" s="892"/>
      <c r="L24" s="892"/>
      <c r="M24" s="892"/>
      <c r="N24" s="892"/>
      <c r="O24" s="892"/>
      <c r="P24" s="892"/>
      <c r="Q24" s="892"/>
      <c r="R24" s="892"/>
      <c r="S24" s="892"/>
      <c r="T24" s="892"/>
      <c r="U24" s="892"/>
      <c r="V24" s="892"/>
      <c r="W24" s="1585"/>
      <c r="X24" s="892"/>
      <c r="Y24" s="892"/>
      <c r="Z24" s="892"/>
      <c r="AA24" s="892"/>
      <c r="AB24" s="8889">
        <v>11</v>
      </c>
      <c r="AC24" s="8890"/>
      <c r="AD24" s="8891">
        <f>MIN(MAX(0,ROUND(AM24,0)),AD16)</f>
        <v>0</v>
      </c>
      <c r="AE24" s="8892"/>
      <c r="AF24" s="8892"/>
      <c r="AG24" s="8892"/>
      <c r="AH24" s="8892"/>
      <c r="AI24" s="8892"/>
      <c r="AJ24" s="8893"/>
      <c r="AK24" s="461"/>
      <c r="AL24" s="808"/>
      <c r="AM24" s="3987"/>
      <c r="AN24" s="808"/>
      <c r="AO24" s="3976"/>
      <c r="AP24" s="3977"/>
      <c r="AQ24" s="3977"/>
      <c r="AR24" s="3977"/>
      <c r="AS24" s="3977"/>
      <c r="AT24" s="3977"/>
      <c r="AU24" s="3977"/>
      <c r="AV24" s="3977"/>
      <c r="AW24" s="3977"/>
      <c r="AX24" s="3977"/>
      <c r="AY24" s="3978"/>
      <c r="BA24" s="2038"/>
      <c r="BB24" s="2038"/>
      <c r="BC24" s="2038"/>
      <c r="BD24" s="2038"/>
      <c r="BE24" s="2038"/>
      <c r="BF24" s="2038"/>
      <c r="BG24" s="2038"/>
      <c r="BH24" s="2038"/>
      <c r="BI24" s="2038"/>
      <c r="BJ24" s="2038"/>
      <c r="BK24" s="39"/>
    </row>
    <row r="25" spans="1:63" s="2690" customFormat="1" ht="15.75" customHeight="1" thickBot="1">
      <c r="A25" s="461"/>
      <c r="B25" s="2358">
        <v>12</v>
      </c>
      <c r="C25" s="2446" t="s">
        <v>3932</v>
      </c>
      <c r="D25" s="2334"/>
      <c r="E25" s="2112"/>
      <c r="F25" s="892"/>
      <c r="G25" s="892"/>
      <c r="H25" s="892"/>
      <c r="I25" s="892"/>
      <c r="J25" s="892"/>
      <c r="K25" s="892"/>
      <c r="L25" s="892"/>
      <c r="M25" s="892"/>
      <c r="N25" s="892"/>
      <c r="O25" s="892"/>
      <c r="P25" s="892"/>
      <c r="Q25" s="892"/>
      <c r="R25" s="892"/>
      <c r="S25" s="892"/>
      <c r="T25" s="892"/>
      <c r="U25" s="892"/>
      <c r="V25" s="892"/>
      <c r="W25" s="892"/>
      <c r="X25" s="892"/>
      <c r="Y25" s="892"/>
      <c r="Z25" s="892"/>
      <c r="AA25" s="1128" t="s">
        <v>1026</v>
      </c>
      <c r="AB25" s="8889">
        <v>12</v>
      </c>
      <c r="AC25" s="8890"/>
      <c r="AD25" s="8891">
        <f>MIN(SUM(AD22,ROUND(AD23,0)),AD24)</f>
        <v>0</v>
      </c>
      <c r="AE25" s="8892"/>
      <c r="AF25" s="8892"/>
      <c r="AG25" s="8892"/>
      <c r="AH25" s="8892"/>
      <c r="AI25" s="8892"/>
      <c r="AJ25" s="8893"/>
      <c r="AK25" s="461"/>
      <c r="AL25" s="808"/>
      <c r="AM25" s="3693" t="s">
        <v>1062</v>
      </c>
      <c r="AN25" s="808"/>
      <c r="AO25" s="3976"/>
      <c r="AP25" s="3977"/>
      <c r="AQ25" s="3977"/>
      <c r="AR25" s="3977"/>
      <c r="AS25" s="3977"/>
      <c r="AT25" s="3977"/>
      <c r="AU25" s="3977"/>
      <c r="AV25" s="3977"/>
      <c r="AW25" s="3977"/>
      <c r="AX25" s="3977"/>
      <c r="AY25" s="3978"/>
      <c r="BA25" s="2038"/>
      <c r="BB25" s="2038"/>
      <c r="BC25" s="2038"/>
      <c r="BD25" s="2038"/>
      <c r="BE25" s="2038"/>
      <c r="BF25" s="2038"/>
      <c r="BG25" s="2038"/>
      <c r="BH25" s="2038"/>
      <c r="BI25" s="2038"/>
      <c r="BJ25" s="2038"/>
      <c r="BK25" s="39"/>
    </row>
    <row r="26" spans="1:63" s="2690" customFormat="1" ht="15.75" customHeight="1" thickBot="1">
      <c r="A26" s="461"/>
      <c r="B26" s="2358">
        <v>13</v>
      </c>
      <c r="C26" s="2446" t="str">
        <f>"Carryover of disallowed deduction to "&amp;TaxYear+1&amp;". Add lines 9 and 10, less line 12"</f>
        <v>Carryover of disallowed deduction to 2024. Add lines 9 and 10, less line 12</v>
      </c>
      <c r="D26" s="2112"/>
      <c r="E26" s="2112"/>
      <c r="F26" s="892"/>
      <c r="G26" s="892"/>
      <c r="H26" s="892"/>
      <c r="I26" s="892"/>
      <c r="J26" s="892"/>
      <c r="K26" s="892"/>
      <c r="L26" s="892"/>
      <c r="M26" s="892"/>
      <c r="N26" s="892"/>
      <c r="O26" s="892"/>
      <c r="P26" s="892"/>
      <c r="Q26" s="892"/>
      <c r="R26" s="892"/>
      <c r="S26" s="892"/>
      <c r="T26" s="892"/>
      <c r="U26" s="892"/>
      <c r="V26" s="3725">
        <v>13</v>
      </c>
      <c r="W26" s="8896">
        <f>IF(AM26&lt;&gt;"",ROUND(AM26,0),SUM(AD22,ROUND(AD23,0),-AD25))</f>
        <v>0</v>
      </c>
      <c r="X26" s="8897"/>
      <c r="Y26" s="8897"/>
      <c r="Z26" s="8897"/>
      <c r="AA26" s="8897"/>
      <c r="AB26" s="8897"/>
      <c r="AC26" s="8898"/>
      <c r="AD26" s="3990"/>
      <c r="AE26" s="3991"/>
      <c r="AF26" s="3991"/>
      <c r="AG26" s="3991"/>
      <c r="AH26" s="3991"/>
      <c r="AI26" s="3991"/>
      <c r="AJ26" s="3991"/>
      <c r="AK26" s="461"/>
      <c r="AL26" s="808"/>
      <c r="AM26" s="3987"/>
      <c r="AN26" s="808"/>
      <c r="AO26" s="3976"/>
      <c r="AP26" s="3977"/>
      <c r="AQ26" s="3977"/>
      <c r="AR26" s="3977"/>
      <c r="AS26" s="3977"/>
      <c r="AT26" s="3977"/>
      <c r="AU26" s="3977"/>
      <c r="AV26" s="3977"/>
      <c r="AW26" s="3977"/>
      <c r="AX26" s="3977"/>
      <c r="AY26" s="3978"/>
      <c r="BA26" s="2038"/>
      <c r="BB26" s="2038"/>
      <c r="BC26" s="2038"/>
      <c r="BD26" s="2038"/>
      <c r="BE26" s="2038"/>
      <c r="BF26" s="2038"/>
      <c r="BG26" s="2038"/>
      <c r="BH26" s="2038"/>
      <c r="BI26" s="2038"/>
      <c r="BJ26" s="2038"/>
      <c r="BK26" s="39"/>
    </row>
    <row r="27" spans="1:63" s="2690" customFormat="1" ht="15.75" customHeight="1">
      <c r="A27" s="461"/>
      <c r="B27" s="2452" t="s">
        <v>3933</v>
      </c>
      <c r="C27" s="3992"/>
      <c r="D27" s="2113"/>
      <c r="E27" s="2188"/>
      <c r="F27" s="2188"/>
      <c r="G27" s="2188"/>
      <c r="H27" s="2188"/>
      <c r="I27" s="2188"/>
      <c r="J27" s="2188"/>
      <c r="K27" s="2188"/>
      <c r="L27" s="2188"/>
      <c r="M27" s="2188"/>
      <c r="N27" s="2188"/>
      <c r="O27" s="2188"/>
      <c r="P27" s="2188"/>
      <c r="Q27" s="2188"/>
      <c r="R27" s="2188"/>
      <c r="S27" s="2188"/>
      <c r="T27" s="2188"/>
      <c r="U27" s="2188"/>
      <c r="V27" s="2188"/>
      <c r="W27" s="2188"/>
      <c r="X27" s="2188"/>
      <c r="Y27" s="2188"/>
      <c r="Z27" s="2188"/>
      <c r="AA27" s="2188"/>
      <c r="AB27" s="2188"/>
      <c r="AC27" s="2188"/>
      <c r="AD27" s="2188"/>
      <c r="AE27" s="2188"/>
      <c r="AF27" s="2188"/>
      <c r="AG27" s="2188"/>
      <c r="AH27" s="2188"/>
      <c r="AI27" s="2188"/>
      <c r="AJ27" s="2188"/>
      <c r="AK27" s="461"/>
      <c r="AL27" s="808"/>
      <c r="AM27" s="808"/>
      <c r="AN27" s="808"/>
      <c r="AO27" s="3976"/>
      <c r="AP27" s="3977"/>
      <c r="AQ27" s="3977"/>
      <c r="AR27" s="3977"/>
      <c r="AS27" s="3977"/>
      <c r="AT27" s="3977"/>
      <c r="AU27" s="3977"/>
      <c r="AV27" s="3977"/>
      <c r="AW27" s="3977"/>
      <c r="AX27" s="3977"/>
      <c r="AY27" s="3978"/>
      <c r="BA27" s="2038"/>
      <c r="BB27" s="2038"/>
      <c r="BC27" s="2038"/>
      <c r="BD27" s="2038"/>
      <c r="BE27" s="2038"/>
      <c r="BF27" s="2038"/>
      <c r="BG27" s="2038"/>
      <c r="BH27" s="2038"/>
      <c r="BI27" s="2038"/>
      <c r="BJ27" s="2038"/>
      <c r="BK27" s="39"/>
    </row>
    <row r="28" spans="1:63" s="3525" customFormat="1" ht="15.75" customHeight="1">
      <c r="A28" s="3497"/>
      <c r="B28" s="8698" t="s">
        <v>982</v>
      </c>
      <c r="C28" s="8887"/>
      <c r="D28" s="3993" t="s">
        <v>3934</v>
      </c>
      <c r="E28" s="3994"/>
      <c r="F28" s="3995"/>
      <c r="G28" s="3995"/>
      <c r="H28" s="3995"/>
      <c r="I28" s="3995"/>
      <c r="J28" s="3995"/>
      <c r="K28" s="3995"/>
      <c r="L28" s="3995"/>
      <c r="M28" s="3995"/>
      <c r="N28" s="3995"/>
      <c r="O28" s="3995"/>
      <c r="P28" s="3995"/>
      <c r="Q28" s="3995"/>
      <c r="R28" s="3995"/>
      <c r="S28" s="3995"/>
      <c r="T28" s="3995"/>
      <c r="U28" s="3995"/>
      <c r="V28" s="3995"/>
      <c r="W28" s="3995"/>
      <c r="X28" s="3995"/>
      <c r="Y28" s="3995"/>
      <c r="Z28" s="3995"/>
      <c r="AA28" s="3995"/>
      <c r="AB28" s="3995"/>
      <c r="AC28" s="3995"/>
      <c r="AD28" s="3995"/>
      <c r="AE28" s="3995"/>
      <c r="AF28" s="3995"/>
      <c r="AG28" s="3995"/>
      <c r="AH28" s="3995"/>
      <c r="AI28" s="3996"/>
      <c r="AJ28" s="3996"/>
      <c r="AK28" s="3497"/>
      <c r="AL28" s="808"/>
      <c r="AM28" s="808"/>
      <c r="AN28" s="808"/>
      <c r="AO28" s="3976"/>
      <c r="AP28" s="3977"/>
      <c r="AQ28" s="3977"/>
      <c r="AR28" s="3977"/>
      <c r="AS28" s="3977"/>
      <c r="AT28" s="3977"/>
      <c r="AU28" s="3977"/>
      <c r="AV28" s="3977"/>
      <c r="AW28" s="3977"/>
      <c r="AX28" s="3977"/>
      <c r="AY28" s="3978"/>
      <c r="BA28" s="2038"/>
      <c r="BB28" s="2038"/>
      <c r="BC28" s="2038"/>
      <c r="BD28" s="2038"/>
      <c r="BE28" s="2038"/>
      <c r="BF28" s="2038"/>
      <c r="BG28" s="2038"/>
      <c r="BH28" s="2038"/>
      <c r="BI28" s="2038"/>
      <c r="BJ28" s="2038"/>
      <c r="BK28" s="3499"/>
    </row>
    <row r="29" spans="1:63" s="2690" customFormat="1" ht="15.75" customHeight="1">
      <c r="A29" s="461"/>
      <c r="B29" s="2358">
        <v>14</v>
      </c>
      <c r="C29" s="3979" t="s">
        <v>3935</v>
      </c>
      <c r="D29" s="2112"/>
      <c r="E29" s="892"/>
      <c r="F29" s="892"/>
      <c r="G29" s="892"/>
      <c r="H29" s="892"/>
      <c r="I29" s="892"/>
      <c r="J29" s="892"/>
      <c r="K29" s="1585"/>
      <c r="L29" s="3980"/>
      <c r="M29" s="3982"/>
      <c r="N29" s="1585"/>
      <c r="O29" s="1585"/>
      <c r="P29" s="1585"/>
      <c r="Q29" s="1585"/>
      <c r="R29" s="1585"/>
      <c r="S29" s="892"/>
      <c r="T29" s="892"/>
      <c r="U29" s="892"/>
      <c r="V29" s="1585"/>
      <c r="W29" s="3622"/>
      <c r="X29" s="3983"/>
      <c r="Y29" s="3984"/>
      <c r="Z29" s="3984"/>
      <c r="AA29" s="3984"/>
      <c r="AB29" s="8872"/>
      <c r="AC29" s="8873"/>
      <c r="AD29" s="2220"/>
      <c r="AE29" s="3981"/>
      <c r="AF29" s="3981"/>
      <c r="AG29" s="3981"/>
      <c r="AH29" s="3981"/>
      <c r="AI29" s="3981"/>
      <c r="AJ29" s="3981"/>
      <c r="AK29" s="461"/>
      <c r="AL29" s="808"/>
      <c r="AM29" s="23"/>
      <c r="AN29" s="808"/>
      <c r="AO29" s="3976"/>
      <c r="AP29" s="3977"/>
      <c r="AQ29" s="3977"/>
      <c r="AR29" s="3977"/>
      <c r="AS29" s="3977"/>
      <c r="AT29" s="3977"/>
      <c r="AU29" s="3977"/>
      <c r="AV29" s="3977"/>
      <c r="AW29" s="3977"/>
      <c r="AX29" s="3977"/>
      <c r="AY29" s="3978"/>
      <c r="BA29" s="2038"/>
      <c r="BB29" s="2038"/>
      <c r="BC29" s="2038"/>
      <c r="BD29" s="2038"/>
      <c r="BE29" s="2038"/>
      <c r="BF29" s="2038"/>
      <c r="BG29" s="2038"/>
      <c r="BH29" s="2038"/>
      <c r="BI29" s="2038"/>
      <c r="BJ29" s="2038"/>
      <c r="BK29" s="39"/>
    </row>
    <row r="30" spans="1:63" s="2690" customFormat="1" ht="15.75" customHeight="1">
      <c r="A30" s="461"/>
      <c r="B30" s="1895"/>
      <c r="C30" s="3979" t="s">
        <v>3936</v>
      </c>
      <c r="D30" s="2112"/>
      <c r="E30" s="892"/>
      <c r="F30" s="892"/>
      <c r="G30" s="892"/>
      <c r="H30" s="892"/>
      <c r="I30" s="892"/>
      <c r="J30" s="892"/>
      <c r="K30" s="892"/>
      <c r="L30" s="892"/>
      <c r="M30" s="892"/>
      <c r="N30" s="892"/>
      <c r="O30" s="892"/>
      <c r="P30" s="892"/>
      <c r="Q30" s="892"/>
      <c r="R30" s="892"/>
      <c r="S30" s="892"/>
      <c r="T30" s="892"/>
      <c r="U30" s="892"/>
      <c r="V30" s="892"/>
      <c r="W30" s="3622"/>
      <c r="X30" s="892"/>
      <c r="Y30" s="892"/>
      <c r="Z30" s="892"/>
      <c r="AA30" s="1128" t="s">
        <v>3937</v>
      </c>
      <c r="AB30" s="7420">
        <v>14</v>
      </c>
      <c r="AC30" s="8876"/>
      <c r="AD30" s="6714"/>
      <c r="AE30" s="6715"/>
      <c r="AF30" s="6715"/>
      <c r="AG30" s="6715"/>
      <c r="AH30" s="6715"/>
      <c r="AI30" s="6715"/>
      <c r="AJ30" s="6715"/>
      <c r="AK30" s="461"/>
      <c r="AL30" s="808"/>
      <c r="AM30" s="3997">
        <f>ROUND(AD30,0)</f>
        <v>0</v>
      </c>
      <c r="AN30" s="808"/>
      <c r="AO30" s="3976"/>
      <c r="AP30" s="3977"/>
      <c r="AQ30" s="3977"/>
      <c r="AR30" s="3977"/>
      <c r="AS30" s="3977"/>
      <c r="AT30" s="3977"/>
      <c r="AU30" s="3977"/>
      <c r="AV30" s="3977"/>
      <c r="AW30" s="3977"/>
      <c r="AX30" s="3977"/>
      <c r="AY30" s="3978"/>
      <c r="BA30" s="2038"/>
      <c r="BB30" s="2038"/>
      <c r="BC30" s="2038"/>
      <c r="BD30" s="2038"/>
      <c r="BE30" s="2038"/>
      <c r="BF30" s="2038"/>
      <c r="BG30" s="2038"/>
      <c r="BH30" s="2038"/>
      <c r="BI30" s="2038"/>
      <c r="BJ30" s="2038"/>
      <c r="BK30" s="39"/>
    </row>
    <row r="31" spans="1:63" s="2690" customFormat="1" ht="15.75" customHeight="1">
      <c r="A31" s="461"/>
      <c r="B31" s="2358">
        <v>15</v>
      </c>
      <c r="C31" s="3979" t="s">
        <v>3938</v>
      </c>
      <c r="D31" s="2112"/>
      <c r="E31" s="892"/>
      <c r="F31" s="892"/>
      <c r="G31" s="892"/>
      <c r="H31" s="892"/>
      <c r="I31" s="892"/>
      <c r="J31" s="892"/>
      <c r="K31" s="892"/>
      <c r="L31" s="892"/>
      <c r="M31" s="892"/>
      <c r="N31" s="892"/>
      <c r="O31" s="892"/>
      <c r="P31" s="892"/>
      <c r="Q31" s="892"/>
      <c r="R31" s="892"/>
      <c r="S31" s="3980"/>
      <c r="T31" s="892"/>
      <c r="U31" s="892"/>
      <c r="V31" s="892"/>
      <c r="W31" s="3622"/>
      <c r="X31" s="3981"/>
      <c r="Y31" s="3981"/>
      <c r="Z31" s="3981"/>
      <c r="AA31" s="1128" t="s">
        <v>908</v>
      </c>
      <c r="AB31" s="8889">
        <v>15</v>
      </c>
      <c r="AC31" s="8890"/>
      <c r="AD31" s="8894"/>
      <c r="AE31" s="8894"/>
      <c r="AF31" s="8894"/>
      <c r="AG31" s="8894"/>
      <c r="AH31" s="8894"/>
      <c r="AI31" s="8894"/>
      <c r="AJ31" s="6722"/>
      <c r="AK31" s="461"/>
      <c r="AL31" s="808"/>
      <c r="AM31" s="3997">
        <f>ROUND(AD31,0)</f>
        <v>0</v>
      </c>
      <c r="AN31" s="808"/>
      <c r="AO31" s="3976"/>
      <c r="AP31" s="3977"/>
      <c r="AQ31" s="3977"/>
      <c r="AR31" s="3977"/>
      <c r="AS31" s="3977"/>
      <c r="AT31" s="3977"/>
      <c r="AU31" s="3977"/>
      <c r="AV31" s="3977"/>
      <c r="AW31" s="3977"/>
      <c r="AX31" s="3977"/>
      <c r="AY31" s="3978"/>
      <c r="BA31" s="2038"/>
      <c r="BB31" s="2038"/>
      <c r="BC31" s="2038"/>
      <c r="BD31" s="2038"/>
      <c r="BE31" s="2038"/>
      <c r="BF31" s="2038"/>
      <c r="BG31" s="2038"/>
      <c r="BH31" s="2038"/>
      <c r="BI31" s="2038"/>
      <c r="BJ31" s="2038"/>
      <c r="BK31" s="39"/>
    </row>
    <row r="32" spans="1:63" s="2690" customFormat="1" ht="15.75" customHeight="1">
      <c r="A32" s="461"/>
      <c r="B32" s="2358">
        <v>16</v>
      </c>
      <c r="C32" s="3979" t="s">
        <v>3939</v>
      </c>
      <c r="D32" s="2450"/>
      <c r="E32" s="892"/>
      <c r="F32" s="892"/>
      <c r="G32" s="892"/>
      <c r="H32" s="892"/>
      <c r="I32" s="892"/>
      <c r="J32" s="892"/>
      <c r="K32" s="892"/>
      <c r="L32" s="892"/>
      <c r="M32" s="892"/>
      <c r="N32" s="892"/>
      <c r="O32" s="892"/>
      <c r="P32" s="892"/>
      <c r="Q32" s="892"/>
      <c r="R32" s="892"/>
      <c r="S32" s="892"/>
      <c r="T32" s="892"/>
      <c r="U32" s="892"/>
      <c r="V32" s="892"/>
      <c r="W32" s="892"/>
      <c r="X32" s="892"/>
      <c r="Y32" s="892"/>
      <c r="Z32" s="892"/>
      <c r="AA32" s="1128" t="s">
        <v>3937</v>
      </c>
      <c r="AB32" s="8889">
        <v>16</v>
      </c>
      <c r="AC32" s="8890"/>
      <c r="AD32" s="8894"/>
      <c r="AE32" s="8894"/>
      <c r="AF32" s="8894"/>
      <c r="AG32" s="8894"/>
      <c r="AH32" s="8894"/>
      <c r="AI32" s="8894"/>
      <c r="AJ32" s="6722"/>
      <c r="AK32" s="461"/>
      <c r="AL32" s="808"/>
      <c r="AM32" s="3997">
        <f>ROUND(AD32,0)</f>
        <v>0</v>
      </c>
      <c r="AN32" s="808"/>
      <c r="AO32" s="3976"/>
      <c r="AP32" s="3977"/>
      <c r="AQ32" s="3977"/>
      <c r="AR32" s="3977"/>
      <c r="AS32" s="3977"/>
      <c r="AT32" s="3977"/>
      <c r="AU32" s="3977"/>
      <c r="AV32" s="3977"/>
      <c r="AW32" s="3977"/>
      <c r="AX32" s="3977"/>
      <c r="AY32" s="3978"/>
      <c r="BA32" s="2038"/>
      <c r="BB32" s="2038"/>
      <c r="BC32" s="2038"/>
      <c r="BD32" s="2038"/>
      <c r="BE32" s="2038"/>
      <c r="BF32" s="2038"/>
      <c r="BG32" s="2038"/>
      <c r="BH32" s="2038"/>
      <c r="BI32" s="2038"/>
      <c r="BJ32" s="2038"/>
      <c r="BK32" s="39"/>
    </row>
    <row r="33" spans="1:63" s="3525" customFormat="1" ht="15.75" customHeight="1">
      <c r="A33" s="3497"/>
      <c r="B33" s="8698" t="s">
        <v>2243</v>
      </c>
      <c r="C33" s="8887"/>
      <c r="D33" s="3993" t="s">
        <v>3940</v>
      </c>
      <c r="E33" s="3994"/>
      <c r="F33" s="3995"/>
      <c r="G33" s="3995"/>
      <c r="H33" s="3995"/>
      <c r="I33" s="3995"/>
      <c r="J33" s="3995"/>
      <c r="K33" s="3995"/>
      <c r="L33" s="3995"/>
      <c r="M33" s="3995"/>
      <c r="N33" s="3995"/>
      <c r="O33" s="3995"/>
      <c r="P33" s="3995"/>
      <c r="Q33" s="3995"/>
      <c r="R33" s="3995"/>
      <c r="S33" s="3995"/>
      <c r="T33" s="3995"/>
      <c r="U33" s="3995"/>
      <c r="V33" s="3995"/>
      <c r="W33" s="3995"/>
      <c r="X33" s="3995"/>
      <c r="Y33" s="3995"/>
      <c r="Z33" s="3995"/>
      <c r="AA33" s="3995"/>
      <c r="AB33" s="3995"/>
      <c r="AC33" s="3995"/>
      <c r="AD33" s="3995"/>
      <c r="AE33" s="3995"/>
      <c r="AF33" s="3995"/>
      <c r="AG33" s="3995"/>
      <c r="AH33" s="3995"/>
      <c r="AI33" s="3996"/>
      <c r="AJ33" s="3996"/>
      <c r="AK33" s="3497"/>
      <c r="AL33" s="808"/>
      <c r="AM33" s="900"/>
      <c r="AN33" s="808"/>
      <c r="AO33" s="3976"/>
      <c r="AP33" s="3977"/>
      <c r="AQ33" s="3977"/>
      <c r="AR33" s="3977"/>
      <c r="AS33" s="3977"/>
      <c r="AT33" s="3977"/>
      <c r="AU33" s="3977"/>
      <c r="AV33" s="3977"/>
      <c r="AW33" s="3977"/>
      <c r="AX33" s="3977"/>
      <c r="AY33" s="3978"/>
      <c r="BA33" s="2038"/>
      <c r="BB33" s="2038"/>
      <c r="BC33" s="2038"/>
      <c r="BD33" s="2038"/>
      <c r="BE33" s="2038"/>
      <c r="BF33" s="2038"/>
      <c r="BG33" s="2038"/>
      <c r="BH33" s="2038"/>
      <c r="BI33" s="2038"/>
      <c r="BJ33" s="2038"/>
      <c r="BK33" s="3499"/>
    </row>
    <row r="34" spans="1:63" s="3525" customFormat="1" ht="15.75" customHeight="1">
      <c r="A34" s="3497"/>
      <c r="B34" s="6035" t="s">
        <v>3941</v>
      </c>
      <c r="C34" s="3999"/>
      <c r="D34" s="4000"/>
      <c r="E34" s="3998"/>
      <c r="F34" s="4001"/>
      <c r="G34" s="4001"/>
      <c r="H34" s="4001"/>
      <c r="I34" s="4001"/>
      <c r="J34" s="4001"/>
      <c r="K34" s="4001"/>
      <c r="L34" s="4001"/>
      <c r="M34" s="4001"/>
      <c r="N34" s="4001"/>
      <c r="O34" s="4001"/>
      <c r="P34" s="4001"/>
      <c r="Q34" s="4001"/>
      <c r="R34" s="4001"/>
      <c r="S34" s="4001"/>
      <c r="T34" s="4001"/>
      <c r="U34" s="4001"/>
      <c r="V34" s="4001"/>
      <c r="W34" s="4001"/>
      <c r="X34" s="4001"/>
      <c r="Y34" s="4001"/>
      <c r="Z34" s="4001"/>
      <c r="AA34" s="4001"/>
      <c r="AB34" s="4001"/>
      <c r="AC34" s="4001"/>
      <c r="AD34" s="4001"/>
      <c r="AE34" s="4001"/>
      <c r="AF34" s="4001"/>
      <c r="AG34" s="4001"/>
      <c r="AH34" s="4001"/>
      <c r="AI34" s="4002"/>
      <c r="AJ34" s="4002"/>
      <c r="AK34" s="3497"/>
      <c r="AL34" s="808"/>
      <c r="AM34" s="900"/>
      <c r="AN34" s="808"/>
      <c r="AO34" s="3976"/>
      <c r="AP34" s="3977"/>
      <c r="AQ34" s="3977"/>
      <c r="AR34" s="3977"/>
      <c r="AS34" s="3977"/>
      <c r="AT34" s="3977"/>
      <c r="AU34" s="3977"/>
      <c r="AV34" s="3977"/>
      <c r="AW34" s="3977"/>
      <c r="AX34" s="3977"/>
      <c r="AY34" s="3978"/>
      <c r="BA34" s="2038"/>
      <c r="BB34" s="2038"/>
      <c r="BC34" s="2038"/>
      <c r="BD34" s="2038"/>
      <c r="BE34" s="2038"/>
      <c r="BF34" s="2038"/>
      <c r="BG34" s="2038"/>
      <c r="BH34" s="2038"/>
      <c r="BI34" s="2038"/>
      <c r="BJ34" s="2038"/>
      <c r="BK34" s="3499"/>
    </row>
    <row r="35" spans="1:63" s="2690" customFormat="1" ht="15.75" customHeight="1">
      <c r="A35" s="461"/>
      <c r="B35" s="2358">
        <v>17</v>
      </c>
      <c r="C35" s="3979" t="str">
        <f>"MACRS deductions for assets placed in service in tax years beginning before "&amp;TaxYear</f>
        <v>MACRS deductions for assets placed in service in tax years beginning before 2023</v>
      </c>
      <c r="D35" s="2112"/>
      <c r="E35" s="892"/>
      <c r="F35" s="892"/>
      <c r="G35" s="892"/>
      <c r="H35" s="892"/>
      <c r="I35" s="892"/>
      <c r="J35" s="892"/>
      <c r="K35" s="892"/>
      <c r="L35" s="892"/>
      <c r="M35" s="892"/>
      <c r="N35" s="892"/>
      <c r="O35" s="892"/>
      <c r="P35" s="892"/>
      <c r="Q35" s="892"/>
      <c r="R35" s="892"/>
      <c r="S35" s="3980"/>
      <c r="T35" s="892"/>
      <c r="U35" s="892"/>
      <c r="V35" s="892"/>
      <c r="W35" s="3622"/>
      <c r="X35" s="3981"/>
      <c r="Y35" s="3981"/>
      <c r="Z35" s="3981"/>
      <c r="AA35" s="3981"/>
      <c r="AB35" s="8889">
        <v>17</v>
      </c>
      <c r="AC35" s="8890"/>
      <c r="AD35" s="8894"/>
      <c r="AE35" s="8894"/>
      <c r="AF35" s="8894"/>
      <c r="AG35" s="8894"/>
      <c r="AH35" s="8894"/>
      <c r="AI35" s="8894"/>
      <c r="AJ35" s="6722"/>
      <c r="AK35" s="461"/>
      <c r="AL35" s="808"/>
      <c r="AM35" s="3997">
        <f>ROUND(AD35,0)</f>
        <v>0</v>
      </c>
      <c r="AN35" s="808"/>
      <c r="AO35" s="3976"/>
      <c r="AP35" s="3977"/>
      <c r="AQ35" s="3977"/>
      <c r="AR35" s="3977"/>
      <c r="AS35" s="3977"/>
      <c r="AT35" s="3977"/>
      <c r="AU35" s="3977"/>
      <c r="AV35" s="3977"/>
      <c r="AW35" s="3977"/>
      <c r="AX35" s="3977"/>
      <c r="AY35" s="3978"/>
      <c r="BA35" s="2038"/>
      <c r="BB35" s="2038"/>
      <c r="BC35" s="2038"/>
      <c r="BD35" s="2038"/>
      <c r="BE35" s="2038"/>
      <c r="BF35" s="2038"/>
      <c r="BG35" s="2038"/>
      <c r="BH35" s="2038"/>
      <c r="BI35" s="2038"/>
      <c r="BJ35" s="2038"/>
      <c r="BK35" s="39"/>
    </row>
    <row r="36" spans="1:63" s="2690" customFormat="1" ht="17.25" customHeight="1">
      <c r="A36" s="461"/>
      <c r="B36" s="2358">
        <v>18</v>
      </c>
      <c r="C36" s="4003" t="s">
        <v>3942</v>
      </c>
      <c r="D36" s="892"/>
      <c r="E36" s="892"/>
      <c r="F36" s="892"/>
      <c r="G36" s="892"/>
      <c r="H36" s="892"/>
      <c r="I36" s="892"/>
      <c r="J36" s="892"/>
      <c r="K36" s="892"/>
      <c r="L36" s="892"/>
      <c r="M36" s="892"/>
      <c r="N36" s="892"/>
      <c r="O36" s="892"/>
      <c r="P36" s="892"/>
      <c r="Q36" s="892"/>
      <c r="R36" s="892"/>
      <c r="S36" s="892"/>
      <c r="T36" s="892"/>
      <c r="U36" s="892"/>
      <c r="V36" s="892"/>
      <c r="W36" s="892"/>
      <c r="X36" s="892"/>
      <c r="Y36" s="892"/>
      <c r="Z36" s="892"/>
      <c r="AA36" s="892"/>
      <c r="AB36" s="3990"/>
      <c r="AC36" s="4004"/>
      <c r="AD36" s="4004"/>
      <c r="AE36" s="3991"/>
      <c r="AF36" s="3991"/>
      <c r="AG36" s="3991"/>
      <c r="AH36" s="3991"/>
      <c r="AI36" s="3991"/>
      <c r="AJ36" s="3991"/>
      <c r="AK36" s="461"/>
      <c r="AL36" s="808"/>
      <c r="AM36" s="3166">
        <f>SUM(AM30:AM35)</f>
        <v>0</v>
      </c>
      <c r="AN36" s="808"/>
      <c r="AO36" s="3976"/>
      <c r="AP36" s="3977"/>
      <c r="AQ36" s="3977"/>
      <c r="AR36" s="3977"/>
      <c r="AS36" s="3977"/>
      <c r="AT36" s="3977"/>
      <c r="AU36" s="3977"/>
      <c r="AV36" s="3977"/>
      <c r="AW36" s="3977"/>
      <c r="AX36" s="3977"/>
      <c r="AY36" s="3978"/>
      <c r="BA36" s="2038"/>
      <c r="BB36" s="2038"/>
      <c r="BC36" s="2038"/>
      <c r="BD36" s="2038"/>
      <c r="BE36" s="2038"/>
      <c r="BF36" s="2038"/>
      <c r="BG36" s="2038"/>
      <c r="BH36" s="2038"/>
      <c r="BI36" s="2038"/>
      <c r="BJ36" s="2038"/>
      <c r="BK36" s="39"/>
    </row>
    <row r="37" spans="1:63" s="2690" customFormat="1" ht="13.5" customHeight="1">
      <c r="A37" s="461"/>
      <c r="B37" s="1895"/>
      <c r="C37" s="3979" t="s">
        <v>3943</v>
      </c>
      <c r="D37" s="2112"/>
      <c r="E37" s="2112"/>
      <c r="F37" s="892"/>
      <c r="G37" s="892"/>
      <c r="H37" s="892"/>
      <c r="I37" s="892"/>
      <c r="J37" s="892"/>
      <c r="K37" s="892"/>
      <c r="L37" s="892"/>
      <c r="M37" s="892"/>
      <c r="N37" s="892"/>
      <c r="O37" s="892"/>
      <c r="P37" s="892"/>
      <c r="Q37" s="892"/>
      <c r="R37" s="892"/>
      <c r="S37" s="892"/>
      <c r="T37" s="892"/>
      <c r="U37" s="892"/>
      <c r="V37" s="892"/>
      <c r="W37" s="3622"/>
      <c r="X37" s="892"/>
      <c r="Y37" s="1128" t="s">
        <v>3937</v>
      </c>
      <c r="Z37" s="4005"/>
      <c r="AA37" s="4006"/>
      <c r="AB37" s="2217"/>
      <c r="AC37" s="2218"/>
      <c r="AD37" s="2218"/>
      <c r="AE37" s="3989"/>
      <c r="AF37" s="3989"/>
      <c r="AG37" s="3989"/>
      <c r="AH37" s="3989"/>
      <c r="AI37" s="3989"/>
      <c r="AJ37" s="3989"/>
      <c r="AK37" s="461"/>
      <c r="AL37" s="808"/>
      <c r="AM37" s="900"/>
      <c r="AN37" s="808"/>
      <c r="AO37" s="3976"/>
      <c r="AP37" s="3977"/>
      <c r="AQ37" s="3977"/>
      <c r="AR37" s="3977"/>
      <c r="AS37" s="3977"/>
      <c r="AT37" s="3977"/>
      <c r="AU37" s="3977"/>
      <c r="AV37" s="3977"/>
      <c r="AW37" s="3977"/>
      <c r="AX37" s="3977"/>
      <c r="AY37" s="3978"/>
      <c r="BA37" s="2038"/>
      <c r="BB37" s="2038"/>
      <c r="BC37" s="2038"/>
      <c r="BD37" s="2038"/>
      <c r="BE37" s="2038"/>
      <c r="BF37" s="2038"/>
      <c r="BG37" s="2038"/>
      <c r="BH37" s="2038"/>
      <c r="BI37" s="2038"/>
      <c r="BJ37" s="2038"/>
      <c r="BK37" s="39"/>
    </row>
    <row r="38" spans="1:63" s="2690" customFormat="1" ht="5.25" customHeight="1">
      <c r="A38" s="461"/>
      <c r="B38" s="3961"/>
      <c r="C38" s="4007"/>
      <c r="D38" s="2190"/>
      <c r="E38" s="2190"/>
      <c r="F38" s="1260"/>
      <c r="G38" s="1260"/>
      <c r="H38" s="1260"/>
      <c r="I38" s="1260"/>
      <c r="J38" s="1260"/>
      <c r="K38" s="1260"/>
      <c r="L38" s="1260"/>
      <c r="M38" s="1260"/>
      <c r="N38" s="1260"/>
      <c r="O38" s="1260"/>
      <c r="P38" s="1260"/>
      <c r="Q38" s="1260"/>
      <c r="R38" s="1260"/>
      <c r="S38" s="1260"/>
      <c r="T38" s="1260"/>
      <c r="U38" s="1260"/>
      <c r="V38" s="1260"/>
      <c r="W38" s="3986"/>
      <c r="X38" s="1260"/>
      <c r="Y38" s="1260"/>
      <c r="Z38" s="3618"/>
      <c r="AA38" s="4008"/>
      <c r="AB38" s="2222"/>
      <c r="AC38" s="2223"/>
      <c r="AD38" s="2223"/>
      <c r="AE38" s="4009"/>
      <c r="AF38" s="4009"/>
      <c r="AG38" s="4009"/>
      <c r="AH38" s="4009"/>
      <c r="AI38" s="4009"/>
      <c r="AJ38" s="4009"/>
      <c r="AK38" s="461"/>
      <c r="AL38" s="808"/>
      <c r="AM38" s="900"/>
      <c r="AN38" s="808"/>
      <c r="AO38" s="39"/>
      <c r="BA38" s="2038"/>
      <c r="BB38" s="2038"/>
      <c r="BC38" s="2038"/>
      <c r="BD38" s="2038"/>
      <c r="BE38" s="2038"/>
      <c r="BF38" s="2038"/>
      <c r="BG38" s="2038"/>
      <c r="BH38" s="2038"/>
      <c r="BI38" s="2038"/>
      <c r="BJ38" s="2038"/>
      <c r="BK38" s="39"/>
    </row>
    <row r="39" spans="1:63" s="3525" customFormat="1" ht="15.75" customHeight="1">
      <c r="A39" s="3497"/>
      <c r="B39" s="3998" t="str">
        <f>"Section B—Assets Placed in Service During "&amp;TaxYear&amp;" Tax Year Using the General Depreciation System"</f>
        <v>Section B—Assets Placed in Service During 2023 Tax Year Using the General Depreciation System</v>
      </c>
      <c r="C39" s="3999"/>
      <c r="D39" s="4000"/>
      <c r="E39" s="3998"/>
      <c r="F39" s="4001"/>
      <c r="G39" s="4001"/>
      <c r="H39" s="4001"/>
      <c r="I39" s="4001"/>
      <c r="J39" s="4001"/>
      <c r="K39" s="4001"/>
      <c r="L39" s="4001"/>
      <c r="M39" s="4001"/>
      <c r="N39" s="4001"/>
      <c r="O39" s="4001"/>
      <c r="P39" s="4001"/>
      <c r="Q39" s="4001"/>
      <c r="R39" s="4001"/>
      <c r="S39" s="4001"/>
      <c r="T39" s="4001"/>
      <c r="U39" s="4001"/>
      <c r="V39" s="4001"/>
      <c r="W39" s="4001"/>
      <c r="X39" s="4001"/>
      <c r="Y39" s="4001"/>
      <c r="Z39" s="4001"/>
      <c r="AA39" s="4001"/>
      <c r="AB39" s="4001"/>
      <c r="AC39" s="4001"/>
      <c r="AD39" s="4001"/>
      <c r="AE39" s="4001"/>
      <c r="AF39" s="4001"/>
      <c r="AG39" s="4001"/>
      <c r="AH39" s="4001"/>
      <c r="AI39" s="4002"/>
      <c r="AJ39" s="4002"/>
      <c r="AK39" s="3497"/>
      <c r="AL39" s="808"/>
      <c r="AM39" s="900"/>
      <c r="AN39" s="808"/>
      <c r="AO39" s="3976"/>
      <c r="AP39" s="3977"/>
      <c r="AQ39" s="3977"/>
      <c r="AR39" s="3977"/>
      <c r="AS39" s="3977"/>
      <c r="AT39" s="3977"/>
      <c r="AU39" s="3977"/>
      <c r="AV39" s="3977"/>
      <c r="AW39" s="3977"/>
      <c r="AX39" s="3977"/>
      <c r="AY39" s="3978"/>
      <c r="BA39" s="2038"/>
      <c r="BB39" s="2038"/>
      <c r="BC39" s="2038"/>
      <c r="BD39" s="2038"/>
      <c r="BE39" s="2038"/>
      <c r="BF39" s="2038"/>
      <c r="BG39" s="2038"/>
      <c r="BH39" s="2038"/>
      <c r="BI39" s="2038"/>
      <c r="BJ39" s="2038"/>
      <c r="BK39" s="3499"/>
    </row>
    <row r="40" spans="1:63" s="2690" customFormat="1" ht="42" customHeight="1">
      <c r="A40" s="461"/>
      <c r="B40" s="8899" t="s">
        <v>3944</v>
      </c>
      <c r="C40" s="8900"/>
      <c r="D40" s="8900"/>
      <c r="E40" s="8900"/>
      <c r="F40" s="8900"/>
      <c r="G40" s="8901"/>
      <c r="H40" s="8902" t="s">
        <v>3945</v>
      </c>
      <c r="I40" s="8788"/>
      <c r="J40" s="8788"/>
      <c r="K40" s="8788"/>
      <c r="L40" s="8789"/>
      <c r="M40" s="8903" t="s">
        <v>3946</v>
      </c>
      <c r="N40" s="8904"/>
      <c r="O40" s="8904"/>
      <c r="P40" s="8904"/>
      <c r="Q40" s="8904"/>
      <c r="R40" s="8789"/>
      <c r="S40" s="8905" t="s">
        <v>3947</v>
      </c>
      <c r="T40" s="8788"/>
      <c r="U40" s="8789"/>
      <c r="V40" s="8902" t="s">
        <v>3948</v>
      </c>
      <c r="W40" s="8899"/>
      <c r="X40" s="8906"/>
      <c r="Y40" s="8899" t="s">
        <v>3949</v>
      </c>
      <c r="Z40" s="8899"/>
      <c r="AA40" s="8899"/>
      <c r="AB40" s="8899"/>
      <c r="AC40" s="8906"/>
      <c r="AD40" s="8899" t="s">
        <v>3950</v>
      </c>
      <c r="AE40" s="8899"/>
      <c r="AF40" s="8899"/>
      <c r="AG40" s="8899"/>
      <c r="AH40" s="8899"/>
      <c r="AI40" s="8899"/>
      <c r="AJ40" s="8899"/>
      <c r="AK40" s="461"/>
      <c r="AL40" s="808"/>
      <c r="AM40" s="900"/>
      <c r="AN40" s="808"/>
      <c r="AO40" s="39"/>
      <c r="BA40" s="2038"/>
      <c r="BB40" s="2038"/>
      <c r="BC40" s="2038"/>
      <c r="BD40" s="2038"/>
      <c r="BE40" s="2038"/>
      <c r="BF40" s="2038"/>
      <c r="BG40" s="2038"/>
      <c r="BH40" s="2038"/>
      <c r="BI40" s="2038"/>
      <c r="BJ40" s="2038"/>
      <c r="BK40" s="39"/>
    </row>
    <row r="41" spans="1:63" s="4011" customFormat="1" ht="16.5" customHeight="1">
      <c r="A41" s="4010"/>
      <c r="B41" s="2212" t="s">
        <v>998</v>
      </c>
      <c r="C41" s="8907" t="s">
        <v>3951</v>
      </c>
      <c r="D41" s="8907"/>
      <c r="E41" s="8907"/>
      <c r="F41" s="8907"/>
      <c r="G41" s="8908"/>
      <c r="H41" s="8909"/>
      <c r="I41" s="7536"/>
      <c r="J41" s="7536"/>
      <c r="K41" s="7536"/>
      <c r="L41" s="7537"/>
      <c r="M41" s="8910"/>
      <c r="N41" s="8911"/>
      <c r="O41" s="8911"/>
      <c r="P41" s="8911"/>
      <c r="Q41" s="8911"/>
      <c r="R41" s="8912"/>
      <c r="S41" s="8913"/>
      <c r="T41" s="8914"/>
      <c r="U41" s="8915"/>
      <c r="V41" s="8916"/>
      <c r="W41" s="8917"/>
      <c r="X41" s="8918"/>
      <c r="Y41" s="8919"/>
      <c r="Z41" s="8920"/>
      <c r="AA41" s="8920"/>
      <c r="AB41" s="8920"/>
      <c r="AC41" s="8921"/>
      <c r="AD41" s="6714"/>
      <c r="AE41" s="6715"/>
      <c r="AF41" s="6715"/>
      <c r="AG41" s="6715"/>
      <c r="AH41" s="6715"/>
      <c r="AI41" s="6715"/>
      <c r="AJ41" s="6715"/>
      <c r="AK41" s="4010"/>
      <c r="AL41" s="1382"/>
      <c r="AM41" s="3997">
        <f>ROUND(AD41,0)</f>
        <v>0</v>
      </c>
      <c r="AN41" s="1382"/>
      <c r="AO41" s="4086"/>
      <c r="BA41" s="2045"/>
      <c r="BB41" s="2045"/>
      <c r="BC41" s="2045"/>
      <c r="BD41" s="2045"/>
      <c r="BE41" s="2045"/>
      <c r="BF41" s="2045"/>
      <c r="BG41" s="2045"/>
      <c r="BH41" s="2045"/>
      <c r="BI41" s="2045"/>
      <c r="BJ41" s="2045"/>
      <c r="BK41" s="1998"/>
    </row>
    <row r="42" spans="1:63" s="4011" customFormat="1" ht="16.5" customHeight="1">
      <c r="A42" s="4010"/>
      <c r="B42" s="4012" t="s">
        <v>3952</v>
      </c>
      <c r="C42" s="8907" t="s">
        <v>3953</v>
      </c>
      <c r="D42" s="8907"/>
      <c r="E42" s="8907"/>
      <c r="F42" s="8907"/>
      <c r="G42" s="8908"/>
      <c r="H42" s="8909"/>
      <c r="I42" s="7536"/>
      <c r="J42" s="7536"/>
      <c r="K42" s="7536"/>
      <c r="L42" s="7537"/>
      <c r="M42" s="8910"/>
      <c r="N42" s="8911"/>
      <c r="O42" s="8911"/>
      <c r="P42" s="8911"/>
      <c r="Q42" s="8911"/>
      <c r="R42" s="8912"/>
      <c r="S42" s="8913"/>
      <c r="T42" s="8914"/>
      <c r="U42" s="8915"/>
      <c r="V42" s="8916"/>
      <c r="W42" s="8917"/>
      <c r="X42" s="8918"/>
      <c r="Y42" s="8919"/>
      <c r="Z42" s="8920"/>
      <c r="AA42" s="8920"/>
      <c r="AB42" s="8920"/>
      <c r="AC42" s="8921"/>
      <c r="AD42" s="6714"/>
      <c r="AE42" s="6715"/>
      <c r="AF42" s="6715"/>
      <c r="AG42" s="6715"/>
      <c r="AH42" s="6715"/>
      <c r="AI42" s="6715"/>
      <c r="AJ42" s="6715"/>
      <c r="AK42" s="4010"/>
      <c r="AL42" s="1382"/>
      <c r="AM42" s="3997">
        <f t="shared" ref="AM42:AM51" si="0">ROUND(AD42,0)</f>
        <v>0</v>
      </c>
      <c r="AN42" s="1382"/>
      <c r="AO42" s="4086"/>
      <c r="BA42" s="2045"/>
      <c r="BB42" s="2045"/>
      <c r="BC42" s="2045"/>
      <c r="BD42" s="2045"/>
      <c r="BE42" s="2045"/>
      <c r="BF42" s="2045"/>
      <c r="BG42" s="2045"/>
      <c r="BH42" s="2045"/>
      <c r="BI42" s="2045"/>
      <c r="BJ42" s="2045"/>
      <c r="BK42" s="1998"/>
    </row>
    <row r="43" spans="1:63" s="4011" customFormat="1" ht="16.5" customHeight="1">
      <c r="A43" s="4010"/>
      <c r="B43" s="4012" t="s">
        <v>3954</v>
      </c>
      <c r="C43" s="8907" t="s">
        <v>3955</v>
      </c>
      <c r="D43" s="8907"/>
      <c r="E43" s="8907"/>
      <c r="F43" s="8907"/>
      <c r="G43" s="8908"/>
      <c r="H43" s="8909"/>
      <c r="I43" s="7536"/>
      <c r="J43" s="7536"/>
      <c r="K43" s="7536"/>
      <c r="L43" s="7537"/>
      <c r="M43" s="8910"/>
      <c r="N43" s="8911"/>
      <c r="O43" s="8911"/>
      <c r="P43" s="8911"/>
      <c r="Q43" s="8911"/>
      <c r="R43" s="8912"/>
      <c r="S43" s="8913"/>
      <c r="T43" s="8914"/>
      <c r="U43" s="8915"/>
      <c r="V43" s="8916"/>
      <c r="W43" s="8917"/>
      <c r="X43" s="8918"/>
      <c r="Y43" s="8919"/>
      <c r="Z43" s="8920"/>
      <c r="AA43" s="8920"/>
      <c r="AB43" s="8920"/>
      <c r="AC43" s="8921"/>
      <c r="AD43" s="6714"/>
      <c r="AE43" s="6715"/>
      <c r="AF43" s="6715"/>
      <c r="AG43" s="6715"/>
      <c r="AH43" s="6715"/>
      <c r="AI43" s="6715"/>
      <c r="AJ43" s="6715"/>
      <c r="AK43" s="4010"/>
      <c r="AL43" s="1382"/>
      <c r="AM43" s="3997">
        <f t="shared" si="0"/>
        <v>0</v>
      </c>
      <c r="AN43" s="1382"/>
      <c r="AO43" s="4086"/>
      <c r="BA43" s="2045"/>
      <c r="BB43" s="2045"/>
      <c r="BC43" s="2045"/>
      <c r="BD43" s="2045"/>
      <c r="BE43" s="2045"/>
      <c r="BF43" s="2045"/>
      <c r="BG43" s="2045"/>
      <c r="BH43" s="2045"/>
      <c r="BI43" s="2045"/>
      <c r="BJ43" s="2045"/>
      <c r="BK43" s="1998"/>
    </row>
    <row r="44" spans="1:63" s="4011" customFormat="1" ht="16.5" customHeight="1">
      <c r="A44" s="4010"/>
      <c r="B44" s="4012" t="s">
        <v>3956</v>
      </c>
      <c r="C44" s="8907" t="s">
        <v>3957</v>
      </c>
      <c r="D44" s="8907"/>
      <c r="E44" s="8907"/>
      <c r="F44" s="8907"/>
      <c r="G44" s="8908"/>
      <c r="H44" s="8909"/>
      <c r="I44" s="7536"/>
      <c r="J44" s="7536"/>
      <c r="K44" s="7536"/>
      <c r="L44" s="7537"/>
      <c r="M44" s="8910"/>
      <c r="N44" s="8911"/>
      <c r="O44" s="8911"/>
      <c r="P44" s="8911"/>
      <c r="Q44" s="8911"/>
      <c r="R44" s="8912"/>
      <c r="S44" s="8913"/>
      <c r="T44" s="8914"/>
      <c r="U44" s="8915"/>
      <c r="V44" s="8916"/>
      <c r="W44" s="8917"/>
      <c r="X44" s="8918"/>
      <c r="Y44" s="8919"/>
      <c r="Z44" s="8920"/>
      <c r="AA44" s="8920"/>
      <c r="AB44" s="8920"/>
      <c r="AC44" s="8921"/>
      <c r="AD44" s="6714"/>
      <c r="AE44" s="6715"/>
      <c r="AF44" s="6715"/>
      <c r="AG44" s="6715"/>
      <c r="AH44" s="6715"/>
      <c r="AI44" s="6715"/>
      <c r="AJ44" s="6715"/>
      <c r="AK44" s="4010"/>
      <c r="AL44" s="1382"/>
      <c r="AM44" s="3997">
        <f t="shared" si="0"/>
        <v>0</v>
      </c>
      <c r="AN44" s="1382"/>
      <c r="AO44" s="1998"/>
      <c r="BA44" s="2045"/>
      <c r="BB44" s="2045"/>
      <c r="BC44" s="2045"/>
      <c r="BD44" s="2045"/>
      <c r="BE44" s="2045"/>
      <c r="BF44" s="2045"/>
      <c r="BG44" s="2045"/>
      <c r="BH44" s="2045"/>
      <c r="BI44" s="2045"/>
      <c r="BJ44" s="2045"/>
      <c r="BK44" s="1998"/>
    </row>
    <row r="45" spans="1:63" s="4011" customFormat="1" ht="16.5" customHeight="1">
      <c r="A45" s="4010"/>
      <c r="B45" s="4012" t="s">
        <v>3958</v>
      </c>
      <c r="C45" s="8907" t="s">
        <v>3959</v>
      </c>
      <c r="D45" s="8907"/>
      <c r="E45" s="8907"/>
      <c r="F45" s="8907"/>
      <c r="G45" s="8908"/>
      <c r="H45" s="8909"/>
      <c r="I45" s="7536"/>
      <c r="J45" s="7536"/>
      <c r="K45" s="7536"/>
      <c r="L45" s="7537"/>
      <c r="M45" s="8910"/>
      <c r="N45" s="8911"/>
      <c r="O45" s="8911"/>
      <c r="P45" s="8911"/>
      <c r="Q45" s="8911"/>
      <c r="R45" s="8912"/>
      <c r="S45" s="8913"/>
      <c r="T45" s="8914"/>
      <c r="U45" s="8915"/>
      <c r="V45" s="8916"/>
      <c r="W45" s="8917"/>
      <c r="X45" s="8918"/>
      <c r="Y45" s="8919"/>
      <c r="Z45" s="8920"/>
      <c r="AA45" s="8920"/>
      <c r="AB45" s="8920"/>
      <c r="AC45" s="8921"/>
      <c r="AD45" s="6714"/>
      <c r="AE45" s="6715"/>
      <c r="AF45" s="6715"/>
      <c r="AG45" s="6715"/>
      <c r="AH45" s="6715"/>
      <c r="AI45" s="6715"/>
      <c r="AJ45" s="6715"/>
      <c r="AK45" s="4010"/>
      <c r="AL45" s="1382"/>
      <c r="AM45" s="3997">
        <f t="shared" si="0"/>
        <v>0</v>
      </c>
      <c r="AN45" s="1382"/>
      <c r="AO45" s="1998"/>
      <c r="BA45" s="2045"/>
      <c r="BB45" s="2045"/>
      <c r="BC45" s="2045"/>
      <c r="BD45" s="2045"/>
      <c r="BE45" s="2045"/>
      <c r="BF45" s="2045"/>
      <c r="BG45" s="2045"/>
      <c r="BH45" s="2045"/>
      <c r="BI45" s="2045"/>
      <c r="BJ45" s="2045"/>
      <c r="BK45" s="1998"/>
    </row>
    <row r="46" spans="1:63" s="4011" customFormat="1" ht="16.5" customHeight="1">
      <c r="A46" s="4010"/>
      <c r="B46" s="4012" t="s">
        <v>3960</v>
      </c>
      <c r="C46" s="8907" t="s">
        <v>3961</v>
      </c>
      <c r="D46" s="8907"/>
      <c r="E46" s="8907"/>
      <c r="F46" s="8907"/>
      <c r="G46" s="8908"/>
      <c r="H46" s="8909"/>
      <c r="I46" s="7536"/>
      <c r="J46" s="7536"/>
      <c r="K46" s="7536"/>
      <c r="L46" s="7537"/>
      <c r="M46" s="8910"/>
      <c r="N46" s="8911"/>
      <c r="O46" s="8911"/>
      <c r="P46" s="8911"/>
      <c r="Q46" s="8911"/>
      <c r="R46" s="8912"/>
      <c r="S46" s="8913"/>
      <c r="T46" s="8914"/>
      <c r="U46" s="8915"/>
      <c r="V46" s="8916"/>
      <c r="W46" s="8917"/>
      <c r="X46" s="8918"/>
      <c r="Y46" s="8919"/>
      <c r="Z46" s="8920"/>
      <c r="AA46" s="8920"/>
      <c r="AB46" s="8920"/>
      <c r="AC46" s="8921"/>
      <c r="AD46" s="6714"/>
      <c r="AE46" s="6715"/>
      <c r="AF46" s="6715"/>
      <c r="AG46" s="6715"/>
      <c r="AH46" s="6715"/>
      <c r="AI46" s="6715"/>
      <c r="AJ46" s="6715"/>
      <c r="AK46" s="4010"/>
      <c r="AL46" s="1382"/>
      <c r="AM46" s="3997">
        <f t="shared" si="0"/>
        <v>0</v>
      </c>
      <c r="AN46" s="1382"/>
      <c r="AO46" s="1998"/>
      <c r="BA46" s="2045"/>
      <c r="BB46" s="2045"/>
      <c r="BC46" s="2045"/>
      <c r="BD46" s="2045"/>
      <c r="BE46" s="2045"/>
      <c r="BF46" s="2045"/>
      <c r="BG46" s="2045"/>
      <c r="BH46" s="2045"/>
      <c r="BI46" s="2045"/>
      <c r="BJ46" s="2045"/>
      <c r="BK46" s="1998"/>
    </row>
    <row r="47" spans="1:63" s="4011" customFormat="1" ht="16.5" customHeight="1">
      <c r="A47" s="4010"/>
      <c r="B47" s="4012" t="s">
        <v>3962</v>
      </c>
      <c r="C47" s="8907" t="s">
        <v>3963</v>
      </c>
      <c r="D47" s="8907"/>
      <c r="E47" s="8907"/>
      <c r="F47" s="8907"/>
      <c r="G47" s="8908"/>
      <c r="H47" s="8909"/>
      <c r="I47" s="7536"/>
      <c r="J47" s="7536"/>
      <c r="K47" s="7536"/>
      <c r="L47" s="7537"/>
      <c r="M47" s="8910"/>
      <c r="N47" s="8911"/>
      <c r="O47" s="8911"/>
      <c r="P47" s="8911"/>
      <c r="Q47" s="8911"/>
      <c r="R47" s="8912"/>
      <c r="S47" s="8927" t="s">
        <v>3964</v>
      </c>
      <c r="T47" s="8928"/>
      <c r="U47" s="8929"/>
      <c r="V47" s="8916"/>
      <c r="W47" s="8917"/>
      <c r="X47" s="8918"/>
      <c r="Y47" s="8930" t="s">
        <v>3965</v>
      </c>
      <c r="Z47" s="8931"/>
      <c r="AA47" s="8931"/>
      <c r="AB47" s="8931"/>
      <c r="AC47" s="8932"/>
      <c r="AD47" s="6714"/>
      <c r="AE47" s="6715"/>
      <c r="AF47" s="6715"/>
      <c r="AG47" s="6715"/>
      <c r="AH47" s="6715"/>
      <c r="AI47" s="6715"/>
      <c r="AJ47" s="6715"/>
      <c r="AK47" s="4010"/>
      <c r="AL47" s="1382"/>
      <c r="AM47" s="3997">
        <f t="shared" si="0"/>
        <v>0</v>
      </c>
      <c r="AN47" s="1382"/>
      <c r="AO47" s="1998"/>
      <c r="BA47" s="2045"/>
      <c r="BB47" s="2045"/>
      <c r="BC47" s="2045"/>
      <c r="BD47" s="2045"/>
      <c r="BE47" s="2045"/>
      <c r="BF47" s="2045"/>
      <c r="BG47" s="2045"/>
      <c r="BH47" s="2045"/>
      <c r="BI47" s="2045"/>
      <c r="BJ47" s="2045"/>
      <c r="BK47" s="1998"/>
    </row>
    <row r="48" spans="1:63" s="4011" customFormat="1" ht="16.5" customHeight="1">
      <c r="A48" s="4010"/>
      <c r="B48" s="4013" t="s">
        <v>3966</v>
      </c>
      <c r="C48" s="8922" t="s">
        <v>3967</v>
      </c>
      <c r="D48" s="8922"/>
      <c r="E48" s="8922"/>
      <c r="F48" s="8922"/>
      <c r="G48" s="8923"/>
      <c r="H48" s="8924"/>
      <c r="I48" s="8925"/>
      <c r="J48" s="8925"/>
      <c r="K48" s="8925"/>
      <c r="L48" s="8926"/>
      <c r="M48" s="8910"/>
      <c r="N48" s="8911"/>
      <c r="O48" s="8911"/>
      <c r="P48" s="8911"/>
      <c r="Q48" s="8911"/>
      <c r="R48" s="8912"/>
      <c r="S48" s="8927" t="s">
        <v>3968</v>
      </c>
      <c r="T48" s="8928"/>
      <c r="U48" s="8929"/>
      <c r="V48" s="8930" t="s">
        <v>3969</v>
      </c>
      <c r="W48" s="8931"/>
      <c r="X48" s="8932"/>
      <c r="Y48" s="8930" t="s">
        <v>3965</v>
      </c>
      <c r="Z48" s="8931"/>
      <c r="AA48" s="8931"/>
      <c r="AB48" s="8931"/>
      <c r="AC48" s="8932"/>
      <c r="AD48" s="6714"/>
      <c r="AE48" s="6715"/>
      <c r="AF48" s="6715"/>
      <c r="AG48" s="6715"/>
      <c r="AH48" s="6715"/>
      <c r="AI48" s="6715"/>
      <c r="AJ48" s="6715"/>
      <c r="AK48" s="4010"/>
      <c r="AL48" s="1382"/>
      <c r="AM48" s="3997">
        <f t="shared" si="0"/>
        <v>0</v>
      </c>
      <c r="AN48" s="1382"/>
      <c r="AO48" s="1998"/>
      <c r="BA48" s="2045"/>
      <c r="BB48" s="2045"/>
      <c r="BC48" s="2045"/>
      <c r="BD48" s="2045"/>
      <c r="BE48" s="2045"/>
      <c r="BF48" s="2045"/>
      <c r="BG48" s="2045"/>
      <c r="BH48" s="2045"/>
      <c r="BI48" s="2045"/>
      <c r="BJ48" s="2045"/>
      <c r="BK48" s="1998"/>
    </row>
    <row r="49" spans="1:63" s="4011" customFormat="1" ht="16.5" customHeight="1">
      <c r="A49" s="4010"/>
      <c r="B49" s="4014"/>
      <c r="C49" s="8933" t="s">
        <v>3970</v>
      </c>
      <c r="D49" s="8933"/>
      <c r="E49" s="8933"/>
      <c r="F49" s="8933"/>
      <c r="G49" s="8934"/>
      <c r="H49" s="8924"/>
      <c r="I49" s="8925"/>
      <c r="J49" s="8925"/>
      <c r="K49" s="8925"/>
      <c r="L49" s="8926"/>
      <c r="M49" s="8910"/>
      <c r="N49" s="8911"/>
      <c r="O49" s="8911"/>
      <c r="P49" s="8911"/>
      <c r="Q49" s="8911"/>
      <c r="R49" s="8912"/>
      <c r="S49" s="8927" t="s">
        <v>3968</v>
      </c>
      <c r="T49" s="8928"/>
      <c r="U49" s="8929"/>
      <c r="V49" s="8930" t="s">
        <v>3969</v>
      </c>
      <c r="W49" s="8931"/>
      <c r="X49" s="8932"/>
      <c r="Y49" s="8930" t="s">
        <v>3965</v>
      </c>
      <c r="Z49" s="8931"/>
      <c r="AA49" s="8931"/>
      <c r="AB49" s="8931"/>
      <c r="AC49" s="8932"/>
      <c r="AD49" s="6714"/>
      <c r="AE49" s="6715"/>
      <c r="AF49" s="6715"/>
      <c r="AG49" s="6715"/>
      <c r="AH49" s="6715"/>
      <c r="AI49" s="6715"/>
      <c r="AJ49" s="6715"/>
      <c r="AK49" s="4010"/>
      <c r="AL49" s="1382"/>
      <c r="AM49" s="3997">
        <f t="shared" si="0"/>
        <v>0</v>
      </c>
      <c r="AN49" s="1382"/>
      <c r="AO49" s="1998"/>
      <c r="BA49" s="2045"/>
      <c r="BB49" s="2045"/>
      <c r="BC49" s="2045"/>
      <c r="BD49" s="2045"/>
      <c r="BE49" s="2045"/>
      <c r="BF49" s="2045"/>
      <c r="BG49" s="2045"/>
      <c r="BH49" s="2045"/>
      <c r="BI49" s="2045"/>
      <c r="BJ49" s="2045"/>
      <c r="BK49" s="1998"/>
    </row>
    <row r="50" spans="1:63" s="4011" customFormat="1" ht="16.5" customHeight="1">
      <c r="A50" s="4010"/>
      <c r="B50" s="3962" t="s">
        <v>3971</v>
      </c>
      <c r="C50" s="8922" t="s">
        <v>3972</v>
      </c>
      <c r="D50" s="8922"/>
      <c r="E50" s="8922"/>
      <c r="F50" s="8922"/>
      <c r="G50" s="8923"/>
      <c r="H50" s="8924"/>
      <c r="I50" s="8925"/>
      <c r="J50" s="8925"/>
      <c r="K50" s="8925"/>
      <c r="L50" s="8926"/>
      <c r="M50" s="8910"/>
      <c r="N50" s="8911"/>
      <c r="O50" s="8911"/>
      <c r="P50" s="8911"/>
      <c r="Q50" s="8911"/>
      <c r="R50" s="8912"/>
      <c r="S50" s="8927" t="s">
        <v>3973</v>
      </c>
      <c r="T50" s="8928"/>
      <c r="U50" s="8929"/>
      <c r="V50" s="8930" t="s">
        <v>3969</v>
      </c>
      <c r="W50" s="8931"/>
      <c r="X50" s="8932"/>
      <c r="Y50" s="8930" t="s">
        <v>3965</v>
      </c>
      <c r="Z50" s="8931"/>
      <c r="AA50" s="8931"/>
      <c r="AB50" s="8931"/>
      <c r="AC50" s="8932"/>
      <c r="AD50" s="6714"/>
      <c r="AE50" s="6715"/>
      <c r="AF50" s="6715"/>
      <c r="AG50" s="6715"/>
      <c r="AH50" s="6715"/>
      <c r="AI50" s="6715"/>
      <c r="AJ50" s="6715"/>
      <c r="AK50" s="4010"/>
      <c r="AL50" s="1382"/>
      <c r="AM50" s="3997">
        <f t="shared" si="0"/>
        <v>0</v>
      </c>
      <c r="AN50" s="1382"/>
      <c r="AO50" s="1998"/>
      <c r="BA50" s="2045"/>
      <c r="BB50" s="2045"/>
      <c r="BC50" s="2045"/>
      <c r="BD50" s="2045"/>
      <c r="BE50" s="2045"/>
      <c r="BF50" s="2045"/>
      <c r="BG50" s="2045"/>
      <c r="BH50" s="2045"/>
      <c r="BI50" s="2045"/>
      <c r="BJ50" s="2045"/>
      <c r="BK50" s="1998"/>
    </row>
    <row r="51" spans="1:63" s="4011" customFormat="1" ht="16.5" customHeight="1">
      <c r="A51" s="4010"/>
      <c r="B51" s="4015"/>
      <c r="C51" s="8933" t="s">
        <v>3970</v>
      </c>
      <c r="D51" s="8933"/>
      <c r="E51" s="8933"/>
      <c r="F51" s="8933"/>
      <c r="G51" s="8934"/>
      <c r="H51" s="8924"/>
      <c r="I51" s="8925"/>
      <c r="J51" s="8925"/>
      <c r="K51" s="8925"/>
      <c r="L51" s="8926"/>
      <c r="M51" s="8910"/>
      <c r="N51" s="8911"/>
      <c r="O51" s="8911"/>
      <c r="P51" s="8911"/>
      <c r="Q51" s="8911"/>
      <c r="R51" s="8912"/>
      <c r="S51" s="8913"/>
      <c r="T51" s="8914"/>
      <c r="U51" s="8915"/>
      <c r="V51" s="8930" t="s">
        <v>3969</v>
      </c>
      <c r="W51" s="8931"/>
      <c r="X51" s="8932"/>
      <c r="Y51" s="8930" t="s">
        <v>3965</v>
      </c>
      <c r="Z51" s="8931"/>
      <c r="AA51" s="8931"/>
      <c r="AB51" s="8931"/>
      <c r="AC51" s="8932"/>
      <c r="AD51" s="6714"/>
      <c r="AE51" s="6715"/>
      <c r="AF51" s="6715"/>
      <c r="AG51" s="6715"/>
      <c r="AH51" s="6715"/>
      <c r="AI51" s="6715"/>
      <c r="AJ51" s="6715"/>
      <c r="AK51" s="4010"/>
      <c r="AL51" s="1382"/>
      <c r="AM51" s="3997">
        <f t="shared" si="0"/>
        <v>0</v>
      </c>
      <c r="AN51" s="1382"/>
      <c r="AO51" s="1998"/>
      <c r="BA51" s="2045"/>
      <c r="BB51" s="2045"/>
      <c r="BC51" s="2045"/>
      <c r="BD51" s="2045"/>
      <c r="BE51" s="2045"/>
      <c r="BF51" s="2045"/>
      <c r="BG51" s="2045"/>
      <c r="BH51" s="2045"/>
      <c r="BI51" s="2045"/>
      <c r="BJ51" s="2045"/>
      <c r="BK51" s="1998"/>
    </row>
    <row r="52" spans="1:63" s="3525" customFormat="1" ht="16.5" customHeight="1">
      <c r="A52" s="3497"/>
      <c r="B52" s="3998" t="str">
        <f>"Section C—Assets Placed in Service During "&amp;TaxYear&amp;" Tax Year Using the Alternative Depreciation System"</f>
        <v>Section C—Assets Placed in Service During 2023 Tax Year Using the Alternative Depreciation System</v>
      </c>
      <c r="C52" s="3999"/>
      <c r="D52" s="4000"/>
      <c r="E52" s="3998"/>
      <c r="F52" s="4001"/>
      <c r="G52" s="4001"/>
      <c r="H52" s="4001"/>
      <c r="I52" s="4001"/>
      <c r="J52" s="4001"/>
      <c r="K52" s="4001"/>
      <c r="L52" s="4001"/>
      <c r="M52" s="4001"/>
      <c r="N52" s="4001"/>
      <c r="O52" s="4001"/>
      <c r="P52" s="4001"/>
      <c r="Q52" s="4001"/>
      <c r="R52" s="4001"/>
      <c r="S52" s="4016"/>
      <c r="T52" s="4016"/>
      <c r="U52" s="4016"/>
      <c r="V52" s="4016"/>
      <c r="W52" s="4016"/>
      <c r="X52" s="4016"/>
      <c r="Y52" s="4016"/>
      <c r="Z52" s="4016"/>
      <c r="AA52" s="4016"/>
      <c r="AB52" s="4016"/>
      <c r="AC52" s="4016"/>
      <c r="AD52" s="4001"/>
      <c r="AE52" s="4001"/>
      <c r="AF52" s="4001"/>
      <c r="AG52" s="4001"/>
      <c r="AH52" s="4001"/>
      <c r="AI52" s="4002"/>
      <c r="AJ52" s="4002"/>
      <c r="AK52" s="3497"/>
      <c r="AL52" s="808"/>
      <c r="AM52" s="3997">
        <f>ROUND(AD53,0)</f>
        <v>0</v>
      </c>
      <c r="AN52" s="808"/>
      <c r="AO52" s="3499"/>
      <c r="BA52" s="2038"/>
      <c r="BB52" s="2038"/>
      <c r="BC52" s="2038"/>
      <c r="BD52" s="2038"/>
      <c r="BE52" s="2038"/>
      <c r="BF52" s="2038"/>
      <c r="BG52" s="2038"/>
      <c r="BH52" s="2038"/>
      <c r="BI52" s="2038"/>
      <c r="BJ52" s="2038"/>
      <c r="BK52" s="3499"/>
    </row>
    <row r="53" spans="1:63" s="4011" customFormat="1" ht="16.5" customHeight="1">
      <c r="A53" s="4010"/>
      <c r="B53" s="4017" t="s">
        <v>2313</v>
      </c>
      <c r="C53" s="8935" t="s">
        <v>3974</v>
      </c>
      <c r="D53" s="8935"/>
      <c r="E53" s="8935"/>
      <c r="F53" s="8935"/>
      <c r="G53" s="8936"/>
      <c r="H53" s="8909"/>
      <c r="I53" s="7536"/>
      <c r="J53" s="7536"/>
      <c r="K53" s="7536"/>
      <c r="L53" s="7537"/>
      <c r="M53" s="8910"/>
      <c r="N53" s="8911"/>
      <c r="O53" s="8911"/>
      <c r="P53" s="8911"/>
      <c r="Q53" s="8911"/>
      <c r="R53" s="8912"/>
      <c r="S53" s="8913"/>
      <c r="T53" s="8914"/>
      <c r="U53" s="8915"/>
      <c r="V53" s="8916"/>
      <c r="W53" s="8917"/>
      <c r="X53" s="8918"/>
      <c r="Y53" s="8930" t="s">
        <v>3965</v>
      </c>
      <c r="Z53" s="8931"/>
      <c r="AA53" s="8931"/>
      <c r="AB53" s="8931"/>
      <c r="AC53" s="8932"/>
      <c r="AD53" s="6714"/>
      <c r="AE53" s="6715"/>
      <c r="AF53" s="6715"/>
      <c r="AG53" s="6715"/>
      <c r="AH53" s="6715"/>
      <c r="AI53" s="6715"/>
      <c r="AJ53" s="6715"/>
      <c r="AK53" s="4010"/>
      <c r="AL53" s="1382"/>
      <c r="AM53" s="3997">
        <f>ROUND(AD54,0)</f>
        <v>0</v>
      </c>
      <c r="AN53" s="1382"/>
      <c r="AO53" s="1998"/>
      <c r="BA53" s="2045"/>
      <c r="BB53" s="2045"/>
      <c r="BC53" s="2045"/>
      <c r="BD53" s="2045"/>
      <c r="BE53" s="2045"/>
      <c r="BF53" s="2045"/>
      <c r="BG53" s="2045"/>
      <c r="BH53" s="2045"/>
      <c r="BI53" s="2045"/>
      <c r="BJ53" s="2045"/>
      <c r="BK53" s="1998"/>
    </row>
    <row r="54" spans="1:63" s="4011" customFormat="1" ht="16.5" customHeight="1">
      <c r="A54" s="4010"/>
      <c r="B54" s="4012" t="s">
        <v>3952</v>
      </c>
      <c r="C54" s="8935" t="s">
        <v>3975</v>
      </c>
      <c r="D54" s="8935"/>
      <c r="E54" s="8935"/>
      <c r="F54" s="8935"/>
      <c r="G54" s="8936"/>
      <c r="H54" s="8909"/>
      <c r="I54" s="7536"/>
      <c r="J54" s="7536"/>
      <c r="K54" s="7536"/>
      <c r="L54" s="7537"/>
      <c r="M54" s="8910"/>
      <c r="N54" s="8911"/>
      <c r="O54" s="8911"/>
      <c r="P54" s="8911"/>
      <c r="Q54" s="8911"/>
      <c r="R54" s="8912"/>
      <c r="S54" s="8950" t="s">
        <v>3976</v>
      </c>
      <c r="T54" s="8951"/>
      <c r="U54" s="8951"/>
      <c r="V54" s="8916"/>
      <c r="W54" s="8917"/>
      <c r="X54" s="8918"/>
      <c r="Y54" s="8930" t="s">
        <v>3965</v>
      </c>
      <c r="Z54" s="8931"/>
      <c r="AA54" s="8931"/>
      <c r="AB54" s="8931"/>
      <c r="AC54" s="8932"/>
      <c r="AD54" s="6714"/>
      <c r="AE54" s="6715"/>
      <c r="AF54" s="6715"/>
      <c r="AG54" s="6715"/>
      <c r="AH54" s="6715"/>
      <c r="AI54" s="6715"/>
      <c r="AJ54" s="6715"/>
      <c r="AK54" s="4010"/>
      <c r="AL54" s="1382"/>
      <c r="AM54" s="3997">
        <f>ROUND(AD55,0)</f>
        <v>0</v>
      </c>
      <c r="AN54" s="1382"/>
      <c r="AO54" s="1998"/>
      <c r="BA54" s="2045"/>
      <c r="BB54" s="2045"/>
      <c r="BC54" s="2045"/>
      <c r="BD54" s="2045"/>
      <c r="BE54" s="2045"/>
      <c r="BF54" s="2045"/>
      <c r="BG54" s="2045"/>
      <c r="BH54" s="2045"/>
      <c r="BI54" s="2045"/>
      <c r="BJ54" s="2045"/>
      <c r="BK54" s="1998"/>
    </row>
    <row r="55" spans="1:63" s="4011" customFormat="1" ht="16.5" customHeight="1" thickBot="1">
      <c r="A55" s="4010"/>
      <c r="B55" s="4012" t="s">
        <v>3954</v>
      </c>
      <c r="C55" s="8935" t="s">
        <v>3977</v>
      </c>
      <c r="D55" s="8935"/>
      <c r="E55" s="8935"/>
      <c r="F55" s="8935"/>
      <c r="G55" s="8936"/>
      <c r="H55" s="8937"/>
      <c r="I55" s="8938"/>
      <c r="J55" s="8938"/>
      <c r="K55" s="8938"/>
      <c r="L55" s="8939"/>
      <c r="M55" s="8940"/>
      <c r="N55" s="8941"/>
      <c r="O55" s="8941"/>
      <c r="P55" s="8941"/>
      <c r="Q55" s="8941"/>
      <c r="R55" s="8942"/>
      <c r="S55" s="8943" t="s">
        <v>3978</v>
      </c>
      <c r="T55" s="8944"/>
      <c r="U55" s="8944"/>
      <c r="V55" s="8945" t="s">
        <v>3969</v>
      </c>
      <c r="W55" s="8946"/>
      <c r="X55" s="8947"/>
      <c r="Y55" s="8945" t="s">
        <v>3965</v>
      </c>
      <c r="Z55" s="8946"/>
      <c r="AA55" s="8946"/>
      <c r="AB55" s="8946"/>
      <c r="AC55" s="8947"/>
      <c r="AD55" s="8948"/>
      <c r="AE55" s="8949"/>
      <c r="AF55" s="8949"/>
      <c r="AG55" s="8949"/>
      <c r="AH55" s="8949"/>
      <c r="AI55" s="8949"/>
      <c r="AJ55" s="8949"/>
      <c r="AK55" s="4010"/>
      <c r="AL55" s="1382"/>
      <c r="AM55" s="3997">
        <f>ROUND(AD56,0)</f>
        <v>0</v>
      </c>
      <c r="AN55" s="1382"/>
      <c r="AO55" s="1998"/>
      <c r="BA55" s="2045"/>
      <c r="BB55" s="2045"/>
      <c r="BC55" s="2045"/>
      <c r="BD55" s="2045"/>
      <c r="BE55" s="2045"/>
      <c r="BF55" s="2045"/>
      <c r="BG55" s="2045"/>
      <c r="BH55" s="2045"/>
      <c r="BI55" s="2045"/>
      <c r="BJ55" s="2045"/>
      <c r="BK55" s="1998"/>
    </row>
    <row r="56" spans="1:63" s="4011" customFormat="1" ht="16.5" customHeight="1" thickBot="1">
      <c r="A56" s="4010"/>
      <c r="B56" s="4018" t="s">
        <v>3956</v>
      </c>
      <c r="C56" s="8955" t="s">
        <v>3979</v>
      </c>
      <c r="D56" s="8955"/>
      <c r="E56" s="8955"/>
      <c r="F56" s="8955"/>
      <c r="G56" s="8956"/>
      <c r="H56" s="8957"/>
      <c r="I56" s="8958"/>
      <c r="J56" s="8958"/>
      <c r="K56" s="8958"/>
      <c r="L56" s="8959"/>
      <c r="M56" s="8960"/>
      <c r="N56" s="8961"/>
      <c r="O56" s="8961"/>
      <c r="P56" s="8961"/>
      <c r="Q56" s="8961"/>
      <c r="R56" s="8962"/>
      <c r="S56" s="8963" t="s">
        <v>3980</v>
      </c>
      <c r="T56" s="8964"/>
      <c r="U56" s="8965"/>
      <c r="V56" s="8966" t="s">
        <v>3969</v>
      </c>
      <c r="W56" s="8967"/>
      <c r="X56" s="8968"/>
      <c r="Y56" s="8966" t="s">
        <v>3965</v>
      </c>
      <c r="Z56" s="8967"/>
      <c r="AA56" s="8967"/>
      <c r="AB56" s="8967"/>
      <c r="AC56" s="8968"/>
      <c r="AD56" s="8952"/>
      <c r="AE56" s="8953"/>
      <c r="AF56" s="8953"/>
      <c r="AG56" s="8953"/>
      <c r="AH56" s="8953"/>
      <c r="AI56" s="8953"/>
      <c r="AJ56" s="8953"/>
      <c r="AK56" s="4010"/>
      <c r="AL56" s="1382"/>
      <c r="AM56" s="23" t="s">
        <v>1113</v>
      </c>
      <c r="AN56" s="1382"/>
      <c r="AO56" s="1998"/>
      <c r="BA56" s="2045"/>
      <c r="BB56" s="2045"/>
      <c r="BC56" s="2045"/>
      <c r="BD56" s="2045"/>
      <c r="BE56" s="2045"/>
      <c r="BF56" s="2045"/>
      <c r="BG56" s="2045"/>
      <c r="BH56" s="2045"/>
      <c r="BI56" s="2045"/>
      <c r="BJ56" s="2045"/>
      <c r="BK56" s="1998"/>
    </row>
    <row r="57" spans="1:63" s="3525" customFormat="1" ht="15.75" customHeight="1" thickBot="1">
      <c r="A57" s="3497"/>
      <c r="B57" s="8698" t="s">
        <v>2410</v>
      </c>
      <c r="C57" s="8887"/>
      <c r="D57" s="3993" t="s">
        <v>3981</v>
      </c>
      <c r="E57" s="3994"/>
      <c r="F57" s="3995"/>
      <c r="G57" s="3995"/>
      <c r="H57" s="3972"/>
      <c r="I57" s="3972"/>
      <c r="J57" s="3972"/>
      <c r="K57" s="3972"/>
      <c r="L57" s="3972"/>
      <c r="M57" s="3995"/>
      <c r="N57" s="3995"/>
      <c r="O57" s="3995"/>
      <c r="P57" s="3995"/>
      <c r="Q57" s="3995"/>
      <c r="R57" s="3995"/>
      <c r="S57" s="3972"/>
      <c r="T57" s="3972"/>
      <c r="U57" s="3972"/>
      <c r="V57" s="3972"/>
      <c r="W57" s="3972"/>
      <c r="X57" s="3972"/>
      <c r="Y57" s="3972"/>
      <c r="Z57" s="3972"/>
      <c r="AA57" s="3972"/>
      <c r="AB57" s="3972"/>
      <c r="AC57" s="3972"/>
      <c r="AD57" s="3972"/>
      <c r="AE57" s="3972"/>
      <c r="AF57" s="3972"/>
      <c r="AG57" s="3972"/>
      <c r="AH57" s="3972"/>
      <c r="AI57" s="3975"/>
      <c r="AJ57" s="3975"/>
      <c r="AK57" s="3497"/>
      <c r="AL57" s="808"/>
      <c r="AM57" s="23" t="s">
        <v>1062</v>
      </c>
      <c r="AN57" s="808"/>
      <c r="AO57" s="3499"/>
      <c r="BA57" s="2038"/>
      <c r="BB57" s="2038"/>
      <c r="BC57" s="2038"/>
      <c r="BD57" s="2038"/>
      <c r="BE57" s="2038"/>
      <c r="BF57" s="2038"/>
      <c r="BG57" s="2038"/>
      <c r="BH57" s="2038"/>
      <c r="BI57" s="2038"/>
      <c r="BJ57" s="2038"/>
      <c r="BK57" s="3499"/>
    </row>
    <row r="58" spans="1:63" s="2690" customFormat="1" ht="15.75" customHeight="1" thickBot="1">
      <c r="A58" s="461"/>
      <c r="B58" s="1895">
        <v>21</v>
      </c>
      <c r="C58" s="2447" t="s">
        <v>3982</v>
      </c>
      <c r="D58" s="2334"/>
      <c r="E58" s="2112"/>
      <c r="F58" s="892"/>
      <c r="G58" s="892"/>
      <c r="H58" s="892"/>
      <c r="I58" s="892"/>
      <c r="J58" s="892"/>
      <c r="K58" s="892"/>
      <c r="L58" s="892"/>
      <c r="M58" s="892"/>
      <c r="N58" s="892"/>
      <c r="O58" s="892"/>
      <c r="P58" s="892"/>
      <c r="Q58" s="892"/>
      <c r="R58" s="892"/>
      <c r="S58" s="892"/>
      <c r="T58" s="892"/>
      <c r="U58" s="892"/>
      <c r="V58" s="892"/>
      <c r="W58" s="1585"/>
      <c r="X58" s="892"/>
      <c r="Y58" s="892"/>
      <c r="Z58" s="892"/>
      <c r="AA58" s="1128" t="s">
        <v>3937</v>
      </c>
      <c r="AB58" s="8889">
        <v>21</v>
      </c>
      <c r="AC58" s="8890"/>
      <c r="AD58" s="8891">
        <f>IF(AM58&lt;&gt;"",ROUND(AM58,0),AA84)</f>
        <v>0</v>
      </c>
      <c r="AE58" s="8891"/>
      <c r="AF58" s="8891"/>
      <c r="AG58" s="8891"/>
      <c r="AH58" s="8891"/>
      <c r="AI58" s="8891"/>
      <c r="AJ58" s="8874"/>
      <c r="AK58" s="461"/>
      <c r="AL58" s="808"/>
      <c r="AM58" s="3987"/>
      <c r="AN58" s="808"/>
      <c r="AO58" s="39"/>
      <c r="BA58" s="2038"/>
      <c r="BB58" s="2038"/>
      <c r="BC58" s="2038"/>
      <c r="BD58" s="2038"/>
      <c r="BE58" s="2038"/>
      <c r="BF58" s="2038"/>
      <c r="BG58" s="2038"/>
      <c r="BH58" s="2038"/>
      <c r="BI58" s="2038"/>
      <c r="BJ58" s="2038"/>
      <c r="BK58" s="39"/>
    </row>
    <row r="59" spans="1:63" s="2690" customFormat="1" ht="15.75" customHeight="1" thickBot="1">
      <c r="A59" s="461"/>
      <c r="B59" s="2358">
        <v>22</v>
      </c>
      <c r="C59" s="3979" t="s">
        <v>3983</v>
      </c>
      <c r="D59" s="2112"/>
      <c r="E59" s="892"/>
      <c r="F59" s="892"/>
      <c r="G59" s="892"/>
      <c r="H59" s="892"/>
      <c r="I59" s="892"/>
      <c r="J59" s="892"/>
      <c r="K59" s="1585"/>
      <c r="L59" s="3980"/>
      <c r="M59" s="3982"/>
      <c r="N59" s="1585"/>
      <c r="O59" s="1585"/>
      <c r="P59" s="1585"/>
      <c r="Q59" s="1585"/>
      <c r="R59" s="1585"/>
      <c r="S59" s="892"/>
      <c r="T59" s="892"/>
      <c r="U59" s="892"/>
      <c r="V59" s="1585"/>
      <c r="W59" s="3622"/>
      <c r="X59" s="3983"/>
      <c r="Y59" s="3984"/>
      <c r="Z59" s="3984"/>
      <c r="AA59" s="3984"/>
      <c r="AB59" s="8872"/>
      <c r="AC59" s="8873"/>
      <c r="AD59" s="2220"/>
      <c r="AE59" s="3981"/>
      <c r="AF59" s="3981"/>
      <c r="AG59" s="3981"/>
      <c r="AH59" s="3981"/>
      <c r="AI59" s="3981"/>
      <c r="AJ59" s="3981"/>
      <c r="AK59" s="461"/>
      <c r="AL59" s="808"/>
      <c r="AM59" s="4019">
        <f>SUM(AM41:AM55)</f>
        <v>0</v>
      </c>
      <c r="AN59" s="808"/>
      <c r="AO59" s="39"/>
      <c r="BA59" s="2038"/>
      <c r="BB59" s="2038"/>
      <c r="BC59" s="2038"/>
      <c r="BD59" s="2038"/>
      <c r="BE59" s="2038"/>
      <c r="BF59" s="2038"/>
      <c r="BG59" s="2038"/>
      <c r="BH59" s="2038"/>
      <c r="BI59" s="2038"/>
      <c r="BJ59" s="2038"/>
      <c r="BK59" s="39"/>
    </row>
    <row r="60" spans="1:63" s="2690" customFormat="1" ht="15.75" customHeight="1" thickBot="1">
      <c r="A60" s="461"/>
      <c r="B60" s="1895"/>
      <c r="C60" s="4020" t="s">
        <v>3984</v>
      </c>
      <c r="D60" s="2112"/>
      <c r="E60" s="892"/>
      <c r="F60" s="892"/>
      <c r="G60" s="892"/>
      <c r="H60" s="892"/>
      <c r="I60" s="892"/>
      <c r="J60" s="892"/>
      <c r="K60" s="892"/>
      <c r="L60" s="892"/>
      <c r="M60" s="892"/>
      <c r="N60" s="892"/>
      <c r="O60" s="892"/>
      <c r="P60" s="892"/>
      <c r="Q60" s="892"/>
      <c r="R60" s="892"/>
      <c r="S60" s="892"/>
      <c r="T60" s="892"/>
      <c r="U60" s="892"/>
      <c r="V60" s="892"/>
      <c r="W60" s="3622"/>
      <c r="X60" s="892"/>
      <c r="Y60" s="892"/>
      <c r="Z60" s="892"/>
      <c r="AA60" s="1128" t="s">
        <v>992</v>
      </c>
      <c r="AB60" s="7420">
        <v>22</v>
      </c>
      <c r="AC60" s="8876"/>
      <c r="AD60" s="8954">
        <f>IF(AM60&lt;&gt;"",ROUND(AM60,0),SUM(AD25,AM36,AM59,AD58))</f>
        <v>0</v>
      </c>
      <c r="AE60" s="8954"/>
      <c r="AF60" s="8954"/>
      <c r="AG60" s="8954"/>
      <c r="AH60" s="8954"/>
      <c r="AI60" s="8954"/>
      <c r="AJ60" s="6884"/>
      <c r="AK60" s="461"/>
      <c r="AL60" s="808"/>
      <c r="AM60" s="3987"/>
      <c r="AN60" s="808"/>
      <c r="AO60" s="39"/>
      <c r="BA60" s="2038"/>
      <c r="BB60" s="2038"/>
      <c r="BC60" s="2038"/>
      <c r="BD60" s="2038"/>
      <c r="BE60" s="2038"/>
      <c r="BF60" s="2038"/>
      <c r="BG60" s="2038"/>
      <c r="BH60" s="2038"/>
      <c r="BI60" s="2038"/>
      <c r="BJ60" s="2038"/>
      <c r="BK60" s="39"/>
    </row>
    <row r="61" spans="1:63" s="2690" customFormat="1" ht="15.75" customHeight="1">
      <c r="A61" s="461"/>
      <c r="B61" s="2358">
        <v>23</v>
      </c>
      <c r="C61" s="2447" t="s">
        <v>3985</v>
      </c>
      <c r="D61" s="2112"/>
      <c r="E61" s="2112"/>
      <c r="F61" s="892"/>
      <c r="G61" s="892"/>
      <c r="H61" s="892"/>
      <c r="I61" s="892"/>
      <c r="J61" s="892"/>
      <c r="K61" s="892"/>
      <c r="L61" s="892"/>
      <c r="M61" s="892"/>
      <c r="N61" s="892"/>
      <c r="O61" s="892"/>
      <c r="P61" s="892"/>
      <c r="Q61" s="892"/>
      <c r="R61" s="892"/>
      <c r="S61" s="892"/>
      <c r="T61" s="892"/>
      <c r="U61" s="892"/>
      <c r="V61" s="3725"/>
      <c r="W61" s="8872"/>
      <c r="X61" s="7516"/>
      <c r="Y61" s="7516"/>
      <c r="Z61" s="7516"/>
      <c r="AA61" s="8969"/>
      <c r="AB61" s="3990"/>
      <c r="AC61" s="4004"/>
      <c r="AD61" s="4004"/>
      <c r="AE61" s="3991"/>
      <c r="AF61" s="3991"/>
      <c r="AG61" s="3991"/>
      <c r="AH61" s="3991"/>
      <c r="AI61" s="3991"/>
      <c r="AJ61" s="3991"/>
      <c r="AK61" s="461"/>
      <c r="AL61" s="808"/>
      <c r="AM61" s="808"/>
      <c r="AN61" s="808"/>
      <c r="AO61" s="39"/>
      <c r="BA61" s="2038"/>
      <c r="BB61" s="2038"/>
      <c r="BC61" s="2038"/>
      <c r="BD61" s="2038"/>
      <c r="BE61" s="2038"/>
      <c r="BF61" s="2038"/>
      <c r="BG61" s="2038"/>
      <c r="BH61" s="2038"/>
      <c r="BI61" s="2038"/>
      <c r="BJ61" s="2038"/>
      <c r="BK61" s="39"/>
    </row>
    <row r="62" spans="1:63" s="2690" customFormat="1" ht="15.75" customHeight="1" thickBot="1">
      <c r="A62" s="461"/>
      <c r="B62" s="4021"/>
      <c r="C62" s="4022" t="s">
        <v>3986</v>
      </c>
      <c r="D62" s="4023"/>
      <c r="E62" s="4023"/>
      <c r="F62" s="4023"/>
      <c r="G62" s="4023"/>
      <c r="H62" s="4023"/>
      <c r="I62" s="4023"/>
      <c r="J62" s="4023"/>
      <c r="K62" s="4023"/>
      <c r="L62" s="4023"/>
      <c r="M62" s="4023"/>
      <c r="N62" s="4023"/>
      <c r="O62" s="4023"/>
      <c r="P62" s="4023"/>
      <c r="Q62" s="4023"/>
      <c r="R62" s="4023"/>
      <c r="S62" s="4023"/>
      <c r="T62" s="4023"/>
      <c r="U62" s="3423" t="s">
        <v>990</v>
      </c>
      <c r="V62" s="3958">
        <v>23</v>
      </c>
      <c r="W62" s="8970"/>
      <c r="X62" s="8971"/>
      <c r="Y62" s="8971"/>
      <c r="Z62" s="8971"/>
      <c r="AA62" s="8972"/>
      <c r="AB62" s="4024"/>
      <c r="AC62" s="4025"/>
      <c r="AD62" s="4025"/>
      <c r="AE62" s="4026"/>
      <c r="AF62" s="4026"/>
      <c r="AG62" s="4026"/>
      <c r="AH62" s="4026"/>
      <c r="AI62" s="4026"/>
      <c r="AJ62" s="4026"/>
      <c r="AK62" s="461"/>
      <c r="AL62" s="808"/>
      <c r="AM62" s="808"/>
      <c r="AN62" s="808"/>
      <c r="AO62" s="39"/>
      <c r="BA62" s="2038"/>
      <c r="BB62" s="2038"/>
      <c r="BC62" s="2038"/>
      <c r="BD62" s="2038"/>
      <c r="BE62" s="2038"/>
      <c r="BF62" s="2038"/>
      <c r="BG62" s="2038"/>
      <c r="BH62" s="2038"/>
      <c r="BI62" s="2038"/>
      <c r="BJ62" s="2038"/>
      <c r="BK62" s="39"/>
    </row>
    <row r="63" spans="1:63" s="2690" customFormat="1" ht="15.75">
      <c r="A63" s="461"/>
      <c r="B63" s="1670" t="s">
        <v>3378</v>
      </c>
      <c r="C63" s="61"/>
      <c r="D63" s="61"/>
      <c r="E63" s="61"/>
      <c r="F63" s="61"/>
      <c r="G63" s="61"/>
      <c r="H63" s="61"/>
      <c r="I63" s="61"/>
      <c r="J63" s="61"/>
      <c r="K63" s="61"/>
      <c r="L63" s="61"/>
      <c r="M63" s="61"/>
      <c r="N63" s="61"/>
      <c r="O63" s="61"/>
      <c r="P63" s="61"/>
      <c r="Q63" s="61"/>
      <c r="R63" s="61"/>
      <c r="S63" s="61"/>
      <c r="T63" s="61"/>
      <c r="U63" s="51" t="s">
        <v>3987</v>
      </c>
      <c r="V63" s="61"/>
      <c r="W63" s="337"/>
      <c r="X63" s="61"/>
      <c r="Y63" s="61"/>
      <c r="Z63" s="61"/>
      <c r="AA63" s="61"/>
      <c r="AB63" s="61"/>
      <c r="AC63" s="61"/>
      <c r="AD63" s="61"/>
      <c r="AE63" s="61"/>
      <c r="AF63" s="61"/>
      <c r="AG63" s="61"/>
      <c r="AH63" s="705" t="s">
        <v>3988</v>
      </c>
      <c r="AI63" s="61"/>
      <c r="AJ63" s="705" t="str">
        <f>"("&amp;TaxYear&amp;")"</f>
        <v>(2023)</v>
      </c>
      <c r="AK63" s="461"/>
      <c r="AL63" s="808"/>
      <c r="AM63" s="808"/>
      <c r="AN63" s="808"/>
      <c r="AO63" s="39"/>
      <c r="BA63" s="2038"/>
      <c r="BB63" s="2038"/>
      <c r="BC63" s="2038"/>
      <c r="BD63" s="2038"/>
      <c r="BE63" s="2038"/>
      <c r="BF63" s="2038"/>
      <c r="BG63" s="2038"/>
      <c r="BH63" s="2038"/>
      <c r="BI63" s="2038"/>
      <c r="BJ63" s="2038"/>
      <c r="BK63" s="39"/>
    </row>
    <row r="64" spans="1:63" s="2690" customFormat="1" ht="15.75" customHeight="1" thickBot="1">
      <c r="A64" s="461"/>
      <c r="B64" s="4027" t="str">
        <f>"Form 4562 ("&amp;TaxYear&amp;")"</f>
        <v>Form 4562 (2023)</v>
      </c>
      <c r="C64" s="1257"/>
      <c r="D64" s="4022"/>
      <c r="E64" s="1257"/>
      <c r="F64" s="1257"/>
      <c r="G64" s="1257"/>
      <c r="H64" s="1257"/>
      <c r="I64" s="1257"/>
      <c r="J64" s="1257"/>
      <c r="K64" s="1257"/>
      <c r="L64" s="1257"/>
      <c r="M64" s="1257"/>
      <c r="N64" s="4028"/>
      <c r="O64" s="1257"/>
      <c r="P64" s="1257"/>
      <c r="Q64" s="1257"/>
      <c r="R64" s="1257"/>
      <c r="S64" s="1257"/>
      <c r="T64" s="4028"/>
      <c r="U64" s="4022"/>
      <c r="V64" s="1257"/>
      <c r="W64" s="1257"/>
      <c r="X64" s="1257"/>
      <c r="Y64" s="1257"/>
      <c r="Z64" s="1257"/>
      <c r="AA64" s="1257"/>
      <c r="AB64" s="4028"/>
      <c r="AC64" s="1257"/>
      <c r="AD64" s="1257"/>
      <c r="AE64" s="1257"/>
      <c r="AF64" s="1257"/>
      <c r="AG64" s="1257"/>
      <c r="AH64" s="1257"/>
      <c r="AI64" s="1257"/>
      <c r="AJ64" s="4029" t="s">
        <v>3989</v>
      </c>
      <c r="AK64" s="461"/>
      <c r="AL64" s="808"/>
      <c r="AM64" s="808"/>
      <c r="AN64" s="808"/>
      <c r="AO64" s="39"/>
      <c r="BA64" s="2038"/>
      <c r="BB64" s="2038"/>
      <c r="BC64" s="2038"/>
      <c r="BD64" s="2038"/>
      <c r="BE64" s="2038"/>
      <c r="BF64" s="2038"/>
      <c r="BG64" s="2038"/>
      <c r="BH64" s="2038"/>
      <c r="BI64" s="2038"/>
      <c r="BJ64" s="2038"/>
      <c r="BK64" s="39"/>
    </row>
    <row r="65" spans="1:63" s="3525" customFormat="1" ht="15.75" customHeight="1">
      <c r="A65" s="3497"/>
      <c r="B65" s="6754" t="s">
        <v>2425</v>
      </c>
      <c r="C65" s="8973"/>
      <c r="D65" s="4030"/>
      <c r="E65" s="4031" t="s">
        <v>3990</v>
      </c>
      <c r="F65" s="4032"/>
      <c r="G65" s="4032"/>
      <c r="H65" s="4032"/>
      <c r="I65" s="4032"/>
      <c r="J65" s="4032" t="s">
        <v>3991</v>
      </c>
      <c r="K65" s="4032"/>
      <c r="L65" s="4032"/>
      <c r="M65" s="4032"/>
      <c r="N65" s="4032"/>
      <c r="O65" s="4032"/>
      <c r="P65" s="4032"/>
      <c r="Q65" s="4032"/>
      <c r="R65" s="4032"/>
      <c r="S65" s="4032"/>
      <c r="T65" s="4032"/>
      <c r="U65" s="4032"/>
      <c r="V65" s="4032"/>
      <c r="W65" s="4032"/>
      <c r="X65" s="4032"/>
      <c r="Y65" s="4032"/>
      <c r="Z65" s="4032"/>
      <c r="AA65" s="4032"/>
      <c r="AB65" s="4032"/>
      <c r="AC65" s="4032"/>
      <c r="AD65" s="4032"/>
      <c r="AE65" s="4032"/>
      <c r="AF65" s="4032"/>
      <c r="AG65" s="4032"/>
      <c r="AH65" s="4032"/>
      <c r="AI65" s="1259"/>
      <c r="AJ65" s="1259"/>
      <c r="AK65" s="3497"/>
      <c r="AL65" s="808"/>
      <c r="AM65" s="808"/>
      <c r="AN65" s="808"/>
      <c r="AO65" s="3499"/>
      <c r="BA65" s="2038"/>
      <c r="BB65" s="2038"/>
      <c r="BC65" s="2038"/>
      <c r="BD65" s="2038"/>
      <c r="BE65" s="2038"/>
      <c r="BF65" s="2038"/>
      <c r="BG65" s="2038"/>
      <c r="BH65" s="2038"/>
      <c r="BI65" s="2038"/>
      <c r="BJ65" s="2038"/>
      <c r="BK65" s="3499"/>
    </row>
    <row r="66" spans="1:63" s="2690" customFormat="1" ht="15.75" customHeight="1">
      <c r="A66" s="461"/>
      <c r="B66" s="4033"/>
      <c r="C66" s="892"/>
      <c r="D66" s="4034"/>
      <c r="E66" s="4035" t="s">
        <v>3992</v>
      </c>
      <c r="F66" s="4034"/>
      <c r="G66" s="4034"/>
      <c r="H66" s="4034"/>
      <c r="I66" s="4034"/>
      <c r="J66" s="4034"/>
      <c r="K66" s="4034"/>
      <c r="L66" s="4034"/>
      <c r="M66" s="4034"/>
      <c r="N66" s="4034"/>
      <c r="O66" s="4034"/>
      <c r="P66" s="4034"/>
      <c r="Q66" s="4034"/>
      <c r="R66" s="4034"/>
      <c r="S66" s="4034"/>
      <c r="T66" s="4036"/>
      <c r="U66" s="4037"/>
      <c r="V66" s="4037"/>
      <c r="W66" s="4037"/>
      <c r="X66" s="4037"/>
      <c r="Y66" s="4037"/>
      <c r="Z66" s="4037"/>
      <c r="AA66" s="4037"/>
      <c r="AB66" s="4037"/>
      <c r="AC66" s="4037"/>
      <c r="AD66" s="4037"/>
      <c r="AE66" s="4037"/>
      <c r="AF66" s="4037"/>
      <c r="AG66" s="4037"/>
      <c r="AH66" s="4037"/>
      <c r="AI66" s="4037"/>
      <c r="AJ66" s="4037"/>
      <c r="AK66" s="461"/>
      <c r="AL66" s="808"/>
      <c r="AM66" s="808"/>
      <c r="AN66" s="808"/>
      <c r="AO66" s="39"/>
      <c r="BA66" s="2038"/>
      <c r="BB66" s="2038"/>
      <c r="BC66" s="2038"/>
      <c r="BD66" s="2038"/>
      <c r="BE66" s="2038"/>
      <c r="BF66" s="2038"/>
      <c r="BG66" s="2038"/>
      <c r="BH66" s="2038"/>
      <c r="BI66" s="2038"/>
      <c r="BJ66" s="2038"/>
      <c r="BK66" s="39"/>
    </row>
    <row r="67" spans="1:63" s="2690" customFormat="1" ht="15.75" customHeight="1">
      <c r="A67" s="461"/>
      <c r="B67" s="4033"/>
      <c r="C67" s="892"/>
      <c r="D67" s="2112"/>
      <c r="E67" s="1108" t="s">
        <v>3993</v>
      </c>
      <c r="F67" s="892"/>
      <c r="G67" s="1108" t="s">
        <v>3994</v>
      </c>
      <c r="H67" s="892"/>
      <c r="I67" s="892"/>
      <c r="J67" s="892"/>
      <c r="K67" s="892"/>
      <c r="L67" s="892"/>
      <c r="M67" s="892"/>
      <c r="N67" s="892"/>
      <c r="O67" s="892"/>
      <c r="P67" s="892"/>
      <c r="Q67" s="892"/>
      <c r="R67" s="892"/>
      <c r="S67" s="892"/>
      <c r="T67" s="892"/>
      <c r="U67" s="892"/>
      <c r="V67" s="892"/>
      <c r="W67" s="892"/>
      <c r="X67" s="892"/>
      <c r="Y67" s="892"/>
      <c r="Z67" s="892"/>
      <c r="AA67" s="892"/>
      <c r="AB67" s="892"/>
      <c r="AC67" s="892"/>
      <c r="AD67" s="892"/>
      <c r="AE67" s="892"/>
      <c r="AF67" s="892"/>
      <c r="AG67" s="892"/>
      <c r="AH67" s="892"/>
      <c r="AI67" s="892"/>
      <c r="AJ67" s="892"/>
      <c r="AK67" s="461"/>
      <c r="AL67" s="808"/>
      <c r="AM67" s="808"/>
      <c r="AN67" s="808"/>
      <c r="AO67" s="39"/>
      <c r="BA67" s="2038"/>
      <c r="BB67" s="2038"/>
      <c r="BC67" s="2038"/>
      <c r="BD67" s="2038"/>
      <c r="BE67" s="2038"/>
      <c r="BF67" s="2038"/>
      <c r="BG67" s="2038"/>
      <c r="BH67" s="2038"/>
      <c r="BI67" s="2038"/>
      <c r="BJ67" s="2038"/>
      <c r="BK67" s="39"/>
    </row>
    <row r="68" spans="1:63" s="2690" customFormat="1" ht="15.75" customHeight="1">
      <c r="A68" s="461"/>
      <c r="B68" s="4033"/>
      <c r="C68" s="892"/>
      <c r="D68" s="3621"/>
      <c r="E68" s="3172" t="s">
        <v>3995</v>
      </c>
      <c r="F68" s="892"/>
      <c r="G68" s="892"/>
      <c r="H68" s="892"/>
      <c r="I68" s="892"/>
      <c r="J68" s="892"/>
      <c r="K68" s="892"/>
      <c r="L68" s="892"/>
      <c r="M68" s="892"/>
      <c r="N68" s="3621"/>
      <c r="O68" s="892"/>
      <c r="P68" s="892"/>
      <c r="Q68" s="892"/>
      <c r="R68" s="892"/>
      <c r="S68" s="892"/>
      <c r="T68" s="3621"/>
      <c r="U68" s="3621"/>
      <c r="V68" s="892"/>
      <c r="W68" s="892"/>
      <c r="X68" s="892"/>
      <c r="Y68" s="892"/>
      <c r="Z68" s="892"/>
      <c r="AA68" s="892"/>
      <c r="AB68" s="3621"/>
      <c r="AC68" s="892"/>
      <c r="AD68" s="892"/>
      <c r="AE68" s="892"/>
      <c r="AF68" s="892"/>
      <c r="AG68" s="892"/>
      <c r="AH68" s="892"/>
      <c r="AI68" s="892"/>
      <c r="AJ68" s="892"/>
      <c r="AK68" s="461"/>
      <c r="AL68" s="808"/>
      <c r="AM68" s="808"/>
      <c r="AN68" s="808"/>
      <c r="AO68" s="39"/>
      <c r="BA68" s="2038"/>
      <c r="BB68" s="2038"/>
      <c r="BC68" s="2038"/>
      <c r="BD68" s="2038"/>
      <c r="BE68" s="2038"/>
      <c r="BF68" s="2038"/>
      <c r="BG68" s="2038"/>
      <c r="BH68" s="2038"/>
      <c r="BI68" s="2038"/>
      <c r="BJ68" s="2038"/>
      <c r="BK68" s="39"/>
    </row>
    <row r="69" spans="1:63" s="3525" customFormat="1" ht="15.75" customHeight="1">
      <c r="A69" s="3497"/>
      <c r="B69" s="3998" t="s">
        <v>3996</v>
      </c>
      <c r="C69" s="3999"/>
      <c r="D69" s="4000"/>
      <c r="E69" s="3998"/>
      <c r="F69" s="4001"/>
      <c r="G69" s="4001"/>
      <c r="H69" s="4001"/>
      <c r="I69" s="4001"/>
      <c r="J69" s="4001"/>
      <c r="K69" s="4001"/>
      <c r="L69" s="4001"/>
      <c r="M69" s="4001"/>
      <c r="N69" s="4001"/>
      <c r="O69" s="4001"/>
      <c r="P69" s="4001"/>
      <c r="Q69" s="4001"/>
      <c r="R69" s="4001"/>
      <c r="S69" s="4016"/>
      <c r="T69" s="4016"/>
      <c r="U69" s="4016"/>
      <c r="V69" s="4016"/>
      <c r="W69" s="4016"/>
      <c r="X69" s="4016"/>
      <c r="Y69" s="4016"/>
      <c r="Z69" s="4016"/>
      <c r="AA69" s="4016"/>
      <c r="AB69" s="4016"/>
      <c r="AC69" s="4016"/>
      <c r="AD69" s="4001"/>
      <c r="AE69" s="4001"/>
      <c r="AF69" s="4001"/>
      <c r="AG69" s="4001"/>
      <c r="AH69" s="4001"/>
      <c r="AI69" s="4002"/>
      <c r="AJ69" s="4002"/>
      <c r="AK69" s="3497"/>
      <c r="AL69" s="808"/>
      <c r="AM69" s="808"/>
      <c r="AN69" s="808"/>
      <c r="AO69" s="3499"/>
      <c r="BA69" s="2038"/>
      <c r="BB69" s="2038"/>
      <c r="BC69" s="2038"/>
      <c r="BD69" s="2038"/>
      <c r="BE69" s="2038"/>
      <c r="BF69" s="2038"/>
      <c r="BG69" s="2038"/>
      <c r="BH69" s="2038"/>
      <c r="BI69" s="2038"/>
      <c r="BJ69" s="2038"/>
      <c r="BK69" s="3499"/>
    </row>
    <row r="70" spans="1:63" s="3525" customFormat="1" ht="4.5" customHeight="1">
      <c r="A70" s="3497"/>
      <c r="B70" s="4038"/>
      <c r="C70" s="4039"/>
      <c r="D70" s="4040"/>
      <c r="E70" s="4038"/>
      <c r="F70" s="4041"/>
      <c r="G70" s="4041"/>
      <c r="H70" s="4041"/>
      <c r="I70" s="4041"/>
      <c r="J70" s="4041"/>
      <c r="K70" s="4041"/>
      <c r="L70" s="4041"/>
      <c r="M70" s="4041"/>
      <c r="N70" s="4041"/>
      <c r="O70" s="4041"/>
      <c r="P70" s="4041"/>
      <c r="Q70" s="4041"/>
      <c r="R70" s="4045"/>
      <c r="S70" s="4042"/>
      <c r="T70" s="4043"/>
      <c r="U70" s="4042"/>
      <c r="V70" s="4043"/>
      <c r="W70" s="4044"/>
      <c r="X70" s="4043"/>
      <c r="Y70" s="4043"/>
      <c r="Z70" s="4042"/>
      <c r="AA70" s="4042"/>
      <c r="AB70" s="4042"/>
      <c r="AC70" s="4042"/>
      <c r="AD70" s="4041"/>
      <c r="AE70" s="4045"/>
      <c r="AF70" s="4041"/>
      <c r="AG70" s="4045"/>
      <c r="AH70" s="4041"/>
      <c r="AI70" s="4046"/>
      <c r="AJ70" s="4047"/>
      <c r="AK70" s="3497"/>
      <c r="AL70" s="808"/>
      <c r="AM70" s="808"/>
      <c r="AN70" s="808"/>
      <c r="AO70" s="3499"/>
      <c r="BA70" s="2038"/>
      <c r="BB70" s="2038"/>
      <c r="BC70" s="2038"/>
      <c r="BD70" s="2038"/>
      <c r="BE70" s="2038"/>
      <c r="BF70" s="2038"/>
      <c r="BG70" s="2038"/>
      <c r="BH70" s="2038"/>
      <c r="BI70" s="2038"/>
      <c r="BJ70" s="2038"/>
      <c r="BK70" s="3499"/>
    </row>
    <row r="71" spans="1:63" s="4011" customFormat="1" ht="12" customHeight="1">
      <c r="A71" s="4010"/>
      <c r="B71" s="2623" t="s">
        <v>1013</v>
      </c>
      <c r="C71" s="2336" t="s">
        <v>3997</v>
      </c>
      <c r="D71" s="3624"/>
      <c r="E71" s="2645"/>
      <c r="F71" s="2336"/>
      <c r="G71" s="2336"/>
      <c r="H71" s="2336"/>
      <c r="I71" s="2336"/>
      <c r="J71" s="2336"/>
      <c r="K71" s="2336"/>
      <c r="L71" s="2336"/>
      <c r="M71" s="2336"/>
      <c r="N71" s="2336"/>
      <c r="O71" s="2336"/>
      <c r="P71" s="2336"/>
      <c r="Q71" s="2336"/>
      <c r="R71" s="6036"/>
      <c r="S71" s="1114"/>
      <c r="T71" s="6037" t="s">
        <v>608</v>
      </c>
      <c r="U71" s="1114"/>
      <c r="V71" s="6038" t="s">
        <v>609</v>
      </c>
      <c r="W71" s="3085" t="s">
        <v>1017</v>
      </c>
      <c r="X71" s="1005"/>
      <c r="Y71" s="1005"/>
      <c r="Z71" s="6039"/>
      <c r="AA71" s="6039"/>
      <c r="AB71" s="2336"/>
      <c r="AC71" s="2336"/>
      <c r="AD71" s="2336"/>
      <c r="AE71" s="6040" t="s">
        <v>3998</v>
      </c>
      <c r="AF71" s="1114"/>
      <c r="AG71" s="6037" t="s">
        <v>608</v>
      </c>
      <c r="AH71" s="1114"/>
      <c r="AI71" s="6038" t="s">
        <v>609</v>
      </c>
      <c r="AJ71" s="2336"/>
      <c r="AK71" s="4010"/>
      <c r="AL71" s="1382"/>
      <c r="AM71" s="1382"/>
      <c r="AN71" s="1382"/>
      <c r="AO71" s="1998"/>
      <c r="BA71" s="2045"/>
      <c r="BB71" s="2045"/>
      <c r="BC71" s="2045"/>
      <c r="BD71" s="2045"/>
      <c r="BE71" s="2045"/>
      <c r="BF71" s="2045"/>
      <c r="BG71" s="2045"/>
      <c r="BH71" s="2045"/>
      <c r="BI71" s="2045"/>
      <c r="BJ71" s="2045"/>
      <c r="BK71" s="1998"/>
    </row>
    <row r="72" spans="1:63" s="2690" customFormat="1" ht="4.5" customHeight="1">
      <c r="A72" s="461"/>
      <c r="B72" s="3046"/>
      <c r="C72" s="1260"/>
      <c r="D72" s="1260"/>
      <c r="E72" s="2190"/>
      <c r="F72" s="1260"/>
      <c r="G72" s="1260"/>
      <c r="H72" s="1260"/>
      <c r="I72" s="1260"/>
      <c r="J72" s="1260"/>
      <c r="K72" s="1260"/>
      <c r="L72" s="1260"/>
      <c r="M72" s="1260"/>
      <c r="N72" s="1260"/>
      <c r="O72" s="1260"/>
      <c r="P72" s="1260"/>
      <c r="Q72" s="1260"/>
      <c r="R72" s="1260"/>
      <c r="S72" s="1260"/>
      <c r="T72" s="1260"/>
      <c r="U72" s="1260"/>
      <c r="V72" s="2451"/>
      <c r="W72" s="4048"/>
      <c r="X72" s="1260"/>
      <c r="Y72" s="1260"/>
      <c r="Z72" s="1260"/>
      <c r="AA72" s="1260"/>
      <c r="AB72" s="1260"/>
      <c r="AC72" s="1260"/>
      <c r="AD72" s="1260"/>
      <c r="AE72" s="1260"/>
      <c r="AF72" s="1260"/>
      <c r="AG72" s="1260"/>
      <c r="AH72" s="1260"/>
      <c r="AI72" s="1260"/>
      <c r="AJ72" s="1260"/>
      <c r="AK72" s="461"/>
      <c r="AL72" s="808"/>
      <c r="AM72" s="808"/>
      <c r="AN72" s="808"/>
      <c r="AO72" s="39"/>
      <c r="BA72" s="2038"/>
      <c r="BB72" s="2038"/>
      <c r="BC72" s="2038"/>
      <c r="BD72" s="2038"/>
      <c r="BE72" s="2038"/>
      <c r="BF72" s="2038"/>
      <c r="BG72" s="2038"/>
      <c r="BH72" s="2038"/>
      <c r="BI72" s="2038"/>
      <c r="BJ72" s="2038"/>
      <c r="BK72" s="39"/>
    </row>
    <row r="73" spans="1:63" s="2690" customFormat="1" ht="52.5" customHeight="1">
      <c r="A73" s="461"/>
      <c r="B73" s="8974" t="s">
        <v>3999</v>
      </c>
      <c r="C73" s="8904"/>
      <c r="D73" s="8904"/>
      <c r="E73" s="8975"/>
      <c r="F73" s="8976" t="s">
        <v>4000</v>
      </c>
      <c r="G73" s="8904"/>
      <c r="H73" s="8975"/>
      <c r="I73" s="8787" t="s">
        <v>4001</v>
      </c>
      <c r="J73" s="8759"/>
      <c r="K73" s="8760"/>
      <c r="L73" s="8905" t="s">
        <v>4002</v>
      </c>
      <c r="M73" s="8788"/>
      <c r="N73" s="8788"/>
      <c r="O73" s="8789"/>
      <c r="P73" s="8976" t="s">
        <v>4003</v>
      </c>
      <c r="Q73" s="8788"/>
      <c r="R73" s="8788"/>
      <c r="S73" s="8788"/>
      <c r="T73" s="8789"/>
      <c r="U73" s="8905" t="s">
        <v>4004</v>
      </c>
      <c r="V73" s="8788"/>
      <c r="W73" s="8789"/>
      <c r="X73" s="8902" t="s">
        <v>4005</v>
      </c>
      <c r="Y73" s="8788"/>
      <c r="Z73" s="8789"/>
      <c r="AA73" s="8902" t="s">
        <v>4006</v>
      </c>
      <c r="AB73" s="8788"/>
      <c r="AC73" s="8788"/>
      <c r="AD73" s="8788"/>
      <c r="AE73" s="8788"/>
      <c r="AF73" s="8902" t="s">
        <v>4007</v>
      </c>
      <c r="AG73" s="8788"/>
      <c r="AH73" s="8788"/>
      <c r="AI73" s="8788"/>
      <c r="AJ73" s="8788"/>
      <c r="AK73" s="461"/>
      <c r="AL73" s="808"/>
      <c r="AM73" s="808"/>
      <c r="AN73" s="808"/>
      <c r="AO73" s="39"/>
      <c r="BA73" s="2038"/>
      <c r="BB73" s="2038"/>
      <c r="BC73" s="2038"/>
      <c r="BD73" s="2038"/>
      <c r="BE73" s="2038"/>
      <c r="BF73" s="2038"/>
      <c r="BG73" s="2038"/>
      <c r="BH73" s="2038"/>
      <c r="BI73" s="2038"/>
      <c r="BJ73" s="2038"/>
      <c r="BK73" s="39"/>
    </row>
    <row r="74" spans="1:63" s="2690" customFormat="1" ht="15.75" customHeight="1">
      <c r="A74" s="461"/>
      <c r="B74" s="2358">
        <v>25</v>
      </c>
      <c r="C74" s="2446" t="s">
        <v>4008</v>
      </c>
      <c r="D74" s="2112"/>
      <c r="E74" s="2112"/>
      <c r="F74" s="892"/>
      <c r="G74" s="892"/>
      <c r="H74" s="892"/>
      <c r="I74" s="892"/>
      <c r="J74" s="892"/>
      <c r="K74" s="892"/>
      <c r="L74" s="892"/>
      <c r="M74" s="892"/>
      <c r="N74" s="892"/>
      <c r="O74" s="892"/>
      <c r="P74" s="892"/>
      <c r="Q74" s="892"/>
      <c r="R74" s="892"/>
      <c r="S74" s="892"/>
      <c r="T74" s="1259"/>
      <c r="U74" s="1259"/>
      <c r="V74" s="3960"/>
      <c r="W74" s="3960"/>
      <c r="X74" s="4049"/>
      <c r="Y74" s="4050"/>
      <c r="Z74" s="3960"/>
      <c r="AA74" s="8872"/>
      <c r="AB74" s="6844"/>
      <c r="AC74" s="6844"/>
      <c r="AD74" s="6844"/>
      <c r="AE74" s="8977"/>
      <c r="AF74" s="4051"/>
      <c r="AG74" s="3991"/>
      <c r="AH74" s="3991"/>
      <c r="AI74" s="3991"/>
      <c r="AJ74" s="3991"/>
      <c r="AK74" s="461"/>
      <c r="AL74" s="808"/>
      <c r="AM74" s="808"/>
      <c r="AN74" s="808"/>
      <c r="AO74" s="39"/>
      <c r="BA74" s="2038"/>
      <c r="BB74" s="2038"/>
      <c r="BC74" s="2038"/>
      <c r="BD74" s="2038"/>
      <c r="BE74" s="2038"/>
      <c r="BF74" s="2038"/>
      <c r="BG74" s="2038"/>
      <c r="BH74" s="2038"/>
      <c r="BI74" s="2038"/>
      <c r="BJ74" s="2038"/>
      <c r="BK74" s="39"/>
    </row>
    <row r="75" spans="1:63" s="2690" customFormat="1" ht="15.75" customHeight="1" thickBot="1">
      <c r="A75" s="461"/>
      <c r="B75" s="2465"/>
      <c r="C75" s="5070" t="s">
        <v>4009</v>
      </c>
      <c r="D75" s="4023"/>
      <c r="E75" s="4023"/>
      <c r="F75" s="4023"/>
      <c r="G75" s="4023"/>
      <c r="H75" s="4023"/>
      <c r="I75" s="4023"/>
      <c r="J75" s="4023"/>
      <c r="K75" s="4023"/>
      <c r="L75" s="4023"/>
      <c r="M75" s="4023"/>
      <c r="N75" s="4023"/>
      <c r="O75" s="4023"/>
      <c r="P75" s="4023"/>
      <c r="Q75" s="4023"/>
      <c r="R75" s="4023"/>
      <c r="S75" s="4023"/>
      <c r="T75" s="4023"/>
      <c r="U75" s="4023"/>
      <c r="V75" s="4052"/>
      <c r="W75" s="4052"/>
      <c r="X75" s="5071" t="s">
        <v>939</v>
      </c>
      <c r="Y75" s="8978">
        <v>25</v>
      </c>
      <c r="Z75" s="8979"/>
      <c r="AA75" s="8970"/>
      <c r="AB75" s="8980"/>
      <c r="AC75" s="8980"/>
      <c r="AD75" s="8980"/>
      <c r="AE75" s="8981"/>
      <c r="AF75" s="4053"/>
      <c r="AG75" s="4026"/>
      <c r="AH75" s="4026"/>
      <c r="AI75" s="4026"/>
      <c r="AJ75" s="4026"/>
      <c r="AK75" s="461"/>
      <c r="AL75" s="808"/>
      <c r="AM75" s="808"/>
      <c r="AN75" s="808"/>
      <c r="AO75" s="39"/>
      <c r="BA75" s="2038"/>
      <c r="BB75" s="2038"/>
      <c r="BC75" s="2038"/>
      <c r="BD75" s="2038"/>
      <c r="BE75" s="2038"/>
      <c r="BF75" s="2038"/>
      <c r="BG75" s="2038"/>
      <c r="BH75" s="2038"/>
      <c r="BI75" s="2038"/>
      <c r="BJ75" s="2038"/>
      <c r="BK75" s="39"/>
    </row>
    <row r="76" spans="1:63" s="3525" customFormat="1" ht="15.75" customHeight="1">
      <c r="A76" s="3497"/>
      <c r="B76" s="4054">
        <v>26</v>
      </c>
      <c r="C76" s="5100" t="s">
        <v>4010</v>
      </c>
      <c r="D76" s="4000"/>
      <c r="E76" s="3998"/>
      <c r="F76" s="4001"/>
      <c r="G76" s="4001"/>
      <c r="H76" s="4001"/>
      <c r="I76" s="4001"/>
      <c r="J76" s="4001"/>
      <c r="K76" s="4001"/>
      <c r="L76" s="4001"/>
      <c r="M76" s="4001"/>
      <c r="N76" s="4001"/>
      <c r="O76" s="4001"/>
      <c r="P76" s="4001"/>
      <c r="Q76" s="4001"/>
      <c r="R76" s="4001"/>
      <c r="S76" s="4001"/>
      <c r="T76" s="4001"/>
      <c r="U76" s="4001"/>
      <c r="V76" s="4001"/>
      <c r="W76" s="4001"/>
      <c r="X76" s="4001"/>
      <c r="Y76" s="4001"/>
      <c r="Z76" s="4001"/>
      <c r="AA76" s="4001"/>
      <c r="AB76" s="4001"/>
      <c r="AC76" s="4001"/>
      <c r="AD76" s="4001"/>
      <c r="AE76" s="4001"/>
      <c r="AF76" s="4001"/>
      <c r="AG76" s="4001"/>
      <c r="AH76" s="4001"/>
      <c r="AI76" s="4002"/>
      <c r="AJ76" s="4002"/>
      <c r="AK76" s="3497"/>
      <c r="AL76" s="808"/>
      <c r="AM76" s="808"/>
      <c r="AN76" s="808"/>
      <c r="AO76" s="3499"/>
      <c r="BA76" s="2038"/>
      <c r="BB76" s="2038"/>
      <c r="BC76" s="2038"/>
      <c r="BD76" s="2038"/>
      <c r="BE76" s="2038"/>
      <c r="BF76" s="2038"/>
      <c r="BG76" s="2038"/>
      <c r="BH76" s="2038"/>
      <c r="BI76" s="2038"/>
      <c r="BJ76" s="2038"/>
      <c r="BK76" s="3499"/>
    </row>
    <row r="77" spans="1:63" s="2690" customFormat="1" ht="18.75" customHeight="1">
      <c r="A77" s="461"/>
      <c r="B77" s="8982"/>
      <c r="C77" s="8982"/>
      <c r="D77" s="8982"/>
      <c r="E77" s="8983"/>
      <c r="F77" s="8984"/>
      <c r="G77" s="8982"/>
      <c r="H77" s="8983"/>
      <c r="I77" s="8985"/>
      <c r="J77" s="8986"/>
      <c r="K77" s="4055" t="s">
        <v>4011</v>
      </c>
      <c r="L77" s="8987"/>
      <c r="M77" s="8988"/>
      <c r="N77" s="8988"/>
      <c r="O77" s="8989"/>
      <c r="P77" s="8987"/>
      <c r="Q77" s="8988"/>
      <c r="R77" s="8988"/>
      <c r="S77" s="8988"/>
      <c r="T77" s="8989"/>
      <c r="U77" s="8990"/>
      <c r="V77" s="8982"/>
      <c r="W77" s="8983"/>
      <c r="X77" s="8990"/>
      <c r="Y77" s="8982"/>
      <c r="Z77" s="8983"/>
      <c r="AA77" s="8987"/>
      <c r="AB77" s="8988"/>
      <c r="AC77" s="8988"/>
      <c r="AD77" s="8988"/>
      <c r="AE77" s="8989"/>
      <c r="AF77" s="8987"/>
      <c r="AG77" s="8988"/>
      <c r="AH77" s="8988"/>
      <c r="AI77" s="8988"/>
      <c r="AJ77" s="8988"/>
      <c r="AK77" s="461"/>
      <c r="AL77" s="808"/>
      <c r="AM77" s="808"/>
      <c r="AN77" s="808"/>
      <c r="AO77" s="39"/>
      <c r="BA77" s="2038"/>
      <c r="BB77" s="2038"/>
      <c r="BC77" s="2038"/>
      <c r="BD77" s="2038"/>
      <c r="BE77" s="2038"/>
      <c r="BF77" s="2038"/>
      <c r="BG77" s="2038"/>
      <c r="BH77" s="2038"/>
      <c r="BI77" s="2038"/>
      <c r="BJ77" s="2038"/>
      <c r="BK77" s="39"/>
    </row>
    <row r="78" spans="1:63" s="2690" customFormat="1" ht="18.75" customHeight="1">
      <c r="A78" s="461"/>
      <c r="B78" s="8982"/>
      <c r="C78" s="8982"/>
      <c r="D78" s="8982"/>
      <c r="E78" s="8983"/>
      <c r="F78" s="8984"/>
      <c r="G78" s="8982"/>
      <c r="H78" s="8983"/>
      <c r="I78" s="8985"/>
      <c r="J78" s="8986"/>
      <c r="K78" s="4055" t="s">
        <v>4011</v>
      </c>
      <c r="L78" s="8987"/>
      <c r="M78" s="8988"/>
      <c r="N78" s="8988"/>
      <c r="O78" s="8989"/>
      <c r="P78" s="8987"/>
      <c r="Q78" s="8988"/>
      <c r="R78" s="8988"/>
      <c r="S78" s="8988"/>
      <c r="T78" s="8989"/>
      <c r="U78" s="8990"/>
      <c r="V78" s="8982"/>
      <c r="W78" s="8983"/>
      <c r="X78" s="8990"/>
      <c r="Y78" s="8982"/>
      <c r="Z78" s="8983"/>
      <c r="AA78" s="8987"/>
      <c r="AB78" s="8988"/>
      <c r="AC78" s="8988"/>
      <c r="AD78" s="8988"/>
      <c r="AE78" s="8989"/>
      <c r="AF78" s="8987"/>
      <c r="AG78" s="8988"/>
      <c r="AH78" s="8988"/>
      <c r="AI78" s="8988"/>
      <c r="AJ78" s="8988"/>
      <c r="AK78" s="461"/>
      <c r="AL78" s="808"/>
      <c r="AM78" s="808"/>
      <c r="AN78" s="808"/>
      <c r="AO78" s="39"/>
      <c r="BA78" s="2038"/>
      <c r="BB78" s="2038"/>
      <c r="BC78" s="2038"/>
      <c r="BD78" s="2038"/>
      <c r="BE78" s="2038"/>
      <c r="BF78" s="2038"/>
      <c r="BG78" s="2038"/>
      <c r="BH78" s="2038"/>
      <c r="BI78" s="2038"/>
      <c r="BJ78" s="2038"/>
      <c r="BK78" s="39"/>
    </row>
    <row r="79" spans="1:63" s="2690" customFormat="1" ht="18.75" customHeight="1">
      <c r="A79" s="461"/>
      <c r="B79" s="8982"/>
      <c r="C79" s="8982"/>
      <c r="D79" s="8982"/>
      <c r="E79" s="8983"/>
      <c r="F79" s="8984"/>
      <c r="G79" s="8982"/>
      <c r="H79" s="8983"/>
      <c r="I79" s="8985"/>
      <c r="J79" s="8986"/>
      <c r="K79" s="4055" t="s">
        <v>4011</v>
      </c>
      <c r="L79" s="8987"/>
      <c r="M79" s="8988"/>
      <c r="N79" s="8988"/>
      <c r="O79" s="8989"/>
      <c r="P79" s="8987"/>
      <c r="Q79" s="8988"/>
      <c r="R79" s="8988"/>
      <c r="S79" s="8988"/>
      <c r="T79" s="8989"/>
      <c r="U79" s="8990"/>
      <c r="V79" s="8982"/>
      <c r="W79" s="8983"/>
      <c r="X79" s="8990"/>
      <c r="Y79" s="8982"/>
      <c r="Z79" s="8983"/>
      <c r="AA79" s="8987"/>
      <c r="AB79" s="8988"/>
      <c r="AC79" s="8988"/>
      <c r="AD79" s="8988"/>
      <c r="AE79" s="8989"/>
      <c r="AF79" s="8987"/>
      <c r="AG79" s="8988"/>
      <c r="AH79" s="8988"/>
      <c r="AI79" s="8988"/>
      <c r="AJ79" s="8988"/>
      <c r="AK79" s="461"/>
      <c r="AL79" s="808"/>
      <c r="AM79" s="808"/>
      <c r="AN79" s="808"/>
      <c r="AO79" s="39"/>
      <c r="BA79" s="2038"/>
      <c r="BB79" s="2038"/>
      <c r="BC79" s="2038"/>
      <c r="BD79" s="2038"/>
      <c r="BE79" s="2038"/>
      <c r="BF79" s="2038"/>
      <c r="BG79" s="2038"/>
      <c r="BH79" s="2038"/>
      <c r="BI79" s="2038"/>
      <c r="BJ79" s="2038"/>
      <c r="BK79" s="39"/>
    </row>
    <row r="80" spans="1:63" s="3525" customFormat="1" ht="15.75" customHeight="1">
      <c r="A80" s="3497"/>
      <c r="B80" s="4054">
        <v>27</v>
      </c>
      <c r="C80" s="5100" t="s">
        <v>4012</v>
      </c>
      <c r="D80" s="4000"/>
      <c r="E80" s="3998"/>
      <c r="F80" s="4001"/>
      <c r="G80" s="4001"/>
      <c r="H80" s="4001"/>
      <c r="I80" s="4001"/>
      <c r="J80" s="4001"/>
      <c r="K80" s="4001"/>
      <c r="L80" s="4001"/>
      <c r="M80" s="4001"/>
      <c r="N80" s="4001"/>
      <c r="O80" s="4001"/>
      <c r="P80" s="4001"/>
      <c r="Q80" s="4001"/>
      <c r="R80" s="4001"/>
      <c r="S80" s="4001"/>
      <c r="T80" s="4001"/>
      <c r="U80" s="4001"/>
      <c r="V80" s="4001"/>
      <c r="W80" s="4001"/>
      <c r="X80" s="4001"/>
      <c r="Y80" s="4001"/>
      <c r="Z80" s="4001"/>
      <c r="AA80" s="4001"/>
      <c r="AB80" s="4001"/>
      <c r="AC80" s="4001"/>
      <c r="AD80" s="4001"/>
      <c r="AE80" s="4001"/>
      <c r="AF80" s="4001"/>
      <c r="AG80" s="4001"/>
      <c r="AH80" s="4001"/>
      <c r="AI80" s="4002"/>
      <c r="AJ80" s="4002"/>
      <c r="AK80" s="3497"/>
      <c r="AL80" s="808"/>
      <c r="AM80" s="808"/>
      <c r="AN80" s="808"/>
      <c r="AO80" s="3499"/>
      <c r="BA80" s="2038"/>
      <c r="BB80" s="2038"/>
      <c r="BC80" s="2038"/>
      <c r="BD80" s="2038"/>
      <c r="BE80" s="2038"/>
      <c r="BF80" s="2038"/>
      <c r="BG80" s="2038"/>
      <c r="BH80" s="2038"/>
      <c r="BI80" s="2038"/>
      <c r="BJ80" s="2038"/>
      <c r="BK80" s="3499"/>
    </row>
    <row r="81" spans="1:63" s="2690" customFormat="1" ht="18.75" customHeight="1">
      <c r="A81" s="461"/>
      <c r="B81" s="8982"/>
      <c r="C81" s="8982"/>
      <c r="D81" s="8982"/>
      <c r="E81" s="8983"/>
      <c r="F81" s="8984"/>
      <c r="G81" s="8982"/>
      <c r="H81" s="8983"/>
      <c r="I81" s="8985"/>
      <c r="J81" s="8986"/>
      <c r="K81" s="4055" t="s">
        <v>4011</v>
      </c>
      <c r="L81" s="8987"/>
      <c r="M81" s="8988"/>
      <c r="N81" s="8988"/>
      <c r="O81" s="8989"/>
      <c r="P81" s="8987"/>
      <c r="Q81" s="8988"/>
      <c r="R81" s="8988"/>
      <c r="S81" s="8988"/>
      <c r="T81" s="8989"/>
      <c r="U81" s="8990"/>
      <c r="V81" s="8982"/>
      <c r="W81" s="8983"/>
      <c r="X81" s="4556" t="s">
        <v>4013</v>
      </c>
      <c r="Y81" s="8991"/>
      <c r="Z81" s="8992"/>
      <c r="AA81" s="8987"/>
      <c r="AB81" s="8988"/>
      <c r="AC81" s="8988"/>
      <c r="AD81" s="8988"/>
      <c r="AE81" s="8989"/>
      <c r="AF81" s="4051"/>
      <c r="AG81" s="3991"/>
      <c r="AH81" s="3991"/>
      <c r="AI81" s="3991"/>
      <c r="AJ81" s="3991"/>
      <c r="AK81" s="461"/>
      <c r="AL81" s="808"/>
      <c r="AM81" s="808"/>
      <c r="AN81" s="808"/>
      <c r="AO81" s="39"/>
      <c r="BA81" s="2038"/>
      <c r="BB81" s="2038"/>
      <c r="BC81" s="2038"/>
      <c r="BD81" s="2038"/>
      <c r="BE81" s="2038"/>
      <c r="BF81" s="2038"/>
      <c r="BG81" s="2038"/>
      <c r="BH81" s="2038"/>
      <c r="BI81" s="2038"/>
      <c r="BJ81" s="2038"/>
      <c r="BK81" s="39"/>
    </row>
    <row r="82" spans="1:63" s="2690" customFormat="1" ht="18.75" customHeight="1">
      <c r="A82" s="461"/>
      <c r="B82" s="8982"/>
      <c r="C82" s="8982"/>
      <c r="D82" s="8982"/>
      <c r="E82" s="8983"/>
      <c r="F82" s="8984"/>
      <c r="G82" s="8982"/>
      <c r="H82" s="8983"/>
      <c r="I82" s="8985"/>
      <c r="J82" s="8986"/>
      <c r="K82" s="4055" t="s">
        <v>4011</v>
      </c>
      <c r="L82" s="8987"/>
      <c r="M82" s="8988"/>
      <c r="N82" s="8988"/>
      <c r="O82" s="8989"/>
      <c r="P82" s="8987"/>
      <c r="Q82" s="8988"/>
      <c r="R82" s="8988"/>
      <c r="S82" s="8988"/>
      <c r="T82" s="8989"/>
      <c r="U82" s="8990"/>
      <c r="V82" s="8982"/>
      <c r="W82" s="8983"/>
      <c r="X82" s="4556" t="s">
        <v>4013</v>
      </c>
      <c r="Y82" s="8991"/>
      <c r="Z82" s="8992"/>
      <c r="AA82" s="8987"/>
      <c r="AB82" s="8988"/>
      <c r="AC82" s="8988"/>
      <c r="AD82" s="8988"/>
      <c r="AE82" s="8989"/>
      <c r="AF82" s="4056"/>
      <c r="AG82" s="3989"/>
      <c r="AH82" s="3989"/>
      <c r="AI82" s="3989"/>
      <c r="AJ82" s="3989"/>
      <c r="AK82" s="461"/>
      <c r="AL82" s="808"/>
      <c r="AM82" s="23" t="s">
        <v>1113</v>
      </c>
      <c r="AN82" s="808"/>
      <c r="AO82" s="39"/>
      <c r="BA82" s="2038"/>
      <c r="BB82" s="2038"/>
      <c r="BC82" s="2038"/>
      <c r="BD82" s="2038"/>
      <c r="BE82" s="2038"/>
      <c r="BF82" s="2038"/>
      <c r="BG82" s="2038"/>
      <c r="BH82" s="2038"/>
      <c r="BI82" s="2038"/>
      <c r="BJ82" s="2038"/>
      <c r="BK82" s="39"/>
    </row>
    <row r="83" spans="1:63" s="2690" customFormat="1" ht="18.75" customHeight="1" thickBot="1">
      <c r="A83" s="461"/>
      <c r="B83" s="8982"/>
      <c r="C83" s="8982"/>
      <c r="D83" s="8982"/>
      <c r="E83" s="8983"/>
      <c r="F83" s="8984"/>
      <c r="G83" s="8982"/>
      <c r="H83" s="8983"/>
      <c r="I83" s="8985"/>
      <c r="J83" s="8986"/>
      <c r="K83" s="4055" t="s">
        <v>4011</v>
      </c>
      <c r="L83" s="8987"/>
      <c r="M83" s="8988"/>
      <c r="N83" s="8988"/>
      <c r="O83" s="8989"/>
      <c r="P83" s="8987"/>
      <c r="Q83" s="8988"/>
      <c r="R83" s="8988"/>
      <c r="S83" s="8988"/>
      <c r="T83" s="8989"/>
      <c r="U83" s="8990"/>
      <c r="V83" s="8982"/>
      <c r="W83" s="8983"/>
      <c r="X83" s="4556" t="s">
        <v>4013</v>
      </c>
      <c r="Y83" s="8991"/>
      <c r="Z83" s="8992"/>
      <c r="AA83" s="8987"/>
      <c r="AB83" s="8988"/>
      <c r="AC83" s="8988"/>
      <c r="AD83" s="8988"/>
      <c r="AE83" s="8989"/>
      <c r="AF83" s="4056"/>
      <c r="AG83" s="3989"/>
      <c r="AH83" s="3989"/>
      <c r="AI83" s="3989"/>
      <c r="AJ83" s="3989"/>
      <c r="AK83" s="461"/>
      <c r="AL83" s="808"/>
      <c r="AM83" s="23" t="s">
        <v>1062</v>
      </c>
      <c r="AN83" s="808"/>
      <c r="AO83" s="39"/>
      <c r="BA83" s="2038"/>
      <c r="BB83" s="2038"/>
      <c r="BC83" s="2038"/>
      <c r="BD83" s="2038"/>
      <c r="BE83" s="2038"/>
      <c r="BF83" s="2038"/>
      <c r="BG83" s="2038"/>
      <c r="BH83" s="2038"/>
      <c r="BI83" s="2038"/>
      <c r="BJ83" s="2038"/>
      <c r="BK83" s="39"/>
    </row>
    <row r="84" spans="1:63" s="2690" customFormat="1" ht="15.75" customHeight="1" thickBot="1">
      <c r="A84" s="461"/>
      <c r="B84" s="4057">
        <v>28</v>
      </c>
      <c r="C84" s="2454" t="s">
        <v>4014</v>
      </c>
      <c r="D84" s="4058"/>
      <c r="E84" s="4058"/>
      <c r="F84" s="4058"/>
      <c r="G84" s="4058"/>
      <c r="H84" s="4058"/>
      <c r="I84" s="4058"/>
      <c r="J84" s="4058"/>
      <c r="K84" s="4058"/>
      <c r="L84" s="4058"/>
      <c r="M84" s="4058"/>
      <c r="N84" s="4058"/>
      <c r="O84" s="4058"/>
      <c r="P84" s="4058"/>
      <c r="Q84" s="4058"/>
      <c r="R84" s="4058"/>
      <c r="S84" s="4058"/>
      <c r="T84" s="4058"/>
      <c r="U84" s="4058"/>
      <c r="V84" s="3960"/>
      <c r="W84" s="3960"/>
      <c r="X84" s="1128" t="s">
        <v>934</v>
      </c>
      <c r="Y84" s="7426">
        <v>28</v>
      </c>
      <c r="Z84" s="7427"/>
      <c r="AA84" s="6855">
        <f>IF(AM84&lt;&gt;"",ROUND(AM84,0),SUM(ROUND(AA75,0),ROUND(AA77,0),ROUND(AA78,0),ROUND(AA79,0),ROUND(AA81,0),ROUND(AA82,0),ROUND(AA83,0)))</f>
        <v>0</v>
      </c>
      <c r="AB84" s="8993"/>
      <c r="AC84" s="8993"/>
      <c r="AD84" s="8993"/>
      <c r="AE84" s="8994"/>
      <c r="AF84" s="4059"/>
      <c r="AG84" s="4009"/>
      <c r="AH84" s="4009"/>
      <c r="AI84" s="4009"/>
      <c r="AJ84" s="4009"/>
      <c r="AK84" s="461"/>
      <c r="AL84" s="808"/>
      <c r="AM84" s="3987"/>
      <c r="AN84" s="808"/>
      <c r="AO84" s="39"/>
      <c r="BA84" s="2038"/>
      <c r="BB84" s="2038"/>
      <c r="BC84" s="2038"/>
      <c r="BD84" s="2038"/>
      <c r="BE84" s="2038"/>
      <c r="BF84" s="2038"/>
      <c r="BG84" s="2038"/>
      <c r="BH84" s="2038"/>
      <c r="BI84" s="2038"/>
      <c r="BJ84" s="2038"/>
      <c r="BK84" s="39"/>
    </row>
    <row r="85" spans="1:63" s="2690" customFormat="1" ht="15.75" customHeight="1" thickBot="1">
      <c r="A85" s="461"/>
      <c r="B85" s="4017">
        <v>29</v>
      </c>
      <c r="C85" s="5101" t="s">
        <v>4015</v>
      </c>
      <c r="D85" s="4060"/>
      <c r="E85" s="4060"/>
      <c r="F85" s="4060"/>
      <c r="G85" s="4060"/>
      <c r="H85" s="4060"/>
      <c r="I85" s="4060"/>
      <c r="J85" s="4060"/>
      <c r="K85" s="4060"/>
      <c r="L85" s="4060"/>
      <c r="M85" s="4060"/>
      <c r="N85" s="4060"/>
      <c r="O85" s="4060"/>
      <c r="P85" s="4060"/>
      <c r="Q85" s="4060"/>
      <c r="R85" s="4060"/>
      <c r="S85" s="4060"/>
      <c r="T85" s="4060"/>
      <c r="U85" s="4060"/>
      <c r="V85" s="3959"/>
      <c r="W85" s="3959"/>
      <c r="X85" s="3959"/>
      <c r="Y85" s="3959"/>
      <c r="Z85" s="3959"/>
      <c r="AA85" s="4087"/>
      <c r="AB85" s="3959"/>
      <c r="AC85" s="4087" t="s">
        <v>3013</v>
      </c>
      <c r="AD85" s="7426">
        <v>29</v>
      </c>
      <c r="AE85" s="7427"/>
      <c r="AF85" s="6855">
        <f>IF(AM85&lt;&gt;"",ROUND(AM84,0),SUM(ROUND(AF77,0),ROUND(AF78,0),ROUND(AF79,0)))</f>
        <v>0</v>
      </c>
      <c r="AG85" s="8993"/>
      <c r="AH85" s="8993"/>
      <c r="AI85" s="8993"/>
      <c r="AJ85" s="8993"/>
      <c r="AK85" s="461"/>
      <c r="AL85" s="808"/>
      <c r="AM85" s="3987"/>
      <c r="AN85" s="808"/>
      <c r="AO85" s="39"/>
      <c r="BA85" s="2038"/>
      <c r="BB85" s="2038"/>
      <c r="BC85" s="2038"/>
      <c r="BD85" s="2038"/>
      <c r="BE85" s="2038"/>
      <c r="BF85" s="2038"/>
      <c r="BG85" s="2038"/>
      <c r="BH85" s="2038"/>
      <c r="BI85" s="2038"/>
      <c r="BJ85" s="2038"/>
      <c r="BK85" s="39"/>
    </row>
    <row r="86" spans="1:63" s="2690" customFormat="1" ht="15.75" customHeight="1">
      <c r="A86" s="461"/>
      <c r="B86" s="1365" t="s">
        <v>4016</v>
      </c>
      <c r="C86" s="4061"/>
      <c r="D86" s="4061"/>
      <c r="E86" s="4062"/>
      <c r="F86" s="4061"/>
      <c r="G86" s="4061"/>
      <c r="H86" s="4061"/>
      <c r="I86" s="4061"/>
      <c r="J86" s="4061"/>
      <c r="K86" s="4061"/>
      <c r="L86" s="4061"/>
      <c r="M86" s="4061"/>
      <c r="N86" s="4061"/>
      <c r="O86" s="4061"/>
      <c r="P86" s="4061"/>
      <c r="Q86" s="4061"/>
      <c r="R86" s="4061"/>
      <c r="S86" s="4061"/>
      <c r="T86" s="4061"/>
      <c r="U86" s="4061"/>
      <c r="V86" s="4061"/>
      <c r="W86" s="4061"/>
      <c r="X86" s="4061"/>
      <c r="Y86" s="4061"/>
      <c r="Z86" s="4061"/>
      <c r="AA86" s="4061"/>
      <c r="AB86" s="4061"/>
      <c r="AC86" s="4061"/>
      <c r="AD86" s="4061"/>
      <c r="AE86" s="4061"/>
      <c r="AF86" s="4061"/>
      <c r="AG86" s="4061"/>
      <c r="AH86" s="4061"/>
      <c r="AI86" s="4061"/>
      <c r="AJ86" s="4061"/>
      <c r="AK86" s="461"/>
      <c r="AL86" s="808"/>
      <c r="AM86" s="808"/>
      <c r="AN86" s="808"/>
      <c r="AO86" s="39"/>
      <c r="BA86" s="2038"/>
      <c r="BB86" s="2038"/>
      <c r="BC86" s="2038"/>
      <c r="BD86" s="2038"/>
      <c r="BE86" s="2038"/>
      <c r="BF86" s="2038"/>
      <c r="BG86" s="2038"/>
      <c r="BH86" s="2038"/>
      <c r="BI86" s="2038"/>
      <c r="BJ86" s="2038"/>
      <c r="BK86" s="39"/>
    </row>
    <row r="87" spans="1:63" s="2690" customFormat="1" ht="15.75" customHeight="1">
      <c r="A87" s="461"/>
      <c r="B87" s="3979" t="s">
        <v>4017</v>
      </c>
      <c r="C87" s="892"/>
      <c r="D87" s="892"/>
      <c r="E87" s="2112"/>
      <c r="F87" s="892"/>
      <c r="G87" s="892"/>
      <c r="H87" s="892"/>
      <c r="I87" s="892"/>
      <c r="J87" s="892"/>
      <c r="K87" s="892"/>
      <c r="L87" s="892"/>
      <c r="M87" s="892"/>
      <c r="N87" s="892"/>
      <c r="O87" s="892"/>
      <c r="P87" s="892"/>
      <c r="Q87" s="892"/>
      <c r="R87" s="892"/>
      <c r="S87" s="892"/>
      <c r="T87" s="892"/>
      <c r="U87" s="892"/>
      <c r="V87" s="892"/>
      <c r="W87" s="892"/>
      <c r="X87" s="892"/>
      <c r="Y87" s="892"/>
      <c r="Z87" s="892"/>
      <c r="AA87" s="892"/>
      <c r="AB87" s="892"/>
      <c r="AC87" s="892"/>
      <c r="AD87" s="892"/>
      <c r="AE87" s="892"/>
      <c r="AF87" s="892"/>
      <c r="AG87" s="892"/>
      <c r="AH87" s="892"/>
      <c r="AI87" s="892"/>
      <c r="AJ87" s="892"/>
      <c r="AK87" s="461"/>
      <c r="AL87" s="808"/>
      <c r="AM87" s="808"/>
      <c r="AN87" s="808"/>
      <c r="AO87" s="39"/>
      <c r="BA87" s="2038"/>
      <c r="BB87" s="2038"/>
      <c r="BC87" s="2038"/>
      <c r="BD87" s="2038"/>
      <c r="BE87" s="2038"/>
      <c r="BF87" s="2038"/>
      <c r="BG87" s="2038"/>
      <c r="BH87" s="2038"/>
      <c r="BI87" s="2038"/>
      <c r="BJ87" s="2038"/>
      <c r="BK87" s="39"/>
    </row>
    <row r="88" spans="1:63" s="2690" customFormat="1" ht="15.75" customHeight="1">
      <c r="A88" s="461"/>
      <c r="B88" s="2451" t="s">
        <v>4018</v>
      </c>
      <c r="C88" s="1260"/>
      <c r="D88" s="1260"/>
      <c r="E88" s="3613"/>
      <c r="F88" s="1260"/>
      <c r="G88" s="1260"/>
      <c r="H88" s="1260"/>
      <c r="I88" s="1260"/>
      <c r="J88" s="1260"/>
      <c r="K88" s="1260"/>
      <c r="L88" s="1260"/>
      <c r="M88" s="1260"/>
      <c r="N88" s="1260"/>
      <c r="O88" s="1260"/>
      <c r="P88" s="1260"/>
      <c r="Q88" s="1260"/>
      <c r="R88" s="1260"/>
      <c r="S88" s="1260"/>
      <c r="T88" s="4063"/>
      <c r="U88" s="1260"/>
      <c r="V88" s="1260"/>
      <c r="W88" s="1260"/>
      <c r="X88" s="1260"/>
      <c r="Y88" s="1260"/>
      <c r="Z88" s="1260"/>
      <c r="AA88" s="1260"/>
      <c r="AB88" s="1260"/>
      <c r="AC88" s="4063"/>
      <c r="AD88" s="1260"/>
      <c r="AE88" s="1260"/>
      <c r="AF88" s="1260"/>
      <c r="AG88" s="1260"/>
      <c r="AH88" s="1260"/>
      <c r="AI88" s="1260"/>
      <c r="AJ88" s="1260"/>
      <c r="AK88" s="461"/>
      <c r="AL88" s="808"/>
      <c r="AM88" s="808"/>
      <c r="AN88" s="808"/>
      <c r="AO88" s="39"/>
      <c r="BA88" s="2038"/>
      <c r="BB88" s="2038"/>
      <c r="BC88" s="2038"/>
      <c r="BD88" s="2038"/>
      <c r="BE88" s="2038"/>
      <c r="BF88" s="2038"/>
      <c r="BG88" s="2038"/>
      <c r="BH88" s="2038"/>
      <c r="BI88" s="2038"/>
      <c r="BJ88" s="2038"/>
      <c r="BK88" s="39"/>
    </row>
    <row r="89" spans="1:63" s="3526" customFormat="1" ht="48" customHeight="1">
      <c r="A89" s="4064"/>
      <c r="B89" s="8995" t="s">
        <v>4019</v>
      </c>
      <c r="C89" s="8997" t="s">
        <v>4020</v>
      </c>
      <c r="D89" s="7291"/>
      <c r="E89" s="7291"/>
      <c r="F89" s="7291"/>
      <c r="G89" s="7291"/>
      <c r="H89" s="7291"/>
      <c r="I89" s="7291"/>
      <c r="J89" s="7291"/>
      <c r="K89" s="7291"/>
      <c r="L89" s="7292"/>
      <c r="M89" s="8902" t="s">
        <v>4021</v>
      </c>
      <c r="N89" s="8999"/>
      <c r="O89" s="8999"/>
      <c r="P89" s="7366"/>
      <c r="Q89" s="8902" t="s">
        <v>4022</v>
      </c>
      <c r="R89" s="8999"/>
      <c r="S89" s="8999"/>
      <c r="T89" s="7366"/>
      <c r="U89" s="8902" t="s">
        <v>4023</v>
      </c>
      <c r="V89" s="8999"/>
      <c r="W89" s="8999"/>
      <c r="X89" s="7366"/>
      <c r="Y89" s="8902" t="s">
        <v>4024</v>
      </c>
      <c r="Z89" s="8999"/>
      <c r="AA89" s="8999"/>
      <c r="AB89" s="7366"/>
      <c r="AC89" s="8902" t="s">
        <v>4025</v>
      </c>
      <c r="AD89" s="8999"/>
      <c r="AE89" s="8999"/>
      <c r="AF89" s="7366"/>
      <c r="AG89" s="8902" t="s">
        <v>4026</v>
      </c>
      <c r="AH89" s="8999"/>
      <c r="AI89" s="8999"/>
      <c r="AJ89" s="8999"/>
      <c r="AK89" s="4064"/>
      <c r="AL89" s="808"/>
      <c r="AM89" s="808"/>
      <c r="AN89" s="808"/>
      <c r="AO89" s="649"/>
      <c r="BA89" s="2038"/>
      <c r="BB89" s="2038"/>
      <c r="BC89" s="2038"/>
      <c r="BD89" s="2038"/>
      <c r="BE89" s="2038"/>
      <c r="BF89" s="2038"/>
      <c r="BG89" s="2038"/>
      <c r="BH89" s="2038"/>
      <c r="BI89" s="2038"/>
      <c r="BJ89" s="2038"/>
      <c r="BK89" s="649"/>
    </row>
    <row r="90" spans="1:63" s="3526" customFormat="1" ht="15.75" customHeight="1">
      <c r="A90" s="4064"/>
      <c r="B90" s="8996"/>
      <c r="C90" s="6970"/>
      <c r="D90" s="6970"/>
      <c r="E90" s="6970"/>
      <c r="F90" s="6970"/>
      <c r="G90" s="6970"/>
      <c r="H90" s="6970"/>
      <c r="I90" s="6970"/>
      <c r="J90" s="6970"/>
      <c r="K90" s="6970"/>
      <c r="L90" s="8998"/>
      <c r="M90" s="7358"/>
      <c r="N90" s="7359"/>
      <c r="O90" s="7359"/>
      <c r="P90" s="9000"/>
      <c r="Q90" s="7358"/>
      <c r="R90" s="7359"/>
      <c r="S90" s="7359"/>
      <c r="T90" s="9000"/>
      <c r="U90" s="7358"/>
      <c r="V90" s="7359"/>
      <c r="W90" s="7359"/>
      <c r="X90" s="9000"/>
      <c r="Y90" s="7358"/>
      <c r="Z90" s="7359"/>
      <c r="AA90" s="7359"/>
      <c r="AB90" s="9000"/>
      <c r="AC90" s="7358"/>
      <c r="AD90" s="7359"/>
      <c r="AE90" s="7359"/>
      <c r="AF90" s="9000"/>
      <c r="AG90" s="7358"/>
      <c r="AH90" s="7359"/>
      <c r="AI90" s="7359"/>
      <c r="AJ90" s="7359"/>
      <c r="AK90" s="4064"/>
      <c r="AL90" s="808"/>
      <c r="AM90" s="808"/>
      <c r="AN90" s="808"/>
      <c r="AO90" s="649"/>
      <c r="BA90" s="2038"/>
      <c r="BB90" s="2038"/>
      <c r="BC90" s="2038"/>
      <c r="BD90" s="2038"/>
      <c r="BE90" s="2038"/>
      <c r="BF90" s="2038"/>
      <c r="BG90" s="2038"/>
      <c r="BH90" s="2038"/>
      <c r="BI90" s="2038"/>
      <c r="BJ90" s="2038"/>
      <c r="BK90" s="649"/>
    </row>
    <row r="91" spans="1:63" s="3526" customFormat="1" ht="15.75" customHeight="1">
      <c r="A91" s="4064"/>
      <c r="B91" s="4065">
        <v>31</v>
      </c>
      <c r="C91" s="892" t="s">
        <v>4027</v>
      </c>
      <c r="D91" s="1460"/>
      <c r="E91" s="2952"/>
      <c r="F91" s="1460"/>
      <c r="G91" s="1460"/>
      <c r="H91" s="1460"/>
      <c r="I91" s="1460"/>
      <c r="J91" s="1460"/>
      <c r="K91" s="1460"/>
      <c r="L91" s="1460"/>
      <c r="M91" s="7358"/>
      <c r="N91" s="7359"/>
      <c r="O91" s="7359"/>
      <c r="P91" s="9000"/>
      <c r="Q91" s="7358"/>
      <c r="R91" s="7359"/>
      <c r="S91" s="7359"/>
      <c r="T91" s="9000"/>
      <c r="U91" s="7358"/>
      <c r="V91" s="7359"/>
      <c r="W91" s="7359"/>
      <c r="X91" s="9000"/>
      <c r="Y91" s="7358"/>
      <c r="Z91" s="7359"/>
      <c r="AA91" s="7359"/>
      <c r="AB91" s="9000"/>
      <c r="AC91" s="7358"/>
      <c r="AD91" s="7359"/>
      <c r="AE91" s="7359"/>
      <c r="AF91" s="9000"/>
      <c r="AG91" s="7358"/>
      <c r="AH91" s="7359"/>
      <c r="AI91" s="7359"/>
      <c r="AJ91" s="7359"/>
      <c r="AK91" s="4064"/>
      <c r="AL91" s="808"/>
      <c r="AM91" s="808"/>
      <c r="AN91" s="808"/>
      <c r="AO91" s="649"/>
      <c r="BA91" s="2038"/>
      <c r="BB91" s="2038"/>
      <c r="BC91" s="2038"/>
      <c r="BD91" s="2038"/>
      <c r="BE91" s="2038"/>
      <c r="BF91" s="2038"/>
      <c r="BG91" s="2038"/>
      <c r="BH91" s="2038"/>
      <c r="BI91" s="2038"/>
      <c r="BJ91" s="2038"/>
      <c r="BK91" s="649"/>
    </row>
    <row r="92" spans="1:63" s="2690" customFormat="1" ht="15.75" customHeight="1">
      <c r="A92" s="461"/>
      <c r="B92" s="4065">
        <v>32</v>
      </c>
      <c r="C92" s="892" t="s">
        <v>4028</v>
      </c>
      <c r="D92" s="892"/>
      <c r="E92" s="2112"/>
      <c r="F92" s="892"/>
      <c r="G92" s="892"/>
      <c r="H92" s="892"/>
      <c r="I92" s="892"/>
      <c r="J92" s="892"/>
      <c r="K92" s="892"/>
      <c r="L92" s="892"/>
      <c r="M92" s="2184"/>
      <c r="N92" s="1259"/>
      <c r="O92" s="1259"/>
      <c r="P92" s="3506"/>
      <c r="Q92" s="2184"/>
      <c r="R92" s="1259"/>
      <c r="S92" s="1259"/>
      <c r="T92" s="3506"/>
      <c r="U92" s="2184"/>
      <c r="V92" s="1259"/>
      <c r="W92" s="1259"/>
      <c r="X92" s="3506"/>
      <c r="Y92" s="2184"/>
      <c r="Z92" s="1259"/>
      <c r="AA92" s="1259"/>
      <c r="AB92" s="3506"/>
      <c r="AC92" s="2184"/>
      <c r="AD92" s="1259"/>
      <c r="AE92" s="1259"/>
      <c r="AF92" s="3506"/>
      <c r="AG92" s="2184"/>
      <c r="AH92" s="1259"/>
      <c r="AI92" s="1259"/>
      <c r="AJ92" s="1259"/>
      <c r="AK92" s="461"/>
      <c r="AL92" s="808"/>
      <c r="AM92" s="808"/>
      <c r="AN92" s="808"/>
      <c r="AO92" s="39"/>
      <c r="BA92" s="2038"/>
      <c r="BB92" s="2038"/>
      <c r="BC92" s="2038"/>
      <c r="BD92" s="2038"/>
      <c r="BE92" s="2038"/>
      <c r="BF92" s="2038"/>
      <c r="BG92" s="2038"/>
      <c r="BH92" s="2038"/>
      <c r="BI92" s="2038"/>
      <c r="BJ92" s="2038"/>
      <c r="BK92" s="39"/>
    </row>
    <row r="93" spans="1:63" s="2690" customFormat="1" ht="15.75" customHeight="1" thickBot="1">
      <c r="A93" s="461"/>
      <c r="B93" s="3045"/>
      <c r="C93" s="892" t="s">
        <v>4029</v>
      </c>
      <c r="D93" s="892"/>
      <c r="E93" s="2645"/>
      <c r="F93" s="892"/>
      <c r="G93" s="892"/>
      <c r="H93" s="892"/>
      <c r="I93" s="892"/>
      <c r="J93" s="892"/>
      <c r="K93" s="892"/>
      <c r="L93" s="892"/>
      <c r="M93" s="9004"/>
      <c r="N93" s="9005"/>
      <c r="O93" s="9005"/>
      <c r="P93" s="9006"/>
      <c r="Q93" s="9004"/>
      <c r="R93" s="9005"/>
      <c r="S93" s="9005"/>
      <c r="T93" s="9006"/>
      <c r="U93" s="9004"/>
      <c r="V93" s="9005"/>
      <c r="W93" s="9005"/>
      <c r="X93" s="9006"/>
      <c r="Y93" s="9004"/>
      <c r="Z93" s="9005"/>
      <c r="AA93" s="9005"/>
      <c r="AB93" s="9006"/>
      <c r="AC93" s="9004"/>
      <c r="AD93" s="9005"/>
      <c r="AE93" s="9005"/>
      <c r="AF93" s="9006"/>
      <c r="AG93" s="9004"/>
      <c r="AH93" s="9005"/>
      <c r="AI93" s="9005"/>
      <c r="AJ93" s="9005"/>
      <c r="AK93" s="461"/>
      <c r="AL93" s="808"/>
      <c r="AM93" s="808"/>
      <c r="AN93" s="808"/>
      <c r="AO93" s="39"/>
      <c r="BA93" s="2038"/>
      <c r="BB93" s="2038"/>
      <c r="BC93" s="2038"/>
      <c r="BD93" s="2038"/>
      <c r="BE93" s="2038"/>
      <c r="BF93" s="2038"/>
      <c r="BG93" s="2038"/>
      <c r="BH93" s="2038"/>
      <c r="BI93" s="2038"/>
      <c r="BJ93" s="2038"/>
      <c r="BK93" s="39"/>
    </row>
    <row r="94" spans="1:63" s="2690" customFormat="1" ht="15.75" customHeight="1">
      <c r="A94" s="461"/>
      <c r="B94" s="4065">
        <v>33</v>
      </c>
      <c r="C94" s="892" t="s">
        <v>4030</v>
      </c>
      <c r="D94" s="892"/>
      <c r="E94" s="2112"/>
      <c r="F94" s="892"/>
      <c r="G94" s="892"/>
      <c r="H94" s="892"/>
      <c r="I94" s="892"/>
      <c r="J94" s="892"/>
      <c r="K94" s="892"/>
      <c r="L94" s="892"/>
      <c r="M94" s="3965"/>
      <c r="N94" s="1119"/>
      <c r="O94" s="1119"/>
      <c r="P94" s="3964"/>
      <c r="Q94" s="3965"/>
      <c r="R94" s="1119"/>
      <c r="S94" s="1119"/>
      <c r="T94" s="3964"/>
      <c r="U94" s="3965"/>
      <c r="V94" s="1119"/>
      <c r="W94" s="1119"/>
      <c r="X94" s="3964"/>
      <c r="Y94" s="3965"/>
      <c r="Z94" s="1119"/>
      <c r="AA94" s="1119"/>
      <c r="AB94" s="3964"/>
      <c r="AC94" s="3965"/>
      <c r="AD94" s="1119"/>
      <c r="AE94" s="1119"/>
      <c r="AF94" s="3964"/>
      <c r="AG94" s="3965"/>
      <c r="AH94" s="1119"/>
      <c r="AI94" s="1119"/>
      <c r="AJ94" s="1119"/>
      <c r="AK94" s="461"/>
      <c r="AL94" s="808"/>
      <c r="AM94" s="808"/>
      <c r="AN94" s="808"/>
      <c r="AO94" s="39"/>
      <c r="BA94" s="2038"/>
      <c r="BB94" s="2038"/>
      <c r="BC94" s="2038"/>
      <c r="BD94" s="2038"/>
      <c r="BE94" s="2038"/>
      <c r="BF94" s="2038"/>
      <c r="BG94" s="2038"/>
      <c r="BH94" s="2038"/>
      <c r="BI94" s="2038"/>
      <c r="BJ94" s="2038"/>
      <c r="BK94" s="39"/>
    </row>
    <row r="95" spans="1:63" s="2690" customFormat="1" ht="15.75" customHeight="1" thickBot="1">
      <c r="A95" s="461"/>
      <c r="B95" s="3045"/>
      <c r="C95" s="892" t="s">
        <v>4031</v>
      </c>
      <c r="D95" s="892"/>
      <c r="E95" s="2645"/>
      <c r="F95" s="892"/>
      <c r="G95" s="892"/>
      <c r="H95" s="892"/>
      <c r="I95" s="892"/>
      <c r="J95" s="892"/>
      <c r="K95" s="892"/>
      <c r="L95" s="892"/>
      <c r="M95" s="9001" t="str">
        <f>IF(OR(M90&lt;&gt;"",M91&lt;&gt;"",M93&lt;&gt;""),SUM(ROUND(M90,0),ROUND(M91,0),ROUND(M93,0)),"")</f>
        <v/>
      </c>
      <c r="N95" s="9002"/>
      <c r="O95" s="9002"/>
      <c r="P95" s="9003"/>
      <c r="Q95" s="9001" t="str">
        <f>IF(OR(Q90&lt;&gt;"",Q91&lt;&gt;"",Q93&lt;&gt;""),SUM(ROUND(Q90,0),ROUND(Q91,0),ROUND(Q93,0)),"")</f>
        <v/>
      </c>
      <c r="R95" s="9002"/>
      <c r="S95" s="9002"/>
      <c r="T95" s="9003"/>
      <c r="U95" s="9001" t="str">
        <f>IF(OR(U90&lt;&gt;"",U91&lt;&gt;"",U93&lt;&gt;""),SUM(ROUND(U90,0),ROUND(U91,0),ROUND(U93,0)),"")</f>
        <v/>
      </c>
      <c r="V95" s="9002"/>
      <c r="W95" s="9002"/>
      <c r="X95" s="9003"/>
      <c r="Y95" s="9001" t="str">
        <f>IF(OR(Y90&lt;&gt;"",Y91&lt;&gt;"",Y93&lt;&gt;""),SUM(ROUND(Y90,0),ROUND(Y91,0),ROUND(Y93,0)),"")</f>
        <v/>
      </c>
      <c r="Z95" s="9002"/>
      <c r="AA95" s="9002"/>
      <c r="AB95" s="9003"/>
      <c r="AC95" s="9001" t="str">
        <f>IF(OR(AC90&lt;&gt;"",AC91&lt;&gt;"",AC93&lt;&gt;""),SUM(ROUND(AC90,0),ROUND(AC91,0),ROUND(AC93,0)),"")</f>
        <v/>
      </c>
      <c r="AD95" s="9002"/>
      <c r="AE95" s="9002"/>
      <c r="AF95" s="9003"/>
      <c r="AG95" s="9001" t="str">
        <f>IF(OR(AG90&lt;&gt;"",AG91&lt;&gt;"",AG93&lt;&gt;""),SUM(ROUND(AG90,0),ROUND(AG91,0),ROUND(AG93,0)),"")</f>
        <v/>
      </c>
      <c r="AH95" s="9002"/>
      <c r="AI95" s="9002"/>
      <c r="AJ95" s="9002"/>
      <c r="AK95" s="461"/>
      <c r="AL95" s="808"/>
      <c r="AM95" s="808"/>
      <c r="AN95" s="808"/>
      <c r="AO95" s="39"/>
      <c r="BA95" s="2038"/>
      <c r="BB95" s="2038"/>
      <c r="BC95" s="2038"/>
      <c r="BD95" s="2038"/>
      <c r="BE95" s="2038"/>
      <c r="BF95" s="2038"/>
      <c r="BG95" s="2038"/>
      <c r="BH95" s="2038"/>
      <c r="BI95" s="2038"/>
      <c r="BJ95" s="2038"/>
      <c r="BK95" s="39"/>
    </row>
    <row r="96" spans="1:63" s="2690" customFormat="1" ht="12.75" customHeight="1">
      <c r="A96" s="461"/>
      <c r="B96" s="8996">
        <v>34</v>
      </c>
      <c r="C96" s="6868" t="s">
        <v>4032</v>
      </c>
      <c r="D96" s="6868"/>
      <c r="E96" s="6868"/>
      <c r="F96" s="6868"/>
      <c r="G96" s="6868"/>
      <c r="H96" s="6868"/>
      <c r="I96" s="6868"/>
      <c r="J96" s="6868"/>
      <c r="K96" s="6868"/>
      <c r="L96" s="6868"/>
      <c r="M96" s="9007" t="s">
        <v>608</v>
      </c>
      <c r="N96" s="9008"/>
      <c r="O96" s="9009" t="s">
        <v>609</v>
      </c>
      <c r="P96" s="9010"/>
      <c r="Q96" s="9007" t="s">
        <v>608</v>
      </c>
      <c r="R96" s="9008"/>
      <c r="S96" s="9009" t="s">
        <v>609</v>
      </c>
      <c r="T96" s="9010"/>
      <c r="U96" s="9007" t="s">
        <v>608</v>
      </c>
      <c r="V96" s="9008"/>
      <c r="W96" s="9009" t="s">
        <v>609</v>
      </c>
      <c r="X96" s="9010"/>
      <c r="Y96" s="9007" t="s">
        <v>608</v>
      </c>
      <c r="Z96" s="9008"/>
      <c r="AA96" s="9009" t="s">
        <v>609</v>
      </c>
      <c r="AB96" s="9010"/>
      <c r="AC96" s="9007" t="s">
        <v>608</v>
      </c>
      <c r="AD96" s="9008"/>
      <c r="AE96" s="9009" t="s">
        <v>609</v>
      </c>
      <c r="AF96" s="9010"/>
      <c r="AG96" s="9007" t="s">
        <v>608</v>
      </c>
      <c r="AH96" s="9008"/>
      <c r="AI96" s="9009" t="s">
        <v>609</v>
      </c>
      <c r="AJ96" s="9011"/>
      <c r="AK96" s="461"/>
      <c r="AL96" s="808"/>
      <c r="AM96" s="808"/>
      <c r="AN96" s="808"/>
      <c r="AO96" s="39"/>
      <c r="BA96" s="2038"/>
      <c r="BB96" s="2038"/>
      <c r="BC96" s="2038"/>
      <c r="BD96" s="2038"/>
      <c r="BE96" s="2038"/>
      <c r="BF96" s="2038"/>
      <c r="BG96" s="2038"/>
      <c r="BH96" s="2038"/>
      <c r="BI96" s="2038"/>
      <c r="BJ96" s="2038"/>
      <c r="BK96" s="39"/>
    </row>
    <row r="97" spans="1:63" s="2690" customFormat="1" ht="21.75" customHeight="1">
      <c r="A97" s="461"/>
      <c r="B97" s="8996"/>
      <c r="C97" s="6868"/>
      <c r="D97" s="6868"/>
      <c r="E97" s="6868"/>
      <c r="F97" s="6868"/>
      <c r="G97" s="6868"/>
      <c r="H97" s="6868"/>
      <c r="I97" s="6868"/>
      <c r="J97" s="6868"/>
      <c r="K97" s="6868"/>
      <c r="L97" s="6868"/>
      <c r="M97" s="9014"/>
      <c r="N97" s="9015"/>
      <c r="O97" s="9012"/>
      <c r="P97" s="9013"/>
      <c r="Q97" s="9014"/>
      <c r="R97" s="9015"/>
      <c r="S97" s="9012"/>
      <c r="T97" s="9013"/>
      <c r="U97" s="9014"/>
      <c r="V97" s="9015"/>
      <c r="W97" s="9012"/>
      <c r="X97" s="9013"/>
      <c r="Y97" s="9014"/>
      <c r="Z97" s="9015"/>
      <c r="AA97" s="9012"/>
      <c r="AB97" s="9013"/>
      <c r="AC97" s="9014"/>
      <c r="AD97" s="9015"/>
      <c r="AE97" s="9012"/>
      <c r="AF97" s="9013"/>
      <c r="AG97" s="9014"/>
      <c r="AH97" s="9015"/>
      <c r="AI97" s="9012"/>
      <c r="AJ97" s="9016"/>
      <c r="AK97" s="461"/>
      <c r="AL97" s="808"/>
      <c r="AM97" s="808"/>
      <c r="AN97" s="808"/>
      <c r="AO97" s="39"/>
      <c r="BA97" s="2038"/>
      <c r="BB97" s="2038"/>
      <c r="BC97" s="2038"/>
      <c r="BD97" s="2038"/>
      <c r="BE97" s="2038"/>
      <c r="BF97" s="2038"/>
      <c r="BG97" s="2038"/>
      <c r="BH97" s="2038"/>
      <c r="BI97" s="2038"/>
      <c r="BJ97" s="2038"/>
      <c r="BK97" s="39"/>
    </row>
    <row r="98" spans="1:63" s="2690" customFormat="1" ht="30" customHeight="1">
      <c r="A98" s="461"/>
      <c r="B98" s="4065">
        <v>35</v>
      </c>
      <c r="C98" s="8752" t="s">
        <v>4033</v>
      </c>
      <c r="D98" s="9017"/>
      <c r="E98" s="9017"/>
      <c r="F98" s="9017"/>
      <c r="G98" s="9017"/>
      <c r="H98" s="9017"/>
      <c r="I98" s="9017"/>
      <c r="J98" s="9017"/>
      <c r="K98" s="9017"/>
      <c r="L98" s="9017"/>
      <c r="M98" s="9014"/>
      <c r="N98" s="9015"/>
      <c r="O98" s="9012"/>
      <c r="P98" s="9013"/>
      <c r="Q98" s="9014"/>
      <c r="R98" s="9015"/>
      <c r="S98" s="9012"/>
      <c r="T98" s="9013"/>
      <c r="U98" s="9014"/>
      <c r="V98" s="9015"/>
      <c r="W98" s="9012"/>
      <c r="X98" s="9013"/>
      <c r="Y98" s="9014"/>
      <c r="Z98" s="9015"/>
      <c r="AA98" s="9012"/>
      <c r="AB98" s="9013"/>
      <c r="AC98" s="9014"/>
      <c r="AD98" s="9015"/>
      <c r="AE98" s="9012"/>
      <c r="AF98" s="9013"/>
      <c r="AG98" s="9014"/>
      <c r="AH98" s="9015"/>
      <c r="AI98" s="9012"/>
      <c r="AJ98" s="9016"/>
      <c r="AK98" s="461"/>
      <c r="AL98" s="808"/>
      <c r="AM98" s="808"/>
      <c r="AN98" s="808"/>
      <c r="AO98" s="39"/>
      <c r="BA98" s="2038"/>
      <c r="BB98" s="2038"/>
      <c r="BC98" s="2038"/>
      <c r="BD98" s="2038"/>
      <c r="BE98" s="2038"/>
      <c r="BF98" s="2038"/>
      <c r="BG98" s="2038"/>
      <c r="BH98" s="2038"/>
      <c r="BI98" s="2038"/>
      <c r="BJ98" s="2038"/>
      <c r="BK98" s="39"/>
    </row>
    <row r="99" spans="1:63" s="2690" customFormat="1" ht="21.75" customHeight="1">
      <c r="A99" s="461"/>
      <c r="B99" s="5102">
        <v>36</v>
      </c>
      <c r="C99" s="3504" t="s">
        <v>4034</v>
      </c>
      <c r="D99" s="3504"/>
      <c r="E99" s="3613"/>
      <c r="F99" s="1260"/>
      <c r="G99" s="1260"/>
      <c r="H99" s="1260"/>
      <c r="I99" s="1260"/>
      <c r="J99" s="1260"/>
      <c r="K99" s="1260"/>
      <c r="L99" s="1260"/>
      <c r="M99" s="9014"/>
      <c r="N99" s="9015"/>
      <c r="O99" s="9012"/>
      <c r="P99" s="9013"/>
      <c r="Q99" s="9014"/>
      <c r="R99" s="9015"/>
      <c r="S99" s="9012"/>
      <c r="T99" s="9013"/>
      <c r="U99" s="9014"/>
      <c r="V99" s="9015"/>
      <c r="W99" s="9012"/>
      <c r="X99" s="9013"/>
      <c r="Y99" s="9014"/>
      <c r="Z99" s="9015"/>
      <c r="AA99" s="9012"/>
      <c r="AB99" s="9013"/>
      <c r="AC99" s="9014"/>
      <c r="AD99" s="9015"/>
      <c r="AE99" s="9012"/>
      <c r="AF99" s="9013"/>
      <c r="AG99" s="9014"/>
      <c r="AH99" s="9015"/>
      <c r="AI99" s="9012"/>
      <c r="AJ99" s="9016"/>
      <c r="AK99" s="461"/>
      <c r="AL99" s="808"/>
      <c r="AM99" s="808"/>
      <c r="AN99" s="808"/>
      <c r="AO99" s="39"/>
      <c r="BA99" s="2038"/>
      <c r="BB99" s="2038"/>
      <c r="BC99" s="2038"/>
      <c r="BD99" s="2038"/>
      <c r="BE99" s="2038"/>
      <c r="BF99" s="2038"/>
      <c r="BG99" s="2038"/>
      <c r="BH99" s="2038"/>
      <c r="BI99" s="2038"/>
      <c r="BJ99" s="2038"/>
      <c r="BK99" s="39"/>
    </row>
    <row r="100" spans="1:63" s="2690" customFormat="1" ht="15.75" customHeight="1">
      <c r="A100" s="461"/>
      <c r="B100" s="1365" t="s">
        <v>4035</v>
      </c>
      <c r="C100" s="4061"/>
      <c r="D100" s="4061"/>
      <c r="E100" s="4062"/>
      <c r="F100" s="4061"/>
      <c r="G100" s="4061"/>
      <c r="H100" s="4061"/>
      <c r="I100" s="4061"/>
      <c r="J100" s="4061"/>
      <c r="K100" s="4061"/>
      <c r="L100" s="4061"/>
      <c r="M100" s="4061"/>
      <c r="N100" s="4061"/>
      <c r="O100" s="4061"/>
      <c r="P100" s="4061"/>
      <c r="Q100" s="4061"/>
      <c r="R100" s="4061"/>
      <c r="S100" s="4061"/>
      <c r="T100" s="4061"/>
      <c r="U100" s="4061"/>
      <c r="V100" s="4061"/>
      <c r="W100" s="4061"/>
      <c r="X100" s="4061"/>
      <c r="Y100" s="4061"/>
      <c r="Z100" s="4061"/>
      <c r="AA100" s="4061"/>
      <c r="AB100" s="4061"/>
      <c r="AC100" s="4061"/>
      <c r="AD100" s="4061"/>
      <c r="AE100" s="4061"/>
      <c r="AF100" s="4061"/>
      <c r="AG100" s="4061"/>
      <c r="AH100" s="4061"/>
      <c r="AI100" s="4061"/>
      <c r="AJ100" s="4061"/>
      <c r="AK100" s="461"/>
      <c r="AL100" s="808"/>
      <c r="AM100" s="808"/>
      <c r="AN100" s="808"/>
      <c r="AO100" s="39"/>
      <c r="BA100" s="2038"/>
      <c r="BB100" s="2038"/>
      <c r="BC100" s="2038"/>
      <c r="BD100" s="2038"/>
      <c r="BE100" s="2038"/>
      <c r="BF100" s="2038"/>
      <c r="BG100" s="2038"/>
      <c r="BH100" s="2038"/>
      <c r="BI100" s="2038"/>
      <c r="BJ100" s="2038"/>
      <c r="BK100" s="39"/>
    </row>
    <row r="101" spans="1:63" s="3526" customFormat="1" ht="15.75" customHeight="1">
      <c r="A101" s="4064"/>
      <c r="B101" s="4066" t="s">
        <v>4036</v>
      </c>
      <c r="C101" s="1460"/>
      <c r="D101" s="1460"/>
      <c r="E101" s="2952"/>
      <c r="F101" s="1460"/>
      <c r="G101" s="1460"/>
      <c r="H101" s="1460"/>
      <c r="I101" s="1460"/>
      <c r="J101" s="1460"/>
      <c r="K101" s="1460"/>
      <c r="L101" s="1460"/>
      <c r="M101" s="1460"/>
      <c r="N101" s="1460"/>
      <c r="O101" s="1460"/>
      <c r="P101" s="1460"/>
      <c r="Q101" s="1460"/>
      <c r="R101" s="1460"/>
      <c r="S101" s="1460"/>
      <c r="T101" s="1460"/>
      <c r="U101" s="1460"/>
      <c r="V101" s="1460"/>
      <c r="W101" s="1460"/>
      <c r="X101" s="1460"/>
      <c r="Y101" s="1460"/>
      <c r="Z101" s="1460"/>
      <c r="AA101" s="1460"/>
      <c r="AB101" s="1460"/>
      <c r="AC101" s="1460"/>
      <c r="AD101" s="1460"/>
      <c r="AE101" s="1460"/>
      <c r="AF101" s="1460"/>
      <c r="AG101" s="1460"/>
      <c r="AH101" s="1460"/>
      <c r="AI101" s="1460"/>
      <c r="AJ101" s="1460"/>
      <c r="AK101" s="4064"/>
      <c r="AL101" s="808"/>
      <c r="AM101" s="808"/>
      <c r="AN101" s="808"/>
      <c r="AO101" s="649"/>
      <c r="BA101" s="2038"/>
      <c r="BB101" s="2038"/>
      <c r="BC101" s="2038"/>
      <c r="BD101" s="2038"/>
      <c r="BE101" s="2038"/>
      <c r="BF101" s="2038"/>
      <c r="BG101" s="2038"/>
      <c r="BH101" s="2038"/>
      <c r="BI101" s="2038"/>
      <c r="BJ101" s="2038"/>
      <c r="BK101" s="649"/>
    </row>
    <row r="102" spans="1:63" s="2690" customFormat="1" ht="15.75" customHeight="1">
      <c r="A102" s="461"/>
      <c r="B102" s="4067" t="s">
        <v>4037</v>
      </c>
      <c r="C102" s="3594"/>
      <c r="D102" s="3594"/>
      <c r="E102" s="3594"/>
      <c r="F102" s="3594"/>
      <c r="G102" s="3594"/>
      <c r="H102" s="3594"/>
      <c r="I102" s="3594"/>
      <c r="J102" s="3594"/>
      <c r="K102" s="3594"/>
      <c r="L102" s="3594"/>
      <c r="M102" s="3594"/>
      <c r="N102" s="3594"/>
      <c r="O102" s="3594"/>
      <c r="P102" s="3594"/>
      <c r="Q102" s="3594"/>
      <c r="R102" s="3594"/>
      <c r="S102" s="3594"/>
      <c r="T102" s="3594"/>
      <c r="U102" s="3594"/>
      <c r="V102" s="3594"/>
      <c r="W102" s="3594"/>
      <c r="X102" s="3594"/>
      <c r="Y102" s="3594"/>
      <c r="Z102" s="3594"/>
      <c r="AA102" s="3594"/>
      <c r="AB102" s="3594"/>
      <c r="AC102" s="3594"/>
      <c r="AD102" s="3594"/>
      <c r="AE102" s="3594"/>
      <c r="AF102" s="3594"/>
      <c r="AG102" s="3594"/>
      <c r="AH102" s="3594"/>
      <c r="AI102" s="3594"/>
      <c r="AJ102" s="3594"/>
      <c r="AK102" s="461"/>
      <c r="AL102" s="808"/>
      <c r="AM102" s="808"/>
      <c r="AN102" s="808"/>
      <c r="AO102" s="39"/>
      <c r="BA102" s="2038"/>
      <c r="BB102" s="2038"/>
      <c r="BC102" s="2038"/>
      <c r="BD102" s="2038"/>
      <c r="BE102" s="2038"/>
      <c r="BF102" s="2038"/>
      <c r="BG102" s="2038"/>
      <c r="BH102" s="2038"/>
      <c r="BI102" s="2038"/>
      <c r="BJ102" s="2038"/>
      <c r="BK102" s="39"/>
    </row>
    <row r="103" spans="1:63" s="3525" customFormat="1" ht="15.75" customHeight="1">
      <c r="A103" s="3497"/>
      <c r="B103" s="2358">
        <v>37</v>
      </c>
      <c r="C103" s="3172" t="s">
        <v>4038</v>
      </c>
      <c r="D103" s="3172"/>
      <c r="E103" s="4068"/>
      <c r="F103" s="3172"/>
      <c r="G103" s="3172"/>
      <c r="H103" s="3172"/>
      <c r="I103" s="3172"/>
      <c r="J103" s="3172"/>
      <c r="K103" s="3172"/>
      <c r="L103" s="3172"/>
      <c r="M103" s="3172"/>
      <c r="N103" s="3172"/>
      <c r="O103" s="3172"/>
      <c r="P103" s="3172"/>
      <c r="Q103" s="3172"/>
      <c r="R103" s="3172"/>
      <c r="S103" s="3172"/>
      <c r="T103" s="3172"/>
      <c r="U103" s="3172"/>
      <c r="V103" s="3172"/>
      <c r="W103" s="3172"/>
      <c r="X103" s="3172"/>
      <c r="Y103" s="3172"/>
      <c r="Z103" s="3172"/>
      <c r="AA103" s="3172"/>
      <c r="AB103" s="3172"/>
      <c r="AC103" s="3172"/>
      <c r="AD103" s="3172"/>
      <c r="AE103" s="3172"/>
      <c r="AF103" s="3172"/>
      <c r="AG103" s="7535" t="s">
        <v>4039</v>
      </c>
      <c r="AH103" s="9027"/>
      <c r="AI103" s="7535" t="s">
        <v>4040</v>
      </c>
      <c r="AJ103" s="9027"/>
      <c r="AK103" s="3497"/>
      <c r="AL103" s="808"/>
      <c r="AM103" s="808"/>
      <c r="AN103" s="808"/>
      <c r="AO103" s="3499"/>
      <c r="BA103" s="2038"/>
      <c r="BB103" s="2038"/>
      <c r="BC103" s="2038"/>
      <c r="BD103" s="2038"/>
      <c r="BE103" s="2038"/>
      <c r="BF103" s="2038"/>
      <c r="BG103" s="2038"/>
      <c r="BH103" s="2038"/>
      <c r="BI103" s="2038"/>
      <c r="BJ103" s="2038"/>
      <c r="BK103" s="3499"/>
    </row>
    <row r="104" spans="1:63" s="3525" customFormat="1" ht="15.75" customHeight="1">
      <c r="A104" s="3497"/>
      <c r="B104" s="4069"/>
      <c r="C104" s="3172" t="s">
        <v>4041</v>
      </c>
      <c r="D104" s="3172"/>
      <c r="E104" s="4070"/>
      <c r="F104" s="3172"/>
      <c r="G104" s="3172"/>
      <c r="H104" s="3172"/>
      <c r="I104" s="3172"/>
      <c r="J104" s="3172"/>
      <c r="K104" s="3172"/>
      <c r="L104" s="3172"/>
      <c r="M104" s="3172"/>
      <c r="N104" s="3172"/>
      <c r="O104" s="3172"/>
      <c r="P104" s="3172"/>
      <c r="Q104" s="3172"/>
      <c r="R104" s="3172"/>
      <c r="S104" s="3172"/>
      <c r="T104" s="3172"/>
      <c r="U104" s="3172"/>
      <c r="V104" s="3172"/>
      <c r="W104" s="3172"/>
      <c r="X104" s="3172"/>
      <c r="Y104" s="3172"/>
      <c r="Z104" s="3172"/>
      <c r="AA104" s="3172"/>
      <c r="AB104" s="3172"/>
      <c r="AC104" s="3172"/>
      <c r="AD104" s="3172"/>
      <c r="AE104" s="3172"/>
      <c r="AF104" s="1128" t="s">
        <v>4042</v>
      </c>
      <c r="AG104" s="8990"/>
      <c r="AH104" s="8991"/>
      <c r="AI104" s="8990"/>
      <c r="AJ104" s="8991"/>
      <c r="AK104" s="3497"/>
      <c r="AL104" s="808"/>
      <c r="AM104" s="808"/>
      <c r="AN104" s="808"/>
      <c r="AO104" s="3499"/>
      <c r="BA104" s="2038"/>
      <c r="BB104" s="2038"/>
      <c r="BC104" s="2038"/>
      <c r="BD104" s="2038"/>
      <c r="BE104" s="2038"/>
      <c r="BF104" s="2038"/>
      <c r="BG104" s="2038"/>
      <c r="BH104" s="2038"/>
      <c r="BI104" s="2038"/>
      <c r="BJ104" s="2038"/>
      <c r="BK104" s="3499"/>
    </row>
    <row r="105" spans="1:63" s="2690" customFormat="1" ht="15.75" customHeight="1">
      <c r="A105" s="461"/>
      <c r="B105" s="2358">
        <v>38</v>
      </c>
      <c r="C105" s="3172" t="s">
        <v>4043</v>
      </c>
      <c r="D105" s="3172"/>
      <c r="E105" s="3172"/>
      <c r="F105" s="3172"/>
      <c r="G105" s="3172"/>
      <c r="H105" s="3172"/>
      <c r="I105" s="3172"/>
      <c r="J105" s="3172"/>
      <c r="K105" s="3172"/>
      <c r="L105" s="3172"/>
      <c r="M105" s="3172"/>
      <c r="N105" s="3172"/>
      <c r="O105" s="3172"/>
      <c r="P105" s="3172"/>
      <c r="Q105" s="3172"/>
      <c r="R105" s="3172"/>
      <c r="S105" s="3172"/>
      <c r="T105" s="3172"/>
      <c r="U105" s="3172"/>
      <c r="V105" s="3172"/>
      <c r="W105" s="3172"/>
      <c r="X105" s="3172"/>
      <c r="Y105" s="3172"/>
      <c r="Z105" s="3172"/>
      <c r="AA105" s="3172"/>
      <c r="AB105" s="3172"/>
      <c r="AC105" s="3172"/>
      <c r="AD105" s="3172"/>
      <c r="AE105" s="3172"/>
      <c r="AF105" s="3172"/>
      <c r="AG105" s="9018"/>
      <c r="AH105" s="9019"/>
      <c r="AI105" s="9022"/>
      <c r="AJ105" s="9023"/>
      <c r="AK105" s="461"/>
      <c r="AL105" s="808"/>
      <c r="AM105" s="808"/>
      <c r="AN105" s="808"/>
      <c r="AO105" s="39"/>
      <c r="BA105" s="2038"/>
      <c r="BB105" s="2038"/>
      <c r="BC105" s="2038"/>
      <c r="BD105" s="2038"/>
      <c r="BE105" s="2038"/>
      <c r="BF105" s="2038"/>
      <c r="BG105" s="2038"/>
      <c r="BH105" s="2038"/>
      <c r="BI105" s="2038"/>
      <c r="BJ105" s="2038"/>
      <c r="BK105" s="39"/>
    </row>
    <row r="106" spans="1:63" s="2690" customFormat="1" ht="15.75" customHeight="1">
      <c r="A106" s="461"/>
      <c r="B106" s="4033"/>
      <c r="C106" s="3172" t="s">
        <v>4044</v>
      </c>
      <c r="D106" s="892"/>
      <c r="E106" s="892"/>
      <c r="F106" s="892"/>
      <c r="G106" s="892"/>
      <c r="H106" s="892"/>
      <c r="I106" s="892"/>
      <c r="J106" s="892"/>
      <c r="K106" s="892"/>
      <c r="L106" s="892"/>
      <c r="M106" s="892"/>
      <c r="N106" s="892"/>
      <c r="O106" s="892"/>
      <c r="P106" s="892"/>
      <c r="Q106" s="892"/>
      <c r="R106" s="892"/>
      <c r="S106" s="892"/>
      <c r="T106" s="892"/>
      <c r="U106" s="892"/>
      <c r="V106" s="892"/>
      <c r="W106" s="892"/>
      <c r="X106" s="892"/>
      <c r="Y106" s="892"/>
      <c r="Z106" s="892"/>
      <c r="AA106" s="892"/>
      <c r="AB106" s="1579"/>
      <c r="AC106" s="1579"/>
      <c r="AD106" s="892"/>
      <c r="AE106" s="892"/>
      <c r="AF106" s="892"/>
      <c r="AG106" s="9020"/>
      <c r="AH106" s="9021"/>
      <c r="AI106" s="9024"/>
      <c r="AJ106" s="9025"/>
      <c r="AK106" s="461"/>
      <c r="AL106" s="808"/>
      <c r="AM106" s="808"/>
      <c r="AN106" s="808"/>
      <c r="AO106" s="39"/>
      <c r="BA106" s="2038"/>
      <c r="BB106" s="2038"/>
      <c r="BC106" s="2038"/>
      <c r="BD106" s="2038"/>
      <c r="BE106" s="2038"/>
      <c r="BF106" s="2038"/>
      <c r="BG106" s="2038"/>
      <c r="BH106" s="2038"/>
      <c r="BI106" s="2038"/>
      <c r="BJ106" s="2038"/>
      <c r="BK106" s="39"/>
    </row>
    <row r="107" spans="1:63" s="2690" customFormat="1" ht="15.75" customHeight="1">
      <c r="A107" s="461"/>
      <c r="B107" s="2358">
        <v>39</v>
      </c>
      <c r="C107" s="3172" t="s">
        <v>4045</v>
      </c>
      <c r="D107" s="2112"/>
      <c r="E107" s="2112"/>
      <c r="F107" s="892"/>
      <c r="G107" s="892"/>
      <c r="H107" s="892"/>
      <c r="I107" s="892"/>
      <c r="J107" s="892"/>
      <c r="K107" s="892"/>
      <c r="L107" s="892"/>
      <c r="M107" s="892"/>
      <c r="N107" s="892"/>
      <c r="O107" s="892"/>
      <c r="P107" s="892"/>
      <c r="Q107" s="892"/>
      <c r="R107" s="4071"/>
      <c r="S107" s="892"/>
      <c r="T107" s="892"/>
      <c r="U107" s="892"/>
      <c r="V107" s="892"/>
      <c r="W107" s="892"/>
      <c r="X107" s="892"/>
      <c r="Y107" s="892"/>
      <c r="Z107" s="2167"/>
      <c r="AA107" s="2167"/>
      <c r="AB107" s="892"/>
      <c r="AC107" s="892"/>
      <c r="AD107" s="3622"/>
      <c r="AE107" s="3983"/>
      <c r="AF107" s="1128" t="s">
        <v>1009</v>
      </c>
      <c r="AG107" s="8990"/>
      <c r="AH107" s="8991"/>
      <c r="AI107" s="8990"/>
      <c r="AJ107" s="8991"/>
      <c r="AK107" s="461"/>
      <c r="AL107" s="808"/>
      <c r="AM107" s="808"/>
      <c r="AN107" s="808"/>
      <c r="AO107" s="39"/>
      <c r="BA107" s="2038"/>
      <c r="BB107" s="2038"/>
      <c r="BC107" s="2038"/>
      <c r="BD107" s="2038"/>
      <c r="BE107" s="2038"/>
      <c r="BF107" s="2038"/>
      <c r="BG107" s="2038"/>
      <c r="BH107" s="2038"/>
      <c r="BI107" s="2038"/>
      <c r="BJ107" s="2038"/>
      <c r="BK107" s="39"/>
    </row>
    <row r="108" spans="1:63" s="2690" customFormat="1" ht="15.75" customHeight="1">
      <c r="A108" s="461"/>
      <c r="B108" s="2358">
        <v>40</v>
      </c>
      <c r="C108" s="3172" t="s">
        <v>4046</v>
      </c>
      <c r="D108" s="2112"/>
      <c r="E108" s="892"/>
      <c r="F108" s="892"/>
      <c r="G108" s="892"/>
      <c r="H108" s="892"/>
      <c r="I108" s="892"/>
      <c r="J108" s="892"/>
      <c r="K108" s="892"/>
      <c r="L108" s="892"/>
      <c r="M108" s="892"/>
      <c r="N108" s="892"/>
      <c r="O108" s="892"/>
      <c r="P108" s="892"/>
      <c r="Q108" s="892"/>
      <c r="R108" s="892"/>
      <c r="S108" s="892"/>
      <c r="T108" s="892"/>
      <c r="U108" s="892"/>
      <c r="V108" s="892"/>
      <c r="W108" s="892"/>
      <c r="X108" s="892"/>
      <c r="Y108" s="892"/>
      <c r="Z108" s="2167"/>
      <c r="AA108" s="2167"/>
      <c r="AB108" s="892"/>
      <c r="AC108" s="1585"/>
      <c r="AD108" s="3622"/>
      <c r="AE108" s="3983"/>
      <c r="AF108" s="4072"/>
      <c r="AG108" s="9022"/>
      <c r="AH108" s="9022"/>
      <c r="AI108" s="9022"/>
      <c r="AJ108" s="9018"/>
      <c r="AK108" s="461"/>
      <c r="AL108" s="808"/>
      <c r="AM108" s="808"/>
      <c r="AN108" s="808"/>
      <c r="AO108" s="39"/>
      <c r="BA108" s="2038"/>
      <c r="BB108" s="2038"/>
      <c r="BC108" s="2038"/>
      <c r="BD108" s="2038"/>
      <c r="BE108" s="2038"/>
      <c r="BF108" s="2038"/>
      <c r="BG108" s="2038"/>
      <c r="BH108" s="2038"/>
      <c r="BI108" s="2038"/>
      <c r="BJ108" s="2038"/>
      <c r="BK108" s="39"/>
    </row>
    <row r="109" spans="1:63" s="2690" customFormat="1" ht="15.75" customHeight="1">
      <c r="A109" s="461"/>
      <c r="B109" s="4033"/>
      <c r="C109" s="3172" t="s">
        <v>4047</v>
      </c>
      <c r="D109" s="2112"/>
      <c r="E109" s="2112"/>
      <c r="F109" s="2112"/>
      <c r="G109" s="892"/>
      <c r="H109" s="892"/>
      <c r="I109" s="892"/>
      <c r="J109" s="892"/>
      <c r="K109" s="892"/>
      <c r="L109" s="892"/>
      <c r="M109" s="892"/>
      <c r="N109" s="892"/>
      <c r="O109" s="892"/>
      <c r="P109" s="892"/>
      <c r="Q109" s="892"/>
      <c r="R109" s="892"/>
      <c r="S109" s="892"/>
      <c r="T109" s="892"/>
      <c r="U109" s="892"/>
      <c r="V109" s="892"/>
      <c r="W109" s="892"/>
      <c r="X109" s="892"/>
      <c r="Y109" s="892"/>
      <c r="Z109" s="892"/>
      <c r="AA109" s="892"/>
      <c r="AB109" s="892"/>
      <c r="AC109" s="1585"/>
      <c r="AD109" s="3622"/>
      <c r="AE109" s="3983"/>
      <c r="AF109" s="1128" t="s">
        <v>985</v>
      </c>
      <c r="AG109" s="9026"/>
      <c r="AH109" s="9026"/>
      <c r="AI109" s="9026"/>
      <c r="AJ109" s="9020"/>
      <c r="AK109" s="461"/>
      <c r="AL109" s="808"/>
      <c r="AM109" s="808"/>
      <c r="AN109" s="808"/>
      <c r="AO109" s="39"/>
      <c r="BA109" s="2038"/>
      <c r="BB109" s="2038"/>
      <c r="BC109" s="2038"/>
      <c r="BD109" s="2038"/>
      <c r="BE109" s="2038"/>
      <c r="BF109" s="2038"/>
      <c r="BG109" s="2038"/>
      <c r="BH109" s="2038"/>
      <c r="BI109" s="2038"/>
      <c r="BJ109" s="2038"/>
      <c r="BK109" s="39"/>
    </row>
    <row r="110" spans="1:63" s="2690" customFormat="1" ht="15.75" customHeight="1">
      <c r="A110" s="461"/>
      <c r="B110" s="2358">
        <v>41</v>
      </c>
      <c r="C110" s="3172" t="s">
        <v>4048</v>
      </c>
      <c r="D110" s="2112"/>
      <c r="E110" s="2112"/>
      <c r="F110" s="2112"/>
      <c r="G110" s="892"/>
      <c r="H110" s="892"/>
      <c r="I110" s="892"/>
      <c r="J110" s="892"/>
      <c r="K110" s="892"/>
      <c r="L110" s="892"/>
      <c r="M110" s="892"/>
      <c r="N110" s="892"/>
      <c r="O110" s="892"/>
      <c r="P110" s="892"/>
      <c r="Q110" s="892"/>
      <c r="R110" s="892"/>
      <c r="S110" s="892"/>
      <c r="T110" s="892"/>
      <c r="U110" s="892"/>
      <c r="V110" s="892"/>
      <c r="W110" s="892"/>
      <c r="X110" s="892"/>
      <c r="Y110" s="892"/>
      <c r="Z110" s="892"/>
      <c r="AA110" s="892"/>
      <c r="AB110" s="1579"/>
      <c r="AC110" s="1579"/>
      <c r="AD110" s="892"/>
      <c r="AE110" s="892"/>
      <c r="AF110" s="1128" t="s">
        <v>994</v>
      </c>
      <c r="AG110" s="8990"/>
      <c r="AH110" s="8991"/>
      <c r="AI110" s="8990"/>
      <c r="AJ110" s="8991"/>
      <c r="AK110" s="461"/>
      <c r="AL110" s="808"/>
      <c r="AM110" s="808"/>
      <c r="AN110" s="808"/>
      <c r="AO110" s="39"/>
      <c r="BA110" s="2038"/>
      <c r="BB110" s="2038"/>
      <c r="BC110" s="2038"/>
      <c r="BD110" s="2038"/>
      <c r="BE110" s="2038"/>
      <c r="BF110" s="2038"/>
      <c r="BG110" s="2038"/>
      <c r="BH110" s="2038"/>
      <c r="BI110" s="2038"/>
      <c r="BJ110" s="2038"/>
      <c r="BK110" s="39"/>
    </row>
    <row r="111" spans="1:63" s="2690" customFormat="1" ht="15.75" customHeight="1" thickBot="1">
      <c r="A111" s="461"/>
      <c r="B111" s="3647"/>
      <c r="C111" s="4073" t="s">
        <v>4049</v>
      </c>
      <c r="D111" s="2122"/>
      <c r="E111" s="2122"/>
      <c r="F111" s="2122"/>
      <c r="G111" s="1257"/>
      <c r="H111" s="1257"/>
      <c r="I111" s="1257"/>
      <c r="J111" s="1257"/>
      <c r="K111" s="1257"/>
      <c r="L111" s="1257"/>
      <c r="M111" s="1257"/>
      <c r="N111" s="1257"/>
      <c r="O111" s="1257"/>
      <c r="P111" s="1257"/>
      <c r="Q111" s="1257"/>
      <c r="R111" s="1257"/>
      <c r="S111" s="1257"/>
      <c r="T111" s="1257"/>
      <c r="U111" s="1257"/>
      <c r="V111" s="1257"/>
      <c r="W111" s="1257"/>
      <c r="X111" s="1257"/>
      <c r="Y111" s="1257"/>
      <c r="Z111" s="1257"/>
      <c r="AA111" s="1257"/>
      <c r="AB111" s="1257"/>
      <c r="AC111" s="2148"/>
      <c r="AD111" s="4074"/>
      <c r="AE111" s="4075"/>
      <c r="AF111" s="4076"/>
      <c r="AG111" s="4053"/>
      <c r="AH111" s="4026"/>
      <c r="AI111" s="4026"/>
      <c r="AJ111" s="4026"/>
      <c r="AK111" s="461"/>
      <c r="AL111" s="808"/>
      <c r="AM111" s="808"/>
      <c r="AN111" s="808"/>
      <c r="AO111" s="39"/>
      <c r="BA111" s="2038"/>
      <c r="BB111" s="2038"/>
      <c r="BC111" s="2038"/>
      <c r="BD111" s="2038"/>
      <c r="BE111" s="2038"/>
      <c r="BF111" s="2038"/>
      <c r="BG111" s="2038"/>
      <c r="BH111" s="2038"/>
      <c r="BI111" s="2038"/>
      <c r="BJ111" s="2038"/>
      <c r="BK111" s="39"/>
    </row>
    <row r="112" spans="1:63" s="3525" customFormat="1" ht="15.75" customHeight="1">
      <c r="A112" s="3497"/>
      <c r="B112" s="8698" t="s">
        <v>3803</v>
      </c>
      <c r="C112" s="8887"/>
      <c r="D112" s="4077" t="s">
        <v>4050</v>
      </c>
      <c r="E112" s="3994"/>
      <c r="F112" s="3995"/>
      <c r="G112" s="3995"/>
      <c r="H112" s="3995"/>
      <c r="I112" s="3995"/>
      <c r="J112" s="3995"/>
      <c r="K112" s="3995"/>
      <c r="L112" s="3995"/>
      <c r="M112" s="3995"/>
      <c r="N112" s="3995"/>
      <c r="O112" s="3995"/>
      <c r="P112" s="3995"/>
      <c r="Q112" s="3995"/>
      <c r="R112" s="3995"/>
      <c r="S112" s="3972"/>
      <c r="T112" s="3972"/>
      <c r="U112" s="3972"/>
      <c r="V112" s="3972"/>
      <c r="W112" s="3972"/>
      <c r="X112" s="3972"/>
      <c r="Y112" s="3972"/>
      <c r="Z112" s="3972"/>
      <c r="AA112" s="3972"/>
      <c r="AB112" s="3972"/>
      <c r="AC112" s="3972"/>
      <c r="AD112" s="3972"/>
      <c r="AE112" s="3972"/>
      <c r="AF112" s="3972"/>
      <c r="AG112" s="3972"/>
      <c r="AH112" s="3972"/>
      <c r="AI112" s="3975"/>
      <c r="AJ112" s="3975"/>
      <c r="AK112" s="3497"/>
      <c r="AL112" s="808"/>
      <c r="AM112" s="808"/>
      <c r="AN112" s="808"/>
      <c r="AO112" s="3499"/>
      <c r="BA112" s="2038"/>
      <c r="BB112" s="2038"/>
      <c r="BC112" s="2038"/>
      <c r="BD112" s="2038"/>
      <c r="BE112" s="2038"/>
      <c r="BF112" s="2038"/>
      <c r="BG112" s="2038"/>
      <c r="BH112" s="2038"/>
      <c r="BI112" s="2038"/>
      <c r="BJ112" s="2038"/>
      <c r="BK112" s="3499"/>
    </row>
    <row r="113" spans="1:63" s="2690" customFormat="1" ht="58.5" customHeight="1">
      <c r="A113" s="461"/>
      <c r="B113" s="9028" t="s">
        <v>4051</v>
      </c>
      <c r="C113" s="9029"/>
      <c r="D113" s="9029"/>
      <c r="E113" s="9029"/>
      <c r="F113" s="9029"/>
      <c r="G113" s="9029"/>
      <c r="H113" s="9029"/>
      <c r="I113" s="9030"/>
      <c r="J113" s="9031" t="s">
        <v>4052</v>
      </c>
      <c r="K113" s="9032"/>
      <c r="L113" s="9032"/>
      <c r="M113" s="9032"/>
      <c r="N113" s="9032"/>
      <c r="O113" s="9033"/>
      <c r="P113" s="9031" t="s">
        <v>4053</v>
      </c>
      <c r="Q113" s="9032"/>
      <c r="R113" s="9032"/>
      <c r="S113" s="9032"/>
      <c r="T113" s="9032"/>
      <c r="U113" s="9033"/>
      <c r="V113" s="9031" t="s">
        <v>4054</v>
      </c>
      <c r="W113" s="9032"/>
      <c r="X113" s="9032"/>
      <c r="Y113" s="9033"/>
      <c r="Z113" s="9034" t="s">
        <v>4055</v>
      </c>
      <c r="AA113" s="9035"/>
      <c r="AB113" s="9035"/>
      <c r="AC113" s="9036"/>
      <c r="AD113" s="9031" t="s">
        <v>4056</v>
      </c>
      <c r="AE113" s="9037"/>
      <c r="AF113" s="9037"/>
      <c r="AG113" s="9037"/>
      <c r="AH113" s="9037"/>
      <c r="AI113" s="9037"/>
      <c r="AJ113" s="9037"/>
      <c r="AK113" s="461"/>
      <c r="AL113" s="808"/>
      <c r="AM113" s="808"/>
      <c r="AN113" s="808"/>
      <c r="AO113" s="39"/>
      <c r="BA113" s="2038"/>
      <c r="BB113" s="2038"/>
      <c r="BC113" s="2038"/>
      <c r="BD113" s="2038"/>
      <c r="BE113" s="2038"/>
      <c r="BF113" s="2038"/>
      <c r="BG113" s="2038"/>
      <c r="BH113" s="2038"/>
      <c r="BI113" s="2038"/>
      <c r="BJ113" s="2038"/>
      <c r="BK113" s="39"/>
    </row>
    <row r="114" spans="1:63" s="3525" customFormat="1" ht="15.75" customHeight="1">
      <c r="A114" s="3497"/>
      <c r="B114" s="4054">
        <v>42</v>
      </c>
      <c r="C114" s="4078" t="str">
        <f>"Amortization of costs that begins during your "&amp;TaxYear&amp;" tax year (see instructions):"</f>
        <v>Amortization of costs that begins during your 2023 tax year (see instructions):</v>
      </c>
      <c r="D114" s="4000"/>
      <c r="E114" s="3998"/>
      <c r="F114" s="4001"/>
      <c r="G114" s="4001"/>
      <c r="H114" s="4001"/>
      <c r="I114" s="4001"/>
      <c r="J114" s="4001"/>
      <c r="K114" s="4001"/>
      <c r="L114" s="4001"/>
      <c r="M114" s="4001"/>
      <c r="N114" s="4001"/>
      <c r="O114" s="4001"/>
      <c r="P114" s="4001"/>
      <c r="Q114" s="4001"/>
      <c r="R114" s="4001"/>
      <c r="S114" s="4001"/>
      <c r="T114" s="4001"/>
      <c r="U114" s="4001"/>
      <c r="V114" s="4001"/>
      <c r="W114" s="4001"/>
      <c r="X114" s="4001"/>
      <c r="Y114" s="4001"/>
      <c r="Z114" s="4001"/>
      <c r="AA114" s="4001"/>
      <c r="AB114" s="4001"/>
      <c r="AC114" s="4001"/>
      <c r="AD114" s="4001"/>
      <c r="AE114" s="4001"/>
      <c r="AF114" s="4001"/>
      <c r="AG114" s="4001"/>
      <c r="AH114" s="4001"/>
      <c r="AI114" s="4002"/>
      <c r="AJ114" s="4002"/>
      <c r="AK114" s="3497"/>
      <c r="AL114" s="808"/>
      <c r="AM114" s="808"/>
      <c r="AN114" s="808"/>
      <c r="AO114" s="3499"/>
      <c r="BA114" s="2038"/>
      <c r="BB114" s="2038"/>
      <c r="BC114" s="2038"/>
      <c r="BD114" s="2038"/>
      <c r="BE114" s="2038"/>
      <c r="BF114" s="2038"/>
      <c r="BG114" s="2038"/>
      <c r="BH114" s="2038"/>
      <c r="BI114" s="2038"/>
      <c r="BJ114" s="2038"/>
      <c r="BK114" s="3499"/>
    </row>
    <row r="115" spans="1:63" s="2690" customFormat="1" ht="17.25" customHeight="1">
      <c r="A115" s="461"/>
      <c r="B115" s="9038"/>
      <c r="C115" s="9039"/>
      <c r="D115" s="9039"/>
      <c r="E115" s="9039"/>
      <c r="F115" s="9039"/>
      <c r="G115" s="9039"/>
      <c r="H115" s="9039"/>
      <c r="I115" s="9040"/>
      <c r="J115" s="9041"/>
      <c r="K115" s="9042"/>
      <c r="L115" s="9042"/>
      <c r="M115" s="9042"/>
      <c r="N115" s="9042"/>
      <c r="O115" s="9043"/>
      <c r="P115" s="8987"/>
      <c r="Q115" s="8911"/>
      <c r="R115" s="8911"/>
      <c r="S115" s="8911"/>
      <c r="T115" s="8911"/>
      <c r="U115" s="8912"/>
      <c r="V115" s="8990"/>
      <c r="W115" s="8982"/>
      <c r="X115" s="8982"/>
      <c r="Y115" s="8983"/>
      <c r="Z115" s="9047"/>
      <c r="AA115" s="9045"/>
      <c r="AB115" s="9045"/>
      <c r="AC115" s="9046"/>
      <c r="AD115" s="8987"/>
      <c r="AE115" s="8988"/>
      <c r="AF115" s="8988"/>
      <c r="AG115" s="8988"/>
      <c r="AH115" s="8988"/>
      <c r="AI115" s="8988"/>
      <c r="AJ115" s="8988"/>
      <c r="AK115" s="461"/>
      <c r="AL115" s="808"/>
      <c r="AM115" s="808"/>
      <c r="AN115" s="808"/>
      <c r="AO115" s="39"/>
      <c r="BA115" s="2038"/>
      <c r="BB115" s="2038"/>
      <c r="BC115" s="2038"/>
      <c r="BD115" s="2038"/>
      <c r="BE115" s="2038"/>
      <c r="BF115" s="2038"/>
      <c r="BG115" s="2038"/>
      <c r="BH115" s="2038"/>
      <c r="BI115" s="2038"/>
      <c r="BJ115" s="2038"/>
      <c r="BK115" s="39"/>
    </row>
    <row r="116" spans="1:63" s="2690" customFormat="1" ht="17.25" customHeight="1">
      <c r="A116" s="461"/>
      <c r="B116" s="9038"/>
      <c r="C116" s="9039"/>
      <c r="D116" s="9039"/>
      <c r="E116" s="9039"/>
      <c r="F116" s="9039"/>
      <c r="G116" s="9039"/>
      <c r="H116" s="9039"/>
      <c r="I116" s="9040"/>
      <c r="J116" s="9041"/>
      <c r="K116" s="9042"/>
      <c r="L116" s="9042"/>
      <c r="M116" s="9042"/>
      <c r="N116" s="9042"/>
      <c r="O116" s="9043"/>
      <c r="P116" s="8987"/>
      <c r="Q116" s="8911"/>
      <c r="R116" s="8911"/>
      <c r="S116" s="8911"/>
      <c r="T116" s="8911"/>
      <c r="U116" s="8912"/>
      <c r="V116" s="8990"/>
      <c r="W116" s="8982"/>
      <c r="X116" s="8982"/>
      <c r="Y116" s="8983"/>
      <c r="Z116" s="9044"/>
      <c r="AA116" s="9045"/>
      <c r="AB116" s="9045"/>
      <c r="AC116" s="9046"/>
      <c r="AD116" s="8987"/>
      <c r="AE116" s="8988"/>
      <c r="AF116" s="8988"/>
      <c r="AG116" s="8988"/>
      <c r="AH116" s="8988"/>
      <c r="AI116" s="8988"/>
      <c r="AJ116" s="8988"/>
      <c r="AK116" s="461"/>
      <c r="AL116" s="808"/>
      <c r="AM116" s="808"/>
      <c r="AN116" s="808"/>
      <c r="AO116" s="39"/>
      <c r="BA116" s="2038"/>
      <c r="BB116" s="2038"/>
      <c r="BC116" s="2038"/>
      <c r="BD116" s="2038"/>
      <c r="BE116" s="2038"/>
      <c r="BF116" s="2038"/>
      <c r="BG116" s="2038"/>
      <c r="BH116" s="2038"/>
      <c r="BI116" s="2038"/>
      <c r="BJ116" s="2038"/>
      <c r="BK116" s="39"/>
    </row>
    <row r="117" spans="1:63" s="2690" customFormat="1" ht="17.25" customHeight="1" thickBot="1">
      <c r="A117" s="461"/>
      <c r="B117" s="3644">
        <v>43</v>
      </c>
      <c r="C117" s="4079" t="str">
        <f>"Amortization of costs that began before your "&amp;TaxYear&amp;" tax year"</f>
        <v>Amortization of costs that began before your 2023 tax year</v>
      </c>
      <c r="D117" s="2112"/>
      <c r="E117" s="2112"/>
      <c r="F117" s="2112"/>
      <c r="G117" s="892"/>
      <c r="H117" s="892"/>
      <c r="I117" s="892"/>
      <c r="J117" s="892"/>
      <c r="K117" s="892"/>
      <c r="L117" s="892"/>
      <c r="M117" s="892"/>
      <c r="N117" s="892"/>
      <c r="O117" s="892"/>
      <c r="P117" s="892"/>
      <c r="Q117" s="892"/>
      <c r="R117" s="892"/>
      <c r="S117" s="892"/>
      <c r="T117" s="892"/>
      <c r="U117" s="892"/>
      <c r="V117" s="892"/>
      <c r="W117" s="892"/>
      <c r="X117" s="892"/>
      <c r="Y117" s="892"/>
      <c r="Z117" s="892"/>
      <c r="AA117" s="1128" t="s">
        <v>917</v>
      </c>
      <c r="AB117" s="8889">
        <v>43</v>
      </c>
      <c r="AC117" s="8890"/>
      <c r="AD117" s="8987"/>
      <c r="AE117" s="8988"/>
      <c r="AF117" s="8988"/>
      <c r="AG117" s="8988"/>
      <c r="AH117" s="8988"/>
      <c r="AI117" s="8988"/>
      <c r="AJ117" s="8988"/>
      <c r="AK117" s="461"/>
      <c r="AL117" s="808"/>
      <c r="AM117" s="808"/>
      <c r="AN117" s="808"/>
      <c r="AO117" s="39"/>
      <c r="BA117" s="2038"/>
      <c r="BB117" s="2038"/>
      <c r="BC117" s="2038"/>
      <c r="BD117" s="2038"/>
      <c r="BE117" s="2038"/>
      <c r="BF117" s="2038"/>
      <c r="BG117" s="2038"/>
      <c r="BH117" s="2038"/>
      <c r="BI117" s="2038"/>
      <c r="BJ117" s="2038"/>
      <c r="BK117" s="39"/>
    </row>
    <row r="118" spans="1:63" s="2690" customFormat="1" ht="17.25" customHeight="1" thickBot="1">
      <c r="A118" s="461"/>
      <c r="B118" s="3644">
        <v>44</v>
      </c>
      <c r="C118" s="3172" t="s">
        <v>4057</v>
      </c>
      <c r="D118" s="2112"/>
      <c r="E118" s="2112"/>
      <c r="F118" s="2112"/>
      <c r="G118" s="892"/>
      <c r="H118" s="892"/>
      <c r="I118" s="892"/>
      <c r="J118" s="892"/>
      <c r="K118" s="892"/>
      <c r="L118" s="892"/>
      <c r="M118" s="892"/>
      <c r="N118" s="892"/>
      <c r="O118" s="892"/>
      <c r="P118" s="892"/>
      <c r="Q118" s="892"/>
      <c r="R118" s="892"/>
      <c r="S118" s="892"/>
      <c r="T118" s="892"/>
      <c r="U118" s="892"/>
      <c r="V118" s="892"/>
      <c r="W118" s="892"/>
      <c r="X118" s="892"/>
      <c r="Y118" s="892"/>
      <c r="Z118" s="892"/>
      <c r="AA118" s="1128" t="s">
        <v>990</v>
      </c>
      <c r="AB118" s="8889">
        <v>44</v>
      </c>
      <c r="AC118" s="8890"/>
      <c r="AD118" s="9048">
        <f>IF(AM118&lt;&gt;"",ROUND(AM118,0),SUM(ROUND(AD115,0),ROUND(AD116,0),ROUND(AD117,0)))</f>
        <v>0</v>
      </c>
      <c r="AE118" s="9049"/>
      <c r="AF118" s="9049"/>
      <c r="AG118" s="9049"/>
      <c r="AH118" s="9049"/>
      <c r="AI118" s="9049"/>
      <c r="AJ118" s="9049"/>
      <c r="AK118" s="461"/>
      <c r="AL118" s="808"/>
      <c r="AM118" s="4080"/>
      <c r="AN118" s="808"/>
      <c r="AO118" s="39"/>
      <c r="BA118" s="2038"/>
      <c r="BB118" s="2038"/>
      <c r="BC118" s="2038"/>
      <c r="BD118" s="2038"/>
      <c r="BE118" s="2038"/>
      <c r="BF118" s="2038"/>
      <c r="BG118" s="2038"/>
      <c r="BH118" s="2038"/>
      <c r="BI118" s="2038"/>
      <c r="BJ118" s="2038"/>
      <c r="BK118" s="39"/>
    </row>
    <row r="119" spans="1:63" s="2690" customFormat="1" ht="18">
      <c r="A119" s="461"/>
      <c r="B119" s="4081"/>
      <c r="C119" s="61"/>
      <c r="D119" s="61"/>
      <c r="E119" s="61"/>
      <c r="F119" s="61"/>
      <c r="G119" s="61"/>
      <c r="H119" s="61"/>
      <c r="I119" s="61"/>
      <c r="J119" s="61"/>
      <c r="K119" s="61"/>
      <c r="L119" s="61"/>
      <c r="M119" s="61"/>
      <c r="N119" s="61"/>
      <c r="O119" s="61"/>
      <c r="P119" s="61"/>
      <c r="Q119" s="61"/>
      <c r="R119" s="61"/>
      <c r="S119" s="61"/>
      <c r="T119" s="61"/>
      <c r="U119" s="337"/>
      <c r="V119" s="61"/>
      <c r="W119" s="337"/>
      <c r="X119" s="61"/>
      <c r="Y119" s="61"/>
      <c r="Z119" s="61"/>
      <c r="AA119" s="61"/>
      <c r="AB119" s="61"/>
      <c r="AC119" s="61"/>
      <c r="AD119" s="61"/>
      <c r="AE119" s="61"/>
      <c r="AF119" s="61"/>
      <c r="AG119" s="61"/>
      <c r="AH119" s="705" t="s">
        <v>4058</v>
      </c>
      <c r="AI119" s="61"/>
      <c r="AJ119" s="705" t="str">
        <f>"("&amp;TaxYear&amp;")"</f>
        <v>(2023)</v>
      </c>
      <c r="AK119" s="461"/>
      <c r="AL119" s="808"/>
      <c r="AM119" s="808"/>
      <c r="AN119" s="808"/>
      <c r="AO119" s="39"/>
      <c r="BA119" s="2038"/>
      <c r="BB119" s="2038"/>
      <c r="BC119" s="2038"/>
      <c r="BD119" s="2038"/>
      <c r="BE119" s="2038"/>
      <c r="BF119" s="2038"/>
      <c r="BG119" s="2038"/>
      <c r="BH119" s="2038"/>
      <c r="BI119" s="2038"/>
      <c r="BJ119" s="2038"/>
      <c r="BK119" s="39"/>
    </row>
    <row r="120" spans="1:63" ht="6" customHeight="1">
      <c r="A120" s="461"/>
      <c r="B120" s="461"/>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808"/>
      <c r="AM120" s="808"/>
      <c r="AN120" s="808"/>
    </row>
    <row r="121" spans="1:63" ht="15">
      <c r="B121" s="4082" t="s">
        <v>3897</v>
      </c>
      <c r="C121" s="1364"/>
      <c r="D121" s="1364"/>
      <c r="E121" s="1364"/>
      <c r="F121" s="1364"/>
      <c r="G121" s="1364"/>
      <c r="H121" s="1364"/>
      <c r="I121" s="1364"/>
      <c r="J121" s="1364"/>
      <c r="K121" s="1364"/>
      <c r="L121" s="1364"/>
      <c r="M121" s="1364"/>
      <c r="N121" s="1364"/>
      <c r="O121" s="1364"/>
      <c r="P121" s="1364"/>
      <c r="Q121" s="1364"/>
      <c r="R121" s="1364"/>
      <c r="S121" s="1364"/>
      <c r="T121" s="1364"/>
      <c r="U121" s="1364"/>
      <c r="V121" s="1364"/>
      <c r="W121" s="1364"/>
      <c r="X121" s="1364"/>
      <c r="Y121" s="1364"/>
      <c r="Z121" s="1364"/>
      <c r="AA121" s="1364"/>
      <c r="AB121" s="1364"/>
      <c r="AC121" s="1364"/>
      <c r="AD121" s="1364"/>
      <c r="AE121" s="1364"/>
      <c r="AF121" s="1364"/>
      <c r="AG121" s="1364"/>
      <c r="AH121" s="1364"/>
      <c r="AI121" s="1364"/>
      <c r="AJ121" s="1364"/>
    </row>
    <row r="122" spans="1:63" ht="7.5" customHeight="1">
      <c r="B122" s="808"/>
      <c r="C122" s="808"/>
      <c r="D122" s="808"/>
      <c r="E122" s="808"/>
      <c r="F122" s="1121"/>
      <c r="G122" s="1121"/>
      <c r="H122" s="1121"/>
      <c r="I122" s="1121"/>
      <c r="J122" s="1121"/>
      <c r="K122" s="1121"/>
      <c r="L122" s="1121"/>
      <c r="M122" s="1121"/>
      <c r="N122" s="1121"/>
      <c r="O122" s="1121"/>
      <c r="P122" s="1121"/>
      <c r="Q122" s="1121"/>
      <c r="R122" s="1121"/>
      <c r="S122" s="1121"/>
      <c r="T122" s="1121"/>
      <c r="U122" s="1121"/>
      <c r="V122" s="1121"/>
      <c r="W122" s="1121"/>
      <c r="X122" s="1121"/>
      <c r="Y122" s="1121"/>
      <c r="Z122" s="1121"/>
      <c r="AA122" s="1121"/>
      <c r="AB122" s="1121"/>
      <c r="AC122" s="1121"/>
      <c r="AD122" s="1121"/>
      <c r="AE122" s="1121"/>
      <c r="AF122" s="1121"/>
      <c r="AG122" s="1121"/>
      <c r="AH122" s="1121"/>
      <c r="AI122" s="1121"/>
      <c r="AJ122" s="1121"/>
    </row>
    <row r="123" spans="1:63" ht="22.5" customHeight="1">
      <c r="B123" s="9050" t="s">
        <v>4059</v>
      </c>
      <c r="C123" s="9051"/>
      <c r="D123" s="9051"/>
      <c r="E123" s="9051"/>
      <c r="F123" s="9051"/>
      <c r="G123" s="9051"/>
      <c r="H123" s="9051"/>
      <c r="I123" s="9052"/>
      <c r="J123" s="9059" t="s">
        <v>4060</v>
      </c>
      <c r="K123" s="9060"/>
      <c r="L123" s="9061"/>
      <c r="M123" s="9059" t="s">
        <v>4061</v>
      </c>
      <c r="N123" s="9060"/>
      <c r="O123" s="9061"/>
      <c r="P123" s="9059" t="s">
        <v>4062</v>
      </c>
      <c r="Q123" s="9051"/>
      <c r="R123" s="9052"/>
      <c r="S123" s="9059" t="s">
        <v>4063</v>
      </c>
      <c r="T123" s="9051"/>
      <c r="U123" s="9052"/>
      <c r="V123" s="9059" t="s">
        <v>3905</v>
      </c>
      <c r="W123" s="9051"/>
      <c r="X123" s="9052"/>
      <c r="Y123" s="9059" t="s">
        <v>4064</v>
      </c>
      <c r="Z123" s="9060"/>
      <c r="AA123" s="9061"/>
      <c r="AB123" s="9059" t="s">
        <v>4065</v>
      </c>
      <c r="AC123" s="9052"/>
      <c r="AD123" s="9059" t="s">
        <v>4066</v>
      </c>
      <c r="AE123" s="9060"/>
      <c r="AF123" s="9061"/>
      <c r="AG123" s="9059" t="s">
        <v>4067</v>
      </c>
      <c r="AH123" s="9051"/>
      <c r="AI123" s="9051"/>
      <c r="AJ123" s="9052"/>
    </row>
    <row r="124" spans="1:63" ht="22.5" customHeight="1">
      <c r="B124" s="9053"/>
      <c r="C124" s="9054"/>
      <c r="D124" s="9054"/>
      <c r="E124" s="9054"/>
      <c r="F124" s="9054"/>
      <c r="G124" s="9054"/>
      <c r="H124" s="9054"/>
      <c r="I124" s="9055"/>
      <c r="J124" s="9062"/>
      <c r="K124" s="9063"/>
      <c r="L124" s="9064"/>
      <c r="M124" s="9062"/>
      <c r="N124" s="9063"/>
      <c r="O124" s="9064"/>
      <c r="P124" s="9053"/>
      <c r="Q124" s="9054"/>
      <c r="R124" s="9055"/>
      <c r="S124" s="9053"/>
      <c r="T124" s="9054"/>
      <c r="U124" s="9055"/>
      <c r="V124" s="9053"/>
      <c r="W124" s="9054"/>
      <c r="X124" s="9055"/>
      <c r="Y124" s="9062"/>
      <c r="Z124" s="9063"/>
      <c r="AA124" s="9064"/>
      <c r="AB124" s="9053"/>
      <c r="AC124" s="9055"/>
      <c r="AD124" s="9062"/>
      <c r="AE124" s="9063"/>
      <c r="AF124" s="9064"/>
      <c r="AG124" s="9053"/>
      <c r="AH124" s="9054"/>
      <c r="AI124" s="9054"/>
      <c r="AJ124" s="9055"/>
    </row>
    <row r="125" spans="1:63" ht="22.5" customHeight="1">
      <c r="B125" s="9056"/>
      <c r="C125" s="9057"/>
      <c r="D125" s="9057"/>
      <c r="E125" s="9057"/>
      <c r="F125" s="9057"/>
      <c r="G125" s="9057"/>
      <c r="H125" s="9057"/>
      <c r="I125" s="9058"/>
      <c r="J125" s="9065"/>
      <c r="K125" s="9066"/>
      <c r="L125" s="9067"/>
      <c r="M125" s="9065"/>
      <c r="N125" s="9066"/>
      <c r="O125" s="9067"/>
      <c r="P125" s="9056"/>
      <c r="Q125" s="9057"/>
      <c r="R125" s="9058"/>
      <c r="S125" s="9056"/>
      <c r="T125" s="9057"/>
      <c r="U125" s="9058"/>
      <c r="V125" s="9056"/>
      <c r="W125" s="9057"/>
      <c r="X125" s="9058"/>
      <c r="Y125" s="9065"/>
      <c r="Z125" s="9066"/>
      <c r="AA125" s="9067"/>
      <c r="AB125" s="9056"/>
      <c r="AC125" s="9058"/>
      <c r="AD125" s="9065"/>
      <c r="AE125" s="9066"/>
      <c r="AF125" s="9067"/>
      <c r="AG125" s="9056"/>
      <c r="AH125" s="9057"/>
      <c r="AI125" s="9057"/>
      <c r="AJ125" s="9058"/>
    </row>
    <row r="126" spans="1:63" s="182" customFormat="1" ht="15">
      <c r="B126" s="9071"/>
      <c r="C126" s="9072"/>
      <c r="D126" s="9072"/>
      <c r="E126" s="9072"/>
      <c r="F126" s="9072"/>
      <c r="G126" s="9072"/>
      <c r="H126" s="9072"/>
      <c r="I126" s="9073"/>
      <c r="J126" s="9074"/>
      <c r="K126" s="9075"/>
      <c r="L126" s="9076"/>
      <c r="M126" s="9077"/>
      <c r="N126" s="9078"/>
      <c r="O126" s="9079"/>
      <c r="P126" s="9080"/>
      <c r="Q126" s="9081"/>
      <c r="R126" s="9082"/>
      <c r="S126" s="9077"/>
      <c r="T126" s="9078"/>
      <c r="U126" s="9079"/>
      <c r="V126" s="9077"/>
      <c r="W126" s="9078"/>
      <c r="X126" s="9079"/>
      <c r="Y126" s="9083"/>
      <c r="Z126" s="9084"/>
      <c r="AA126" s="9085"/>
      <c r="AB126" s="9086"/>
      <c r="AC126" s="9076"/>
      <c r="AD126" s="9080"/>
      <c r="AE126" s="9081"/>
      <c r="AF126" s="9082"/>
      <c r="AG126" s="9068"/>
      <c r="AH126" s="9069"/>
      <c r="AI126" s="9069"/>
      <c r="AJ126" s="9070"/>
      <c r="BA126" s="4083"/>
      <c r="BB126" s="4083"/>
      <c r="BC126" s="4083"/>
      <c r="BD126" s="4083"/>
      <c r="BE126" s="4083"/>
      <c r="BF126" s="4083"/>
      <c r="BG126" s="4083"/>
      <c r="BH126" s="4083"/>
      <c r="BI126" s="4083"/>
      <c r="BJ126" s="4083"/>
    </row>
    <row r="127" spans="1:63" s="182" customFormat="1" ht="15">
      <c r="B127" s="9071"/>
      <c r="C127" s="9072"/>
      <c r="D127" s="9072"/>
      <c r="E127" s="9072"/>
      <c r="F127" s="9072"/>
      <c r="G127" s="9072"/>
      <c r="H127" s="9072"/>
      <c r="I127" s="9073"/>
      <c r="J127" s="9074"/>
      <c r="K127" s="9075"/>
      <c r="L127" s="9076"/>
      <c r="M127" s="9077"/>
      <c r="N127" s="9078"/>
      <c r="O127" s="9079"/>
      <c r="P127" s="9080"/>
      <c r="Q127" s="9081"/>
      <c r="R127" s="9082"/>
      <c r="S127" s="9077"/>
      <c r="T127" s="9078"/>
      <c r="U127" s="9079"/>
      <c r="V127" s="9077"/>
      <c r="W127" s="9078"/>
      <c r="X127" s="9079"/>
      <c r="Y127" s="9083"/>
      <c r="Z127" s="9084"/>
      <c r="AA127" s="9085"/>
      <c r="AB127" s="9086"/>
      <c r="AC127" s="9076"/>
      <c r="AD127" s="9080"/>
      <c r="AE127" s="9081"/>
      <c r="AF127" s="9082"/>
      <c r="AG127" s="9068"/>
      <c r="AH127" s="9069"/>
      <c r="AI127" s="9069"/>
      <c r="AJ127" s="9070"/>
      <c r="BA127" s="4083"/>
      <c r="BB127" s="4083"/>
      <c r="BC127" s="4083"/>
      <c r="BD127" s="4083"/>
      <c r="BE127" s="4083"/>
      <c r="BF127" s="4083"/>
      <c r="BG127" s="4083"/>
      <c r="BH127" s="4083"/>
      <c r="BI127" s="4083"/>
      <c r="BJ127" s="4083"/>
    </row>
    <row r="128" spans="1:63" s="182" customFormat="1" ht="15">
      <c r="B128" s="9071"/>
      <c r="C128" s="9072"/>
      <c r="D128" s="9072"/>
      <c r="E128" s="9072"/>
      <c r="F128" s="9072"/>
      <c r="G128" s="9072"/>
      <c r="H128" s="9072"/>
      <c r="I128" s="9073"/>
      <c r="J128" s="9074"/>
      <c r="K128" s="9075"/>
      <c r="L128" s="9076"/>
      <c r="M128" s="9077"/>
      <c r="N128" s="9078"/>
      <c r="O128" s="9079"/>
      <c r="P128" s="9080"/>
      <c r="Q128" s="9081"/>
      <c r="R128" s="9082"/>
      <c r="S128" s="9077"/>
      <c r="T128" s="9078"/>
      <c r="U128" s="9079"/>
      <c r="V128" s="9077"/>
      <c r="W128" s="9078"/>
      <c r="X128" s="9079"/>
      <c r="Y128" s="9083"/>
      <c r="Z128" s="9084"/>
      <c r="AA128" s="9085"/>
      <c r="AB128" s="9086"/>
      <c r="AC128" s="9076"/>
      <c r="AD128" s="9080"/>
      <c r="AE128" s="9081"/>
      <c r="AF128" s="9082"/>
      <c r="AG128" s="9068"/>
      <c r="AH128" s="9069"/>
      <c r="AI128" s="9069"/>
      <c r="AJ128" s="9070"/>
      <c r="BA128" s="4083"/>
      <c r="BB128" s="4083"/>
      <c r="BC128" s="4083"/>
      <c r="BD128" s="4083"/>
      <c r="BE128" s="4083"/>
      <c r="BF128" s="4083"/>
      <c r="BG128" s="4083"/>
      <c r="BH128" s="4083"/>
      <c r="BI128" s="4083"/>
      <c r="BJ128" s="4083"/>
    </row>
    <row r="129" spans="2:62" s="182" customFormat="1" ht="15">
      <c r="B129" s="9071"/>
      <c r="C129" s="9072"/>
      <c r="D129" s="9072"/>
      <c r="E129" s="9072"/>
      <c r="F129" s="9072"/>
      <c r="G129" s="9072"/>
      <c r="H129" s="9072"/>
      <c r="I129" s="9073"/>
      <c r="J129" s="9074"/>
      <c r="K129" s="9075"/>
      <c r="L129" s="9076"/>
      <c r="M129" s="9077"/>
      <c r="N129" s="9078"/>
      <c r="O129" s="9079"/>
      <c r="P129" s="9080"/>
      <c r="Q129" s="9081"/>
      <c r="R129" s="9082"/>
      <c r="S129" s="9077"/>
      <c r="T129" s="9078"/>
      <c r="U129" s="9079"/>
      <c r="V129" s="9077"/>
      <c r="W129" s="9078"/>
      <c r="X129" s="9079"/>
      <c r="Y129" s="9083"/>
      <c r="Z129" s="9084"/>
      <c r="AA129" s="9085"/>
      <c r="AB129" s="9086"/>
      <c r="AC129" s="9076"/>
      <c r="AD129" s="9080"/>
      <c r="AE129" s="9081"/>
      <c r="AF129" s="9082"/>
      <c r="AG129" s="9068"/>
      <c r="AH129" s="9069"/>
      <c r="AI129" s="9069"/>
      <c r="AJ129" s="9070"/>
      <c r="BA129" s="4083"/>
      <c r="BB129" s="4083"/>
      <c r="BC129" s="4083"/>
      <c r="BD129" s="4083"/>
      <c r="BE129" s="4083"/>
      <c r="BF129" s="4083"/>
      <c r="BG129" s="4083"/>
      <c r="BH129" s="4083"/>
      <c r="BI129" s="4083"/>
      <c r="BJ129" s="4083"/>
    </row>
    <row r="130" spans="2:62" s="182" customFormat="1" ht="15">
      <c r="B130" s="9071"/>
      <c r="C130" s="9072"/>
      <c r="D130" s="9072"/>
      <c r="E130" s="9072"/>
      <c r="F130" s="9072"/>
      <c r="G130" s="9072"/>
      <c r="H130" s="9072"/>
      <c r="I130" s="9073"/>
      <c r="J130" s="9074"/>
      <c r="K130" s="9075"/>
      <c r="L130" s="9076"/>
      <c r="M130" s="9077"/>
      <c r="N130" s="9078"/>
      <c r="O130" s="9079"/>
      <c r="P130" s="9080"/>
      <c r="Q130" s="9081"/>
      <c r="R130" s="9082"/>
      <c r="S130" s="9077"/>
      <c r="T130" s="9078"/>
      <c r="U130" s="9079"/>
      <c r="V130" s="9077"/>
      <c r="W130" s="9078"/>
      <c r="X130" s="9079"/>
      <c r="Y130" s="9083"/>
      <c r="Z130" s="9084"/>
      <c r="AA130" s="9085"/>
      <c r="AB130" s="9086"/>
      <c r="AC130" s="9076"/>
      <c r="AD130" s="9080"/>
      <c r="AE130" s="9081"/>
      <c r="AF130" s="9082"/>
      <c r="AG130" s="9068"/>
      <c r="AH130" s="9069"/>
      <c r="AI130" s="9069"/>
      <c r="AJ130" s="9070"/>
      <c r="BA130" s="4083"/>
      <c r="BB130" s="4083"/>
      <c r="BC130" s="4083"/>
      <c r="BD130" s="4083"/>
      <c r="BE130" s="4083"/>
      <c r="BF130" s="4083"/>
      <c r="BG130" s="4083"/>
      <c r="BH130" s="4083"/>
      <c r="BI130" s="4083"/>
      <c r="BJ130" s="4083"/>
    </row>
    <row r="131" spans="2:62" s="182" customFormat="1" ht="15">
      <c r="B131" s="9071"/>
      <c r="C131" s="9072"/>
      <c r="D131" s="9072"/>
      <c r="E131" s="9072"/>
      <c r="F131" s="9072"/>
      <c r="G131" s="9072"/>
      <c r="H131" s="9072"/>
      <c r="I131" s="9073"/>
      <c r="J131" s="9074"/>
      <c r="K131" s="9075"/>
      <c r="L131" s="9076"/>
      <c r="M131" s="9077"/>
      <c r="N131" s="9078"/>
      <c r="O131" s="9079"/>
      <c r="P131" s="9080"/>
      <c r="Q131" s="9081"/>
      <c r="R131" s="9082"/>
      <c r="S131" s="9077"/>
      <c r="T131" s="9078"/>
      <c r="U131" s="9079"/>
      <c r="V131" s="9077"/>
      <c r="W131" s="9078"/>
      <c r="X131" s="9079"/>
      <c r="Y131" s="9083"/>
      <c r="Z131" s="9084"/>
      <c r="AA131" s="9085"/>
      <c r="AB131" s="9086"/>
      <c r="AC131" s="9076"/>
      <c r="AD131" s="9080"/>
      <c r="AE131" s="9081"/>
      <c r="AF131" s="9082"/>
      <c r="AG131" s="9068"/>
      <c r="AH131" s="9069"/>
      <c r="AI131" s="9069"/>
      <c r="AJ131" s="9070"/>
      <c r="BA131" s="4083"/>
      <c r="BB131" s="4083"/>
      <c r="BC131" s="4083"/>
      <c r="BD131" s="4083"/>
      <c r="BE131" s="4083"/>
      <c r="BF131" s="4083"/>
      <c r="BG131" s="4083"/>
      <c r="BH131" s="4083"/>
      <c r="BI131" s="4083"/>
      <c r="BJ131" s="4083"/>
    </row>
    <row r="132" spans="2:62" s="182" customFormat="1" ht="15">
      <c r="B132" s="9071"/>
      <c r="C132" s="9072"/>
      <c r="D132" s="9072"/>
      <c r="E132" s="9072"/>
      <c r="F132" s="9072"/>
      <c r="G132" s="9072"/>
      <c r="H132" s="9072"/>
      <c r="I132" s="9073"/>
      <c r="J132" s="9074"/>
      <c r="K132" s="9075"/>
      <c r="L132" s="9076"/>
      <c r="M132" s="9077"/>
      <c r="N132" s="9078"/>
      <c r="O132" s="9079"/>
      <c r="P132" s="9080"/>
      <c r="Q132" s="9081"/>
      <c r="R132" s="9082"/>
      <c r="S132" s="9077"/>
      <c r="T132" s="9078"/>
      <c r="U132" s="9079"/>
      <c r="V132" s="9077"/>
      <c r="W132" s="9078"/>
      <c r="X132" s="9079"/>
      <c r="Y132" s="9083"/>
      <c r="Z132" s="9084"/>
      <c r="AA132" s="9085"/>
      <c r="AB132" s="9086"/>
      <c r="AC132" s="9076"/>
      <c r="AD132" s="9080"/>
      <c r="AE132" s="9081"/>
      <c r="AF132" s="9082"/>
      <c r="AG132" s="9068"/>
      <c r="AH132" s="9069"/>
      <c r="AI132" s="9069"/>
      <c r="AJ132" s="9070"/>
      <c r="BA132" s="4083"/>
      <c r="BB132" s="4083"/>
      <c r="BC132" s="4083"/>
      <c r="BD132" s="4083"/>
      <c r="BE132" s="4083"/>
      <c r="BF132" s="4083"/>
      <c r="BG132" s="4083"/>
      <c r="BH132" s="4083"/>
      <c r="BI132" s="4083"/>
      <c r="BJ132" s="4083"/>
    </row>
    <row r="133" spans="2:62" s="182" customFormat="1" ht="15">
      <c r="B133" s="9071"/>
      <c r="C133" s="9072"/>
      <c r="D133" s="9072"/>
      <c r="E133" s="9072"/>
      <c r="F133" s="9072"/>
      <c r="G133" s="9072"/>
      <c r="H133" s="9072"/>
      <c r="I133" s="9073"/>
      <c r="J133" s="9074"/>
      <c r="K133" s="9075"/>
      <c r="L133" s="9076"/>
      <c r="M133" s="9077"/>
      <c r="N133" s="9078"/>
      <c r="O133" s="9079"/>
      <c r="P133" s="9080"/>
      <c r="Q133" s="9081"/>
      <c r="R133" s="9082"/>
      <c r="S133" s="9077"/>
      <c r="T133" s="9078"/>
      <c r="U133" s="9079"/>
      <c r="V133" s="9077"/>
      <c r="W133" s="9078"/>
      <c r="X133" s="9079"/>
      <c r="Y133" s="9083"/>
      <c r="Z133" s="9084"/>
      <c r="AA133" s="9085"/>
      <c r="AB133" s="9086"/>
      <c r="AC133" s="9076"/>
      <c r="AD133" s="9080"/>
      <c r="AE133" s="9081"/>
      <c r="AF133" s="9082"/>
      <c r="AG133" s="9068"/>
      <c r="AH133" s="9069"/>
      <c r="AI133" s="9069"/>
      <c r="AJ133" s="9070"/>
      <c r="BA133" s="4083"/>
      <c r="BB133" s="4083"/>
      <c r="BC133" s="4083"/>
      <c r="BD133" s="4083"/>
      <c r="BE133" s="4083"/>
      <c r="BF133" s="4083"/>
      <c r="BG133" s="4083"/>
      <c r="BH133" s="4083"/>
      <c r="BI133" s="4083"/>
      <c r="BJ133" s="4083"/>
    </row>
    <row r="134" spans="2:62" s="182" customFormat="1" ht="15">
      <c r="B134" s="9071"/>
      <c r="C134" s="9072"/>
      <c r="D134" s="9072"/>
      <c r="E134" s="9072"/>
      <c r="F134" s="9072"/>
      <c r="G134" s="9072"/>
      <c r="H134" s="9072"/>
      <c r="I134" s="9073"/>
      <c r="J134" s="9074"/>
      <c r="K134" s="9075"/>
      <c r="L134" s="9076"/>
      <c r="M134" s="9077"/>
      <c r="N134" s="9078"/>
      <c r="O134" s="9079"/>
      <c r="P134" s="9080"/>
      <c r="Q134" s="9081"/>
      <c r="R134" s="9082"/>
      <c r="S134" s="9077"/>
      <c r="T134" s="9078"/>
      <c r="U134" s="9079"/>
      <c r="V134" s="9077"/>
      <c r="W134" s="9078"/>
      <c r="X134" s="9079"/>
      <c r="Y134" s="9083"/>
      <c r="Z134" s="9084"/>
      <c r="AA134" s="9085"/>
      <c r="AB134" s="9086"/>
      <c r="AC134" s="9076"/>
      <c r="AD134" s="9080"/>
      <c r="AE134" s="9081"/>
      <c r="AF134" s="9082"/>
      <c r="AG134" s="9068"/>
      <c r="AH134" s="9069"/>
      <c r="AI134" s="9069"/>
      <c r="AJ134" s="9070"/>
      <c r="BA134" s="4083"/>
      <c r="BB134" s="4083"/>
      <c r="BC134" s="4083"/>
      <c r="BD134" s="4083"/>
      <c r="BE134" s="4083"/>
      <c r="BF134" s="4083"/>
      <c r="BG134" s="4083"/>
      <c r="BH134" s="4083"/>
      <c r="BI134" s="4083"/>
      <c r="BJ134" s="4083"/>
    </row>
    <row r="135" spans="2:62" s="182" customFormat="1" ht="15">
      <c r="B135" s="9071"/>
      <c r="C135" s="9072"/>
      <c r="D135" s="9072"/>
      <c r="E135" s="9072"/>
      <c r="F135" s="9072"/>
      <c r="G135" s="9072"/>
      <c r="H135" s="9072"/>
      <c r="I135" s="9073"/>
      <c r="J135" s="9074"/>
      <c r="K135" s="9075"/>
      <c r="L135" s="9076"/>
      <c r="M135" s="9077"/>
      <c r="N135" s="9078"/>
      <c r="O135" s="9079"/>
      <c r="P135" s="9080"/>
      <c r="Q135" s="9081"/>
      <c r="R135" s="9082"/>
      <c r="S135" s="9077"/>
      <c r="T135" s="9078"/>
      <c r="U135" s="9079"/>
      <c r="V135" s="9077"/>
      <c r="W135" s="9078"/>
      <c r="X135" s="9079"/>
      <c r="Y135" s="9083"/>
      <c r="Z135" s="9084"/>
      <c r="AA135" s="9085"/>
      <c r="AB135" s="9086"/>
      <c r="AC135" s="9076"/>
      <c r="AD135" s="9080"/>
      <c r="AE135" s="9081"/>
      <c r="AF135" s="9082"/>
      <c r="AG135" s="9068"/>
      <c r="AH135" s="9069"/>
      <c r="AI135" s="9069"/>
      <c r="AJ135" s="9070"/>
      <c r="BA135" s="4083"/>
      <c r="BB135" s="4083"/>
      <c r="BC135" s="4083"/>
      <c r="BD135" s="4083"/>
      <c r="BE135" s="4083"/>
      <c r="BF135" s="4083"/>
      <c r="BG135" s="4083"/>
      <c r="BH135" s="4083"/>
      <c r="BI135" s="4083"/>
      <c r="BJ135" s="4083"/>
    </row>
    <row r="136" spans="2:62" s="182" customFormat="1" ht="15">
      <c r="B136" s="9071"/>
      <c r="C136" s="9072"/>
      <c r="D136" s="9072"/>
      <c r="E136" s="9072"/>
      <c r="F136" s="9072"/>
      <c r="G136" s="9072"/>
      <c r="H136" s="9072"/>
      <c r="I136" s="9073"/>
      <c r="J136" s="9074"/>
      <c r="K136" s="9075"/>
      <c r="L136" s="9076"/>
      <c r="M136" s="9077"/>
      <c r="N136" s="9078"/>
      <c r="O136" s="9079"/>
      <c r="P136" s="9080"/>
      <c r="Q136" s="9081"/>
      <c r="R136" s="9082"/>
      <c r="S136" s="9077"/>
      <c r="T136" s="9078"/>
      <c r="U136" s="9079"/>
      <c r="V136" s="9077"/>
      <c r="W136" s="9078"/>
      <c r="X136" s="9079"/>
      <c r="Y136" s="9083"/>
      <c r="Z136" s="9084"/>
      <c r="AA136" s="9085"/>
      <c r="AB136" s="9086"/>
      <c r="AC136" s="9076"/>
      <c r="AD136" s="9080"/>
      <c r="AE136" s="9081"/>
      <c r="AF136" s="9082"/>
      <c r="AG136" s="9068"/>
      <c r="AH136" s="9069"/>
      <c r="AI136" s="9069"/>
      <c r="AJ136" s="9070"/>
      <c r="BA136" s="4083"/>
      <c r="BB136" s="4083"/>
      <c r="BC136" s="4083"/>
      <c r="BD136" s="4083"/>
      <c r="BE136" s="4083"/>
      <c r="BF136" s="4083"/>
      <c r="BG136" s="4083"/>
      <c r="BH136" s="4083"/>
      <c r="BI136" s="4083"/>
      <c r="BJ136" s="4083"/>
    </row>
    <row r="137" spans="2:62" s="182" customFormat="1" ht="15">
      <c r="B137" s="9071"/>
      <c r="C137" s="9072"/>
      <c r="D137" s="9072"/>
      <c r="E137" s="9072"/>
      <c r="F137" s="9072"/>
      <c r="G137" s="9072"/>
      <c r="H137" s="9072"/>
      <c r="I137" s="9073"/>
      <c r="J137" s="9074"/>
      <c r="K137" s="9075"/>
      <c r="L137" s="9076"/>
      <c r="M137" s="9077"/>
      <c r="N137" s="9078"/>
      <c r="O137" s="9079"/>
      <c r="P137" s="9080"/>
      <c r="Q137" s="9081"/>
      <c r="R137" s="9082"/>
      <c r="S137" s="9077"/>
      <c r="T137" s="9078"/>
      <c r="U137" s="9079"/>
      <c r="V137" s="9077"/>
      <c r="W137" s="9078"/>
      <c r="X137" s="9079"/>
      <c r="Y137" s="9083"/>
      <c r="Z137" s="9084"/>
      <c r="AA137" s="9085"/>
      <c r="AB137" s="9086"/>
      <c r="AC137" s="9076"/>
      <c r="AD137" s="9080"/>
      <c r="AE137" s="9081"/>
      <c r="AF137" s="9082"/>
      <c r="AG137" s="9068"/>
      <c r="AH137" s="9069"/>
      <c r="AI137" s="9069"/>
      <c r="AJ137" s="9070"/>
      <c r="BA137" s="4083"/>
      <c r="BB137" s="4083"/>
      <c r="BC137" s="4083"/>
      <c r="BD137" s="4083"/>
      <c r="BE137" s="4083"/>
      <c r="BF137" s="4083"/>
      <c r="BG137" s="4083"/>
      <c r="BH137" s="4083"/>
      <c r="BI137" s="4083"/>
      <c r="BJ137" s="4083"/>
    </row>
    <row r="138" spans="2:62" s="182" customFormat="1" ht="15">
      <c r="B138" s="9071"/>
      <c r="C138" s="9072"/>
      <c r="D138" s="9072"/>
      <c r="E138" s="9072"/>
      <c r="F138" s="9072"/>
      <c r="G138" s="9072"/>
      <c r="H138" s="9072"/>
      <c r="I138" s="9073"/>
      <c r="J138" s="9074"/>
      <c r="K138" s="9075"/>
      <c r="L138" s="9076"/>
      <c r="M138" s="9077"/>
      <c r="N138" s="9078"/>
      <c r="O138" s="9079"/>
      <c r="P138" s="9080"/>
      <c r="Q138" s="9081"/>
      <c r="R138" s="9082"/>
      <c r="S138" s="9077"/>
      <c r="T138" s="9078"/>
      <c r="U138" s="9079"/>
      <c r="V138" s="9077"/>
      <c r="W138" s="9078"/>
      <c r="X138" s="9079"/>
      <c r="Y138" s="9083"/>
      <c r="Z138" s="9084"/>
      <c r="AA138" s="9085"/>
      <c r="AB138" s="9086"/>
      <c r="AC138" s="9076"/>
      <c r="AD138" s="9080"/>
      <c r="AE138" s="9081"/>
      <c r="AF138" s="9082"/>
      <c r="AG138" s="9068"/>
      <c r="AH138" s="9069"/>
      <c r="AI138" s="9069"/>
      <c r="AJ138" s="9070"/>
      <c r="BA138" s="4083"/>
      <c r="BB138" s="4083"/>
      <c r="BC138" s="4083"/>
      <c r="BD138" s="4083"/>
      <c r="BE138" s="4083"/>
      <c r="BF138" s="4083"/>
      <c r="BG138" s="4083"/>
      <c r="BH138" s="4083"/>
      <c r="BI138" s="4083"/>
      <c r="BJ138" s="4083"/>
    </row>
    <row r="139" spans="2:62" s="182" customFormat="1" ht="15">
      <c r="B139" s="9071"/>
      <c r="C139" s="9072"/>
      <c r="D139" s="9072"/>
      <c r="E139" s="9072"/>
      <c r="F139" s="9072"/>
      <c r="G139" s="9072"/>
      <c r="H139" s="9072"/>
      <c r="I139" s="9073"/>
      <c r="J139" s="9074"/>
      <c r="K139" s="9075"/>
      <c r="L139" s="9076"/>
      <c r="M139" s="9077"/>
      <c r="N139" s="9078"/>
      <c r="O139" s="9079"/>
      <c r="P139" s="9080"/>
      <c r="Q139" s="9081"/>
      <c r="R139" s="9082"/>
      <c r="S139" s="9077"/>
      <c r="T139" s="9078"/>
      <c r="U139" s="9079"/>
      <c r="V139" s="9077"/>
      <c r="W139" s="9078"/>
      <c r="X139" s="9079"/>
      <c r="Y139" s="9083"/>
      <c r="Z139" s="9084"/>
      <c r="AA139" s="9085"/>
      <c r="AB139" s="9086"/>
      <c r="AC139" s="9076"/>
      <c r="AD139" s="9080"/>
      <c r="AE139" s="9081"/>
      <c r="AF139" s="9082"/>
      <c r="AG139" s="9068"/>
      <c r="AH139" s="9069"/>
      <c r="AI139" s="9069"/>
      <c r="AJ139" s="9070"/>
      <c r="BA139" s="4083"/>
      <c r="BB139" s="4083"/>
      <c r="BC139" s="4083"/>
      <c r="BD139" s="4083"/>
      <c r="BE139" s="4083"/>
      <c r="BF139" s="4083"/>
      <c r="BG139" s="4083"/>
      <c r="BH139" s="4083"/>
      <c r="BI139" s="4083"/>
      <c r="BJ139" s="4083"/>
    </row>
    <row r="140" spans="2:62" s="182" customFormat="1" ht="15">
      <c r="B140" s="9071"/>
      <c r="C140" s="9072"/>
      <c r="D140" s="9072"/>
      <c r="E140" s="9072"/>
      <c r="F140" s="9072"/>
      <c r="G140" s="9072"/>
      <c r="H140" s="9072"/>
      <c r="I140" s="9073"/>
      <c r="J140" s="9074"/>
      <c r="K140" s="9075"/>
      <c r="L140" s="9076"/>
      <c r="M140" s="9077"/>
      <c r="N140" s="9078"/>
      <c r="O140" s="9079"/>
      <c r="P140" s="9080"/>
      <c r="Q140" s="9081"/>
      <c r="R140" s="9082"/>
      <c r="S140" s="9077"/>
      <c r="T140" s="9078"/>
      <c r="U140" s="9079"/>
      <c r="V140" s="9077"/>
      <c r="W140" s="9078"/>
      <c r="X140" s="9079"/>
      <c r="Y140" s="9083"/>
      <c r="Z140" s="9084"/>
      <c r="AA140" s="9085"/>
      <c r="AB140" s="9086"/>
      <c r="AC140" s="9076"/>
      <c r="AD140" s="9080"/>
      <c r="AE140" s="9081"/>
      <c r="AF140" s="9082"/>
      <c r="AG140" s="9068"/>
      <c r="AH140" s="9069"/>
      <c r="AI140" s="9069"/>
      <c r="AJ140" s="9070"/>
      <c r="BA140" s="4083"/>
      <c r="BB140" s="4083"/>
      <c r="BC140" s="4083"/>
      <c r="BD140" s="4083"/>
      <c r="BE140" s="4083"/>
      <c r="BF140" s="4083"/>
      <c r="BG140" s="4083"/>
      <c r="BH140" s="4083"/>
      <c r="BI140" s="4083"/>
      <c r="BJ140" s="4083"/>
    </row>
    <row r="141" spans="2:62" s="182" customFormat="1" ht="15">
      <c r="B141" s="9071"/>
      <c r="C141" s="9072"/>
      <c r="D141" s="9072"/>
      <c r="E141" s="9072"/>
      <c r="F141" s="9072"/>
      <c r="G141" s="9072"/>
      <c r="H141" s="9072"/>
      <c r="I141" s="9073"/>
      <c r="J141" s="9074"/>
      <c r="K141" s="9075"/>
      <c r="L141" s="9076"/>
      <c r="M141" s="9077"/>
      <c r="N141" s="9078"/>
      <c r="O141" s="9079"/>
      <c r="P141" s="9080"/>
      <c r="Q141" s="9081"/>
      <c r="R141" s="9082"/>
      <c r="S141" s="9077"/>
      <c r="T141" s="9078"/>
      <c r="U141" s="9079"/>
      <c r="V141" s="9077"/>
      <c r="W141" s="9078"/>
      <c r="X141" s="9079"/>
      <c r="Y141" s="9083"/>
      <c r="Z141" s="9084"/>
      <c r="AA141" s="9085"/>
      <c r="AB141" s="9086"/>
      <c r="AC141" s="9076"/>
      <c r="AD141" s="9080"/>
      <c r="AE141" s="9081"/>
      <c r="AF141" s="9082"/>
      <c r="AG141" s="9068"/>
      <c r="AH141" s="9069"/>
      <c r="AI141" s="9069"/>
      <c r="AJ141" s="9070"/>
      <c r="BA141" s="4083"/>
      <c r="BB141" s="4083"/>
      <c r="BC141" s="4083"/>
      <c r="BD141" s="4083"/>
      <c r="BE141" s="4083"/>
      <c r="BF141" s="4083"/>
      <c r="BG141" s="4083"/>
      <c r="BH141" s="4083"/>
      <c r="BI141" s="4083"/>
      <c r="BJ141" s="4083"/>
    </row>
    <row r="142" spans="2:62" s="182" customFormat="1" ht="15">
      <c r="B142" s="9071"/>
      <c r="C142" s="9072"/>
      <c r="D142" s="9072"/>
      <c r="E142" s="9072"/>
      <c r="F142" s="9072"/>
      <c r="G142" s="9072"/>
      <c r="H142" s="9072"/>
      <c r="I142" s="9073"/>
      <c r="J142" s="9074"/>
      <c r="K142" s="9075"/>
      <c r="L142" s="9076"/>
      <c r="M142" s="9077"/>
      <c r="N142" s="9078"/>
      <c r="O142" s="9079"/>
      <c r="P142" s="9080"/>
      <c r="Q142" s="9081"/>
      <c r="R142" s="9082"/>
      <c r="S142" s="9077"/>
      <c r="T142" s="9078"/>
      <c r="U142" s="9079"/>
      <c r="V142" s="9077"/>
      <c r="W142" s="9078"/>
      <c r="X142" s="9079"/>
      <c r="Y142" s="9083"/>
      <c r="Z142" s="9084"/>
      <c r="AA142" s="9085"/>
      <c r="AB142" s="9086"/>
      <c r="AC142" s="9076"/>
      <c r="AD142" s="9080"/>
      <c r="AE142" s="9081"/>
      <c r="AF142" s="9082"/>
      <c r="AG142" s="9068"/>
      <c r="AH142" s="9069"/>
      <c r="AI142" s="9069"/>
      <c r="AJ142" s="9070"/>
      <c r="BA142" s="4083"/>
      <c r="BB142" s="4083"/>
      <c r="BC142" s="4083"/>
      <c r="BD142" s="4083"/>
      <c r="BE142" s="4083"/>
      <c r="BF142" s="4083"/>
      <c r="BG142" s="4083"/>
      <c r="BH142" s="4083"/>
      <c r="BI142" s="4083"/>
      <c r="BJ142" s="4083"/>
    </row>
    <row r="143" spans="2:62" s="182" customFormat="1" ht="15">
      <c r="B143" s="9071"/>
      <c r="C143" s="9072"/>
      <c r="D143" s="9072"/>
      <c r="E143" s="9072"/>
      <c r="F143" s="9072"/>
      <c r="G143" s="9072"/>
      <c r="H143" s="9072"/>
      <c r="I143" s="9073"/>
      <c r="J143" s="9074"/>
      <c r="K143" s="9075"/>
      <c r="L143" s="9076"/>
      <c r="M143" s="9077"/>
      <c r="N143" s="9078"/>
      <c r="O143" s="9079"/>
      <c r="P143" s="9080"/>
      <c r="Q143" s="9081"/>
      <c r="R143" s="9082"/>
      <c r="S143" s="9077"/>
      <c r="T143" s="9078"/>
      <c r="U143" s="9079"/>
      <c r="V143" s="9077"/>
      <c r="W143" s="9078"/>
      <c r="X143" s="9079"/>
      <c r="Y143" s="9083"/>
      <c r="Z143" s="9084"/>
      <c r="AA143" s="9085"/>
      <c r="AB143" s="9086"/>
      <c r="AC143" s="9076"/>
      <c r="AD143" s="9080"/>
      <c r="AE143" s="9081"/>
      <c r="AF143" s="9082"/>
      <c r="AG143" s="9068"/>
      <c r="AH143" s="9069"/>
      <c r="AI143" s="9069"/>
      <c r="AJ143" s="9070"/>
      <c r="BA143" s="4083"/>
      <c r="BB143" s="4083"/>
      <c r="BC143" s="4083"/>
      <c r="BD143" s="4083"/>
      <c r="BE143" s="4083"/>
      <c r="BF143" s="4083"/>
      <c r="BG143" s="4083"/>
      <c r="BH143" s="4083"/>
      <c r="BI143" s="4083"/>
      <c r="BJ143" s="4083"/>
    </row>
    <row r="144" spans="2:62" s="182" customFormat="1" ht="15">
      <c r="B144" s="9071"/>
      <c r="C144" s="9072"/>
      <c r="D144" s="9072"/>
      <c r="E144" s="9072"/>
      <c r="F144" s="9072"/>
      <c r="G144" s="9072"/>
      <c r="H144" s="9072"/>
      <c r="I144" s="9073"/>
      <c r="J144" s="9074"/>
      <c r="K144" s="9075"/>
      <c r="L144" s="9076"/>
      <c r="M144" s="9077"/>
      <c r="N144" s="9078"/>
      <c r="O144" s="9079"/>
      <c r="P144" s="9080"/>
      <c r="Q144" s="9081"/>
      <c r="R144" s="9082"/>
      <c r="S144" s="9077"/>
      <c r="T144" s="9078"/>
      <c r="U144" s="9079"/>
      <c r="V144" s="9077"/>
      <c r="W144" s="9078"/>
      <c r="X144" s="9079"/>
      <c r="Y144" s="9083"/>
      <c r="Z144" s="9084"/>
      <c r="AA144" s="9085"/>
      <c r="AB144" s="9086"/>
      <c r="AC144" s="9076"/>
      <c r="AD144" s="9080"/>
      <c r="AE144" s="9081"/>
      <c r="AF144" s="9082"/>
      <c r="AG144" s="9068"/>
      <c r="AH144" s="9069"/>
      <c r="AI144" s="9069"/>
      <c r="AJ144" s="9070"/>
      <c r="BA144" s="4083"/>
      <c r="BB144" s="4083"/>
      <c r="BC144" s="4083"/>
      <c r="BD144" s="4083"/>
      <c r="BE144" s="4083"/>
      <c r="BF144" s="4083"/>
      <c r="BG144" s="4083"/>
      <c r="BH144" s="4083"/>
      <c r="BI144" s="4083"/>
      <c r="BJ144" s="4083"/>
    </row>
    <row r="145" spans="2:62" s="182" customFormat="1" ht="15">
      <c r="B145" s="9071"/>
      <c r="C145" s="9072"/>
      <c r="D145" s="9072"/>
      <c r="E145" s="9072"/>
      <c r="F145" s="9072"/>
      <c r="G145" s="9072"/>
      <c r="H145" s="9072"/>
      <c r="I145" s="9073"/>
      <c r="J145" s="9074"/>
      <c r="K145" s="9075"/>
      <c r="L145" s="9076"/>
      <c r="M145" s="9077"/>
      <c r="N145" s="9078"/>
      <c r="O145" s="9079"/>
      <c r="P145" s="9080"/>
      <c r="Q145" s="9081"/>
      <c r="R145" s="9082"/>
      <c r="S145" s="9077"/>
      <c r="T145" s="9078"/>
      <c r="U145" s="9079"/>
      <c r="V145" s="9077"/>
      <c r="W145" s="9078"/>
      <c r="X145" s="9079"/>
      <c r="Y145" s="9083"/>
      <c r="Z145" s="9084"/>
      <c r="AA145" s="9085"/>
      <c r="AB145" s="9086"/>
      <c r="AC145" s="9076"/>
      <c r="AD145" s="9080"/>
      <c r="AE145" s="9081"/>
      <c r="AF145" s="9082"/>
      <c r="AG145" s="9068"/>
      <c r="AH145" s="9069"/>
      <c r="AI145" s="9069"/>
      <c r="AJ145" s="9070"/>
      <c r="BA145" s="4083"/>
      <c r="BB145" s="4083"/>
      <c r="BC145" s="4083"/>
      <c r="BD145" s="4083"/>
      <c r="BE145" s="4083"/>
      <c r="BF145" s="4083"/>
      <c r="BG145" s="4083"/>
      <c r="BH145" s="4083"/>
      <c r="BI145" s="4083"/>
      <c r="BJ145" s="4083"/>
    </row>
    <row r="146" spans="2:62" s="182" customFormat="1" ht="15">
      <c r="B146" s="9071"/>
      <c r="C146" s="9072"/>
      <c r="D146" s="9072"/>
      <c r="E146" s="9072"/>
      <c r="F146" s="9072"/>
      <c r="G146" s="9072"/>
      <c r="H146" s="9072"/>
      <c r="I146" s="9073"/>
      <c r="J146" s="9074"/>
      <c r="K146" s="9075"/>
      <c r="L146" s="9076"/>
      <c r="M146" s="9077"/>
      <c r="N146" s="9078"/>
      <c r="O146" s="9079"/>
      <c r="P146" s="9080"/>
      <c r="Q146" s="9081"/>
      <c r="R146" s="9082"/>
      <c r="S146" s="9077"/>
      <c r="T146" s="9078"/>
      <c r="U146" s="9079"/>
      <c r="V146" s="9077"/>
      <c r="W146" s="9078"/>
      <c r="X146" s="9079"/>
      <c r="Y146" s="9083"/>
      <c r="Z146" s="9084"/>
      <c r="AA146" s="9085"/>
      <c r="AB146" s="9086"/>
      <c r="AC146" s="9076"/>
      <c r="AD146" s="9080"/>
      <c r="AE146" s="9081"/>
      <c r="AF146" s="9082"/>
      <c r="AG146" s="9068"/>
      <c r="AH146" s="9069"/>
      <c r="AI146" s="9069"/>
      <c r="AJ146" s="9070"/>
      <c r="BA146" s="4083"/>
      <c r="BB146" s="4083"/>
      <c r="BC146" s="4083"/>
      <c r="BD146" s="4083"/>
      <c r="BE146" s="4083"/>
      <c r="BF146" s="4083"/>
      <c r="BG146" s="4083"/>
      <c r="BH146" s="4083"/>
      <c r="BI146" s="4083"/>
      <c r="BJ146" s="4083"/>
    </row>
    <row r="147" spans="2:62" s="182" customFormat="1" ht="15">
      <c r="B147" s="9071"/>
      <c r="C147" s="9072"/>
      <c r="D147" s="9072"/>
      <c r="E147" s="9072"/>
      <c r="F147" s="9072"/>
      <c r="G147" s="9072"/>
      <c r="H147" s="9072"/>
      <c r="I147" s="9073"/>
      <c r="J147" s="9074"/>
      <c r="K147" s="9075"/>
      <c r="L147" s="9076"/>
      <c r="M147" s="9077"/>
      <c r="N147" s="9078"/>
      <c r="O147" s="9079"/>
      <c r="P147" s="9080"/>
      <c r="Q147" s="9081"/>
      <c r="R147" s="9082"/>
      <c r="S147" s="9077"/>
      <c r="T147" s="9078"/>
      <c r="U147" s="9079"/>
      <c r="V147" s="9077"/>
      <c r="W147" s="9078"/>
      <c r="X147" s="9079"/>
      <c r="Y147" s="9083"/>
      <c r="Z147" s="9084"/>
      <c r="AA147" s="9085"/>
      <c r="AB147" s="9086"/>
      <c r="AC147" s="9076"/>
      <c r="AD147" s="9080"/>
      <c r="AE147" s="9081"/>
      <c r="AF147" s="9082"/>
      <c r="AG147" s="9068"/>
      <c r="AH147" s="9069"/>
      <c r="AI147" s="9069"/>
      <c r="AJ147" s="9070"/>
      <c r="BA147" s="4083"/>
      <c r="BB147" s="4083"/>
      <c r="BC147" s="4083"/>
      <c r="BD147" s="4083"/>
      <c r="BE147" s="4083"/>
      <c r="BF147" s="4083"/>
      <c r="BG147" s="4083"/>
      <c r="BH147" s="4083"/>
      <c r="BI147" s="4083"/>
      <c r="BJ147" s="4083"/>
    </row>
    <row r="148" spans="2:62" s="182" customFormat="1" ht="15">
      <c r="B148" s="9071"/>
      <c r="C148" s="9072"/>
      <c r="D148" s="9072"/>
      <c r="E148" s="9072"/>
      <c r="F148" s="9072"/>
      <c r="G148" s="9072"/>
      <c r="H148" s="9072"/>
      <c r="I148" s="9073"/>
      <c r="J148" s="9074"/>
      <c r="K148" s="9075"/>
      <c r="L148" s="9076"/>
      <c r="M148" s="9077"/>
      <c r="N148" s="9078"/>
      <c r="O148" s="9079"/>
      <c r="P148" s="9080"/>
      <c r="Q148" s="9081"/>
      <c r="R148" s="9082"/>
      <c r="S148" s="9077"/>
      <c r="T148" s="9078"/>
      <c r="U148" s="9079"/>
      <c r="V148" s="9077"/>
      <c r="W148" s="9078"/>
      <c r="X148" s="9079"/>
      <c r="Y148" s="9083"/>
      <c r="Z148" s="9084"/>
      <c r="AA148" s="9085"/>
      <c r="AB148" s="9086"/>
      <c r="AC148" s="9076"/>
      <c r="AD148" s="9080"/>
      <c r="AE148" s="9081"/>
      <c r="AF148" s="9082"/>
      <c r="AG148" s="9068"/>
      <c r="AH148" s="9069"/>
      <c r="AI148" s="9069"/>
      <c r="AJ148" s="9070"/>
      <c r="BA148" s="4083"/>
      <c r="BB148" s="4083"/>
      <c r="BC148" s="4083"/>
      <c r="BD148" s="4083"/>
      <c r="BE148" s="4083"/>
      <c r="BF148" s="4083"/>
      <c r="BG148" s="4083"/>
      <c r="BH148" s="4083"/>
      <c r="BI148" s="4083"/>
      <c r="BJ148" s="4083"/>
    </row>
    <row r="149" spans="2:62" s="182" customFormat="1" ht="15">
      <c r="B149" s="9071"/>
      <c r="C149" s="9072"/>
      <c r="D149" s="9072"/>
      <c r="E149" s="9072"/>
      <c r="F149" s="9072"/>
      <c r="G149" s="9072"/>
      <c r="H149" s="9072"/>
      <c r="I149" s="9073"/>
      <c r="J149" s="9074"/>
      <c r="K149" s="9075"/>
      <c r="L149" s="9076"/>
      <c r="M149" s="9077"/>
      <c r="N149" s="9078"/>
      <c r="O149" s="9079"/>
      <c r="P149" s="9080"/>
      <c r="Q149" s="9081"/>
      <c r="R149" s="9082"/>
      <c r="S149" s="9077"/>
      <c r="T149" s="9078"/>
      <c r="U149" s="9079"/>
      <c r="V149" s="9077"/>
      <c r="W149" s="9078"/>
      <c r="X149" s="9079"/>
      <c r="Y149" s="9083"/>
      <c r="Z149" s="9084"/>
      <c r="AA149" s="9085"/>
      <c r="AB149" s="9086"/>
      <c r="AC149" s="9076"/>
      <c r="AD149" s="9080"/>
      <c r="AE149" s="9081"/>
      <c r="AF149" s="9082"/>
      <c r="AG149" s="9068"/>
      <c r="AH149" s="9069"/>
      <c r="AI149" s="9069"/>
      <c r="AJ149" s="9070"/>
      <c r="BA149" s="4083"/>
      <c r="BB149" s="4083"/>
      <c r="BC149" s="4083"/>
      <c r="BD149" s="4083"/>
      <c r="BE149" s="4083"/>
      <c r="BF149" s="4083"/>
      <c r="BG149" s="4083"/>
      <c r="BH149" s="4083"/>
      <c r="BI149" s="4083"/>
      <c r="BJ149" s="4083"/>
    </row>
    <row r="150" spans="2:62" s="182" customFormat="1" ht="15">
      <c r="B150" s="9071"/>
      <c r="C150" s="9072"/>
      <c r="D150" s="9072"/>
      <c r="E150" s="9072"/>
      <c r="F150" s="9072"/>
      <c r="G150" s="9072"/>
      <c r="H150" s="9072"/>
      <c r="I150" s="9073"/>
      <c r="J150" s="9074"/>
      <c r="K150" s="9075"/>
      <c r="L150" s="9076"/>
      <c r="M150" s="9077"/>
      <c r="N150" s="9078"/>
      <c r="O150" s="9079"/>
      <c r="P150" s="9080"/>
      <c r="Q150" s="9081"/>
      <c r="R150" s="9082"/>
      <c r="S150" s="9077"/>
      <c r="T150" s="9078"/>
      <c r="U150" s="9079"/>
      <c r="V150" s="9077"/>
      <c r="W150" s="9078"/>
      <c r="X150" s="9079"/>
      <c r="Y150" s="9083"/>
      <c r="Z150" s="9084"/>
      <c r="AA150" s="9085"/>
      <c r="AB150" s="9086"/>
      <c r="AC150" s="9076"/>
      <c r="AD150" s="9080"/>
      <c r="AE150" s="9081"/>
      <c r="AF150" s="9082"/>
      <c r="AG150" s="9068"/>
      <c r="AH150" s="9069"/>
      <c r="AI150" s="9069"/>
      <c r="AJ150" s="9070"/>
      <c r="BA150" s="4083"/>
      <c r="BB150" s="4083"/>
      <c r="BC150" s="4083"/>
      <c r="BD150" s="4083"/>
      <c r="BE150" s="4083"/>
      <c r="BF150" s="4083"/>
      <c r="BG150" s="4083"/>
      <c r="BH150" s="4083"/>
      <c r="BI150" s="4083"/>
      <c r="BJ150" s="4083"/>
    </row>
    <row r="151" spans="2:62" s="182" customFormat="1" ht="15">
      <c r="B151" s="9071"/>
      <c r="C151" s="9072"/>
      <c r="D151" s="9072"/>
      <c r="E151" s="9072"/>
      <c r="F151" s="9072"/>
      <c r="G151" s="9072"/>
      <c r="H151" s="9072"/>
      <c r="I151" s="9073"/>
      <c r="J151" s="9074"/>
      <c r="K151" s="9075"/>
      <c r="L151" s="9076"/>
      <c r="M151" s="9077"/>
      <c r="N151" s="9078"/>
      <c r="O151" s="9079"/>
      <c r="P151" s="9080"/>
      <c r="Q151" s="9081"/>
      <c r="R151" s="9082"/>
      <c r="S151" s="9077"/>
      <c r="T151" s="9078"/>
      <c r="U151" s="9079"/>
      <c r="V151" s="9077"/>
      <c r="W151" s="9078"/>
      <c r="X151" s="9079"/>
      <c r="Y151" s="9083"/>
      <c r="Z151" s="9084"/>
      <c r="AA151" s="9085"/>
      <c r="AB151" s="9086"/>
      <c r="AC151" s="9076"/>
      <c r="AD151" s="9080"/>
      <c r="AE151" s="9081"/>
      <c r="AF151" s="9082"/>
      <c r="AG151" s="9068"/>
      <c r="AH151" s="9069"/>
      <c r="AI151" s="9069"/>
      <c r="AJ151" s="9070"/>
      <c r="BA151" s="4083"/>
      <c r="BB151" s="4083"/>
      <c r="BC151" s="4083"/>
      <c r="BD151" s="4083"/>
      <c r="BE151" s="4083"/>
      <c r="BF151" s="4083"/>
      <c r="BG151" s="4083"/>
      <c r="BH151" s="4083"/>
      <c r="BI151" s="4083"/>
      <c r="BJ151" s="4083"/>
    </row>
    <row r="152" spans="2:62" s="182" customFormat="1" ht="15">
      <c r="B152" s="9071"/>
      <c r="C152" s="9072"/>
      <c r="D152" s="9072"/>
      <c r="E152" s="9072"/>
      <c r="F152" s="9072"/>
      <c r="G152" s="9072"/>
      <c r="H152" s="9072"/>
      <c r="I152" s="9073"/>
      <c r="J152" s="9074"/>
      <c r="K152" s="9075"/>
      <c r="L152" s="9076"/>
      <c r="M152" s="9077"/>
      <c r="N152" s="9078"/>
      <c r="O152" s="9079"/>
      <c r="P152" s="9080"/>
      <c r="Q152" s="9081"/>
      <c r="R152" s="9082"/>
      <c r="S152" s="9077"/>
      <c r="T152" s="9078"/>
      <c r="U152" s="9079"/>
      <c r="V152" s="9077"/>
      <c r="W152" s="9078"/>
      <c r="X152" s="9079"/>
      <c r="Y152" s="9083"/>
      <c r="Z152" s="9084"/>
      <c r="AA152" s="9085"/>
      <c r="AB152" s="9086"/>
      <c r="AC152" s="9076"/>
      <c r="AD152" s="9080"/>
      <c r="AE152" s="9081"/>
      <c r="AF152" s="9082"/>
      <c r="AG152" s="9068"/>
      <c r="AH152" s="9069"/>
      <c r="AI152" s="9069"/>
      <c r="AJ152" s="9070"/>
      <c r="BA152" s="4083"/>
      <c r="BB152" s="4083"/>
      <c r="BC152" s="4083"/>
      <c r="BD152" s="4083"/>
      <c r="BE152" s="4083"/>
      <c r="BF152" s="4083"/>
      <c r="BG152" s="4083"/>
      <c r="BH152" s="4083"/>
      <c r="BI152" s="4083"/>
      <c r="BJ152" s="4083"/>
    </row>
    <row r="153" spans="2:62" s="182" customFormat="1" ht="15">
      <c r="B153" s="9071"/>
      <c r="C153" s="9072"/>
      <c r="D153" s="9072"/>
      <c r="E153" s="9072"/>
      <c r="F153" s="9072"/>
      <c r="G153" s="9072"/>
      <c r="H153" s="9072"/>
      <c r="I153" s="9073"/>
      <c r="J153" s="9074"/>
      <c r="K153" s="9075"/>
      <c r="L153" s="9076"/>
      <c r="M153" s="9077"/>
      <c r="N153" s="9078"/>
      <c r="O153" s="9079"/>
      <c r="P153" s="9080"/>
      <c r="Q153" s="9081"/>
      <c r="R153" s="9082"/>
      <c r="S153" s="9077"/>
      <c r="T153" s="9078"/>
      <c r="U153" s="9079"/>
      <c r="V153" s="9077"/>
      <c r="W153" s="9078"/>
      <c r="X153" s="9079"/>
      <c r="Y153" s="9083"/>
      <c r="Z153" s="9084"/>
      <c r="AA153" s="9085"/>
      <c r="AB153" s="9086"/>
      <c r="AC153" s="9076"/>
      <c r="AD153" s="9080"/>
      <c r="AE153" s="9081"/>
      <c r="AF153" s="9082"/>
      <c r="AG153" s="9068"/>
      <c r="AH153" s="9069"/>
      <c r="AI153" s="9069"/>
      <c r="AJ153" s="9070"/>
      <c r="BA153" s="4083"/>
      <c r="BB153" s="4083"/>
      <c r="BC153" s="4083"/>
      <c r="BD153" s="4083"/>
      <c r="BE153" s="4083"/>
      <c r="BF153" s="4083"/>
      <c r="BG153" s="4083"/>
      <c r="BH153" s="4083"/>
      <c r="BI153" s="4083"/>
      <c r="BJ153" s="4083"/>
    </row>
    <row r="154" spans="2:62" s="182" customFormat="1" ht="15">
      <c r="B154" s="9071"/>
      <c r="C154" s="9072"/>
      <c r="D154" s="9072"/>
      <c r="E154" s="9072"/>
      <c r="F154" s="9072"/>
      <c r="G154" s="9072"/>
      <c r="H154" s="9072"/>
      <c r="I154" s="9073"/>
      <c r="J154" s="9074"/>
      <c r="K154" s="9075"/>
      <c r="L154" s="9076"/>
      <c r="M154" s="9077"/>
      <c r="N154" s="9078"/>
      <c r="O154" s="9079"/>
      <c r="P154" s="9080"/>
      <c r="Q154" s="9081"/>
      <c r="R154" s="9082"/>
      <c r="S154" s="9077"/>
      <c r="T154" s="9078"/>
      <c r="U154" s="9079"/>
      <c r="V154" s="9077"/>
      <c r="W154" s="9078"/>
      <c r="X154" s="9079"/>
      <c r="Y154" s="9083"/>
      <c r="Z154" s="9084"/>
      <c r="AA154" s="9085"/>
      <c r="AB154" s="9086"/>
      <c r="AC154" s="9076"/>
      <c r="AD154" s="9080"/>
      <c r="AE154" s="9081"/>
      <c r="AF154" s="9082"/>
      <c r="AG154" s="9068"/>
      <c r="AH154" s="9069"/>
      <c r="AI154" s="9069"/>
      <c r="AJ154" s="9070"/>
      <c r="BA154" s="4083"/>
      <c r="BB154" s="4083"/>
      <c r="BC154" s="4083"/>
      <c r="BD154" s="4083"/>
      <c r="BE154" s="4083"/>
      <c r="BF154" s="4083"/>
      <c r="BG154" s="4083"/>
      <c r="BH154" s="4083"/>
      <c r="BI154" s="4083"/>
      <c r="BJ154" s="4083"/>
    </row>
    <row r="155" spans="2:62" s="182" customFormat="1" ht="15">
      <c r="B155" s="9071"/>
      <c r="C155" s="9072"/>
      <c r="D155" s="9072"/>
      <c r="E155" s="9072"/>
      <c r="F155" s="9072"/>
      <c r="G155" s="9072"/>
      <c r="H155" s="9072"/>
      <c r="I155" s="9073"/>
      <c r="J155" s="9074"/>
      <c r="K155" s="9075"/>
      <c r="L155" s="9076"/>
      <c r="M155" s="9077"/>
      <c r="N155" s="9078"/>
      <c r="O155" s="9079"/>
      <c r="P155" s="9080"/>
      <c r="Q155" s="9081"/>
      <c r="R155" s="9082"/>
      <c r="S155" s="9077"/>
      <c r="T155" s="9078"/>
      <c r="U155" s="9079"/>
      <c r="V155" s="9077"/>
      <c r="W155" s="9078"/>
      <c r="X155" s="9079"/>
      <c r="Y155" s="9083"/>
      <c r="Z155" s="9084"/>
      <c r="AA155" s="9085"/>
      <c r="AB155" s="9086"/>
      <c r="AC155" s="9076"/>
      <c r="AD155" s="9080"/>
      <c r="AE155" s="9081"/>
      <c r="AF155" s="9082"/>
      <c r="AG155" s="9068"/>
      <c r="AH155" s="9069"/>
      <c r="AI155" s="9069"/>
      <c r="AJ155" s="9070"/>
      <c r="BA155" s="4083"/>
      <c r="BB155" s="4083"/>
      <c r="BC155" s="4083"/>
      <c r="BD155" s="4083"/>
      <c r="BE155" s="4083"/>
      <c r="BF155" s="4083"/>
      <c r="BG155" s="4083"/>
      <c r="BH155" s="4083"/>
      <c r="BI155" s="4083"/>
      <c r="BJ155" s="4083"/>
    </row>
    <row r="156" spans="2:62" s="182" customFormat="1" ht="15">
      <c r="B156" s="9071"/>
      <c r="C156" s="9072"/>
      <c r="D156" s="9072"/>
      <c r="E156" s="9072"/>
      <c r="F156" s="9072"/>
      <c r="G156" s="9072"/>
      <c r="H156" s="9072"/>
      <c r="I156" s="9073"/>
      <c r="J156" s="9074"/>
      <c r="K156" s="9075"/>
      <c r="L156" s="9076"/>
      <c r="M156" s="9077"/>
      <c r="N156" s="9078"/>
      <c r="O156" s="9079"/>
      <c r="P156" s="9080"/>
      <c r="Q156" s="9081"/>
      <c r="R156" s="9082"/>
      <c r="S156" s="9077"/>
      <c r="T156" s="9078"/>
      <c r="U156" s="9079"/>
      <c r="V156" s="9077"/>
      <c r="W156" s="9078"/>
      <c r="X156" s="9079"/>
      <c r="Y156" s="9083"/>
      <c r="Z156" s="9084"/>
      <c r="AA156" s="9085"/>
      <c r="AB156" s="9086"/>
      <c r="AC156" s="9076"/>
      <c r="AD156" s="9080"/>
      <c r="AE156" s="9081"/>
      <c r="AF156" s="9082"/>
      <c r="AG156" s="9068"/>
      <c r="AH156" s="9069"/>
      <c r="AI156" s="9069"/>
      <c r="AJ156" s="9070"/>
      <c r="BA156" s="4083"/>
      <c r="BB156" s="4083"/>
      <c r="BC156" s="4083"/>
      <c r="BD156" s="4083"/>
      <c r="BE156" s="4083"/>
      <c r="BF156" s="4083"/>
      <c r="BG156" s="4083"/>
      <c r="BH156" s="4083"/>
      <c r="BI156" s="4083"/>
      <c r="BJ156" s="4083"/>
    </row>
  </sheetData>
  <mergeCells count="695">
    <mergeCell ref="B96:B97"/>
    <mergeCell ref="C96:L97"/>
    <mergeCell ref="AG154:AJ154"/>
    <mergeCell ref="B155:I155"/>
    <mergeCell ref="J155:L155"/>
    <mergeCell ref="M155:O155"/>
    <mergeCell ref="P155:R155"/>
    <mergeCell ref="S155:U155"/>
    <mergeCell ref="V155:X155"/>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G110:AH110"/>
    <mergeCell ref="AI110:AJ110"/>
    <mergeCell ref="B112:C112"/>
    <mergeCell ref="B113:I113"/>
    <mergeCell ref="J113:O113"/>
    <mergeCell ref="P113:U113"/>
    <mergeCell ref="V113:Y113"/>
    <mergeCell ref="Z113:AC113"/>
    <mergeCell ref="AD113:AJ113"/>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C98:L98"/>
    <mergeCell ref="M98:N98"/>
    <mergeCell ref="O98:P98"/>
    <mergeCell ref="Q98:R98"/>
    <mergeCell ref="S98:T98"/>
    <mergeCell ref="U98:V98"/>
    <mergeCell ref="Y97:Z97"/>
    <mergeCell ref="AA97:AB97"/>
    <mergeCell ref="AC97:AD97"/>
    <mergeCell ref="AE97:AF97"/>
    <mergeCell ref="AG97:AH97"/>
    <mergeCell ref="AI97:AJ97"/>
    <mergeCell ref="M97:N97"/>
    <mergeCell ref="O97:P97"/>
    <mergeCell ref="Q97:R97"/>
    <mergeCell ref="S97:T97"/>
    <mergeCell ref="U97:V97"/>
    <mergeCell ref="W97:X97"/>
    <mergeCell ref="Y96:Z96"/>
    <mergeCell ref="AA96:AB96"/>
    <mergeCell ref="AC96:AD96"/>
    <mergeCell ref="AE96:AF96"/>
    <mergeCell ref="AG96:AH96"/>
    <mergeCell ref="AI96:AJ96"/>
    <mergeCell ref="M96:N96"/>
    <mergeCell ref="O96:P96"/>
    <mergeCell ref="Q96:R96"/>
    <mergeCell ref="S96:T96"/>
    <mergeCell ref="U96:V96"/>
    <mergeCell ref="W96:X96"/>
    <mergeCell ref="M95:P95"/>
    <mergeCell ref="Q95:T95"/>
    <mergeCell ref="U95:X95"/>
    <mergeCell ref="Y95:AB95"/>
    <mergeCell ref="AC95:AF95"/>
    <mergeCell ref="AG95:AJ95"/>
    <mergeCell ref="M93:P93"/>
    <mergeCell ref="Q93:T93"/>
    <mergeCell ref="U93:X93"/>
    <mergeCell ref="Y93:AB93"/>
    <mergeCell ref="AC93:AF93"/>
    <mergeCell ref="AG93:AJ93"/>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Y84:Z84"/>
    <mergeCell ref="AA84:AE84"/>
    <mergeCell ref="AD85:AE85"/>
    <mergeCell ref="AF85:AJ85"/>
    <mergeCell ref="B89:B90"/>
    <mergeCell ref="C89:L90"/>
    <mergeCell ref="M89:P89"/>
    <mergeCell ref="Q89:T89"/>
    <mergeCell ref="U89:X89"/>
    <mergeCell ref="Y89:AB89"/>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B81:E81"/>
    <mergeCell ref="F81:H81"/>
    <mergeCell ref="I81:J81"/>
    <mergeCell ref="L81:O81"/>
    <mergeCell ref="P81:T81"/>
    <mergeCell ref="U81:W81"/>
    <mergeCell ref="Y81:Z81"/>
    <mergeCell ref="AA81:AE81"/>
    <mergeCell ref="Y82:Z82"/>
    <mergeCell ref="AA82:AE82"/>
    <mergeCell ref="B79:E79"/>
    <mergeCell ref="F79:H79"/>
    <mergeCell ref="I79:J79"/>
    <mergeCell ref="L79:O79"/>
    <mergeCell ref="P79:T79"/>
    <mergeCell ref="U79:W79"/>
    <mergeCell ref="X79:Z79"/>
    <mergeCell ref="AA79:AE79"/>
    <mergeCell ref="AF79:AJ79"/>
    <mergeCell ref="B78:E78"/>
    <mergeCell ref="F78:H78"/>
    <mergeCell ref="I78:J78"/>
    <mergeCell ref="L78:O78"/>
    <mergeCell ref="P78:T78"/>
    <mergeCell ref="U78:W78"/>
    <mergeCell ref="X78:Z78"/>
    <mergeCell ref="AA78:AE78"/>
    <mergeCell ref="AF78:AJ78"/>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W61:AA61"/>
    <mergeCell ref="W62:AA62"/>
    <mergeCell ref="B65:C65"/>
    <mergeCell ref="B73:E73"/>
    <mergeCell ref="F73:H73"/>
    <mergeCell ref="I73:K73"/>
    <mergeCell ref="L73:O73"/>
    <mergeCell ref="P73:T73"/>
    <mergeCell ref="U73:W73"/>
    <mergeCell ref="X73:Z73"/>
    <mergeCell ref="AA73:AE73"/>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B33:C33"/>
    <mergeCell ref="AB35:AC35"/>
    <mergeCell ref="AD35:AJ35"/>
    <mergeCell ref="B40:G40"/>
    <mergeCell ref="H40:L40"/>
    <mergeCell ref="M40:R40"/>
    <mergeCell ref="S40:U40"/>
    <mergeCell ref="V40:X40"/>
    <mergeCell ref="Y40:AC40"/>
    <mergeCell ref="AD40:AJ40"/>
    <mergeCell ref="AB29:AC29"/>
    <mergeCell ref="AB30:AC30"/>
    <mergeCell ref="AD30:AJ30"/>
    <mergeCell ref="AB31:AC31"/>
    <mergeCell ref="AD31:AJ31"/>
    <mergeCell ref="AB32:AC32"/>
    <mergeCell ref="AD32:AJ32"/>
    <mergeCell ref="AB24:AC24"/>
    <mergeCell ref="AD24:AJ24"/>
    <mergeCell ref="AB25:AC25"/>
    <mergeCell ref="AD25:AJ25"/>
    <mergeCell ref="W26:AC26"/>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D2:G3"/>
    <mergeCell ref="I2:AB3"/>
    <mergeCell ref="AC2:AJ2"/>
    <mergeCell ref="B3:C3"/>
    <mergeCell ref="AC3:AJ4"/>
    <mergeCell ref="AD5:AG5"/>
    <mergeCell ref="AH5:AI6"/>
    <mergeCell ref="AU5:AU9"/>
    <mergeCell ref="B2:C2"/>
    <mergeCell ref="I4:AB5"/>
  </mergeCells>
  <conditionalFormatting sqref="B9 E9:AH10 B10:C10 B28 B33:B34 B39 B52 B57 B65 B69:B70 B76 B80 B112 B114">
    <cfRule type="expression" dxfId="1141" priority="134">
      <formula>IF(AND(File_Marr_Sep&lt;&gt;"",$AI$9=""),1,0)</formula>
    </cfRule>
  </conditionalFormatting>
  <conditionalFormatting sqref="B107:B108">
    <cfRule type="expression" dxfId="1140" priority="88">
      <formula>$AM$103</formula>
    </cfRule>
  </conditionalFormatting>
  <conditionalFormatting sqref="B110">
    <cfRule type="expression" dxfId="1139" priority="87">
      <formula>$AM$103</formula>
    </cfRule>
  </conditionalFormatting>
  <conditionalFormatting sqref="B77:J79">
    <cfRule type="expression" dxfId="1138" priority="41">
      <formula>NoColor</formula>
    </cfRule>
  </conditionalFormatting>
  <conditionalFormatting sqref="B81:J83">
    <cfRule type="expression" dxfId="1137" priority="38">
      <formula>NoColor</formula>
    </cfRule>
  </conditionalFormatting>
  <conditionalFormatting sqref="B18:AC19">
    <cfRule type="expression" dxfId="1136" priority="65">
      <formula>NoColor</formula>
    </cfRule>
  </conditionalFormatting>
  <conditionalFormatting sqref="B8:AJ8">
    <cfRule type="expression" dxfId="1135" priority="70">
      <formula>NoColor</formula>
    </cfRule>
  </conditionalFormatting>
  <conditionalFormatting sqref="B115:AJ116">
    <cfRule type="expression" dxfId="1134" priority="28">
      <formula>NoColor</formula>
    </cfRule>
  </conditionalFormatting>
  <conditionalFormatting sqref="C107:C111">
    <cfRule type="expression" dxfId="1133" priority="90">
      <formula>$AM$103</formula>
    </cfRule>
  </conditionalFormatting>
  <conditionalFormatting sqref="C114">
    <cfRule type="expression" dxfId="1132" priority="73">
      <formula>$AM$103</formula>
    </cfRule>
  </conditionalFormatting>
  <conditionalFormatting sqref="C117:C118">
    <cfRule type="expression" dxfId="1131" priority="71">
      <formula>$AM$103</formula>
    </cfRule>
  </conditionalFormatting>
  <conditionalFormatting sqref="C102:AJ102 B103:D104 F104:AE104 B105:AF105">
    <cfRule type="expression" dxfId="1130" priority="121">
      <formula>$AM$103</formula>
    </cfRule>
  </conditionalFormatting>
  <conditionalFormatting sqref="E66">
    <cfRule type="expression" dxfId="1129" priority="99">
      <formula>IF(AND(File_Marr_Sep&lt;&gt;"",$AI$9=""),1,0)</formula>
    </cfRule>
  </conditionalFormatting>
  <conditionalFormatting sqref="E68">
    <cfRule type="expression" dxfId="1128" priority="98">
      <formula>IF(AND(File_Marr_Sep&lt;&gt;"",$AI$9=""),1,0)</formula>
    </cfRule>
  </conditionalFormatting>
  <conditionalFormatting sqref="E103:E104">
    <cfRule type="expression" dxfId="1127" priority="117">
      <formula>AM103</formula>
    </cfRule>
  </conditionalFormatting>
  <conditionalFormatting sqref="E28:AH28">
    <cfRule type="expression" dxfId="1126" priority="114">
      <formula>IF(AND(File_Marr_Sep&lt;&gt;"",$AI$9=""),1,0)</formula>
    </cfRule>
  </conditionalFormatting>
  <conditionalFormatting sqref="E33:AH34">
    <cfRule type="expression" dxfId="1125" priority="108">
      <formula>IF(AND(File_Marr_Sep&lt;&gt;"",$AI$9=""),1,0)</formula>
    </cfRule>
  </conditionalFormatting>
  <conditionalFormatting sqref="E39:AH39">
    <cfRule type="expression" dxfId="1124" priority="107">
      <formula>IF(AND(File_Marr_Sep&lt;&gt;"",$AI$9=""),1,0)</formula>
    </cfRule>
  </conditionalFormatting>
  <conditionalFormatting sqref="E52:AH52">
    <cfRule type="expression" dxfId="1123" priority="106">
      <formula>IF(AND(File_Marr_Sep&lt;&gt;"",$AI$9=""),1,0)</formula>
    </cfRule>
  </conditionalFormatting>
  <conditionalFormatting sqref="E57:AH57">
    <cfRule type="expression" dxfId="1122" priority="105">
      <formula>IF(AND(File_Marr_Sep&lt;&gt;"",$AI$9=""),1,0)</formula>
    </cfRule>
  </conditionalFormatting>
  <conditionalFormatting sqref="E65:AH65">
    <cfRule type="expression" dxfId="1121" priority="100">
      <formula>IF(AND(File_Marr_Sep&lt;&gt;"",$AI$9=""),1,0)</formula>
    </cfRule>
  </conditionalFormatting>
  <conditionalFormatting sqref="E69:AH70">
    <cfRule type="expression" dxfId="1120" priority="97">
      <formula>IF(AND(File_Marr_Sep&lt;&gt;"",$AI$9=""),1,0)</formula>
    </cfRule>
  </conditionalFormatting>
  <conditionalFormatting sqref="E76:AH76">
    <cfRule type="expression" dxfId="1119" priority="96">
      <formula>IF(AND(File_Marr_Sep&lt;&gt;"",$AI$9=""),1,0)</formula>
    </cfRule>
  </conditionalFormatting>
  <conditionalFormatting sqref="E80:AH80">
    <cfRule type="expression" dxfId="1118" priority="95">
      <formula>IF(AND(File_Marr_Sep&lt;&gt;"",$AI$9=""),1,0)</formula>
    </cfRule>
  </conditionalFormatting>
  <conditionalFormatting sqref="E112:AH112">
    <cfRule type="expression" dxfId="1117" priority="75">
      <formula>IF(AND(File_Marr_Sep&lt;&gt;"",$AI$9=""),1,0)</formula>
    </cfRule>
  </conditionalFormatting>
  <conditionalFormatting sqref="E114:AH114">
    <cfRule type="expression" dxfId="1116" priority="74">
      <formula>IF(AND(File_Marr_Sep&lt;&gt;"",$AI$9=""),1,0)</formula>
    </cfRule>
  </conditionalFormatting>
  <conditionalFormatting sqref="F103:AG103">
    <cfRule type="expression" dxfId="1115" priority="86">
      <formula>$AM$103</formula>
    </cfRule>
  </conditionalFormatting>
  <conditionalFormatting sqref="H55:L56">
    <cfRule type="expression" dxfId="1114" priority="50">
      <formula>NoColor</formula>
    </cfRule>
  </conditionalFormatting>
  <conditionalFormatting sqref="H48:R51">
    <cfRule type="expression" dxfId="1113" priority="58">
      <formula>NoColor</formula>
    </cfRule>
  </conditionalFormatting>
  <conditionalFormatting sqref="L81:W83">
    <cfRule type="expression" dxfId="1112" priority="37">
      <formula>NoColor</formula>
    </cfRule>
  </conditionalFormatting>
  <conditionalFormatting sqref="L77:AJ79">
    <cfRule type="expression" dxfId="1111" priority="40">
      <formula>NoColor</formula>
    </cfRule>
  </conditionalFormatting>
  <conditionalFormatting sqref="M97:P99">
    <cfRule type="expression" dxfId="1110" priority="12">
      <formula>AND($M97&lt;&gt;"",$O97&lt;&gt;"")</formula>
    </cfRule>
  </conditionalFormatting>
  <conditionalFormatting sqref="M15:R15">
    <cfRule type="expression" dxfId="1109" priority="135">
      <formula>IF(NoColor,1,0)</formula>
    </cfRule>
  </conditionalFormatting>
  <conditionalFormatting sqref="M29:R29">
    <cfRule type="expression" dxfId="1108" priority="112">
      <formula>IF(NoColor,1,0)</formula>
    </cfRule>
  </conditionalFormatting>
  <conditionalFormatting sqref="M47:R47">
    <cfRule type="expression" dxfId="1107" priority="56">
      <formula>NoColor</formula>
    </cfRule>
  </conditionalFormatting>
  <conditionalFormatting sqref="M54:R56">
    <cfRule type="expression" dxfId="1106" priority="51">
      <formula>NoColor</formula>
    </cfRule>
  </conditionalFormatting>
  <conditionalFormatting sqref="M59:R59">
    <cfRule type="expression" dxfId="1105" priority="103">
      <formula>IF(NoColor,1,0)</formula>
    </cfRule>
  </conditionalFormatting>
  <conditionalFormatting sqref="M53:X53">
    <cfRule type="expression" dxfId="1104" priority="53">
      <formula>NoColor</formula>
    </cfRule>
  </conditionalFormatting>
  <conditionalFormatting sqref="M41:AJ46">
    <cfRule type="expression" dxfId="1103" priority="59">
      <formula>NoColor</formula>
    </cfRule>
  </conditionalFormatting>
  <conditionalFormatting sqref="M90:AJ91">
    <cfRule type="expression" dxfId="1102" priority="33">
      <formula>NoColor</formula>
    </cfRule>
  </conditionalFormatting>
  <conditionalFormatting sqref="M93:AJ95">
    <cfRule type="expression" dxfId="1101" priority="31">
      <formula>NoColor</formula>
    </cfRule>
  </conditionalFormatting>
  <conditionalFormatting sqref="M97:AJ99">
    <cfRule type="expression" dxfId="1100" priority="30">
      <formula>NoColor</formula>
    </cfRule>
  </conditionalFormatting>
  <conditionalFormatting sqref="Q97:T99">
    <cfRule type="expression" dxfId="1099" priority="11">
      <formula>AND($Q97&lt;&gt;"",$S97&lt;&gt;"")</formula>
    </cfRule>
  </conditionalFormatting>
  <conditionalFormatting sqref="R107">
    <cfRule type="expression" dxfId="1098" priority="122">
      <formula>AND($AH$106,$AB$106)</formula>
    </cfRule>
  </conditionalFormatting>
  <conditionalFormatting sqref="S71">
    <cfRule type="expression" dxfId="1097" priority="45">
      <formula>NoColor</formula>
    </cfRule>
  </conditionalFormatting>
  <conditionalFormatting sqref="S51:U51">
    <cfRule type="expression" dxfId="1096" priority="54">
      <formula>NoColor</formula>
    </cfRule>
  </conditionalFormatting>
  <conditionalFormatting sqref="T88">
    <cfRule type="expression" dxfId="1095" priority="120">
      <formula>NoColor</formula>
    </cfRule>
  </conditionalFormatting>
  <conditionalFormatting sqref="T66:U66">
    <cfRule type="expression" dxfId="1094" priority="129">
      <formula>IF(NoColor,1,0)</formula>
    </cfRule>
    <cfRule type="expression" dxfId="1093" priority="130">
      <formula>AND(NOT(NoColor),NoSSN)</formula>
    </cfRule>
  </conditionalFormatting>
  <conditionalFormatting sqref="U71">
    <cfRule type="expression" dxfId="1092" priority="44">
      <formula>NoColor</formula>
    </cfRule>
  </conditionalFormatting>
  <conditionalFormatting sqref="U97:X99">
    <cfRule type="expression" dxfId="1091" priority="10">
      <formula>AND($U97&lt;&gt;"",$W97&lt;&gt;"")</formula>
    </cfRule>
  </conditionalFormatting>
  <conditionalFormatting sqref="U66:AJ66">
    <cfRule type="expression" dxfId="1090" priority="118">
      <formula>AND(NoColor,NoSSN)</formula>
    </cfRule>
  </conditionalFormatting>
  <conditionalFormatting sqref="V47:X47">
    <cfRule type="expression" dxfId="1089" priority="55">
      <formula>NoColor</formula>
    </cfRule>
  </conditionalFormatting>
  <conditionalFormatting sqref="V54:X54">
    <cfRule type="expression" dxfId="1088" priority="49">
      <formula>NoColor</formula>
    </cfRule>
  </conditionalFormatting>
  <conditionalFormatting sqref="V20:AC20">
    <cfRule type="expression" dxfId="1087" priority="64">
      <formula>NoColor</formula>
    </cfRule>
  </conditionalFormatting>
  <conditionalFormatting sqref="W62:AA62">
    <cfRule type="expression" dxfId="1086" priority="46">
      <formula>NoColor</formula>
    </cfRule>
  </conditionalFormatting>
  <conditionalFormatting sqref="W26:AC26">
    <cfRule type="expression" dxfId="1085" priority="62">
      <formula>NoColor</formula>
    </cfRule>
  </conditionalFormatting>
  <conditionalFormatting sqref="X15:AA15">
    <cfRule type="expression" dxfId="1084" priority="132">
      <formula>IF(NoColor,1,0)</formula>
    </cfRule>
  </conditionalFormatting>
  <conditionalFormatting sqref="X29:AA29">
    <cfRule type="expression" dxfId="1083" priority="110">
      <formula>IF(NoColor,1,0)</formula>
    </cfRule>
  </conditionalFormatting>
  <conditionalFormatting sqref="X59:AA59">
    <cfRule type="expression" dxfId="1082" priority="101">
      <formula>IF(NoColor,1,0)</formula>
    </cfRule>
  </conditionalFormatting>
  <conditionalFormatting sqref="Y97:AB99">
    <cfRule type="expression" dxfId="1081" priority="9">
      <formula>AND($Y97&lt;&gt;"",$AA97&lt;&gt;"")</formula>
    </cfRule>
  </conditionalFormatting>
  <conditionalFormatting sqref="Y81:AE83">
    <cfRule type="expression" dxfId="1080" priority="36">
      <formula>NoColor</formula>
    </cfRule>
  </conditionalFormatting>
  <conditionalFormatting sqref="AA75:AE75">
    <cfRule type="expression" dxfId="1079" priority="39">
      <formula>NoColor</formula>
    </cfRule>
  </conditionalFormatting>
  <conditionalFormatting sqref="AA84:AE84">
    <cfRule type="expression" dxfId="1078" priority="35">
      <formula>NoColor</formula>
    </cfRule>
  </conditionalFormatting>
  <conditionalFormatting sqref="AB8:AJ8">
    <cfRule type="expression" dxfId="1077" priority="26">
      <formula>NoSSN</formula>
    </cfRule>
    <cfRule type="expression" dxfId="1076" priority="68">
      <formula>NoSSN</formula>
    </cfRule>
    <cfRule type="expression" dxfId="1075" priority="69">
      <formula>AND(NoColor,NoSSN)</formula>
    </cfRule>
  </conditionalFormatting>
  <conditionalFormatting sqref="AC88">
    <cfRule type="expression" dxfId="1074" priority="119">
      <formula>NoColor</formula>
    </cfRule>
  </conditionalFormatting>
  <conditionalFormatting sqref="AC97:AF99">
    <cfRule type="expression" dxfId="1073" priority="8">
      <formula>AND($AC97&lt;&gt;"",$AE97&lt;&gt;"")</formula>
    </cfRule>
  </conditionalFormatting>
  <conditionalFormatting sqref="AD11:AJ14">
    <cfRule type="expression" dxfId="1072" priority="67">
      <formula>NoColor</formula>
    </cfRule>
  </conditionalFormatting>
  <conditionalFormatting sqref="AD16:AJ16">
    <cfRule type="expression" dxfId="1071" priority="66">
      <formula>NoColor</formula>
    </cfRule>
  </conditionalFormatting>
  <conditionalFormatting sqref="AD21:AJ25">
    <cfRule type="expression" dxfId="1070" priority="63">
      <formula>NoColor</formula>
    </cfRule>
  </conditionalFormatting>
  <conditionalFormatting sqref="AD30:AJ32">
    <cfRule type="expression" dxfId="1069" priority="61">
      <formula>NoColor</formula>
    </cfRule>
  </conditionalFormatting>
  <conditionalFormatting sqref="AD35:AJ35">
    <cfRule type="expression" dxfId="1068" priority="60">
      <formula>NoColor</formula>
    </cfRule>
  </conditionalFormatting>
  <conditionalFormatting sqref="AD47:AJ51">
    <cfRule type="expression" dxfId="1067" priority="57">
      <formula>NoColor</formula>
    </cfRule>
  </conditionalFormatting>
  <conditionalFormatting sqref="AD53:AJ56">
    <cfRule type="expression" dxfId="1066" priority="52">
      <formula>NoColor</formula>
    </cfRule>
  </conditionalFormatting>
  <conditionalFormatting sqref="AD58:AJ58">
    <cfRule type="expression" dxfId="1065" priority="48">
      <formula>NoColor</formula>
    </cfRule>
  </conditionalFormatting>
  <conditionalFormatting sqref="AD60:AJ60">
    <cfRule type="expression" dxfId="1064" priority="47">
      <formula>NoColor</formula>
    </cfRule>
  </conditionalFormatting>
  <conditionalFormatting sqref="AD117:AJ118">
    <cfRule type="expression" dxfId="1063" priority="27">
      <formula>NoColor</formula>
    </cfRule>
  </conditionalFormatting>
  <conditionalFormatting sqref="AE107:AE109">
    <cfRule type="expression" dxfId="1062" priority="123">
      <formula>IF(NoColor,1,0)</formula>
    </cfRule>
  </conditionalFormatting>
  <conditionalFormatting sqref="AE108:AF108">
    <cfRule type="expression" dxfId="1061" priority="125">
      <formula>IF(NoColor,1,0)</formula>
    </cfRule>
  </conditionalFormatting>
  <conditionalFormatting sqref="AE111:AF111">
    <cfRule type="expression" dxfId="1060" priority="115">
      <formula>IF(NoColor,1,0)</formula>
    </cfRule>
  </conditionalFormatting>
  <conditionalFormatting sqref="AF71">
    <cfRule type="expression" dxfId="1059" priority="43">
      <formula>NoColor</formula>
    </cfRule>
  </conditionalFormatting>
  <conditionalFormatting sqref="AF85:AJ85">
    <cfRule type="expression" dxfId="1058" priority="34">
      <formula>NoColor</formula>
    </cfRule>
  </conditionalFormatting>
  <conditionalFormatting sqref="AG105 AG107:AH107 AG108 AG110:AH110">
    <cfRule type="expression" dxfId="1057" priority="5">
      <formula>AND($AG105&lt;&gt;"",$AI105&lt;&gt;"")</formula>
    </cfRule>
  </conditionalFormatting>
  <conditionalFormatting sqref="AG107:AG108">
    <cfRule type="expression" dxfId="1056" priority="82">
      <formula>$AM$103</formula>
    </cfRule>
  </conditionalFormatting>
  <conditionalFormatting sqref="AG110">
    <cfRule type="expression" dxfId="1055" priority="80">
      <formula>$AM$103</formula>
    </cfRule>
  </conditionalFormatting>
  <conditionalFormatting sqref="AG97:AJ99">
    <cfRule type="expression" dxfId="1054" priority="7">
      <formula>AND($AG97&lt;&gt;"",$AI97&lt;&gt;"")</formula>
    </cfRule>
  </conditionalFormatting>
  <conditionalFormatting sqref="AG104:AJ104 AG105 AI105:AJ106 AG107:AJ107 AG108 AI108:AJ109 AG110:AJ110">
    <cfRule type="expression" dxfId="1053" priority="29">
      <formula>NoColor</formula>
    </cfRule>
  </conditionalFormatting>
  <conditionalFormatting sqref="AG104:AJ104">
    <cfRule type="expression" dxfId="1052" priority="6">
      <formula>AND($AG104&lt;&gt;"",$AI104&lt;&gt;"")</formula>
    </cfRule>
  </conditionalFormatting>
  <conditionalFormatting sqref="AG107:AJ107">
    <cfRule type="expression" dxfId="1051" priority="3">
      <formula>AND($AG$107&lt;&gt;"",$AI$107&lt;&gt;"")</formula>
    </cfRule>
  </conditionalFormatting>
  <conditionalFormatting sqref="AG108:AJ109">
    <cfRule type="expression" dxfId="1050" priority="2">
      <formula>AND($AG108&lt;&gt;"",$AI$108&lt;&gt;"")</formula>
    </cfRule>
  </conditionalFormatting>
  <conditionalFormatting sqref="AG110:AJ110">
    <cfRule type="expression" dxfId="1049" priority="1">
      <formula>AND($AG110&lt;&gt;"",$AI$110&lt;&gt;"")</formula>
    </cfRule>
  </conditionalFormatting>
  <conditionalFormatting sqref="AH71">
    <cfRule type="expression" dxfId="1048" priority="42">
      <formula>NoColor</formula>
    </cfRule>
  </conditionalFormatting>
  <conditionalFormatting sqref="AI103:AI104">
    <cfRule type="expression" dxfId="1047" priority="79">
      <formula>$AM$103</formula>
    </cfRule>
  </conditionalFormatting>
  <conditionalFormatting sqref="AI107:AI108">
    <cfRule type="expression" dxfId="1046" priority="83">
      <formula>$AM$103</formula>
    </cfRule>
  </conditionalFormatting>
  <conditionalFormatting sqref="AI110">
    <cfRule type="expression" dxfId="1045" priority="81">
      <formula>$AM$103</formula>
    </cfRule>
  </conditionalFormatting>
  <conditionalFormatting sqref="AI105:AJ106">
    <cfRule type="expression" dxfId="1044" priority="4">
      <formula>AND($AG105&lt;&gt;"",$AI105&lt;&gt;"")</formula>
    </cfRule>
  </conditionalFormatting>
  <pageMargins left="0.75" right="0.25" top="0.36" bottom="0.28999999999999998" header="0.36" footer="0.21"/>
  <pageSetup scale="67" fitToHeight="0" orientation="portrait" r:id="rId1"/>
  <rowBreaks count="1" manualBreakCount="1">
    <brk id="63" min="1" max="35" man="1"/>
  </rowBreaks>
  <extLst>
    <ext xmlns:x14="http://schemas.microsoft.com/office/spreadsheetml/2009/9/main" uri="{78C0D931-6437-407d-A8EE-F0AAD7539E65}">
      <x14:conditionalFormattings>
        <x14:conditionalFormatting xmlns:xm="http://schemas.microsoft.com/office/excel/2006/main">
          <x14:cfRule type="expression" priority="25" id="{66804422-6C4D-4A04-A0B5-9916F239E28E}">
            <xm:f>'Table of Contents'!A45="D"</xm:f>
            <x14:dxf>
              <font>
                <b/>
                <i val="0"/>
                <color rgb="FFC00000"/>
              </font>
            </x14:dxf>
          </x14:cfRule>
          <xm:sqref>AC2:AJ2</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71"/>
  <sheetViews>
    <sheetView zoomScaleNormal="100" zoomScaleSheetLayoutView="100" workbookViewId="0">
      <selection activeCell="R51" sqref="R51"/>
    </sheetView>
  </sheetViews>
  <sheetFormatPr defaultRowHeight="12.75"/>
  <cols>
    <col min="1" max="1" width="2.42578125" style="39" customWidth="1"/>
    <col min="2" max="2" width="7.85546875" customWidth="1"/>
    <col min="3" max="3" width="3.140625" customWidth="1"/>
    <col min="4" max="4" width="10.7109375" customWidth="1"/>
    <col min="5" max="5" width="8.7109375" customWidth="1"/>
    <col min="6" max="6" width="21.42578125" customWidth="1"/>
    <col min="7" max="7" width="14.85546875" customWidth="1"/>
    <col min="8" max="8" width="6.85546875" customWidth="1"/>
    <col min="9" max="9" width="8.85546875" customWidth="1"/>
    <col min="10" max="10" width="4.140625" customWidth="1"/>
    <col min="11" max="11" width="13.42578125" customWidth="1"/>
    <col min="12" max="12" width="3.7109375" customWidth="1"/>
    <col min="13" max="13" width="14.140625" customWidth="1"/>
    <col min="14" max="14" width="2.5703125" customWidth="1"/>
    <col min="15" max="15" width="3.42578125" style="906" customWidth="1"/>
    <col min="16" max="16" width="30.140625" customWidth="1"/>
    <col min="17" max="17" width="3.5703125" customWidth="1"/>
    <col min="18" max="18" width="12.5703125" style="887" customWidth="1"/>
    <col min="19" max="19" width="2.85546875" style="163" customWidth="1"/>
    <col min="20" max="20" width="2.7109375" style="163" customWidth="1"/>
    <col min="21" max="21" width="2.7109375" style="187" customWidth="1"/>
    <col min="22" max="22" width="6" customWidth="1"/>
    <col min="23" max="23" width="17.42578125" customWidth="1"/>
    <col min="24" max="24" width="31.140625" customWidth="1"/>
    <col min="25" max="25" width="6.28515625" customWidth="1"/>
    <col min="26" max="26" width="3.42578125" customWidth="1"/>
    <col min="27" max="27" width="14.5703125" customWidth="1"/>
    <col min="28" max="28" width="5.140625" customWidth="1"/>
    <col min="29" max="29" width="12.28515625" customWidth="1"/>
    <col min="30" max="30" width="4" customWidth="1"/>
    <col min="31" max="31" width="9.42578125" customWidth="1"/>
    <col min="32" max="32" width="9.140625" style="163"/>
    <col min="33" max="33" width="2.140625" customWidth="1"/>
    <col min="34" max="34" width="9.7109375" style="1499" customWidth="1"/>
    <col min="35" max="35" width="3.85546875" customWidth="1"/>
    <col min="36" max="46" width="10.7109375" style="2038" customWidth="1"/>
  </cols>
  <sheetData>
    <row r="1" spans="1:36" ht="17.25" customHeight="1" thickBot="1">
      <c r="A1" s="661"/>
      <c r="B1" s="659"/>
      <c r="C1" s="659"/>
      <c r="D1" s="659"/>
      <c r="E1" s="659"/>
      <c r="F1" s="659"/>
      <c r="G1" s="659"/>
      <c r="H1" s="659"/>
      <c r="I1" s="659"/>
      <c r="J1" s="659"/>
      <c r="K1" s="659"/>
      <c r="L1" s="660"/>
      <c r="M1" s="394"/>
      <c r="N1" s="394"/>
      <c r="O1" s="904"/>
      <c r="P1" s="902" t="b">
        <f>OR(O2&lt;&gt;"",AND(U34="X",OR(U53="X",U64="X")))</f>
        <v>0</v>
      </c>
      <c r="S1" s="962"/>
      <c r="T1" s="962"/>
      <c r="AF1" s="962"/>
      <c r="AJ1" s="2037" t="s">
        <v>241</v>
      </c>
    </row>
    <row r="2" spans="1:36" ht="16.5" customHeight="1" thickBot="1">
      <c r="A2" s="661"/>
      <c r="B2" s="660"/>
      <c r="C2" s="660"/>
      <c r="D2" s="2977"/>
      <c r="E2" s="659"/>
      <c r="F2" s="659"/>
      <c r="G2" s="660"/>
      <c r="H2" s="659"/>
      <c r="I2" s="659"/>
      <c r="J2" s="659"/>
      <c r="K2" s="660"/>
      <c r="L2" s="1100" t="s">
        <v>4068</v>
      </c>
      <c r="M2" s="4668" t="str">
        <f>IF(O2&lt;&gt;"","Override 'Yes'.",IF(P1,"Yes","No"))</f>
        <v>No</v>
      </c>
      <c r="N2" s="394"/>
      <c r="O2" s="4701"/>
      <c r="P2" t="str">
        <f>IF(AND(O2="",NOT(P1)),"Check this box to use form anyway.",IF(O2&lt;&gt;"","Boxed checked to use form.",""))</f>
        <v>Check this box to use form anyway.</v>
      </c>
      <c r="Q2" s="1984"/>
      <c r="S2" s="962"/>
      <c r="T2" s="962"/>
      <c r="AF2" s="962"/>
    </row>
    <row r="3" spans="1:36" ht="9" customHeight="1">
      <c r="A3" s="662"/>
      <c r="B3" s="630"/>
      <c r="C3" s="394"/>
      <c r="D3" s="394"/>
      <c r="E3" s="394"/>
      <c r="F3" s="394"/>
      <c r="G3" s="606"/>
      <c r="H3" s="394"/>
      <c r="I3" s="394"/>
      <c r="J3" s="394"/>
      <c r="K3" s="394"/>
      <c r="L3" s="394"/>
      <c r="M3" s="394"/>
      <c r="N3" s="394"/>
      <c r="O3" s="2254"/>
      <c r="S3" s="962"/>
      <c r="T3" s="962"/>
      <c r="AF3" s="962"/>
    </row>
    <row r="4" spans="1:36" ht="13.5" thickBot="1">
      <c r="A4" s="66"/>
      <c r="B4" s="1640"/>
      <c r="C4" s="22"/>
      <c r="D4" s="83"/>
      <c r="E4" s="2590"/>
      <c r="F4" s="22"/>
      <c r="G4" s="22"/>
      <c r="H4" s="22"/>
      <c r="I4" s="22"/>
      <c r="J4" s="22"/>
      <c r="K4" s="2577"/>
      <c r="L4" s="9093" t="s">
        <v>2455</v>
      </c>
      <c r="M4" s="8773"/>
      <c r="N4" s="394"/>
      <c r="O4" s="2255"/>
      <c r="S4" s="962"/>
      <c r="T4" s="962"/>
      <c r="AF4" s="962"/>
    </row>
    <row r="5" spans="1:36" ht="20.25" customHeight="1">
      <c r="A5" s="66"/>
      <c r="B5" s="9117" t="s">
        <v>50</v>
      </c>
      <c r="C5" s="9123">
        <v>6251</v>
      </c>
      <c r="D5" s="9124"/>
      <c r="E5" s="9106" t="s">
        <v>4069</v>
      </c>
      <c r="F5" s="9107"/>
      <c r="G5" s="9107"/>
      <c r="H5" s="9107"/>
      <c r="I5" s="9107"/>
      <c r="J5" s="9107"/>
      <c r="K5" s="9108"/>
      <c r="L5" s="7131">
        <f>TaxYear</f>
        <v>2023</v>
      </c>
      <c r="M5" s="9094"/>
      <c r="N5" s="5699"/>
      <c r="O5" s="2250"/>
      <c r="P5" s="23" t="s">
        <v>1113</v>
      </c>
      <c r="Q5" s="61"/>
      <c r="R5" s="2229"/>
      <c r="S5" s="2730" t="s">
        <v>4070</v>
      </c>
      <c r="T5" s="5700"/>
      <c r="U5" s="1101"/>
      <c r="V5" s="5701"/>
      <c r="W5" s="5701"/>
      <c r="X5" s="1086"/>
      <c r="Y5" s="1086"/>
      <c r="Z5" s="1086"/>
      <c r="AA5" s="1086"/>
      <c r="AB5" s="1086"/>
      <c r="AC5" s="1086"/>
      <c r="AD5" s="1086"/>
      <c r="AE5" s="1086"/>
      <c r="AF5" s="1087"/>
    </row>
    <row r="6" spans="1:36" ht="14.25" customHeight="1">
      <c r="A6" s="66"/>
      <c r="B6" s="6466"/>
      <c r="C6" s="9125"/>
      <c r="D6" s="9126"/>
      <c r="E6" s="9109"/>
      <c r="F6" s="9110"/>
      <c r="G6" s="9110"/>
      <c r="H6" s="9110"/>
      <c r="I6" s="9110"/>
      <c r="J6" s="9110"/>
      <c r="K6" s="9111"/>
      <c r="L6" s="9095"/>
      <c r="M6" s="9096"/>
      <c r="N6" s="448"/>
      <c r="O6" s="2250"/>
      <c r="P6" s="23" t="s">
        <v>1062</v>
      </c>
      <c r="Q6" s="51"/>
      <c r="R6" s="2230"/>
      <c r="S6" s="1102"/>
      <c r="T6" s="1104"/>
      <c r="U6" s="1103" t="s">
        <v>1058</v>
      </c>
      <c r="V6" s="866"/>
      <c r="W6" s="1103"/>
      <c r="X6" s="1104" t="s">
        <v>4071</v>
      </c>
      <c r="Y6" s="866"/>
      <c r="Z6" s="866"/>
      <c r="AA6" s="866"/>
      <c r="AB6" s="866"/>
      <c r="AC6" s="866"/>
      <c r="AD6" s="866"/>
      <c r="AE6" s="866"/>
      <c r="AF6" s="4147"/>
    </row>
    <row r="7" spans="1:36" ht="12.75" customHeight="1">
      <c r="A7" s="66"/>
      <c r="B7" s="7038" t="s">
        <v>2661</v>
      </c>
      <c r="C7" s="9136"/>
      <c r="D7" s="9137"/>
      <c r="E7" s="7061" t="s">
        <v>2456</v>
      </c>
      <c r="F7" s="9104"/>
      <c r="G7" s="9104"/>
      <c r="H7" s="9104"/>
      <c r="I7" s="9104"/>
      <c r="J7" s="9104"/>
      <c r="K7" s="9105"/>
      <c r="L7" s="9099" t="s">
        <v>1194</v>
      </c>
      <c r="M7" s="9100"/>
      <c r="N7" s="5699"/>
      <c r="O7" s="2250"/>
      <c r="P7" s="378"/>
      <c r="Q7" s="51"/>
      <c r="R7" s="2231"/>
      <c r="S7" s="5702"/>
      <c r="T7" s="5703"/>
      <c r="U7" s="2960"/>
      <c r="V7" s="2961"/>
      <c r="W7" s="2962"/>
      <c r="X7" s="2963" t="s">
        <v>4073</v>
      </c>
      <c r="Y7" s="2961"/>
      <c r="Z7" s="2961"/>
      <c r="AA7" s="2961"/>
      <c r="AB7" s="2961"/>
      <c r="AC7" s="2961"/>
      <c r="AD7" s="2961"/>
      <c r="AE7" s="2961"/>
      <c r="AF7" s="5704"/>
    </row>
    <row r="8" spans="1:36" ht="12.75" customHeight="1" thickBot="1">
      <c r="A8" s="66"/>
      <c r="B8" s="9138"/>
      <c r="C8" s="9138"/>
      <c r="D8" s="9139"/>
      <c r="E8" s="9101" t="s">
        <v>4072</v>
      </c>
      <c r="F8" s="9102"/>
      <c r="G8" s="9102"/>
      <c r="H8" s="9102"/>
      <c r="I8" s="9102"/>
      <c r="J8" s="9102"/>
      <c r="K8" s="9103"/>
      <c r="L8" s="9091" t="s">
        <v>4074</v>
      </c>
      <c r="M8" s="9092"/>
      <c r="N8" s="448"/>
      <c r="O8" s="2250"/>
      <c r="P8" s="697" t="s">
        <v>4075</v>
      </c>
      <c r="Q8" s="61"/>
      <c r="R8" s="2231"/>
      <c r="S8" s="5705"/>
      <c r="T8" s="1104"/>
      <c r="U8" s="5184"/>
      <c r="V8" s="866"/>
      <c r="W8" s="5185"/>
      <c r="X8" s="1105"/>
      <c r="Y8" s="866"/>
      <c r="Z8" s="866"/>
      <c r="AA8" s="866"/>
      <c r="AB8" s="866"/>
      <c r="AC8" s="866"/>
      <c r="AD8" s="866"/>
      <c r="AE8" s="866"/>
      <c r="AF8" s="4147"/>
    </row>
    <row r="9" spans="1:36" ht="11.25" customHeight="1">
      <c r="A9" s="66"/>
      <c r="B9" s="20" t="s">
        <v>883</v>
      </c>
      <c r="C9" s="130"/>
      <c r="D9" s="130"/>
      <c r="E9" s="111"/>
      <c r="F9" s="112"/>
      <c r="G9" s="20"/>
      <c r="H9" s="112"/>
      <c r="I9" s="112"/>
      <c r="J9" s="112"/>
      <c r="K9" s="9115" t="s">
        <v>586</v>
      </c>
      <c r="L9" s="9116"/>
      <c r="M9" s="9116"/>
      <c r="N9" s="5699"/>
      <c r="O9" s="2250"/>
      <c r="P9" s="697" t="s">
        <v>741</v>
      </c>
      <c r="Q9" s="61"/>
      <c r="R9" s="2232"/>
      <c r="S9" s="1088"/>
      <c r="T9" s="1089"/>
      <c r="U9" s="2964" t="s">
        <v>167</v>
      </c>
      <c r="V9" s="2965" t="s">
        <v>4076</v>
      </c>
      <c r="W9" s="1089"/>
      <c r="X9" s="1089"/>
      <c r="Y9" s="1089"/>
      <c r="Z9" s="1089"/>
      <c r="AA9" s="1089"/>
      <c r="AB9" s="1089"/>
      <c r="AC9" s="1089"/>
      <c r="AD9" s="1089"/>
      <c r="AE9" s="866"/>
      <c r="AF9" s="4147"/>
    </row>
    <row r="10" spans="1:36" ht="14.25" customHeight="1" thickBot="1">
      <c r="A10" s="66"/>
      <c r="B10" s="9127" t="str">
        <f>Names</f>
        <v/>
      </c>
      <c r="C10" s="9128"/>
      <c r="D10" s="9128"/>
      <c r="E10" s="9128"/>
      <c r="F10" s="9128"/>
      <c r="G10" s="9128"/>
      <c r="H10" s="9128"/>
      <c r="I10" s="9128"/>
      <c r="J10" s="9129"/>
      <c r="K10" s="7043">
        <f>IF(NoSSN,"",SS_Yours)</f>
        <v>1010001</v>
      </c>
      <c r="L10" s="9112"/>
      <c r="M10" s="9112"/>
      <c r="N10" s="448"/>
      <c r="O10" s="2250"/>
      <c r="P10" s="3908" t="str">
        <f>Deduction</f>
        <v>Filing status not indicated.</v>
      </c>
      <c r="Q10" s="61"/>
      <c r="R10" s="2581"/>
      <c r="S10" s="1088"/>
      <c r="T10" s="1089"/>
      <c r="U10" s="1089"/>
      <c r="V10" s="1090"/>
      <c r="W10" s="1089"/>
      <c r="X10" s="1089"/>
      <c r="Y10" s="1089"/>
      <c r="Z10" s="1089"/>
      <c r="AA10" s="1089"/>
      <c r="AB10" s="1089"/>
      <c r="AC10" s="1089"/>
      <c r="AD10" s="1089"/>
      <c r="AE10" s="1091"/>
      <c r="AF10" s="4147"/>
    </row>
    <row r="11" spans="1:36" ht="16.5" thickBot="1">
      <c r="A11" s="66"/>
      <c r="B11" s="1848" t="s">
        <v>2468</v>
      </c>
      <c r="C11" s="9097" t="s">
        <v>4077</v>
      </c>
      <c r="D11" s="9097"/>
      <c r="E11" s="9098"/>
      <c r="F11" s="9098"/>
      <c r="G11" s="9098"/>
      <c r="H11" s="9098"/>
      <c r="I11" s="9098"/>
      <c r="J11" s="9098"/>
      <c r="K11" s="9098"/>
      <c r="L11" s="9098"/>
      <c r="M11" s="9098"/>
      <c r="N11" s="5706"/>
      <c r="O11" s="2250"/>
      <c r="P11" s="461"/>
      <c r="Q11" s="61"/>
      <c r="R11" s="3158">
        <v>20000</v>
      </c>
      <c r="S11" s="1088"/>
      <c r="T11" s="1089"/>
      <c r="U11" s="1107" t="str">
        <f>IF(SchA_Filed,"","X")</f>
        <v>X</v>
      </c>
      <c r="V11" s="5186" t="s">
        <v>1067</v>
      </c>
      <c r="W11" s="2130" t="s">
        <v>4078</v>
      </c>
      <c r="X11" s="1089"/>
      <c r="Y11" s="1089"/>
      <c r="Z11" s="1089"/>
      <c r="AA11" s="1089"/>
      <c r="AB11" s="1089"/>
      <c r="AC11" s="1099" t="str">
        <f>IF(U11="X","Go to Line 4.","")</f>
        <v>Go to Line 4.</v>
      </c>
      <c r="AD11" s="1089"/>
      <c r="AE11" s="1091"/>
      <c r="AF11" s="4147"/>
    </row>
    <row r="12" spans="1:36" ht="12" customHeight="1">
      <c r="A12" s="66"/>
      <c r="B12" s="168">
        <v>1</v>
      </c>
      <c r="C12" s="5064" t="s">
        <v>4079</v>
      </c>
      <c r="D12" s="190"/>
      <c r="E12" s="159"/>
      <c r="F12" s="159"/>
      <c r="G12" s="160"/>
      <c r="H12" s="160"/>
      <c r="I12" s="160"/>
      <c r="J12" s="160"/>
      <c r="K12" s="124"/>
      <c r="L12" s="155"/>
      <c r="M12" s="341"/>
      <c r="N12" s="449"/>
      <c r="O12" s="2256"/>
      <c r="P12" s="388"/>
      <c r="Q12" s="294"/>
      <c r="R12" s="902"/>
      <c r="S12" s="1088"/>
      <c r="T12" s="1089"/>
      <c r="U12" s="1089"/>
      <c r="V12" s="1090"/>
      <c r="W12" s="2130" t="s">
        <v>4080</v>
      </c>
      <c r="X12" s="1089"/>
      <c r="Y12" s="1089"/>
      <c r="Z12" s="1089"/>
      <c r="AA12" s="1089"/>
      <c r="AB12" s="1089"/>
      <c r="AC12" s="1089"/>
      <c r="AD12" s="1089"/>
      <c r="AE12" s="866"/>
      <c r="AF12" s="4147"/>
    </row>
    <row r="13" spans="1:36" ht="15" customHeight="1" thickBot="1">
      <c r="A13" s="66"/>
      <c r="B13" s="124"/>
      <c r="C13" s="5064" t="s">
        <v>4081</v>
      </c>
      <c r="D13" s="190"/>
      <c r="E13" s="159"/>
      <c r="F13" s="159"/>
      <c r="G13" s="160"/>
      <c r="H13" s="160"/>
      <c r="I13" s="160"/>
      <c r="J13" s="160"/>
      <c r="K13" s="124"/>
      <c r="L13" s="2576"/>
      <c r="M13" s="1412">
        <f>IF(QBID_1040="",0,QBID_1040)</f>
        <v>0</v>
      </c>
      <c r="N13" s="449"/>
      <c r="O13" s="2257"/>
      <c r="P13" s="461"/>
      <c r="Q13" s="294"/>
      <c r="R13" s="806"/>
      <c r="S13" s="1088"/>
      <c r="T13" s="1089"/>
      <c r="U13" s="1089"/>
      <c r="V13" s="1090"/>
      <c r="W13" s="2130"/>
      <c r="X13" s="1089"/>
      <c r="Y13" s="1089"/>
      <c r="Z13" s="1089"/>
      <c r="AA13" s="1089"/>
      <c r="AB13" s="1089"/>
      <c r="AC13" s="1089"/>
      <c r="AD13" s="1089"/>
      <c r="AE13" s="866"/>
      <c r="AF13" s="4147"/>
    </row>
    <row r="14" spans="1:36" ht="15" customHeight="1" thickBot="1">
      <c r="A14" s="66"/>
      <c r="B14" s="124"/>
      <c r="C14" s="3293" t="s">
        <v>4082</v>
      </c>
      <c r="D14" s="190"/>
      <c r="E14" s="159"/>
      <c r="F14" s="159"/>
      <c r="G14" s="160"/>
      <c r="H14" s="160"/>
      <c r="I14" s="160"/>
      <c r="J14" s="160"/>
      <c r="K14" s="859" t="s">
        <v>642</v>
      </c>
      <c r="L14" s="228">
        <f>B12</f>
        <v>1</v>
      </c>
      <c r="M14" s="975" t="str">
        <f>IF(P14&lt;&gt;"",ROUND(P14,0),IF(NOT(F6251_Needed),"",IF(Taxable_Inc=0,SUM(Adj_Gross_Inc,-Deductions,-M13),Taxable_Inc)))</f>
        <v/>
      </c>
      <c r="N14" s="449"/>
      <c r="O14" s="2257"/>
      <c r="P14" s="2575"/>
      <c r="Q14" s="5282"/>
      <c r="R14" s="3158">
        <f>IF(ISERROR(ROUND(M14,0)),0,ROUND(M14,0))</f>
        <v>0</v>
      </c>
      <c r="S14" s="1088"/>
      <c r="T14" s="1089"/>
      <c r="U14" s="1107" t="str">
        <f>IF(SchA_Filed,"X","")</f>
        <v/>
      </c>
      <c r="V14" s="5186" t="s">
        <v>1069</v>
      </c>
      <c r="W14" s="2130" t="s">
        <v>4083</v>
      </c>
      <c r="X14" s="1089"/>
      <c r="Y14" s="1089"/>
      <c r="Z14" s="1089"/>
      <c r="AA14" s="2967" t="s">
        <v>990</v>
      </c>
      <c r="AB14" s="2731" t="s">
        <v>167</v>
      </c>
      <c r="AC14" s="1076" t="str">
        <f>IF(U14="X",Taxable_Inc,"")</f>
        <v/>
      </c>
      <c r="AD14" s="1089"/>
      <c r="AE14" s="866"/>
      <c r="AF14" s="4147"/>
    </row>
    <row r="15" spans="1:36" ht="15" customHeight="1">
      <c r="A15" s="66"/>
      <c r="B15" s="3411" t="s">
        <v>4084</v>
      </c>
      <c r="C15" s="267" t="s">
        <v>4085</v>
      </c>
      <c r="D15" s="132"/>
      <c r="E15" s="159"/>
      <c r="F15" s="159"/>
      <c r="G15" s="160"/>
      <c r="H15" s="160"/>
      <c r="I15" s="160"/>
      <c r="J15" s="160"/>
      <c r="K15" s="859"/>
      <c r="L15" s="230"/>
      <c r="M15" s="372"/>
      <c r="N15" s="5707"/>
      <c r="O15" s="2257"/>
      <c r="P15" s="5285">
        <v>796100</v>
      </c>
      <c r="Q15" s="5282"/>
      <c r="R15" s="3158">
        <f>SUM(P15,ROUND(P21*SUM(P15,-P18),0))</f>
        <v>787337</v>
      </c>
      <c r="S15" s="1088"/>
      <c r="T15" s="1089"/>
      <c r="U15" s="1089"/>
      <c r="V15" s="1090"/>
      <c r="W15" s="1089"/>
      <c r="X15" s="1089"/>
      <c r="Y15" s="1089"/>
      <c r="Z15" s="1089"/>
      <c r="AA15" s="1089"/>
      <c r="AB15" s="1089"/>
      <c r="AC15" s="1089"/>
      <c r="AD15" s="1089"/>
      <c r="AE15" s="1089"/>
      <c r="AF15" s="1092"/>
    </row>
    <row r="16" spans="1:36" ht="15" customHeight="1">
      <c r="A16" s="66"/>
      <c r="B16" s="124"/>
      <c r="C16" s="267" t="s">
        <v>2175</v>
      </c>
      <c r="D16" s="267"/>
      <c r="E16" s="159"/>
      <c r="F16" s="159"/>
      <c r="G16" s="160"/>
      <c r="H16" s="160"/>
      <c r="I16" s="160"/>
      <c r="J16" s="160"/>
      <c r="K16" s="859" t="s">
        <v>722</v>
      </c>
      <c r="L16" s="228" t="s">
        <v>367</v>
      </c>
      <c r="M16" s="975" t="str">
        <f>IF(NOT(P1),"",IF(P16&lt;&gt;"",ROUND(P16,0),IF(ItemizedDeduct,TaxesYouPaid,Deductions)))</f>
        <v/>
      </c>
      <c r="N16" s="5707"/>
      <c r="O16" s="2257"/>
      <c r="P16" s="300"/>
      <c r="Q16" s="5282"/>
      <c r="R16" s="3158">
        <f>IF(ISERROR(ROUND(M16,0)),0,ROUND(M16,0))</f>
        <v>0</v>
      </c>
      <c r="S16" s="1106"/>
      <c r="T16" s="1089"/>
      <c r="U16" s="2131" t="s">
        <v>171</v>
      </c>
      <c r="V16" s="2130" t="s">
        <v>4086</v>
      </c>
      <c r="W16" s="1089"/>
      <c r="X16" s="1089"/>
      <c r="Y16" s="1089"/>
      <c r="Z16" s="1089"/>
      <c r="AA16" s="2967" t="s">
        <v>1009</v>
      </c>
      <c r="AB16" s="2731" t="s">
        <v>171</v>
      </c>
      <c r="AC16" s="1076" t="str">
        <f>IF(U14="X",TaxesYouPaid,"")</f>
        <v/>
      </c>
      <c r="AD16" s="1089"/>
      <c r="AE16" s="1089"/>
      <c r="AF16" s="1092"/>
    </row>
    <row r="17" spans="1:34" ht="15" customHeight="1">
      <c r="A17" s="66"/>
      <c r="B17" s="124" t="s">
        <v>644</v>
      </c>
      <c r="C17" s="267" t="s">
        <v>4087</v>
      </c>
      <c r="D17" s="267"/>
      <c r="E17" s="159"/>
      <c r="F17" s="159"/>
      <c r="G17" s="1996"/>
      <c r="H17" s="160"/>
      <c r="I17" s="954"/>
      <c r="J17" s="160"/>
      <c r="K17" s="954" t="str">
        <f>IF(AND($M$17&lt;&gt;"",$M$17&gt;0),"(Line 2b must be a negative amount.)",".   .   .   .   .   .   .   .   .   .   .   .   .   .   .   .   .   . ")</f>
        <v xml:space="preserve">.   .   .   .   .   .   .   .   .   .   .   .   .   .   .   .   .   . </v>
      </c>
      <c r="L17" s="228" t="str">
        <f t="shared" ref="L17:L25" si="0">"2"&amp;B17</f>
        <v>2b</v>
      </c>
      <c r="M17" s="975" t="str">
        <f>IF(NOT(P1),"",IF(P17&lt;&gt;"",ROUND(P17,0),IF(Sch1_Line1="",0,SUM(-Sch1_Line1,-AA20))))</f>
        <v/>
      </c>
      <c r="N17" s="5707"/>
      <c r="O17" s="2257"/>
      <c r="P17" s="300"/>
      <c r="Q17" s="5282"/>
      <c r="R17" s="3158">
        <f>IF(ISERROR(ROUND(M17,0)),0,ROUND(M17,0))</f>
        <v>0</v>
      </c>
      <c r="S17" s="1088"/>
      <c r="T17" s="1089"/>
      <c r="U17" s="1089"/>
      <c r="V17" s="1090"/>
      <c r="W17" s="1089"/>
      <c r="X17" s="1089"/>
      <c r="Y17" s="1089"/>
      <c r="Z17" s="1089"/>
      <c r="AA17" s="1089"/>
      <c r="AB17" s="1089"/>
      <c r="AC17" s="1089"/>
      <c r="AD17" s="1089"/>
      <c r="AE17" s="1089"/>
      <c r="AF17" s="1092"/>
    </row>
    <row r="18" spans="1:34" ht="15" customHeight="1">
      <c r="A18" s="66"/>
      <c r="B18" s="124" t="s">
        <v>648</v>
      </c>
      <c r="C18" s="267" t="s">
        <v>4088</v>
      </c>
      <c r="D18" s="267"/>
      <c r="E18" s="159"/>
      <c r="F18" s="159"/>
      <c r="G18" s="160"/>
      <c r="H18" s="160"/>
      <c r="I18" s="160"/>
      <c r="J18" s="160"/>
      <c r="K18" s="859" t="s">
        <v>752</v>
      </c>
      <c r="L18" s="228" t="str">
        <f t="shared" si="0"/>
        <v>2c</v>
      </c>
      <c r="M18" s="976"/>
      <c r="N18" s="5707"/>
      <c r="O18" s="2257"/>
      <c r="P18" s="5285">
        <v>831150</v>
      </c>
      <c r="Q18" s="5282"/>
      <c r="R18" s="3158">
        <f>ROUND(M18,0)</f>
        <v>0</v>
      </c>
      <c r="S18" s="1088"/>
      <c r="T18" s="1089"/>
      <c r="U18" s="2131" t="s">
        <v>177</v>
      </c>
      <c r="V18" s="2130" t="s">
        <v>3463</v>
      </c>
      <c r="W18" s="1089"/>
      <c r="X18" s="1089"/>
      <c r="Y18" s="1089"/>
      <c r="Z18" s="1089"/>
      <c r="AA18" s="2967" t="s">
        <v>2296</v>
      </c>
      <c r="AB18" s="2731" t="s">
        <v>177</v>
      </c>
      <c r="AC18" s="1076">
        <f>IF(U11="X",SUM(Adj_Gross_Inc,-M13),IF(U14="X",SUM(AC14,AC16),""))</f>
        <v>0</v>
      </c>
      <c r="AD18" s="1089"/>
      <c r="AE18" s="1089"/>
      <c r="AF18" s="1092"/>
    </row>
    <row r="19" spans="1:34" ht="15" customHeight="1">
      <c r="A19" s="66"/>
      <c r="B19" s="124" t="s">
        <v>652</v>
      </c>
      <c r="C19" s="267" t="s">
        <v>4089</v>
      </c>
      <c r="D19" s="267"/>
      <c r="E19" s="159"/>
      <c r="F19" s="159"/>
      <c r="G19" s="160"/>
      <c r="H19" s="160"/>
      <c r="I19" s="160"/>
      <c r="J19" s="160"/>
      <c r="K19" s="859" t="s">
        <v>2162</v>
      </c>
      <c r="L19" s="228" t="str">
        <f t="shared" si="0"/>
        <v>2d</v>
      </c>
      <c r="M19" s="976"/>
      <c r="N19" s="5707"/>
      <c r="O19" s="2257"/>
      <c r="P19" s="5285">
        <v>1012300</v>
      </c>
      <c r="Q19" s="5282"/>
      <c r="R19" s="3158">
        <f t="shared" ref="R19:R36" si="1">ROUND(M19,0)</f>
        <v>0</v>
      </c>
      <c r="S19" s="1088"/>
      <c r="T19" s="1089"/>
      <c r="U19" s="1089"/>
      <c r="V19" s="1090"/>
      <c r="W19" s="1089"/>
      <c r="X19" s="1089"/>
      <c r="Y19" s="1089"/>
      <c r="Z19" s="1089"/>
      <c r="AA19" s="1089"/>
      <c r="AB19" s="1089"/>
      <c r="AC19" s="1089"/>
      <c r="AD19" s="1089"/>
      <c r="AE19" s="1089"/>
      <c r="AF19" s="1092"/>
    </row>
    <row r="20" spans="1:34" ht="15" customHeight="1">
      <c r="A20" s="66"/>
      <c r="B20" s="124" t="s">
        <v>656</v>
      </c>
      <c r="C20" s="267" t="s">
        <v>4090</v>
      </c>
      <c r="D20" s="267"/>
      <c r="E20" s="159"/>
      <c r="F20" s="159"/>
      <c r="G20" s="380"/>
      <c r="H20" s="737"/>
      <c r="I20" s="18"/>
      <c r="J20" s="3410" t="s">
        <v>4091</v>
      </c>
      <c r="K20" s="3410"/>
      <c r="L20" s="228" t="str">
        <f t="shared" si="0"/>
        <v>2e</v>
      </c>
      <c r="M20" s="976"/>
      <c r="N20" s="5707"/>
      <c r="O20" s="2257"/>
      <c r="P20" s="5285">
        <f>I44</f>
        <v>63250</v>
      </c>
      <c r="Q20" s="5282"/>
      <c r="R20" s="3158">
        <f t="shared" si="1"/>
        <v>0</v>
      </c>
      <c r="S20" s="1088"/>
      <c r="T20" s="1089"/>
      <c r="U20" s="2131" t="s">
        <v>182</v>
      </c>
      <c r="V20" s="2130" t="s">
        <v>4092</v>
      </c>
      <c r="W20" s="1089"/>
      <c r="X20" s="1089"/>
      <c r="Y20" s="1089"/>
      <c r="Z20" s="2968" t="s">
        <v>2876</v>
      </c>
      <c r="AA20" s="1019"/>
      <c r="AB20" s="2731" t="s">
        <v>182</v>
      </c>
      <c r="AC20" s="1076">
        <f>SUM(Sch1_Line1,AA20)</f>
        <v>0</v>
      </c>
      <c r="AD20" s="1089"/>
      <c r="AE20" s="1089"/>
      <c r="AF20" s="1092"/>
    </row>
    <row r="21" spans="1:34" ht="15" customHeight="1">
      <c r="A21" s="66"/>
      <c r="B21" s="124" t="s">
        <v>659</v>
      </c>
      <c r="C21" s="267" t="s">
        <v>4093</v>
      </c>
      <c r="D21" s="267"/>
      <c r="E21" s="159"/>
      <c r="F21" s="159"/>
      <c r="G21" s="956"/>
      <c r="H21" s="160"/>
      <c r="I21" s="160"/>
      <c r="J21" s="160"/>
      <c r="K21" s="954" t="str">
        <f>IF(AND($M$21&lt;&gt;"",$M$21&gt;0),"(Enter Line 2f as a negative amount.)",".   .   .   .   .   .   .   .   .   .   .   .   .   .   .   .   .   .   .   .   .   . ")</f>
        <v xml:space="preserve">.   .   .   .   .   .   .   .   .   .   .   .   .   .   .   .   .   .   .   .   .   . </v>
      </c>
      <c r="L21" s="228" t="str">
        <f t="shared" si="0"/>
        <v>2f</v>
      </c>
      <c r="M21" s="976"/>
      <c r="N21" s="5707"/>
      <c r="O21" s="2257"/>
      <c r="P21" s="910">
        <v>0.25</v>
      </c>
      <c r="Q21" s="5282"/>
      <c r="R21" s="3158">
        <f t="shared" si="1"/>
        <v>0</v>
      </c>
      <c r="S21" s="1088"/>
      <c r="T21" s="1089"/>
      <c r="U21" s="1089"/>
      <c r="V21" s="1090"/>
      <c r="W21" s="1089"/>
      <c r="X21" s="1089"/>
      <c r="Y21" s="1089"/>
      <c r="Z21" s="1089"/>
      <c r="AA21" s="869" t="s">
        <v>4094</v>
      </c>
      <c r="AB21" s="1089"/>
      <c r="AC21" s="1089"/>
      <c r="AD21" s="1089"/>
      <c r="AE21" s="1089"/>
      <c r="AF21" s="1092"/>
    </row>
    <row r="22" spans="1:34" ht="15" customHeight="1">
      <c r="A22" s="66"/>
      <c r="B22" s="124" t="s">
        <v>663</v>
      </c>
      <c r="C22" s="267" t="s">
        <v>4095</v>
      </c>
      <c r="D22" s="267"/>
      <c r="E22" s="159"/>
      <c r="F22" s="159"/>
      <c r="G22" s="160"/>
      <c r="H22" s="160"/>
      <c r="I22" s="160"/>
      <c r="J22" s="160"/>
      <c r="K22" s="859" t="s">
        <v>782</v>
      </c>
      <c r="L22" s="228" t="str">
        <f t="shared" si="0"/>
        <v>2g</v>
      </c>
      <c r="M22" s="1982" t="str">
        <f>IF(P22&lt;&gt;"",ROUND(P22,0),IF(NOT(F6251_Needed),"",SUM(F1099INT_SPABI,F1099DIV_SPABI)))</f>
        <v/>
      </c>
      <c r="N22" s="5707"/>
      <c r="O22" s="2257"/>
      <c r="P22" s="300"/>
      <c r="Q22" s="5282"/>
      <c r="R22" s="3158">
        <f>IF(ISERROR(ROUND(M22,0)),0,ROUND(M22,0))</f>
        <v>0</v>
      </c>
      <c r="S22" s="1088"/>
      <c r="T22" s="1089"/>
      <c r="U22" s="1089"/>
      <c r="V22" s="1090"/>
      <c r="W22" s="1089"/>
      <c r="X22" s="1089"/>
      <c r="Y22" s="1089"/>
      <c r="Z22" s="1089"/>
      <c r="AA22" s="3441" t="s">
        <v>4096</v>
      </c>
      <c r="AB22" s="1089"/>
      <c r="AC22" s="1089"/>
      <c r="AD22" s="1089"/>
      <c r="AE22" s="1089"/>
      <c r="AF22" s="1092"/>
    </row>
    <row r="23" spans="1:34" ht="15" customHeight="1">
      <c r="A23" s="66"/>
      <c r="B23" s="124" t="s">
        <v>668</v>
      </c>
      <c r="C23" s="267" t="s">
        <v>4097</v>
      </c>
      <c r="D23" s="267"/>
      <c r="E23" s="159"/>
      <c r="F23" s="159"/>
      <c r="G23" s="160"/>
      <c r="H23" s="160"/>
      <c r="I23" s="160"/>
      <c r="J23" s="160"/>
      <c r="K23" s="859" t="s">
        <v>714</v>
      </c>
      <c r="L23" s="228" t="str">
        <f t="shared" si="0"/>
        <v>2h</v>
      </c>
      <c r="M23" s="976"/>
      <c r="N23" s="5707"/>
      <c r="O23" s="2257"/>
      <c r="P23" s="5283" t="s">
        <v>2181</v>
      </c>
      <c r="Q23" s="5282"/>
      <c r="R23" s="3158">
        <f t="shared" si="1"/>
        <v>0</v>
      </c>
      <c r="S23" s="1088"/>
      <c r="T23" s="1089"/>
      <c r="U23" s="2131" t="s">
        <v>198</v>
      </c>
      <c r="V23" s="2130" t="s">
        <v>4098</v>
      </c>
      <c r="W23" s="1089"/>
      <c r="X23" s="1089"/>
      <c r="Y23" s="1089"/>
      <c r="Z23" s="1089"/>
      <c r="AA23" s="2967" t="s">
        <v>2296</v>
      </c>
      <c r="AB23" s="2731" t="s">
        <v>198</v>
      </c>
      <c r="AC23" s="1076">
        <f>SUM(AC18,-AC20)</f>
        <v>0</v>
      </c>
      <c r="AD23" s="1089"/>
      <c r="AE23" s="1089"/>
      <c r="AF23" s="1092"/>
    </row>
    <row r="24" spans="1:34" ht="15" customHeight="1">
      <c r="A24" s="66"/>
      <c r="B24" s="124" t="s">
        <v>672</v>
      </c>
      <c r="C24" s="267" t="s">
        <v>4099</v>
      </c>
      <c r="D24" s="267"/>
      <c r="E24" s="159"/>
      <c r="F24" s="159"/>
      <c r="G24" s="160"/>
      <c r="H24" s="160"/>
      <c r="I24" s="160"/>
      <c r="J24" s="160"/>
      <c r="K24" s="859" t="s">
        <v>677</v>
      </c>
      <c r="L24" s="228" t="str">
        <f t="shared" si="0"/>
        <v>2i</v>
      </c>
      <c r="M24" s="976"/>
      <c r="N24" s="5707"/>
      <c r="O24" s="2257"/>
      <c r="P24" s="3442" t="s">
        <v>4100</v>
      </c>
      <c r="Q24" s="5282"/>
      <c r="R24" s="3158">
        <f t="shared" si="1"/>
        <v>0</v>
      </c>
      <c r="S24" s="1088"/>
      <c r="T24" s="1089"/>
      <c r="U24" s="1089"/>
      <c r="V24" s="1090"/>
      <c r="W24" s="1089"/>
      <c r="X24" s="1089"/>
      <c r="Y24" s="1089"/>
      <c r="Z24" s="1089"/>
      <c r="AA24" s="1089"/>
      <c r="AB24" s="1089"/>
      <c r="AC24" s="1089"/>
      <c r="AD24" s="1089"/>
      <c r="AE24" s="1089"/>
      <c r="AF24" s="1092"/>
    </row>
    <row r="25" spans="1:34" ht="15" customHeight="1">
      <c r="A25" s="66"/>
      <c r="B25" s="124" t="s">
        <v>928</v>
      </c>
      <c r="C25" s="267" t="s">
        <v>4101</v>
      </c>
      <c r="D25" s="267"/>
      <c r="E25" s="159"/>
      <c r="F25" s="159"/>
      <c r="G25" s="160"/>
      <c r="H25" s="160"/>
      <c r="I25" s="160"/>
      <c r="J25" s="160"/>
      <c r="K25" s="859" t="s">
        <v>654</v>
      </c>
      <c r="L25" s="228" t="str">
        <f t="shared" si="0"/>
        <v>2j</v>
      </c>
      <c r="M25" s="976"/>
      <c r="N25" s="5707"/>
      <c r="O25" s="2257"/>
      <c r="P25" s="3442" t="s">
        <v>17</v>
      </c>
      <c r="Q25" s="5282"/>
      <c r="R25" s="3158">
        <f t="shared" si="1"/>
        <v>0</v>
      </c>
      <c r="S25" s="1088"/>
      <c r="T25" s="1089"/>
      <c r="U25" s="2131" t="s">
        <v>202</v>
      </c>
      <c r="V25" s="2130" t="s">
        <v>4102</v>
      </c>
      <c r="W25" s="1089"/>
      <c r="X25" s="1089"/>
      <c r="Y25" s="1089"/>
      <c r="Z25" s="1089"/>
      <c r="AA25" s="1089"/>
      <c r="AB25" s="1089"/>
      <c r="AC25" s="1089"/>
      <c r="AD25" s="1089"/>
      <c r="AE25" s="1089"/>
      <c r="AF25" s="1092"/>
    </row>
    <row r="26" spans="1:34" ht="15" customHeight="1">
      <c r="A26" s="66"/>
      <c r="B26" s="124" t="s">
        <v>932</v>
      </c>
      <c r="C26" s="267" t="s">
        <v>4103</v>
      </c>
      <c r="D26" s="267"/>
      <c r="E26" s="159"/>
      <c r="F26" s="159"/>
      <c r="G26" s="160"/>
      <c r="H26" s="160"/>
      <c r="I26" s="160"/>
      <c r="J26" s="160"/>
      <c r="K26" s="859" t="s">
        <v>746</v>
      </c>
      <c r="L26" s="228" t="str">
        <f t="shared" ref="L26:L35" si="2">"2"&amp;B26</f>
        <v>2k</v>
      </c>
      <c r="M26" s="976"/>
      <c r="N26" s="5707"/>
      <c r="O26" s="2257"/>
      <c r="P26" s="3442" t="s">
        <v>4104</v>
      </c>
      <c r="Q26" s="5282"/>
      <c r="R26" s="3158">
        <f t="shared" si="1"/>
        <v>0</v>
      </c>
      <c r="S26" s="1088"/>
      <c r="T26" s="1089"/>
      <c r="U26" s="1090" t="s">
        <v>4105</v>
      </c>
      <c r="V26" s="2130" t="str">
        <f>"Single or head of household -- "&amp;TEXT(I42,"$0,000")</f>
        <v>Single or head of household -- $81,300</v>
      </c>
      <c r="W26" s="1089"/>
      <c r="X26" s="1089"/>
      <c r="Y26" s="1089"/>
      <c r="Z26" s="1089"/>
      <c r="AA26" s="2967" t="s">
        <v>914</v>
      </c>
      <c r="AB26" s="2731" t="s">
        <v>202</v>
      </c>
      <c r="AC26" s="1076" t="str">
        <f>IF(OR(File_Single&lt;&gt;"",File_Head&lt;&gt;""),I42,IF(OR(File_Marr_Joint&lt;&gt;"",File_Qual_Widow&lt;&gt;""),I43,IF(File_Marr_Sep&lt;&gt;"",I44,"Filing status?")))</f>
        <v>Filing status?</v>
      </c>
      <c r="AD26" s="1089"/>
      <c r="AE26" s="1089"/>
      <c r="AF26" s="1092"/>
      <c r="AH26" s="949"/>
    </row>
    <row r="27" spans="1:34" ht="15" customHeight="1">
      <c r="A27" s="66"/>
      <c r="B27" s="124" t="s">
        <v>936</v>
      </c>
      <c r="C27" s="267" t="s">
        <v>4106</v>
      </c>
      <c r="D27" s="267"/>
      <c r="E27" s="159"/>
      <c r="F27" s="159"/>
      <c r="G27" s="160"/>
      <c r="H27" s="160"/>
      <c r="I27" s="160"/>
      <c r="J27" s="160"/>
      <c r="K27" s="859"/>
      <c r="L27" s="228" t="str">
        <f t="shared" si="2"/>
        <v>2l</v>
      </c>
      <c r="M27" s="976"/>
      <c r="N27" s="5707"/>
      <c r="O27" s="2257"/>
      <c r="P27" s="3442" t="s">
        <v>4107</v>
      </c>
      <c r="Q27" s="5282"/>
      <c r="R27" s="3158">
        <f t="shared" si="1"/>
        <v>0</v>
      </c>
      <c r="S27" s="1088"/>
      <c r="T27" s="1089"/>
      <c r="U27" s="1090" t="s">
        <v>4105</v>
      </c>
      <c r="V27" s="2130" t="str">
        <f>"Married filing jointly or qualifying widow(er) -- "&amp;TEXT(I43,"$0,000")</f>
        <v>Married filing jointly or qualifying widow(er) -- $126,500</v>
      </c>
      <c r="W27" s="1089"/>
      <c r="X27" s="1089"/>
      <c r="Y27" s="1089"/>
      <c r="Z27" s="1089"/>
      <c r="AA27" s="1098"/>
      <c r="AB27" s="1089"/>
      <c r="AC27" s="1089"/>
      <c r="AD27" s="1089"/>
      <c r="AE27" s="1089"/>
      <c r="AF27" s="1092"/>
    </row>
    <row r="28" spans="1:34" ht="15" customHeight="1">
      <c r="A28" s="66"/>
      <c r="B28" s="124" t="s">
        <v>941</v>
      </c>
      <c r="C28" s="267" t="s">
        <v>4108</v>
      </c>
      <c r="D28" s="267"/>
      <c r="E28" s="159"/>
      <c r="F28" s="159"/>
      <c r="G28" s="160"/>
      <c r="H28" s="160"/>
      <c r="I28" s="160"/>
      <c r="J28" s="160"/>
      <c r="K28" s="859" t="s">
        <v>746</v>
      </c>
      <c r="L28" s="228" t="str">
        <f t="shared" si="2"/>
        <v>2m</v>
      </c>
      <c r="M28" s="976"/>
      <c r="N28" s="5707"/>
      <c r="O28" s="2257"/>
      <c r="P28" s="3442" t="str">
        <f>TEXT(P18,"$0,000")&amp;", you must include an"</f>
        <v>$831,150, you must include an</v>
      </c>
      <c r="Q28" s="5282"/>
      <c r="R28" s="3158">
        <f t="shared" si="1"/>
        <v>0</v>
      </c>
      <c r="S28" s="1088"/>
      <c r="T28" s="1089"/>
      <c r="U28" s="1090" t="s">
        <v>4105</v>
      </c>
      <c r="V28" s="2130" t="str">
        <f>"Married filing separately -- "&amp;TEXT(I44,"$0,000")</f>
        <v>Married filing separately -- $63,250</v>
      </c>
      <c r="W28" s="1089"/>
      <c r="X28" s="1089"/>
      <c r="Y28" s="1089"/>
      <c r="Z28" s="1089"/>
      <c r="AA28" s="1098"/>
      <c r="AB28" s="1089"/>
      <c r="AC28" s="1089"/>
      <c r="AD28" s="1089"/>
      <c r="AE28" s="1089"/>
      <c r="AF28" s="1092"/>
    </row>
    <row r="29" spans="1:34" ht="15" customHeight="1">
      <c r="A29" s="66"/>
      <c r="B29" s="124" t="s">
        <v>945</v>
      </c>
      <c r="C29" s="267" t="s">
        <v>4109</v>
      </c>
      <c r="D29" s="267"/>
      <c r="E29" s="159"/>
      <c r="F29" s="159"/>
      <c r="G29" s="160"/>
      <c r="H29" s="160"/>
      <c r="I29" s="160"/>
      <c r="J29" s="160"/>
      <c r="K29" s="859" t="s">
        <v>782</v>
      </c>
      <c r="L29" s="228" t="str">
        <f t="shared" si="2"/>
        <v>2n</v>
      </c>
      <c r="M29" s="976"/>
      <c r="N29" s="5707"/>
      <c r="O29" s="2257"/>
      <c r="P29" s="3442" t="s">
        <v>4110</v>
      </c>
      <c r="Q29" s="5282"/>
      <c r="R29" s="3158">
        <f t="shared" si="1"/>
        <v>0</v>
      </c>
      <c r="S29" s="1088"/>
      <c r="T29" s="1089"/>
      <c r="U29" s="1089"/>
      <c r="V29" s="1090"/>
      <c r="W29" s="1089"/>
      <c r="X29" s="1089"/>
      <c r="Y29" s="1089"/>
      <c r="Z29" s="1089"/>
      <c r="AA29" s="1089"/>
      <c r="AB29" s="1089"/>
      <c r="AC29" s="1089"/>
      <c r="AD29" s="1089"/>
      <c r="AE29" s="1089"/>
      <c r="AF29" s="1092"/>
    </row>
    <row r="30" spans="1:34" ht="15" customHeight="1">
      <c r="A30" s="66"/>
      <c r="B30" s="124" t="s">
        <v>948</v>
      </c>
      <c r="C30" s="267" t="s">
        <v>4111</v>
      </c>
      <c r="D30" s="267"/>
      <c r="E30" s="159"/>
      <c r="F30" s="159"/>
      <c r="G30" s="160"/>
      <c r="H30" s="160"/>
      <c r="I30" s="160"/>
      <c r="J30" s="160"/>
      <c r="K30" s="859" t="s">
        <v>642</v>
      </c>
      <c r="L30" s="228" t="str">
        <f t="shared" si="2"/>
        <v>2o</v>
      </c>
      <c r="M30" s="976"/>
      <c r="N30" s="5707"/>
      <c r="O30" s="2257"/>
      <c r="P30" s="3442" t="str">
        <f>TEXT(P19,"$0,000")&amp;" or more, include an additional"</f>
        <v>$1,012,300 or more, include an additional</v>
      </c>
      <c r="Q30" s="5282"/>
      <c r="R30" s="3158">
        <f t="shared" si="1"/>
        <v>0</v>
      </c>
      <c r="S30" s="1088"/>
      <c r="T30" s="1089"/>
      <c r="U30" s="2131" t="s">
        <v>215</v>
      </c>
      <c r="V30" s="2130" t="s">
        <v>4112</v>
      </c>
      <c r="W30" s="1089"/>
      <c r="X30" s="1089"/>
      <c r="Y30" s="1089"/>
      <c r="Z30" s="1089"/>
      <c r="AA30" s="1089"/>
      <c r="AB30" s="1089"/>
      <c r="AC30" s="1089"/>
      <c r="AD30" s="1089"/>
      <c r="AE30" s="1089"/>
      <c r="AF30" s="1092"/>
    </row>
    <row r="31" spans="1:34" ht="15" customHeight="1" thickBot="1">
      <c r="A31" s="66"/>
      <c r="B31" s="124" t="s">
        <v>952</v>
      </c>
      <c r="C31" s="267" t="s">
        <v>4113</v>
      </c>
      <c r="D31" s="267"/>
      <c r="E31" s="159"/>
      <c r="F31" s="159"/>
      <c r="G31" s="160"/>
      <c r="H31" s="160"/>
      <c r="I31" s="160"/>
      <c r="J31" s="160"/>
      <c r="K31" s="859" t="s">
        <v>752</v>
      </c>
      <c r="L31" s="228" t="str">
        <f t="shared" si="2"/>
        <v>2p</v>
      </c>
      <c r="M31" s="976"/>
      <c r="N31" s="5707"/>
      <c r="O31" s="2257"/>
      <c r="P31" s="3442" t="str">
        <f>TEXT(P20,"$0,000")&amp;". Otherwise, include "&amp;TEXT(P21,"0%")&amp;" of the"</f>
        <v>$63,250. Otherwise, include 25% of the</v>
      </c>
      <c r="Q31" s="5282"/>
      <c r="R31" s="3158">
        <f t="shared" si="1"/>
        <v>0</v>
      </c>
      <c r="S31" s="1088"/>
      <c r="T31" s="1089"/>
      <c r="U31" s="1089"/>
      <c r="V31" s="1090"/>
      <c r="W31" s="1089"/>
      <c r="X31" s="1089"/>
      <c r="Y31" s="1089"/>
      <c r="Z31" s="1089"/>
      <c r="AA31" s="1089"/>
      <c r="AB31" s="1089"/>
      <c r="AC31" s="1089"/>
      <c r="AD31" s="1089"/>
      <c r="AE31" s="1089"/>
      <c r="AF31" s="1092"/>
    </row>
    <row r="32" spans="1:34" ht="15" customHeight="1" thickBot="1">
      <c r="A32" s="66"/>
      <c r="B32" s="124" t="s">
        <v>955</v>
      </c>
      <c r="C32" s="267" t="s">
        <v>4114</v>
      </c>
      <c r="D32" s="267"/>
      <c r="E32" s="159"/>
      <c r="F32" s="159"/>
      <c r="G32" s="160"/>
      <c r="H32" s="160"/>
      <c r="I32" s="160"/>
      <c r="J32" s="160"/>
      <c r="K32" s="859" t="s">
        <v>650</v>
      </c>
      <c r="L32" s="228" t="str">
        <f t="shared" si="2"/>
        <v>2q</v>
      </c>
      <c r="M32" s="976"/>
      <c r="N32" s="5707"/>
      <c r="O32" s="2257"/>
      <c r="P32" s="3442" t="s">
        <v>4115</v>
      </c>
      <c r="Q32" s="5282"/>
      <c r="R32" s="3158">
        <f t="shared" si="1"/>
        <v>0</v>
      </c>
      <c r="S32" s="1088"/>
      <c r="T32" s="1089"/>
      <c r="U32" s="1107" t="str">
        <f>IF(AC23&gt;AC26,"","X")</f>
        <v>X</v>
      </c>
      <c r="V32" s="5186" t="s">
        <v>1067</v>
      </c>
      <c r="W32" s="2130" t="s">
        <v>4116</v>
      </c>
      <c r="X32" s="1089"/>
      <c r="Y32" s="1089"/>
      <c r="Z32" s="1089"/>
      <c r="AA32" s="1089"/>
      <c r="AB32" s="1089"/>
      <c r="AC32" s="1089"/>
      <c r="AD32" s="1089"/>
      <c r="AE32" s="1089"/>
      <c r="AF32" s="1092"/>
    </row>
    <row r="33" spans="1:34" ht="15" customHeight="1" thickBot="1">
      <c r="A33" s="66"/>
      <c r="B33" s="124" t="s">
        <v>958</v>
      </c>
      <c r="C33" s="267" t="s">
        <v>4117</v>
      </c>
      <c r="D33" s="267"/>
      <c r="E33" s="159"/>
      <c r="F33" s="159"/>
      <c r="G33" s="160"/>
      <c r="H33" s="160"/>
      <c r="I33" s="160"/>
      <c r="J33" s="160"/>
      <c r="K33" s="859" t="s">
        <v>746</v>
      </c>
      <c r="L33" s="228" t="str">
        <f t="shared" si="2"/>
        <v>2r</v>
      </c>
      <c r="M33" s="976"/>
      <c r="N33" s="5707"/>
      <c r="O33" s="2257"/>
      <c r="P33" s="3442" t="str">
        <f>TEXT(P18,"$0,000")&amp;". For example, if the amount"</f>
        <v>$831,150. For example, if the amount</v>
      </c>
      <c r="Q33" s="5282"/>
      <c r="R33" s="3158">
        <f t="shared" si="1"/>
        <v>0</v>
      </c>
      <c r="S33" s="1088"/>
      <c r="T33" s="1089"/>
      <c r="U33" s="2132"/>
      <c r="V33" s="2130"/>
      <c r="W33" s="2325" t="s">
        <v>4118</v>
      </c>
      <c r="X33" s="1089"/>
      <c r="Y33" s="1089"/>
      <c r="Z33" s="1089"/>
      <c r="AA33" s="1089"/>
      <c r="AB33" s="1089"/>
      <c r="AC33" s="1089"/>
      <c r="AD33" s="1089"/>
      <c r="AE33" s="1089"/>
      <c r="AF33" s="1092"/>
    </row>
    <row r="34" spans="1:34" ht="15" customHeight="1" thickBot="1">
      <c r="A34" s="66"/>
      <c r="B34" s="124" t="s">
        <v>961</v>
      </c>
      <c r="C34" s="267" t="s">
        <v>4119</v>
      </c>
      <c r="D34" s="267"/>
      <c r="E34" s="159"/>
      <c r="F34" s="159"/>
      <c r="G34" s="160"/>
      <c r="H34" s="160"/>
      <c r="I34" s="954"/>
      <c r="J34" s="160"/>
      <c r="K34" s="954" t="str">
        <f>IF($M$34&gt;0,"(Enter as negative amount)",".   .   .   .   .   .   .   .   .   .   .   .   .   .   .   . ")</f>
        <v xml:space="preserve">.   .   .   .   .   .   .   .   .   .   .   .   .   .   .   . </v>
      </c>
      <c r="L34" s="228" t="str">
        <f t="shared" si="2"/>
        <v>2s</v>
      </c>
      <c r="M34" s="976"/>
      <c r="N34" s="5707"/>
      <c r="O34" s="2257"/>
      <c r="P34" s="3442" t="str">
        <f>"on line 4 is "&amp;TEXT(P15,"$0,000")&amp;", enter "&amp;TEXT(R15,"$0,000")</f>
        <v>on line 4 is $796,100, enter $787,337</v>
      </c>
      <c r="Q34" s="5282"/>
      <c r="R34" s="3158">
        <f t="shared" si="1"/>
        <v>0</v>
      </c>
      <c r="S34" s="1088"/>
      <c r="T34" s="1089"/>
      <c r="U34" s="1107" t="str">
        <f>IF(AC23&gt;AC26,"X","")</f>
        <v/>
      </c>
      <c r="V34" s="5186" t="s">
        <v>1069</v>
      </c>
      <c r="W34" s="2130" t="s">
        <v>4120</v>
      </c>
      <c r="X34" s="1089"/>
      <c r="Y34" s="1089"/>
      <c r="Z34" s="1089"/>
      <c r="AA34" s="2967" t="s">
        <v>2177</v>
      </c>
      <c r="AB34" s="2731" t="s">
        <v>215</v>
      </c>
      <c r="AC34" s="1076" t="str">
        <f>IF(U32="X","",SUM(AC23,-AC26))</f>
        <v/>
      </c>
      <c r="AD34" s="1089"/>
      <c r="AE34" s="1089"/>
      <c r="AF34" s="1092"/>
    </row>
    <row r="35" spans="1:34" ht="15" customHeight="1">
      <c r="A35" s="66"/>
      <c r="B35" s="124" t="s">
        <v>965</v>
      </c>
      <c r="C35" s="267" t="s">
        <v>4121</v>
      </c>
      <c r="D35" s="267"/>
      <c r="E35" s="159"/>
      <c r="F35" s="159"/>
      <c r="G35" s="160"/>
      <c r="H35" s="160"/>
      <c r="I35" s="160"/>
      <c r="J35" s="160"/>
      <c r="K35" s="859" t="s">
        <v>754</v>
      </c>
      <c r="L35" s="228" t="str">
        <f t="shared" si="2"/>
        <v>2t</v>
      </c>
      <c r="M35" s="976"/>
      <c r="N35" s="5707"/>
      <c r="O35" s="2257"/>
      <c r="P35" s="3442" t="str">
        <f>"instead—the additional "&amp;TEXT(SUM(R15,-P15),"$0,000")&amp;" is "&amp;TEXT(P21,"0%")</f>
        <v>instead—the additional -$8,763 is 25%</v>
      </c>
      <c r="Q35" s="5282"/>
      <c r="R35" s="3158">
        <f t="shared" si="1"/>
        <v>0</v>
      </c>
      <c r="S35" s="1088"/>
      <c r="T35" s="1089"/>
      <c r="U35" s="1089"/>
      <c r="V35" s="1090"/>
      <c r="W35" s="1089"/>
      <c r="X35" s="1089"/>
      <c r="Y35" s="1089"/>
      <c r="Z35" s="1089"/>
      <c r="AA35" s="1089"/>
      <c r="AB35" s="1089"/>
      <c r="AC35" s="1089"/>
      <c r="AD35" s="1089"/>
      <c r="AE35" s="1089"/>
      <c r="AF35" s="1092"/>
    </row>
    <row r="36" spans="1:34" ht="15" customHeight="1">
      <c r="A36" s="66"/>
      <c r="B36" s="168">
        <v>3</v>
      </c>
      <c r="C36" s="267" t="s">
        <v>4122</v>
      </c>
      <c r="D36" s="267"/>
      <c r="E36" s="159"/>
      <c r="F36" s="159"/>
      <c r="G36" s="160"/>
      <c r="H36" s="160"/>
      <c r="I36" s="160"/>
      <c r="J36" s="160"/>
      <c r="K36" s="859" t="s">
        <v>661</v>
      </c>
      <c r="L36" s="228">
        <f>B36</f>
        <v>3</v>
      </c>
      <c r="M36" s="976"/>
      <c r="N36" s="5707"/>
      <c r="O36" s="2257"/>
      <c r="P36" s="3442" t="str">
        <f>"of "&amp;TEXT(SUM(P15,-P18),"$0,000")&amp;" ("&amp;TEXT(P15,"$0,000")&amp;" minus "&amp;TEXT(P18,"$0,000")&amp;")."</f>
        <v>of -$35,050 ($796,100 minus $831,150).</v>
      </c>
      <c r="Q36" s="5282"/>
      <c r="R36" s="3158">
        <f t="shared" si="1"/>
        <v>0</v>
      </c>
      <c r="S36" s="1088"/>
      <c r="T36" s="1089"/>
      <c r="U36" s="2131" t="s">
        <v>217</v>
      </c>
      <c r="V36" s="2130" t="s">
        <v>1183</v>
      </c>
      <c r="W36" s="1089"/>
      <c r="X36" s="1089"/>
      <c r="Y36" s="1089"/>
      <c r="Z36" s="1089"/>
      <c r="AA36" s="1089"/>
      <c r="AB36" s="1089"/>
      <c r="AC36" s="1089"/>
      <c r="AD36" s="1089"/>
      <c r="AE36" s="1089"/>
      <c r="AF36" s="1092"/>
    </row>
    <row r="37" spans="1:34" ht="15" customHeight="1">
      <c r="A37" s="66"/>
      <c r="B37" s="168">
        <f>B36+1</f>
        <v>4</v>
      </c>
      <c r="C37" s="152" t="s">
        <v>4123</v>
      </c>
      <c r="D37" s="132"/>
      <c r="E37" s="159"/>
      <c r="F37" s="159"/>
      <c r="G37" s="160"/>
      <c r="H37" s="160"/>
      <c r="I37" s="160"/>
      <c r="J37" s="160"/>
      <c r="K37" s="379"/>
      <c r="L37" s="396"/>
      <c r="M37" s="947">
        <f>SUM(R14,R16:R36)</f>
        <v>0</v>
      </c>
      <c r="N37" s="449"/>
      <c r="O37" s="2257"/>
      <c r="P37" s="5284" t="str">
        <f>IF(File_Marr_Sep="","",IF(NOT(R38),0,IF(M37&gt;P19,P20,ROUND(P21*(SUM(M37,-P18)),0))))</f>
        <v/>
      </c>
      <c r="Q37" s="9147" t="str">
        <f>IF(R38,"&lt;&lt;&lt;  Amount added","")</f>
        <v/>
      </c>
      <c r="R37" s="9148"/>
      <c r="S37" s="1088"/>
      <c r="T37" s="1089"/>
      <c r="U37" s="1090" t="s">
        <v>4105</v>
      </c>
      <c r="V37" s="2130" t="str">
        <f>"Single or head of household -- "&amp;TEXT(G42,"$0,000")</f>
        <v>Single or head of household -- $578,150</v>
      </c>
      <c r="W37" s="1089"/>
      <c r="X37" s="1089"/>
      <c r="Y37" s="1089"/>
      <c r="Z37" s="1089"/>
      <c r="AA37" s="1098"/>
      <c r="AB37" s="1089"/>
      <c r="AC37" s="1089"/>
      <c r="AD37" s="1089"/>
      <c r="AE37" s="1089"/>
      <c r="AF37" s="1092"/>
    </row>
    <row r="38" spans="1:34" ht="15" customHeight="1">
      <c r="A38" s="66"/>
      <c r="B38" s="124"/>
      <c r="C38" s="2809" t="str">
        <f>"is more than "&amp;TEXT(P18,"$0,000")&amp;", see instructions.)"</f>
        <v>is more than $831,150, see instructions.)</v>
      </c>
      <c r="D38" s="267"/>
      <c r="E38" s="159"/>
      <c r="F38" s="159"/>
      <c r="G38" s="160"/>
      <c r="H38" s="160"/>
      <c r="I38" s="160"/>
      <c r="J38" s="160"/>
      <c r="K38" s="859" t="s">
        <v>670</v>
      </c>
      <c r="L38" s="396">
        <f>B37</f>
        <v>4</v>
      </c>
      <c r="M38" s="975" t="str">
        <f>IF(P38&lt;&gt;"",ROUND(P38,0),IF(NOT(F6251_Needed),"",SUM(M37,P37)))</f>
        <v/>
      </c>
      <c r="N38" s="449"/>
      <c r="O38" s="2257"/>
      <c r="P38" s="300"/>
      <c r="Q38" s="5282"/>
      <c r="R38" s="5286" t="b">
        <f>AND(File_Marr_Sep&lt;&gt;"",M37&gt;P18)</f>
        <v>0</v>
      </c>
      <c r="S38" s="1088"/>
      <c r="T38" s="1089"/>
      <c r="U38" s="1090" t="s">
        <v>4105</v>
      </c>
      <c r="V38" s="2130" t="str">
        <f>"Married filing jointly or qualifying widow(er) -- "&amp;TEXT(G43,"$0,000")</f>
        <v>Married filing jointly or qualifying widow(er) -- $1,156,300</v>
      </c>
      <c r="W38" s="1089"/>
      <c r="X38" s="1089"/>
      <c r="Y38" s="1089"/>
      <c r="Z38" s="1089"/>
      <c r="AA38" s="2966" t="s">
        <v>950</v>
      </c>
      <c r="AB38" s="2731" t="s">
        <v>217</v>
      </c>
      <c r="AC38" s="1076" t="str">
        <f>IF(U32="X","",IF(OR(File_Single&lt;&gt;"",File_Head&lt;&gt;""),G42,IF(OR(File_Marr_Joint&lt;&gt;"",File_Qual_Widow&lt;&gt;""),G43,IF(File_Marr_Sep&lt;&gt;"",G44,"Filing status?"))))</f>
        <v/>
      </c>
      <c r="AD38" s="1089"/>
      <c r="AE38" s="1089"/>
      <c r="AF38" s="1092"/>
    </row>
    <row r="39" spans="1:34" ht="15" customHeight="1">
      <c r="A39" s="66"/>
      <c r="B39" s="5065" t="s">
        <v>982</v>
      </c>
      <c r="C39" s="9113" t="s">
        <v>4124</v>
      </c>
      <c r="D39" s="9113"/>
      <c r="E39" s="9114"/>
      <c r="F39" s="9114"/>
      <c r="G39" s="9114"/>
      <c r="H39" s="9114"/>
      <c r="I39" s="9114"/>
      <c r="J39" s="9114"/>
      <c r="K39" s="9114"/>
      <c r="L39" s="9114"/>
      <c r="M39" s="9114"/>
      <c r="N39" s="5708"/>
      <c r="O39" s="2251"/>
      <c r="P39" s="5709"/>
      <c r="Q39" s="683"/>
      <c r="R39" s="4661"/>
      <c r="S39" s="1088"/>
      <c r="T39" s="1089"/>
      <c r="U39" s="1090" t="s">
        <v>4105</v>
      </c>
      <c r="V39" s="2130" t="str">
        <f>"Married filing separately -- "&amp;TEXT(G44,"$0,000")</f>
        <v>Married filing separately -- $578,150</v>
      </c>
      <c r="W39" s="1089"/>
      <c r="X39" s="1089"/>
      <c r="Y39" s="1089"/>
      <c r="Z39" s="1089"/>
      <c r="AA39" s="1098"/>
      <c r="AB39" s="1089"/>
      <c r="AC39" s="1089"/>
      <c r="AD39" s="1089"/>
      <c r="AE39" s="1089"/>
      <c r="AF39" s="1092"/>
    </row>
    <row r="40" spans="1:34" ht="15" customHeight="1">
      <c r="A40" s="66"/>
      <c r="B40" s="168">
        <f>B37+1</f>
        <v>5</v>
      </c>
      <c r="C40" s="267" t="s">
        <v>4125</v>
      </c>
      <c r="D40" s="267"/>
      <c r="E40" s="159"/>
      <c r="F40" s="159"/>
      <c r="G40" s="160"/>
      <c r="H40" s="160"/>
      <c r="I40" s="160"/>
      <c r="J40" s="160"/>
      <c r="K40" s="859"/>
      <c r="L40" s="5710"/>
      <c r="M40" s="1034"/>
      <c r="N40" s="450"/>
      <c r="O40" s="2257"/>
      <c r="P40" s="5709"/>
      <c r="Q40" s="29"/>
      <c r="R40" s="4661"/>
      <c r="S40" s="1088"/>
      <c r="T40" s="1089"/>
      <c r="U40" s="1089"/>
      <c r="V40" s="1090"/>
      <c r="W40" s="1089"/>
      <c r="X40" s="1089"/>
      <c r="Y40" s="1089"/>
      <c r="Z40" s="1089"/>
      <c r="AA40" s="1098"/>
      <c r="AB40" s="1089"/>
      <c r="AC40" s="1089"/>
      <c r="AD40" s="1089"/>
      <c r="AE40" s="1089"/>
      <c r="AF40" s="1092"/>
    </row>
    <row r="41" spans="1:34" ht="15" customHeight="1">
      <c r="A41" s="66"/>
      <c r="B41" s="124"/>
      <c r="C41" s="152" t="s">
        <v>4126</v>
      </c>
      <c r="D41" s="267"/>
      <c r="E41" s="159"/>
      <c r="F41" s="159"/>
      <c r="G41" s="161" t="s">
        <v>4127</v>
      </c>
      <c r="H41" s="160"/>
      <c r="I41" s="161" t="s">
        <v>4128</v>
      </c>
      <c r="J41" s="160"/>
      <c r="K41" s="859"/>
      <c r="L41" s="5711"/>
      <c r="M41" s="1034" t="s">
        <v>2181</v>
      </c>
      <c r="N41" s="450"/>
      <c r="O41" s="2257"/>
      <c r="P41" s="5709"/>
      <c r="Q41" s="51"/>
      <c r="R41" s="4663"/>
      <c r="S41" s="1088"/>
      <c r="T41" s="1089"/>
      <c r="U41" s="2131" t="s">
        <v>222</v>
      </c>
      <c r="V41" s="2130" t="s">
        <v>4129</v>
      </c>
      <c r="W41" s="1089"/>
      <c r="X41" s="1089"/>
      <c r="Y41" s="1089"/>
      <c r="Z41" s="1089"/>
      <c r="AA41" s="1089"/>
      <c r="AB41" s="1089"/>
      <c r="AC41" s="1089"/>
      <c r="AD41" s="1089"/>
      <c r="AE41" s="1089"/>
      <c r="AF41" s="1092"/>
    </row>
    <row r="42" spans="1:34" ht="15" customHeight="1" thickBot="1">
      <c r="A42" s="66"/>
      <c r="B42" s="124"/>
      <c r="C42" s="267" t="s">
        <v>4130</v>
      </c>
      <c r="D42" s="267"/>
      <c r="E42" s="159"/>
      <c r="F42" s="159"/>
      <c r="G42" s="992">
        <v>578150</v>
      </c>
      <c r="H42" s="954" t="str">
        <f>".   .   .   .   ."</f>
        <v>.   .   .   .   .</v>
      </c>
      <c r="I42" s="2958">
        <v>81300</v>
      </c>
      <c r="J42" s="160"/>
      <c r="K42" s="859"/>
      <c r="L42" s="5711"/>
      <c r="M42" s="1034"/>
      <c r="N42" s="450"/>
      <c r="O42" s="2257"/>
      <c r="P42" s="5709"/>
      <c r="Q42" s="29"/>
      <c r="R42" s="4661"/>
      <c r="S42" s="1088"/>
      <c r="T42" s="1089"/>
      <c r="U42" s="1089"/>
      <c r="V42" s="1090"/>
      <c r="W42" s="1089"/>
      <c r="X42" s="1089"/>
      <c r="Y42" s="1089"/>
      <c r="Z42" s="1089"/>
      <c r="AA42" s="1089"/>
      <c r="AB42" s="1089"/>
      <c r="AC42" s="1089"/>
      <c r="AD42" s="1089"/>
      <c r="AE42" s="1089"/>
      <c r="AF42" s="1092"/>
    </row>
    <row r="43" spans="1:34" ht="12" customHeight="1" thickBot="1">
      <c r="A43" s="66"/>
      <c r="B43" s="124"/>
      <c r="C43" s="267" t="s">
        <v>4131</v>
      </c>
      <c r="D43" s="267"/>
      <c r="E43" s="159"/>
      <c r="F43" s="159"/>
      <c r="G43" s="268">
        <v>1156300</v>
      </c>
      <c r="H43" s="954" t="str">
        <f>".   .   .   .   ."</f>
        <v>.   .   .   .   .</v>
      </c>
      <c r="I43" s="2959">
        <v>126500</v>
      </c>
      <c r="J43" s="160"/>
      <c r="K43" s="859"/>
      <c r="L43" s="5711"/>
      <c r="M43" s="1034"/>
      <c r="N43" s="450"/>
      <c r="O43" s="2257"/>
      <c r="P43" s="691"/>
      <c r="Q43" s="29"/>
      <c r="R43" s="4661"/>
      <c r="S43" s="1088"/>
      <c r="T43" s="1089"/>
      <c r="U43" s="1107" t="str">
        <f>IF(U32="X","",IF(AC23&gt;AC38,"","X"))</f>
        <v/>
      </c>
      <c r="V43" s="5186" t="s">
        <v>1067</v>
      </c>
      <c r="W43" s="2130" t="s">
        <v>4132</v>
      </c>
      <c r="X43" s="1089"/>
      <c r="Y43" s="1089"/>
      <c r="Z43" s="1089"/>
      <c r="AA43" s="1089"/>
      <c r="AB43" s="1089"/>
      <c r="AC43" s="1099" t="str">
        <f>IF(U43="X","Go to Line 12.","")</f>
        <v/>
      </c>
      <c r="AD43" s="1089"/>
      <c r="AE43" s="1089"/>
      <c r="AF43" s="1092"/>
    </row>
    <row r="44" spans="1:34" ht="13.5" thickBot="1">
      <c r="A44" s="66"/>
      <c r="B44" s="124"/>
      <c r="C44" s="267" t="s">
        <v>4133</v>
      </c>
      <c r="D44" s="267"/>
      <c r="E44" s="159"/>
      <c r="F44" s="152" t="s">
        <v>4134</v>
      </c>
      <c r="G44" s="268">
        <f>G42</f>
        <v>578150</v>
      </c>
      <c r="H44" s="954" t="str">
        <f>".   .   .   .   ."</f>
        <v>.   .   .   .   .</v>
      </c>
      <c r="I44" s="2959">
        <v>63250</v>
      </c>
      <c r="J44" s="160"/>
      <c r="K44" s="859"/>
      <c r="L44" s="5711"/>
      <c r="M44" s="1034"/>
      <c r="N44" s="450"/>
      <c r="O44" s="2258"/>
      <c r="P44" s="4725" t="str">
        <f>IF(NOT(P1),"",IF(NOT(AMTExemptionFlag),"You AMT exemption is zero.","Go to Line 6."))</f>
        <v/>
      </c>
      <c r="Q44" s="29"/>
      <c r="R44" s="1499"/>
      <c r="S44" s="1088"/>
      <c r="T44" s="1089"/>
      <c r="U44" s="1089"/>
      <c r="V44" s="1090"/>
      <c r="W44" s="1089"/>
      <c r="X44" s="1089"/>
      <c r="Y44" s="1089"/>
      <c r="Z44" s="1089"/>
      <c r="AA44" s="1089"/>
      <c r="AB44" s="1089"/>
      <c r="AC44" s="1089"/>
      <c r="AD44" s="1089"/>
      <c r="AE44" s="1089"/>
      <c r="AF44" s="1092"/>
    </row>
    <row r="45" spans="1:34" ht="13.5" customHeight="1" thickBot="1">
      <c r="A45" s="66"/>
      <c r="B45" s="124"/>
      <c r="C45" s="267" t="s">
        <v>4135</v>
      </c>
      <c r="D45" s="267"/>
      <c r="E45" s="159"/>
      <c r="F45" s="159"/>
      <c r="G45" s="160"/>
      <c r="H45" s="160"/>
      <c r="I45" s="160"/>
      <c r="J45" s="160"/>
      <c r="K45" s="3439" t="s">
        <v>680</v>
      </c>
      <c r="L45" s="171">
        <f>B40</f>
        <v>5</v>
      </c>
      <c r="M45" s="975" t="str">
        <f>IF(P45&lt;&gt;"",ROUND(P45,0),IF(OR(NumFileStatusBoxes=0,NOT(AMTExemptionFlag)),"",IF(AND(OR(File_Single&lt;&gt;"",File_Head&lt;&gt;""),AltMinTaxInc&lt;=G42),I42,IF(AND(OR(File_Marr_Joint&lt;&gt;"",File_Qual_Widow&lt;&gt;""),AltMinTaxInc&lt;=G43),I43,IF(AND(File_Marr_Sep&lt;&gt;"",AltMinTaxInc&lt;=G44),I44,IF(AC93="",0,AC93))))))</f>
        <v/>
      </c>
      <c r="N45" s="450"/>
      <c r="O45" s="2257"/>
      <c r="P45" s="300"/>
      <c r="Q45" s="29"/>
      <c r="R45" s="3912" t="str">
        <f>IF(M45&lt;&gt;"",MAX(0,SUM(AltMinTaxInc,-M45)),AltMinTaxInc)</f>
        <v/>
      </c>
      <c r="S45" s="1088"/>
      <c r="T45" s="1089"/>
      <c r="U45" s="1107" t="str">
        <f>IF(U32="X","",IF(AC23&gt;AC38,"X",""))</f>
        <v/>
      </c>
      <c r="V45" s="5186" t="s">
        <v>1069</v>
      </c>
      <c r="W45" s="2130" t="s">
        <v>4136</v>
      </c>
      <c r="X45" s="1089"/>
      <c r="Y45" s="1089"/>
      <c r="Z45" s="1089"/>
      <c r="AA45" s="2967" t="s">
        <v>891</v>
      </c>
      <c r="AB45" s="2731" t="s">
        <v>222</v>
      </c>
      <c r="AC45" s="1076" t="str">
        <f>IF(OR(U32="X",U43="X"),"",SUM(AC23,-AC38))</f>
        <v/>
      </c>
      <c r="AD45" s="1089"/>
      <c r="AE45" s="1089"/>
      <c r="AF45" s="1092"/>
      <c r="AH45" s="4654"/>
    </row>
    <row r="46" spans="1:34" ht="13.5" customHeight="1">
      <c r="A46" s="66"/>
      <c r="B46" s="168">
        <f>B40+1</f>
        <v>6</v>
      </c>
      <c r="C46" s="267" t="s">
        <v>4137</v>
      </c>
      <c r="D46" s="267"/>
      <c r="E46" s="159"/>
      <c r="F46" s="159"/>
      <c r="G46" s="160"/>
      <c r="H46" s="160"/>
      <c r="I46" s="160"/>
      <c r="J46" s="160"/>
      <c r="K46" s="382"/>
      <c r="L46" s="124"/>
      <c r="M46" s="1034"/>
      <c r="N46" s="5707"/>
      <c r="O46" s="2257"/>
      <c r="P46" s="4725" t="str">
        <f>IF(NOT(P1),"",IF(R46,"Go to Line 10.","Go to Line 7."))</f>
        <v/>
      </c>
      <c r="Q46" s="294"/>
      <c r="R46" s="3912" t="b">
        <f>R45&lt;=0</f>
        <v>0</v>
      </c>
      <c r="S46" s="1088"/>
      <c r="T46" s="1089"/>
      <c r="U46" s="1089"/>
      <c r="V46" s="1090"/>
      <c r="W46" s="1089"/>
      <c r="X46" s="1089"/>
      <c r="Y46" s="1089"/>
      <c r="Z46" s="1089"/>
      <c r="AA46" s="1089"/>
      <c r="AB46" s="1089"/>
      <c r="AC46" s="1089"/>
      <c r="AD46" s="1089"/>
      <c r="AE46" s="1089"/>
      <c r="AF46" s="1092"/>
      <c r="AH46" s="4661">
        <v>903350</v>
      </c>
    </row>
    <row r="47" spans="1:34" ht="13.5" customHeight="1">
      <c r="A47" s="66"/>
      <c r="B47" s="124"/>
      <c r="C47" s="267" t="s">
        <v>4138</v>
      </c>
      <c r="D47" s="267"/>
      <c r="E47" s="159"/>
      <c r="F47" s="159"/>
      <c r="G47" s="160"/>
      <c r="H47" s="160"/>
      <c r="I47" s="160"/>
      <c r="J47" s="160"/>
      <c r="K47" s="859" t="s">
        <v>744</v>
      </c>
      <c r="L47" s="155">
        <f>B46</f>
        <v>6</v>
      </c>
      <c r="M47" s="975">
        <f>IF(P47&lt;&gt;"",ROUND(P47,0),IF(OR(NumFileStatusBoxes=0,R46),0,IF(NOT(AMTExemptionFlag),AltMinTaxInc,R45)))</f>
        <v>0</v>
      </c>
      <c r="N47" s="5707"/>
      <c r="O47" s="2258"/>
      <c r="P47" s="300"/>
      <c r="Q47" s="294"/>
      <c r="R47" s="2230"/>
      <c r="S47" s="1088"/>
      <c r="T47" s="1089"/>
      <c r="U47" s="2131" t="s">
        <v>227</v>
      </c>
      <c r="V47" s="2130" t="str">
        <f>" Multiply line 9 by "&amp;TEXT(AH53,"0%")&amp;" ("&amp;TEXT(AH53,".00")&amp;") and enter the smaller of the result or line 6"</f>
        <v xml:space="preserve"> Multiply line 9 by 25% (.25) and enter the smaller of the result or line 6</v>
      </c>
      <c r="W47" s="1089"/>
      <c r="X47" s="1089"/>
      <c r="Y47" s="1089"/>
      <c r="Z47" s="1089"/>
      <c r="AA47" s="2967" t="s">
        <v>922</v>
      </c>
      <c r="AB47" s="2731" t="s">
        <v>227</v>
      </c>
      <c r="AC47" s="1076" t="str">
        <f>IF(OR(U43="X",U32="X"),"",MIN(ROUND(AH53*AC45,0),AC26))</f>
        <v/>
      </c>
      <c r="AD47" s="1089"/>
      <c r="AE47" s="1089"/>
      <c r="AF47" s="1092"/>
      <c r="AH47" s="4661">
        <v>1662300</v>
      </c>
    </row>
    <row r="48" spans="1:34" ht="13.5" customHeight="1">
      <c r="A48" s="66"/>
      <c r="B48" s="168">
        <f>B46+1</f>
        <v>7</v>
      </c>
      <c r="C48" s="3848" t="s">
        <v>936</v>
      </c>
      <c r="D48" s="267" t="s">
        <v>4139</v>
      </c>
      <c r="E48" s="159"/>
      <c r="F48" s="159"/>
      <c r="G48" s="160"/>
      <c r="H48" s="160"/>
      <c r="I48" s="160"/>
      <c r="J48" s="160"/>
      <c r="K48" s="340"/>
      <c r="L48" s="5710"/>
      <c r="M48" s="2578"/>
      <c r="N48" s="450"/>
      <c r="O48" s="2257"/>
      <c r="P48" s="2571" t="str">
        <f>IF(AND(P1,Form2555_Used),"Form 2555 is used.","")</f>
        <v/>
      </c>
      <c r="Q48" s="29"/>
      <c r="R48" s="806" t="b">
        <f>Form2555_Used</f>
        <v>0</v>
      </c>
      <c r="S48" s="1088"/>
      <c r="T48" s="1089"/>
      <c r="U48" s="1089"/>
      <c r="V48" s="1090"/>
      <c r="W48" s="1089"/>
      <c r="X48" s="1089"/>
      <c r="Y48" s="1089"/>
      <c r="Z48" s="1089"/>
      <c r="AA48" s="1089"/>
      <c r="AB48" s="1089"/>
      <c r="AC48" s="1089"/>
      <c r="AD48" s="1089"/>
      <c r="AE48" s="1093"/>
      <c r="AF48" s="1092"/>
      <c r="AH48" s="4661">
        <v>831150</v>
      </c>
    </row>
    <row r="49" spans="1:34" ht="13.5" customHeight="1">
      <c r="A49" s="66"/>
      <c r="B49" s="124"/>
      <c r="C49" s="3848" t="s">
        <v>936</v>
      </c>
      <c r="D49" s="267" t="s">
        <v>4140</v>
      </c>
      <c r="E49" s="159"/>
      <c r="F49" s="159"/>
      <c r="G49" s="160"/>
      <c r="H49" s="160"/>
      <c r="I49" s="160"/>
      <c r="J49" s="160"/>
      <c r="K49" s="340"/>
      <c r="L49" s="5711"/>
      <c r="M49" s="2579"/>
      <c r="N49" s="450"/>
      <c r="O49" s="2257"/>
      <c r="P49" s="2571"/>
      <c r="Q49" s="29"/>
      <c r="R49" s="4708" t="b">
        <f>AND(SchD_NotReqd,CapitalGains&gt;0)</f>
        <v>0</v>
      </c>
      <c r="S49" s="1088"/>
      <c r="T49" s="1089"/>
      <c r="U49" s="2131" t="s">
        <v>229</v>
      </c>
      <c r="V49" s="2130" t="s">
        <v>4141</v>
      </c>
      <c r="W49" s="1089"/>
      <c r="X49" s="1089"/>
      <c r="Y49" s="1089"/>
      <c r="Z49" s="1089"/>
      <c r="AA49" s="2967" t="s">
        <v>1328</v>
      </c>
      <c r="AB49" s="2731" t="s">
        <v>229</v>
      </c>
      <c r="AC49" s="1076" t="str">
        <f>IF(U32="X","",IF(U43="X",AC34,SUM(AC34,AC47)))</f>
        <v/>
      </c>
      <c r="AD49" s="1089"/>
      <c r="AE49" s="978"/>
      <c r="AF49" s="1092"/>
      <c r="AH49" s="6042"/>
    </row>
    <row r="50" spans="1:34" ht="15" customHeight="1">
      <c r="A50" s="66"/>
      <c r="B50" s="124"/>
      <c r="C50" s="190"/>
      <c r="D50" s="267" t="s">
        <v>4142</v>
      </c>
      <c r="E50" s="159"/>
      <c r="F50" s="159"/>
      <c r="G50" s="160"/>
      <c r="H50" s="160"/>
      <c r="I50" s="161"/>
      <c r="J50" s="161"/>
      <c r="K50" s="5712"/>
      <c r="L50" s="5713"/>
      <c r="M50" s="2579"/>
      <c r="N50" s="449"/>
      <c r="O50" s="2257"/>
      <c r="P50" s="691"/>
      <c r="Q50" s="29"/>
      <c r="R50" s="4708" t="b">
        <f>(Qualified_Dividends&gt;0)</f>
        <v>0</v>
      </c>
      <c r="S50" s="1088"/>
      <c r="T50" s="1089"/>
      <c r="U50" s="1089"/>
      <c r="V50" s="1090"/>
      <c r="W50" s="1089"/>
      <c r="X50" s="1089"/>
      <c r="Y50" s="1089"/>
      <c r="Z50" s="1089"/>
      <c r="AA50" s="1089"/>
      <c r="AB50" s="1089"/>
      <c r="AC50" s="1089"/>
      <c r="AD50" s="1089"/>
      <c r="AE50" s="1091"/>
      <c r="AF50" s="1092"/>
      <c r="AH50" s="4662"/>
    </row>
    <row r="51" spans="1:34" ht="13.5" customHeight="1">
      <c r="A51" s="66"/>
      <c r="B51" s="124"/>
      <c r="C51" s="190"/>
      <c r="D51" s="267" t="s">
        <v>4143</v>
      </c>
      <c r="E51" s="159"/>
      <c r="F51" s="159"/>
      <c r="G51" s="160"/>
      <c r="H51" s="160"/>
      <c r="I51" s="161"/>
      <c r="J51" s="161"/>
      <c r="K51" s="5712"/>
      <c r="L51" s="5713"/>
      <c r="M51" s="2579"/>
      <c r="N51" s="449"/>
      <c r="O51" s="2257"/>
      <c r="P51" s="691"/>
      <c r="Q51" s="29"/>
      <c r="R51" s="4708" t="b">
        <f>SchD_Line1516_Gains</f>
        <v>1</v>
      </c>
      <c r="S51" s="1088"/>
      <c r="T51" s="1089"/>
      <c r="U51" s="2131" t="s">
        <v>1605</v>
      </c>
      <c r="V51" s="2130" t="str">
        <f>" Is the amount on line 11 more than "&amp;TEXT(R59,"$0,000")&amp;" ("&amp;TEXT(R60,"$0,000")&amp;" if married filing separately)?"</f>
        <v xml:space="preserve"> Is the amount on line 11 more than $220,700 ($110,350 if married filing separately)?</v>
      </c>
      <c r="W51" s="1089"/>
      <c r="X51" s="1089"/>
      <c r="Y51" s="1089"/>
      <c r="Z51" s="1089"/>
      <c r="AA51" s="1089"/>
      <c r="AB51" s="1089"/>
      <c r="AC51" s="1089"/>
      <c r="AD51" s="1089"/>
      <c r="AE51" s="1091"/>
      <c r="AF51" s="1092"/>
      <c r="AH51" s="1499">
        <f>IF(File_Marr_Sep&lt;&gt;"",R60,R59)</f>
        <v>220700</v>
      </c>
    </row>
    <row r="52" spans="1:34" ht="13.5" customHeight="1" thickBot="1">
      <c r="A52" s="66"/>
      <c r="B52" s="124"/>
      <c r="C52" s="190"/>
      <c r="D52" s="267" t="s">
        <v>4144</v>
      </c>
      <c r="E52" s="159"/>
      <c r="F52" s="159"/>
      <c r="G52" s="160"/>
      <c r="H52" s="160"/>
      <c r="I52" s="161"/>
      <c r="J52" s="161"/>
      <c r="K52" s="859" t="s">
        <v>2734</v>
      </c>
      <c r="L52" s="171">
        <f>B48</f>
        <v>7</v>
      </c>
      <c r="M52" s="975" t="str">
        <f>IF(P52&lt;&gt;"",ROUND(P52,0),IF(NOT(P1),"",IF(R46,0,IF(Form2555_Used,AC121,IF(F6251_PIII,M125,IF(M47&lt;=R62,M47*R67,SUM((M47*R68),-R66)))))))</f>
        <v/>
      </c>
      <c r="N52" s="449"/>
      <c r="O52" s="2257"/>
      <c r="P52" s="300"/>
      <c r="Q52" s="29"/>
      <c r="R52" s="806" t="b">
        <f>OR(R49,R50,R51)</f>
        <v>1</v>
      </c>
      <c r="S52" s="1088"/>
      <c r="T52" s="1089"/>
      <c r="U52" s="1089"/>
      <c r="V52" s="1090"/>
      <c r="W52" s="1089"/>
      <c r="X52" s="1089"/>
      <c r="Y52" s="1089"/>
      <c r="Z52" s="1089"/>
      <c r="AA52" s="1089"/>
      <c r="AB52" s="1089"/>
      <c r="AC52" s="1089"/>
      <c r="AD52" s="1089"/>
      <c r="AE52" s="978"/>
      <c r="AF52" s="1092"/>
    </row>
    <row r="53" spans="1:34" ht="13.5" thickBot="1">
      <c r="A53" s="66"/>
      <c r="B53" s="124"/>
      <c r="C53" s="159" t="s">
        <v>4145</v>
      </c>
      <c r="D53" s="152" t="s">
        <v>4146</v>
      </c>
      <c r="E53" s="267" t="str">
        <f>"If line "&amp;L47&amp;" is "&amp;TEXT(R59,"$0,000")&amp;" or less ("&amp;TEXT(R60,"$0,000")&amp;" or less if married filing separately), multiply"</f>
        <v>If line 6 is $220,700 or less ($110,350 or less if married filing separately), multiply</v>
      </c>
      <c r="F53" s="159"/>
      <c r="G53" s="160"/>
      <c r="H53" s="160"/>
      <c r="I53" s="160"/>
      <c r="J53" s="160"/>
      <c r="K53" s="340"/>
      <c r="L53" s="5713"/>
      <c r="M53" s="1638"/>
      <c r="N53" s="450"/>
      <c r="O53" s="1639"/>
      <c r="P53" s="910"/>
      <c r="Q53" s="29"/>
      <c r="R53" s="806" t="b">
        <f>AND(F6251_Needed,OR(Q69&lt;&gt;"",R52))</f>
        <v>0</v>
      </c>
      <c r="S53" s="1088"/>
      <c r="T53" s="1089"/>
      <c r="U53" s="1107" t="str">
        <f>IF(U32="X","",IF(AC49&gt;AH51,"X",""))</f>
        <v/>
      </c>
      <c r="V53" s="5186" t="s">
        <v>1069</v>
      </c>
      <c r="W53" s="2130" t="s">
        <v>4147</v>
      </c>
      <c r="X53" s="1089"/>
      <c r="Y53" s="1089"/>
      <c r="Z53" s="1089"/>
      <c r="AA53" s="1089"/>
      <c r="AB53" s="1089"/>
      <c r="AC53" s="1089"/>
      <c r="AD53" s="1089"/>
      <c r="AE53" s="978"/>
      <c r="AF53" s="1092"/>
      <c r="AH53" s="1499">
        <v>0.25</v>
      </c>
    </row>
    <row r="54" spans="1:34" ht="12" customHeight="1" thickBot="1">
      <c r="A54" s="66"/>
      <c r="B54" s="124"/>
      <c r="C54" s="370"/>
      <c r="D54" s="2809" t="str">
        <f>"line "&amp;L47&amp;" by "&amp;TEXT(R67,"0%")&amp;" ("&amp;TEXT(R67,"0.00")&amp;"). Otherwise, multiply line "&amp;L47&amp;" by "&amp;TEXT(R68,"0%")&amp;" ("&amp;TEXT(R68,"0.00")&amp;") and subtract "&amp;TEXT(R64,"$0,000")&amp;" ("&amp;TEXT(R65,"$0,000")&amp;" if"</f>
        <v>line 6 by 26% (0.26). Otherwise, multiply line 6 by 28% (0.28) and subtract $4,414 ($2,207 if</v>
      </c>
      <c r="E54" s="159"/>
      <c r="F54" s="159"/>
      <c r="G54" s="160"/>
      <c r="H54" s="160"/>
      <c r="I54" s="161"/>
      <c r="J54" s="161"/>
      <c r="K54" s="5712"/>
      <c r="L54" s="5713"/>
      <c r="M54" s="1638"/>
      <c r="N54" s="449"/>
      <c r="O54" s="2257"/>
      <c r="P54" s="910"/>
      <c r="Q54" s="29"/>
      <c r="R54" s="806"/>
      <c r="S54" s="1088"/>
      <c r="T54" s="1089"/>
      <c r="U54" s="1089"/>
      <c r="V54" s="2130"/>
      <c r="W54" s="2132"/>
      <c r="X54" s="1089"/>
      <c r="Y54" s="1089"/>
      <c r="Z54" s="1089"/>
      <c r="AA54" s="1089"/>
      <c r="AB54" s="1089"/>
      <c r="AC54" s="1089"/>
      <c r="AD54" s="1089"/>
      <c r="AE54" s="978"/>
      <c r="AF54" s="1092"/>
    </row>
    <row r="55" spans="1:34" ht="12.75" customHeight="1" thickBot="1">
      <c r="A55" s="66"/>
      <c r="B55" s="124"/>
      <c r="C55" s="370"/>
      <c r="D55" s="2809" t="s">
        <v>4148</v>
      </c>
      <c r="E55" s="159"/>
      <c r="F55" s="159"/>
      <c r="G55" s="160"/>
      <c r="H55" s="160"/>
      <c r="I55" s="161"/>
      <c r="J55" s="161"/>
      <c r="K55" s="5712"/>
      <c r="L55" s="5713"/>
      <c r="M55" s="1638"/>
      <c r="N55" s="449"/>
      <c r="O55" s="2257"/>
      <c r="P55" s="910"/>
      <c r="Q55" s="29"/>
      <c r="R55" s="806"/>
      <c r="S55" s="1088"/>
      <c r="T55" s="1089"/>
      <c r="U55" s="1107" t="str">
        <f>IF(U32="X","",IF(AC49&gt;AH51,"","X"))</f>
        <v/>
      </c>
      <c r="V55" s="5186" t="s">
        <v>1067</v>
      </c>
      <c r="W55" s="2130" t="str">
        <f>"Multiply line 11 by "&amp;TEXT(AH60,"0%")&amp;" ("&amp;TEXT(AH60,".00")&amp;")"</f>
        <v>Multiply line 11 by 26% (.26)</v>
      </c>
      <c r="X55" s="1089"/>
      <c r="Y55" s="1089"/>
      <c r="Z55" s="1089"/>
      <c r="AA55" s="2967" t="s">
        <v>891</v>
      </c>
      <c r="AB55" s="2731" t="s">
        <v>1605</v>
      </c>
      <c r="AC55" s="1076" t="str">
        <f>IF(OR(U53="X",U32="X"),"",ROUND(AC49*AH60,0))</f>
        <v/>
      </c>
      <c r="AD55" s="1089"/>
      <c r="AE55" s="978"/>
      <c r="AF55" s="1092"/>
    </row>
    <row r="56" spans="1:34" ht="13.5" thickBot="1">
      <c r="A56" s="66"/>
      <c r="B56" s="124">
        <f>B48+1</f>
        <v>8</v>
      </c>
      <c r="C56" s="267" t="s">
        <v>4149</v>
      </c>
      <c r="D56" s="267"/>
      <c r="E56" s="159"/>
      <c r="F56" s="159"/>
      <c r="G56" s="160"/>
      <c r="H56" s="160"/>
      <c r="I56" s="160"/>
      <c r="J56" s="160"/>
      <c r="K56" s="859" t="s">
        <v>642</v>
      </c>
      <c r="L56" s="171">
        <f>B56</f>
        <v>8</v>
      </c>
      <c r="M56" s="1982" t="str">
        <f>IF(P56&lt;&gt;"",ROUND(P56,0),IF(NOT(P1),"",Foreign_Tax_Credit))</f>
        <v/>
      </c>
      <c r="N56" s="5707"/>
      <c r="O56" s="2257"/>
      <c r="P56" s="300"/>
      <c r="Q56" s="294"/>
      <c r="R56" s="806"/>
      <c r="S56" s="1088"/>
      <c r="T56" s="1089"/>
      <c r="U56" s="1089"/>
      <c r="V56" s="1090"/>
      <c r="W56" s="1089"/>
      <c r="X56" s="1089"/>
      <c r="Y56" s="1089"/>
      <c r="Z56" s="1089"/>
      <c r="AA56" s="1089"/>
      <c r="AB56" s="1089"/>
      <c r="AC56" s="1089"/>
      <c r="AD56" s="1089"/>
      <c r="AE56" s="1089"/>
      <c r="AF56" s="1092"/>
      <c r="AH56" s="4666" t="s">
        <v>1113</v>
      </c>
    </row>
    <row r="57" spans="1:34" ht="13.5" thickBot="1">
      <c r="A57" s="66"/>
      <c r="B57" s="124">
        <f>B56+1</f>
        <v>9</v>
      </c>
      <c r="C57" s="267" t="str">
        <f>"Tentative minimum tax. Subtract line "&amp;L56&amp;" from line "&amp;L52</f>
        <v>Tentative minimum tax. Subtract line 8 from line 7</v>
      </c>
      <c r="D57" s="267"/>
      <c r="E57" s="159"/>
      <c r="F57" s="159"/>
      <c r="G57" s="160"/>
      <c r="H57" s="160"/>
      <c r="I57" s="160"/>
      <c r="J57" s="160"/>
      <c r="K57" s="859" t="s">
        <v>2521</v>
      </c>
      <c r="L57" s="375">
        <f>B57</f>
        <v>9</v>
      </c>
      <c r="M57" s="975">
        <f>IF(NumFileStatusBoxes=0,0,IF(R46,0,IF(M56="",M52,SUM(M52,-M56))))</f>
        <v>0</v>
      </c>
      <c r="N57" s="5707"/>
      <c r="O57" s="958"/>
      <c r="P57" s="1031" t="s">
        <v>4150</v>
      </c>
      <c r="Q57" s="294"/>
      <c r="R57" s="806"/>
      <c r="S57" s="1088"/>
      <c r="T57" s="1089"/>
      <c r="U57" s="2131" t="s">
        <v>1607</v>
      </c>
      <c r="V57" s="2130" t="s">
        <v>4151</v>
      </c>
      <c r="W57" s="1089"/>
      <c r="X57" s="1089"/>
      <c r="Y57" s="1089"/>
      <c r="Z57" s="1089"/>
      <c r="AA57" s="1089"/>
      <c r="AB57" s="1089"/>
      <c r="AC57" s="1089"/>
      <c r="AD57" s="1089"/>
      <c r="AE57" s="1089"/>
      <c r="AF57" s="1092"/>
      <c r="AH57" s="4666" t="s">
        <v>867</v>
      </c>
    </row>
    <row r="58" spans="1:34" ht="15" customHeight="1" thickBot="1">
      <c r="A58" s="66"/>
      <c r="B58" s="124">
        <f>B57+1</f>
        <v>10</v>
      </c>
      <c r="C58" s="267" t="s">
        <v>4152</v>
      </c>
      <c r="D58" s="190"/>
      <c r="E58" s="159"/>
      <c r="F58" s="159"/>
      <c r="G58" s="160"/>
      <c r="H58" s="160"/>
      <c r="I58" s="160"/>
      <c r="J58" s="160"/>
      <c r="K58" s="5714"/>
      <c r="L58" s="5713"/>
      <c r="M58" s="341"/>
      <c r="N58" s="5707"/>
      <c r="O58" s="2259"/>
      <c r="P58" s="1032" t="s">
        <v>4153</v>
      </c>
      <c r="Q58" s="294"/>
      <c r="R58" s="806"/>
      <c r="S58" s="1088"/>
      <c r="T58" s="1089"/>
      <c r="U58" s="2132"/>
      <c r="V58" s="2130" t="s">
        <v>4154</v>
      </c>
      <c r="W58" s="1089"/>
      <c r="X58" s="1089"/>
      <c r="Y58" s="1089"/>
      <c r="Z58" s="1089"/>
      <c r="AA58" s="1089"/>
      <c r="AB58" s="1089"/>
      <c r="AC58" s="1089"/>
      <c r="AD58" s="1089"/>
      <c r="AE58" s="978"/>
      <c r="AF58" s="1092"/>
      <c r="AH58" s="2766"/>
    </row>
    <row r="59" spans="1:34" ht="15" customHeight="1" thickBot="1">
      <c r="A59" s="66"/>
      <c r="B59" s="124"/>
      <c r="C59" s="267" t="s">
        <v>4155</v>
      </c>
      <c r="D59" s="190"/>
      <c r="E59" s="159"/>
      <c r="F59" s="159"/>
      <c r="G59" s="160"/>
      <c r="H59" s="160"/>
      <c r="I59" s="160"/>
      <c r="J59" s="160"/>
      <c r="K59" s="5715"/>
      <c r="L59" s="5711"/>
      <c r="M59" s="1412">
        <f>IF(P59="",0,ROUND(P59,0))</f>
        <v>0</v>
      </c>
      <c r="N59" s="5707"/>
      <c r="O59" s="2259"/>
      <c r="P59" s="1033"/>
      <c r="Q59" s="294"/>
      <c r="R59" s="4661">
        <v>220700</v>
      </c>
      <c r="S59" s="1088"/>
      <c r="T59" s="1089"/>
      <c r="U59" s="2132"/>
      <c r="V59" s="2130" t="s">
        <v>4156</v>
      </c>
      <c r="W59" s="1089"/>
      <c r="X59" s="1089"/>
      <c r="Y59" s="1089"/>
      <c r="Z59" s="2967" t="s">
        <v>930</v>
      </c>
      <c r="AA59" s="1019"/>
      <c r="AB59" s="2731" t="s">
        <v>1607</v>
      </c>
      <c r="AC59" s="4667" t="str">
        <f>IF(AH58&lt;&gt;"",ROUND(AH58,0),IF(OR(U53="X",U32="X"),"",IF(AA59="",SUM(Tax_SubTotal,PTC_ExcessAdv),SUM(Tax_SubTotal,PTC_ExcessAdv,-AA59))))</f>
        <v/>
      </c>
      <c r="AD59" s="1089"/>
      <c r="AE59" s="4660" t="str">
        <f>IF(OR(U53="X",U32="X"),"",IF(AA59="",SUM(Tax,PTC_ExcessAdv),SUM(Tax,PTC_ExcessAdv,-AA59)))</f>
        <v/>
      </c>
      <c r="AF59" s="1092"/>
    </row>
    <row r="60" spans="1:34" ht="15" customHeight="1">
      <c r="A60" s="66"/>
      <c r="B60" s="124"/>
      <c r="C60" s="2809" t="s">
        <v>4157</v>
      </c>
      <c r="D60" s="190"/>
      <c r="E60" s="159"/>
      <c r="F60" s="159"/>
      <c r="G60" s="160"/>
      <c r="H60" s="160"/>
      <c r="I60" s="160"/>
      <c r="J60" s="160"/>
      <c r="K60" s="859"/>
      <c r="L60" s="155"/>
      <c r="M60" s="1412">
        <f>IF(Foreign_Tax_Credit="",0,Foreign_Tax_Credit)</f>
        <v>0</v>
      </c>
      <c r="N60" s="5707"/>
      <c r="O60" s="2258"/>
      <c r="P60" s="691"/>
      <c r="Q60" s="294"/>
      <c r="R60" s="4661">
        <v>110350</v>
      </c>
      <c r="S60" s="1088"/>
      <c r="T60" s="1089"/>
      <c r="U60" s="1089"/>
      <c r="V60" s="1090"/>
      <c r="W60" s="1089"/>
      <c r="X60" s="1089"/>
      <c r="Y60" s="1089"/>
      <c r="Z60" s="1089"/>
      <c r="AA60" s="1097" t="s">
        <v>4158</v>
      </c>
      <c r="AB60" s="1089"/>
      <c r="AC60" s="1097"/>
      <c r="AD60" s="1089"/>
      <c r="AE60" s="978"/>
      <c r="AF60" s="1092"/>
      <c r="AH60" s="1499">
        <v>0.26</v>
      </c>
    </row>
    <row r="61" spans="1:34" ht="15" customHeight="1">
      <c r="A61" s="66"/>
      <c r="B61" s="124"/>
      <c r="C61" s="267" t="s">
        <v>4159</v>
      </c>
      <c r="D61" s="190"/>
      <c r="E61" s="159"/>
      <c r="F61" s="159"/>
      <c r="G61" s="160"/>
      <c r="H61" s="160"/>
      <c r="I61" s="160"/>
      <c r="J61" s="160"/>
      <c r="K61" s="859"/>
      <c r="L61" s="155"/>
      <c r="M61" s="1412"/>
      <c r="N61" s="5707"/>
      <c r="O61" s="2258"/>
      <c r="P61" s="691"/>
      <c r="Q61" s="294"/>
      <c r="R61" s="4661"/>
      <c r="S61" s="1094"/>
      <c r="T61" s="1089"/>
      <c r="U61" s="2130"/>
      <c r="V61" s="1090"/>
      <c r="W61" s="1089"/>
      <c r="X61" s="1089"/>
      <c r="Y61" s="1089"/>
      <c r="Z61" s="1089"/>
      <c r="AA61" s="1089"/>
      <c r="AB61" s="1089"/>
      <c r="AC61" s="1089"/>
      <c r="AD61" s="1089"/>
      <c r="AE61" s="978"/>
      <c r="AF61" s="1092"/>
    </row>
    <row r="62" spans="1:34">
      <c r="A62" s="66"/>
      <c r="B62" s="124"/>
      <c r="C62" s="267" t="s">
        <v>2158</v>
      </c>
      <c r="D62" s="190"/>
      <c r="E62" s="159"/>
      <c r="F62" s="159"/>
      <c r="G62" s="160"/>
      <c r="H62" s="160"/>
      <c r="I62" s="160"/>
      <c r="J62" s="160"/>
      <c r="K62" s="859" t="s">
        <v>4160</v>
      </c>
      <c r="L62" s="171">
        <f>B58</f>
        <v>10</v>
      </c>
      <c r="M62" s="975" t="str">
        <f>IF(P62&lt;&gt;"",ROUND(P62,0),   IF(OR(NOT(P1),NumFileStatusBoxes=0),"",SUM(Tax_SubTotal,PTC_ExcessAdv,-M59,-M60)))</f>
        <v/>
      </c>
      <c r="N62" s="5707"/>
      <c r="O62" s="2258"/>
      <c r="P62" s="300"/>
      <c r="Q62" s="294"/>
      <c r="R62" s="4661">
        <f>IF(File_Marr_Sep&lt;&gt;"",R60,R59)</f>
        <v>220700</v>
      </c>
      <c r="S62" s="1094"/>
      <c r="T62" s="1089"/>
      <c r="U62" s="2130" t="s">
        <v>4161</v>
      </c>
      <c r="V62" s="1090"/>
      <c r="W62" s="1089"/>
      <c r="X62" s="1089"/>
      <c r="Y62" s="1089"/>
      <c r="Z62" s="1089"/>
      <c r="AA62" s="1089"/>
      <c r="AB62" s="1089"/>
      <c r="AC62" s="1089"/>
      <c r="AD62" s="1089"/>
      <c r="AE62" s="978"/>
      <c r="AF62" s="1092"/>
    </row>
    <row r="63" spans="1:34" ht="15" customHeight="1" thickBot="1">
      <c r="A63" s="66"/>
      <c r="B63" s="124">
        <v>11</v>
      </c>
      <c r="C63" s="267" t="s">
        <v>4162</v>
      </c>
      <c r="D63" s="267"/>
      <c r="E63" s="1865"/>
      <c r="F63" s="1865"/>
      <c r="G63" s="1865"/>
      <c r="H63" s="1865"/>
      <c r="I63" s="1865"/>
      <c r="J63" s="1865"/>
      <c r="K63" s="859"/>
      <c r="L63" s="552" t="s">
        <v>272</v>
      </c>
      <c r="M63" s="3412" t="str">
        <f>IF(P63&lt;&gt;"",ROUND(P63,0),IF(OR(NOT(P1),NumFileStatusBoxes=0),"",IF(OR(R46,M47=0),0,MAX(0,SUM(M57,-M62)))))</f>
        <v/>
      </c>
      <c r="N63" s="449"/>
      <c r="O63" s="2258"/>
      <c r="P63" s="300"/>
      <c r="Q63" s="4788"/>
      <c r="R63" s="4661">
        <f>IF(M63="",0,M63)</f>
        <v>0</v>
      </c>
      <c r="S63" s="1094"/>
      <c r="T63" s="1089"/>
      <c r="U63" s="1089"/>
      <c r="V63" s="1090"/>
      <c r="W63" s="1089"/>
      <c r="X63" s="1089"/>
      <c r="Y63" s="1089"/>
      <c r="Z63" s="1089"/>
      <c r="AA63" s="1089"/>
      <c r="AB63" s="1089"/>
      <c r="AC63" s="1089"/>
      <c r="AD63" s="1089"/>
      <c r="AE63" s="978"/>
      <c r="AF63" s="1092"/>
    </row>
    <row r="64" spans="1:34" ht="15" customHeight="1" thickBot="1">
      <c r="A64" s="66"/>
      <c r="B64" s="128" t="s">
        <v>979</v>
      </c>
      <c r="C64" s="184"/>
      <c r="D64" s="184"/>
      <c r="E64" s="184"/>
      <c r="F64" s="184"/>
      <c r="G64" s="373"/>
      <c r="H64" s="3854"/>
      <c r="I64" s="3854" t="s">
        <v>4163</v>
      </c>
      <c r="J64" s="373"/>
      <c r="K64" s="373"/>
      <c r="L64" s="3440" t="s">
        <v>4164</v>
      </c>
      <c r="M64" s="692" t="str">
        <f>"("&amp;TaxYear&amp;")"</f>
        <v>(2023)</v>
      </c>
      <c r="N64" s="451"/>
      <c r="O64" s="2257"/>
      <c r="P64" s="691"/>
      <c r="Q64" s="29"/>
      <c r="R64" s="4661">
        <f>0.02*R59</f>
        <v>4414</v>
      </c>
      <c r="S64" s="1094"/>
      <c r="T64" s="1089"/>
      <c r="U64" s="1107" t="str">
        <f>IF(OR(U53="X",U32="X"),"",IF(AC55&gt;AC59,"X",""))</f>
        <v/>
      </c>
      <c r="V64" s="5186" t="s">
        <v>1069</v>
      </c>
      <c r="W64" s="2130" t="s">
        <v>4165</v>
      </c>
      <c r="X64" s="1089"/>
      <c r="Y64" s="1089"/>
      <c r="Z64" s="1089"/>
      <c r="AA64" s="1089"/>
      <c r="AB64" s="1089"/>
      <c r="AC64" s="1089"/>
      <c r="AD64" s="1089"/>
      <c r="AE64" s="1095"/>
      <c r="AF64" s="1092"/>
    </row>
    <row r="65" spans="1:34" ht="13.5" thickBot="1">
      <c r="A65" s="66"/>
      <c r="B65" s="130"/>
      <c r="C65" s="114"/>
      <c r="D65" s="114"/>
      <c r="E65" s="114"/>
      <c r="F65" s="114"/>
      <c r="G65" s="157"/>
      <c r="H65" s="156"/>
      <c r="I65" s="157"/>
      <c r="J65" s="157"/>
      <c r="K65" s="157"/>
      <c r="L65" s="18"/>
      <c r="M65" s="456"/>
      <c r="N65" s="451"/>
      <c r="O65" s="2252"/>
      <c r="P65" s="691"/>
      <c r="Q65" s="29"/>
      <c r="R65" s="4661">
        <f>0.02*R60</f>
        <v>2207</v>
      </c>
      <c r="S65" s="1094"/>
      <c r="T65" s="1089"/>
      <c r="U65" s="1089"/>
      <c r="V65" s="1090"/>
      <c r="W65" s="1089"/>
      <c r="X65" s="1089"/>
      <c r="Y65" s="1089"/>
      <c r="Z65" s="1089"/>
      <c r="AA65" s="1089"/>
      <c r="AB65" s="1089"/>
      <c r="AC65" s="1089"/>
      <c r="AD65" s="1089"/>
      <c r="AE65" s="1095"/>
      <c r="AF65" s="1092"/>
    </row>
    <row r="66" spans="1:34" ht="14.25" customHeight="1" thickBot="1">
      <c r="A66" s="66"/>
      <c r="B66" s="3413" t="str">
        <f>"Form 6251  ("&amp;TaxYear&amp;")"</f>
        <v>Form 6251  (2023)</v>
      </c>
      <c r="C66" s="169"/>
      <c r="D66" s="169"/>
      <c r="E66" s="169"/>
      <c r="F66" s="169"/>
      <c r="G66" s="466"/>
      <c r="H66" s="466"/>
      <c r="I66" s="466"/>
      <c r="J66" s="466"/>
      <c r="K66" s="467"/>
      <c r="L66" s="5716"/>
      <c r="M66" s="339" t="s">
        <v>4166</v>
      </c>
      <c r="N66" s="452"/>
      <c r="O66" s="2256"/>
      <c r="P66" s="691"/>
      <c r="Q66" s="29"/>
      <c r="R66" s="4661">
        <f>IF(File_Marr_Sep&lt;&gt;"",R65,R64)</f>
        <v>4414</v>
      </c>
      <c r="S66" s="1094"/>
      <c r="T66" s="1096"/>
      <c r="U66" s="1107" t="str">
        <f>IF(OR(U53="X",U32="X"),"",IF(AC55&gt;AC59,"","X"))</f>
        <v/>
      </c>
      <c r="V66" s="5186" t="s">
        <v>1067</v>
      </c>
      <c r="W66" s="2130" t="s">
        <v>4167</v>
      </c>
      <c r="X66" s="1089"/>
      <c r="Y66" s="1089"/>
      <c r="Z66" s="1089"/>
      <c r="AA66" s="1089"/>
      <c r="AB66" s="1089"/>
      <c r="AC66" s="1089"/>
      <c r="AD66" s="1089"/>
      <c r="AE66" s="1095"/>
      <c r="AF66" s="1092"/>
    </row>
    <row r="67" spans="1:34" ht="8.25" customHeight="1" thickBot="1">
      <c r="A67" s="66"/>
      <c r="B67" s="221"/>
      <c r="C67" s="184"/>
      <c r="D67" s="184"/>
      <c r="E67" s="184"/>
      <c r="F67" s="184"/>
      <c r="G67" s="373"/>
      <c r="H67" s="373"/>
      <c r="I67" s="373"/>
      <c r="J67" s="373"/>
      <c r="K67" s="470"/>
      <c r="L67" s="5717"/>
      <c r="M67" s="374"/>
      <c r="N67" s="452"/>
      <c r="O67" s="2257"/>
      <c r="P67" s="691"/>
      <c r="Q67" s="29"/>
      <c r="R67" s="4664">
        <v>0.26</v>
      </c>
      <c r="S67" s="1503"/>
      <c r="T67" s="1504"/>
      <c r="U67" s="1505"/>
      <c r="V67" s="1506"/>
      <c r="W67" s="1507"/>
      <c r="X67" s="1507"/>
      <c r="Y67" s="1507"/>
      <c r="Z67" s="1507"/>
      <c r="AA67" s="1507"/>
      <c r="AB67" s="1507"/>
      <c r="AC67" s="1507"/>
      <c r="AD67" s="1507"/>
      <c r="AE67" s="1508"/>
      <c r="AF67" s="1509"/>
    </row>
    <row r="68" spans="1:34" ht="18.75" thickBot="1">
      <c r="A68" s="66"/>
      <c r="B68" s="5066" t="s">
        <v>2243</v>
      </c>
      <c r="C68" s="1210" t="s">
        <v>4168</v>
      </c>
      <c r="D68" s="21"/>
      <c r="E68" s="222"/>
      <c r="F68" s="222"/>
      <c r="G68" s="465"/>
      <c r="H68" s="465"/>
      <c r="I68" s="465"/>
      <c r="J68" s="465"/>
      <c r="K68" s="465"/>
      <c r="L68" s="465"/>
      <c r="M68" s="177"/>
      <c r="N68" s="453"/>
      <c r="O68" s="2257"/>
      <c r="P68" s="957" t="str">
        <f>IF(NOT(F6251_Needed),"",IF(F6251_PIII,"Part III is used","Part III is NOT used."))</f>
        <v/>
      </c>
      <c r="Q68" s="4788"/>
      <c r="R68" s="4664">
        <v>0.28000000000000003</v>
      </c>
      <c r="S68" s="386"/>
      <c r="T68" s="385"/>
      <c r="U68" s="1446"/>
      <c r="V68" s="462"/>
      <c r="W68" s="183"/>
      <c r="X68" s="183"/>
      <c r="Y68" s="183"/>
      <c r="Z68" s="183"/>
      <c r="AA68" s="183"/>
      <c r="AB68" s="183"/>
      <c r="AC68" s="183"/>
      <c r="AD68" s="183"/>
      <c r="AE68" s="383"/>
      <c r="AF68" s="383"/>
    </row>
    <row r="69" spans="1:34" ht="12.75" customHeight="1" thickBot="1">
      <c r="A69" s="66"/>
      <c r="B69" s="1063"/>
      <c r="C69" s="15"/>
      <c r="D69" s="1186" t="s">
        <v>4169</v>
      </c>
      <c r="E69" s="223"/>
      <c r="F69" s="223"/>
      <c r="G69" s="468"/>
      <c r="H69" s="468"/>
      <c r="I69" s="468"/>
      <c r="J69" s="468"/>
      <c r="K69" s="468"/>
      <c r="L69" s="468"/>
      <c r="M69" s="469"/>
      <c r="N69" s="453"/>
      <c r="O69" s="2257"/>
      <c r="P69" s="1084" t="str">
        <f>IF(OR(NOT(F6251_Needed),F6251_PIII),"",IF(F6251_PIII,"OVERRIDE","Place 'X' to override --&gt;"))</f>
        <v/>
      </c>
      <c r="Q69" s="948"/>
      <c r="R69" s="4664"/>
      <c r="S69" s="386"/>
      <c r="T69" s="385"/>
      <c r="U69" s="1446"/>
      <c r="V69" s="462"/>
      <c r="W69" s="183"/>
      <c r="X69" s="183"/>
      <c r="Y69" s="183"/>
      <c r="Z69" s="183"/>
      <c r="AA69" s="183"/>
      <c r="AB69" s="183"/>
      <c r="AC69" s="183"/>
      <c r="AD69" s="183"/>
      <c r="AE69" s="383"/>
      <c r="AF69" s="383"/>
    </row>
    <row r="70" spans="1:34" ht="12.75" customHeight="1" thickBot="1">
      <c r="A70" s="66"/>
      <c r="B70" s="3411" t="s">
        <v>1155</v>
      </c>
      <c r="C70" s="267" t="str">
        <f>"Enter the amount from Form 6251, line "&amp;L47&amp;". If you are filing Form 2555, enter the amount from line 3 of the"</f>
        <v>Enter the amount from Form 6251, line 6. If you are filing Form 2555, enter the amount from line 3 of the</v>
      </c>
      <c r="D70" s="381"/>
      <c r="E70" s="159"/>
      <c r="F70" s="159"/>
      <c r="G70" s="160"/>
      <c r="H70" s="160"/>
      <c r="I70" s="161"/>
      <c r="J70" s="161"/>
      <c r="K70" s="5712"/>
      <c r="L70" s="5718"/>
      <c r="M70" s="342"/>
      <c r="N70" s="449"/>
      <c r="O70" s="2257"/>
      <c r="P70" s="5719"/>
      <c r="Q70" s="29"/>
      <c r="R70" s="4661"/>
      <c r="S70" s="386"/>
      <c r="T70" s="385"/>
      <c r="U70" s="1446"/>
      <c r="V70" s="2150"/>
      <c r="W70" s="2151"/>
      <c r="X70" s="2151"/>
      <c r="Y70" s="2151"/>
      <c r="Z70" s="2151"/>
      <c r="AA70" s="2151"/>
      <c r="AB70" s="2151"/>
      <c r="AC70" s="2152" t="s">
        <v>4170</v>
      </c>
      <c r="AD70" s="2151"/>
      <c r="AE70" s="383"/>
      <c r="AF70" s="383"/>
    </row>
    <row r="71" spans="1:34" ht="12.75" customHeight="1">
      <c r="A71" s="66"/>
      <c r="B71" s="124"/>
      <c r="C71" s="267" t="s">
        <v>4171</v>
      </c>
      <c r="D71" s="267"/>
      <c r="E71" s="159"/>
      <c r="F71" s="159"/>
      <c r="G71" s="160"/>
      <c r="H71" s="160"/>
      <c r="I71" s="160"/>
      <c r="J71" s="160"/>
      <c r="K71" s="859" t="s">
        <v>665</v>
      </c>
      <c r="L71" s="171" t="str">
        <f>B70</f>
        <v>12</v>
      </c>
      <c r="M71" s="975" t="str">
        <f>IF(P71&lt;&gt;"",P71,IF(AND(Form2555_Used,AC112),AC107,IF(AND(F6251_PIII,M47=""),0,IF(F6251_PIII,M47,""))))</f>
        <v/>
      </c>
      <c r="N71" s="5707"/>
      <c r="O71" s="2257"/>
      <c r="P71" s="300"/>
      <c r="Q71" s="29"/>
      <c r="R71" s="4706"/>
      <c r="S71" s="386"/>
      <c r="T71" s="385"/>
      <c r="U71" s="1446"/>
      <c r="V71" s="9140" t="s">
        <v>4172</v>
      </c>
      <c r="W71" s="9141"/>
      <c r="X71" s="9087"/>
      <c r="Y71" s="7950"/>
      <c r="Z71" s="7950"/>
      <c r="AA71" s="1533"/>
      <c r="AB71" s="1533"/>
      <c r="AC71" s="1533"/>
      <c r="AD71" s="1534"/>
      <c r="AE71" s="383"/>
      <c r="AF71" s="383"/>
      <c r="AH71" s="1499" t="b">
        <f>OR(AND(OR(File_Single&lt;&gt;"",File_Head&lt;&gt;""),AltMinTaxInc&lt;$AH$46),AND(OR(File_Marr_Joint&lt;&gt;"",File_Qual_Widow&lt;&gt;""),AltMinTaxInc&lt;$AH$47),AND(File_Marr_Sep&lt;&gt;"",AltMinTaxInc&lt;$AH$48))</f>
        <v>0</v>
      </c>
    </row>
    <row r="72" spans="1:34" ht="15" customHeight="1">
      <c r="A72" s="66"/>
      <c r="B72" s="124">
        <f>B70+1</f>
        <v>13</v>
      </c>
      <c r="C72" s="267" t="s">
        <v>4173</v>
      </c>
      <c r="D72" s="267"/>
      <c r="E72" s="159"/>
      <c r="F72" s="159"/>
      <c r="G72" s="160"/>
      <c r="H72" s="124"/>
      <c r="I72" s="124"/>
      <c r="J72" s="160"/>
      <c r="K72" s="859"/>
      <c r="L72" s="463"/>
      <c r="M72" s="5720"/>
      <c r="N72" s="5707"/>
      <c r="O72" s="2257"/>
      <c r="P72" s="691"/>
      <c r="Q72" s="29"/>
      <c r="R72" s="4707"/>
      <c r="S72" s="386"/>
      <c r="T72" s="385"/>
      <c r="U72" s="1446"/>
      <c r="V72" s="9142"/>
      <c r="W72" s="6919"/>
      <c r="X72" s="9144"/>
      <c r="Y72" s="9145"/>
      <c r="Z72" s="9145"/>
      <c r="AA72" s="1535"/>
      <c r="AB72" s="1535"/>
      <c r="AC72" s="1535"/>
      <c r="AD72" s="1536"/>
      <c r="AE72" s="383"/>
      <c r="AF72" s="383"/>
      <c r="AH72" s="902"/>
    </row>
    <row r="73" spans="1:34" ht="15" customHeight="1" thickBot="1">
      <c r="A73" s="66"/>
      <c r="B73" s="124"/>
      <c r="C73" s="2809" t="s">
        <v>4174</v>
      </c>
      <c r="D73" s="267"/>
      <c r="E73" s="159"/>
      <c r="F73" s="159"/>
      <c r="G73" s="160"/>
      <c r="H73" s="124"/>
      <c r="I73" s="124"/>
      <c r="J73" s="160"/>
      <c r="K73" s="859"/>
      <c r="L73" s="464"/>
      <c r="M73" s="5720"/>
      <c r="N73" s="5707"/>
      <c r="O73" s="2257"/>
      <c r="P73" s="691"/>
      <c r="Q73" s="29"/>
      <c r="R73" s="4706"/>
      <c r="S73" s="386"/>
      <c r="T73" s="385"/>
      <c r="U73" s="1446"/>
      <c r="V73" s="9143"/>
      <c r="W73" s="6920"/>
      <c r="X73" s="9146"/>
      <c r="Y73" s="9146"/>
      <c r="Z73" s="9146"/>
      <c r="AA73" s="1537" t="s">
        <v>4175</v>
      </c>
      <c r="AB73" s="1537"/>
      <c r="AC73" s="1537"/>
      <c r="AD73" s="1538"/>
      <c r="AE73" s="383"/>
      <c r="AF73" s="383"/>
      <c r="AH73" s="902"/>
    </row>
    <row r="74" spans="1:34" ht="15" customHeight="1">
      <c r="A74" s="66"/>
      <c r="B74" s="124"/>
      <c r="C74" s="2809" t="s">
        <v>4176</v>
      </c>
      <c r="D74" s="267"/>
      <c r="E74" s="159"/>
      <c r="F74" s="159"/>
      <c r="G74" s="160"/>
      <c r="H74" s="124"/>
      <c r="I74" s="124"/>
      <c r="J74" s="160"/>
      <c r="K74" s="859"/>
      <c r="L74" s="464"/>
      <c r="M74" s="5720"/>
      <c r="N74" s="5707"/>
      <c r="O74" s="1639"/>
      <c r="P74" s="1155" t="str">
        <f>IF(Form2555_Used,"&lt;&lt; Hide highlighting.","")</f>
        <v/>
      </c>
      <c r="Q74" s="29"/>
      <c r="R74" s="4707"/>
      <c r="S74" s="386"/>
      <c r="T74" s="385"/>
      <c r="U74" s="1446"/>
      <c r="V74" s="3063" t="s">
        <v>1078</v>
      </c>
      <c r="W74" s="2705" t="str">
        <f>"If Form 6251, line 4, is equal to or more than: "&amp;TEXT($AH$46,"$0,000")&amp;" if single or head of household; "</f>
        <v xml:space="preserve">If Form 6251, line 4, is equal to or more than: $903,350 if single or head of household; </v>
      </c>
      <c r="X74" s="2705"/>
      <c r="Y74" s="2705"/>
      <c r="Z74" s="2705"/>
      <c r="AA74" s="2705"/>
      <c r="AB74" s="2705"/>
      <c r="AC74" s="2705"/>
      <c r="AD74" s="3062"/>
      <c r="AE74" s="383"/>
      <c r="AF74" s="383"/>
      <c r="AH74" s="902"/>
    </row>
    <row r="75" spans="1:34" ht="15" customHeight="1">
      <c r="A75" s="66"/>
      <c r="B75" s="124"/>
      <c r="C75" s="267" t="s">
        <v>4177</v>
      </c>
      <c r="D75" s="267"/>
      <c r="E75" s="267"/>
      <c r="F75" s="159"/>
      <c r="G75" s="160"/>
      <c r="H75" s="124"/>
      <c r="I75" s="954"/>
      <c r="J75" s="160"/>
      <c r="K75" s="859" t="s">
        <v>677</v>
      </c>
      <c r="L75" s="171">
        <f>B72</f>
        <v>13</v>
      </c>
      <c r="M75" s="975" t="str">
        <f>IF(P75&lt;&gt;"",ROUND(P75,0),IF(NOT(F6251_PIII),"",IF(AND(SchDTW_Used,NOT(CGTW)),'Sch. D WS'!P88,IF(CGTW,'Line 16 (QDCG Tax)'!J38,0))))</f>
        <v/>
      </c>
      <c r="N75" s="5707"/>
      <c r="O75" s="2257"/>
      <c r="P75" s="300"/>
      <c r="Q75" s="29"/>
      <c r="R75" s="4706"/>
      <c r="S75" s="386"/>
      <c r="T75" s="385"/>
      <c r="U75" s="1446"/>
      <c r="V75" s="9130" t="str">
        <f>"  "&amp;TEXT($AH$47,"$0,000")&amp;" if married filing jointly or qualifying widow(er); or "&amp;TEXT($AH$48,"$0,000")&amp;" if married filing separately;"</f>
        <v xml:space="preserve">  $1,662,300 if married filing jointly or qualifying widow(er); or $831,150 if married filing separately;</v>
      </c>
      <c r="W75" s="9131"/>
      <c r="X75" s="9131"/>
      <c r="Y75" s="9131"/>
      <c r="Z75" s="9131"/>
      <c r="AA75" s="9131"/>
      <c r="AB75" s="9131"/>
      <c r="AC75" s="9131"/>
      <c r="AD75" s="9132"/>
      <c r="AE75" s="383"/>
      <c r="AF75" s="383"/>
      <c r="AH75" s="902"/>
    </row>
    <row r="76" spans="1:34" ht="15" customHeight="1">
      <c r="A76" s="66"/>
      <c r="B76" s="124">
        <f>B72+1</f>
        <v>14</v>
      </c>
      <c r="C76" s="267" t="s">
        <v>4178</v>
      </c>
      <c r="D76" s="267"/>
      <c r="E76" s="159"/>
      <c r="F76" s="159"/>
      <c r="G76" s="160"/>
      <c r="H76" s="124"/>
      <c r="I76" s="124"/>
      <c r="J76" s="160"/>
      <c r="K76" s="859"/>
      <c r="L76" s="464"/>
      <c r="M76" s="5720"/>
      <c r="N76" s="5707"/>
      <c r="O76" s="2257"/>
      <c r="P76" s="691"/>
      <c r="Q76" s="29"/>
      <c r="R76" s="4707"/>
      <c r="S76" s="386"/>
      <c r="T76" s="385"/>
      <c r="U76" s="1446"/>
      <c r="V76" s="9130" t="s">
        <v>4179</v>
      </c>
      <c r="W76" s="9131"/>
      <c r="X76" s="9131"/>
      <c r="Y76" s="9131"/>
      <c r="Z76" s="9131"/>
      <c r="AA76" s="9131"/>
      <c r="AB76" s="9131"/>
      <c r="AC76" s="9131"/>
      <c r="AD76" s="9132"/>
      <c r="AE76" s="383"/>
      <c r="AF76" s="383"/>
      <c r="AH76" s="902"/>
    </row>
    <row r="77" spans="1:34" ht="15" customHeight="1">
      <c r="A77" s="66"/>
      <c r="B77" s="124"/>
      <c r="C77" s="267" t="s">
        <v>4180</v>
      </c>
      <c r="D77" s="267"/>
      <c r="E77" s="159"/>
      <c r="F77" s="159"/>
      <c r="G77" s="160"/>
      <c r="H77" s="124"/>
      <c r="I77" s="124"/>
      <c r="J77" s="160"/>
      <c r="K77" s="859"/>
      <c r="L77" s="171">
        <f>B76</f>
        <v>14</v>
      </c>
      <c r="M77" s="975" t="str">
        <f>IF(P77&lt;&gt;"",P77,IF(NOT(F6251_PIII),"",IF(SchDLine19&lt;&gt;"",SchDLine19,0)))</f>
        <v/>
      </c>
      <c r="N77" s="5707"/>
      <c r="O77" s="2257"/>
      <c r="P77" s="300"/>
      <c r="Q77" s="29"/>
      <c r="R77" s="1499"/>
      <c r="S77" s="386"/>
      <c r="T77" s="385"/>
      <c r="U77" s="1446"/>
      <c r="V77" s="9133" t="s">
        <v>4181</v>
      </c>
      <c r="W77" s="9134"/>
      <c r="X77" s="9134"/>
      <c r="Y77" s="9134"/>
      <c r="Z77" s="9134"/>
      <c r="AA77" s="9134"/>
      <c r="AB77" s="9134"/>
      <c r="AC77" s="9134"/>
      <c r="AD77" s="9135"/>
      <c r="AE77" s="383"/>
      <c r="AF77" s="383"/>
      <c r="AH77" s="902"/>
    </row>
    <row r="78" spans="1:34" ht="15" customHeight="1" thickBot="1">
      <c r="A78" s="66"/>
      <c r="B78" s="124">
        <f>B76+1</f>
        <v>15</v>
      </c>
      <c r="C78" s="267" t="s">
        <v>4182</v>
      </c>
      <c r="D78" s="267"/>
      <c r="E78" s="159"/>
      <c r="F78" s="159"/>
      <c r="G78" s="160"/>
      <c r="H78" s="124"/>
      <c r="I78" s="124"/>
      <c r="J78" s="160"/>
      <c r="K78" s="859"/>
      <c r="L78" s="464"/>
      <c r="M78" s="5720"/>
      <c r="N78" s="5707"/>
      <c r="O78" s="2257"/>
      <c r="P78" s="691"/>
      <c r="Q78" s="29"/>
      <c r="R78" s="1499"/>
      <c r="S78" s="386"/>
      <c r="T78" s="385"/>
      <c r="U78" s="1446"/>
      <c r="V78" s="9118" t="str">
        <f>IF(AND(P1,NOT(AMTExemptionFlag)),"Your AMT Exemption is zero.  See NOTE above.","")</f>
        <v/>
      </c>
      <c r="W78" s="9119"/>
      <c r="X78" s="9119"/>
      <c r="Y78" s="9119"/>
      <c r="Z78" s="9119"/>
      <c r="AA78" s="9119"/>
      <c r="AB78" s="9119"/>
      <c r="AC78" s="9119"/>
      <c r="AD78" s="9120"/>
      <c r="AE78" s="383"/>
      <c r="AF78" s="383"/>
      <c r="AH78" s="902"/>
    </row>
    <row r="79" spans="1:34" ht="15" customHeight="1">
      <c r="A79" s="66"/>
      <c r="B79" s="124"/>
      <c r="C79" s="267" t="s">
        <v>4183</v>
      </c>
      <c r="D79" s="267"/>
      <c r="E79" s="159"/>
      <c r="F79" s="159"/>
      <c r="G79" s="160"/>
      <c r="H79" s="124"/>
      <c r="I79" s="124"/>
      <c r="J79" s="160"/>
      <c r="K79" s="859"/>
      <c r="L79" s="464"/>
      <c r="M79" s="5720"/>
      <c r="N79" s="5707"/>
      <c r="O79" s="2257"/>
      <c r="P79" s="691"/>
      <c r="Q79" s="29"/>
      <c r="R79" s="1499"/>
      <c r="S79" s="386"/>
      <c r="T79" s="385"/>
      <c r="U79" s="1446"/>
      <c r="V79" s="2971">
        <v>1</v>
      </c>
      <c r="W79" s="2969" t="str">
        <f>"Enter: "&amp;TEXT(I42,"$0,000")&amp;" if single or head of household; "&amp;TEXT(I43,"$0,000")&amp;" if married"</f>
        <v>Enter: $81,300 if single or head of household; $126,500 if married</v>
      </c>
      <c r="X79" s="978"/>
      <c r="Y79" s="978"/>
      <c r="Z79" s="1512"/>
      <c r="AA79" s="1515"/>
      <c r="AB79" s="1516"/>
      <c r="AC79" s="1524"/>
      <c r="AD79" s="867"/>
      <c r="AE79" s="383"/>
      <c r="AF79" s="383"/>
      <c r="AH79" s="902"/>
    </row>
    <row r="80" spans="1:34" ht="15" customHeight="1">
      <c r="A80" s="66"/>
      <c r="B80" s="124"/>
      <c r="C80" s="267" t="s">
        <v>4184</v>
      </c>
      <c r="D80" s="267"/>
      <c r="E80" s="159"/>
      <c r="F80" s="159"/>
      <c r="G80" s="160"/>
      <c r="H80" s="124"/>
      <c r="I80" s="124"/>
      <c r="J80" s="160"/>
      <c r="K80" s="859"/>
      <c r="L80" s="464"/>
      <c r="M80" s="5720"/>
      <c r="N80" s="5707"/>
      <c r="O80" s="2257"/>
      <c r="P80" s="691"/>
      <c r="Q80" s="29"/>
      <c r="R80" s="1499"/>
      <c r="S80" s="386"/>
      <c r="T80" s="385"/>
      <c r="U80" s="1446"/>
      <c r="V80" s="986"/>
      <c r="W80" s="2969" t="str">
        <f>"filing jointly or qualifying widow(er); "&amp;TEXT(I44,"$0,000")&amp;" if married filing"</f>
        <v>filing jointly or qualifying widow(er); $63,250 if married filing</v>
      </c>
      <c r="X80" s="978"/>
      <c r="Y80" s="978"/>
      <c r="Z80" s="1512"/>
      <c r="AA80" s="1515"/>
      <c r="AB80" s="1515"/>
      <c r="AC80" s="1515"/>
      <c r="AD80" s="867"/>
      <c r="AE80" s="383"/>
      <c r="AF80" s="383"/>
      <c r="AH80" s="902"/>
    </row>
    <row r="81" spans="1:34" ht="15" customHeight="1">
      <c r="A81" s="66"/>
      <c r="B81" s="124"/>
      <c r="C81" s="267" t="s">
        <v>4185</v>
      </c>
      <c r="D81" s="267"/>
      <c r="E81" s="159"/>
      <c r="F81" s="159"/>
      <c r="G81" s="160"/>
      <c r="H81" s="124"/>
      <c r="I81" s="124"/>
      <c r="J81" s="160"/>
      <c r="K81" s="859" t="s">
        <v>665</v>
      </c>
      <c r="L81" s="171">
        <f>B78</f>
        <v>15</v>
      </c>
      <c r="M81" s="975" t="str">
        <f>IF(P81&lt;&gt;"",P81,IF(NOT(F6251_PIII),"",IF(NOT(SchDTW_Used),M75,MIN(SUM(M75,M77),'Sch. D WS'!L85))))</f>
        <v/>
      </c>
      <c r="N81" s="5707"/>
      <c r="O81" s="2257"/>
      <c r="P81" s="300"/>
      <c r="Q81" s="29"/>
      <c r="R81" s="1499"/>
      <c r="S81" s="386"/>
      <c r="T81" s="385"/>
      <c r="U81" s="1446"/>
      <c r="V81" s="986"/>
      <c r="W81" s="2969" t="s">
        <v>2978</v>
      </c>
      <c r="X81" s="978"/>
      <c r="Y81" s="978"/>
      <c r="Z81" s="1512"/>
      <c r="AA81" s="1513" t="s">
        <v>4186</v>
      </c>
      <c r="AB81" s="1514">
        <f>V79</f>
        <v>1</v>
      </c>
      <c r="AC81" s="1510" t="str">
        <f>IF(NOT(AMTExemptionFlag),"",IF(OR(File_Single&lt;&gt;"",File_Head&lt;&gt;""),I42,IF(OR(File_Marr_Joint&lt;&gt;"",File_Qual_Widow&lt;&gt;""),I43,IF(File_Marr_Sep&lt;&gt;"",I44,""))))</f>
        <v/>
      </c>
      <c r="AD81" s="867"/>
      <c r="AE81" s="383"/>
      <c r="AF81" s="383"/>
      <c r="AH81" s="902"/>
    </row>
    <row r="82" spans="1:34" ht="15" customHeight="1">
      <c r="A82" s="66"/>
      <c r="B82" s="124">
        <f>B78+1</f>
        <v>16</v>
      </c>
      <c r="C82" s="267" t="s">
        <v>4187</v>
      </c>
      <c r="D82" s="267"/>
      <c r="E82" s="159"/>
      <c r="F82" s="159"/>
      <c r="G82" s="160"/>
      <c r="H82" s="160"/>
      <c r="I82" s="160"/>
      <c r="J82" s="160"/>
      <c r="K82" s="859" t="s">
        <v>754</v>
      </c>
      <c r="L82" s="171">
        <f>B82</f>
        <v>16</v>
      </c>
      <c r="M82" s="975" t="str">
        <f>IF(NOT(F6251_PIII),"",MIN(M71,M81))</f>
        <v/>
      </c>
      <c r="N82" s="5707"/>
      <c r="O82" s="2257"/>
      <c r="P82" s="691"/>
      <c r="Q82" s="294"/>
      <c r="R82" s="1499"/>
      <c r="S82" s="386"/>
      <c r="T82" s="385"/>
      <c r="U82" s="1446"/>
      <c r="V82" s="2971">
        <v>2</v>
      </c>
      <c r="W82" s="1104" t="s">
        <v>4188</v>
      </c>
      <c r="X82" s="978"/>
      <c r="Y82" s="978"/>
      <c r="Z82" s="1516"/>
      <c r="AA82" s="1515"/>
      <c r="AB82" s="1516"/>
      <c r="AC82" s="1524"/>
      <c r="AD82" s="867"/>
      <c r="AE82" s="383"/>
      <c r="AF82" s="383"/>
      <c r="AH82" s="902"/>
    </row>
    <row r="83" spans="1:34" ht="15" customHeight="1">
      <c r="A83" s="66"/>
      <c r="B83" s="124">
        <f>B82+1</f>
        <v>17</v>
      </c>
      <c r="C83" s="267" t="str">
        <f>"Subtract line "&amp;L82&amp;" from line "&amp;L71</f>
        <v>Subtract line 16 from line 12</v>
      </c>
      <c r="D83" s="267"/>
      <c r="E83" s="159"/>
      <c r="F83" s="159"/>
      <c r="G83" s="160"/>
      <c r="H83" s="160"/>
      <c r="I83" s="160"/>
      <c r="J83" s="160"/>
      <c r="K83" s="859" t="s">
        <v>744</v>
      </c>
      <c r="L83" s="171">
        <f>B83</f>
        <v>17</v>
      </c>
      <c r="M83" s="975" t="str">
        <f>IF(P83&lt;&gt;"",P83,IF(NOT(F6251_PIII),"",SUM(M71,-M82)))</f>
        <v/>
      </c>
      <c r="N83" s="5707"/>
      <c r="O83" s="2257"/>
      <c r="P83" s="300"/>
      <c r="Q83" s="294"/>
      <c r="R83" s="1499"/>
      <c r="S83" s="386"/>
      <c r="T83" s="385"/>
      <c r="U83" s="1446"/>
      <c r="V83" s="2973"/>
      <c r="W83" s="1105" t="s">
        <v>4189</v>
      </c>
      <c r="X83" s="988"/>
      <c r="Y83" s="1526" t="s">
        <v>1037</v>
      </c>
      <c r="Z83" s="1517">
        <f>V82</f>
        <v>2</v>
      </c>
      <c r="AA83" s="1510" t="str">
        <f>IF(NOT(AMTExemptionFlag),"",AltMinTaxInc)</f>
        <v/>
      </c>
      <c r="AB83" s="1526"/>
      <c r="AC83" s="1528"/>
      <c r="AD83" s="1529"/>
      <c r="AE83" s="383"/>
      <c r="AF83" s="383"/>
      <c r="AH83" s="902"/>
    </row>
    <row r="84" spans="1:34" ht="15" customHeight="1">
      <c r="A84" s="66"/>
      <c r="B84" s="124">
        <f>B83+1</f>
        <v>18</v>
      </c>
      <c r="C84" s="267" t="str">
        <f>"If  line "&amp;L83&amp;" is "&amp;TEXT(R59,"$0,000")&amp;" or  less  ("&amp;TEXT(R60,"$0,000")&amp;" or less if married filing separately),"</f>
        <v>If  line 17 is $220,700 or  less  ($110,350 or less if married filing separately),</v>
      </c>
      <c r="D84" s="190"/>
      <c r="E84" s="159"/>
      <c r="F84" s="159"/>
      <c r="G84" s="160"/>
      <c r="H84" s="380"/>
      <c r="I84" s="737" t="str">
        <f>"multiply line "&amp;L83&amp;" by "&amp;TEXT(R67,"0%")&amp;" ("&amp;TEXT(R67,"0.00")&amp;")."</f>
        <v>multiply line 17 by 26% (0.26).</v>
      </c>
      <c r="J84" s="160"/>
      <c r="K84" s="124"/>
      <c r="L84" s="155"/>
      <c r="M84" s="341"/>
      <c r="N84" s="449"/>
      <c r="O84" s="2257"/>
      <c r="P84" s="691"/>
      <c r="Q84" s="294"/>
      <c r="R84" s="1499"/>
      <c r="S84" s="386"/>
      <c r="T84" s="385"/>
      <c r="U84" s="1446"/>
      <c r="V84" s="2972"/>
      <c r="W84" s="865"/>
      <c r="X84" s="978"/>
      <c r="Y84" s="978"/>
      <c r="Z84" s="1522"/>
      <c r="AA84" s="1524"/>
      <c r="AB84" s="1525"/>
      <c r="AC84" s="1524"/>
      <c r="AD84" s="867"/>
      <c r="AE84" s="383"/>
      <c r="AF84" s="383"/>
      <c r="AH84" s="902"/>
    </row>
    <row r="85" spans="1:34" ht="15" customHeight="1">
      <c r="A85" s="66"/>
      <c r="B85" s="124"/>
      <c r="C85" s="2809" t="str">
        <f>"Otherwise, multiply line "&amp;L83&amp;" by "&amp;TEXT(R68,"0%")&amp;" ("&amp;TEXT(R68,"0.00")&amp;") and subtract "&amp;TEXT(R64,"$0,000")&amp;" ("&amp;TEXT(R65,"$0,000")&amp;" if married filing separate) from result"</f>
        <v>Otherwise, multiply line 17 by 28% (0.28) and subtract $4,414 ($2,207 if married filing separate) from result</v>
      </c>
      <c r="D85" s="190"/>
      <c r="E85" s="159"/>
      <c r="F85" s="159"/>
      <c r="G85" s="160"/>
      <c r="H85" s="160"/>
      <c r="I85" s="160"/>
      <c r="J85" s="160"/>
      <c r="K85" s="3415"/>
      <c r="L85" s="171">
        <f>B84</f>
        <v>18</v>
      </c>
      <c r="M85" s="975" t="str">
        <f>IF(P85&lt;&gt;"",P85,IF(NOT(F6251_PIII),"",IF(M83&lt;=R62,ROUND(M83*R67,0),ROUND((M83*R68)-R66,0))))</f>
        <v/>
      </c>
      <c r="N85" s="449"/>
      <c r="O85" s="2257"/>
      <c r="P85" s="300"/>
      <c r="Q85" s="294"/>
      <c r="R85" s="1499"/>
      <c r="S85" s="386"/>
      <c r="T85" s="385"/>
      <c r="U85" s="1446"/>
      <c r="V85" s="2971">
        <v>3</v>
      </c>
      <c r="W85" s="2969" t="str">
        <f>"Enter: "&amp;TEXT(G42,"$0,000")&amp;" if single or head of household;"</f>
        <v>Enter: $578,150 if single or head of household;</v>
      </c>
      <c r="X85" s="978"/>
      <c r="Y85" s="978"/>
      <c r="Z85" s="1516"/>
      <c r="AA85" s="1515"/>
      <c r="AB85" s="1516"/>
      <c r="AC85" s="1524"/>
      <c r="AD85" s="867"/>
      <c r="AE85" s="383"/>
      <c r="AF85" s="383"/>
    </row>
    <row r="86" spans="1:34" ht="15" customHeight="1">
      <c r="A86" s="66"/>
      <c r="B86" s="124">
        <f>B84+1</f>
        <v>19</v>
      </c>
      <c r="C86" s="267" t="s">
        <v>2997</v>
      </c>
      <c r="D86" s="190"/>
      <c r="E86" s="159"/>
      <c r="F86" s="159"/>
      <c r="G86" s="160"/>
      <c r="H86" s="160"/>
      <c r="I86" s="160"/>
      <c r="J86" s="160"/>
      <c r="K86" s="859"/>
      <c r="L86" s="463"/>
      <c r="M86" s="372"/>
      <c r="N86" s="449"/>
      <c r="O86" s="2257"/>
      <c r="P86" s="691"/>
      <c r="Q86" s="294"/>
      <c r="R86" s="1499"/>
      <c r="S86" s="386"/>
      <c r="T86" s="385"/>
      <c r="U86" s="1446"/>
      <c r="V86" s="864"/>
      <c r="W86" s="2969" t="str">
        <f>TEXT(G43,"$0,000")&amp;" if married filing jointly or qualifying widow(er); "</f>
        <v xml:space="preserve">$1,156,300 if married filing jointly or qualifying widow(er); </v>
      </c>
      <c r="X86" s="978"/>
      <c r="Y86" s="978"/>
      <c r="Z86" s="1516"/>
      <c r="AA86" s="1515"/>
      <c r="AB86" s="1516"/>
      <c r="AC86" s="1524"/>
      <c r="AD86" s="867"/>
      <c r="AE86" s="383"/>
      <c r="AF86" s="383"/>
    </row>
    <row r="87" spans="1:34" ht="13.5" customHeight="1">
      <c r="A87" s="66"/>
      <c r="B87" s="124"/>
      <c r="C87" s="459" t="s">
        <v>936</v>
      </c>
      <c r="D87" s="267" t="str">
        <f>TEXT(R87,"$0,000")&amp;" if married filing jointly or qualifying widow(er),"</f>
        <v>$89,250 if married filing jointly or qualifying widow(er),</v>
      </c>
      <c r="E87" s="159"/>
      <c r="F87" s="159"/>
      <c r="G87" s="160"/>
      <c r="H87" s="160"/>
      <c r="I87" s="160"/>
      <c r="J87" s="160"/>
      <c r="K87" s="859"/>
      <c r="L87" s="464"/>
      <c r="M87" s="372"/>
      <c r="N87" s="449"/>
      <c r="O87" s="2257"/>
      <c r="P87" s="691"/>
      <c r="Q87" s="294"/>
      <c r="R87" s="949">
        <v>89250</v>
      </c>
      <c r="S87" s="182"/>
      <c r="T87" s="385"/>
      <c r="U87" s="183"/>
      <c r="V87" s="1523"/>
      <c r="W87" s="1105" t="str">
        <f>TEXT(G44,"$0,000")&amp;" if married filing separately"</f>
        <v>$578,150 if married filing separately</v>
      </c>
      <c r="X87" s="988"/>
      <c r="Y87" s="1526" t="s">
        <v>2254</v>
      </c>
      <c r="Z87" s="1517">
        <f>V85</f>
        <v>3</v>
      </c>
      <c r="AA87" s="1510" t="str">
        <f>IF(NOT(AMTExemptionFlag),"",IF(OR(File_Single&lt;&gt;"",File_Head&lt;&gt;""),G42,IF(OR(File_Marr_Joint&lt;&gt;"",File_Qual_Widow&lt;&gt;""),G43,IF(File_Marr_Sep&lt;&gt;"",G44,""))))</f>
        <v/>
      </c>
      <c r="AB87" s="1527"/>
      <c r="AC87" s="1528"/>
      <c r="AD87" s="1529"/>
      <c r="AE87" s="383"/>
      <c r="AF87" s="383"/>
    </row>
    <row r="88" spans="1:34" ht="14.25" customHeight="1">
      <c r="A88" s="66"/>
      <c r="B88" s="124"/>
      <c r="C88" s="459" t="s">
        <v>936</v>
      </c>
      <c r="D88" s="267" t="str">
        <f>TEXT(R88,"$0,000")&amp;" if single or married filing separately, or"</f>
        <v>$44,625 if single or married filing separately, or</v>
      </c>
      <c r="E88" s="159"/>
      <c r="F88" s="159"/>
      <c r="G88" s="160"/>
      <c r="H88" s="160"/>
      <c r="I88" s="124"/>
      <c r="J88" s="160"/>
      <c r="K88" s="859" t="s">
        <v>782</v>
      </c>
      <c r="L88" s="171">
        <f>B86</f>
        <v>19</v>
      </c>
      <c r="M88" s="975" t="str">
        <f>IF(NOT(F6251_PIII),"",IF(OR(File_Marr_Joint&lt;&gt;"",File_Qual_Widow&lt;&gt;""),R87,IF(OR(File_Single&lt;&gt;"",File_Marr_Sep&lt;&gt;""),R88,IF(File_Head&lt;&gt;"",R89,"Filing Status?"))))</f>
        <v/>
      </c>
      <c r="N88" s="449"/>
      <c r="O88" s="2257"/>
      <c r="P88" s="691"/>
      <c r="Q88" s="294"/>
      <c r="R88" s="949">
        <v>44625</v>
      </c>
      <c r="S88" s="162"/>
      <c r="T88" s="386"/>
      <c r="U88" s="183"/>
      <c r="V88" s="2971">
        <v>4</v>
      </c>
      <c r="W88" s="1104" t="s">
        <v>4190</v>
      </c>
      <c r="X88" s="978"/>
      <c r="Y88" s="978"/>
      <c r="Z88" s="1516"/>
      <c r="AA88" s="1515"/>
      <c r="AB88" s="1516"/>
      <c r="AC88" s="1524"/>
      <c r="AD88" s="867"/>
      <c r="AE88" s="383"/>
      <c r="AF88" s="383"/>
      <c r="AH88" s="3064" t="str">
        <f>IF(OR(File_Single&lt;&gt;"",File_Head&lt;&gt;""),AH46,IF(File_Marr_Joint&lt;&gt;"",AH47,IF(File_Marr_Sep&lt;&gt;"",AH48,"Filing status?")))</f>
        <v>Filing status?</v>
      </c>
    </row>
    <row r="89" spans="1:34">
      <c r="A89" s="66"/>
      <c r="B89" s="124"/>
      <c r="C89" s="459" t="s">
        <v>936</v>
      </c>
      <c r="D89" s="267" t="str">
        <f>TEXT(R89,"$0,000")&amp;" if head of household."</f>
        <v>$59,750 if head of household.</v>
      </c>
      <c r="E89" s="159"/>
      <c r="F89" s="159"/>
      <c r="G89" s="160"/>
      <c r="H89" s="160"/>
      <c r="I89" s="160"/>
      <c r="J89" s="160"/>
      <c r="K89" s="859"/>
      <c r="L89" s="165"/>
      <c r="M89" s="1412"/>
      <c r="N89" s="449"/>
      <c r="O89" s="2257"/>
      <c r="P89" s="691"/>
      <c r="Q89" s="29"/>
      <c r="R89" s="949">
        <v>59750</v>
      </c>
      <c r="S89" s="162"/>
      <c r="T89" s="604"/>
      <c r="U89" s="2779"/>
      <c r="V89" s="2972"/>
      <c r="W89" s="2969" t="s">
        <v>4191</v>
      </c>
      <c r="X89" s="978"/>
      <c r="Y89" s="1525" t="s">
        <v>4192</v>
      </c>
      <c r="Z89" s="1522">
        <f>V88</f>
        <v>4</v>
      </c>
      <c r="AA89" s="1510" t="str">
        <f>IF(OR(NOT(AMTExemptionFlag),AA87=""),"",IF(AA83-AA87&lt;=0,0,AA83-AA87))</f>
        <v/>
      </c>
      <c r="AB89" s="1525"/>
      <c r="AC89" s="1524"/>
      <c r="AD89" s="867"/>
      <c r="AE89" s="383"/>
      <c r="AF89" s="383"/>
      <c r="AH89" s="3065" t="b">
        <f>AND(P1,AltMinTaxInc&gt;=AH88)</f>
        <v>0</v>
      </c>
    </row>
    <row r="90" spans="1:34" ht="12.75" customHeight="1">
      <c r="A90" s="66"/>
      <c r="B90" s="124">
        <f>B86+1</f>
        <v>20</v>
      </c>
      <c r="C90" s="267" t="s">
        <v>4193</v>
      </c>
      <c r="D90" s="267"/>
      <c r="E90" s="159"/>
      <c r="F90" s="159"/>
      <c r="G90" s="160"/>
      <c r="H90" s="124"/>
      <c r="I90" s="124"/>
      <c r="J90" s="160"/>
      <c r="K90" s="859"/>
      <c r="L90" s="165"/>
      <c r="M90" s="1027"/>
      <c r="N90" s="5707"/>
      <c r="O90" s="2257"/>
      <c r="P90" s="691"/>
      <c r="Q90" s="29"/>
      <c r="R90" s="4665" t="b">
        <f>OR(SchDTW_Used,CGTW)</f>
        <v>0</v>
      </c>
      <c r="S90" s="183"/>
      <c r="T90" s="182"/>
      <c r="U90" s="671"/>
      <c r="V90" s="2971">
        <v>5</v>
      </c>
      <c r="W90" s="1104" t="str">
        <f>"Multiply line 4 by "&amp;TEXT(AF106,"0%")&amp;" ("&amp;TEXT(AF106,"0.00")&amp;")"</f>
        <v>Multiply line 4 by 25% (0.25)</v>
      </c>
      <c r="X90" s="1104"/>
      <c r="Y90" s="1104"/>
      <c r="Z90" s="1512"/>
      <c r="AA90" s="1513" t="s">
        <v>2521</v>
      </c>
      <c r="AB90" s="1514">
        <f>V90</f>
        <v>5</v>
      </c>
      <c r="AC90" s="1510" t="str">
        <f>IF(OR(NOT(AMTExemptionFlag),AA87=""),"",ROUND(AF106*AA89,0))</f>
        <v/>
      </c>
      <c r="AD90" s="867"/>
      <c r="AE90" s="383"/>
      <c r="AF90" s="383"/>
    </row>
    <row r="91" spans="1:34" ht="14.25" customHeight="1">
      <c r="A91" s="66"/>
      <c r="B91" s="124"/>
      <c r="C91" s="2809" t="s">
        <v>4194</v>
      </c>
      <c r="D91" s="267"/>
      <c r="E91" s="159"/>
      <c r="F91" s="159"/>
      <c r="G91" s="160"/>
      <c r="H91" s="124"/>
      <c r="I91" s="124"/>
      <c r="J91" s="160"/>
      <c r="K91" s="859"/>
      <c r="L91" s="165"/>
      <c r="M91" s="1027"/>
      <c r="N91" s="5707"/>
      <c r="O91" s="2257"/>
      <c r="P91" s="1411" t="str">
        <f>IF(AND(P1,OR(P93&lt;&gt;"",$R$91,F6251_PIII)),"Line "&amp;L93&amp;" Source:","")</f>
        <v/>
      </c>
      <c r="Q91" s="29"/>
      <c r="R91" s="4665" t="b">
        <f>AND(Form2555_Used,NOT(R90))</f>
        <v>0</v>
      </c>
      <c r="S91" s="183"/>
      <c r="T91" s="182"/>
      <c r="U91" s="671"/>
      <c r="V91" s="2971">
        <v>6</v>
      </c>
      <c r="W91" s="1104" t="s">
        <v>4195</v>
      </c>
      <c r="X91" s="1104"/>
      <c r="Y91" s="1104"/>
      <c r="Z91" s="1104"/>
      <c r="AA91" s="2970"/>
      <c r="AB91" s="1516"/>
      <c r="AC91" s="1530"/>
      <c r="AD91" s="867"/>
      <c r="AE91" s="383"/>
      <c r="AF91" s="383"/>
    </row>
    <row r="92" spans="1:34" ht="14.25" customHeight="1">
      <c r="A92" s="66"/>
      <c r="B92" s="124"/>
      <c r="C92" s="2809" t="s">
        <v>4196</v>
      </c>
      <c r="D92" s="267"/>
      <c r="E92" s="159"/>
      <c r="F92" s="159"/>
      <c r="G92" s="160"/>
      <c r="H92" s="124"/>
      <c r="I92" s="124"/>
      <c r="J92" s="160"/>
      <c r="K92" s="859"/>
      <c r="L92" s="165"/>
      <c r="M92" s="5720"/>
      <c r="N92" s="5707"/>
      <c r="O92" s="2257"/>
      <c r="P92" s="1411" t="str">
        <f>IF(NOT(P1),"",IF(P93&lt;&gt;"","Manual override",IF($R$91,"Foreign Income Tax Workseet",IF(NOT(F6251_PIII),"",IF(SchDTW_Used,"Sch. D Tax WS",IF(CGTW,"Sch. D WS",IF(Taxable_Inc&gt;0,"Form 1040, line "&amp;TaxLine_1040)))))))</f>
        <v/>
      </c>
      <c r="Q92" s="29"/>
      <c r="R92" s="1499"/>
      <c r="S92" s="162"/>
      <c r="T92" s="162"/>
      <c r="U92" s="183"/>
      <c r="V92" s="1511"/>
      <c r="W92" s="2969" t="s">
        <v>4197</v>
      </c>
      <c r="X92" s="1104"/>
      <c r="Y92" s="1104"/>
      <c r="Z92" s="1104"/>
      <c r="AA92" s="2970"/>
      <c r="AB92" s="1516"/>
      <c r="AC92" s="1531"/>
      <c r="AD92" s="867"/>
      <c r="AE92" s="383"/>
      <c r="AF92" s="383"/>
    </row>
    <row r="93" spans="1:34" ht="14.25" customHeight="1">
      <c r="A93" s="66"/>
      <c r="B93" s="124"/>
      <c r="C93" s="2809" t="s">
        <v>4198</v>
      </c>
      <c r="D93" s="267"/>
      <c r="E93" s="159"/>
      <c r="F93" s="267" t="s">
        <v>4199</v>
      </c>
      <c r="G93" s="160"/>
      <c r="H93" s="124"/>
      <c r="I93" s="859"/>
      <c r="J93" s="160"/>
      <c r="K93" s="859" t="s">
        <v>789</v>
      </c>
      <c r="L93" s="171">
        <f>B90</f>
        <v>20</v>
      </c>
      <c r="M93" s="975" t="str">
        <f>IF(P93&lt;&gt;"",ROUND(P93,0),IF($R$91,$AC$121,IF(OR(NOT(P1),NOT(F6251_PIII)),"",IF(SchDTW_Used,'Sch. D WS'!P89,IF(CGTW,CGTW_Line5,IF(Taxable_Inc&gt;0,Taxable_Inc,0))))))</f>
        <v/>
      </c>
      <c r="N93" s="5707"/>
      <c r="O93" s="2257"/>
      <c r="P93" s="300"/>
      <c r="Q93" s="29"/>
      <c r="R93" s="1499"/>
      <c r="S93" s="162"/>
      <c r="T93" s="162"/>
      <c r="U93" s="183"/>
      <c r="V93" s="864"/>
      <c r="W93" s="9121" t="s">
        <v>5699</v>
      </c>
      <c r="X93" s="9122"/>
      <c r="Y93" s="9122"/>
      <c r="Z93" s="9122"/>
      <c r="AA93" s="9122"/>
      <c r="AB93" s="1514">
        <f>V91</f>
        <v>6</v>
      </c>
      <c r="AC93" s="1510" t="str">
        <f>IF(OR(NOT(AMTExemptionFlag),AA87=""),"",MAX(0,AC81-AC90))</f>
        <v/>
      </c>
      <c r="AD93" s="867"/>
      <c r="AE93" s="383"/>
      <c r="AF93" s="383"/>
    </row>
    <row r="94" spans="1:34" ht="14.25" customHeight="1" thickBot="1">
      <c r="A94" s="66"/>
      <c r="B94" s="124">
        <f>B90+1</f>
        <v>21</v>
      </c>
      <c r="C94" s="267" t="s">
        <v>4200</v>
      </c>
      <c r="D94" s="267"/>
      <c r="E94" s="159"/>
      <c r="F94" s="159"/>
      <c r="G94" s="160"/>
      <c r="H94" s="124"/>
      <c r="I94" s="124"/>
      <c r="J94" s="160"/>
      <c r="K94" s="859" t="s">
        <v>714</v>
      </c>
      <c r="L94" s="171">
        <f>B94</f>
        <v>21</v>
      </c>
      <c r="M94" s="975" t="str">
        <f>IF(NOT(F6251_PIII),"",IF(ISERROR(SUM(M88,-M93)),M88,IF(SUM(M88,-M93)&lt;0,0,SUM(M88,-M93))))</f>
        <v/>
      </c>
      <c r="N94" s="5707"/>
      <c r="O94" s="2257"/>
      <c r="P94" s="691"/>
      <c r="Q94" s="29"/>
      <c r="R94" s="1499"/>
      <c r="S94" s="162"/>
      <c r="T94" s="183"/>
      <c r="U94" s="183"/>
      <c r="V94" s="870"/>
      <c r="W94" s="1518"/>
      <c r="X94" s="1437"/>
      <c r="Y94" s="1437"/>
      <c r="Z94" s="1519"/>
      <c r="AA94" s="1520"/>
      <c r="AB94" s="1521"/>
      <c r="AC94" s="1532"/>
      <c r="AD94" s="990"/>
      <c r="AE94" s="383"/>
      <c r="AF94" s="383"/>
    </row>
    <row r="95" spans="1:34" ht="14.25" customHeight="1" thickBot="1">
      <c r="A95" s="66"/>
      <c r="B95" s="124">
        <f>B94+1</f>
        <v>22</v>
      </c>
      <c r="C95" s="267" t="s">
        <v>4201</v>
      </c>
      <c r="D95" s="267"/>
      <c r="E95" s="159"/>
      <c r="F95" s="159"/>
      <c r="G95" s="160"/>
      <c r="H95" s="124"/>
      <c r="I95" s="124"/>
      <c r="J95" s="160"/>
      <c r="K95" s="859" t="s">
        <v>769</v>
      </c>
      <c r="L95" s="171">
        <f t="shared" ref="L95:L103" si="3">B95</f>
        <v>22</v>
      </c>
      <c r="M95" s="975" t="str">
        <f>IF(NOT(F6251_PIII),"",MIN(M71,M75))</f>
        <v/>
      </c>
      <c r="N95" s="5707"/>
      <c r="O95" s="2257"/>
      <c r="P95" s="378"/>
      <c r="Q95" s="29"/>
      <c r="R95" s="1499"/>
      <c r="S95" s="162"/>
      <c r="T95" s="162"/>
      <c r="U95" s="183"/>
      <c r="V95" s="462"/>
      <c r="W95" s="183"/>
      <c r="X95" s="183"/>
      <c r="Y95" s="183"/>
      <c r="Z95" s="183"/>
      <c r="AA95" s="183"/>
      <c r="AB95" s="183"/>
      <c r="AC95" s="183"/>
      <c r="AD95" s="183"/>
      <c r="AE95" s="383"/>
      <c r="AF95" s="383"/>
    </row>
    <row r="96" spans="1:34" ht="14.25" customHeight="1">
      <c r="A96" s="66"/>
      <c r="B96" s="124">
        <f>B95+1</f>
        <v>23</v>
      </c>
      <c r="C96" s="267" t="s">
        <v>4202</v>
      </c>
      <c r="D96" s="267"/>
      <c r="E96" s="159"/>
      <c r="F96" s="159"/>
      <c r="G96" s="160"/>
      <c r="H96" s="124"/>
      <c r="I96" s="124"/>
      <c r="J96" s="160"/>
      <c r="K96" s="859" t="s">
        <v>646</v>
      </c>
      <c r="L96" s="171">
        <f t="shared" si="3"/>
        <v>23</v>
      </c>
      <c r="M96" s="975" t="str">
        <f>IF(NOT(F6251_PIII),"",MIN(M94,M95))</f>
        <v/>
      </c>
      <c r="N96" s="5707"/>
      <c r="O96" s="2257"/>
      <c r="P96" s="378"/>
      <c r="Q96" s="29"/>
      <c r="R96" s="1499"/>
      <c r="S96" s="162"/>
      <c r="T96" s="162"/>
      <c r="U96" s="183"/>
      <c r="V96" s="1539"/>
      <c r="W96" s="1540"/>
      <c r="X96" s="9087"/>
      <c r="Y96" s="7950"/>
      <c r="Z96" s="7950"/>
      <c r="AA96" s="1533"/>
      <c r="AB96" s="1533"/>
      <c r="AC96" s="1533"/>
      <c r="AD96" s="1534"/>
      <c r="AF96" s="383"/>
    </row>
    <row r="97" spans="1:32" ht="14.25" customHeight="1">
      <c r="A97" s="66"/>
      <c r="B97" s="124">
        <f>B96+1</f>
        <v>24</v>
      </c>
      <c r="C97" s="267" t="s">
        <v>4203</v>
      </c>
      <c r="D97" s="267"/>
      <c r="E97" s="159"/>
      <c r="F97" s="159"/>
      <c r="G97" s="160"/>
      <c r="H97" s="124"/>
      <c r="I97" s="124"/>
      <c r="J97" s="160"/>
      <c r="K97" s="859" t="s">
        <v>4204</v>
      </c>
      <c r="L97" s="171">
        <f t="shared" si="3"/>
        <v>24</v>
      </c>
      <c r="M97" s="1083" t="str">
        <f>IF(NOT(F6251_PIII),"",SUM(M95,-M96))</f>
        <v/>
      </c>
      <c r="N97" s="5707"/>
      <c r="O97" s="2257"/>
      <c r="P97" s="378"/>
      <c r="Q97" s="29"/>
      <c r="R97" s="1499"/>
      <c r="S97" s="162"/>
      <c r="T97" s="162"/>
      <c r="U97" s="183"/>
      <c r="V97" s="2975" t="s">
        <v>4205</v>
      </c>
      <c r="W97" s="1541"/>
      <c r="X97" s="1541"/>
      <c r="Y97" s="1535"/>
      <c r="Z97" s="1535"/>
      <c r="AA97" s="1535"/>
      <c r="AB97" s="1535"/>
      <c r="AC97" s="1535"/>
      <c r="AD97" s="1536"/>
      <c r="AF97" s="383"/>
    </row>
    <row r="98" spans="1:32" ht="14.25" customHeight="1" thickBot="1">
      <c r="A98" s="66"/>
      <c r="B98" s="124">
        <f>B97+1</f>
        <v>25</v>
      </c>
      <c r="C98" s="267" t="s">
        <v>2997</v>
      </c>
      <c r="D98" s="267"/>
      <c r="E98" s="159"/>
      <c r="F98" s="159"/>
      <c r="G98" s="160"/>
      <c r="H98" s="124"/>
      <c r="I98" s="124"/>
      <c r="J98" s="160"/>
      <c r="K98" s="859"/>
      <c r="L98" s="464"/>
      <c r="M98" s="372"/>
      <c r="N98" s="5707"/>
      <c r="O98" s="2257"/>
      <c r="P98" s="378"/>
      <c r="Q98" s="29"/>
      <c r="R98" s="1499"/>
      <c r="S98" s="162"/>
      <c r="T98" s="162"/>
      <c r="U98" s="183"/>
      <c r="V98" s="1542"/>
      <c r="W98" s="1543"/>
      <c r="X98" s="1543"/>
      <c r="Y98" s="1537"/>
      <c r="Z98" s="1537"/>
      <c r="AA98" s="1537"/>
      <c r="AB98" s="1556" t="s">
        <v>1057</v>
      </c>
      <c r="AC98" s="1556"/>
      <c r="AD98" s="1538"/>
      <c r="AF98" s="383"/>
    </row>
    <row r="99" spans="1:32" ht="14.25" customHeight="1">
      <c r="A99" s="66"/>
      <c r="B99" s="124"/>
      <c r="C99" s="2580" t="s">
        <v>936</v>
      </c>
      <c r="D99" s="267" t="str">
        <f>TEXT(R99,"$0,000")&amp;" if single,"</f>
        <v>$492,300 if single,</v>
      </c>
      <c r="E99" s="159"/>
      <c r="F99" s="159"/>
      <c r="G99" s="160"/>
      <c r="H99" s="160"/>
      <c r="I99" s="160"/>
      <c r="J99" s="160"/>
      <c r="K99" s="859"/>
      <c r="L99" s="464"/>
      <c r="M99" s="372"/>
      <c r="N99" s="449"/>
      <c r="O99" s="2257"/>
      <c r="P99" s="691"/>
      <c r="Q99" s="294"/>
      <c r="R99" s="949">
        <v>492300</v>
      </c>
      <c r="S99" s="162"/>
      <c r="T99" s="162"/>
      <c r="U99" s="183"/>
      <c r="V99" s="2974" t="s">
        <v>4206</v>
      </c>
      <c r="W99" s="1544"/>
      <c r="X99" s="1545" t="s">
        <v>4207</v>
      </c>
      <c r="Y99" s="1544"/>
      <c r="Z99" s="1544"/>
      <c r="AA99" s="1544"/>
      <c r="AB99" s="1544"/>
      <c r="AC99" s="5067" t="b">
        <f>IF(M47=0,TRUE,FALSE)</f>
        <v>1</v>
      </c>
      <c r="AD99" s="1557"/>
      <c r="AF99" s="383"/>
    </row>
    <row r="100" spans="1:32" ht="14.25" customHeight="1">
      <c r="A100" s="66"/>
      <c r="B100" s="124"/>
      <c r="C100" s="2580" t="s">
        <v>936</v>
      </c>
      <c r="D100" s="267" t="str">
        <f>TEXT(R100,"$0,000")&amp;" if married filing separately"</f>
        <v>$276,900 if married filing separately</v>
      </c>
      <c r="E100" s="159"/>
      <c r="F100" s="159"/>
      <c r="G100" s="160"/>
      <c r="H100" s="160"/>
      <c r="I100" s="160"/>
      <c r="J100" s="160"/>
      <c r="K100" s="859"/>
      <c r="L100" s="464"/>
      <c r="M100" s="372"/>
      <c r="N100" s="449"/>
      <c r="O100" s="2257"/>
      <c r="P100" s="691"/>
      <c r="Q100" s="294"/>
      <c r="R100" s="949">
        <v>276900</v>
      </c>
      <c r="S100" s="162"/>
      <c r="T100" s="162"/>
      <c r="U100" s="183"/>
      <c r="V100" s="1546"/>
      <c r="W100" s="1547"/>
      <c r="X100" s="1547"/>
      <c r="Y100" s="1547"/>
      <c r="Z100" s="1547"/>
      <c r="AA100" s="1547"/>
      <c r="AB100" s="1547"/>
      <c r="AC100" s="1547"/>
      <c r="AD100" s="1558"/>
      <c r="AF100" s="383"/>
    </row>
    <row r="101" spans="1:32" ht="14.25" customHeight="1">
      <c r="A101" s="66"/>
      <c r="B101" s="124"/>
      <c r="C101" s="2580" t="s">
        <v>936</v>
      </c>
      <c r="D101" s="267" t="str">
        <f>TEXT(R101,"$0,000")&amp;" if married filing jointly or qualifying widow(er)"</f>
        <v>$553,850 if married filing jointly or qualifying widow(er)</v>
      </c>
      <c r="E101" s="159"/>
      <c r="F101" s="159"/>
      <c r="G101" s="160"/>
      <c r="H101" s="160"/>
      <c r="I101" s="124"/>
      <c r="J101" s="160"/>
      <c r="K101" s="859" t="s">
        <v>709</v>
      </c>
      <c r="L101" s="171">
        <f>B98</f>
        <v>25</v>
      </c>
      <c r="M101" s="975" t="str">
        <f>IF(P101&lt;&gt;"",P101,IF(NOT(F6251_PIII),"",IF(File_Single&lt;&gt;"",R99,IF(File_Marr_Sep&lt;&gt;"",R100,IF(OR(File_Marr_Joint&lt;&gt;"",File_Qual_Widow&lt;&gt;""),R101,IF(File_Head&lt;&gt;"",R102,"Filing Status?"))))))</f>
        <v/>
      </c>
      <c r="N101" s="449"/>
      <c r="O101" s="2257"/>
      <c r="P101" s="300"/>
      <c r="Q101" s="294"/>
      <c r="R101" s="949">
        <v>553850</v>
      </c>
      <c r="S101" s="162"/>
      <c r="T101" s="162"/>
      <c r="U101" s="183"/>
      <c r="V101" s="1548" t="str">
        <f>"1."</f>
        <v>1.</v>
      </c>
      <c r="W101" s="1549" t="s">
        <v>4208</v>
      </c>
      <c r="X101" s="1550"/>
      <c r="Y101" s="1550"/>
      <c r="Z101" s="1550"/>
      <c r="AA101" s="1513" t="s">
        <v>714</v>
      </c>
      <c r="AB101" s="1551" t="str">
        <f>"1."</f>
        <v>1.</v>
      </c>
      <c r="AC101" s="1408" t="str">
        <f>IF(AC99,"",M47)</f>
        <v/>
      </c>
      <c r="AD101" s="1559"/>
      <c r="AF101" s="383"/>
    </row>
    <row r="102" spans="1:32" ht="14.25" customHeight="1">
      <c r="A102" s="66"/>
      <c r="B102" s="124"/>
      <c r="C102" s="2580" t="s">
        <v>936</v>
      </c>
      <c r="D102" s="267" t="str">
        <f>TEXT(R102,"$0,000")&amp;" if head of household"</f>
        <v>$523,050 if head of household</v>
      </c>
      <c r="E102" s="159"/>
      <c r="F102" s="159"/>
      <c r="G102" s="160"/>
      <c r="H102" s="160"/>
      <c r="I102" s="160"/>
      <c r="J102" s="160"/>
      <c r="K102" s="859"/>
      <c r="L102" s="165"/>
      <c r="M102" s="372"/>
      <c r="N102" s="449"/>
      <c r="O102" s="2257"/>
      <c r="P102" s="691"/>
      <c r="Q102" s="29"/>
      <c r="R102" s="949">
        <v>523050</v>
      </c>
      <c r="S102" s="162"/>
      <c r="T102" s="162"/>
      <c r="U102" s="183"/>
      <c r="V102" s="1548" t="str">
        <f>"2a."</f>
        <v>2a.</v>
      </c>
      <c r="W102" s="1549" t="s">
        <v>4209</v>
      </c>
      <c r="X102" s="1550"/>
      <c r="Y102" s="1550"/>
      <c r="Z102" s="1550"/>
      <c r="AA102" s="1550"/>
      <c r="AB102" s="1550"/>
      <c r="AC102" s="1550"/>
      <c r="AD102" s="1559"/>
      <c r="AF102" s="383"/>
    </row>
    <row r="103" spans="1:32" ht="14.25" customHeight="1">
      <c r="A103" s="66"/>
      <c r="B103" s="124">
        <f>B98+1</f>
        <v>26</v>
      </c>
      <c r="C103" s="267" t="s">
        <v>4210</v>
      </c>
      <c r="D103" s="267"/>
      <c r="E103" s="159"/>
      <c r="F103" s="159"/>
      <c r="G103" s="160"/>
      <c r="H103" s="124"/>
      <c r="I103" s="124"/>
      <c r="J103" s="160"/>
      <c r="K103" s="859" t="s">
        <v>4211</v>
      </c>
      <c r="L103" s="171">
        <f t="shared" si="3"/>
        <v>26</v>
      </c>
      <c r="M103" s="975" t="str">
        <f>IF(NOT(F6251_PIII),"",M94)</f>
        <v/>
      </c>
      <c r="N103" s="5707"/>
      <c r="O103" s="2257"/>
      <c r="P103" s="378"/>
      <c r="Q103" s="29"/>
      <c r="R103" s="1499"/>
      <c r="S103" s="162"/>
      <c r="T103" s="162"/>
      <c r="U103" s="183"/>
      <c r="V103" s="1548"/>
      <c r="W103" s="1549" t="s">
        <v>4212</v>
      </c>
      <c r="X103" s="1550"/>
      <c r="Y103" s="1513" t="s">
        <v>752</v>
      </c>
      <c r="Z103" s="1551" t="str">
        <f>"2a."</f>
        <v>2a.</v>
      </c>
      <c r="AA103" s="4655" t="str">
        <f>IF(OR(NOT(F6251_Needed),AC99),"",SUM(F2555_Line45_Total,ForeignHousingDeductionTotal))</f>
        <v/>
      </c>
      <c r="AB103" s="1550"/>
      <c r="AC103" s="1550"/>
      <c r="AD103" s="1559"/>
      <c r="AF103" s="383"/>
    </row>
    <row r="104" spans="1:32" ht="14.25" customHeight="1">
      <c r="A104" s="66"/>
      <c r="B104" s="124">
        <v>27</v>
      </c>
      <c r="C104" s="267" t="s">
        <v>4213</v>
      </c>
      <c r="D104" s="267"/>
      <c r="E104" s="159"/>
      <c r="F104" s="159"/>
      <c r="G104" s="160"/>
      <c r="H104" s="124"/>
      <c r="I104" s="124"/>
      <c r="J104" s="124"/>
      <c r="K104" s="124"/>
      <c r="L104" s="959"/>
      <c r="M104" s="950"/>
      <c r="N104" s="5707"/>
      <c r="O104" s="2257"/>
      <c r="P104" s="378"/>
      <c r="Q104" s="29"/>
      <c r="R104" s="1499"/>
      <c r="S104" s="183"/>
      <c r="T104" s="162"/>
      <c r="U104" s="183"/>
      <c r="V104" s="1548" t="s">
        <v>1363</v>
      </c>
      <c r="W104" s="1549" t="s">
        <v>4214</v>
      </c>
      <c r="X104" s="1550"/>
      <c r="Y104" s="1550"/>
      <c r="Z104" s="1550"/>
      <c r="AA104" s="1550"/>
      <c r="AB104" s="1550"/>
      <c r="AC104" s="1550"/>
      <c r="AD104" s="1559"/>
      <c r="AF104" s="383"/>
    </row>
    <row r="105" spans="1:32" ht="14.25" customHeight="1">
      <c r="A105" s="66"/>
      <c r="B105" s="124"/>
      <c r="C105" s="267" t="s">
        <v>4215</v>
      </c>
      <c r="D105" s="267"/>
      <c r="E105" s="159"/>
      <c r="F105" s="159"/>
      <c r="G105" s="160"/>
      <c r="H105" s="124"/>
      <c r="I105" s="124"/>
      <c r="J105" s="124"/>
      <c r="K105" s="124"/>
      <c r="L105" s="959"/>
      <c r="M105" s="950"/>
      <c r="N105" s="5707"/>
      <c r="O105" s="2257"/>
      <c r="P105" s="378"/>
      <c r="Q105" s="29"/>
      <c r="R105" s="1499"/>
      <c r="S105" s="183"/>
      <c r="T105" s="162"/>
      <c r="U105" s="183"/>
      <c r="V105" s="1548"/>
      <c r="W105" s="1549" t="s">
        <v>4216</v>
      </c>
      <c r="X105" s="1550"/>
      <c r="Y105" s="1513" t="s">
        <v>699</v>
      </c>
      <c r="Z105" s="1551" t="str">
        <f>"2b."</f>
        <v>2b.</v>
      </c>
      <c r="AA105" s="1409"/>
      <c r="AB105" s="1550"/>
      <c r="AC105" s="1550"/>
      <c r="AD105" s="1559"/>
      <c r="AF105" s="383"/>
    </row>
    <row r="106" spans="1:32" ht="14.25" customHeight="1">
      <c r="A106" s="66"/>
      <c r="B106" s="124"/>
      <c r="C106" s="267" t="s">
        <v>4196</v>
      </c>
      <c r="D106" s="267"/>
      <c r="E106" s="159"/>
      <c r="F106" s="159"/>
      <c r="G106" s="160"/>
      <c r="H106" s="124"/>
      <c r="I106" s="124"/>
      <c r="J106" s="124"/>
      <c r="K106" s="124"/>
      <c r="L106" s="959"/>
      <c r="M106" s="950"/>
      <c r="N106" s="5707"/>
      <c r="O106" s="2257"/>
      <c r="P106" s="378"/>
      <c r="Q106" s="29"/>
      <c r="R106" s="1499"/>
      <c r="S106" s="387"/>
      <c r="T106" s="162"/>
      <c r="U106" s="183"/>
      <c r="V106" s="1548" t="s">
        <v>1381</v>
      </c>
      <c r="W106" s="1549" t="s">
        <v>1697</v>
      </c>
      <c r="X106" s="1550"/>
      <c r="Y106" s="1550"/>
      <c r="Z106" s="1550"/>
      <c r="AA106" s="1513" t="s">
        <v>642</v>
      </c>
      <c r="AB106" s="1551" t="str">
        <f>"2c."</f>
        <v>2c.</v>
      </c>
      <c r="AC106" s="4655" t="str">
        <f>IF(OR(NOT(P1),AC99),"",SUM(AA103,-AA105))</f>
        <v/>
      </c>
      <c r="AD106" s="1559"/>
      <c r="AF106" s="1085">
        <v>0.25</v>
      </c>
    </row>
    <row r="107" spans="1:32" ht="14.25" customHeight="1">
      <c r="A107" s="66"/>
      <c r="B107" s="124"/>
      <c r="C107" s="267" t="s">
        <v>4217</v>
      </c>
      <c r="D107" s="267"/>
      <c r="E107" s="159"/>
      <c r="F107" s="159"/>
      <c r="G107" s="160"/>
      <c r="H107" s="124"/>
      <c r="I107" s="124"/>
      <c r="J107" s="124"/>
      <c r="K107" s="124"/>
      <c r="L107" s="959"/>
      <c r="M107" s="950"/>
      <c r="N107" s="5707"/>
      <c r="O107" s="2257"/>
      <c r="P107" s="378"/>
      <c r="Q107" s="29"/>
      <c r="R107" s="1499"/>
      <c r="S107" s="387"/>
      <c r="T107" s="162"/>
      <c r="U107" s="183"/>
      <c r="V107" s="1548" t="str">
        <f>"3."</f>
        <v>3.</v>
      </c>
      <c r="W107" s="1549" t="s">
        <v>1699</v>
      </c>
      <c r="X107" s="1550"/>
      <c r="Y107" s="1550"/>
      <c r="Z107" s="1550"/>
      <c r="AA107" s="1513" t="s">
        <v>722</v>
      </c>
      <c r="AB107" s="1551" t="str">
        <f>"3."</f>
        <v>3.</v>
      </c>
      <c r="AC107" s="1408" t="str">
        <f>IF(OR(NOT(P1),AC99),"",SUM(AC101,AC106))</f>
        <v/>
      </c>
      <c r="AD107" s="1559"/>
      <c r="AF107"/>
    </row>
    <row r="108" spans="1:32" ht="14.25" customHeight="1">
      <c r="A108" s="66"/>
      <c r="B108" s="124"/>
      <c r="C108" s="267" t="s">
        <v>4198</v>
      </c>
      <c r="D108" s="267"/>
      <c r="E108" s="159"/>
      <c r="F108" s="267" t="s">
        <v>4199</v>
      </c>
      <c r="G108" s="160"/>
      <c r="H108" s="124"/>
      <c r="I108" s="302"/>
      <c r="J108" s="302"/>
      <c r="K108" s="859" t="s">
        <v>789</v>
      </c>
      <c r="L108" s="171">
        <f>B104</f>
        <v>27</v>
      </c>
      <c r="M108" s="975" t="str">
        <f>IF(P108&lt;&gt;"",ROUND(P108,0),IF(OR(NOT(P1),NOT(F6251_PIII)),"",IF(R91,M93,IF(SchDTW_Used,SchDTW_Line21,IF(CGTW,CGTW_Line5,IF(Taxable_Inc&gt;0,Taxable_Inc,0))))))</f>
        <v/>
      </c>
      <c r="N108" s="449"/>
      <c r="O108" s="2256" t="b">
        <f>IF(NOT(F6251_PIII),FALSE,IF(M71=M109,TRUE,FALSE))</f>
        <v>0</v>
      </c>
      <c r="P108" s="300"/>
      <c r="Q108" s="29"/>
      <c r="R108" s="1499"/>
      <c r="S108" s="387"/>
      <c r="T108" s="162"/>
      <c r="U108" s="183"/>
      <c r="V108" s="1548" t="str">
        <f>"4."</f>
        <v>4.</v>
      </c>
      <c r="W108" s="1552" t="s">
        <v>3464</v>
      </c>
      <c r="X108" s="1550"/>
      <c r="Y108" s="1550"/>
      <c r="Z108" s="1550"/>
      <c r="AA108" s="1550"/>
      <c r="AB108" s="1550"/>
      <c r="AC108" s="1563"/>
      <c r="AD108" s="1559"/>
      <c r="AF108"/>
    </row>
    <row r="109" spans="1:32" ht="13.5" customHeight="1">
      <c r="A109" s="66"/>
      <c r="B109" s="124">
        <f>B104+1</f>
        <v>28</v>
      </c>
      <c r="C109" s="267" t="s">
        <v>4218</v>
      </c>
      <c r="D109" s="267"/>
      <c r="E109" s="159"/>
      <c r="F109" s="159"/>
      <c r="G109" s="160"/>
      <c r="H109" s="124"/>
      <c r="I109" s="124"/>
      <c r="J109" s="302"/>
      <c r="K109" s="859" t="s">
        <v>2490</v>
      </c>
      <c r="L109" s="171">
        <v>28</v>
      </c>
      <c r="M109" s="975" t="str">
        <f>IF(OR(NOT(P1),NOT(F6251_PIII)),"",SUM(M103,M108))</f>
        <v/>
      </c>
      <c r="N109" s="5707"/>
      <c r="O109" s="2256">
        <v>0.15</v>
      </c>
      <c r="P109" s="691"/>
      <c r="Q109" s="29"/>
      <c r="R109" s="1499"/>
      <c r="S109" s="387"/>
      <c r="T109" s="162"/>
      <c r="U109" s="183"/>
      <c r="V109" s="1565" t="s">
        <v>936</v>
      </c>
      <c r="W109" s="1550" t="s">
        <v>4219</v>
      </c>
      <c r="X109" s="1550"/>
      <c r="Y109" s="1550"/>
      <c r="Z109" s="1550"/>
      <c r="AA109" s="1550"/>
      <c r="AB109" s="1550"/>
      <c r="AC109" s="1563" t="b">
        <f>AND(SchD_NotReqd,CapitalGains&gt;0)</f>
        <v>0</v>
      </c>
      <c r="AD109" s="1559"/>
      <c r="AE109" s="183"/>
      <c r="AF109" s="962"/>
    </row>
    <row r="110" spans="1:32" ht="12.75" customHeight="1">
      <c r="A110" s="66"/>
      <c r="B110" s="124">
        <f>B109+1</f>
        <v>29</v>
      </c>
      <c r="C110" s="267" t="s">
        <v>4220</v>
      </c>
      <c r="D110" s="267"/>
      <c r="E110" s="159"/>
      <c r="F110" s="159"/>
      <c r="G110" s="160"/>
      <c r="H110" s="124"/>
      <c r="I110" s="124"/>
      <c r="J110" s="302"/>
      <c r="K110" s="124" t="s">
        <v>2521</v>
      </c>
      <c r="L110" s="171">
        <f>B110</f>
        <v>29</v>
      </c>
      <c r="M110" s="975" t="str">
        <f>IF(NOT(F6251_PIII),"",IF(M109="",M101,IF(SUM(M101,-M109)&lt;0,0,SUM(M101,-M109))))</f>
        <v/>
      </c>
      <c r="N110" s="5707"/>
      <c r="O110" s="2256" t="b">
        <f>IF(NOT(F6251_PIII),FALSE,IF(OR(M77=0,M77=""),TRUE,FALSE))</f>
        <v>0</v>
      </c>
      <c r="P110" s="378"/>
      <c r="Q110" s="29"/>
      <c r="R110" s="1499"/>
      <c r="S110" s="387"/>
      <c r="T110" s="162"/>
      <c r="U110" s="183"/>
      <c r="V110" s="1548"/>
      <c r="W110" s="1564" t="s">
        <v>4221</v>
      </c>
      <c r="X110" s="1550"/>
      <c r="Y110" s="1550"/>
      <c r="Z110" s="1550"/>
      <c r="AA110" s="1550"/>
      <c r="AB110" s="1550"/>
      <c r="AC110" s="1563" t="b">
        <f>Qualified_Dividends&gt;0</f>
        <v>0</v>
      </c>
      <c r="AD110" s="1559"/>
      <c r="AE110" s="162"/>
      <c r="AF110" s="962"/>
    </row>
    <row r="111" spans="1:32" ht="14.25" customHeight="1">
      <c r="A111" s="66"/>
      <c r="B111" s="124">
        <f>B110+1</f>
        <v>30</v>
      </c>
      <c r="C111" s="267" t="s">
        <v>4222</v>
      </c>
      <c r="D111" s="267"/>
      <c r="E111" s="159"/>
      <c r="F111" s="159"/>
      <c r="G111" s="160"/>
      <c r="H111" s="124"/>
      <c r="I111" s="955"/>
      <c r="J111" s="302"/>
      <c r="K111" s="124" t="s">
        <v>769</v>
      </c>
      <c r="L111" s="171">
        <f>B111</f>
        <v>30</v>
      </c>
      <c r="M111" s="975" t="str">
        <f>IF(P111&lt;&gt;"",P111,IF(NOT(F6251_PIII),"",MIN(M97,M110)))</f>
        <v/>
      </c>
      <c r="N111" s="449"/>
      <c r="O111" s="2257"/>
      <c r="P111" s="300"/>
      <c r="Q111" s="29"/>
      <c r="R111" s="1499"/>
      <c r="S111" s="387"/>
      <c r="T111" s="183"/>
      <c r="U111" s="183"/>
      <c r="V111" s="1548"/>
      <c r="W111" s="1564" t="s">
        <v>4223</v>
      </c>
      <c r="X111" s="1550"/>
      <c r="Y111" s="1550"/>
      <c r="Z111" s="1550"/>
      <c r="AA111" s="1550"/>
      <c r="AB111" s="1550"/>
      <c r="AC111" s="1563" t="b">
        <f>AND(SchDLine15&gt;0,SchDLine16&gt;0)</f>
        <v>1</v>
      </c>
      <c r="AD111" s="1559"/>
      <c r="AE111" s="383"/>
      <c r="AF111" s="962"/>
    </row>
    <row r="112" spans="1:32" ht="12" customHeight="1">
      <c r="A112" s="66"/>
      <c r="B112" s="124">
        <f>B111+1</f>
        <v>31</v>
      </c>
      <c r="C112" s="267" t="str">
        <f>"Multiply line 30 by "&amp;TEXT(O109,"0%")&amp;" ("&amp;TEXT(O109,"0.00")&amp;")"</f>
        <v>Multiply line 30 by 15% (0.15)</v>
      </c>
      <c r="D112" s="267"/>
      <c r="E112" s="159"/>
      <c r="F112" s="159"/>
      <c r="G112" s="160"/>
      <c r="H112" s="124"/>
      <c r="I112" s="302"/>
      <c r="J112" s="302"/>
      <c r="K112" s="859" t="s">
        <v>2163</v>
      </c>
      <c r="L112" s="171">
        <f>B112</f>
        <v>31</v>
      </c>
      <c r="M112" s="975" t="str">
        <f>IF(P112&lt;&gt;"",P112,IF(NOT(F6251_PIII),"",ROUND(O109*M111,0)))</f>
        <v/>
      </c>
      <c r="N112" s="449"/>
      <c r="O112" s="2257"/>
      <c r="P112" s="300"/>
      <c r="Q112" s="29"/>
      <c r="R112" s="1499"/>
      <c r="S112" s="387"/>
      <c r="T112" s="387"/>
      <c r="U112" s="183"/>
      <c r="V112" s="1548"/>
      <c r="W112" s="1564" t="s">
        <v>4224</v>
      </c>
      <c r="X112" s="1550"/>
      <c r="Y112" s="1550"/>
      <c r="Z112" s="1550"/>
      <c r="AA112" s="1550"/>
      <c r="AB112" s="1550"/>
      <c r="AC112" s="1563" t="b">
        <f>OR(AC109,AC110,AC111)</f>
        <v>1</v>
      </c>
      <c r="AD112" s="1559"/>
      <c r="AE112" s="383"/>
      <c r="AF112" s="962"/>
    </row>
    <row r="113" spans="1:31" ht="14.25" customHeight="1">
      <c r="A113" s="66"/>
      <c r="B113" s="124">
        <f>B112+1</f>
        <v>32</v>
      </c>
      <c r="C113" s="267" t="s">
        <v>4225</v>
      </c>
      <c r="D113" s="267"/>
      <c r="E113" s="159"/>
      <c r="F113" s="159"/>
      <c r="G113" s="160"/>
      <c r="H113" s="124"/>
      <c r="I113" s="124"/>
      <c r="J113" s="124"/>
      <c r="K113" s="124" t="s">
        <v>2184</v>
      </c>
      <c r="L113" s="171">
        <f>B113</f>
        <v>32</v>
      </c>
      <c r="M113" s="975" t="str">
        <f>IF(NOT(F6251_PIII),"",SUM(M96,M111))</f>
        <v/>
      </c>
      <c r="N113" s="5707"/>
      <c r="O113" s="2253"/>
      <c r="P113" s="691"/>
      <c r="Q113" s="29"/>
      <c r="R113" s="1499"/>
      <c r="S113" s="387"/>
      <c r="T113" s="387"/>
      <c r="U113" s="183"/>
      <c r="V113" s="1548"/>
      <c r="W113" s="1564" t="s">
        <v>4226</v>
      </c>
      <c r="X113" s="1550"/>
      <c r="Y113" s="1550"/>
      <c r="Z113" s="1550"/>
      <c r="AA113" s="1550"/>
      <c r="AB113" s="1551" t="str">
        <f>"4."</f>
        <v>4.</v>
      </c>
      <c r="AC113" s="1408" t="str">
        <f>IF(AC99,"",IF(AC112,M125,IF(File_Marr_Sep,AE130,AE129)))</f>
        <v/>
      </c>
      <c r="AD113" s="1559"/>
      <c r="AE113" s="383"/>
    </row>
    <row r="114" spans="1:31" ht="14.25" customHeight="1">
      <c r="A114" s="66"/>
      <c r="B114" s="124"/>
      <c r="C114" s="152" t="s">
        <v>4227</v>
      </c>
      <c r="D114" s="267"/>
      <c r="E114" s="159"/>
      <c r="F114" s="159"/>
      <c r="G114" s="160"/>
      <c r="H114" s="956"/>
      <c r="I114" s="160"/>
      <c r="J114" s="302"/>
      <c r="K114" s="297"/>
      <c r="L114" s="5711"/>
      <c r="M114" s="342"/>
      <c r="N114" s="449"/>
      <c r="O114" s="2256" t="b">
        <f>IF(NOT(F6251_PIII),FALSE,IF(M71=M113,TRUE,FALSE))</f>
        <v>0</v>
      </c>
      <c r="P114" s="4724" t="str">
        <f>IF(NOT(F6251_PIII),"",IF(O114,"Go to line 38.","Go to line 33."))</f>
        <v/>
      </c>
      <c r="Q114" s="29"/>
      <c r="R114" s="1499"/>
      <c r="S114" s="387"/>
      <c r="T114" s="387"/>
      <c r="U114" s="183"/>
      <c r="V114" s="1548"/>
      <c r="W114" s="1564" t="s">
        <v>4228</v>
      </c>
      <c r="X114" s="1550"/>
      <c r="Y114" s="1550"/>
      <c r="Z114" s="1550"/>
      <c r="AA114" s="1550"/>
      <c r="AB114" s="1550"/>
      <c r="AC114" s="1560"/>
      <c r="AD114" s="1559"/>
      <c r="AE114" s="383"/>
    </row>
    <row r="115" spans="1:31" ht="14.25" customHeight="1">
      <c r="A115" s="66"/>
      <c r="B115" s="124">
        <f>B113+1</f>
        <v>33</v>
      </c>
      <c r="C115" s="267" t="s">
        <v>4229</v>
      </c>
      <c r="D115" s="267"/>
      <c r="E115" s="159"/>
      <c r="F115" s="159"/>
      <c r="G115" s="160"/>
      <c r="H115" s="124"/>
      <c r="I115" s="124"/>
      <c r="J115" s="124"/>
      <c r="K115" s="124" t="s">
        <v>2154</v>
      </c>
      <c r="L115" s="171">
        <f>B115</f>
        <v>33</v>
      </c>
      <c r="M115" s="975" t="str">
        <f>IF(NOT(F6251_PIII),"",IF(O114,"",SUM(M95,-M113)))</f>
        <v/>
      </c>
      <c r="N115" s="5707"/>
      <c r="O115" s="2260">
        <v>0.2</v>
      </c>
      <c r="P115" s="691"/>
      <c r="Q115" s="29"/>
      <c r="R115" s="1499"/>
      <c r="S115" s="387"/>
      <c r="T115" s="387"/>
      <c r="U115" s="183"/>
      <c r="V115" s="1565" t="s">
        <v>936</v>
      </c>
      <c r="W115" s="1550" t="str">
        <f>"All others: If line 3 is "&amp;TEXT(R59,"$0,000")&amp;" or less ("&amp;TEXT(R60,"$0,000")&amp;" or less if married filing separately), multiply line 3 by"</f>
        <v>All others: If line 3 is $220,700 or less ($110,350 or less if married filing separately), multiply line 3 by</v>
      </c>
      <c r="X115" s="1550"/>
      <c r="Y115" s="1550"/>
      <c r="Z115" s="1550"/>
      <c r="AA115" s="1550"/>
      <c r="AB115" s="1550"/>
      <c r="AC115" s="1560"/>
      <c r="AD115" s="1559"/>
      <c r="AE115" s="383"/>
    </row>
    <row r="116" spans="1:31" ht="14.25" customHeight="1">
      <c r="A116" s="66"/>
      <c r="B116" s="124">
        <f>B115+1</f>
        <v>34</v>
      </c>
      <c r="C116" s="267" t="str">
        <f>"Multiply line 33 by "&amp;TEXT(O115,"0%")&amp;" ("&amp;TEXT(O115,"0.00")&amp;")"</f>
        <v>Multiply line 33 by 20% (0.20)</v>
      </c>
      <c r="D116" s="267"/>
      <c r="E116" s="159"/>
      <c r="F116" s="159"/>
      <c r="G116" s="160"/>
      <c r="H116" s="160"/>
      <c r="I116" s="160"/>
      <c r="J116" s="160"/>
      <c r="K116" s="859" t="s">
        <v>985</v>
      </c>
      <c r="L116" s="171">
        <f>B116</f>
        <v>34</v>
      </c>
      <c r="M116" s="975" t="str">
        <f>IF(P116&lt;&gt;"",P116,IF(OR(NOT(F6251_PIII),O114),"",ROUND(M115*O115,0)))</f>
        <v/>
      </c>
      <c r="N116" s="5707"/>
      <c r="O116" s="2261"/>
      <c r="P116" s="300"/>
      <c r="Q116" s="29"/>
      <c r="R116" s="806"/>
      <c r="S116" s="387"/>
      <c r="T116" s="387"/>
      <c r="U116" s="183"/>
      <c r="V116" s="1548"/>
      <c r="W116" s="1564" t="str">
        <f>TEXT(R67,"0%")&amp;" ("&amp;TEXT(R67,"0.00")&amp;"). Otherwise, multiply line 3 by "&amp;TEXT(R68,"0%")&amp;" ("&amp;TEXT(R68,"0.00")&amp;") and subtract "&amp;TEXT(R64,"$0,000")&amp;" ("&amp;TEXT(R65,"$0,000")&amp;" if married filing"</f>
        <v>26% (0.26). Otherwise, multiply line 3 by 28% (0.28) and subtract $4,414 ($2,207 if married filing</v>
      </c>
      <c r="X116" s="1550"/>
      <c r="Y116" s="1550"/>
      <c r="Z116" s="1550"/>
      <c r="AA116" s="1550"/>
      <c r="AB116" s="1550"/>
      <c r="AC116" s="1561"/>
      <c r="AD116" s="1559"/>
      <c r="AE116" s="383"/>
    </row>
    <row r="117" spans="1:31" ht="14.25" customHeight="1">
      <c r="A117" s="66"/>
      <c r="B117" s="124"/>
      <c r="C117" s="152" t="s">
        <v>4230</v>
      </c>
      <c r="D117" s="267"/>
      <c r="E117" s="159"/>
      <c r="F117" s="159"/>
      <c r="G117" s="160"/>
      <c r="H117" s="956"/>
      <c r="I117" s="160"/>
      <c r="J117" s="302"/>
      <c r="K117" s="297"/>
      <c r="L117" s="5711"/>
      <c r="M117" s="342"/>
      <c r="N117" s="449"/>
      <c r="O117" s="2256" t="b">
        <f>IF(NOT(F6251_PIII),FALSE,IF(OR(M77=0,M77=""),TRUE,FALSE))</f>
        <v>0</v>
      </c>
      <c r="P117" s="4724" t="str">
        <f>IF(NOT(F6251_PIII),"",IF(O114,"",IF(O117,"Go to line 38.","Go to line 35.")))</f>
        <v/>
      </c>
      <c r="Q117" s="29"/>
      <c r="R117" s="806"/>
      <c r="S117" s="162"/>
      <c r="T117" s="387"/>
      <c r="U117" s="183"/>
      <c r="V117" s="1548"/>
      <c r="W117" s="1564" t="s">
        <v>4231</v>
      </c>
      <c r="X117" s="1550"/>
      <c r="Y117" s="1550"/>
      <c r="Z117" s="1550"/>
      <c r="AA117" s="1550"/>
      <c r="AB117" s="1550"/>
      <c r="AC117" s="1561"/>
      <c r="AD117" s="1559"/>
      <c r="AE117" s="383"/>
    </row>
    <row r="118" spans="1:31" ht="15" customHeight="1">
      <c r="A118" s="66"/>
      <c r="B118" s="124">
        <f>B116+1</f>
        <v>35</v>
      </c>
      <c r="C118" s="267" t="s">
        <v>4232</v>
      </c>
      <c r="D118" s="267"/>
      <c r="E118" s="159"/>
      <c r="F118" s="159"/>
      <c r="G118" s="160"/>
      <c r="H118" s="160"/>
      <c r="I118" s="160"/>
      <c r="J118" s="160"/>
      <c r="K118" s="859" t="s">
        <v>4233</v>
      </c>
      <c r="L118" s="375">
        <f>B118</f>
        <v>35</v>
      </c>
      <c r="M118" s="975" t="str">
        <f>IF(P118&lt;&gt;"",P118,IF(OR(NOT(F6251_PIII),O114,O117),"",SUM(M83,M113,M115)))</f>
        <v/>
      </c>
      <c r="N118" s="5707"/>
      <c r="O118" s="2262"/>
      <c r="P118" s="300"/>
      <c r="Q118" s="29"/>
      <c r="R118" s="806"/>
      <c r="S118" s="162"/>
      <c r="T118" s="387"/>
      <c r="U118" s="183"/>
      <c r="V118" s="1548" t="str">
        <f>"5."</f>
        <v>5.</v>
      </c>
      <c r="W118" s="2976" t="str">
        <f>"Tax on amount on line 2c."</f>
        <v>Tax on amount on line 2c.</v>
      </c>
      <c r="X118" s="1550"/>
      <c r="Y118" s="1550"/>
      <c r="Z118" s="1550"/>
      <c r="AA118" s="1551"/>
      <c r="AB118" s="1551" t="str">
        <f>"If line 2c is "&amp;TEXT($R$59,"$0,000")&amp;" or less ("&amp;TEXT($R$60,"$0,000")&amp;" or less if married filing separately),    "</f>
        <v xml:space="preserve">If line 2c is $220,700 or less ($110,350 or less if married filing separately),    </v>
      </c>
      <c r="AC118" s="1560"/>
      <c r="AD118" s="1559"/>
      <c r="AE118" s="383"/>
    </row>
    <row r="119" spans="1:31" ht="15.75" customHeight="1">
      <c r="A119" s="66"/>
      <c r="B119" s="124">
        <f>B118+1</f>
        <v>36</v>
      </c>
      <c r="C119" s="267" t="s">
        <v>4234</v>
      </c>
      <c r="D119" s="267"/>
      <c r="E119" s="159"/>
      <c r="F119" s="159"/>
      <c r="G119" s="160"/>
      <c r="H119" s="124"/>
      <c r="I119" s="124"/>
      <c r="J119" s="160"/>
      <c r="K119" s="859" t="s">
        <v>2163</v>
      </c>
      <c r="L119" s="171">
        <f>B119</f>
        <v>36</v>
      </c>
      <c r="M119" s="1083" t="str">
        <f>IF(OR(NOT(F6251_PIII),O114,O117),"",SUM(M71,-M118))</f>
        <v/>
      </c>
      <c r="N119" s="5707"/>
      <c r="O119" s="2257"/>
      <c r="P119" s="378"/>
      <c r="Q119" s="29"/>
      <c r="R119" s="806"/>
      <c r="S119" s="386"/>
      <c r="T119" s="385"/>
      <c r="U119" s="1446"/>
      <c r="V119" s="1548"/>
      <c r="W119" s="1564" t="str">
        <f>"multiply line 2c by "&amp;TEXT(R67,"0%")&amp;" ("&amp;TEXT(R67,"0.00")&amp;"). Otherwise, multiply line 2c by "&amp;TEXT(R68,"0%")&amp;" ("&amp;TEXT(R68,"0.00")&amp;") and subtract "&amp;TEXT(R64,"$0,000")&amp;" ("&amp;TEXT(R65,"$0,000")&amp;" if"</f>
        <v>multiply line 2c by 26% (0.26). Otherwise, multiply line 2c by 28% (0.28) and subtract $4,414 ($2,207 if</v>
      </c>
      <c r="X119" s="1550"/>
      <c r="Y119" s="1550"/>
      <c r="Z119" s="1550"/>
      <c r="AA119" s="1550"/>
      <c r="AB119" s="1550"/>
      <c r="AC119" s="1560"/>
      <c r="AD119" s="1559"/>
      <c r="AE119" s="383"/>
    </row>
    <row r="120" spans="1:31" ht="15.75" customHeight="1">
      <c r="A120" s="66"/>
      <c r="B120" s="124">
        <f>B119+1</f>
        <v>37</v>
      </c>
      <c r="C120" s="267" t="str">
        <f>"Multiply line 36 by "&amp;TEXT(O120,"0%")&amp;" ("&amp;TEXT(O120,"0.00")&amp;")"</f>
        <v>Multiply line 36 by 25% (0.25)</v>
      </c>
      <c r="D120" s="267"/>
      <c r="E120" s="159"/>
      <c r="F120" s="159"/>
      <c r="G120" s="160"/>
      <c r="H120" s="160"/>
      <c r="I120" s="160"/>
      <c r="J120" s="160"/>
      <c r="K120" s="859" t="s">
        <v>2163</v>
      </c>
      <c r="L120" s="171">
        <f>B120</f>
        <v>37</v>
      </c>
      <c r="M120" s="975" t="str">
        <f>IF(P118&lt;&gt;"",P118,IF(OR(NOT(F6251_PIII),O114,O117),"",M119*O120))</f>
        <v/>
      </c>
      <c r="N120" s="5707"/>
      <c r="O120" s="2260">
        <v>0.25</v>
      </c>
      <c r="P120" s="300"/>
      <c r="Q120" s="29"/>
      <c r="R120" s="806"/>
      <c r="S120" s="386"/>
      <c r="T120" s="385"/>
      <c r="U120" s="1446"/>
      <c r="V120" s="1548"/>
      <c r="W120" s="1564" t="s">
        <v>4235</v>
      </c>
      <c r="X120" s="1550"/>
      <c r="Y120" s="1550"/>
      <c r="Z120" s="1550"/>
      <c r="AA120" s="1513" t="s">
        <v>670</v>
      </c>
      <c r="AB120" s="1551" t="str">
        <f>"5."</f>
        <v>5.</v>
      </c>
      <c r="AC120" s="1408" t="str">
        <f>IF(OR(NOT(P1),AC99,AC112),"",IF(File_Marr_Sep,AE137,AE136))</f>
        <v/>
      </c>
      <c r="AD120" s="1559"/>
      <c r="AE120" s="383"/>
    </row>
    <row r="121" spans="1:31" ht="15" customHeight="1">
      <c r="A121" s="66"/>
      <c r="B121" s="124">
        <f>B120+1</f>
        <v>38</v>
      </c>
      <c r="C121" s="267" t="s">
        <v>4236</v>
      </c>
      <c r="D121" s="267"/>
      <c r="E121" s="159"/>
      <c r="F121" s="159"/>
      <c r="G121" s="160"/>
      <c r="H121" s="160"/>
      <c r="I121" s="160"/>
      <c r="J121" s="160"/>
      <c r="K121" s="859" t="s">
        <v>744</v>
      </c>
      <c r="L121" s="375">
        <f>B121</f>
        <v>38</v>
      </c>
      <c r="M121" s="975" t="str">
        <f>IF(P121&lt;&gt;"",P121,IF(NOT(F6251_PIII),"",SUM(M85,M112,M116,M120)))</f>
        <v/>
      </c>
      <c r="N121" s="5707"/>
      <c r="O121" s="2262"/>
      <c r="P121" s="300"/>
      <c r="Q121" s="29"/>
      <c r="R121" s="1499"/>
      <c r="S121" s="386"/>
      <c r="T121" s="385"/>
      <c r="U121" s="1446"/>
      <c r="V121" s="1548" t="str">
        <f>"6."</f>
        <v>6.</v>
      </c>
      <c r="W121" s="1564" t="s">
        <v>4237</v>
      </c>
      <c r="X121" s="1550"/>
      <c r="Y121" s="1550"/>
      <c r="Z121" s="1550"/>
      <c r="AA121" s="1513" t="s">
        <v>654</v>
      </c>
      <c r="AB121" s="1551" t="str">
        <f>"6."</f>
        <v>6.</v>
      </c>
      <c r="AC121" s="1408" t="str">
        <f>IF(OR(NOT(P1),AC112),"",IF(AC120="",AC113,SUM(AC113,-AC120)))</f>
        <v/>
      </c>
      <c r="AD121" s="1559"/>
      <c r="AE121" s="383"/>
    </row>
    <row r="122" spans="1:31" ht="13.5" thickBot="1">
      <c r="A122" s="66"/>
      <c r="B122" s="124">
        <f>B121+1</f>
        <v>39</v>
      </c>
      <c r="C122" s="267" t="str">
        <f>"If line "&amp;B70&amp;" is "&amp;TEXT(R59,"$0,000")&amp;" or less ("&amp;TEXT(R60,"$0,000")&amp;" or less if married filing separately), multiply line "&amp;B70&amp;" by "&amp;TEXT(R67,"0%")&amp;" ("&amp;TEXT(R67,"0.00")&amp;")."</f>
        <v>If line 12 is $220,700 or less ($110,350 or less if married filing separately), multiply line 12 by 26% (0.26).</v>
      </c>
      <c r="D122" s="190"/>
      <c r="E122" s="159"/>
      <c r="F122" s="159"/>
      <c r="G122" s="160"/>
      <c r="H122" s="160"/>
      <c r="I122" s="160"/>
      <c r="J122" s="160"/>
      <c r="K122" s="951"/>
      <c r="L122" s="952"/>
      <c r="M122" s="947">
        <f>IF(File_Marr_Sep&lt;&gt;"",R60,R59)</f>
        <v>220700</v>
      </c>
      <c r="N122" s="449"/>
      <c r="O122" s="2263"/>
      <c r="P122" s="691"/>
      <c r="Q122" s="29"/>
      <c r="R122" s="1499"/>
      <c r="S122" s="386"/>
      <c r="T122" s="385"/>
      <c r="U122" s="1446"/>
      <c r="V122" s="1553"/>
      <c r="W122" s="1554"/>
      <c r="X122" s="1555"/>
      <c r="Y122" s="1555"/>
      <c r="Z122" s="1555"/>
      <c r="AA122" s="1555"/>
      <c r="AB122" s="1555"/>
      <c r="AC122" s="1555"/>
      <c r="AD122" s="1562"/>
      <c r="AE122" s="383"/>
    </row>
    <row r="123" spans="1:31">
      <c r="A123" s="66"/>
      <c r="B123" s="124"/>
      <c r="C123" s="3414" t="str">
        <f>"Otherwise, multiply line "&amp;B70&amp;" by "&amp;TEXT(R68,"0%")&amp;" ("&amp;TEXT(R68,".00")&amp;") &amp; subtract "&amp;TEXT(R64,"$0,000")&amp;" ("&amp;TEXT(R65,"$0,000")&amp;" if married filing separately) from result"</f>
        <v>Otherwise, multiply line 12 by 28% (.28) &amp; subtract $4,414 ($2,207 if married filing separately) from result</v>
      </c>
      <c r="D123" s="190"/>
      <c r="E123" s="159"/>
      <c r="F123" s="159"/>
      <c r="G123" s="160"/>
      <c r="H123" s="160"/>
      <c r="I123" s="160"/>
      <c r="J123" s="160"/>
      <c r="K123" s="859"/>
      <c r="L123" s="171">
        <f>B122</f>
        <v>39</v>
      </c>
      <c r="M123" s="975" t="str">
        <f>IF(P123&lt;&gt;"",P123,IF(NOT(F6251_PIII),"",IF(M71&lt;=M122,ROUND(M71*R67,0),ROUND((M71*R68)-M124,0))))</f>
        <v/>
      </c>
      <c r="N123" s="449"/>
      <c r="O123" s="2263"/>
      <c r="P123" s="300"/>
      <c r="Q123" s="29"/>
      <c r="R123" s="1499"/>
      <c r="S123" s="386"/>
      <c r="T123" s="385"/>
      <c r="U123" s="1446"/>
      <c r="V123" s="462"/>
      <c r="W123" s="183"/>
      <c r="X123" s="183"/>
      <c r="Y123" s="183"/>
      <c r="Z123" s="183"/>
      <c r="AA123" s="183"/>
      <c r="AB123" s="183"/>
      <c r="AC123" s="183"/>
      <c r="AD123" s="183"/>
      <c r="AE123" s="383"/>
    </row>
    <row r="124" spans="1:31" ht="15" customHeight="1">
      <c r="A124" s="66"/>
      <c r="B124" s="124">
        <f>B122+1</f>
        <v>40</v>
      </c>
      <c r="C124" s="267" t="s">
        <v>4238</v>
      </c>
      <c r="D124" s="190"/>
      <c r="E124" s="159"/>
      <c r="F124" s="159"/>
      <c r="G124" s="160"/>
      <c r="H124" s="160"/>
      <c r="I124" s="160"/>
      <c r="J124" s="160"/>
      <c r="K124" s="124"/>
      <c r="L124" s="573"/>
      <c r="M124" s="947">
        <f>IF(File_Marr_Sep&lt;&gt;"",R65,R64)</f>
        <v>4414</v>
      </c>
      <c r="N124" s="449"/>
      <c r="O124" s="2263"/>
      <c r="P124" s="691"/>
      <c r="Q124" s="294"/>
      <c r="R124" s="1499"/>
      <c r="S124" s="386"/>
      <c r="T124" s="385"/>
      <c r="U124" s="1446"/>
      <c r="V124" s="1447"/>
      <c r="W124" s="1447"/>
      <c r="X124" s="1447"/>
      <c r="Y124" s="1447"/>
      <c r="Z124" s="1447"/>
      <c r="AA124" s="1447"/>
      <c r="AB124" s="1447"/>
      <c r="AC124" s="1447"/>
      <c r="AD124" s="1447"/>
      <c r="AE124" s="383"/>
    </row>
    <row r="125" spans="1:31" ht="13.5" thickBot="1">
      <c r="A125" s="66"/>
      <c r="B125" s="124"/>
      <c r="C125" s="267" t="s">
        <v>4239</v>
      </c>
      <c r="D125" s="267"/>
      <c r="E125" s="159"/>
      <c r="F125" s="159"/>
      <c r="G125" s="160"/>
      <c r="H125" s="160"/>
      <c r="I125" s="160"/>
      <c r="J125" s="160"/>
      <c r="K125" s="859" t="s">
        <v>684</v>
      </c>
      <c r="L125" s="171">
        <f>B124</f>
        <v>40</v>
      </c>
      <c r="M125" s="975" t="str">
        <f>IF(P125&lt;&gt;"",P125,IF(NOT(F6251_PIII),"",MIN(M121,M123)))</f>
        <v/>
      </c>
      <c r="N125" s="5707"/>
      <c r="O125" s="2264"/>
      <c r="P125" s="300"/>
      <c r="Q125" s="294"/>
      <c r="R125" s="902"/>
      <c r="S125" s="386"/>
      <c r="T125" s="385"/>
      <c r="U125" s="1446"/>
      <c r="V125" s="462"/>
      <c r="W125" s="183"/>
      <c r="X125" s="183"/>
      <c r="Y125" s="183"/>
      <c r="Z125" s="183"/>
      <c r="AA125" s="183"/>
      <c r="AB125" s="183"/>
      <c r="AC125" s="183"/>
      <c r="AD125" s="183"/>
      <c r="AE125" s="383"/>
    </row>
    <row r="126" spans="1:31" ht="15.75">
      <c r="A126" s="66"/>
      <c r="B126" s="128"/>
      <c r="C126" s="184"/>
      <c r="D126" s="184"/>
      <c r="E126" s="184"/>
      <c r="F126" s="184"/>
      <c r="G126" s="373"/>
      <c r="H126" s="3854"/>
      <c r="I126" s="373"/>
      <c r="J126" s="373"/>
      <c r="K126" s="373"/>
      <c r="L126" s="374" t="s">
        <v>4240</v>
      </c>
      <c r="M126" s="692" t="str">
        <f>"  ("&amp;TaxYear&amp;")"</f>
        <v xml:space="preserve">  (2023)</v>
      </c>
      <c r="N126" s="454"/>
      <c r="O126" s="2264"/>
      <c r="P126" s="691"/>
      <c r="Q126" s="294"/>
      <c r="R126" s="902"/>
      <c r="S126" s="386"/>
      <c r="T126" s="385"/>
      <c r="U126" s="1446"/>
      <c r="V126" s="462"/>
      <c r="W126" s="183"/>
      <c r="X126" s="183"/>
      <c r="Y126" s="183"/>
      <c r="Z126" s="183"/>
      <c r="AA126" s="183"/>
      <c r="AB126" s="183"/>
      <c r="AC126" s="183"/>
      <c r="AD126" s="183"/>
      <c r="AE126" s="383"/>
    </row>
    <row r="127" spans="1:31">
      <c r="A127" s="66"/>
      <c r="B127" s="457"/>
      <c r="C127" s="378"/>
      <c r="D127" s="378"/>
      <c r="E127" s="66"/>
      <c r="F127" s="66"/>
      <c r="G127" s="66"/>
      <c r="H127" s="66"/>
      <c r="I127" s="66"/>
      <c r="J127" s="458"/>
      <c r="K127" s="458"/>
      <c r="L127" s="458"/>
      <c r="M127" s="458"/>
      <c r="N127" s="455"/>
      <c r="O127" s="2264"/>
      <c r="P127" s="691"/>
      <c r="Q127" s="4788"/>
      <c r="R127" s="902"/>
      <c r="S127" s="386"/>
      <c r="T127" s="385"/>
      <c r="U127" s="1446"/>
      <c r="V127" s="462"/>
      <c r="W127" s="183"/>
      <c r="X127" s="183"/>
      <c r="Y127" s="183"/>
      <c r="Z127" s="183"/>
      <c r="AA127" s="183"/>
      <c r="AB127" s="183"/>
      <c r="AC127" s="183"/>
      <c r="AD127" s="183"/>
      <c r="AE127" s="383"/>
    </row>
    <row r="128" spans="1:31" ht="12.75" customHeight="1">
      <c r="B128" s="118"/>
      <c r="C128" s="181"/>
      <c r="D128" s="181"/>
      <c r="E128" s="39"/>
      <c r="F128" s="39"/>
      <c r="G128" s="39"/>
      <c r="H128" s="39"/>
      <c r="I128" s="39"/>
      <c r="J128" s="185"/>
      <c r="K128" s="185"/>
      <c r="L128" s="185"/>
      <c r="M128" s="185"/>
      <c r="N128" s="376"/>
      <c r="P128" s="377"/>
      <c r="Q128" s="377"/>
      <c r="S128" s="386"/>
      <c r="T128" s="385"/>
      <c r="U128" s="1446"/>
      <c r="V128" s="462"/>
      <c r="W128" s="183"/>
      <c r="X128" s="183"/>
      <c r="Y128" s="183"/>
      <c r="Z128" s="183"/>
      <c r="AA128" s="183"/>
      <c r="AB128" s="183"/>
      <c r="AC128" s="183"/>
      <c r="AD128" s="183"/>
      <c r="AE128" s="1447"/>
    </row>
    <row r="129" spans="2:31" ht="13.5" thickBot="1">
      <c r="B129" s="118"/>
      <c r="C129" s="181"/>
      <c r="D129" s="181"/>
      <c r="E129" s="39"/>
      <c r="F129" s="39"/>
      <c r="G129" s="39"/>
      <c r="H129" s="39"/>
      <c r="I129" s="39"/>
      <c r="J129" s="185"/>
      <c r="K129" s="185"/>
      <c r="L129" s="185"/>
      <c r="M129" s="185"/>
      <c r="N129" s="376"/>
      <c r="S129" s="386"/>
      <c r="T129" s="385"/>
      <c r="U129" s="1446"/>
      <c r="V129" s="462"/>
      <c r="W129" s="183"/>
      <c r="X129" s="183"/>
      <c r="Y129" s="183"/>
      <c r="Z129" s="183"/>
      <c r="AA129" s="183"/>
      <c r="AB129" s="183"/>
      <c r="AC129" s="183"/>
      <c r="AD129" s="183"/>
      <c r="AE129" s="1499" t="str">
        <f>IF(AC99,"---",IF(AC107&lt;=R59,ROUND((AC107*R67),0),SUM(ROUND((AC107*R68),0),-R64)))</f>
        <v>---</v>
      </c>
    </row>
    <row r="130" spans="2:31" ht="12.75" customHeight="1" thickTop="1" thickBot="1">
      <c r="B130" s="118"/>
      <c r="C130" s="9088" t="s">
        <v>4241</v>
      </c>
      <c r="D130" s="9089"/>
      <c r="E130" s="9089"/>
      <c r="F130" s="9089"/>
      <c r="G130" s="9090"/>
      <c r="H130" s="185"/>
      <c r="I130" s="185"/>
      <c r="L130" s="185"/>
      <c r="M130" s="185"/>
      <c r="N130" s="185"/>
      <c r="P130" s="676"/>
      <c r="Q130" s="162"/>
      <c r="S130" s="386"/>
      <c r="T130" s="385"/>
      <c r="U130" s="1446"/>
      <c r="V130" s="462"/>
      <c r="W130" s="183"/>
      <c r="X130" s="183"/>
      <c r="Y130" s="183"/>
      <c r="Z130" s="183"/>
      <c r="AA130" s="183"/>
      <c r="AB130" s="183"/>
      <c r="AC130" s="183"/>
      <c r="AD130" s="183"/>
      <c r="AE130" s="1499" t="str">
        <f>IF(AC99,"---",IF(AC107&lt;=R60,ROUND((AC107*R67),0),SUM(ROUND((AC107*R68),0),-R65)))</f>
        <v>---</v>
      </c>
    </row>
    <row r="131" spans="2:31" ht="12.75" customHeight="1" thickTop="1" thickBot="1">
      <c r="B131" s="118"/>
      <c r="C131" s="181"/>
      <c r="D131" s="181"/>
      <c r="E131" s="39"/>
      <c r="F131" s="39"/>
      <c r="G131" s="185"/>
      <c r="H131" s="185"/>
      <c r="I131" s="185"/>
      <c r="L131" s="185"/>
      <c r="M131" s="185"/>
      <c r="N131" s="185"/>
      <c r="P131" s="676"/>
      <c r="Q131" s="162"/>
      <c r="S131" s="386"/>
      <c r="T131" s="385"/>
      <c r="U131" s="1446"/>
      <c r="V131" s="462"/>
      <c r="W131" s="183"/>
      <c r="X131" s="183"/>
      <c r="Y131" s="183"/>
      <c r="Z131" s="183"/>
      <c r="AA131" s="183"/>
      <c r="AB131" s="183"/>
      <c r="AC131" s="183"/>
      <c r="AD131" s="183"/>
      <c r="AE131" s="383"/>
    </row>
    <row r="132" spans="2:31" ht="12.75" customHeight="1" thickTop="1" thickBot="1">
      <c r="B132" s="118"/>
      <c r="C132" s="9088" t="s">
        <v>4242</v>
      </c>
      <c r="D132" s="9089"/>
      <c r="E132" s="9089"/>
      <c r="F132" s="9089"/>
      <c r="G132" s="9090"/>
      <c r="H132" s="185"/>
      <c r="I132" s="185"/>
      <c r="L132" s="185"/>
      <c r="M132" s="185"/>
      <c r="N132" s="185"/>
      <c r="P132" s="676"/>
      <c r="Q132" s="676"/>
      <c r="S132" s="386"/>
      <c r="T132" s="385"/>
      <c r="U132" s="1446"/>
      <c r="V132" s="462"/>
      <c r="W132" s="183"/>
      <c r="X132" s="183"/>
      <c r="Y132" s="183"/>
      <c r="Z132" s="183"/>
      <c r="AA132" s="183"/>
      <c r="AB132" s="183"/>
      <c r="AC132" s="183"/>
      <c r="AD132" s="183"/>
      <c r="AE132" s="383"/>
    </row>
    <row r="133" spans="2:31" ht="13.5" thickTop="1">
      <c r="Q133" s="676"/>
      <c r="S133" s="386"/>
      <c r="T133" s="385"/>
      <c r="U133" s="1446"/>
      <c r="V133" s="462"/>
      <c r="W133" s="183"/>
      <c r="X133" s="183"/>
      <c r="Y133" s="183"/>
      <c r="Z133" s="183"/>
      <c r="AA133" s="183"/>
      <c r="AB133" s="183"/>
      <c r="AC133" s="183"/>
      <c r="AD133" s="183"/>
      <c r="AE133" s="383"/>
    </row>
    <row r="134" spans="2:31" ht="10.5" customHeight="1">
      <c r="Q134" s="676"/>
      <c r="S134" s="386"/>
      <c r="T134" s="385"/>
      <c r="U134" s="1446"/>
      <c r="V134" s="462"/>
      <c r="W134" s="183"/>
      <c r="X134" s="183"/>
      <c r="Y134" s="183"/>
      <c r="Z134" s="183"/>
      <c r="AA134" s="183"/>
      <c r="AB134" s="183"/>
      <c r="AC134" s="183"/>
      <c r="AD134" s="183"/>
      <c r="AE134" s="383"/>
    </row>
    <row r="135" spans="2:31" ht="10.5" customHeight="1">
      <c r="S135" s="386"/>
      <c r="T135" s="385"/>
      <c r="U135" s="1446"/>
      <c r="V135" s="462"/>
      <c r="W135" s="183"/>
      <c r="X135" s="183"/>
      <c r="Y135" s="183"/>
      <c r="Z135" s="183"/>
      <c r="AA135" s="183"/>
      <c r="AB135" s="183"/>
      <c r="AC135" s="183"/>
      <c r="AD135" s="183"/>
      <c r="AE135" s="383"/>
    </row>
    <row r="136" spans="2:31" ht="10.5" customHeight="1">
      <c r="S136" s="1447"/>
      <c r="T136" s="1447"/>
      <c r="U136" s="1447"/>
      <c r="V136" s="462"/>
      <c r="W136" s="183"/>
      <c r="X136" s="183"/>
      <c r="Y136" s="183"/>
      <c r="Z136" s="183"/>
      <c r="AA136" s="183"/>
      <c r="AB136" s="183"/>
      <c r="AC136" s="183"/>
      <c r="AD136" s="183"/>
      <c r="AE136" s="1499" t="str">
        <f>IF(AC99,"---",IF(AC106&lt;=R59,ROUND((AC106*R67),0),SUM(ROUND((AC106*R68),0),-R64)))</f>
        <v>---</v>
      </c>
    </row>
    <row r="137" spans="2:31" ht="10.5" customHeight="1">
      <c r="S137" s="182"/>
      <c r="T137" s="385"/>
      <c r="U137" s="183"/>
      <c r="V137" s="462"/>
      <c r="W137" s="183"/>
      <c r="X137" s="183"/>
      <c r="Y137" s="183"/>
      <c r="Z137" s="183"/>
      <c r="AA137" s="183"/>
      <c r="AB137" s="183"/>
      <c r="AC137" s="183"/>
      <c r="AD137" s="183"/>
      <c r="AE137" s="1499" t="str">
        <f>IF(AC99,"---",IF(AC106&lt;=R60,ROUND((AC106*R67),0),SUM(ROUND((AC106*R68),0),-R65)))</f>
        <v>---</v>
      </c>
    </row>
    <row r="138" spans="2:31" ht="10.5" customHeight="1">
      <c r="S138" s="162"/>
      <c r="T138" s="386"/>
      <c r="U138" s="183"/>
      <c r="V138" s="462"/>
      <c r="W138" s="183"/>
      <c r="X138" s="183"/>
      <c r="Y138" s="183"/>
      <c r="Z138" s="183"/>
      <c r="AA138" s="183"/>
      <c r="AB138" s="183"/>
      <c r="AC138" s="183"/>
      <c r="AD138" s="183"/>
    </row>
    <row r="139" spans="2:31" ht="12" customHeight="1">
      <c r="S139" s="162"/>
      <c r="T139" s="604"/>
      <c r="U139" s="2779"/>
      <c r="V139" s="462"/>
      <c r="W139" s="183"/>
      <c r="X139" s="183"/>
      <c r="Y139" s="183"/>
      <c r="Z139" s="183"/>
      <c r="AA139" s="183"/>
      <c r="AB139" s="183"/>
      <c r="AC139" s="183"/>
      <c r="AD139" s="183"/>
    </row>
    <row r="140" spans="2:31" ht="12" customHeight="1">
      <c r="S140" s="183"/>
      <c r="T140" s="182"/>
      <c r="U140" s="671"/>
      <c r="V140" s="462"/>
      <c r="W140" s="183"/>
      <c r="X140" s="183"/>
      <c r="Y140" s="183"/>
      <c r="Z140" s="183"/>
      <c r="AA140" s="183"/>
      <c r="AB140" s="183"/>
      <c r="AC140" s="183"/>
      <c r="AD140" s="183"/>
    </row>
    <row r="141" spans="2:31" ht="12" customHeight="1">
      <c r="S141" s="183"/>
      <c r="T141" s="182"/>
      <c r="U141" s="671"/>
      <c r="V141" s="1447"/>
      <c r="W141" s="1447"/>
      <c r="X141" s="1447"/>
      <c r="Y141" s="1447"/>
      <c r="Z141" s="1447"/>
      <c r="AA141" s="1447"/>
      <c r="AB141" s="1447"/>
      <c r="AC141" s="1447"/>
      <c r="AD141" s="1447"/>
    </row>
    <row r="142" spans="2:31" ht="18">
      <c r="S142" s="162"/>
      <c r="T142" s="162"/>
      <c r="U142" s="183"/>
      <c r="V142" s="1447"/>
      <c r="W142" s="1447"/>
      <c r="X142" s="1447"/>
      <c r="Y142" s="1447"/>
      <c r="Z142" s="1447"/>
      <c r="AA142" s="1447"/>
      <c r="AB142" s="1447"/>
      <c r="AC142" s="1447"/>
      <c r="AD142" s="1447"/>
    </row>
    <row r="143" spans="2:31" ht="18">
      <c r="S143" s="162"/>
      <c r="T143" s="162"/>
      <c r="U143" s="183"/>
      <c r="V143" s="1447"/>
      <c r="W143" s="1447"/>
      <c r="X143" s="1447"/>
      <c r="Y143" s="1447"/>
      <c r="Z143" s="1447"/>
      <c r="AA143" s="1447"/>
      <c r="AB143" s="1447"/>
      <c r="AC143" s="1447"/>
      <c r="AD143" s="1447"/>
    </row>
    <row r="144" spans="2:31" ht="18">
      <c r="S144" s="162"/>
      <c r="T144" s="162"/>
      <c r="U144" s="183"/>
      <c r="V144" s="1447"/>
      <c r="W144" s="1447"/>
      <c r="X144" s="1447"/>
      <c r="Y144" s="1447"/>
      <c r="Z144" s="1447"/>
      <c r="AA144" s="1447"/>
      <c r="AB144" s="1447"/>
      <c r="AC144" s="1447"/>
      <c r="AD144" s="1447"/>
    </row>
    <row r="145" spans="19:30" ht="18">
      <c r="S145" s="162"/>
      <c r="T145" s="183"/>
      <c r="U145" s="183"/>
      <c r="V145" s="1447"/>
      <c r="W145" s="1447"/>
      <c r="X145" s="1447"/>
      <c r="Y145" s="1447"/>
      <c r="Z145" s="1447"/>
      <c r="AA145" s="1447"/>
      <c r="AB145" s="1447"/>
      <c r="AC145" s="1447"/>
      <c r="AD145" s="1447"/>
    </row>
    <row r="146" spans="19:30" ht="18">
      <c r="S146" s="162"/>
      <c r="T146" s="162"/>
      <c r="U146" s="183"/>
      <c r="V146" s="1447"/>
      <c r="W146" s="1447"/>
      <c r="X146" s="1447"/>
      <c r="Y146" s="1447"/>
      <c r="Z146" s="1447"/>
      <c r="AA146" s="1447"/>
      <c r="AB146" s="1447"/>
      <c r="AC146" s="1447"/>
      <c r="AD146" s="1447"/>
    </row>
    <row r="147" spans="19:30" ht="18">
      <c r="S147" s="162"/>
      <c r="T147" s="162"/>
      <c r="U147" s="183"/>
      <c r="V147" s="1447"/>
      <c r="W147" s="1447"/>
      <c r="X147" s="1447"/>
      <c r="Y147" s="1447"/>
      <c r="Z147" s="1447"/>
      <c r="AA147" s="1447"/>
      <c r="AB147" s="1447"/>
      <c r="AC147" s="1447"/>
      <c r="AD147" s="1447"/>
    </row>
    <row r="148" spans="19:30" ht="18">
      <c r="S148" s="162"/>
      <c r="T148" s="162"/>
      <c r="U148" s="183"/>
      <c r="V148" s="1447"/>
      <c r="W148" s="1447"/>
      <c r="X148" s="1447"/>
      <c r="Y148" s="1447"/>
      <c r="Z148" s="1447"/>
      <c r="AA148" s="1447"/>
      <c r="AB148" s="1447"/>
      <c r="AC148" s="1447"/>
      <c r="AD148" s="1447"/>
    </row>
    <row r="149" spans="19:30" ht="18">
      <c r="S149" s="162"/>
      <c r="T149" s="162"/>
      <c r="U149" s="183"/>
      <c r="V149" s="1447"/>
      <c r="W149" s="1447"/>
      <c r="X149" s="1447"/>
      <c r="Y149" s="1447"/>
      <c r="Z149" s="1447"/>
      <c r="AA149" s="1447"/>
      <c r="AB149" s="1447"/>
      <c r="AC149" s="1447"/>
      <c r="AD149" s="1447"/>
    </row>
    <row r="150" spans="19:30" ht="18">
      <c r="S150" s="162"/>
      <c r="T150" s="162"/>
      <c r="U150" s="183"/>
      <c r="V150" s="1447"/>
      <c r="W150" s="1447"/>
      <c r="X150" s="1447"/>
      <c r="Y150" s="1447"/>
      <c r="Z150" s="1447"/>
      <c r="AA150" s="1447"/>
      <c r="AB150" s="1447"/>
      <c r="AC150" s="1447"/>
      <c r="AD150" s="1447"/>
    </row>
    <row r="151" spans="19:30" ht="18">
      <c r="S151" s="162"/>
      <c r="T151" s="162"/>
      <c r="U151" s="183"/>
      <c r="V151" s="1447"/>
      <c r="W151" s="1447"/>
      <c r="X151" s="1447"/>
      <c r="Y151" s="1447"/>
      <c r="Z151" s="1447"/>
      <c r="AA151" s="1447"/>
      <c r="AB151" s="1447"/>
      <c r="AC151" s="1447"/>
      <c r="AD151" s="1447"/>
    </row>
    <row r="152" spans="19:30" ht="18">
      <c r="S152" s="162"/>
      <c r="T152" s="162"/>
      <c r="U152" s="183"/>
      <c r="V152" s="1447"/>
      <c r="W152" s="1447"/>
      <c r="X152" s="1447"/>
      <c r="Y152" s="1447"/>
      <c r="Z152" s="1447"/>
      <c r="AA152" s="1447"/>
      <c r="AB152" s="1447"/>
      <c r="AC152" s="1447"/>
      <c r="AD152" s="1447"/>
    </row>
    <row r="153" spans="19:30" ht="18">
      <c r="S153" s="162"/>
      <c r="T153" s="162"/>
      <c r="U153" s="183"/>
      <c r="V153" s="1447"/>
      <c r="W153" s="1447"/>
      <c r="X153" s="1447"/>
      <c r="Y153" s="1447"/>
      <c r="Z153" s="1447"/>
      <c r="AA153" s="1447"/>
      <c r="AB153" s="1447"/>
      <c r="AC153" s="1447"/>
      <c r="AD153" s="1447"/>
    </row>
    <row r="154" spans="19:30" ht="18">
      <c r="S154" s="162"/>
      <c r="T154" s="162"/>
      <c r="U154" s="183"/>
      <c r="V154" s="1447"/>
      <c r="W154" s="1447"/>
      <c r="X154" s="1447"/>
      <c r="Y154" s="1447"/>
      <c r="Z154" s="1447"/>
      <c r="AA154" s="1447"/>
      <c r="AB154" s="1447"/>
      <c r="AC154" s="1447"/>
      <c r="AD154" s="1447"/>
    </row>
    <row r="155" spans="19:30" ht="18">
      <c r="S155" s="162"/>
      <c r="T155" s="162"/>
      <c r="U155" s="183"/>
      <c r="V155" s="1447"/>
      <c r="W155" s="1447"/>
      <c r="X155" s="1447"/>
      <c r="Y155" s="1447"/>
      <c r="Z155" s="1447"/>
      <c r="AA155" s="1447"/>
      <c r="AB155" s="1447"/>
      <c r="AC155" s="1447"/>
      <c r="AD155" s="1447"/>
    </row>
    <row r="156" spans="19:30" ht="18">
      <c r="S156" s="162"/>
      <c r="T156" s="162"/>
      <c r="U156" s="183"/>
      <c r="V156" s="1447"/>
      <c r="W156" s="1447"/>
      <c r="X156" s="1447"/>
      <c r="Y156" s="1447"/>
      <c r="Z156" s="1447"/>
      <c r="AA156" s="1447"/>
      <c r="AB156" s="1447"/>
      <c r="AC156" s="1447"/>
      <c r="AD156" s="1447"/>
    </row>
    <row r="157" spans="19:30" ht="18">
      <c r="S157" s="162"/>
      <c r="T157" s="162"/>
      <c r="U157" s="183"/>
      <c r="V157" s="1447"/>
      <c r="W157" s="1447"/>
      <c r="X157" s="1447"/>
      <c r="Y157" s="1447"/>
      <c r="Z157" s="1447"/>
      <c r="AA157" s="1447"/>
      <c r="AB157" s="1447"/>
      <c r="AC157" s="1447"/>
      <c r="AD157" s="1447"/>
    </row>
    <row r="158" spans="19:30" ht="18">
      <c r="S158" s="162"/>
      <c r="T158" s="162"/>
      <c r="U158" s="183"/>
      <c r="V158" s="1447"/>
      <c r="W158" s="1447"/>
      <c r="X158" s="1447"/>
      <c r="Y158" s="1447"/>
      <c r="Z158" s="1447"/>
      <c r="AA158" s="1447"/>
      <c r="AB158" s="1447"/>
      <c r="AC158" s="1447"/>
      <c r="AD158" s="1447"/>
    </row>
    <row r="159" spans="19:30" ht="18">
      <c r="S159" s="162"/>
      <c r="T159" s="162"/>
      <c r="U159" s="183"/>
      <c r="V159" s="1447"/>
      <c r="W159" s="1447"/>
      <c r="X159" s="1447"/>
      <c r="Y159" s="1447"/>
      <c r="Z159" s="1447"/>
      <c r="AA159" s="1447"/>
      <c r="AB159" s="1447"/>
      <c r="AC159" s="1447"/>
      <c r="AD159" s="1447"/>
    </row>
    <row r="160" spans="19:30" ht="18">
      <c r="S160" s="162"/>
      <c r="T160" s="162"/>
      <c r="U160" s="183"/>
      <c r="V160" s="1447"/>
      <c r="W160" s="1447"/>
      <c r="X160" s="1447"/>
      <c r="Y160" s="1447"/>
      <c r="Z160" s="1447"/>
      <c r="AA160" s="1447"/>
      <c r="AB160" s="1447"/>
      <c r="AC160" s="1447"/>
      <c r="AD160" s="1447"/>
    </row>
    <row r="161" spans="19:30" ht="18">
      <c r="S161" s="162"/>
      <c r="T161" s="162"/>
      <c r="U161" s="183"/>
      <c r="V161" s="1447"/>
      <c r="W161" s="1447"/>
      <c r="X161" s="1447"/>
      <c r="Y161" s="1447"/>
      <c r="Z161" s="1447"/>
      <c r="AA161" s="1447"/>
      <c r="AB161" s="1447"/>
      <c r="AC161" s="1447"/>
      <c r="AD161" s="1447"/>
    </row>
    <row r="162" spans="19:30" ht="18">
      <c r="S162" s="162"/>
      <c r="T162" s="162"/>
      <c r="U162" s="183"/>
      <c r="V162" s="1447"/>
      <c r="W162" s="1447"/>
      <c r="X162" s="1447"/>
      <c r="Y162" s="1447"/>
      <c r="Z162" s="1447"/>
      <c r="AA162" s="1447"/>
      <c r="AB162" s="1447"/>
      <c r="AC162" s="1447"/>
      <c r="AD162" s="1447"/>
    </row>
    <row r="163" spans="19:30" ht="18">
      <c r="S163" s="162"/>
      <c r="T163" s="162"/>
      <c r="U163" s="183"/>
      <c r="V163" s="1447"/>
      <c r="W163" s="1447"/>
      <c r="X163" s="1447"/>
      <c r="Y163" s="1447"/>
      <c r="Z163" s="1447"/>
      <c r="AA163" s="1447"/>
      <c r="AB163" s="1447"/>
      <c r="AC163" s="1447"/>
      <c r="AD163" s="1447"/>
    </row>
    <row r="164" spans="19:30" ht="18">
      <c r="S164" s="162"/>
      <c r="T164" s="162"/>
      <c r="U164" s="183"/>
      <c r="V164" s="1447"/>
      <c r="W164" s="1447"/>
      <c r="X164" s="1447"/>
      <c r="Y164" s="1447"/>
      <c r="Z164" s="1447"/>
      <c r="AA164" s="1447"/>
      <c r="AB164" s="1447"/>
      <c r="AC164" s="1447"/>
      <c r="AD164" s="1447"/>
    </row>
    <row r="165" spans="19:30" ht="18">
      <c r="S165" s="162"/>
      <c r="T165" s="162"/>
      <c r="U165" s="183"/>
      <c r="V165" s="1447"/>
      <c r="W165" s="1447"/>
      <c r="X165" s="1447"/>
      <c r="Y165" s="1447"/>
      <c r="Z165" s="1447"/>
      <c r="AA165" s="1447"/>
      <c r="AB165" s="1447"/>
      <c r="AC165" s="1447"/>
      <c r="AD165" s="1447"/>
    </row>
    <row r="166" spans="19:30" ht="18">
      <c r="S166" s="162"/>
      <c r="T166" s="162"/>
      <c r="U166" s="183"/>
      <c r="V166" s="1447"/>
      <c r="W166" s="1447"/>
      <c r="X166" s="1447"/>
      <c r="Y166" s="1447"/>
      <c r="Z166" s="1447"/>
      <c r="AA166" s="1447"/>
      <c r="AB166" s="1447"/>
      <c r="AC166" s="1447"/>
      <c r="AD166" s="1447"/>
    </row>
    <row r="167" spans="19:30" ht="18">
      <c r="S167" s="162"/>
      <c r="T167" s="162"/>
      <c r="U167" s="183"/>
      <c r="V167" s="1447"/>
      <c r="W167" s="1447"/>
      <c r="X167" s="1447"/>
      <c r="Y167" s="1447"/>
      <c r="Z167" s="1447"/>
      <c r="AA167" s="1447"/>
      <c r="AB167" s="1447"/>
      <c r="AC167" s="1447"/>
      <c r="AD167" s="1447"/>
    </row>
    <row r="168" spans="19:30" ht="18">
      <c r="S168" s="162"/>
      <c r="T168" s="162"/>
      <c r="U168" s="183"/>
      <c r="V168" s="1447"/>
      <c r="W168" s="1447"/>
      <c r="X168" s="1447"/>
      <c r="Y168" s="1447"/>
      <c r="Z168" s="1447"/>
      <c r="AA168" s="1447"/>
      <c r="AB168" s="1447"/>
      <c r="AC168" s="1447"/>
      <c r="AD168" s="1447"/>
    </row>
    <row r="169" spans="19:30" ht="18">
      <c r="S169" s="162"/>
      <c r="T169" s="162"/>
      <c r="U169" s="183"/>
      <c r="V169" s="1447"/>
      <c r="W169" s="1447"/>
      <c r="X169" s="1447"/>
      <c r="Y169" s="1447"/>
      <c r="Z169" s="1447"/>
      <c r="AA169" s="1447"/>
      <c r="AB169" s="1447"/>
      <c r="AC169" s="1447"/>
      <c r="AD169" s="1447"/>
    </row>
    <row r="170" spans="19:30" ht="18">
      <c r="S170" s="162"/>
      <c r="T170" s="162"/>
      <c r="U170" s="183"/>
      <c r="V170" s="1447"/>
      <c r="W170" s="1447"/>
      <c r="X170" s="1447"/>
      <c r="Y170" s="1447"/>
      <c r="Z170" s="1447"/>
      <c r="AA170" s="1447"/>
      <c r="AB170" s="1447"/>
      <c r="AC170" s="1447"/>
      <c r="AD170" s="1447"/>
    </row>
    <row r="171" spans="19:30" ht="18">
      <c r="S171" s="162"/>
      <c r="T171" s="162"/>
      <c r="U171" s="183"/>
      <c r="V171" s="1447"/>
      <c r="W171" s="1447"/>
      <c r="X171" s="1447"/>
      <c r="Y171" s="1447"/>
      <c r="Z171" s="1447"/>
      <c r="AA171" s="1447"/>
      <c r="AB171" s="1447"/>
      <c r="AC171" s="1447"/>
      <c r="AD171" s="1447"/>
    </row>
    <row r="172" spans="19:30" ht="18">
      <c r="S172" s="162"/>
      <c r="T172" s="162"/>
      <c r="U172" s="183"/>
      <c r="V172" s="1447"/>
      <c r="W172" s="1447"/>
      <c r="X172" s="1447"/>
      <c r="Y172" s="1447"/>
      <c r="Z172" s="1447"/>
      <c r="AA172" s="1447"/>
      <c r="AB172" s="1447"/>
      <c r="AC172" s="1447"/>
      <c r="AD172" s="1447"/>
    </row>
    <row r="173" spans="19:30" ht="18">
      <c r="S173" s="162"/>
      <c r="T173" s="162"/>
      <c r="U173" s="183"/>
      <c r="V173" s="1447"/>
      <c r="W173" s="1447"/>
      <c r="X173" s="1447"/>
      <c r="Y173" s="1447"/>
      <c r="Z173" s="1447"/>
      <c r="AA173" s="1447"/>
      <c r="AB173" s="1447"/>
      <c r="AC173" s="1447"/>
      <c r="AD173" s="1447"/>
    </row>
    <row r="174" spans="19:30" ht="18">
      <c r="S174" s="162"/>
      <c r="T174" s="162"/>
      <c r="U174" s="183"/>
      <c r="V174" s="1447"/>
      <c r="W174" s="1447"/>
      <c r="X174" s="1447"/>
      <c r="Y174" s="1447"/>
      <c r="Z174" s="1447"/>
      <c r="AA174" s="1447"/>
      <c r="AB174" s="1447"/>
      <c r="AC174" s="1447"/>
      <c r="AD174" s="1447"/>
    </row>
    <row r="175" spans="19:30" ht="18">
      <c r="S175" s="162"/>
      <c r="T175" s="162"/>
      <c r="U175" s="183"/>
      <c r="V175" s="1447"/>
      <c r="W175" s="1447"/>
      <c r="X175" s="1447"/>
      <c r="Y175" s="1447"/>
      <c r="Z175" s="1447"/>
      <c r="AA175" s="1447"/>
      <c r="AB175" s="1447"/>
      <c r="AC175" s="1447"/>
      <c r="AD175" s="1447"/>
    </row>
    <row r="176" spans="19:30" ht="18">
      <c r="S176" s="162"/>
      <c r="T176" s="162"/>
      <c r="U176" s="183"/>
      <c r="V176" s="1447"/>
      <c r="W176" s="1447"/>
      <c r="X176" s="1447"/>
      <c r="Y176" s="1447"/>
      <c r="Z176" s="1447"/>
      <c r="AA176" s="1447"/>
      <c r="AB176" s="1447"/>
      <c r="AC176" s="1447"/>
      <c r="AD176" s="1447"/>
    </row>
    <row r="177" spans="19:30" ht="18">
      <c r="S177" s="162"/>
      <c r="T177" s="162"/>
      <c r="U177" s="183"/>
      <c r="V177" s="1447"/>
      <c r="W177" s="1447"/>
      <c r="X177" s="1447"/>
      <c r="Y177" s="1447"/>
      <c r="Z177" s="1447"/>
      <c r="AA177" s="1447"/>
      <c r="AB177" s="1447"/>
      <c r="AC177" s="1447"/>
      <c r="AD177" s="1447"/>
    </row>
    <row r="178" spans="19:30" ht="18">
      <c r="S178" s="162"/>
      <c r="T178" s="162"/>
      <c r="U178" s="183"/>
      <c r="V178" s="1447"/>
      <c r="W178" s="1447"/>
      <c r="X178" s="1447"/>
      <c r="Y178" s="1447"/>
      <c r="Z178" s="1447"/>
      <c r="AA178" s="1447"/>
      <c r="AB178" s="1447"/>
      <c r="AC178" s="1447"/>
      <c r="AD178" s="1447"/>
    </row>
    <row r="179" spans="19:30" ht="18">
      <c r="S179" s="162"/>
      <c r="T179" s="162"/>
      <c r="U179" s="183"/>
      <c r="V179" s="1447"/>
      <c r="W179" s="1447"/>
      <c r="X179" s="1447"/>
      <c r="Y179" s="1447"/>
      <c r="Z179" s="1447"/>
      <c r="AA179" s="1447"/>
      <c r="AB179" s="1447"/>
      <c r="AC179" s="1447"/>
      <c r="AD179" s="1447"/>
    </row>
    <row r="180" spans="19:30" ht="18">
      <c r="S180" s="162"/>
      <c r="T180" s="162"/>
      <c r="U180" s="183"/>
      <c r="V180" s="1447"/>
      <c r="W180" s="1447"/>
      <c r="X180" s="1447"/>
      <c r="Y180" s="1447"/>
      <c r="Z180" s="1447"/>
      <c r="AA180" s="1447"/>
      <c r="AB180" s="1447"/>
      <c r="AC180" s="1447"/>
      <c r="AD180" s="1447"/>
    </row>
    <row r="181" spans="19:30" ht="18">
      <c r="S181" s="162"/>
      <c r="T181" s="162"/>
      <c r="U181" s="183"/>
      <c r="V181" s="1447"/>
      <c r="W181" s="1447"/>
      <c r="X181" s="1447"/>
      <c r="Y181" s="1447"/>
      <c r="Z181" s="1447"/>
      <c r="AA181" s="1447"/>
      <c r="AB181" s="1447"/>
      <c r="AC181" s="1447"/>
      <c r="AD181" s="1447"/>
    </row>
    <row r="182" spans="19:30" ht="18">
      <c r="S182" s="162"/>
      <c r="T182" s="162"/>
      <c r="U182" s="183"/>
      <c r="V182" s="1447"/>
      <c r="W182" s="1447"/>
      <c r="X182" s="1447"/>
      <c r="Y182" s="1447"/>
      <c r="Z182" s="1447"/>
      <c r="AA182" s="1447"/>
      <c r="AB182" s="1447"/>
      <c r="AC182" s="1447"/>
      <c r="AD182" s="1447"/>
    </row>
    <row r="183" spans="19:30" ht="18">
      <c r="S183" s="162"/>
      <c r="T183" s="162"/>
      <c r="U183" s="183"/>
      <c r="V183" s="1447"/>
      <c r="W183" s="1447"/>
      <c r="X183" s="1447"/>
      <c r="Y183" s="1447"/>
      <c r="Z183" s="1447"/>
      <c r="AA183" s="1447"/>
      <c r="AB183" s="1447"/>
      <c r="AC183" s="1447"/>
      <c r="AD183" s="1447"/>
    </row>
    <row r="184" spans="19:30" ht="18">
      <c r="S184" s="162"/>
      <c r="T184" s="162"/>
      <c r="U184" s="183"/>
      <c r="V184" s="1447"/>
      <c r="W184" s="1447"/>
      <c r="X184" s="1447"/>
      <c r="Y184" s="1447"/>
      <c r="Z184" s="1447"/>
      <c r="AA184" s="1447"/>
      <c r="AB184" s="1447"/>
      <c r="AC184" s="1447"/>
      <c r="AD184" s="1447"/>
    </row>
    <row r="185" spans="19:30" ht="18">
      <c r="S185" s="162"/>
      <c r="T185" s="162"/>
      <c r="U185" s="183"/>
      <c r="V185" s="1447"/>
      <c r="W185" s="1447"/>
      <c r="X185" s="1447"/>
      <c r="Y185" s="1447"/>
      <c r="Z185" s="1447"/>
      <c r="AA185" s="1447"/>
      <c r="AB185" s="1447"/>
      <c r="AC185" s="1447"/>
      <c r="AD185" s="1447"/>
    </row>
    <row r="186" spans="19:30" ht="18">
      <c r="S186" s="162"/>
      <c r="T186" s="162"/>
      <c r="U186" s="183"/>
      <c r="V186" s="1447"/>
      <c r="W186" s="1447"/>
      <c r="X186" s="1447"/>
      <c r="Y186" s="1447"/>
      <c r="Z186" s="1447"/>
      <c r="AA186" s="1447"/>
      <c r="AB186" s="1447"/>
      <c r="AC186" s="1447"/>
      <c r="AD186" s="1447"/>
    </row>
    <row r="187" spans="19:30" ht="18">
      <c r="S187" s="162"/>
      <c r="T187" s="162"/>
      <c r="U187" s="183"/>
      <c r="V187" s="1447"/>
      <c r="W187" s="1447"/>
      <c r="X187" s="1447"/>
      <c r="Y187" s="1447"/>
      <c r="Z187" s="1447"/>
      <c r="AA187" s="1447"/>
      <c r="AB187" s="1447"/>
      <c r="AC187" s="1447"/>
      <c r="AD187" s="1447"/>
    </row>
    <row r="188" spans="19:30" ht="18">
      <c r="S188" s="162"/>
      <c r="T188" s="162"/>
      <c r="U188" s="183"/>
      <c r="V188" s="1447"/>
      <c r="W188" s="1447"/>
      <c r="X188" s="1447"/>
      <c r="Y188" s="1447"/>
      <c r="Z188" s="1447"/>
      <c r="AA188" s="1447"/>
      <c r="AB188" s="1447"/>
      <c r="AC188" s="1447"/>
      <c r="AD188" s="1447"/>
    </row>
    <row r="189" spans="19:30" ht="18">
      <c r="S189" s="162"/>
      <c r="T189" s="162"/>
      <c r="U189" s="183"/>
      <c r="V189" s="1447"/>
      <c r="W189" s="1447"/>
      <c r="X189" s="1447"/>
      <c r="Y189" s="1447"/>
      <c r="Z189" s="1447"/>
      <c r="AA189" s="1447"/>
      <c r="AB189" s="1447"/>
      <c r="AC189" s="1447"/>
      <c r="AD189" s="1447"/>
    </row>
    <row r="190" spans="19:30" ht="18">
      <c r="S190" s="162"/>
      <c r="T190" s="162"/>
      <c r="U190" s="183"/>
      <c r="V190" s="1447"/>
      <c r="W190" s="1447"/>
      <c r="X190" s="1447"/>
      <c r="Y190" s="1447"/>
      <c r="Z190" s="1447"/>
      <c r="AA190" s="1447"/>
      <c r="AB190" s="1447"/>
      <c r="AC190" s="1447"/>
      <c r="AD190" s="1447"/>
    </row>
    <row r="191" spans="19:30" ht="18">
      <c r="S191" s="162"/>
      <c r="T191" s="162"/>
      <c r="U191" s="183"/>
      <c r="V191" s="1447"/>
      <c r="W191" s="1447"/>
      <c r="X191" s="1447"/>
      <c r="Y191" s="1447"/>
      <c r="Z191" s="1447"/>
      <c r="AA191" s="1447"/>
      <c r="AB191" s="1447"/>
      <c r="AC191" s="1447"/>
      <c r="AD191" s="1447"/>
    </row>
    <row r="192" spans="19:30" ht="18">
      <c r="S192" s="162"/>
      <c r="T192" s="162"/>
      <c r="U192" s="183"/>
      <c r="V192" s="1447"/>
      <c r="W192" s="1447"/>
      <c r="X192" s="1447"/>
      <c r="Y192" s="1447"/>
      <c r="Z192" s="1447"/>
      <c r="AA192" s="1447"/>
      <c r="AB192" s="1447"/>
      <c r="AC192" s="1447"/>
      <c r="AD192" s="1447"/>
    </row>
    <row r="193" spans="19:30" ht="18">
      <c r="S193" s="162"/>
      <c r="T193" s="162"/>
      <c r="U193" s="183"/>
      <c r="V193" s="1447"/>
      <c r="W193" s="1447"/>
      <c r="X193" s="1447"/>
      <c r="Y193" s="1447"/>
      <c r="Z193" s="1447"/>
      <c r="AA193" s="1447"/>
      <c r="AB193" s="1447"/>
      <c r="AC193" s="1447"/>
      <c r="AD193" s="1447"/>
    </row>
    <row r="194" spans="19:30" ht="18">
      <c r="S194" s="162"/>
      <c r="T194" s="162"/>
      <c r="U194" s="183"/>
      <c r="V194" s="1447"/>
      <c r="W194" s="1447"/>
      <c r="X194" s="1447"/>
      <c r="Y194" s="1447"/>
      <c r="Z194" s="1447"/>
      <c r="AA194" s="1447"/>
      <c r="AB194" s="1447"/>
      <c r="AC194" s="1447"/>
      <c r="AD194" s="1447"/>
    </row>
    <row r="195" spans="19:30" ht="18">
      <c r="S195" s="162"/>
      <c r="T195" s="162"/>
      <c r="U195" s="183"/>
      <c r="V195" s="1447"/>
      <c r="W195" s="1447"/>
      <c r="X195" s="1447"/>
      <c r="Y195" s="1447"/>
      <c r="Z195" s="1447"/>
      <c r="AA195" s="1447"/>
      <c r="AB195" s="1447"/>
      <c r="AC195" s="1447"/>
      <c r="AD195" s="1447"/>
    </row>
    <row r="196" spans="19:30" ht="18">
      <c r="S196" s="162"/>
      <c r="T196" s="162"/>
      <c r="U196" s="183"/>
      <c r="V196" s="1447"/>
      <c r="W196" s="1447"/>
      <c r="X196" s="1447"/>
      <c r="Y196" s="1447"/>
      <c r="Z196" s="1447"/>
      <c r="AA196" s="1447"/>
      <c r="AB196" s="1447"/>
      <c r="AC196" s="1447"/>
      <c r="AD196" s="1447"/>
    </row>
    <row r="197" spans="19:30" ht="18">
      <c r="S197" s="162"/>
      <c r="T197" s="162"/>
      <c r="U197" s="183"/>
      <c r="V197" s="1447"/>
      <c r="W197" s="1447"/>
      <c r="X197" s="1447"/>
      <c r="Y197" s="1447"/>
      <c r="Z197" s="1447"/>
      <c r="AA197" s="1447"/>
      <c r="AB197" s="1447"/>
      <c r="AC197" s="1447"/>
      <c r="AD197" s="1447"/>
    </row>
    <row r="198" spans="19:30" ht="18">
      <c r="S198" s="162"/>
      <c r="T198" s="162"/>
      <c r="U198" s="183"/>
      <c r="V198" s="1447"/>
      <c r="W198" s="1447"/>
      <c r="X198" s="1447"/>
      <c r="Y198" s="1447"/>
      <c r="Z198" s="1447"/>
      <c r="AA198" s="1447"/>
      <c r="AB198" s="1447"/>
      <c r="AC198" s="1447"/>
      <c r="AD198" s="1447"/>
    </row>
    <row r="199" spans="19:30" ht="18">
      <c r="S199" s="162"/>
      <c r="T199" s="162"/>
      <c r="U199" s="183"/>
      <c r="V199" s="1447"/>
      <c r="W199" s="1447"/>
      <c r="X199" s="1447"/>
      <c r="Y199" s="1447"/>
      <c r="Z199" s="1447"/>
      <c r="AA199" s="1447"/>
      <c r="AB199" s="1447"/>
      <c r="AC199" s="1447"/>
      <c r="AD199" s="1447"/>
    </row>
    <row r="200" spans="19:30" ht="18">
      <c r="S200" s="162"/>
      <c r="T200" s="162"/>
      <c r="U200" s="183"/>
      <c r="V200" s="1447"/>
      <c r="W200" s="1447"/>
      <c r="X200" s="1447"/>
      <c r="Y200" s="1447"/>
      <c r="Z200" s="1447"/>
      <c r="AA200" s="1447"/>
      <c r="AB200" s="1447"/>
      <c r="AC200" s="1447"/>
      <c r="AD200" s="1447"/>
    </row>
    <row r="201" spans="19:30" ht="18">
      <c r="S201" s="162"/>
      <c r="T201" s="162"/>
      <c r="U201" s="183"/>
      <c r="V201" s="1447"/>
      <c r="W201" s="1447"/>
      <c r="X201" s="1447"/>
      <c r="Y201" s="1447"/>
      <c r="Z201" s="1447"/>
      <c r="AA201" s="1447"/>
      <c r="AB201" s="1447"/>
      <c r="AC201" s="1447"/>
      <c r="AD201" s="1447"/>
    </row>
    <row r="202" spans="19:30" ht="18">
      <c r="S202" s="162"/>
      <c r="T202" s="162"/>
      <c r="U202" s="183"/>
      <c r="V202" s="1447"/>
      <c r="W202" s="1447"/>
      <c r="X202" s="1447"/>
      <c r="Y202" s="1447"/>
      <c r="Z202" s="1447"/>
      <c r="AA202" s="1447"/>
      <c r="AB202" s="1447"/>
      <c r="AC202" s="1447"/>
      <c r="AD202" s="1447"/>
    </row>
    <row r="203" spans="19:30" ht="18">
      <c r="S203" s="162"/>
      <c r="T203" s="162"/>
      <c r="U203" s="183"/>
      <c r="V203" s="1447"/>
      <c r="W203" s="1447"/>
      <c r="X203" s="1447"/>
      <c r="Y203" s="1447"/>
      <c r="Z203" s="1447"/>
      <c r="AA203" s="1447"/>
      <c r="AB203" s="1447"/>
      <c r="AC203" s="1447"/>
      <c r="AD203" s="1447"/>
    </row>
    <row r="204" spans="19:30" ht="18">
      <c r="S204" s="162"/>
      <c r="T204" s="162"/>
      <c r="U204" s="183"/>
      <c r="V204" s="1447"/>
      <c r="W204" s="1447"/>
      <c r="X204" s="1447"/>
      <c r="Y204" s="1447"/>
      <c r="Z204" s="1447"/>
      <c r="AA204" s="1447"/>
      <c r="AB204" s="1447"/>
      <c r="AC204" s="1447"/>
      <c r="AD204" s="1447"/>
    </row>
    <row r="205" spans="19:30" ht="18">
      <c r="S205" s="162"/>
      <c r="T205" s="162"/>
      <c r="U205" s="183"/>
      <c r="V205" s="1447"/>
      <c r="W205" s="1447"/>
      <c r="X205" s="1447"/>
      <c r="Y205" s="1447"/>
      <c r="Z205" s="1447"/>
      <c r="AA205" s="1447"/>
      <c r="AB205" s="1447"/>
      <c r="AC205" s="1447"/>
      <c r="AD205" s="1447"/>
    </row>
    <row r="206" spans="19:30" ht="18">
      <c r="S206" s="162"/>
      <c r="T206" s="162"/>
      <c r="U206" s="183"/>
      <c r="V206" s="1447"/>
      <c r="W206" s="1447"/>
      <c r="X206" s="1447"/>
      <c r="Y206" s="1447"/>
      <c r="Z206" s="1447"/>
      <c r="AA206" s="1447"/>
      <c r="AB206" s="1447"/>
      <c r="AC206" s="1447"/>
      <c r="AD206" s="1447"/>
    </row>
    <row r="207" spans="19:30" ht="18">
      <c r="S207" s="162"/>
      <c r="T207" s="162"/>
      <c r="U207" s="183"/>
      <c r="V207" s="1447"/>
      <c r="W207" s="1447"/>
      <c r="X207" s="1447"/>
      <c r="Y207" s="1447"/>
      <c r="Z207" s="1447"/>
      <c r="AA207" s="1447"/>
      <c r="AB207" s="1447"/>
      <c r="AC207" s="1447"/>
      <c r="AD207" s="1447"/>
    </row>
    <row r="208" spans="19:30" ht="18">
      <c r="S208" s="162"/>
      <c r="T208" s="162"/>
      <c r="U208" s="183"/>
      <c r="V208" s="1447"/>
      <c r="W208" s="1447"/>
      <c r="X208" s="1447"/>
      <c r="Y208" s="1447"/>
      <c r="Z208" s="1447"/>
      <c r="AA208" s="1447"/>
      <c r="AB208" s="1447"/>
      <c r="AC208" s="1447"/>
      <c r="AD208" s="1447"/>
    </row>
    <row r="209" spans="19:30" ht="18">
      <c r="S209" s="162"/>
      <c r="T209" s="162"/>
      <c r="U209" s="183"/>
      <c r="V209" s="1447"/>
      <c r="W209" s="1447"/>
      <c r="X209" s="1447"/>
      <c r="Y209" s="1447"/>
      <c r="Z209" s="1447"/>
      <c r="AA209" s="1447"/>
      <c r="AB209" s="1447"/>
      <c r="AC209" s="1447"/>
      <c r="AD209" s="1447"/>
    </row>
    <row r="210" spans="19:30" ht="18">
      <c r="S210" s="162"/>
      <c r="T210" s="162"/>
      <c r="U210" s="183"/>
      <c r="V210" s="1447"/>
      <c r="W210" s="1447"/>
      <c r="X210" s="1447"/>
      <c r="Y210" s="1447"/>
      <c r="Z210" s="1447"/>
      <c r="AA210" s="1447"/>
      <c r="AB210" s="1447"/>
      <c r="AC210" s="1447"/>
      <c r="AD210" s="1447"/>
    </row>
    <row r="211" spans="19:30" ht="18">
      <c r="S211" s="162"/>
      <c r="T211" s="162"/>
      <c r="U211" s="183"/>
      <c r="V211" s="1447"/>
      <c r="W211" s="1447"/>
      <c r="X211" s="1447"/>
      <c r="Y211" s="1447"/>
      <c r="Z211" s="1447"/>
      <c r="AA211" s="1447"/>
      <c r="AB211" s="1447"/>
      <c r="AC211" s="1447"/>
      <c r="AD211" s="1447"/>
    </row>
    <row r="212" spans="19:30" ht="18">
      <c r="S212" s="162"/>
      <c r="T212" s="162"/>
      <c r="U212" s="183"/>
      <c r="V212" s="1447"/>
      <c r="W212" s="1447"/>
      <c r="X212" s="1447"/>
      <c r="Y212" s="1447"/>
      <c r="Z212" s="1447"/>
      <c r="AA212" s="1447"/>
      <c r="AB212" s="1447"/>
      <c r="AC212" s="1447"/>
      <c r="AD212" s="1447"/>
    </row>
    <row r="213" spans="19:30" ht="18">
      <c r="S213" s="162"/>
      <c r="T213" s="162"/>
      <c r="U213" s="183"/>
      <c r="V213" s="1447"/>
      <c r="W213" s="1447"/>
      <c r="X213" s="1447"/>
      <c r="Y213" s="1447"/>
      <c r="Z213" s="1447"/>
      <c r="AA213" s="1447"/>
      <c r="AB213" s="1447"/>
      <c r="AC213" s="1447"/>
      <c r="AD213" s="1447"/>
    </row>
    <row r="214" spans="19:30" ht="18">
      <c r="S214" s="162"/>
      <c r="T214" s="162"/>
      <c r="U214" s="183"/>
      <c r="V214" s="1447"/>
      <c r="W214" s="1447"/>
      <c r="X214" s="1447"/>
      <c r="Y214" s="1447"/>
      <c r="Z214" s="1447"/>
      <c r="AA214" s="1447"/>
      <c r="AB214" s="1447"/>
      <c r="AC214" s="1447"/>
      <c r="AD214" s="1447"/>
    </row>
    <row r="215" spans="19:30" ht="18">
      <c r="S215" s="162"/>
      <c r="T215" s="162"/>
      <c r="U215" s="183"/>
      <c r="V215" s="1447"/>
      <c r="W215" s="1447"/>
      <c r="X215" s="1447"/>
      <c r="Y215" s="1447"/>
      <c r="Z215" s="1447"/>
      <c r="AA215" s="1447"/>
      <c r="AB215" s="1447"/>
      <c r="AC215" s="1447"/>
      <c r="AD215" s="1447"/>
    </row>
    <row r="216" spans="19:30" ht="18">
      <c r="S216" s="162"/>
      <c r="T216" s="162"/>
      <c r="U216" s="183"/>
      <c r="V216" s="1447"/>
      <c r="W216" s="1447"/>
      <c r="X216" s="1447"/>
      <c r="Y216" s="1447"/>
      <c r="Z216" s="1447"/>
      <c r="AA216" s="1447"/>
      <c r="AB216" s="1447"/>
      <c r="AC216" s="1447"/>
      <c r="AD216" s="1447"/>
    </row>
    <row r="217" spans="19:30" ht="18">
      <c r="S217" s="162"/>
      <c r="T217" s="162"/>
      <c r="U217" s="183"/>
      <c r="V217" s="1447"/>
      <c r="W217" s="1447"/>
      <c r="X217" s="1447"/>
      <c r="Y217" s="1447"/>
      <c r="Z217" s="1447"/>
      <c r="AA217" s="1447"/>
      <c r="AB217" s="1447"/>
      <c r="AC217" s="1447"/>
      <c r="AD217" s="1447"/>
    </row>
    <row r="218" spans="19:30" ht="18">
      <c r="S218" s="162"/>
      <c r="T218" s="162"/>
      <c r="U218" s="183"/>
      <c r="V218" s="1447"/>
      <c r="W218" s="1447"/>
      <c r="X218" s="1447"/>
      <c r="Y218" s="1447"/>
      <c r="Z218" s="1447"/>
      <c r="AA218" s="1447"/>
      <c r="AB218" s="1447"/>
      <c r="AC218" s="1447"/>
      <c r="AD218" s="1447"/>
    </row>
    <row r="219" spans="19:30" ht="18">
      <c r="S219" s="162"/>
      <c r="T219" s="162"/>
      <c r="U219" s="183"/>
      <c r="V219" s="1447"/>
      <c r="W219" s="1447"/>
      <c r="X219" s="1447"/>
      <c r="Y219" s="1447"/>
      <c r="Z219" s="1447"/>
      <c r="AA219" s="1447"/>
      <c r="AB219" s="1447"/>
      <c r="AC219" s="1447"/>
      <c r="AD219" s="1447"/>
    </row>
    <row r="220" spans="19:30" ht="18">
      <c r="S220" s="162"/>
      <c r="T220" s="162"/>
      <c r="U220" s="183"/>
      <c r="V220" s="1447"/>
      <c r="W220" s="1447"/>
      <c r="X220" s="1447"/>
      <c r="Y220" s="1447"/>
      <c r="Z220" s="1447"/>
      <c r="AA220" s="1447"/>
      <c r="AB220" s="1447"/>
      <c r="AC220" s="1447"/>
      <c r="AD220" s="1447"/>
    </row>
    <row r="221" spans="19:30" ht="18">
      <c r="S221" s="162"/>
      <c r="T221" s="162"/>
      <c r="U221" s="183"/>
      <c r="V221" s="1447"/>
      <c r="W221" s="1447"/>
      <c r="X221" s="1447"/>
      <c r="Y221" s="1447"/>
      <c r="Z221" s="1447"/>
      <c r="AA221" s="1447"/>
      <c r="AB221" s="1447"/>
      <c r="AC221" s="1447"/>
      <c r="AD221" s="1447"/>
    </row>
    <row r="222" spans="19:30" ht="18">
      <c r="S222" s="162"/>
      <c r="T222" s="162"/>
      <c r="U222" s="183"/>
      <c r="V222" s="1447"/>
      <c r="W222" s="1447"/>
      <c r="X222" s="1447"/>
      <c r="Y222" s="1447"/>
      <c r="Z222" s="1447"/>
      <c r="AA222" s="1447"/>
      <c r="AB222" s="1447"/>
      <c r="AC222" s="1447"/>
      <c r="AD222" s="1447"/>
    </row>
    <row r="223" spans="19:30" ht="18">
      <c r="S223" s="162"/>
      <c r="T223" s="162"/>
      <c r="U223" s="183"/>
      <c r="V223" s="1447"/>
      <c r="W223" s="1447"/>
      <c r="X223" s="1447"/>
      <c r="Y223" s="1447"/>
      <c r="Z223" s="1447"/>
      <c r="AA223" s="1447"/>
      <c r="AB223" s="1447"/>
      <c r="AC223" s="1447"/>
      <c r="AD223" s="1447"/>
    </row>
    <row r="224" spans="19:30" ht="18">
      <c r="S224" s="162"/>
      <c r="T224" s="162"/>
      <c r="U224" s="183"/>
      <c r="V224" s="1447"/>
      <c r="W224" s="1447"/>
      <c r="X224" s="1447"/>
      <c r="Y224" s="1447"/>
      <c r="Z224" s="1447"/>
      <c r="AA224" s="1447"/>
      <c r="AB224" s="1447"/>
      <c r="AC224" s="1447"/>
      <c r="AD224" s="1447"/>
    </row>
    <row r="225" spans="19:30" ht="18">
      <c r="S225" s="162"/>
      <c r="T225" s="162"/>
      <c r="U225" s="183"/>
      <c r="V225" s="1447"/>
      <c r="W225" s="1447"/>
      <c r="X225" s="1447"/>
      <c r="Y225" s="1447"/>
      <c r="Z225" s="1447"/>
      <c r="AA225" s="1447"/>
      <c r="AB225" s="1447"/>
      <c r="AC225" s="1447"/>
      <c r="AD225" s="1447"/>
    </row>
    <row r="226" spans="19:30" ht="18">
      <c r="S226" s="162"/>
      <c r="T226" s="162"/>
      <c r="U226" s="183"/>
      <c r="V226" s="1447"/>
      <c r="W226" s="1447"/>
      <c r="X226" s="1447"/>
      <c r="Y226" s="1447"/>
      <c r="Z226" s="1447"/>
      <c r="AA226" s="1447"/>
      <c r="AB226" s="1447"/>
      <c r="AC226" s="1447"/>
      <c r="AD226" s="1447"/>
    </row>
    <row r="227" spans="19:30" ht="18">
      <c r="S227" s="162"/>
      <c r="T227" s="162"/>
      <c r="U227" s="183"/>
      <c r="V227" s="1447"/>
      <c r="W227" s="1447"/>
      <c r="X227" s="1447"/>
      <c r="Y227" s="1447"/>
      <c r="Z227" s="1447"/>
      <c r="AA227" s="1447"/>
      <c r="AB227" s="1447"/>
      <c r="AC227" s="1447"/>
      <c r="AD227" s="1447"/>
    </row>
    <row r="228" spans="19:30" ht="18">
      <c r="S228" s="162"/>
      <c r="T228" s="162"/>
      <c r="U228" s="183"/>
      <c r="V228" s="1447"/>
      <c r="W228" s="1447"/>
      <c r="X228" s="1447"/>
      <c r="Y228" s="1447"/>
      <c r="Z228" s="1447"/>
      <c r="AA228" s="1447"/>
      <c r="AB228" s="1447"/>
      <c r="AC228" s="1447"/>
      <c r="AD228" s="1447"/>
    </row>
    <row r="229" spans="19:30" ht="18">
      <c r="S229" s="162"/>
      <c r="T229" s="162"/>
      <c r="U229" s="183"/>
      <c r="V229" s="1447"/>
      <c r="W229" s="1447"/>
      <c r="X229" s="1447"/>
      <c r="Y229" s="1447"/>
      <c r="Z229" s="1447"/>
      <c r="AA229" s="1447"/>
      <c r="AB229" s="1447"/>
      <c r="AC229" s="1447"/>
      <c r="AD229" s="1447"/>
    </row>
    <row r="230" spans="19:30" ht="18">
      <c r="S230" s="162"/>
      <c r="T230" s="162"/>
      <c r="U230" s="183"/>
      <c r="V230" s="1447"/>
      <c r="W230" s="1447"/>
      <c r="X230" s="1447"/>
      <c r="Y230" s="1447"/>
      <c r="Z230" s="1447"/>
      <c r="AA230" s="1447"/>
      <c r="AB230" s="1447"/>
      <c r="AC230" s="1447"/>
      <c r="AD230" s="1447"/>
    </row>
    <row r="231" spans="19:30" ht="18">
      <c r="S231" s="162"/>
      <c r="T231" s="162"/>
      <c r="U231" s="183"/>
      <c r="V231" s="1447"/>
      <c r="W231" s="1447"/>
      <c r="X231" s="1447"/>
      <c r="Y231" s="1447"/>
      <c r="Z231" s="1447"/>
      <c r="AA231" s="1447"/>
      <c r="AB231" s="1447"/>
      <c r="AC231" s="1447"/>
      <c r="AD231" s="1447"/>
    </row>
    <row r="232" spans="19:30" ht="18">
      <c r="S232" s="162"/>
      <c r="T232" s="162"/>
      <c r="U232" s="183"/>
      <c r="V232" s="1447"/>
      <c r="W232" s="1447"/>
      <c r="X232" s="1447"/>
      <c r="Y232" s="1447"/>
      <c r="Z232" s="1447"/>
      <c r="AA232" s="1447"/>
      <c r="AB232" s="1447"/>
      <c r="AC232" s="1447"/>
      <c r="AD232" s="1447"/>
    </row>
    <row r="233" spans="19:30" ht="18">
      <c r="S233" s="162"/>
      <c r="T233" s="162"/>
      <c r="U233" s="183"/>
      <c r="V233" s="1447"/>
      <c r="W233" s="1447"/>
      <c r="X233" s="1447"/>
      <c r="Y233" s="1447"/>
      <c r="Z233" s="1447"/>
      <c r="AA233" s="1447"/>
      <c r="AB233" s="1447"/>
      <c r="AC233" s="1447"/>
      <c r="AD233" s="1447"/>
    </row>
    <row r="234" spans="19:30" ht="18">
      <c r="S234" s="162"/>
      <c r="T234" s="162"/>
      <c r="U234" s="183"/>
      <c r="V234" s="1447"/>
      <c r="W234" s="1447"/>
      <c r="X234" s="1447"/>
      <c r="Y234" s="1447"/>
      <c r="Z234" s="1447"/>
      <c r="AA234" s="1447"/>
      <c r="AB234" s="1447"/>
      <c r="AC234" s="1447"/>
      <c r="AD234" s="1447"/>
    </row>
    <row r="235" spans="19:30" ht="18">
      <c r="S235" s="162"/>
      <c r="T235" s="162"/>
      <c r="U235" s="183"/>
      <c r="V235" s="1447"/>
      <c r="W235" s="1447"/>
      <c r="X235" s="1447"/>
      <c r="Y235" s="1447"/>
      <c r="Z235" s="1447"/>
      <c r="AA235" s="1447"/>
      <c r="AB235" s="1447"/>
      <c r="AC235" s="1447"/>
      <c r="AD235" s="1447"/>
    </row>
    <row r="236" spans="19:30" ht="18">
      <c r="S236" s="162"/>
      <c r="T236" s="162"/>
      <c r="U236" s="183"/>
      <c r="V236" s="1447"/>
      <c r="W236" s="1447"/>
      <c r="X236" s="1447"/>
      <c r="Y236" s="1447"/>
      <c r="Z236" s="1447"/>
      <c r="AA236" s="1447"/>
      <c r="AB236" s="1447"/>
      <c r="AC236" s="1447"/>
      <c r="AD236" s="1447"/>
    </row>
    <row r="237" spans="19:30" ht="18">
      <c r="S237" s="162"/>
      <c r="T237" s="162"/>
      <c r="U237" s="183"/>
      <c r="V237" s="1447"/>
      <c r="W237" s="1447"/>
      <c r="X237" s="1447"/>
      <c r="Y237" s="1447"/>
      <c r="Z237" s="1447"/>
      <c r="AA237" s="1447"/>
      <c r="AB237" s="1447"/>
      <c r="AC237" s="1447"/>
      <c r="AD237" s="1447"/>
    </row>
    <row r="238" spans="19:30" ht="18">
      <c r="S238" s="162"/>
      <c r="T238" s="162"/>
      <c r="U238" s="183"/>
      <c r="V238" s="1447"/>
      <c r="W238" s="1447"/>
      <c r="X238" s="1447"/>
      <c r="Y238" s="1447"/>
      <c r="Z238" s="1447"/>
      <c r="AA238" s="1447"/>
      <c r="AB238" s="1447"/>
      <c r="AC238" s="1447"/>
      <c r="AD238" s="1447"/>
    </row>
    <row r="239" spans="19:30" ht="18">
      <c r="S239" s="162"/>
      <c r="T239" s="162"/>
      <c r="U239" s="183"/>
      <c r="V239" s="1447"/>
      <c r="W239" s="1447"/>
      <c r="X239" s="1447"/>
      <c r="Y239" s="1447"/>
      <c r="Z239" s="1447"/>
      <c r="AA239" s="1447"/>
      <c r="AB239" s="1447"/>
      <c r="AC239" s="1447"/>
      <c r="AD239" s="1447"/>
    </row>
    <row r="240" spans="19:30" ht="18">
      <c r="S240" s="162"/>
      <c r="T240" s="162"/>
      <c r="U240" s="183"/>
      <c r="V240" s="1447"/>
      <c r="W240" s="1447"/>
      <c r="X240" s="1447"/>
      <c r="Y240" s="1447"/>
      <c r="Z240" s="1447"/>
      <c r="AA240" s="1447"/>
      <c r="AB240" s="1447"/>
      <c r="AC240" s="1447"/>
      <c r="AD240" s="1447"/>
    </row>
    <row r="241" spans="19:30" ht="18">
      <c r="S241" s="162"/>
      <c r="T241" s="162"/>
      <c r="U241" s="183"/>
      <c r="V241" s="1447"/>
      <c r="W241" s="1447"/>
      <c r="X241" s="1447"/>
      <c r="Y241" s="1447"/>
      <c r="Z241" s="1447"/>
      <c r="AA241" s="1447"/>
      <c r="AB241" s="1447"/>
      <c r="AC241" s="1447"/>
      <c r="AD241" s="1447"/>
    </row>
    <row r="242" spans="19:30" ht="18">
      <c r="S242" s="162"/>
      <c r="T242" s="162"/>
      <c r="U242" s="183"/>
      <c r="V242" s="1447"/>
      <c r="W242" s="1447"/>
      <c r="X242" s="1447"/>
      <c r="Y242" s="1447"/>
      <c r="Z242" s="1447"/>
      <c r="AA242" s="1447"/>
      <c r="AB242" s="1447"/>
      <c r="AC242" s="1447"/>
      <c r="AD242" s="1447"/>
    </row>
    <row r="243" spans="19:30" ht="18">
      <c r="S243" s="162"/>
      <c r="T243" s="162"/>
      <c r="U243" s="183"/>
      <c r="V243" s="1447"/>
      <c r="W243" s="1447"/>
      <c r="X243" s="1447"/>
      <c r="Y243" s="1447"/>
      <c r="Z243" s="1447"/>
      <c r="AA243" s="1447"/>
      <c r="AB243" s="1447"/>
      <c r="AC243" s="1447"/>
      <c r="AD243" s="1447"/>
    </row>
    <row r="244" spans="19:30" ht="18">
      <c r="S244" s="162"/>
      <c r="T244" s="162"/>
      <c r="U244" s="183"/>
      <c r="V244" s="1447"/>
      <c r="W244" s="1447"/>
      <c r="X244" s="1447"/>
      <c r="Y244" s="1447"/>
      <c r="Z244" s="1447"/>
      <c r="AA244" s="1447"/>
      <c r="AB244" s="1447"/>
      <c r="AC244" s="1447"/>
      <c r="AD244" s="1447"/>
    </row>
    <row r="245" spans="19:30" ht="18">
      <c r="S245" s="162"/>
      <c r="T245" s="162"/>
      <c r="U245" s="183"/>
      <c r="V245" s="1447"/>
      <c r="W245" s="1447"/>
      <c r="X245" s="1447"/>
      <c r="Y245" s="1447"/>
      <c r="Z245" s="1447"/>
      <c r="AA245" s="1447"/>
      <c r="AB245" s="1447"/>
      <c r="AC245" s="1447"/>
      <c r="AD245" s="1447"/>
    </row>
    <row r="246" spans="19:30" ht="18">
      <c r="S246" s="162"/>
      <c r="T246" s="162"/>
      <c r="U246" s="183"/>
      <c r="V246" s="1447"/>
      <c r="W246" s="1447"/>
      <c r="X246" s="1447"/>
      <c r="Y246" s="1447"/>
      <c r="Z246" s="1447"/>
      <c r="AA246" s="1447"/>
      <c r="AB246" s="1447"/>
      <c r="AC246" s="1447"/>
      <c r="AD246" s="1447"/>
    </row>
    <row r="247" spans="19:30" ht="18">
      <c r="S247" s="162"/>
      <c r="T247" s="162"/>
      <c r="U247" s="183"/>
      <c r="V247" s="1447"/>
      <c r="W247" s="1447"/>
      <c r="X247" s="1447"/>
      <c r="Y247" s="1447"/>
      <c r="Z247" s="1447"/>
      <c r="AA247" s="1447"/>
      <c r="AB247" s="1447"/>
      <c r="AC247" s="1447"/>
      <c r="AD247" s="1447"/>
    </row>
    <row r="248" spans="19:30" ht="18">
      <c r="S248" s="162"/>
      <c r="T248" s="162"/>
      <c r="U248" s="183"/>
      <c r="V248" s="1447"/>
      <c r="W248" s="1447"/>
      <c r="X248" s="1447"/>
      <c r="Y248" s="1447"/>
      <c r="Z248" s="1447"/>
      <c r="AA248" s="1447"/>
      <c r="AB248" s="1447"/>
      <c r="AC248" s="1447"/>
      <c r="AD248" s="1447"/>
    </row>
    <row r="249" spans="19:30" ht="18">
      <c r="S249" s="162"/>
      <c r="T249" s="162"/>
      <c r="U249" s="183"/>
      <c r="V249" s="1447"/>
      <c r="W249" s="1447"/>
      <c r="X249" s="1447"/>
      <c r="Y249" s="1447"/>
      <c r="Z249" s="1447"/>
      <c r="AA249" s="1447"/>
      <c r="AB249" s="1447"/>
      <c r="AC249" s="1447"/>
      <c r="AD249" s="1447"/>
    </row>
    <row r="250" spans="19:30" ht="18">
      <c r="S250" s="162"/>
      <c r="T250" s="162"/>
      <c r="U250" s="183"/>
      <c r="V250" s="1447"/>
      <c r="W250" s="1447"/>
      <c r="X250" s="1447"/>
      <c r="Y250" s="1447"/>
      <c r="Z250" s="1447"/>
      <c r="AA250" s="1447"/>
      <c r="AB250" s="1447"/>
      <c r="AC250" s="1447"/>
      <c r="AD250" s="1447"/>
    </row>
    <row r="251" spans="19:30" ht="18">
      <c r="S251" s="162"/>
      <c r="T251" s="162"/>
      <c r="U251" s="183"/>
      <c r="V251" s="1447"/>
      <c r="W251" s="1447"/>
      <c r="X251" s="1447"/>
      <c r="Y251" s="1447"/>
      <c r="Z251" s="1447"/>
      <c r="AA251" s="1447"/>
      <c r="AB251" s="1447"/>
      <c r="AC251" s="1447"/>
      <c r="AD251" s="1447"/>
    </row>
    <row r="252" spans="19:30" ht="18">
      <c r="S252" s="162"/>
      <c r="T252" s="162"/>
      <c r="U252" s="183"/>
      <c r="V252" s="1447"/>
      <c r="W252" s="1447"/>
      <c r="X252" s="1447"/>
      <c r="Y252" s="1447"/>
      <c r="Z252" s="1447"/>
      <c r="AA252" s="1447"/>
      <c r="AB252" s="1447"/>
      <c r="AC252" s="1447"/>
      <c r="AD252" s="1447"/>
    </row>
    <row r="253" spans="19:30" ht="18">
      <c r="S253" s="162"/>
      <c r="T253" s="162"/>
      <c r="U253" s="183"/>
      <c r="V253" s="1447"/>
      <c r="W253" s="1447"/>
      <c r="X253" s="1447"/>
      <c r="Y253" s="1447"/>
      <c r="Z253" s="1447"/>
      <c r="AA253" s="1447"/>
      <c r="AB253" s="1447"/>
      <c r="AC253" s="1447"/>
      <c r="AD253" s="1447"/>
    </row>
    <row r="254" spans="19:30" ht="18">
      <c r="S254" s="162"/>
      <c r="T254" s="162"/>
      <c r="U254" s="183"/>
      <c r="V254" s="1447"/>
      <c r="W254" s="1447"/>
      <c r="X254" s="1447"/>
      <c r="Y254" s="1447"/>
      <c r="Z254" s="1447"/>
      <c r="AA254" s="1447"/>
      <c r="AB254" s="1447"/>
      <c r="AC254" s="1447"/>
      <c r="AD254" s="1447"/>
    </row>
    <row r="255" spans="19:30" ht="18">
      <c r="S255" s="162"/>
      <c r="T255" s="162"/>
      <c r="U255" s="183"/>
      <c r="V255" s="1447"/>
      <c r="W255" s="1447"/>
      <c r="X255" s="1447"/>
      <c r="Y255" s="1447"/>
      <c r="Z255" s="1447"/>
      <c r="AA255" s="1447"/>
      <c r="AB255" s="1447"/>
      <c r="AC255" s="1447"/>
      <c r="AD255" s="1447"/>
    </row>
    <row r="256" spans="19:30" ht="18">
      <c r="S256" s="162"/>
      <c r="T256" s="162"/>
      <c r="U256" s="183"/>
      <c r="V256" s="1447"/>
      <c r="W256" s="1447"/>
      <c r="X256" s="1447"/>
      <c r="Y256" s="1447"/>
      <c r="Z256" s="1447"/>
      <c r="AA256" s="1447"/>
      <c r="AB256" s="1447"/>
      <c r="AC256" s="1447"/>
      <c r="AD256" s="1447"/>
    </row>
    <row r="257" spans="19:30" ht="18">
      <c r="S257" s="162"/>
      <c r="T257" s="162"/>
      <c r="U257" s="183"/>
      <c r="V257" s="1447"/>
      <c r="W257" s="1447"/>
      <c r="X257" s="1447"/>
      <c r="Y257" s="1447"/>
      <c r="Z257" s="1447"/>
      <c r="AA257" s="1447"/>
      <c r="AB257" s="1447"/>
      <c r="AC257" s="1447"/>
      <c r="AD257" s="1447"/>
    </row>
    <row r="258" spans="19:30" ht="18">
      <c r="S258" s="162"/>
      <c r="T258" s="162"/>
      <c r="U258" s="183"/>
      <c r="V258" s="1447"/>
      <c r="W258" s="1447"/>
      <c r="X258" s="1447"/>
      <c r="Y258" s="1447"/>
      <c r="Z258" s="1447"/>
      <c r="AA258" s="1447"/>
      <c r="AB258" s="1447"/>
      <c r="AC258" s="1447"/>
      <c r="AD258" s="1447"/>
    </row>
    <row r="259" spans="19:30" ht="18">
      <c r="S259" s="162"/>
      <c r="T259" s="162"/>
      <c r="U259" s="183"/>
      <c r="V259" s="1447"/>
      <c r="W259" s="1447"/>
      <c r="X259" s="1447"/>
      <c r="Y259" s="1447"/>
      <c r="Z259" s="1447"/>
      <c r="AA259" s="1447"/>
      <c r="AB259" s="1447"/>
      <c r="AC259" s="1447"/>
      <c r="AD259" s="1447"/>
    </row>
    <row r="260" spans="19:30" ht="18">
      <c r="S260" s="162"/>
      <c r="T260" s="162"/>
      <c r="U260" s="183"/>
      <c r="V260" s="1447"/>
      <c r="W260" s="1447"/>
      <c r="X260" s="1447"/>
      <c r="Y260" s="1447"/>
      <c r="Z260" s="1447"/>
      <c r="AA260" s="1447"/>
      <c r="AB260" s="1447"/>
      <c r="AC260" s="1447"/>
      <c r="AD260" s="1447"/>
    </row>
    <row r="261" spans="19:30" ht="18">
      <c r="S261" s="162"/>
      <c r="T261" s="162"/>
      <c r="U261" s="183"/>
      <c r="V261" s="1447"/>
      <c r="W261" s="1447"/>
      <c r="X261" s="1447"/>
      <c r="Y261" s="1447"/>
      <c r="Z261" s="1447"/>
      <c r="AA261" s="1447"/>
      <c r="AB261" s="1447"/>
      <c r="AC261" s="1447"/>
      <c r="AD261" s="1447"/>
    </row>
    <row r="262" spans="19:30" ht="18">
      <c r="S262" s="162"/>
      <c r="T262" s="162"/>
      <c r="U262" s="183"/>
      <c r="V262" s="1447"/>
      <c r="W262" s="1447"/>
      <c r="X262" s="1447"/>
      <c r="Y262" s="1447"/>
      <c r="Z262" s="1447"/>
      <c r="AA262" s="1447"/>
      <c r="AB262" s="1447"/>
      <c r="AC262" s="1447"/>
      <c r="AD262" s="1447"/>
    </row>
    <row r="263" spans="19:30" ht="18">
      <c r="S263" s="162"/>
      <c r="T263" s="162"/>
      <c r="U263" s="183"/>
      <c r="V263" s="1447"/>
      <c r="W263" s="1447"/>
      <c r="X263" s="1447"/>
      <c r="Y263" s="1447"/>
      <c r="Z263" s="1447"/>
      <c r="AA263" s="1447"/>
      <c r="AB263" s="1447"/>
      <c r="AC263" s="1447"/>
      <c r="AD263" s="1447"/>
    </row>
    <row r="264" spans="19:30">
      <c r="S264" s="162"/>
      <c r="T264" s="162"/>
      <c r="U264" s="183"/>
    </row>
    <row r="265" spans="19:30">
      <c r="S265" s="162"/>
      <c r="T265" s="162"/>
      <c r="U265" s="183"/>
    </row>
    <row r="266" spans="19:30">
      <c r="S266" s="162"/>
      <c r="T266" s="162"/>
      <c r="U266" s="183"/>
    </row>
    <row r="267" spans="19:30">
      <c r="S267" s="162"/>
      <c r="T267" s="162"/>
      <c r="U267" s="183"/>
    </row>
    <row r="268" spans="19:30">
      <c r="S268" s="162"/>
      <c r="T268" s="162"/>
      <c r="U268" s="183"/>
    </row>
    <row r="269" spans="19:30">
      <c r="S269" s="162"/>
      <c r="T269" s="162"/>
      <c r="U269" s="183"/>
    </row>
    <row r="270" spans="19:30">
      <c r="S270" s="162"/>
      <c r="T270" s="162"/>
      <c r="U270" s="183"/>
    </row>
    <row r="271" spans="19:30">
      <c r="S271" s="162"/>
      <c r="T271" s="162"/>
      <c r="U271" s="183"/>
    </row>
  </sheetData>
  <sheetProtection algorithmName="SHA-512" hashValue="mU/trtD6bgx/Hu3GOFhw4zGbXMjLmhjtmik/IgIgX0WcA1E6iipC4m7HX1fXWXxq1T5ORTyCsFh4gPdFbf9b3g==" saltValue="fiMt5XirzWz+dTIVrGuLag==" spinCount="100000" sheet="1" objects="1" scenarios="1"/>
  <mergeCells count="28">
    <mergeCell ref="B5:B6"/>
    <mergeCell ref="V78:AD78"/>
    <mergeCell ref="W93:AA93"/>
    <mergeCell ref="C5:D6"/>
    <mergeCell ref="B10:J10"/>
    <mergeCell ref="V75:AD75"/>
    <mergeCell ref="V76:AD76"/>
    <mergeCell ref="V77:AD77"/>
    <mergeCell ref="B7:D8"/>
    <mergeCell ref="V71:W73"/>
    <mergeCell ref="X71:Z71"/>
    <mergeCell ref="X72:Z73"/>
    <mergeCell ref="Q37:R37"/>
    <mergeCell ref="X96:Z96"/>
    <mergeCell ref="C132:G132"/>
    <mergeCell ref="L8:M8"/>
    <mergeCell ref="L4:M4"/>
    <mergeCell ref="L5:M6"/>
    <mergeCell ref="C11:M11"/>
    <mergeCell ref="L7:M7"/>
    <mergeCell ref="E8:K8"/>
    <mergeCell ref="E7:K7"/>
    <mergeCell ref="E5:K5"/>
    <mergeCell ref="E6:K6"/>
    <mergeCell ref="K10:M10"/>
    <mergeCell ref="C39:M39"/>
    <mergeCell ref="K9:M9"/>
    <mergeCell ref="C130:G130"/>
  </mergeCells>
  <phoneticPr fontId="12" type="noConversion"/>
  <conditionalFormatting sqref="C75">
    <cfRule type="expression" dxfId="1042" priority="10">
      <formula>AND(Form2555_Used,$O$74="")</formula>
    </cfRule>
  </conditionalFormatting>
  <conditionalFormatting sqref="E75">
    <cfRule type="expression" dxfId="1041" priority="16">
      <formula>AND(Form2555_Used,$O$74="")</formula>
    </cfRule>
  </conditionalFormatting>
  <conditionalFormatting sqref="F38">
    <cfRule type="expression" dxfId="1040" priority="237" stopIfTrue="1">
      <formula>IF(File_Marr_Sep&lt;&gt;"",M37&gt;191000)</formula>
    </cfRule>
  </conditionalFormatting>
  <conditionalFormatting sqref="F93">
    <cfRule type="expression" dxfId="1039" priority="12">
      <formula>AND(Form2555_Used,$O$74="")</formula>
    </cfRule>
  </conditionalFormatting>
  <conditionalFormatting sqref="F108">
    <cfRule type="expression" dxfId="1038" priority="11">
      <formula>AND(Form2555_Used,$O$74="")</formula>
    </cfRule>
  </conditionalFormatting>
  <conditionalFormatting sqref="G21">
    <cfRule type="expression" dxfId="1037" priority="34" stopIfTrue="1">
      <formula>IF(AND($M$21&lt;&gt;"",$M$21&gt;0),1,0)</formula>
    </cfRule>
  </conditionalFormatting>
  <conditionalFormatting sqref="H20:I20">
    <cfRule type="expression" dxfId="1036" priority="25" stopIfTrue="1">
      <formula>IF($M$20&lt;0,1,0)</formula>
    </cfRule>
  </conditionalFormatting>
  <conditionalFormatting sqref="I17">
    <cfRule type="expression" dxfId="1035" priority="235" stopIfTrue="1">
      <formula>IF(OR(AND(#REF!&lt;&gt;"",#REF!&gt;0),AND($M$17&lt;&gt;"",$M$17&gt;0),AND($M$21&lt;&gt;"",$M$21&gt;0)),1,0)</formula>
    </cfRule>
  </conditionalFormatting>
  <conditionalFormatting sqref="I34">
    <cfRule type="expression" dxfId="1034" priority="247" stopIfTrue="1">
      <formula>IF($M$34&gt;0,1,0)</formula>
    </cfRule>
    <cfRule type="expression" dxfId="1033" priority="248" stopIfTrue="1">
      <formula>IF(AND($M$34&lt;&gt;"",$M$34&lt;=0),1,0)</formula>
    </cfRule>
  </conditionalFormatting>
  <conditionalFormatting sqref="J20:K20">
    <cfRule type="expression" dxfId="1032" priority="20" stopIfTrue="1">
      <formula>$M$20&lt;0</formula>
    </cfRule>
  </conditionalFormatting>
  <conditionalFormatting sqref="K17">
    <cfRule type="expression" dxfId="1031" priority="26" stopIfTrue="1">
      <formula>AND($M$17&lt;&gt;"",$M$17&gt;0)</formula>
    </cfRule>
  </conditionalFormatting>
  <conditionalFormatting sqref="K21">
    <cfRule type="expression" dxfId="1030" priority="21" stopIfTrue="1">
      <formula>AND($M$21&lt;&gt;"",$M$21&gt;0)</formula>
    </cfRule>
  </conditionalFormatting>
  <conditionalFormatting sqref="K34">
    <cfRule type="expression" dxfId="1029" priority="233" stopIfTrue="1">
      <formula>IF($M$34&gt;0,1,0)</formula>
    </cfRule>
    <cfRule type="expression" dxfId="1028" priority="234" stopIfTrue="1">
      <formula>IF(AND($M$34&lt;&gt;"",$M$34&lt;=0),1,0)</formula>
    </cfRule>
  </conditionalFormatting>
  <conditionalFormatting sqref="K46">
    <cfRule type="expression" dxfId="1027" priority="791" stopIfTrue="1">
      <formula>AltMinTaxInc-#REF!&lt;0</formula>
    </cfRule>
  </conditionalFormatting>
  <conditionalFormatting sqref="M16:M36">
    <cfRule type="expression" dxfId="1026" priority="8">
      <formula>IF(NoColor,1,0)</formula>
    </cfRule>
  </conditionalFormatting>
  <conditionalFormatting sqref="M38">
    <cfRule type="expression" dxfId="1025" priority="3">
      <formula>IF(NoColor,1,0)</formula>
    </cfRule>
  </conditionalFormatting>
  <conditionalFormatting sqref="M40:M47">
    <cfRule type="expression" dxfId="1024" priority="168">
      <formula>IF(NoColor,1,0)</formula>
    </cfRule>
  </conditionalFormatting>
  <conditionalFormatting sqref="M52">
    <cfRule type="expression" dxfId="1023" priority="209">
      <formula>IF(NoColor,1,0)</formula>
    </cfRule>
  </conditionalFormatting>
  <conditionalFormatting sqref="M56:M57">
    <cfRule type="expression" dxfId="1022" priority="208">
      <formula>IF(NoColor,1,0)</formula>
    </cfRule>
  </conditionalFormatting>
  <conditionalFormatting sqref="M71">
    <cfRule type="expression" dxfId="1021" priority="206">
      <formula>IF(NoColor,1,0)</formula>
    </cfRule>
  </conditionalFormatting>
  <conditionalFormatting sqref="M75">
    <cfRule type="expression" dxfId="1020" priority="160">
      <formula>IF(NoColor,1,0)</formula>
    </cfRule>
  </conditionalFormatting>
  <conditionalFormatting sqref="M77">
    <cfRule type="expression" dxfId="1019" priority="159">
      <formula>IF(NoColor,1,0)</formula>
    </cfRule>
  </conditionalFormatting>
  <conditionalFormatting sqref="M81:M83">
    <cfRule type="expression" dxfId="1018" priority="158">
      <formula>IF(NoColor,1,0)</formula>
    </cfRule>
  </conditionalFormatting>
  <conditionalFormatting sqref="M85">
    <cfRule type="expression" dxfId="1017" priority="200">
      <formula>IF(NoColor,1,0)</formula>
    </cfRule>
  </conditionalFormatting>
  <conditionalFormatting sqref="M88">
    <cfRule type="expression" dxfId="1016" priority="157">
      <formula>IF(NoColor,1,0)</formula>
    </cfRule>
  </conditionalFormatting>
  <conditionalFormatting sqref="M93:M97">
    <cfRule type="expression" dxfId="1015" priority="163">
      <formula>IF(NoColor,1,0)</formula>
    </cfRule>
  </conditionalFormatting>
  <conditionalFormatting sqref="M101">
    <cfRule type="expression" dxfId="1014" priority="116">
      <formula>IF(NoColor,1,0)</formula>
    </cfRule>
  </conditionalFormatting>
  <conditionalFormatting sqref="M103">
    <cfRule type="expression" dxfId="1013" priority="161">
      <formula>IF(NoColor,1,0)</formula>
    </cfRule>
  </conditionalFormatting>
  <conditionalFormatting sqref="M108:M113">
    <cfRule type="expression" dxfId="1012" priority="30">
      <formula>IF(NoColor,1,0)</formula>
    </cfRule>
  </conditionalFormatting>
  <conditionalFormatting sqref="M115:M116">
    <cfRule type="expression" dxfId="1011" priority="31">
      <formula>IF(NoColor,1,0)</formula>
    </cfRule>
  </conditionalFormatting>
  <conditionalFormatting sqref="M118:M121">
    <cfRule type="expression" dxfId="1010" priority="154">
      <formula>IF(NoColor,1,0)</formula>
    </cfRule>
  </conditionalFormatting>
  <conditionalFormatting sqref="M123">
    <cfRule type="expression" dxfId="1009" priority="189">
      <formula>IF(NoColor,1,0)</formula>
    </cfRule>
  </conditionalFormatting>
  <conditionalFormatting sqref="M125">
    <cfRule type="expression" dxfId="1008" priority="188">
      <formula>IF(NoColor,1,0)</formula>
    </cfRule>
  </conditionalFormatting>
  <conditionalFormatting sqref="O2">
    <cfRule type="expression" dxfId="1007" priority="4667">
      <formula>OR(O2&lt;&gt;"",NOT(P1))</formula>
    </cfRule>
  </conditionalFormatting>
  <conditionalFormatting sqref="O53">
    <cfRule type="expression" dxfId="1006" priority="39">
      <formula>IF(AND($M$56&gt;0,AMT&gt;0),1,0)</formula>
    </cfRule>
  </conditionalFormatting>
  <conditionalFormatting sqref="O74">
    <cfRule type="expression" dxfId="1005" priority="15">
      <formula>Form2555_Used</formula>
    </cfRule>
  </conditionalFormatting>
  <conditionalFormatting sqref="P23">
    <cfRule type="expression" dxfId="1004" priority="4">
      <formula>$R$38</formula>
    </cfRule>
  </conditionalFormatting>
  <conditionalFormatting sqref="P24:P36">
    <cfRule type="expression" dxfId="1003" priority="7">
      <formula>$R$38</formula>
    </cfRule>
  </conditionalFormatting>
  <conditionalFormatting sqref="P37">
    <cfRule type="expression" dxfId="1002" priority="5">
      <formula>IF(File_Mar_Sep&lt;&gt;"",1,0)</formula>
    </cfRule>
  </conditionalFormatting>
  <conditionalFormatting sqref="P74">
    <cfRule type="expression" dxfId="1001" priority="14">
      <formula>Form2555_Used</formula>
    </cfRule>
  </conditionalFormatting>
  <conditionalFormatting sqref="P37:Q37">
    <cfRule type="expression" dxfId="1000" priority="6">
      <formula>IF(File_Marr_Sep&lt;&gt;"",1,0)</formula>
    </cfRule>
  </conditionalFormatting>
  <conditionalFormatting sqref="Q69">
    <cfRule type="expression" dxfId="999" priority="17">
      <formula>OR(NOT($P$1),$R$53)</formula>
    </cfRule>
  </conditionalFormatting>
  <conditionalFormatting sqref="S16">
    <cfRule type="expression" dxfId="998" priority="184">
      <formula>IF(AND(P15&lt;&gt;"",you_over_64="",sp_over_64=""),1,0)</formula>
    </cfRule>
  </conditionalFormatting>
  <conditionalFormatting sqref="V71 X71:X72 AA71:AD73">
    <cfRule type="expression" dxfId="997" priority="73">
      <formula>IF(NoColor,1,0)</formula>
    </cfRule>
  </conditionalFormatting>
  <conditionalFormatting sqref="V77:V78">
    <cfRule type="expression" dxfId="996" priority="88" stopIfTrue="1">
      <formula>$AH$89</formula>
    </cfRule>
  </conditionalFormatting>
  <conditionalFormatting sqref="V99">
    <cfRule type="expression" dxfId="995" priority="83">
      <formula>IF($AQ$80,1,0)</formula>
    </cfRule>
  </conditionalFormatting>
  <conditionalFormatting sqref="V96:X96">
    <cfRule type="expression" dxfId="994" priority="24">
      <formula>IF(NoColor,1,0)</formula>
    </cfRule>
  </conditionalFormatting>
  <conditionalFormatting sqref="V74:AD94 S5:AF67 B10:M10 M14 M62:M63">
    <cfRule type="expression" dxfId="993" priority="217">
      <formula>NoColor</formula>
    </cfRule>
  </conditionalFormatting>
  <conditionalFormatting sqref="V75:AD75">
    <cfRule type="expression" dxfId="992" priority="2">
      <formula>AH89</formula>
    </cfRule>
  </conditionalFormatting>
  <conditionalFormatting sqref="V76:AD76">
    <cfRule type="expression" dxfId="991" priority="23">
      <formula>$AH$89</formula>
    </cfRule>
  </conditionalFormatting>
  <conditionalFormatting sqref="W32:W33">
    <cfRule type="expression" dxfId="990" priority="28">
      <formula>IF($U$32="X",1,0)</formula>
    </cfRule>
  </conditionalFormatting>
  <conditionalFormatting sqref="W33">
    <cfRule type="expression" dxfId="989" priority="29">
      <formula>IF(U33="X",1,0)</formula>
    </cfRule>
  </conditionalFormatting>
  <conditionalFormatting sqref="W74">
    <cfRule type="expression" dxfId="988" priority="1">
      <formula>AH89</formula>
    </cfRule>
  </conditionalFormatting>
  <conditionalFormatting sqref="Z91:Z92">
    <cfRule type="expression" dxfId="987" priority="86" stopIfTrue="1">
      <formula>IF($O$41&lt;&gt;"",1,0)</formula>
    </cfRule>
  </conditionalFormatting>
  <conditionalFormatting sqref="AA96:AD96 V97:AD122">
    <cfRule type="expression" dxfId="986" priority="72">
      <formula>IF(NoColor,1,0)</formula>
    </cfRule>
  </conditionalFormatting>
  <hyperlinks>
    <hyperlink ref="C130:G130" r:id="rId1" display="Download Form 6251" xr:uid="{00000000-0004-0000-2800-000000000000}"/>
    <hyperlink ref="C132:G132" r:id="rId2" display="Download Form 6251 Instructions" xr:uid="{00000000-0004-0000-2800-000001000000}"/>
    <hyperlink ref="AC70" r:id="rId3" xr:uid="{00000000-0004-0000-2800-000002000000}"/>
  </hyperlinks>
  <pageMargins left="0.75" right="0.25" top="0.36" bottom="0.28999999999999998" header="0.36" footer="0.21"/>
  <pageSetup scale="82" fitToHeight="0" orientation="portrait" r:id="rId4"/>
  <rowBreaks count="2" manualBreakCount="2">
    <brk id="65" min="1" max="12" man="1"/>
    <brk id="126"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O133"/>
  <sheetViews>
    <sheetView zoomScaleNormal="100" zoomScaleSheetLayoutView="100" workbookViewId="0"/>
  </sheetViews>
  <sheetFormatPr defaultColWidth="9.140625" defaultRowHeight="12.75"/>
  <cols>
    <col min="1" max="1" width="2.7109375" style="6068" customWidth="1"/>
    <col min="2" max="12" width="3.42578125" style="6068" customWidth="1"/>
    <col min="13" max="29" width="2.7109375" style="6068" customWidth="1"/>
    <col min="30" max="36" width="3.42578125" style="6068" customWidth="1"/>
    <col min="37" max="37" width="6.140625" style="6068" customWidth="1"/>
    <col min="38" max="55" width="3.42578125" style="6068" customWidth="1"/>
    <col min="56" max="66" width="9.140625" style="6169" customWidth="1"/>
    <col min="67" max="16384" width="9.140625" style="6068"/>
  </cols>
  <sheetData>
    <row r="1" spans="1:66" ht="15">
      <c r="A1" s="6067"/>
      <c r="B1" s="6067"/>
      <c r="C1" s="6067"/>
      <c r="D1" s="6067"/>
      <c r="E1" s="6067"/>
      <c r="F1" s="6067"/>
      <c r="G1" s="6067"/>
      <c r="H1" s="6067"/>
      <c r="I1" s="6067"/>
      <c r="J1" s="6067"/>
      <c r="K1" s="6067"/>
      <c r="L1" s="6067"/>
      <c r="M1" s="6067"/>
      <c r="N1" s="6067"/>
      <c r="O1" s="6067"/>
      <c r="P1" s="6067"/>
      <c r="Q1" s="6067"/>
      <c r="R1" s="6067"/>
      <c r="S1" s="6067"/>
      <c r="T1" s="6067"/>
      <c r="U1" s="6067"/>
      <c r="V1" s="6067"/>
      <c r="W1" s="6067"/>
      <c r="X1" s="6067"/>
      <c r="Y1" s="6067"/>
      <c r="Z1" s="6067"/>
      <c r="AA1" s="6067"/>
      <c r="AB1" s="6067"/>
      <c r="AC1" s="6067"/>
      <c r="AD1" s="6067"/>
      <c r="AE1" s="6067"/>
      <c r="AF1" s="6067"/>
      <c r="AG1" s="6067"/>
      <c r="AH1" s="6067"/>
      <c r="AI1" s="6067"/>
      <c r="AJ1" s="6067"/>
      <c r="AK1" s="6067"/>
      <c r="AL1" s="6067"/>
      <c r="AM1" s="6067"/>
      <c r="AN1" s="6067"/>
      <c r="AO1" s="6067"/>
      <c r="AP1" s="6067"/>
      <c r="BD1" s="6069" t="s">
        <v>241</v>
      </c>
      <c r="BE1" s="6070"/>
      <c r="BF1" s="6070"/>
      <c r="BG1" s="6070"/>
      <c r="BH1" s="6070"/>
      <c r="BI1" s="6070"/>
      <c r="BJ1" s="6070"/>
      <c r="BK1" s="6070"/>
      <c r="BL1" s="6070"/>
      <c r="BM1" s="6070"/>
      <c r="BN1" s="6070"/>
    </row>
    <row r="2" spans="1:66">
      <c r="A2" s="6067"/>
      <c r="B2" s="1587"/>
      <c r="C2" s="1587"/>
      <c r="D2" s="1587"/>
      <c r="E2" s="1587"/>
      <c r="F2" s="1587"/>
      <c r="G2" s="1587"/>
      <c r="H2" s="1587"/>
      <c r="I2" s="1587"/>
      <c r="J2" s="1587"/>
      <c r="K2" s="1587"/>
      <c r="L2" s="1587"/>
      <c r="M2" s="1587"/>
      <c r="N2" s="1587"/>
      <c r="O2" s="1587"/>
      <c r="P2" s="1587"/>
      <c r="Q2" s="1587"/>
      <c r="R2" s="1587"/>
      <c r="S2" s="1587"/>
      <c r="T2" s="1587"/>
      <c r="U2" s="1587"/>
      <c r="V2" s="1587"/>
      <c r="W2" s="1587"/>
      <c r="X2" s="1587"/>
      <c r="Y2" s="1587"/>
      <c r="Z2" s="1587"/>
      <c r="AA2" s="1587"/>
      <c r="AB2" s="1587"/>
      <c r="AC2" s="1587"/>
      <c r="AD2" s="1587"/>
      <c r="AE2" s="1587"/>
      <c r="AF2" s="1587"/>
      <c r="AG2" s="1587"/>
      <c r="AH2" s="1587"/>
      <c r="AI2" s="1587"/>
      <c r="AJ2" s="1587"/>
      <c r="AK2" s="1587"/>
      <c r="AL2" s="1587"/>
      <c r="AM2" s="1587"/>
      <c r="AN2" s="1587"/>
      <c r="AO2" s="1587"/>
      <c r="AP2" s="6067"/>
      <c r="BD2" s="6070"/>
      <c r="BE2" s="6070"/>
      <c r="BF2" s="6070"/>
      <c r="BG2" s="6070"/>
      <c r="BH2" s="6070"/>
      <c r="BI2" s="6070"/>
      <c r="BJ2" s="6070"/>
      <c r="BK2" s="6070"/>
      <c r="BL2" s="6070"/>
      <c r="BM2" s="6070"/>
      <c r="BN2" s="6070"/>
    </row>
    <row r="3" spans="1:66" ht="27.75">
      <c r="A3" s="6067"/>
      <c r="B3" s="1587" t="s">
        <v>4243</v>
      </c>
      <c r="C3" s="1587"/>
      <c r="D3" s="1587"/>
      <c r="E3" s="1587"/>
      <c r="F3" s="1587"/>
      <c r="G3" s="1587"/>
      <c r="H3" s="1586"/>
      <c r="I3" s="1587"/>
      <c r="J3" s="1587"/>
      <c r="K3" s="1587"/>
      <c r="L3" s="1587"/>
      <c r="M3" s="6071" t="s">
        <v>4244</v>
      </c>
      <c r="N3" s="1587"/>
      <c r="O3" s="1587"/>
      <c r="P3" s="1587"/>
      <c r="Q3" s="1587"/>
      <c r="R3" s="1587"/>
      <c r="S3" s="1587"/>
      <c r="T3" s="1587"/>
      <c r="U3" s="1587"/>
      <c r="V3" s="1587"/>
      <c r="W3" s="1587"/>
      <c r="X3" s="1587"/>
      <c r="Y3" s="1587"/>
      <c r="Z3" s="1587"/>
      <c r="AA3" s="1587"/>
      <c r="AB3" s="1587"/>
      <c r="AC3" s="1587"/>
      <c r="AD3" s="1587"/>
      <c r="AE3" s="1587"/>
      <c r="AF3" s="1587"/>
      <c r="AG3" s="1587"/>
      <c r="AH3" s="1587"/>
      <c r="AI3" s="9149" t="s">
        <v>576</v>
      </c>
      <c r="AJ3" s="9150"/>
      <c r="AK3" s="9150"/>
      <c r="AL3" s="9150"/>
      <c r="AM3" s="9150"/>
      <c r="AN3" s="9150"/>
      <c r="AO3" s="9150"/>
      <c r="AP3" s="6067"/>
      <c r="BD3" s="6070"/>
      <c r="BE3" s="6070"/>
      <c r="BF3" s="6070"/>
      <c r="BG3" s="6070"/>
      <c r="BH3" s="6070"/>
      <c r="BI3" s="6070"/>
      <c r="BJ3" s="6070"/>
      <c r="BK3" s="6070"/>
      <c r="BL3" s="6070"/>
      <c r="BM3" s="6070"/>
      <c r="BN3" s="6070"/>
    </row>
    <row r="4" spans="1:66">
      <c r="A4" s="6067"/>
      <c r="B4" s="6072" t="s">
        <v>5789</v>
      </c>
      <c r="C4" s="1587"/>
      <c r="D4" s="1587"/>
      <c r="E4" s="1587"/>
      <c r="F4" s="1587"/>
      <c r="G4" s="1587"/>
      <c r="H4" s="9151" t="s">
        <v>4245</v>
      </c>
      <c r="I4" s="9152"/>
      <c r="J4" s="9152"/>
      <c r="K4" s="9152"/>
      <c r="L4" s="9152"/>
      <c r="M4" s="9152"/>
      <c r="N4" s="9152"/>
      <c r="O4" s="9152"/>
      <c r="P4" s="9152"/>
      <c r="Q4" s="9152"/>
      <c r="R4" s="9152"/>
      <c r="S4" s="9152"/>
      <c r="T4" s="9152"/>
      <c r="U4" s="9152"/>
      <c r="V4" s="9152"/>
      <c r="W4" s="9152"/>
      <c r="X4" s="9152"/>
      <c r="Y4" s="9152"/>
      <c r="Z4" s="9152"/>
      <c r="AA4" s="9152"/>
      <c r="AB4" s="9152"/>
      <c r="AC4" s="9152"/>
      <c r="AD4" s="9152"/>
      <c r="AE4" s="9152"/>
      <c r="AF4" s="9152"/>
      <c r="AG4" s="9152"/>
      <c r="AH4" s="9153"/>
      <c r="AI4" s="9154" t="s">
        <v>2663</v>
      </c>
      <c r="AJ4" s="9155"/>
      <c r="AK4" s="9155"/>
      <c r="AL4" s="9155"/>
      <c r="AM4" s="9155"/>
      <c r="AN4" s="9160">
        <v>155</v>
      </c>
      <c r="AO4" s="9160"/>
      <c r="AP4" s="6067"/>
      <c r="BD4" s="6070"/>
      <c r="BE4" s="6070"/>
      <c r="BF4" s="6070"/>
      <c r="BG4" s="6070"/>
      <c r="BH4" s="6070"/>
      <c r="BI4" s="6070"/>
      <c r="BJ4" s="6070"/>
      <c r="BK4" s="6070"/>
      <c r="BL4" s="6070"/>
      <c r="BM4" s="6070"/>
      <c r="BN4" s="6070"/>
    </row>
    <row r="5" spans="1:66">
      <c r="A5" s="6067"/>
      <c r="B5" s="9163" t="s">
        <v>2661</v>
      </c>
      <c r="C5" s="9164"/>
      <c r="D5" s="9164"/>
      <c r="E5" s="9164"/>
      <c r="F5" s="9164"/>
      <c r="G5" s="9165"/>
      <c r="H5" s="1586"/>
      <c r="I5" s="1587"/>
      <c r="J5" s="1587"/>
      <c r="K5" s="1587"/>
      <c r="L5" s="1587"/>
      <c r="M5" s="1587"/>
      <c r="N5" s="1587"/>
      <c r="O5" s="1587" t="s">
        <v>4246</v>
      </c>
      <c r="P5" s="1587"/>
      <c r="Q5" s="1587"/>
      <c r="R5" s="1587"/>
      <c r="S5" s="1587"/>
      <c r="T5" s="1587"/>
      <c r="U5" s="1587"/>
      <c r="V5" s="1587"/>
      <c r="W5" s="1587"/>
      <c r="X5" s="1587"/>
      <c r="Y5" s="1587"/>
      <c r="Z5" s="1587"/>
      <c r="AA5" s="1587"/>
      <c r="AB5" s="1587"/>
      <c r="AC5" s="1587"/>
      <c r="AD5" s="1587"/>
      <c r="AE5" s="1587"/>
      <c r="AF5" s="1587"/>
      <c r="AG5" s="1587"/>
      <c r="AH5" s="1587"/>
      <c r="AI5" s="9156"/>
      <c r="AJ5" s="9157"/>
      <c r="AK5" s="9157"/>
      <c r="AL5" s="9157"/>
      <c r="AM5" s="9157"/>
      <c r="AN5" s="9161"/>
      <c r="AO5" s="9161"/>
      <c r="AP5" s="6067"/>
      <c r="BD5" s="6070"/>
      <c r="BE5" s="6070"/>
      <c r="BF5" s="6070"/>
      <c r="BG5" s="6070"/>
      <c r="BH5" s="6070"/>
      <c r="BI5" s="6070"/>
      <c r="BJ5" s="6070"/>
      <c r="BK5" s="6070"/>
      <c r="BL5" s="6070"/>
      <c r="BM5" s="6070"/>
      <c r="BN5" s="6070"/>
    </row>
    <row r="6" spans="1:66" ht="13.5" thickBot="1">
      <c r="A6" s="6067"/>
      <c r="B6" s="9166"/>
      <c r="C6" s="9166"/>
      <c r="D6" s="9166"/>
      <c r="E6" s="9166"/>
      <c r="F6" s="9166"/>
      <c r="G6" s="9167"/>
      <c r="H6" s="6073"/>
      <c r="I6" s="3272"/>
      <c r="J6" s="3272"/>
      <c r="K6" s="3272"/>
      <c r="L6" s="3272"/>
      <c r="M6" s="3272"/>
      <c r="N6" s="3272"/>
      <c r="O6" s="3272"/>
      <c r="P6" s="3272"/>
      <c r="Q6" s="3272"/>
      <c r="R6" s="3272"/>
      <c r="S6" s="3272"/>
      <c r="T6" s="1602" t="s">
        <v>4247</v>
      </c>
      <c r="U6" s="3272"/>
      <c r="V6" s="3272"/>
      <c r="W6" s="3272"/>
      <c r="X6" s="3272"/>
      <c r="Y6" s="3272"/>
      <c r="Z6" s="3272"/>
      <c r="AA6" s="3272"/>
      <c r="AB6" s="3272"/>
      <c r="AC6" s="3272"/>
      <c r="AD6" s="3272"/>
      <c r="AE6" s="3272"/>
      <c r="AF6" s="3272"/>
      <c r="AG6" s="3272"/>
      <c r="AH6" s="3272"/>
      <c r="AI6" s="9158"/>
      <c r="AJ6" s="9159"/>
      <c r="AK6" s="9159"/>
      <c r="AL6" s="9159"/>
      <c r="AM6" s="9159"/>
      <c r="AN6" s="9162"/>
      <c r="AO6" s="9162"/>
      <c r="AP6" s="6067"/>
      <c r="BD6" s="6070"/>
      <c r="BE6" s="6070"/>
      <c r="BF6" s="6070"/>
      <c r="BG6" s="6070"/>
      <c r="BH6" s="6070"/>
      <c r="BI6" s="6070"/>
      <c r="BJ6" s="6070"/>
      <c r="BK6" s="6070"/>
      <c r="BL6" s="6070"/>
      <c r="BM6" s="6070"/>
      <c r="BN6" s="6070"/>
    </row>
    <row r="7" spans="1:66">
      <c r="A7" s="6067"/>
      <c r="B7" s="1587" t="s">
        <v>4248</v>
      </c>
      <c r="C7" s="1587"/>
      <c r="D7" s="1587"/>
      <c r="E7" s="1587"/>
      <c r="F7" s="1587"/>
      <c r="G7" s="1587"/>
      <c r="H7" s="1587"/>
      <c r="I7" s="1587"/>
      <c r="J7" s="1587"/>
      <c r="K7" s="1587"/>
      <c r="L7" s="1587"/>
      <c r="M7" s="1587"/>
      <c r="N7" s="1587"/>
      <c r="O7" s="1587"/>
      <c r="P7" s="1587"/>
      <c r="Q7" s="1587"/>
      <c r="R7" s="1587"/>
      <c r="S7" s="1587"/>
      <c r="T7" s="1587"/>
      <c r="U7" s="1587"/>
      <c r="V7" s="1587"/>
      <c r="W7" s="1587"/>
      <c r="X7" s="1587"/>
      <c r="Y7" s="1587"/>
      <c r="Z7" s="1587"/>
      <c r="AA7" s="1587"/>
      <c r="AB7" s="1587"/>
      <c r="AC7" s="1587"/>
      <c r="AD7" s="1587"/>
      <c r="AE7" s="1587"/>
      <c r="AF7" s="1587"/>
      <c r="AG7" s="1587"/>
      <c r="AH7" s="1587"/>
      <c r="AI7" s="6074" t="s">
        <v>3314</v>
      </c>
      <c r="AJ7" s="3951"/>
      <c r="AK7" s="3951"/>
      <c r="AL7" s="3951"/>
      <c r="AM7" s="3951"/>
      <c r="AN7" s="3951"/>
      <c r="AO7" s="3951"/>
      <c r="AP7" s="6067"/>
      <c r="BD7" s="6070"/>
      <c r="BE7" s="6070"/>
      <c r="BF7" s="6070"/>
      <c r="BG7" s="6070"/>
      <c r="BH7" s="6070"/>
      <c r="BI7" s="6070"/>
      <c r="BJ7" s="6070"/>
      <c r="BK7" s="6070"/>
      <c r="BL7" s="6070"/>
      <c r="BM7" s="6070"/>
      <c r="BN7" s="6070"/>
    </row>
    <row r="8" spans="1:66" ht="9.75" customHeight="1">
      <c r="A8" s="6067"/>
      <c r="B8" s="9168" t="str">
        <f>Names</f>
        <v/>
      </c>
      <c r="C8" s="9168"/>
      <c r="D8" s="9168"/>
      <c r="E8" s="9168"/>
      <c r="F8" s="9168"/>
      <c r="G8" s="9168"/>
      <c r="H8" s="9168"/>
      <c r="I8" s="9168"/>
      <c r="J8" s="9168"/>
      <c r="K8" s="9168"/>
      <c r="L8" s="9168"/>
      <c r="M8" s="9168"/>
      <c r="N8" s="9168"/>
      <c r="O8" s="9168"/>
      <c r="P8" s="9168"/>
      <c r="Q8" s="9168"/>
      <c r="R8" s="9168"/>
      <c r="S8" s="9168"/>
      <c r="T8" s="9168"/>
      <c r="U8" s="9168"/>
      <c r="V8" s="9168"/>
      <c r="W8" s="9168"/>
      <c r="X8" s="9168"/>
      <c r="Y8" s="9168"/>
      <c r="Z8" s="9168"/>
      <c r="AA8" s="9168"/>
      <c r="AB8" s="9168"/>
      <c r="AC8" s="9168"/>
      <c r="AD8" s="9168"/>
      <c r="AE8" s="9168"/>
      <c r="AF8" s="9168"/>
      <c r="AG8" s="9168"/>
      <c r="AH8" s="9168"/>
      <c r="AI8" s="9169"/>
      <c r="AJ8" s="9170"/>
      <c r="AK8" s="9170"/>
      <c r="AL8" s="9170"/>
      <c r="AM8" s="9170"/>
      <c r="AN8" s="9170"/>
      <c r="AO8" s="9170"/>
      <c r="AP8" s="6067"/>
      <c r="BD8" s="6070"/>
      <c r="BE8" s="6070"/>
      <c r="BF8" s="6070"/>
      <c r="BG8" s="6070"/>
      <c r="BH8" s="6070"/>
      <c r="BI8" s="6070"/>
      <c r="BJ8" s="6070"/>
      <c r="BK8" s="6070"/>
      <c r="BL8" s="6070"/>
      <c r="BM8" s="6070"/>
      <c r="BN8" s="6070"/>
    </row>
    <row r="9" spans="1:66" ht="9.75" customHeight="1">
      <c r="A9" s="6067"/>
      <c r="B9" s="9168"/>
      <c r="C9" s="9168"/>
      <c r="D9" s="9168"/>
      <c r="E9" s="9168"/>
      <c r="F9" s="9168"/>
      <c r="G9" s="9168"/>
      <c r="H9" s="9168"/>
      <c r="I9" s="9168"/>
      <c r="J9" s="9168"/>
      <c r="K9" s="9168"/>
      <c r="L9" s="9168"/>
      <c r="M9" s="9168"/>
      <c r="N9" s="9168"/>
      <c r="O9" s="9168"/>
      <c r="P9" s="9168"/>
      <c r="Q9" s="9168"/>
      <c r="R9" s="9168"/>
      <c r="S9" s="9168"/>
      <c r="T9" s="9168"/>
      <c r="U9" s="9168"/>
      <c r="V9" s="9168"/>
      <c r="W9" s="9168"/>
      <c r="X9" s="9168"/>
      <c r="Y9" s="9168"/>
      <c r="Z9" s="9168"/>
      <c r="AA9" s="9168"/>
      <c r="AB9" s="9168"/>
      <c r="AC9" s="9168"/>
      <c r="AD9" s="9168"/>
      <c r="AE9" s="9168"/>
      <c r="AF9" s="9168"/>
      <c r="AG9" s="9168"/>
      <c r="AH9" s="9168"/>
      <c r="AI9" s="9171"/>
      <c r="AJ9" s="9172"/>
      <c r="AK9" s="9172"/>
      <c r="AL9" s="9172"/>
      <c r="AM9" s="9172"/>
      <c r="AN9" s="9172"/>
      <c r="AO9" s="9172"/>
      <c r="AP9" s="6067"/>
      <c r="BD9" s="6070"/>
      <c r="BE9" s="6070"/>
      <c r="BF9" s="6070"/>
      <c r="BG9" s="6070"/>
      <c r="BH9" s="6070"/>
      <c r="BI9" s="6070"/>
      <c r="BJ9" s="6070"/>
      <c r="BK9" s="6070"/>
      <c r="BL9" s="6070"/>
      <c r="BM9" s="6070"/>
      <c r="BN9" s="6070"/>
    </row>
    <row r="10" spans="1:66" ht="15">
      <c r="A10" s="6067"/>
      <c r="B10" s="6075" t="s">
        <v>4249</v>
      </c>
      <c r="C10" s="6076"/>
      <c r="D10" s="6075" t="s">
        <v>4250</v>
      </c>
      <c r="E10" s="6076"/>
      <c r="F10" s="6076"/>
      <c r="G10" s="6076"/>
      <c r="H10" s="6076"/>
      <c r="I10" s="6076"/>
      <c r="J10" s="6076"/>
      <c r="K10" s="6076"/>
      <c r="L10" s="6076"/>
      <c r="M10" s="6076"/>
      <c r="N10" s="6076"/>
      <c r="O10" s="6076"/>
      <c r="P10" s="6076"/>
      <c r="Q10" s="6076"/>
      <c r="R10" s="6076"/>
      <c r="S10" s="6076"/>
      <c r="T10" s="6076"/>
      <c r="U10" s="6076"/>
      <c r="V10" s="6076"/>
      <c r="W10" s="6076"/>
      <c r="X10" s="6076"/>
      <c r="Y10" s="6076"/>
      <c r="Z10" s="6076"/>
      <c r="AA10" s="6076"/>
      <c r="AB10" s="6076"/>
      <c r="AC10" s="6076"/>
      <c r="AD10" s="6076"/>
      <c r="AE10" s="6076"/>
      <c r="AF10" s="6076"/>
      <c r="AG10" s="6076"/>
      <c r="AH10" s="6076"/>
      <c r="AI10" s="6076"/>
      <c r="AJ10" s="6076"/>
      <c r="AK10" s="6076"/>
      <c r="AL10" s="6076"/>
      <c r="AM10" s="6076"/>
      <c r="AN10" s="6076"/>
      <c r="AO10" s="6076"/>
      <c r="AP10" s="6067"/>
      <c r="BD10" s="6070"/>
      <c r="BE10" s="6070"/>
      <c r="BF10" s="6070"/>
      <c r="BG10" s="6070"/>
      <c r="BH10" s="6070"/>
      <c r="BI10" s="6070"/>
      <c r="BJ10" s="6070"/>
      <c r="BK10" s="6070"/>
      <c r="BL10" s="6070"/>
      <c r="BM10" s="6070"/>
      <c r="BN10" s="6070"/>
    </row>
    <row r="11" spans="1:66" ht="16.5">
      <c r="A11" s="6067"/>
      <c r="B11" s="6077" t="s">
        <v>4251</v>
      </c>
      <c r="C11" s="1587"/>
      <c r="D11" s="1587"/>
      <c r="E11" s="1587"/>
      <c r="F11" s="6078" t="s">
        <v>4252</v>
      </c>
      <c r="G11" s="1587"/>
      <c r="H11" s="1587"/>
      <c r="I11" s="1587"/>
      <c r="J11" s="1587"/>
      <c r="K11" s="1587"/>
      <c r="L11" s="1587"/>
      <c r="M11" s="1587"/>
      <c r="N11" s="1587"/>
      <c r="O11" s="1587"/>
      <c r="P11" s="1587"/>
      <c r="Q11" s="1587"/>
      <c r="R11" s="1587"/>
      <c r="S11" s="1587"/>
      <c r="T11" s="1587"/>
      <c r="U11" s="1587"/>
      <c r="V11" s="1587"/>
      <c r="W11" s="1587"/>
      <c r="X11" s="1587"/>
      <c r="Y11" s="1587"/>
      <c r="Z11" s="1587"/>
      <c r="AA11" s="1587"/>
      <c r="AB11" s="1587"/>
      <c r="AC11" s="1587"/>
      <c r="AD11" s="1587"/>
      <c r="AE11" s="1587"/>
      <c r="AF11" s="1587"/>
      <c r="AG11" s="1587"/>
      <c r="AH11" s="1587"/>
      <c r="AI11" s="1587"/>
      <c r="AJ11" s="1587"/>
      <c r="AK11" s="1587"/>
      <c r="AL11" s="1587"/>
      <c r="AM11" s="1587"/>
      <c r="AN11" s="1587"/>
      <c r="AO11" s="1587"/>
      <c r="AP11" s="6067"/>
      <c r="BD11" s="6070"/>
      <c r="BE11" s="6070"/>
      <c r="BF11" s="6070"/>
      <c r="BG11" s="6070"/>
      <c r="BH11" s="6070"/>
      <c r="BI11" s="6070"/>
      <c r="BJ11" s="6070"/>
      <c r="BK11" s="6070"/>
      <c r="BL11" s="6070"/>
      <c r="BM11" s="6070"/>
      <c r="BN11" s="6070"/>
    </row>
    <row r="12" spans="1:66" ht="13.5" customHeight="1">
      <c r="A12" s="6067"/>
      <c r="B12" s="1587"/>
      <c r="C12" s="1587"/>
      <c r="D12" s="1587"/>
      <c r="E12" s="1587"/>
      <c r="F12" s="6078" t="s">
        <v>4253</v>
      </c>
      <c r="G12" s="1587"/>
      <c r="H12" s="1587"/>
      <c r="I12" s="1587"/>
      <c r="J12" s="1587"/>
      <c r="K12" s="1587"/>
      <c r="L12" s="1587"/>
      <c r="M12" s="1587"/>
      <c r="N12" s="1587"/>
      <c r="O12" s="1587"/>
      <c r="P12" s="1587"/>
      <c r="Q12" s="1587"/>
      <c r="R12" s="1587"/>
      <c r="S12" s="1587"/>
      <c r="T12" s="1587"/>
      <c r="U12" s="1587"/>
      <c r="V12" s="1587"/>
      <c r="W12" s="1587"/>
      <c r="X12" s="1587"/>
      <c r="Y12" s="1587"/>
      <c r="Z12" s="1587"/>
      <c r="AA12" s="1587"/>
      <c r="AB12" s="1587"/>
      <c r="AC12" s="1587"/>
      <c r="AD12" s="1587"/>
      <c r="AE12" s="1587"/>
      <c r="AF12" s="1587"/>
      <c r="AG12" s="1587"/>
      <c r="AH12" s="1587"/>
      <c r="AI12" s="1587"/>
      <c r="AJ12" s="1587"/>
      <c r="AK12" s="1587"/>
      <c r="AL12" s="1587"/>
      <c r="AM12" s="1587"/>
      <c r="AN12" s="1587"/>
      <c r="AO12" s="1587"/>
      <c r="AP12" s="6067"/>
      <c r="BD12" s="6070"/>
      <c r="BE12" s="6070"/>
      <c r="BF12" s="6070"/>
      <c r="BG12" s="6070"/>
      <c r="BH12" s="6070"/>
      <c r="BI12" s="6070"/>
      <c r="BJ12" s="6070"/>
      <c r="BK12" s="6070"/>
      <c r="BL12" s="6070"/>
      <c r="BM12" s="6070"/>
      <c r="BN12" s="6070"/>
    </row>
    <row r="13" spans="1:66" ht="13.5" customHeight="1">
      <c r="A13" s="6067"/>
      <c r="B13" s="1587"/>
      <c r="C13" s="1587"/>
      <c r="D13" s="1587"/>
      <c r="E13" s="1587"/>
      <c r="F13" s="6078" t="s">
        <v>4254</v>
      </c>
      <c r="G13" s="1587"/>
      <c r="H13" s="1587"/>
      <c r="I13" s="1587"/>
      <c r="J13" s="1587"/>
      <c r="K13" s="1587"/>
      <c r="L13" s="1587"/>
      <c r="M13" s="1587"/>
      <c r="N13" s="1587"/>
      <c r="O13" s="1587"/>
      <c r="P13" s="1587"/>
      <c r="Q13" s="1587"/>
      <c r="R13" s="1587"/>
      <c r="S13" s="1587"/>
      <c r="T13" s="1587"/>
      <c r="U13" s="1587"/>
      <c r="V13" s="1587"/>
      <c r="W13" s="1587"/>
      <c r="X13" s="1587"/>
      <c r="Y13" s="1587"/>
      <c r="Z13" s="1587"/>
      <c r="AA13" s="1587"/>
      <c r="AB13" s="1587"/>
      <c r="AC13" s="1587"/>
      <c r="AD13" s="1587"/>
      <c r="AE13" s="1587"/>
      <c r="AF13" s="1587"/>
      <c r="AG13" s="1587"/>
      <c r="AH13" s="1587"/>
      <c r="AI13" s="1587"/>
      <c r="AJ13" s="1587"/>
      <c r="AK13" s="1587"/>
      <c r="AL13" s="1587"/>
      <c r="AM13" s="1587"/>
      <c r="AN13" s="1587"/>
      <c r="AO13" s="1587"/>
      <c r="AP13" s="6067"/>
      <c r="BD13" s="6070"/>
      <c r="BE13" s="6070"/>
      <c r="BF13" s="6070"/>
      <c r="BG13" s="6070"/>
      <c r="BH13" s="6070"/>
      <c r="BI13" s="6070"/>
      <c r="BJ13" s="6070"/>
      <c r="BK13" s="6070"/>
      <c r="BL13" s="6070"/>
      <c r="BM13" s="6070"/>
      <c r="BN13" s="6070"/>
    </row>
    <row r="14" spans="1:66" s="6081" customFormat="1" ht="15.75">
      <c r="A14" s="6079"/>
      <c r="B14" s="9191" t="s">
        <v>884</v>
      </c>
      <c r="C14" s="9191"/>
      <c r="D14" s="9192"/>
      <c r="E14" s="6080"/>
      <c r="F14" s="6080" t="s">
        <v>4255</v>
      </c>
      <c r="G14" s="6080"/>
      <c r="H14" s="6080"/>
      <c r="I14" s="6080"/>
      <c r="J14" s="6080"/>
      <c r="K14" s="6080"/>
      <c r="L14" s="6080"/>
      <c r="M14" s="6080"/>
      <c r="N14" s="6080"/>
      <c r="O14" s="6080"/>
      <c r="P14" s="6080"/>
      <c r="Q14" s="6080"/>
      <c r="R14" s="6080"/>
      <c r="S14" s="6080"/>
      <c r="T14" s="6080"/>
      <c r="U14" s="6080"/>
      <c r="V14" s="6080"/>
      <c r="W14" s="6080"/>
      <c r="X14" s="6080"/>
      <c r="Y14" s="6080"/>
      <c r="Z14" s="6080"/>
      <c r="AA14" s="6080"/>
      <c r="AB14" s="6080"/>
      <c r="AC14" s="6080"/>
      <c r="AD14" s="6080"/>
      <c r="AE14" s="6080"/>
      <c r="AF14" s="6080"/>
      <c r="AG14" s="6080"/>
      <c r="AH14" s="6080"/>
      <c r="AI14" s="6080"/>
      <c r="AJ14" s="6080"/>
      <c r="AK14" s="6080"/>
      <c r="AL14" s="6080"/>
      <c r="AM14" s="6080"/>
      <c r="AN14" s="6080"/>
      <c r="AO14" s="6080"/>
      <c r="AP14" s="6067"/>
      <c r="BD14" s="6070"/>
      <c r="BE14" s="6070"/>
      <c r="BF14" s="6070"/>
      <c r="BG14" s="6070"/>
      <c r="BH14" s="6070"/>
      <c r="BI14" s="6070"/>
      <c r="BJ14" s="6070"/>
      <c r="BK14" s="6070"/>
      <c r="BL14" s="6070"/>
      <c r="BM14" s="6070"/>
      <c r="BN14" s="6070"/>
    </row>
    <row r="15" spans="1:66">
      <c r="A15" s="6067"/>
      <c r="B15" s="9193">
        <v>1</v>
      </c>
      <c r="C15" s="9193"/>
      <c r="D15" s="9193"/>
      <c r="E15" s="9196" t="s">
        <v>4256</v>
      </c>
      <c r="F15" s="9197"/>
      <c r="G15" s="9197"/>
      <c r="H15" s="9197"/>
      <c r="I15" s="9197"/>
      <c r="J15" s="9197"/>
      <c r="K15" s="9197"/>
      <c r="L15" s="9198"/>
      <c r="M15" s="9203" t="s">
        <v>4257</v>
      </c>
      <c r="N15" s="9197"/>
      <c r="O15" s="9197"/>
      <c r="P15" s="9197"/>
      <c r="Q15" s="9197"/>
      <c r="R15" s="9197"/>
      <c r="S15" s="9197"/>
      <c r="T15" s="9197"/>
      <c r="U15" s="9197"/>
      <c r="V15" s="9197"/>
      <c r="W15" s="9197"/>
      <c r="X15" s="9197"/>
      <c r="Y15" s="9197"/>
      <c r="Z15" s="9197"/>
      <c r="AA15" s="9197"/>
      <c r="AB15" s="9197"/>
      <c r="AC15" s="9198"/>
      <c r="AD15" s="9203" t="s">
        <v>4258</v>
      </c>
      <c r="AE15" s="9197"/>
      <c r="AF15" s="9197"/>
      <c r="AG15" s="9197"/>
      <c r="AH15" s="9197"/>
      <c r="AI15" s="9197"/>
      <c r="AJ15" s="9197"/>
      <c r="AK15" s="9197"/>
      <c r="AL15" s="9197"/>
      <c r="AM15" s="9197"/>
      <c r="AN15" s="9197"/>
      <c r="AO15" s="9197"/>
      <c r="AP15" s="6067"/>
      <c r="BD15" s="6070"/>
      <c r="BE15" s="6070"/>
      <c r="BF15" s="6070"/>
      <c r="BG15" s="6070"/>
      <c r="BH15" s="6070"/>
      <c r="BI15" s="6070"/>
      <c r="BJ15" s="6070"/>
      <c r="BK15" s="6070"/>
      <c r="BL15" s="6070"/>
      <c r="BM15" s="6070"/>
      <c r="BN15" s="6070"/>
    </row>
    <row r="16" spans="1:66">
      <c r="A16" s="6067"/>
      <c r="B16" s="9194"/>
      <c r="C16" s="9194"/>
      <c r="D16" s="9194"/>
      <c r="E16" s="9199"/>
      <c r="F16" s="9199"/>
      <c r="G16" s="9199"/>
      <c r="H16" s="9199"/>
      <c r="I16" s="9199"/>
      <c r="J16" s="9199"/>
      <c r="K16" s="9199"/>
      <c r="L16" s="9200"/>
      <c r="M16" s="9204"/>
      <c r="N16" s="9199"/>
      <c r="O16" s="9199"/>
      <c r="P16" s="9199"/>
      <c r="Q16" s="9199"/>
      <c r="R16" s="9199"/>
      <c r="S16" s="9199"/>
      <c r="T16" s="9199"/>
      <c r="U16" s="9199"/>
      <c r="V16" s="9199"/>
      <c r="W16" s="9199"/>
      <c r="X16" s="9199"/>
      <c r="Y16" s="9199"/>
      <c r="Z16" s="9199"/>
      <c r="AA16" s="9199"/>
      <c r="AB16" s="9199"/>
      <c r="AC16" s="9200"/>
      <c r="AD16" s="9204"/>
      <c r="AE16" s="9199"/>
      <c r="AF16" s="9199"/>
      <c r="AG16" s="9199"/>
      <c r="AH16" s="9199"/>
      <c r="AI16" s="9199"/>
      <c r="AJ16" s="9199"/>
      <c r="AK16" s="9199"/>
      <c r="AL16" s="9199"/>
      <c r="AM16" s="9199"/>
      <c r="AN16" s="9199"/>
      <c r="AO16" s="9199"/>
      <c r="AP16" s="6067"/>
      <c r="BD16" s="6070"/>
      <c r="BE16" s="6070"/>
      <c r="BF16" s="6070"/>
      <c r="BG16" s="6070"/>
      <c r="BH16" s="6070"/>
      <c r="BI16" s="6070"/>
      <c r="BJ16" s="6070"/>
      <c r="BK16" s="6070"/>
      <c r="BL16" s="6070"/>
      <c r="BM16" s="6070"/>
      <c r="BN16" s="6070"/>
    </row>
    <row r="17" spans="1:66">
      <c r="A17" s="6067"/>
      <c r="B17" s="9194"/>
      <c r="C17" s="9194"/>
      <c r="D17" s="9194"/>
      <c r="E17" s="9199"/>
      <c r="F17" s="9199"/>
      <c r="G17" s="9199"/>
      <c r="H17" s="9199"/>
      <c r="I17" s="9199"/>
      <c r="J17" s="9199"/>
      <c r="K17" s="9199"/>
      <c r="L17" s="9200"/>
      <c r="M17" s="9204"/>
      <c r="N17" s="9199"/>
      <c r="O17" s="9199"/>
      <c r="P17" s="9199"/>
      <c r="Q17" s="9199"/>
      <c r="R17" s="9199"/>
      <c r="S17" s="9199"/>
      <c r="T17" s="9199"/>
      <c r="U17" s="9199"/>
      <c r="V17" s="9199"/>
      <c r="W17" s="9199"/>
      <c r="X17" s="9199"/>
      <c r="Y17" s="9199"/>
      <c r="Z17" s="9199"/>
      <c r="AA17" s="9199"/>
      <c r="AB17" s="9199"/>
      <c r="AC17" s="9200"/>
      <c r="AD17" s="9204"/>
      <c r="AE17" s="9199"/>
      <c r="AF17" s="9199"/>
      <c r="AG17" s="9199"/>
      <c r="AH17" s="9199"/>
      <c r="AI17" s="9199"/>
      <c r="AJ17" s="9199"/>
      <c r="AK17" s="9199"/>
      <c r="AL17" s="9199"/>
      <c r="AM17" s="9199"/>
      <c r="AN17" s="9199"/>
      <c r="AO17" s="9199"/>
      <c r="AP17" s="6067"/>
      <c r="BD17" s="6070"/>
      <c r="BE17" s="6070"/>
      <c r="BF17" s="6070"/>
      <c r="BG17" s="6070"/>
      <c r="BH17" s="6070"/>
      <c r="BI17" s="6070"/>
      <c r="BJ17" s="6070"/>
      <c r="BK17" s="6070"/>
      <c r="BL17" s="6070"/>
      <c r="BM17" s="6070"/>
      <c r="BN17" s="6070"/>
    </row>
    <row r="18" spans="1:66">
      <c r="A18" s="6067"/>
      <c r="B18" s="9195"/>
      <c r="C18" s="9195"/>
      <c r="D18" s="9195"/>
      <c r="E18" s="9201"/>
      <c r="F18" s="9201"/>
      <c r="G18" s="9201"/>
      <c r="H18" s="9201"/>
      <c r="I18" s="9201"/>
      <c r="J18" s="9201"/>
      <c r="K18" s="9201"/>
      <c r="L18" s="9202"/>
      <c r="M18" s="9205"/>
      <c r="N18" s="9201"/>
      <c r="O18" s="9201"/>
      <c r="P18" s="9201"/>
      <c r="Q18" s="9201"/>
      <c r="R18" s="9201"/>
      <c r="S18" s="9201"/>
      <c r="T18" s="9201"/>
      <c r="U18" s="9201"/>
      <c r="V18" s="9201"/>
      <c r="W18" s="9201"/>
      <c r="X18" s="9201"/>
      <c r="Y18" s="9201"/>
      <c r="Z18" s="9201"/>
      <c r="AA18" s="9201"/>
      <c r="AB18" s="9201"/>
      <c r="AC18" s="9202"/>
      <c r="AD18" s="9205"/>
      <c r="AE18" s="9201"/>
      <c r="AF18" s="9201"/>
      <c r="AG18" s="9201"/>
      <c r="AH18" s="9201"/>
      <c r="AI18" s="9201"/>
      <c r="AJ18" s="9201"/>
      <c r="AK18" s="9201"/>
      <c r="AL18" s="9201"/>
      <c r="AM18" s="9201"/>
      <c r="AN18" s="9201"/>
      <c r="AO18" s="9201"/>
      <c r="AP18" s="6067"/>
      <c r="AQ18" s="6067"/>
      <c r="AR18" s="6067"/>
      <c r="AS18" s="6067"/>
      <c r="AT18" s="6067"/>
      <c r="AU18" s="6067"/>
      <c r="AV18" s="6067"/>
      <c r="AW18" s="6067"/>
      <c r="AX18" s="6067"/>
      <c r="AY18" s="6067"/>
      <c r="AZ18" s="6067"/>
      <c r="BA18" s="6067"/>
      <c r="BB18" s="6067"/>
      <c r="BD18" s="6070"/>
      <c r="BE18" s="6070"/>
      <c r="BF18" s="6070"/>
      <c r="BG18" s="6070"/>
      <c r="BH18" s="6070"/>
      <c r="BI18" s="6070"/>
      <c r="BJ18" s="6070"/>
      <c r="BK18" s="6070"/>
      <c r="BL18" s="6070"/>
      <c r="BM18" s="6070"/>
      <c r="BN18" s="6070"/>
    </row>
    <row r="19" spans="1:66" ht="3.75" customHeight="1">
      <c r="A19" s="6067"/>
      <c r="B19" s="9173" t="s">
        <v>542</v>
      </c>
      <c r="C19" s="9174"/>
      <c r="D19" s="9177"/>
      <c r="E19" s="9178"/>
      <c r="F19" s="9178"/>
      <c r="G19" s="9178"/>
      <c r="H19" s="9178"/>
      <c r="I19" s="9178"/>
      <c r="J19" s="9178"/>
      <c r="K19" s="9178"/>
      <c r="L19" s="9179"/>
      <c r="M19" s="6087"/>
      <c r="N19" s="6082"/>
      <c r="O19" s="6082"/>
      <c r="P19" s="6082"/>
      <c r="Q19" s="6082"/>
      <c r="R19" s="6082"/>
      <c r="S19" s="6082"/>
      <c r="T19" s="6082"/>
      <c r="U19" s="6082"/>
      <c r="V19" s="6082"/>
      <c r="W19" s="6082"/>
      <c r="X19" s="6082"/>
      <c r="Y19" s="6082"/>
      <c r="Z19" s="6082"/>
      <c r="AA19" s="6082"/>
      <c r="AB19" s="6082"/>
      <c r="AC19" s="6083"/>
      <c r="AD19" s="9177"/>
      <c r="AE19" s="9186"/>
      <c r="AF19" s="9186"/>
      <c r="AG19" s="9186"/>
      <c r="AH19" s="9186"/>
      <c r="AI19" s="9186"/>
      <c r="AJ19" s="9186"/>
      <c r="AK19" s="9186"/>
      <c r="AL19" s="9186"/>
      <c r="AM19" s="9186"/>
      <c r="AN19" s="9186"/>
      <c r="AO19" s="9186"/>
      <c r="AP19" s="6067"/>
      <c r="AQ19" s="6067"/>
      <c r="AR19" s="6067"/>
      <c r="AS19" s="6067"/>
      <c r="AT19" s="6067"/>
      <c r="AU19" s="6067"/>
      <c r="AV19" s="6067"/>
      <c r="AW19" s="6067"/>
      <c r="AX19" s="6067"/>
      <c r="AY19" s="6067"/>
      <c r="AZ19" s="6067"/>
      <c r="BA19" s="6067"/>
      <c r="BB19" s="6067"/>
      <c r="BD19" s="6070"/>
      <c r="BE19" s="6070"/>
      <c r="BF19" s="6070"/>
      <c r="BG19" s="6070"/>
      <c r="BH19" s="6070"/>
      <c r="BI19" s="6070"/>
      <c r="BJ19" s="6070"/>
      <c r="BK19" s="6070"/>
      <c r="BL19" s="6070"/>
      <c r="BM19" s="6070"/>
      <c r="BN19" s="6070"/>
    </row>
    <row r="20" spans="1:66" ht="14.25" customHeight="1" thickBot="1">
      <c r="A20" s="6067"/>
      <c r="B20" s="9175"/>
      <c r="C20" s="9175"/>
      <c r="D20" s="9180"/>
      <c r="E20" s="9181"/>
      <c r="F20" s="9181"/>
      <c r="G20" s="9181"/>
      <c r="H20" s="9181"/>
      <c r="I20" s="9181"/>
      <c r="J20" s="9181"/>
      <c r="K20" s="9181"/>
      <c r="L20" s="9182"/>
      <c r="M20" s="6088"/>
      <c r="N20" s="1587"/>
      <c r="O20" s="1587"/>
      <c r="P20" s="1587"/>
      <c r="Q20" s="1587"/>
      <c r="R20" s="1587"/>
      <c r="S20" s="1587"/>
      <c r="T20" s="6089"/>
      <c r="U20" s="1587"/>
      <c r="V20" s="1587"/>
      <c r="W20" s="1587"/>
      <c r="X20" s="1587"/>
      <c r="Y20" s="1587"/>
      <c r="Z20" s="1587"/>
      <c r="AA20" s="1587"/>
      <c r="AB20" s="1587"/>
      <c r="AC20" s="6090"/>
      <c r="AD20" s="9187"/>
      <c r="AE20" s="9188"/>
      <c r="AF20" s="9188"/>
      <c r="AG20" s="9188"/>
      <c r="AH20" s="9188"/>
      <c r="AI20" s="9188"/>
      <c r="AJ20" s="9188"/>
      <c r="AK20" s="9188"/>
      <c r="AL20" s="9188"/>
      <c r="AM20" s="9188"/>
      <c r="AN20" s="9188"/>
      <c r="AO20" s="9188"/>
      <c r="AP20" s="6067"/>
      <c r="AQ20" s="6091" t="s">
        <v>4259</v>
      </c>
      <c r="AR20" s="1587"/>
      <c r="AS20" s="1587"/>
      <c r="AT20" s="1587"/>
      <c r="AU20" s="1587"/>
      <c r="AV20" s="1587"/>
      <c r="AW20" s="1587"/>
      <c r="AX20" s="1587"/>
      <c r="AY20" s="1587"/>
      <c r="AZ20" s="1587"/>
      <c r="BA20" s="1587"/>
      <c r="BB20" s="6067"/>
      <c r="BD20" s="6070"/>
      <c r="BE20" s="6070"/>
      <c r="BF20" s="6070"/>
      <c r="BG20" s="6070"/>
      <c r="BH20" s="6070"/>
      <c r="BI20" s="6070"/>
      <c r="BJ20" s="6070"/>
      <c r="BK20" s="6070"/>
      <c r="BL20" s="6070"/>
      <c r="BM20" s="6070"/>
      <c r="BN20" s="6070"/>
    </row>
    <row r="21" spans="1:66" ht="14.25" customHeight="1" thickTop="1" thickBot="1">
      <c r="A21" s="6067"/>
      <c r="B21" s="9176"/>
      <c r="C21" s="9176"/>
      <c r="D21" s="9183"/>
      <c r="E21" s="9184"/>
      <c r="F21" s="9184"/>
      <c r="G21" s="9184"/>
      <c r="H21" s="9184"/>
      <c r="I21" s="9184"/>
      <c r="J21" s="9184"/>
      <c r="K21" s="9184"/>
      <c r="L21" s="9184"/>
      <c r="M21" s="6092"/>
      <c r="N21" s="6092"/>
      <c r="O21" s="6092"/>
      <c r="P21" s="6092"/>
      <c r="Q21" s="6092"/>
      <c r="R21" s="6092"/>
      <c r="S21" s="6092"/>
      <c r="T21" s="6092"/>
      <c r="U21" s="6092"/>
      <c r="V21" s="6092"/>
      <c r="W21" s="6092"/>
      <c r="X21" s="6092"/>
      <c r="Y21" s="6092"/>
      <c r="Z21" s="6092"/>
      <c r="AA21" s="6092"/>
      <c r="AB21" s="6092"/>
      <c r="AC21" s="6092"/>
      <c r="AD21" s="9190"/>
      <c r="AE21" s="9190"/>
      <c r="AF21" s="9190"/>
      <c r="AG21" s="9190"/>
      <c r="AH21" s="9190"/>
      <c r="AI21" s="9190"/>
      <c r="AJ21" s="9190"/>
      <c r="AK21" s="9190"/>
      <c r="AL21" s="9190"/>
      <c r="AM21" s="9190"/>
      <c r="AN21" s="9190"/>
      <c r="AO21" s="9190"/>
      <c r="AP21" s="6067"/>
      <c r="AQ21" s="6067"/>
      <c r="AR21" s="6067"/>
      <c r="AS21" s="6067"/>
      <c r="AT21" s="6067"/>
      <c r="AU21" s="6067"/>
      <c r="AV21" s="6067"/>
      <c r="AW21" s="6067"/>
      <c r="AX21" s="6067"/>
      <c r="AY21" s="6067"/>
      <c r="AZ21" s="6067"/>
      <c r="BA21" s="6067"/>
      <c r="BB21" s="6067"/>
      <c r="BD21" s="6070"/>
      <c r="BE21" s="6070"/>
      <c r="BF21" s="6070"/>
      <c r="BG21" s="6070"/>
      <c r="BH21" s="6070"/>
      <c r="BI21" s="6070"/>
      <c r="BJ21" s="6070"/>
      <c r="BK21" s="6070"/>
      <c r="BL21" s="6070"/>
      <c r="BM21" s="6070"/>
      <c r="BN21" s="6070"/>
    </row>
    <row r="22" spans="1:66" ht="3.75" customHeight="1" thickTop="1">
      <c r="A22" s="6067"/>
      <c r="B22" s="9173" t="s">
        <v>548</v>
      </c>
      <c r="C22" s="9174"/>
      <c r="D22" s="9177"/>
      <c r="E22" s="9178"/>
      <c r="F22" s="9178"/>
      <c r="G22" s="9178"/>
      <c r="H22" s="9178"/>
      <c r="I22" s="9178"/>
      <c r="J22" s="9178"/>
      <c r="K22" s="9178"/>
      <c r="L22" s="9179"/>
      <c r="M22" s="6086"/>
      <c r="N22" s="6084"/>
      <c r="O22" s="6084"/>
      <c r="P22" s="6084"/>
      <c r="Q22" s="6084"/>
      <c r="R22" s="6084"/>
      <c r="S22" s="6084"/>
      <c r="T22" s="6084"/>
      <c r="U22" s="6084"/>
      <c r="V22" s="6084"/>
      <c r="W22" s="6084"/>
      <c r="X22" s="6084"/>
      <c r="Y22" s="6084"/>
      <c r="Z22" s="6084"/>
      <c r="AA22" s="6084"/>
      <c r="AB22" s="6084"/>
      <c r="AC22" s="6085"/>
      <c r="AD22" s="9177"/>
      <c r="AE22" s="9186"/>
      <c r="AF22" s="9186"/>
      <c r="AG22" s="9186"/>
      <c r="AH22" s="9186"/>
      <c r="AI22" s="9186"/>
      <c r="AJ22" s="9186"/>
      <c r="AK22" s="9186"/>
      <c r="AL22" s="9186"/>
      <c r="AM22" s="9186"/>
      <c r="AN22" s="9186"/>
      <c r="AO22" s="9186"/>
      <c r="AP22" s="6067"/>
      <c r="AQ22" s="6067"/>
      <c r="AR22" s="6067"/>
      <c r="AS22" s="6067"/>
      <c r="AT22" s="6067"/>
      <c r="AU22" s="6067"/>
      <c r="AV22" s="6067"/>
      <c r="AW22" s="6067"/>
      <c r="AX22" s="6067"/>
      <c r="AY22" s="6067"/>
      <c r="AZ22" s="6067"/>
      <c r="BA22" s="6067"/>
      <c r="BB22" s="6067"/>
      <c r="BD22" s="6070"/>
      <c r="BE22" s="6070"/>
      <c r="BF22" s="6070"/>
      <c r="BG22" s="6070"/>
      <c r="BH22" s="6070"/>
      <c r="BI22" s="6070"/>
      <c r="BJ22" s="6070"/>
      <c r="BK22" s="6070"/>
      <c r="BL22" s="6070"/>
      <c r="BM22" s="6070"/>
      <c r="BN22" s="6070"/>
    </row>
    <row r="23" spans="1:66" ht="14.25" customHeight="1" thickBot="1">
      <c r="A23" s="6067"/>
      <c r="B23" s="9175"/>
      <c r="C23" s="9175"/>
      <c r="D23" s="9180"/>
      <c r="E23" s="9181"/>
      <c r="F23" s="9181"/>
      <c r="G23" s="9181"/>
      <c r="H23" s="9181"/>
      <c r="I23" s="9181"/>
      <c r="J23" s="9181"/>
      <c r="K23" s="9181"/>
      <c r="L23" s="9182"/>
      <c r="M23" s="6088"/>
      <c r="N23" s="1587"/>
      <c r="O23" s="1587"/>
      <c r="P23" s="1587"/>
      <c r="Q23" s="1587"/>
      <c r="R23" s="1587"/>
      <c r="S23" s="1587"/>
      <c r="T23" s="6089"/>
      <c r="U23" s="1587"/>
      <c r="V23" s="1587"/>
      <c r="W23" s="1587"/>
      <c r="X23" s="1587"/>
      <c r="Y23" s="1587"/>
      <c r="Z23" s="1587"/>
      <c r="AA23" s="1587"/>
      <c r="AB23" s="1587"/>
      <c r="AC23" s="6090"/>
      <c r="AD23" s="9187"/>
      <c r="AE23" s="9188"/>
      <c r="AF23" s="9188"/>
      <c r="AG23" s="9188"/>
      <c r="AH23" s="9188"/>
      <c r="AI23" s="9188"/>
      <c r="AJ23" s="9188"/>
      <c r="AK23" s="9188"/>
      <c r="AL23" s="9188"/>
      <c r="AM23" s="9188"/>
      <c r="AN23" s="9188"/>
      <c r="AO23" s="9188"/>
      <c r="AP23" s="6067"/>
      <c r="BD23" s="6070"/>
      <c r="BE23" s="6070"/>
      <c r="BF23" s="6070"/>
      <c r="BG23" s="6070"/>
      <c r="BH23" s="6070"/>
      <c r="BI23" s="6070"/>
      <c r="BJ23" s="6070"/>
      <c r="BK23" s="6070"/>
      <c r="BL23" s="6070"/>
      <c r="BM23" s="6070"/>
      <c r="BN23" s="6070"/>
    </row>
    <row r="24" spans="1:66" ht="14.25" customHeight="1" thickTop="1" thickBot="1">
      <c r="A24" s="6067"/>
      <c r="B24" s="9176"/>
      <c r="C24" s="9176"/>
      <c r="D24" s="9183"/>
      <c r="E24" s="9184"/>
      <c r="F24" s="9184"/>
      <c r="G24" s="9184"/>
      <c r="H24" s="9184"/>
      <c r="I24" s="9184"/>
      <c r="J24" s="9184"/>
      <c r="K24" s="9184"/>
      <c r="L24" s="9185"/>
      <c r="M24" s="6092"/>
      <c r="N24" s="6092"/>
      <c r="O24" s="6092"/>
      <c r="P24" s="6092"/>
      <c r="Q24" s="6092"/>
      <c r="R24" s="6092"/>
      <c r="S24" s="6092"/>
      <c r="T24" s="6092"/>
      <c r="U24" s="6092"/>
      <c r="V24" s="6092"/>
      <c r="W24" s="6092"/>
      <c r="X24" s="6092"/>
      <c r="Y24" s="6092"/>
      <c r="Z24" s="6092"/>
      <c r="AA24" s="6092"/>
      <c r="AB24" s="6092"/>
      <c r="AC24" s="6092"/>
      <c r="AD24" s="9189"/>
      <c r="AE24" s="9190"/>
      <c r="AF24" s="9190"/>
      <c r="AG24" s="9190"/>
      <c r="AH24" s="9190"/>
      <c r="AI24" s="9190"/>
      <c r="AJ24" s="9190"/>
      <c r="AK24" s="9190"/>
      <c r="AL24" s="9190"/>
      <c r="AM24" s="9190"/>
      <c r="AN24" s="9190"/>
      <c r="AO24" s="9190"/>
      <c r="AP24" s="6067"/>
      <c r="BD24" s="6070"/>
      <c r="BE24" s="6070"/>
      <c r="BF24" s="6070"/>
      <c r="BG24" s="6070"/>
      <c r="BH24" s="6070"/>
      <c r="BI24" s="6070"/>
      <c r="BJ24" s="6070"/>
      <c r="BK24" s="6070"/>
      <c r="BL24" s="6070"/>
      <c r="BM24" s="6070"/>
      <c r="BN24" s="6070"/>
    </row>
    <row r="25" spans="1:66" ht="3.75" customHeight="1" thickTop="1">
      <c r="A25" s="6067"/>
      <c r="B25" s="9173" t="s">
        <v>550</v>
      </c>
      <c r="C25" s="9174"/>
      <c r="D25" s="9177"/>
      <c r="E25" s="9178"/>
      <c r="F25" s="9178"/>
      <c r="G25" s="9178"/>
      <c r="H25" s="9178"/>
      <c r="I25" s="9178"/>
      <c r="J25" s="9178"/>
      <c r="K25" s="9178"/>
      <c r="L25" s="9179"/>
      <c r="M25" s="6087"/>
      <c r="N25" s="6082"/>
      <c r="O25" s="6082"/>
      <c r="P25" s="6082"/>
      <c r="Q25" s="6082"/>
      <c r="R25" s="6082"/>
      <c r="S25" s="6082"/>
      <c r="T25" s="6082"/>
      <c r="U25" s="6082"/>
      <c r="V25" s="6082"/>
      <c r="W25" s="6082"/>
      <c r="X25" s="6082"/>
      <c r="Y25" s="6082"/>
      <c r="Z25" s="6082"/>
      <c r="AA25" s="6082"/>
      <c r="AB25" s="6082"/>
      <c r="AC25" s="6083"/>
      <c r="AD25" s="9177"/>
      <c r="AE25" s="9186"/>
      <c r="AF25" s="9186"/>
      <c r="AG25" s="9186"/>
      <c r="AH25" s="9186"/>
      <c r="AI25" s="9186"/>
      <c r="AJ25" s="9186"/>
      <c r="AK25" s="9186"/>
      <c r="AL25" s="9186"/>
      <c r="AM25" s="9186"/>
      <c r="AN25" s="9186"/>
      <c r="AO25" s="9186"/>
      <c r="AP25" s="6067"/>
      <c r="BD25" s="6070"/>
      <c r="BE25" s="6070"/>
      <c r="BF25" s="6070"/>
      <c r="BG25" s="6070"/>
      <c r="BH25" s="6070"/>
      <c r="BI25" s="6070"/>
      <c r="BJ25" s="6070"/>
      <c r="BK25" s="6070"/>
      <c r="BL25" s="6070"/>
      <c r="BM25" s="6070"/>
      <c r="BN25" s="6070"/>
    </row>
    <row r="26" spans="1:66" ht="14.25" customHeight="1" thickBot="1">
      <c r="A26" s="6067"/>
      <c r="B26" s="9175"/>
      <c r="C26" s="9175"/>
      <c r="D26" s="9180"/>
      <c r="E26" s="9181"/>
      <c r="F26" s="9181"/>
      <c r="G26" s="9181"/>
      <c r="H26" s="9181"/>
      <c r="I26" s="9181"/>
      <c r="J26" s="9181"/>
      <c r="K26" s="9181"/>
      <c r="L26" s="9182"/>
      <c r="M26" s="6088"/>
      <c r="N26" s="1587"/>
      <c r="O26" s="1587"/>
      <c r="P26" s="1587"/>
      <c r="Q26" s="1587"/>
      <c r="R26" s="1587"/>
      <c r="S26" s="1587"/>
      <c r="T26" s="6089"/>
      <c r="U26" s="1587"/>
      <c r="V26" s="1587"/>
      <c r="W26" s="1587"/>
      <c r="X26" s="1587"/>
      <c r="Y26" s="1587"/>
      <c r="Z26" s="1587"/>
      <c r="AA26" s="1587"/>
      <c r="AB26" s="1587"/>
      <c r="AC26" s="6090"/>
      <c r="AD26" s="9187"/>
      <c r="AE26" s="9188"/>
      <c r="AF26" s="9188"/>
      <c r="AG26" s="9188"/>
      <c r="AH26" s="9188"/>
      <c r="AI26" s="9188"/>
      <c r="AJ26" s="9188"/>
      <c r="AK26" s="9188"/>
      <c r="AL26" s="9188"/>
      <c r="AM26" s="9188"/>
      <c r="AN26" s="9188"/>
      <c r="AO26" s="9188"/>
      <c r="AP26" s="6067"/>
      <c r="BD26" s="6070"/>
      <c r="BE26" s="6070"/>
      <c r="BF26" s="6070"/>
      <c r="BG26" s="6070"/>
      <c r="BH26" s="6070"/>
      <c r="BI26" s="6070"/>
      <c r="BJ26" s="6070"/>
      <c r="BK26" s="6070"/>
      <c r="BL26" s="6070"/>
      <c r="BM26" s="6070"/>
      <c r="BN26" s="6070"/>
    </row>
    <row r="27" spans="1:66" ht="14.25" customHeight="1" thickTop="1" thickBot="1">
      <c r="A27" s="6067"/>
      <c r="B27" s="9176"/>
      <c r="C27" s="9176"/>
      <c r="D27" s="9183"/>
      <c r="E27" s="9184"/>
      <c r="F27" s="9184"/>
      <c r="G27" s="9184"/>
      <c r="H27" s="9184"/>
      <c r="I27" s="9184"/>
      <c r="J27" s="9184"/>
      <c r="K27" s="9184"/>
      <c r="L27" s="9185"/>
      <c r="M27" s="6092"/>
      <c r="N27" s="6092"/>
      <c r="O27" s="6092"/>
      <c r="P27" s="6092"/>
      <c r="Q27" s="6092"/>
      <c r="R27" s="6092"/>
      <c r="S27" s="6092"/>
      <c r="T27" s="6092"/>
      <c r="U27" s="6092"/>
      <c r="V27" s="6092"/>
      <c r="W27" s="6092"/>
      <c r="X27" s="6092"/>
      <c r="Y27" s="6092"/>
      <c r="Z27" s="6092"/>
      <c r="AA27" s="6092"/>
      <c r="AB27" s="6092"/>
      <c r="AC27" s="6092"/>
      <c r="AD27" s="9189"/>
      <c r="AE27" s="9190"/>
      <c r="AF27" s="9190"/>
      <c r="AG27" s="9190"/>
      <c r="AH27" s="9190"/>
      <c r="AI27" s="9190"/>
      <c r="AJ27" s="9190"/>
      <c r="AK27" s="9190"/>
      <c r="AL27" s="9190"/>
      <c r="AM27" s="9190"/>
      <c r="AN27" s="9190"/>
      <c r="AO27" s="9190"/>
      <c r="AP27" s="6067"/>
      <c r="BD27" s="6070"/>
      <c r="BE27" s="6070"/>
      <c r="BF27" s="6070"/>
      <c r="BG27" s="6070"/>
      <c r="BH27" s="6070"/>
      <c r="BI27" s="6070"/>
      <c r="BJ27" s="6070"/>
      <c r="BK27" s="6070"/>
      <c r="BL27" s="6070"/>
      <c r="BM27" s="6070"/>
      <c r="BN27" s="6070"/>
    </row>
    <row r="28" spans="1:66" ht="3.75" customHeight="1" thickTop="1">
      <c r="A28" s="6067"/>
      <c r="B28" s="9173" t="s">
        <v>553</v>
      </c>
      <c r="C28" s="9174"/>
      <c r="D28" s="9177"/>
      <c r="E28" s="9178"/>
      <c r="F28" s="9178"/>
      <c r="G28" s="9178"/>
      <c r="H28" s="9178"/>
      <c r="I28" s="9178"/>
      <c r="J28" s="9178"/>
      <c r="K28" s="9178"/>
      <c r="L28" s="9179"/>
      <c r="M28" s="6087"/>
      <c r="N28" s="6082"/>
      <c r="O28" s="6082"/>
      <c r="P28" s="6082"/>
      <c r="Q28" s="6082"/>
      <c r="R28" s="6082"/>
      <c r="S28" s="6082"/>
      <c r="T28" s="6082"/>
      <c r="U28" s="6082"/>
      <c r="V28" s="6082"/>
      <c r="W28" s="6082"/>
      <c r="X28" s="6082"/>
      <c r="Y28" s="6082"/>
      <c r="Z28" s="6082"/>
      <c r="AA28" s="6082"/>
      <c r="AB28" s="6082"/>
      <c r="AC28" s="6083"/>
      <c r="AD28" s="9177"/>
      <c r="AE28" s="9186"/>
      <c r="AF28" s="9186"/>
      <c r="AG28" s="9186"/>
      <c r="AH28" s="9186"/>
      <c r="AI28" s="9186"/>
      <c r="AJ28" s="9186"/>
      <c r="AK28" s="9186"/>
      <c r="AL28" s="9186"/>
      <c r="AM28" s="9186"/>
      <c r="AN28" s="9186"/>
      <c r="AO28" s="9186"/>
      <c r="AP28" s="6067"/>
      <c r="BD28" s="6070"/>
      <c r="BE28" s="6070"/>
      <c r="BF28" s="6070"/>
      <c r="BG28" s="6070"/>
      <c r="BH28" s="6070"/>
      <c r="BI28" s="6070"/>
      <c r="BJ28" s="6070"/>
      <c r="BK28" s="6070"/>
      <c r="BL28" s="6070"/>
      <c r="BM28" s="6070"/>
      <c r="BN28" s="6070"/>
    </row>
    <row r="29" spans="1:66" ht="14.25" customHeight="1" thickBot="1">
      <c r="A29" s="6067"/>
      <c r="B29" s="9175"/>
      <c r="C29" s="9175"/>
      <c r="D29" s="9180"/>
      <c r="E29" s="9181"/>
      <c r="F29" s="9181"/>
      <c r="G29" s="9181"/>
      <c r="H29" s="9181"/>
      <c r="I29" s="9181"/>
      <c r="J29" s="9181"/>
      <c r="K29" s="9181"/>
      <c r="L29" s="9182"/>
      <c r="M29" s="6088"/>
      <c r="N29" s="1587"/>
      <c r="O29" s="1587"/>
      <c r="P29" s="1587"/>
      <c r="Q29" s="1587"/>
      <c r="R29" s="1587"/>
      <c r="S29" s="1587"/>
      <c r="T29" s="6089"/>
      <c r="U29" s="1587"/>
      <c r="V29" s="1587"/>
      <c r="W29" s="1587"/>
      <c r="X29" s="1587"/>
      <c r="Y29" s="1587"/>
      <c r="Z29" s="1587"/>
      <c r="AA29" s="1587"/>
      <c r="AB29" s="1587"/>
      <c r="AC29" s="6090"/>
      <c r="AD29" s="9187"/>
      <c r="AE29" s="9188"/>
      <c r="AF29" s="9188"/>
      <c r="AG29" s="9188"/>
      <c r="AH29" s="9188"/>
      <c r="AI29" s="9188"/>
      <c r="AJ29" s="9188"/>
      <c r="AK29" s="9188"/>
      <c r="AL29" s="9188"/>
      <c r="AM29" s="9188"/>
      <c r="AN29" s="9188"/>
      <c r="AO29" s="9188"/>
      <c r="AP29" s="6067"/>
      <c r="BD29" s="6070"/>
      <c r="BE29" s="6070"/>
      <c r="BF29" s="6070"/>
      <c r="BG29" s="6070"/>
      <c r="BH29" s="6070"/>
      <c r="BI29" s="6070"/>
      <c r="BJ29" s="6070"/>
      <c r="BK29" s="6070"/>
      <c r="BL29" s="6070"/>
      <c r="BM29" s="6070"/>
      <c r="BN29" s="6070"/>
    </row>
    <row r="30" spans="1:66" ht="14.25" customHeight="1" thickTop="1" thickBot="1">
      <c r="A30" s="6067"/>
      <c r="B30" s="9176"/>
      <c r="C30" s="9176"/>
      <c r="D30" s="9183"/>
      <c r="E30" s="9184"/>
      <c r="F30" s="9184"/>
      <c r="G30" s="9184"/>
      <c r="H30" s="9184"/>
      <c r="I30" s="9184"/>
      <c r="J30" s="9184"/>
      <c r="K30" s="9184"/>
      <c r="L30" s="9185"/>
      <c r="M30" s="6092"/>
      <c r="N30" s="6092"/>
      <c r="O30" s="6092"/>
      <c r="P30" s="6092"/>
      <c r="Q30" s="6092"/>
      <c r="R30" s="6092"/>
      <c r="S30" s="6092"/>
      <c r="T30" s="6092"/>
      <c r="U30" s="6092"/>
      <c r="V30" s="6092"/>
      <c r="W30" s="6092"/>
      <c r="X30" s="6092"/>
      <c r="Y30" s="6092"/>
      <c r="Z30" s="6092"/>
      <c r="AA30" s="6092"/>
      <c r="AB30" s="6092"/>
      <c r="AC30" s="6092"/>
      <c r="AD30" s="9189"/>
      <c r="AE30" s="9190"/>
      <c r="AF30" s="9190"/>
      <c r="AG30" s="9190"/>
      <c r="AH30" s="9190"/>
      <c r="AI30" s="9190"/>
      <c r="AJ30" s="9190"/>
      <c r="AK30" s="9190"/>
      <c r="AL30" s="9190"/>
      <c r="AM30" s="9190"/>
      <c r="AN30" s="9190"/>
      <c r="AO30" s="9190"/>
      <c r="AP30" s="6067"/>
      <c r="BD30" s="6070"/>
      <c r="BE30" s="6070"/>
      <c r="BF30" s="6070"/>
      <c r="BG30" s="6070"/>
      <c r="BH30" s="6070"/>
      <c r="BI30" s="6070"/>
      <c r="BJ30" s="6070"/>
      <c r="BK30" s="6070"/>
      <c r="BL30" s="6070"/>
      <c r="BM30" s="6070"/>
      <c r="BN30" s="6070"/>
    </row>
    <row r="31" spans="1:66" ht="3.75" customHeight="1" thickTop="1">
      <c r="A31" s="6067"/>
      <c r="B31" s="9173" t="s">
        <v>556</v>
      </c>
      <c r="C31" s="9174"/>
      <c r="D31" s="9177"/>
      <c r="E31" s="9178"/>
      <c r="F31" s="9178"/>
      <c r="G31" s="9178"/>
      <c r="H31" s="9178"/>
      <c r="I31" s="9178"/>
      <c r="J31" s="9178"/>
      <c r="K31" s="9178"/>
      <c r="L31" s="9179"/>
      <c r="M31" s="6087"/>
      <c r="N31" s="6082"/>
      <c r="O31" s="6082"/>
      <c r="P31" s="6082"/>
      <c r="Q31" s="6082"/>
      <c r="R31" s="6082"/>
      <c r="S31" s="6082"/>
      <c r="T31" s="6082"/>
      <c r="U31" s="6082"/>
      <c r="V31" s="6082"/>
      <c r="W31" s="6082"/>
      <c r="X31" s="6082"/>
      <c r="Y31" s="6082"/>
      <c r="Z31" s="6082"/>
      <c r="AA31" s="6082"/>
      <c r="AB31" s="6082"/>
      <c r="AC31" s="6083"/>
      <c r="AD31" s="9177"/>
      <c r="AE31" s="9186"/>
      <c r="AF31" s="9186"/>
      <c r="AG31" s="9186"/>
      <c r="AH31" s="9186"/>
      <c r="AI31" s="9186"/>
      <c r="AJ31" s="9186"/>
      <c r="AK31" s="9186"/>
      <c r="AL31" s="9186"/>
      <c r="AM31" s="9186"/>
      <c r="AN31" s="9186"/>
      <c r="AO31" s="9186"/>
      <c r="AP31" s="6067"/>
      <c r="BD31" s="6070"/>
      <c r="BE31" s="6070"/>
      <c r="BF31" s="6070"/>
      <c r="BG31" s="6070"/>
      <c r="BH31" s="6070"/>
      <c r="BI31" s="6070"/>
      <c r="BJ31" s="6070"/>
      <c r="BK31" s="6070"/>
      <c r="BL31" s="6070"/>
      <c r="BM31" s="6070"/>
      <c r="BN31" s="6070"/>
    </row>
    <row r="32" spans="1:66" ht="14.25" customHeight="1" thickBot="1">
      <c r="A32" s="6067"/>
      <c r="B32" s="9175"/>
      <c r="C32" s="9175"/>
      <c r="D32" s="9180"/>
      <c r="E32" s="9181"/>
      <c r="F32" s="9181"/>
      <c r="G32" s="9181"/>
      <c r="H32" s="9181"/>
      <c r="I32" s="9181"/>
      <c r="J32" s="9181"/>
      <c r="K32" s="9181"/>
      <c r="L32" s="9182"/>
      <c r="M32" s="6088"/>
      <c r="N32" s="1587"/>
      <c r="O32" s="1587"/>
      <c r="P32" s="1587"/>
      <c r="Q32" s="1587"/>
      <c r="R32" s="1587"/>
      <c r="S32" s="1587"/>
      <c r="T32" s="6089"/>
      <c r="U32" s="1587"/>
      <c r="V32" s="1587"/>
      <c r="W32" s="1587"/>
      <c r="X32" s="1587"/>
      <c r="Y32" s="1587"/>
      <c r="Z32" s="1587"/>
      <c r="AA32" s="1587"/>
      <c r="AB32" s="1587"/>
      <c r="AC32" s="6090"/>
      <c r="AD32" s="9187"/>
      <c r="AE32" s="9188"/>
      <c r="AF32" s="9188"/>
      <c r="AG32" s="9188"/>
      <c r="AH32" s="9188"/>
      <c r="AI32" s="9188"/>
      <c r="AJ32" s="9188"/>
      <c r="AK32" s="9188"/>
      <c r="AL32" s="9188"/>
      <c r="AM32" s="9188"/>
      <c r="AN32" s="9188"/>
      <c r="AO32" s="9188"/>
      <c r="AP32" s="6067"/>
      <c r="BD32" s="6070"/>
      <c r="BE32" s="6070"/>
      <c r="BF32" s="6070"/>
      <c r="BG32" s="6070"/>
      <c r="BH32" s="6070"/>
      <c r="BI32" s="6070"/>
      <c r="BJ32" s="6070"/>
      <c r="BK32" s="6070"/>
      <c r="BL32" s="6070"/>
      <c r="BM32" s="6070"/>
      <c r="BN32" s="6070"/>
    </row>
    <row r="33" spans="1:66" ht="14.25" customHeight="1" thickTop="1" thickBot="1">
      <c r="A33" s="6067"/>
      <c r="B33" s="9176"/>
      <c r="C33" s="9176"/>
      <c r="D33" s="9183"/>
      <c r="E33" s="9184"/>
      <c r="F33" s="9184"/>
      <c r="G33" s="9184"/>
      <c r="H33" s="9184"/>
      <c r="I33" s="9184"/>
      <c r="J33" s="9184"/>
      <c r="K33" s="9184"/>
      <c r="L33" s="9185"/>
      <c r="M33" s="6092"/>
      <c r="N33" s="6092"/>
      <c r="O33" s="6092"/>
      <c r="P33" s="6092"/>
      <c r="Q33" s="6092"/>
      <c r="R33" s="6092"/>
      <c r="S33" s="6092"/>
      <c r="T33" s="6092"/>
      <c r="U33" s="6092"/>
      <c r="V33" s="6092"/>
      <c r="W33" s="6092"/>
      <c r="X33" s="6092"/>
      <c r="Y33" s="6092"/>
      <c r="Z33" s="6092"/>
      <c r="AA33" s="6092"/>
      <c r="AB33" s="6092"/>
      <c r="AC33" s="6092"/>
      <c r="AD33" s="9189"/>
      <c r="AE33" s="9190"/>
      <c r="AF33" s="9190"/>
      <c r="AG33" s="9190"/>
      <c r="AH33" s="9190"/>
      <c r="AI33" s="9190"/>
      <c r="AJ33" s="9190"/>
      <c r="AK33" s="9190"/>
      <c r="AL33" s="9190"/>
      <c r="AM33" s="9190"/>
      <c r="AN33" s="9190"/>
      <c r="AO33" s="9190"/>
      <c r="AP33" s="6067"/>
      <c r="BD33" s="6070"/>
      <c r="BE33" s="6070"/>
      <c r="BF33" s="6070"/>
      <c r="BG33" s="6070"/>
      <c r="BH33" s="6070"/>
      <c r="BI33" s="6070"/>
      <c r="BJ33" s="6070"/>
      <c r="BK33" s="6070"/>
      <c r="BL33" s="6070"/>
      <c r="BM33" s="6070"/>
      <c r="BN33" s="6070"/>
    </row>
    <row r="34" spans="1:66" s="6096" customFormat="1" ht="18.75" customHeight="1" thickTop="1">
      <c r="A34" s="6093"/>
      <c r="B34" s="6094" t="s">
        <v>1078</v>
      </c>
      <c r="C34" s="6095"/>
      <c r="D34" s="6095" t="s">
        <v>4260</v>
      </c>
      <c r="E34" s="6095"/>
      <c r="F34" s="6095"/>
      <c r="G34" s="6095"/>
      <c r="H34" s="6095"/>
      <c r="I34" s="6095"/>
      <c r="J34" s="6095"/>
      <c r="K34" s="6095"/>
      <c r="L34" s="6095"/>
      <c r="M34" s="6095"/>
      <c r="N34" s="6095"/>
      <c r="O34" s="6095"/>
      <c r="P34" s="6095"/>
      <c r="Q34" s="6095"/>
      <c r="R34" s="6095"/>
      <c r="S34" s="6095"/>
      <c r="T34" s="6095"/>
      <c r="U34" s="6095"/>
      <c r="V34" s="6095"/>
      <c r="W34" s="6095"/>
      <c r="X34" s="6095"/>
      <c r="Y34" s="6095"/>
      <c r="Z34" s="6095"/>
      <c r="AA34" s="6095"/>
      <c r="AB34" s="6095"/>
      <c r="AC34" s="6095"/>
      <c r="AD34" s="6095"/>
      <c r="AE34" s="6095"/>
      <c r="AF34" s="6095"/>
      <c r="AG34" s="6095"/>
      <c r="AH34" s="6095"/>
      <c r="AI34" s="6095"/>
      <c r="AJ34" s="6095"/>
      <c r="AK34" s="6095"/>
      <c r="AL34" s="6095"/>
      <c r="AM34" s="6095"/>
      <c r="AN34" s="6095"/>
      <c r="AO34" s="6095"/>
      <c r="AP34" s="6093"/>
      <c r="BD34" s="6097"/>
      <c r="BE34" s="6097"/>
      <c r="BF34" s="6097"/>
      <c r="BG34" s="6097"/>
      <c r="BH34" s="6097"/>
      <c r="BI34" s="6097"/>
      <c r="BJ34" s="6097"/>
      <c r="BK34" s="6097"/>
      <c r="BL34" s="6097"/>
      <c r="BM34" s="6097"/>
      <c r="BN34" s="6097"/>
    </row>
    <row r="35" spans="1:66" ht="15" customHeight="1">
      <c r="A35" s="6067"/>
      <c r="B35" s="6098"/>
      <c r="C35" s="6099"/>
      <c r="D35" s="9206" t="s">
        <v>4261</v>
      </c>
      <c r="E35" s="9207"/>
      <c r="F35" s="9207"/>
      <c r="G35" s="9208"/>
      <c r="H35" s="9206" t="s">
        <v>4262</v>
      </c>
      <c r="I35" s="9207"/>
      <c r="J35" s="9207"/>
      <c r="K35" s="9207"/>
      <c r="L35" s="9212"/>
      <c r="M35" s="9206" t="s">
        <v>4263</v>
      </c>
      <c r="N35" s="9207"/>
      <c r="O35" s="9207"/>
      <c r="P35" s="9207"/>
      <c r="Q35" s="9207"/>
      <c r="R35" s="9207"/>
      <c r="S35" s="9208"/>
      <c r="T35" s="9206" t="s">
        <v>4264</v>
      </c>
      <c r="U35" s="9214"/>
      <c r="V35" s="9214"/>
      <c r="W35" s="9214"/>
      <c r="X35" s="9214"/>
      <c r="Y35" s="9214"/>
      <c r="Z35" s="9215"/>
      <c r="AA35" s="9206" t="s">
        <v>4265</v>
      </c>
      <c r="AB35" s="9219"/>
      <c r="AC35" s="9219"/>
      <c r="AD35" s="9219"/>
      <c r="AE35" s="9219"/>
      <c r="AF35" s="9219"/>
      <c r="AG35" s="9220"/>
      <c r="AH35" s="9206" t="s">
        <v>4266</v>
      </c>
      <c r="AI35" s="9219"/>
      <c r="AJ35" s="9219"/>
      <c r="AK35" s="9219"/>
      <c r="AL35" s="9219"/>
      <c r="AM35" s="9219"/>
      <c r="AN35" s="9219"/>
      <c r="AO35" s="9219"/>
      <c r="AP35" s="6067"/>
      <c r="BD35" s="6070"/>
      <c r="BE35" s="6070"/>
      <c r="BF35" s="6070"/>
      <c r="BG35" s="6070"/>
      <c r="BH35" s="6070"/>
      <c r="BI35" s="6070"/>
      <c r="BJ35" s="6070"/>
      <c r="BK35" s="6070"/>
      <c r="BL35" s="6070"/>
      <c r="BM35" s="6070"/>
      <c r="BN35" s="6070"/>
    </row>
    <row r="36" spans="1:66" ht="15" customHeight="1">
      <c r="A36" s="6067"/>
      <c r="B36" s="6100"/>
      <c r="C36" s="6101"/>
      <c r="D36" s="9209"/>
      <c r="E36" s="9210"/>
      <c r="F36" s="9210"/>
      <c r="G36" s="9211"/>
      <c r="H36" s="9209"/>
      <c r="I36" s="9210"/>
      <c r="J36" s="9210"/>
      <c r="K36" s="9210"/>
      <c r="L36" s="9213"/>
      <c r="M36" s="9209"/>
      <c r="N36" s="9210"/>
      <c r="O36" s="9210"/>
      <c r="P36" s="9210"/>
      <c r="Q36" s="9210"/>
      <c r="R36" s="9210"/>
      <c r="S36" s="9211"/>
      <c r="T36" s="9216"/>
      <c r="U36" s="9217"/>
      <c r="V36" s="9217"/>
      <c r="W36" s="9217"/>
      <c r="X36" s="9217"/>
      <c r="Y36" s="9217"/>
      <c r="Z36" s="9218"/>
      <c r="AA36" s="9221"/>
      <c r="AB36" s="9222"/>
      <c r="AC36" s="9222"/>
      <c r="AD36" s="9222"/>
      <c r="AE36" s="9222"/>
      <c r="AF36" s="9222"/>
      <c r="AG36" s="9223"/>
      <c r="AH36" s="9221"/>
      <c r="AI36" s="9222"/>
      <c r="AJ36" s="9222"/>
      <c r="AK36" s="9222"/>
      <c r="AL36" s="9222"/>
      <c r="AM36" s="9222"/>
      <c r="AN36" s="9222"/>
      <c r="AO36" s="9222"/>
      <c r="AP36" s="6067"/>
      <c r="BD36" s="6070"/>
      <c r="BE36" s="6070"/>
      <c r="BF36" s="6070"/>
      <c r="BG36" s="6070"/>
      <c r="BH36" s="6070"/>
      <c r="BI36" s="6070"/>
      <c r="BJ36" s="6070"/>
      <c r="BK36" s="6070"/>
      <c r="BL36" s="6070"/>
      <c r="BM36" s="6070"/>
      <c r="BN36" s="6070"/>
    </row>
    <row r="37" spans="1:66" ht="17.25" customHeight="1">
      <c r="A37" s="6067"/>
      <c r="B37" s="9226" t="s">
        <v>542</v>
      </c>
      <c r="C37" s="9227"/>
      <c r="D37" s="9228"/>
      <c r="E37" s="9229"/>
      <c r="F37" s="9229"/>
      <c r="G37" s="9230"/>
      <c r="H37" s="9231"/>
      <c r="I37" s="9232"/>
      <c r="J37" s="9232"/>
      <c r="K37" s="9232"/>
      <c r="L37" s="9233"/>
      <c r="M37" s="9224"/>
      <c r="N37" s="9225"/>
      <c r="O37" s="9225"/>
      <c r="P37" s="9225"/>
      <c r="Q37" s="9225"/>
      <c r="R37" s="9225"/>
      <c r="S37" s="9234"/>
      <c r="T37" s="9235"/>
      <c r="U37" s="9236"/>
      <c r="V37" s="9236"/>
      <c r="W37" s="9236"/>
      <c r="X37" s="9236"/>
      <c r="Y37" s="9236"/>
      <c r="Z37" s="9237"/>
      <c r="AA37" s="9235"/>
      <c r="AB37" s="9236"/>
      <c r="AC37" s="9236"/>
      <c r="AD37" s="9236"/>
      <c r="AE37" s="9236"/>
      <c r="AF37" s="9236"/>
      <c r="AG37" s="9237"/>
      <c r="AH37" s="9224"/>
      <c r="AI37" s="9225"/>
      <c r="AJ37" s="9225"/>
      <c r="AK37" s="9225"/>
      <c r="AL37" s="9225"/>
      <c r="AM37" s="9225"/>
      <c r="AN37" s="9225"/>
      <c r="AO37" s="9225"/>
      <c r="AP37" s="6067"/>
      <c r="BD37" s="6070"/>
      <c r="BE37" s="6070"/>
      <c r="BF37" s="6070"/>
      <c r="BG37" s="6070"/>
      <c r="BH37" s="6070"/>
      <c r="BI37" s="6070"/>
      <c r="BJ37" s="6070"/>
      <c r="BK37" s="6070"/>
      <c r="BL37" s="6070"/>
      <c r="BM37" s="6070"/>
      <c r="BN37" s="6070"/>
    </row>
    <row r="38" spans="1:66" ht="17.25" customHeight="1">
      <c r="A38" s="6067"/>
      <c r="B38" s="9226" t="s">
        <v>548</v>
      </c>
      <c r="C38" s="9227"/>
      <c r="D38" s="9228"/>
      <c r="E38" s="9229"/>
      <c r="F38" s="9229"/>
      <c r="G38" s="9230"/>
      <c r="H38" s="9231"/>
      <c r="I38" s="9232"/>
      <c r="J38" s="9232"/>
      <c r="K38" s="9232"/>
      <c r="L38" s="9233"/>
      <c r="M38" s="9224"/>
      <c r="N38" s="9225"/>
      <c r="O38" s="9225"/>
      <c r="P38" s="9225"/>
      <c r="Q38" s="9225"/>
      <c r="R38" s="9225"/>
      <c r="S38" s="9234"/>
      <c r="T38" s="9235"/>
      <c r="U38" s="9236"/>
      <c r="V38" s="9236"/>
      <c r="W38" s="9236"/>
      <c r="X38" s="9236"/>
      <c r="Y38" s="9236"/>
      <c r="Z38" s="9237"/>
      <c r="AA38" s="9235"/>
      <c r="AB38" s="9236"/>
      <c r="AC38" s="9236"/>
      <c r="AD38" s="9236"/>
      <c r="AE38" s="9236"/>
      <c r="AF38" s="9236"/>
      <c r="AG38" s="9237"/>
      <c r="AH38" s="9224"/>
      <c r="AI38" s="9225"/>
      <c r="AJ38" s="9225"/>
      <c r="AK38" s="9225"/>
      <c r="AL38" s="9225"/>
      <c r="AM38" s="9225"/>
      <c r="AN38" s="9225"/>
      <c r="AO38" s="9225"/>
      <c r="AP38" s="6067"/>
      <c r="BD38" s="6070"/>
      <c r="BE38" s="6070"/>
      <c r="BF38" s="6070"/>
      <c r="BG38" s="6070"/>
      <c r="BH38" s="6070"/>
      <c r="BI38" s="6070"/>
      <c r="BJ38" s="6070"/>
      <c r="BK38" s="6070"/>
      <c r="BL38" s="6070"/>
      <c r="BM38" s="6070"/>
      <c r="BN38" s="6070"/>
    </row>
    <row r="39" spans="1:66" ht="17.25" customHeight="1">
      <c r="A39" s="6067"/>
      <c r="B39" s="9226" t="s">
        <v>550</v>
      </c>
      <c r="C39" s="9227"/>
      <c r="D39" s="9228"/>
      <c r="E39" s="9229"/>
      <c r="F39" s="9229"/>
      <c r="G39" s="9230"/>
      <c r="H39" s="9231"/>
      <c r="I39" s="9232"/>
      <c r="J39" s="9232"/>
      <c r="K39" s="9232"/>
      <c r="L39" s="9233"/>
      <c r="M39" s="9224"/>
      <c r="N39" s="9225"/>
      <c r="O39" s="9225"/>
      <c r="P39" s="9225"/>
      <c r="Q39" s="9225"/>
      <c r="R39" s="9225"/>
      <c r="S39" s="9234"/>
      <c r="T39" s="9235"/>
      <c r="U39" s="9236"/>
      <c r="V39" s="9236"/>
      <c r="W39" s="9236"/>
      <c r="X39" s="9236"/>
      <c r="Y39" s="9236"/>
      <c r="Z39" s="9237"/>
      <c r="AA39" s="9235"/>
      <c r="AB39" s="9236"/>
      <c r="AC39" s="9236"/>
      <c r="AD39" s="9236"/>
      <c r="AE39" s="9236"/>
      <c r="AF39" s="9236"/>
      <c r="AG39" s="9237"/>
      <c r="AH39" s="9224"/>
      <c r="AI39" s="9225"/>
      <c r="AJ39" s="9225"/>
      <c r="AK39" s="9225"/>
      <c r="AL39" s="9225"/>
      <c r="AM39" s="9225"/>
      <c r="AN39" s="9225"/>
      <c r="AO39" s="9225"/>
      <c r="AP39" s="6067"/>
      <c r="BD39" s="6070"/>
      <c r="BE39" s="6070"/>
      <c r="BF39" s="6070"/>
      <c r="BG39" s="6070"/>
      <c r="BH39" s="6070"/>
      <c r="BI39" s="6070"/>
      <c r="BJ39" s="6070"/>
      <c r="BK39" s="6070"/>
      <c r="BL39" s="6070"/>
      <c r="BM39" s="6070"/>
      <c r="BN39" s="6070"/>
    </row>
    <row r="40" spans="1:66" ht="17.25" customHeight="1">
      <c r="A40" s="6067"/>
      <c r="B40" s="9226" t="s">
        <v>553</v>
      </c>
      <c r="C40" s="9227"/>
      <c r="D40" s="9228"/>
      <c r="E40" s="9229"/>
      <c r="F40" s="9229"/>
      <c r="G40" s="9230"/>
      <c r="H40" s="9231"/>
      <c r="I40" s="9232"/>
      <c r="J40" s="9232"/>
      <c r="K40" s="9232"/>
      <c r="L40" s="9233"/>
      <c r="M40" s="9224"/>
      <c r="N40" s="9225"/>
      <c r="O40" s="9225"/>
      <c r="P40" s="9225"/>
      <c r="Q40" s="9225"/>
      <c r="R40" s="9225"/>
      <c r="S40" s="9234"/>
      <c r="T40" s="9235"/>
      <c r="U40" s="9236"/>
      <c r="V40" s="9236"/>
      <c r="W40" s="9236"/>
      <c r="X40" s="9236"/>
      <c r="Y40" s="9236"/>
      <c r="Z40" s="9237"/>
      <c r="AA40" s="9235"/>
      <c r="AB40" s="9236"/>
      <c r="AC40" s="9236"/>
      <c r="AD40" s="9236"/>
      <c r="AE40" s="9236"/>
      <c r="AF40" s="9236"/>
      <c r="AG40" s="9237"/>
      <c r="AH40" s="9224"/>
      <c r="AI40" s="9225"/>
      <c r="AJ40" s="9225"/>
      <c r="AK40" s="9225"/>
      <c r="AL40" s="9225"/>
      <c r="AM40" s="9225"/>
      <c r="AN40" s="9225"/>
      <c r="AO40" s="9225"/>
      <c r="AP40" s="6067"/>
      <c r="BD40" s="6070"/>
      <c r="BE40" s="6070"/>
      <c r="BF40" s="6070"/>
      <c r="BG40" s="6070"/>
      <c r="BH40" s="6070"/>
      <c r="BI40" s="6070"/>
      <c r="BJ40" s="6070"/>
      <c r="BK40" s="6070"/>
      <c r="BL40" s="6070"/>
      <c r="BM40" s="6070"/>
      <c r="BN40" s="6070"/>
    </row>
    <row r="41" spans="1:66" ht="17.25" customHeight="1" thickBot="1">
      <c r="A41" s="6067"/>
      <c r="B41" s="9244" t="s">
        <v>556</v>
      </c>
      <c r="C41" s="9245"/>
      <c r="D41" s="9246"/>
      <c r="E41" s="9247"/>
      <c r="F41" s="9247"/>
      <c r="G41" s="9248"/>
      <c r="H41" s="9249"/>
      <c r="I41" s="9250"/>
      <c r="J41" s="9250"/>
      <c r="K41" s="9250"/>
      <c r="L41" s="9251"/>
      <c r="M41" s="9238"/>
      <c r="N41" s="9239"/>
      <c r="O41" s="9239"/>
      <c r="P41" s="9239"/>
      <c r="Q41" s="9239"/>
      <c r="R41" s="9239"/>
      <c r="S41" s="9252"/>
      <c r="T41" s="9253"/>
      <c r="U41" s="9254"/>
      <c r="V41" s="9254"/>
      <c r="W41" s="9254"/>
      <c r="X41" s="9254"/>
      <c r="Y41" s="9254"/>
      <c r="Z41" s="9255"/>
      <c r="AA41" s="9253"/>
      <c r="AB41" s="9254"/>
      <c r="AC41" s="9254"/>
      <c r="AD41" s="9254"/>
      <c r="AE41" s="9254"/>
      <c r="AF41" s="9254"/>
      <c r="AG41" s="9255"/>
      <c r="AH41" s="9238"/>
      <c r="AI41" s="9239"/>
      <c r="AJ41" s="9239"/>
      <c r="AK41" s="9239"/>
      <c r="AL41" s="9239"/>
      <c r="AM41" s="9239"/>
      <c r="AN41" s="9239"/>
      <c r="AO41" s="9239"/>
      <c r="AP41" s="6067"/>
      <c r="BD41" s="6070"/>
      <c r="BE41" s="6070"/>
      <c r="BF41" s="6070"/>
      <c r="BG41" s="6070"/>
      <c r="BH41" s="6070"/>
      <c r="BI41" s="6070"/>
      <c r="BJ41" s="6070"/>
      <c r="BK41" s="6070"/>
      <c r="BL41" s="6070"/>
      <c r="BM41" s="6070"/>
      <c r="BN41" s="6070"/>
    </row>
    <row r="42" spans="1:66" ht="17.25" customHeight="1">
      <c r="A42" s="6067"/>
      <c r="B42" s="6077" t="s">
        <v>4267</v>
      </c>
      <c r="C42" s="1587"/>
      <c r="D42" s="1587"/>
      <c r="E42" s="1587"/>
      <c r="F42" s="6103" t="s">
        <v>4268</v>
      </c>
      <c r="G42" s="1587"/>
      <c r="H42" s="1587"/>
      <c r="I42" s="1587"/>
      <c r="J42" s="1587"/>
      <c r="K42" s="1587"/>
      <c r="L42" s="1587"/>
      <c r="M42" s="1587"/>
      <c r="N42" s="1587"/>
      <c r="O42" s="1587"/>
      <c r="P42" s="1587"/>
      <c r="Q42" s="1587"/>
      <c r="R42" s="1587"/>
      <c r="S42" s="1587"/>
      <c r="T42" s="1587"/>
      <c r="U42" s="1587"/>
      <c r="V42" s="1587"/>
      <c r="W42" s="1587"/>
      <c r="X42" s="1587"/>
      <c r="Y42" s="1587"/>
      <c r="Z42" s="1587"/>
      <c r="AA42" s="1587"/>
      <c r="AB42" s="1587"/>
      <c r="AC42" s="1587"/>
      <c r="AD42" s="1587"/>
      <c r="AE42" s="1587"/>
      <c r="AF42" s="1587"/>
      <c r="AG42" s="1587"/>
      <c r="AH42" s="1587"/>
      <c r="AI42" s="1587"/>
      <c r="AJ42" s="1587"/>
      <c r="AK42" s="1587"/>
      <c r="AL42" s="1587"/>
      <c r="AM42" s="1587"/>
      <c r="AN42" s="1587"/>
      <c r="AO42" s="1587"/>
      <c r="AP42" s="6067"/>
      <c r="BD42" s="6070"/>
      <c r="BE42" s="6070"/>
      <c r="BF42" s="6070"/>
      <c r="BG42" s="6070"/>
      <c r="BH42" s="6070"/>
      <c r="BI42" s="6070"/>
      <c r="BJ42" s="6070"/>
      <c r="BK42" s="6070"/>
      <c r="BL42" s="6070"/>
      <c r="BM42" s="6070"/>
      <c r="BN42" s="6070"/>
    </row>
    <row r="43" spans="1:66" ht="12.75" customHeight="1">
      <c r="A43" s="6067"/>
      <c r="B43" s="1587"/>
      <c r="C43" s="1587"/>
      <c r="D43" s="1587"/>
      <c r="E43" s="1587"/>
      <c r="F43" s="6103" t="s">
        <v>5790</v>
      </c>
      <c r="G43" s="1587"/>
      <c r="H43" s="1587"/>
      <c r="I43" s="1587"/>
      <c r="J43" s="1587"/>
      <c r="K43" s="1587"/>
      <c r="L43" s="1587"/>
      <c r="M43" s="1587"/>
      <c r="N43" s="1587"/>
      <c r="O43" s="1587"/>
      <c r="P43" s="1587"/>
      <c r="Q43" s="1587"/>
      <c r="R43" s="1587"/>
      <c r="S43" s="1587"/>
      <c r="T43" s="1587"/>
      <c r="U43" s="1587"/>
      <c r="V43" s="1587"/>
      <c r="W43" s="1587"/>
      <c r="X43" s="1587"/>
      <c r="Y43" s="1587"/>
      <c r="Z43" s="1587"/>
      <c r="AA43" s="1587"/>
      <c r="AB43" s="1587"/>
      <c r="AC43" s="1587"/>
      <c r="AD43" s="1587"/>
      <c r="AE43" s="1587"/>
      <c r="AF43" s="1587"/>
      <c r="AG43" s="1587"/>
      <c r="AH43" s="1587"/>
      <c r="AI43" s="1587"/>
      <c r="AJ43" s="1587"/>
      <c r="AK43" s="1587"/>
      <c r="AL43" s="1587"/>
      <c r="AM43" s="1587"/>
      <c r="AN43" s="1587"/>
      <c r="AO43" s="1587"/>
      <c r="AP43" s="6067"/>
      <c r="BD43" s="6070"/>
      <c r="BE43" s="6070"/>
      <c r="BF43" s="6070"/>
      <c r="BG43" s="6070"/>
      <c r="BH43" s="6070"/>
      <c r="BI43" s="6070"/>
      <c r="BJ43" s="6070"/>
      <c r="BK43" s="6070"/>
      <c r="BL43" s="6070"/>
      <c r="BM43" s="6070"/>
      <c r="BN43" s="6070"/>
    </row>
    <row r="44" spans="1:66" ht="12.75" customHeight="1">
      <c r="A44" s="6067"/>
      <c r="B44" s="1587"/>
      <c r="C44" s="1587"/>
      <c r="D44" s="1587"/>
      <c r="E44" s="1587"/>
      <c r="F44" s="6104" t="s">
        <v>5791</v>
      </c>
      <c r="G44" s="1587"/>
      <c r="H44" s="1587"/>
      <c r="I44" s="1587"/>
      <c r="J44" s="1587"/>
      <c r="K44" s="1587"/>
      <c r="L44" s="1587"/>
      <c r="M44" s="1587"/>
      <c r="N44" s="1587"/>
      <c r="O44" s="1587"/>
      <c r="P44" s="1587"/>
      <c r="Q44" s="1587"/>
      <c r="R44" s="1587"/>
      <c r="S44" s="1587"/>
      <c r="T44" s="1587"/>
      <c r="U44" s="1587"/>
      <c r="V44" s="1587"/>
      <c r="W44" s="1587"/>
      <c r="X44" s="1587"/>
      <c r="Y44" s="1587"/>
      <c r="Z44" s="1587"/>
      <c r="AA44" s="1587"/>
      <c r="AB44" s="1587"/>
      <c r="AC44" s="1587"/>
      <c r="AD44" s="1587"/>
      <c r="AE44" s="1587"/>
      <c r="AF44" s="1587"/>
      <c r="AG44" s="1587"/>
      <c r="AH44" s="1587"/>
      <c r="AI44" s="1587"/>
      <c r="AJ44" s="1587"/>
      <c r="AK44" s="1587"/>
      <c r="AL44" s="1587"/>
      <c r="AM44" s="1587"/>
      <c r="AN44" s="1587"/>
      <c r="AO44" s="1587"/>
      <c r="AP44" s="6067"/>
      <c r="BD44" s="6070"/>
      <c r="BE44" s="6070"/>
      <c r="BF44" s="6070"/>
      <c r="BG44" s="6070"/>
      <c r="BH44" s="6070"/>
      <c r="BI44" s="6070"/>
      <c r="BJ44" s="6070"/>
      <c r="BK44" s="6070"/>
      <c r="BL44" s="6070"/>
      <c r="BM44" s="6070"/>
      <c r="BN44" s="6070"/>
    </row>
    <row r="45" spans="1:66" ht="12.75" customHeight="1">
      <c r="A45" s="6067"/>
      <c r="B45" s="1587"/>
      <c r="C45" s="1587"/>
      <c r="D45" s="1587"/>
      <c r="E45" s="1587"/>
      <c r="F45" s="6104" t="s">
        <v>5792</v>
      </c>
      <c r="G45" s="1587"/>
      <c r="H45" s="1587"/>
      <c r="I45" s="1587"/>
      <c r="J45" s="1587"/>
      <c r="K45" s="1587"/>
      <c r="L45" s="1587"/>
      <c r="M45" s="1587"/>
      <c r="N45" s="1587"/>
      <c r="O45" s="1587"/>
      <c r="P45" s="1587"/>
      <c r="Q45" s="1587"/>
      <c r="R45" s="1587"/>
      <c r="S45" s="1587"/>
      <c r="T45" s="1587"/>
      <c r="U45" s="1587"/>
      <c r="V45" s="1587"/>
      <c r="W45" s="1587"/>
      <c r="X45" s="1587"/>
      <c r="Y45" s="1587"/>
      <c r="Z45" s="1587"/>
      <c r="AA45" s="1587"/>
      <c r="AB45" s="1587"/>
      <c r="AC45" s="1587"/>
      <c r="AD45" s="1587"/>
      <c r="AE45" s="1587"/>
      <c r="AF45" s="1587"/>
      <c r="AG45" s="1587"/>
      <c r="AH45" s="1587"/>
      <c r="AI45" s="1587"/>
      <c r="AJ45" s="1587"/>
      <c r="AK45" s="1587"/>
      <c r="AL45" s="1587"/>
      <c r="AM45" s="1587"/>
      <c r="AN45" s="1587"/>
      <c r="AO45" s="1587"/>
      <c r="AP45" s="6067"/>
      <c r="BD45" s="6070"/>
      <c r="BE45" s="6070"/>
      <c r="BF45" s="6070"/>
      <c r="BG45" s="6070"/>
      <c r="BH45" s="6070"/>
      <c r="BI45" s="6070"/>
      <c r="BJ45" s="6070"/>
      <c r="BK45" s="6070"/>
      <c r="BL45" s="6070"/>
      <c r="BM45" s="6070"/>
      <c r="BN45" s="6070"/>
    </row>
    <row r="46" spans="1:66" ht="12.75" customHeight="1">
      <c r="A46" s="6067"/>
      <c r="B46" s="1587"/>
      <c r="C46" s="1587"/>
      <c r="D46" s="1587"/>
      <c r="E46" s="1587"/>
      <c r="F46" s="6104" t="s">
        <v>5793</v>
      </c>
      <c r="G46" s="1587"/>
      <c r="H46" s="1587"/>
      <c r="I46" s="1587"/>
      <c r="J46" s="1587"/>
      <c r="K46" s="1587"/>
      <c r="L46" s="1587"/>
      <c r="M46" s="1587"/>
      <c r="N46" s="1587"/>
      <c r="O46" s="1587"/>
      <c r="P46" s="1587"/>
      <c r="Q46" s="1587"/>
      <c r="R46" s="1587"/>
      <c r="S46" s="1587"/>
      <c r="T46" s="1587"/>
      <c r="U46" s="1587"/>
      <c r="V46" s="1587"/>
      <c r="W46" s="1587"/>
      <c r="X46" s="1587"/>
      <c r="Y46" s="1587"/>
      <c r="Z46" s="1587"/>
      <c r="AA46" s="1587"/>
      <c r="AB46" s="1587"/>
      <c r="AC46" s="1587"/>
      <c r="AD46" s="1587"/>
      <c r="AE46" s="1587"/>
      <c r="AF46" s="1587"/>
      <c r="AG46" s="1587"/>
      <c r="AH46" s="1587"/>
      <c r="AI46" s="1587"/>
      <c r="AJ46" s="1587"/>
      <c r="AK46" s="1587"/>
      <c r="AL46" s="1587"/>
      <c r="AM46" s="1587"/>
      <c r="AN46" s="1587"/>
      <c r="AO46" s="1587"/>
      <c r="AP46" s="6067"/>
      <c r="BD46" s="6070"/>
      <c r="BE46" s="6070"/>
      <c r="BF46" s="6070"/>
      <c r="BG46" s="6070"/>
      <c r="BH46" s="6070"/>
      <c r="BI46" s="6070"/>
      <c r="BJ46" s="6070"/>
      <c r="BK46" s="6070"/>
      <c r="BL46" s="6070"/>
      <c r="BM46" s="6070"/>
      <c r="BN46" s="6070"/>
    </row>
    <row r="47" spans="1:66" s="6081" customFormat="1" ht="18.75" customHeight="1">
      <c r="A47" s="6079"/>
      <c r="B47" s="9240" t="s">
        <v>884</v>
      </c>
      <c r="C47" s="9240"/>
      <c r="D47" s="9241"/>
      <c r="E47" s="6080"/>
      <c r="F47" s="6105" t="s">
        <v>4269</v>
      </c>
      <c r="G47" s="6080"/>
      <c r="H47" s="6080"/>
      <c r="I47" s="6080"/>
      <c r="J47" s="6080"/>
      <c r="K47" s="6080"/>
      <c r="L47" s="6080"/>
      <c r="M47" s="6080"/>
      <c r="N47" s="6080"/>
      <c r="O47" s="6080"/>
      <c r="P47" s="6080"/>
      <c r="Q47" s="6080"/>
      <c r="R47" s="6080"/>
      <c r="S47" s="6080"/>
      <c r="T47" s="6080"/>
      <c r="U47" s="6080"/>
      <c r="V47" s="6080"/>
      <c r="W47" s="6080"/>
      <c r="X47" s="6080"/>
      <c r="Y47" s="6080"/>
      <c r="Z47" s="6080"/>
      <c r="AA47" s="6080"/>
      <c r="AB47" s="6080"/>
      <c r="AC47" s="6080"/>
      <c r="AD47" s="6080"/>
      <c r="AE47" s="6080"/>
      <c r="AF47" s="6080"/>
      <c r="AG47" s="6080"/>
      <c r="AH47" s="6080"/>
      <c r="AI47" s="6080"/>
      <c r="AJ47" s="6080"/>
      <c r="AK47" s="6080"/>
      <c r="AL47" s="6080"/>
      <c r="AM47" s="6080"/>
      <c r="AN47" s="6080"/>
      <c r="AO47" s="6080"/>
      <c r="AP47" s="6067"/>
      <c r="BD47" s="6070"/>
      <c r="BE47" s="6070"/>
      <c r="BF47" s="6070"/>
      <c r="BG47" s="6070"/>
      <c r="BH47" s="6070"/>
      <c r="BI47" s="6070"/>
      <c r="BJ47" s="6070"/>
      <c r="BK47" s="6070"/>
      <c r="BL47" s="6070"/>
      <c r="BM47" s="6070"/>
      <c r="BN47" s="6070"/>
    </row>
    <row r="48" spans="1:66" ht="15">
      <c r="A48" s="6067"/>
      <c r="B48" s="9242">
        <v>2</v>
      </c>
      <c r="C48" s="9243"/>
      <c r="D48" s="6104" t="s">
        <v>5794</v>
      </c>
      <c r="E48" s="1587"/>
      <c r="F48" s="1587"/>
      <c r="G48" s="1587"/>
      <c r="H48" s="1587"/>
      <c r="I48" s="1587"/>
      <c r="J48" s="1587"/>
      <c r="K48" s="1587"/>
      <c r="L48" s="1587"/>
      <c r="M48" s="1587"/>
      <c r="N48" s="1587"/>
      <c r="O48" s="1587"/>
      <c r="P48" s="1587"/>
      <c r="Q48" s="1587"/>
      <c r="R48" s="1587"/>
      <c r="S48" s="1587"/>
      <c r="T48" s="1587"/>
      <c r="U48" s="1587"/>
      <c r="V48" s="1587"/>
      <c r="W48" s="1587"/>
      <c r="X48" s="1587"/>
      <c r="Y48" s="1587"/>
      <c r="Z48" s="1587"/>
      <c r="AA48" s="1587"/>
      <c r="AB48" s="1587"/>
      <c r="AC48" s="1587"/>
      <c r="AD48" s="1587"/>
      <c r="AE48" s="1587"/>
      <c r="AF48" s="1587"/>
      <c r="AG48" s="1587"/>
      <c r="AH48" s="1587"/>
      <c r="AI48" s="1587"/>
      <c r="AJ48" s="1587"/>
      <c r="AK48" s="1587"/>
      <c r="AL48" s="1587"/>
      <c r="AM48" s="1587"/>
      <c r="AN48" s="1587"/>
      <c r="AO48" s="1587"/>
      <c r="AP48" s="6067"/>
      <c r="BD48" s="6070"/>
      <c r="BE48" s="6070"/>
      <c r="BF48" s="6070"/>
      <c r="BG48" s="6070"/>
      <c r="BH48" s="6070"/>
      <c r="BI48" s="6070"/>
      <c r="BJ48" s="6070"/>
      <c r="BK48" s="6070"/>
      <c r="BL48" s="6070"/>
      <c r="BM48" s="6070"/>
      <c r="BN48" s="6070"/>
    </row>
    <row r="49" spans="1:66" ht="6" customHeight="1">
      <c r="A49" s="6067"/>
      <c r="B49" s="6106"/>
      <c r="C49" s="6107"/>
      <c r="D49" s="6104"/>
      <c r="E49" s="1587"/>
      <c r="F49" s="1587"/>
      <c r="G49" s="1587"/>
      <c r="H49" s="1587"/>
      <c r="I49" s="1587"/>
      <c r="J49" s="1587"/>
      <c r="K49" s="1587"/>
      <c r="L49" s="1587"/>
      <c r="M49" s="1587"/>
      <c r="N49" s="1587"/>
      <c r="O49" s="1587"/>
      <c r="P49" s="1587"/>
      <c r="Q49" s="1587"/>
      <c r="R49" s="1587"/>
      <c r="S49" s="1587"/>
      <c r="T49" s="1587"/>
      <c r="U49" s="1587"/>
      <c r="V49" s="1587"/>
      <c r="W49" s="1587"/>
      <c r="X49" s="1587"/>
      <c r="Y49" s="1587"/>
      <c r="Z49" s="1587"/>
      <c r="AA49" s="1587"/>
      <c r="AB49" s="1587"/>
      <c r="AC49" s="1587"/>
      <c r="AD49" s="1587"/>
      <c r="AE49" s="1587"/>
      <c r="AF49" s="1587"/>
      <c r="AG49" s="1587"/>
      <c r="AH49" s="1587"/>
      <c r="AI49" s="1587"/>
      <c r="AJ49" s="1587"/>
      <c r="AK49" s="1587"/>
      <c r="AL49" s="1587"/>
      <c r="AM49" s="1587"/>
      <c r="AN49" s="1587"/>
      <c r="AO49" s="1587"/>
      <c r="AP49" s="6067"/>
      <c r="BD49" s="6070"/>
      <c r="BE49" s="6070"/>
      <c r="BF49" s="6070"/>
      <c r="BG49" s="6070"/>
      <c r="BH49" s="6070"/>
      <c r="BI49" s="6070"/>
      <c r="BJ49" s="6070"/>
      <c r="BK49" s="6070"/>
      <c r="BL49" s="6070"/>
      <c r="BM49" s="6070"/>
      <c r="BN49" s="6070"/>
    </row>
    <row r="50" spans="1:66" ht="15">
      <c r="A50" s="6067"/>
      <c r="B50" s="9242"/>
      <c r="C50" s="9243"/>
      <c r="D50" s="6108" t="s">
        <v>640</v>
      </c>
      <c r="E50" s="6109"/>
      <c r="F50" s="6110" t="s">
        <v>5795</v>
      </c>
      <c r="G50" s="1587"/>
      <c r="H50" s="1587"/>
      <c r="I50" s="1587"/>
      <c r="J50" s="1587"/>
      <c r="K50" s="1587"/>
      <c r="L50" s="1587"/>
      <c r="M50" s="1587"/>
      <c r="N50" s="1587"/>
      <c r="O50" s="1587"/>
      <c r="P50" s="6108" t="s">
        <v>656</v>
      </c>
      <c r="Q50" s="6109"/>
      <c r="R50" s="6110" t="s">
        <v>4270</v>
      </c>
      <c r="S50" s="1587"/>
      <c r="T50" s="1587"/>
      <c r="U50" s="1587"/>
      <c r="V50" s="1587"/>
      <c r="W50" s="1587"/>
      <c r="X50" s="1587"/>
      <c r="Y50" s="1587"/>
      <c r="Z50" s="1587"/>
      <c r="AA50" s="1587"/>
      <c r="AB50" s="1587"/>
      <c r="AC50" s="1587"/>
      <c r="AD50" s="6108" t="s">
        <v>672</v>
      </c>
      <c r="AE50" s="6109"/>
      <c r="AF50" s="6110" t="s">
        <v>4271</v>
      </c>
      <c r="AG50" s="1587"/>
      <c r="AH50" s="1587"/>
      <c r="AI50" s="1587"/>
      <c r="AJ50" s="1587"/>
      <c r="AK50" s="1587"/>
      <c r="AL50" s="1587"/>
      <c r="AM50" s="1587"/>
      <c r="AN50" s="1587"/>
      <c r="AO50" s="1587"/>
      <c r="AP50" s="6067"/>
      <c r="BD50" s="6070"/>
      <c r="BE50" s="6070"/>
      <c r="BF50" s="6070"/>
      <c r="BG50" s="6070"/>
      <c r="BH50" s="6070"/>
      <c r="BI50" s="6070"/>
      <c r="BJ50" s="6070"/>
      <c r="BK50" s="6070"/>
      <c r="BL50" s="6070"/>
      <c r="BM50" s="6070"/>
      <c r="BN50" s="6070"/>
    </row>
    <row r="51" spans="1:66" ht="6" customHeight="1">
      <c r="A51" s="6067"/>
      <c r="B51" s="6106"/>
      <c r="C51" s="6107"/>
      <c r="D51" s="6104"/>
      <c r="E51" s="1587"/>
      <c r="F51" s="1587"/>
      <c r="G51" s="1587"/>
      <c r="H51" s="1587"/>
      <c r="I51" s="1587"/>
      <c r="J51" s="1587"/>
      <c r="K51" s="1587"/>
      <c r="L51" s="1587"/>
      <c r="M51" s="1587"/>
      <c r="N51" s="1587"/>
      <c r="O51" s="1587"/>
      <c r="P51" s="1587"/>
      <c r="Q51" s="1587"/>
      <c r="R51" s="1587"/>
      <c r="S51" s="1587"/>
      <c r="T51" s="1587"/>
      <c r="U51" s="1587"/>
      <c r="V51" s="1587"/>
      <c r="W51" s="1587"/>
      <c r="X51" s="1587"/>
      <c r="Y51" s="1587"/>
      <c r="Z51" s="1587"/>
      <c r="AA51" s="1587"/>
      <c r="AB51" s="1587"/>
      <c r="AC51" s="1587"/>
      <c r="AD51" s="1587"/>
      <c r="AE51" s="1587"/>
      <c r="AF51" s="1587"/>
      <c r="AG51" s="1587"/>
      <c r="AH51" s="1587"/>
      <c r="AI51" s="1587"/>
      <c r="AJ51" s="1587"/>
      <c r="AK51" s="1587"/>
      <c r="AL51" s="1587"/>
      <c r="AM51" s="1587"/>
      <c r="AN51" s="1587"/>
      <c r="AO51" s="1587"/>
      <c r="AP51" s="6067"/>
      <c r="BD51" s="6070"/>
      <c r="BE51" s="6070"/>
      <c r="BF51" s="6070"/>
      <c r="BG51" s="6070"/>
      <c r="BH51" s="6070"/>
      <c r="BI51" s="6070"/>
      <c r="BJ51" s="6070"/>
      <c r="BK51" s="6070"/>
      <c r="BL51" s="6070"/>
      <c r="BM51" s="6070"/>
      <c r="BN51" s="6070"/>
    </row>
    <row r="52" spans="1:66" ht="15">
      <c r="A52" s="6067"/>
      <c r="B52" s="9242"/>
      <c r="C52" s="9243"/>
      <c r="D52" s="6108" t="s">
        <v>644</v>
      </c>
      <c r="E52" s="6109"/>
      <c r="F52" s="6110" t="s">
        <v>4272</v>
      </c>
      <c r="G52" s="1587"/>
      <c r="H52" s="1587"/>
      <c r="I52" s="1587"/>
      <c r="J52" s="1587"/>
      <c r="K52" s="1587"/>
      <c r="L52" s="1587"/>
      <c r="M52" s="1587"/>
      <c r="N52" s="1587"/>
      <c r="O52" s="1587"/>
      <c r="P52" s="6108" t="s">
        <v>659</v>
      </c>
      <c r="Q52" s="6109"/>
      <c r="R52" s="6110" t="s">
        <v>4273</v>
      </c>
      <c r="S52" s="1587"/>
      <c r="T52" s="1587"/>
      <c r="U52" s="1587"/>
      <c r="V52" s="1587"/>
      <c r="W52" s="1587"/>
      <c r="X52" s="1587"/>
      <c r="Y52" s="1587"/>
      <c r="Z52" s="1587"/>
      <c r="AA52" s="1587"/>
      <c r="AB52" s="1587"/>
      <c r="AC52" s="1587"/>
      <c r="AD52" s="6108" t="s">
        <v>928</v>
      </c>
      <c r="AE52" s="6109"/>
      <c r="AF52" s="6110" t="s">
        <v>5796</v>
      </c>
      <c r="AG52" s="1587"/>
      <c r="AH52" s="1587"/>
      <c r="AI52" s="1587"/>
      <c r="AJ52" s="1587"/>
      <c r="AK52" s="1587"/>
      <c r="AL52" s="1587"/>
      <c r="AM52" s="1587"/>
      <c r="AN52" s="1587"/>
      <c r="AO52" s="1587"/>
      <c r="AP52" s="6067"/>
      <c r="BD52" s="6070"/>
      <c r="BE52" s="6070"/>
      <c r="BF52" s="6070"/>
      <c r="BG52" s="6070"/>
      <c r="BH52" s="6070"/>
      <c r="BI52" s="6070"/>
      <c r="BJ52" s="6070"/>
      <c r="BK52" s="6070"/>
      <c r="BL52" s="6070"/>
      <c r="BM52" s="6070"/>
      <c r="BN52" s="6070"/>
    </row>
    <row r="53" spans="1:66" ht="6" customHeight="1">
      <c r="A53" s="6067"/>
      <c r="B53" s="6106"/>
      <c r="C53" s="6107"/>
      <c r="D53" s="6104"/>
      <c r="E53" s="1587"/>
      <c r="F53" s="1587"/>
      <c r="G53" s="1587"/>
      <c r="H53" s="1587"/>
      <c r="I53" s="1587"/>
      <c r="J53" s="1587"/>
      <c r="K53" s="1587"/>
      <c r="L53" s="1587"/>
      <c r="M53" s="1587"/>
      <c r="N53" s="1587"/>
      <c r="O53" s="1587"/>
      <c r="P53" s="1587"/>
      <c r="Q53" s="1587"/>
      <c r="R53" s="1587"/>
      <c r="S53" s="1587"/>
      <c r="T53" s="1587"/>
      <c r="U53" s="1587"/>
      <c r="V53" s="1587"/>
      <c r="W53" s="1587"/>
      <c r="X53" s="1587"/>
      <c r="Y53" s="1587"/>
      <c r="Z53" s="1587"/>
      <c r="AA53" s="1587"/>
      <c r="AB53" s="1587"/>
      <c r="AC53" s="1587"/>
      <c r="AD53" s="1587"/>
      <c r="AE53" s="1587"/>
      <c r="AF53" s="1587"/>
      <c r="AG53" s="1587"/>
      <c r="AH53" s="1587"/>
      <c r="AI53" s="1587"/>
      <c r="AJ53" s="1587"/>
      <c r="AK53" s="1587"/>
      <c r="AL53" s="1587"/>
      <c r="AM53" s="1587"/>
      <c r="AN53" s="1587"/>
      <c r="AO53" s="1587"/>
      <c r="AP53" s="6067"/>
      <c r="BD53" s="6070"/>
      <c r="BE53" s="6070"/>
      <c r="BF53" s="6070"/>
      <c r="BG53" s="6070"/>
      <c r="BH53" s="6070"/>
      <c r="BI53" s="6070"/>
      <c r="BJ53" s="6070"/>
      <c r="BK53" s="6070"/>
      <c r="BL53" s="6070"/>
      <c r="BM53" s="6070"/>
      <c r="BN53" s="6070"/>
    </row>
    <row r="54" spans="1:66" ht="15">
      <c r="A54" s="6067"/>
      <c r="B54" s="9242"/>
      <c r="C54" s="9243"/>
      <c r="D54" s="6108" t="s">
        <v>648</v>
      </c>
      <c r="E54" s="6109"/>
      <c r="F54" s="6110" t="s">
        <v>4274</v>
      </c>
      <c r="G54" s="1587"/>
      <c r="H54" s="1587"/>
      <c r="I54" s="1587"/>
      <c r="J54" s="1587"/>
      <c r="K54" s="1587"/>
      <c r="L54" s="1587"/>
      <c r="M54" s="1587"/>
      <c r="N54" s="1587"/>
      <c r="O54" s="1587"/>
      <c r="P54" s="6108" t="s">
        <v>663</v>
      </c>
      <c r="Q54" s="6109"/>
      <c r="R54" s="6110" t="s">
        <v>5797</v>
      </c>
      <c r="S54" s="1587"/>
      <c r="T54" s="1587"/>
      <c r="U54" s="1587"/>
      <c r="V54" s="1587"/>
      <c r="W54" s="1587"/>
      <c r="X54" s="1587"/>
      <c r="Y54" s="1587"/>
      <c r="Z54" s="1587"/>
      <c r="AA54" s="1587"/>
      <c r="AB54" s="1587"/>
      <c r="AC54" s="1587"/>
      <c r="AD54" s="6108" t="s">
        <v>932</v>
      </c>
      <c r="AE54" s="6109"/>
      <c r="AF54" s="6110" t="s">
        <v>4275</v>
      </c>
      <c r="AG54" s="1587"/>
      <c r="AH54" s="1587"/>
      <c r="AI54" s="1587"/>
      <c r="AJ54" s="1587"/>
      <c r="AK54" s="1587"/>
      <c r="AL54" s="1587"/>
      <c r="AM54" s="1587"/>
      <c r="AN54" s="1587"/>
      <c r="AO54" s="1587"/>
      <c r="AP54" s="6067"/>
      <c r="BD54" s="6070"/>
      <c r="BE54" s="6070"/>
      <c r="BF54" s="6070"/>
      <c r="BG54" s="6070"/>
      <c r="BH54" s="6070"/>
      <c r="BI54" s="6070"/>
      <c r="BJ54" s="6070"/>
      <c r="BK54" s="6070"/>
      <c r="BL54" s="6070"/>
      <c r="BM54" s="6070"/>
      <c r="BN54" s="6070"/>
    </row>
    <row r="55" spans="1:66" ht="6" customHeight="1">
      <c r="A55" s="6067"/>
      <c r="B55" s="6106"/>
      <c r="C55" s="6107"/>
      <c r="D55" s="6104"/>
      <c r="E55" s="1587"/>
      <c r="F55" s="1587"/>
      <c r="G55" s="1587"/>
      <c r="H55" s="1587"/>
      <c r="I55" s="1587"/>
      <c r="J55" s="1587"/>
      <c r="K55" s="1587"/>
      <c r="L55" s="1587"/>
      <c r="M55" s="1587"/>
      <c r="N55" s="1587"/>
      <c r="O55" s="1587"/>
      <c r="P55" s="1587"/>
      <c r="Q55" s="1587"/>
      <c r="R55" s="1587"/>
      <c r="S55" s="1587"/>
      <c r="T55" s="1587"/>
      <c r="U55" s="1587"/>
      <c r="V55" s="1587"/>
      <c r="W55" s="1587"/>
      <c r="X55" s="1587"/>
      <c r="Y55" s="1587"/>
      <c r="Z55" s="1587"/>
      <c r="AA55" s="1587"/>
      <c r="AB55" s="1587"/>
      <c r="AC55" s="1587"/>
      <c r="AD55" s="1587"/>
      <c r="AE55" s="1587"/>
      <c r="AF55" s="1587"/>
      <c r="AG55" s="1587"/>
      <c r="AH55" s="1587"/>
      <c r="AI55" s="1587"/>
      <c r="AJ55" s="1587"/>
      <c r="AK55" s="1587"/>
      <c r="AL55" s="1587"/>
      <c r="AM55" s="1587"/>
      <c r="AN55" s="1587"/>
      <c r="AO55" s="1587"/>
      <c r="AP55" s="6067"/>
      <c r="BD55" s="6070"/>
      <c r="BE55" s="6070"/>
      <c r="BF55" s="6070"/>
      <c r="BG55" s="6070"/>
      <c r="BH55" s="6070"/>
      <c r="BI55" s="6070"/>
      <c r="BJ55" s="6070"/>
      <c r="BK55" s="6070"/>
      <c r="BL55" s="6070"/>
      <c r="BM55" s="6070"/>
      <c r="BN55" s="6070"/>
    </row>
    <row r="56" spans="1:66" ht="15">
      <c r="A56" s="6067"/>
      <c r="B56" s="9242"/>
      <c r="C56" s="9243"/>
      <c r="D56" s="6108" t="s">
        <v>652</v>
      </c>
      <c r="E56" s="6109"/>
      <c r="F56" s="6110" t="s">
        <v>4276</v>
      </c>
      <c r="G56" s="1587"/>
      <c r="H56" s="1587"/>
      <c r="I56" s="1587"/>
      <c r="J56" s="1587"/>
      <c r="K56" s="1587"/>
      <c r="L56" s="1587"/>
      <c r="M56" s="1587"/>
      <c r="N56" s="1587"/>
      <c r="O56" s="1587"/>
      <c r="P56" s="6108" t="s">
        <v>668</v>
      </c>
      <c r="Q56" s="6109"/>
      <c r="R56" s="6110" t="s">
        <v>4277</v>
      </c>
      <c r="S56" s="1587"/>
      <c r="T56" s="1587"/>
      <c r="U56" s="1587"/>
      <c r="V56" s="1587"/>
      <c r="W56" s="1587"/>
      <c r="X56" s="1587"/>
      <c r="Y56" s="1587"/>
      <c r="Z56" s="1587"/>
      <c r="AA56" s="1587"/>
      <c r="AB56" s="1587"/>
      <c r="AC56" s="1587"/>
      <c r="AD56" s="1587"/>
      <c r="AE56" s="1587"/>
      <c r="AF56" s="1587"/>
      <c r="AG56" s="1587"/>
      <c r="AH56" s="1587"/>
      <c r="AI56" s="1587"/>
      <c r="AJ56" s="1587"/>
      <c r="AK56" s="1587"/>
      <c r="AL56" s="1587"/>
      <c r="AM56" s="1587"/>
      <c r="AN56" s="1587"/>
      <c r="AO56" s="1587"/>
      <c r="AP56" s="6067"/>
      <c r="BD56" s="6070"/>
      <c r="BE56" s="6070"/>
      <c r="BF56" s="6070"/>
      <c r="BG56" s="6070"/>
      <c r="BH56" s="6070"/>
      <c r="BI56" s="6070"/>
      <c r="BJ56" s="6070"/>
      <c r="BK56" s="6070"/>
      <c r="BL56" s="6070"/>
      <c r="BM56" s="6070"/>
      <c r="BN56" s="6070"/>
    </row>
    <row r="57" spans="1:66">
      <c r="A57" s="6067"/>
      <c r="B57" s="1587"/>
      <c r="C57" s="6111" t="s">
        <v>5798</v>
      </c>
      <c r="D57" s="6072"/>
      <c r="E57" s="1587"/>
      <c r="F57" s="1587"/>
      <c r="G57" s="1587"/>
      <c r="H57" s="1587"/>
      <c r="I57" s="1587"/>
      <c r="J57" s="1587"/>
      <c r="K57" s="1587"/>
      <c r="L57" s="1587"/>
      <c r="M57" s="1587"/>
      <c r="N57" s="1587"/>
      <c r="O57" s="1587"/>
      <c r="P57" s="1587"/>
      <c r="Q57" s="1587"/>
      <c r="R57" s="1587"/>
      <c r="S57" s="1587"/>
      <c r="T57" s="6112"/>
      <c r="U57" s="1587"/>
      <c r="V57" s="1587"/>
      <c r="W57" s="1587"/>
      <c r="X57" s="1587"/>
      <c r="Y57" s="1587"/>
      <c r="Z57" s="1587"/>
      <c r="AA57" s="1587"/>
      <c r="AB57" s="1587"/>
      <c r="AC57" s="1587"/>
      <c r="AD57" s="1587"/>
      <c r="AE57" s="1587"/>
      <c r="AF57" s="1587"/>
      <c r="AG57" s="1587"/>
      <c r="AH57" s="1587"/>
      <c r="AI57" s="1587"/>
      <c r="AJ57" s="1587"/>
      <c r="AK57" s="1587"/>
      <c r="AL57" s="1587"/>
      <c r="AM57" s="1587"/>
      <c r="AN57" s="1587"/>
      <c r="AO57" s="1587"/>
      <c r="AP57" s="6067"/>
      <c r="BD57" s="6070"/>
      <c r="BE57" s="6070"/>
      <c r="BF57" s="6070"/>
      <c r="BG57" s="6070"/>
      <c r="BH57" s="6070"/>
      <c r="BI57" s="6070"/>
      <c r="BJ57" s="6070"/>
      <c r="BK57" s="6070"/>
      <c r="BL57" s="6070"/>
      <c r="BM57" s="6070"/>
      <c r="BN57" s="6070"/>
    </row>
    <row r="58" spans="1:66">
      <c r="A58" s="6067"/>
      <c r="B58" s="1587"/>
      <c r="C58" s="6111" t="s">
        <v>5799</v>
      </c>
      <c r="D58" s="1587"/>
      <c r="E58" s="1587"/>
      <c r="F58" s="1587"/>
      <c r="G58" s="1587"/>
      <c r="H58" s="1587"/>
      <c r="I58" s="1587"/>
      <c r="J58" s="1587"/>
      <c r="K58" s="1587"/>
      <c r="L58" s="1587"/>
      <c r="M58" s="1587"/>
      <c r="N58" s="1587"/>
      <c r="O58" s="1587"/>
      <c r="P58" s="1587"/>
      <c r="Q58" s="1587"/>
      <c r="R58" s="1587"/>
      <c r="S58" s="1587"/>
      <c r="T58" s="6112"/>
      <c r="U58" s="1587"/>
      <c r="V58" s="1587"/>
      <c r="W58" s="1587"/>
      <c r="X58" s="1587"/>
      <c r="Y58" s="1587"/>
      <c r="Z58" s="1587"/>
      <c r="AA58" s="1587"/>
      <c r="AB58" s="1587"/>
      <c r="AC58" s="1587"/>
      <c r="AD58" s="1587"/>
      <c r="AE58" s="1587"/>
      <c r="AF58" s="1587"/>
      <c r="AG58" s="1587"/>
      <c r="AH58" s="1587"/>
      <c r="AI58" s="1587"/>
      <c r="AJ58" s="1587"/>
      <c r="AK58" s="1587"/>
      <c r="AL58" s="1587"/>
      <c r="AM58" s="1587"/>
      <c r="AN58" s="1587"/>
      <c r="AO58" s="1587"/>
      <c r="AP58" s="6067"/>
      <c r="BD58" s="6070"/>
      <c r="BE58" s="6070"/>
      <c r="BF58" s="6070"/>
      <c r="BG58" s="6070"/>
      <c r="BH58" s="6070"/>
      <c r="BI58" s="6070"/>
      <c r="BJ58" s="6070"/>
      <c r="BK58" s="6070"/>
      <c r="BL58" s="6070"/>
      <c r="BM58" s="6070"/>
      <c r="BN58" s="6070"/>
    </row>
    <row r="59" spans="1:66">
      <c r="A59" s="6067"/>
      <c r="B59" s="1587"/>
      <c r="C59" s="6111" t="s">
        <v>5800</v>
      </c>
      <c r="D59" s="1587"/>
      <c r="E59" s="1587"/>
      <c r="F59" s="1587"/>
      <c r="G59" s="1587"/>
      <c r="H59" s="1587"/>
      <c r="I59" s="1587"/>
      <c r="J59" s="1587"/>
      <c r="K59" s="1587"/>
      <c r="L59" s="1587"/>
      <c r="M59" s="1587"/>
      <c r="N59" s="1587"/>
      <c r="O59" s="1587"/>
      <c r="P59" s="1587"/>
      <c r="Q59" s="1587"/>
      <c r="R59" s="1587"/>
      <c r="S59" s="1587"/>
      <c r="T59" s="6112"/>
      <c r="U59" s="1587"/>
      <c r="V59" s="1587"/>
      <c r="W59" s="1587"/>
      <c r="X59" s="1587"/>
      <c r="Y59" s="1587"/>
      <c r="Z59" s="1587"/>
      <c r="AA59" s="1587"/>
      <c r="AB59" s="1587"/>
      <c r="AC59" s="1587"/>
      <c r="AD59" s="1587"/>
      <c r="AE59" s="1587"/>
      <c r="AF59" s="1587"/>
      <c r="AG59" s="1587"/>
      <c r="AH59" s="1587"/>
      <c r="AI59" s="1587"/>
      <c r="AJ59" s="1587"/>
      <c r="AK59" s="1587"/>
      <c r="AL59" s="1587"/>
      <c r="AM59" s="1587"/>
      <c r="AN59" s="1587"/>
      <c r="AO59" s="1587"/>
      <c r="AP59" s="6067"/>
      <c r="BD59" s="6070"/>
      <c r="BE59" s="6070"/>
      <c r="BF59" s="6070"/>
      <c r="BG59" s="6070"/>
      <c r="BH59" s="6070"/>
      <c r="BI59" s="6070"/>
      <c r="BJ59" s="6070"/>
      <c r="BK59" s="6070"/>
      <c r="BL59" s="6070"/>
      <c r="BM59" s="6070"/>
      <c r="BN59" s="6070"/>
    </row>
    <row r="60" spans="1:66" s="6096" customFormat="1" ht="18" customHeight="1">
      <c r="A60" s="6093"/>
      <c r="B60" s="6113" t="s">
        <v>5801</v>
      </c>
      <c r="C60" s="6114"/>
      <c r="D60" s="6114"/>
      <c r="E60" s="6114"/>
      <c r="F60" s="6114"/>
      <c r="G60" s="6114"/>
      <c r="H60" s="6114"/>
      <c r="I60" s="6114"/>
      <c r="J60" s="6114"/>
      <c r="K60" s="6114"/>
      <c r="L60" s="6114"/>
      <c r="M60" s="6114"/>
      <c r="N60" s="6114"/>
      <c r="O60" s="6114"/>
      <c r="P60" s="6114"/>
      <c r="Q60" s="6114"/>
      <c r="R60" s="6114"/>
      <c r="S60" s="6114"/>
      <c r="T60" s="6115"/>
      <c r="U60" s="6114"/>
      <c r="V60" s="6114"/>
      <c r="W60" s="6114"/>
      <c r="X60" s="6114"/>
      <c r="Y60" s="6114"/>
      <c r="Z60" s="6114"/>
      <c r="AA60" s="6114"/>
      <c r="AB60" s="6114"/>
      <c r="AC60" s="6114"/>
      <c r="AD60" s="6114"/>
      <c r="AE60" s="6114"/>
      <c r="AF60" s="6114"/>
      <c r="AG60" s="6114"/>
      <c r="AH60" s="6114"/>
      <c r="AI60" s="6114"/>
      <c r="AJ60" s="6114"/>
      <c r="AK60" s="6114"/>
      <c r="AL60" s="6114"/>
      <c r="AM60" s="6114"/>
      <c r="AN60" s="6114"/>
      <c r="AO60" s="6114"/>
      <c r="AP60" s="6093"/>
      <c r="BD60" s="6097"/>
      <c r="BE60" s="6097"/>
      <c r="BF60" s="6097"/>
      <c r="BG60" s="6097"/>
      <c r="BH60" s="6097"/>
      <c r="BI60" s="6097"/>
      <c r="BJ60" s="6097"/>
      <c r="BK60" s="6097"/>
      <c r="BL60" s="6097"/>
      <c r="BM60" s="6097"/>
      <c r="BN60" s="6097"/>
    </row>
    <row r="61" spans="1:66" ht="7.5" customHeight="1">
      <c r="A61" s="6067"/>
      <c r="B61" s="9193">
        <v>3</v>
      </c>
      <c r="C61" s="9174"/>
      <c r="D61" s="9196" t="s">
        <v>4278</v>
      </c>
      <c r="E61" s="9174"/>
      <c r="F61" s="9174"/>
      <c r="G61" s="9174"/>
      <c r="H61" s="9174"/>
      <c r="I61" s="9174"/>
      <c r="J61" s="9174"/>
      <c r="K61" s="9174"/>
      <c r="L61" s="9174"/>
      <c r="M61" s="9174"/>
      <c r="N61" s="9174"/>
      <c r="O61" s="9263"/>
      <c r="P61" s="9203" t="s">
        <v>4279</v>
      </c>
      <c r="Q61" s="9266"/>
      <c r="R61" s="9266"/>
      <c r="S61" s="9266"/>
      <c r="T61" s="9266"/>
      <c r="U61" s="9266"/>
      <c r="V61" s="9266"/>
      <c r="W61" s="9266"/>
      <c r="X61" s="9266"/>
      <c r="Y61" s="9266"/>
      <c r="Z61" s="9266"/>
      <c r="AA61" s="9266"/>
      <c r="AB61" s="9266"/>
      <c r="AC61" s="9266"/>
      <c r="AD61" s="9266"/>
      <c r="AE61" s="9266"/>
      <c r="AF61" s="9266"/>
      <c r="AG61" s="9266"/>
      <c r="AH61" s="9266"/>
      <c r="AI61" s="9266"/>
      <c r="AJ61" s="9267"/>
      <c r="AK61" s="9274" t="s">
        <v>4280</v>
      </c>
      <c r="AL61" s="9197"/>
      <c r="AM61" s="9197"/>
      <c r="AN61" s="9197"/>
      <c r="AO61" s="9197"/>
      <c r="AP61" s="6067"/>
      <c r="BD61" s="6070"/>
      <c r="BE61" s="6070"/>
      <c r="BF61" s="6070"/>
      <c r="BG61" s="6070"/>
      <c r="BH61" s="6070"/>
      <c r="BI61" s="6070"/>
      <c r="BJ61" s="6070"/>
      <c r="BK61" s="6070"/>
      <c r="BL61" s="6070"/>
      <c r="BM61" s="6070"/>
      <c r="BN61" s="6070"/>
    </row>
    <row r="62" spans="1:66">
      <c r="A62" s="6067"/>
      <c r="B62" s="9175"/>
      <c r="C62" s="9175"/>
      <c r="D62" s="9175"/>
      <c r="E62" s="9175"/>
      <c r="F62" s="9175"/>
      <c r="G62" s="9175"/>
      <c r="H62" s="9175"/>
      <c r="I62" s="9175"/>
      <c r="J62" s="9175"/>
      <c r="K62" s="9175"/>
      <c r="L62" s="9175"/>
      <c r="M62" s="9175"/>
      <c r="N62" s="9175"/>
      <c r="O62" s="9264"/>
      <c r="P62" s="9268"/>
      <c r="Q62" s="9269"/>
      <c r="R62" s="9269"/>
      <c r="S62" s="9269"/>
      <c r="T62" s="9269"/>
      <c r="U62" s="9269"/>
      <c r="V62" s="9269"/>
      <c r="W62" s="9269"/>
      <c r="X62" s="9269"/>
      <c r="Y62" s="9269"/>
      <c r="Z62" s="9269"/>
      <c r="AA62" s="9269"/>
      <c r="AB62" s="9269"/>
      <c r="AC62" s="9269"/>
      <c r="AD62" s="9269"/>
      <c r="AE62" s="9269"/>
      <c r="AF62" s="9269"/>
      <c r="AG62" s="9269"/>
      <c r="AH62" s="9269"/>
      <c r="AI62" s="9269"/>
      <c r="AJ62" s="9270"/>
      <c r="AK62" s="9204"/>
      <c r="AL62" s="9199"/>
      <c r="AM62" s="9199"/>
      <c r="AN62" s="9199"/>
      <c r="AO62" s="9199"/>
      <c r="AP62" s="6067"/>
      <c r="BD62" s="6070"/>
      <c r="BE62" s="6070"/>
      <c r="BF62" s="6070"/>
      <c r="BG62" s="6070"/>
      <c r="BH62" s="6070"/>
      <c r="BI62" s="6070"/>
      <c r="BJ62" s="6070"/>
      <c r="BK62" s="6070"/>
      <c r="BL62" s="6070"/>
      <c r="BM62" s="6070"/>
      <c r="BN62" s="6070"/>
    </row>
    <row r="63" spans="1:66">
      <c r="A63" s="6067"/>
      <c r="B63" s="9175"/>
      <c r="C63" s="9175"/>
      <c r="D63" s="9175"/>
      <c r="E63" s="9175"/>
      <c r="F63" s="9175"/>
      <c r="G63" s="9175"/>
      <c r="H63" s="9175"/>
      <c r="I63" s="9175"/>
      <c r="J63" s="9175"/>
      <c r="K63" s="9175"/>
      <c r="L63" s="9175"/>
      <c r="M63" s="9175"/>
      <c r="N63" s="9175"/>
      <c r="O63" s="9264"/>
      <c r="P63" s="9268"/>
      <c r="Q63" s="9269"/>
      <c r="R63" s="9269"/>
      <c r="S63" s="9269"/>
      <c r="T63" s="9269"/>
      <c r="U63" s="9269"/>
      <c r="V63" s="9269"/>
      <c r="W63" s="9269"/>
      <c r="X63" s="9269"/>
      <c r="Y63" s="9269"/>
      <c r="Z63" s="9269"/>
      <c r="AA63" s="9269"/>
      <c r="AB63" s="9269"/>
      <c r="AC63" s="9269"/>
      <c r="AD63" s="9269"/>
      <c r="AE63" s="9269"/>
      <c r="AF63" s="9269"/>
      <c r="AG63" s="9269"/>
      <c r="AH63" s="9269"/>
      <c r="AI63" s="9269"/>
      <c r="AJ63" s="9270"/>
      <c r="AK63" s="9204"/>
      <c r="AL63" s="9199"/>
      <c r="AM63" s="9199"/>
      <c r="AN63" s="9199"/>
      <c r="AO63" s="9199"/>
      <c r="AP63" s="6067"/>
      <c r="AQ63" s="6067"/>
      <c r="AR63" s="6067"/>
      <c r="AS63" s="6067"/>
      <c r="AT63" s="6067"/>
      <c r="AU63" s="6067"/>
      <c r="AV63" s="6067"/>
      <c r="AW63" s="6067"/>
      <c r="AX63" s="6067"/>
      <c r="AY63" s="6067"/>
      <c r="AZ63" s="6067"/>
      <c r="BA63" s="6067"/>
      <c r="BB63" s="6067"/>
      <c r="BD63" s="6070"/>
      <c r="BE63" s="6070"/>
      <c r="BF63" s="6070"/>
      <c r="BG63" s="6070"/>
      <c r="BH63" s="6070"/>
      <c r="BI63" s="6070"/>
      <c r="BJ63" s="6070"/>
      <c r="BK63" s="6070"/>
      <c r="BL63" s="6070"/>
      <c r="BM63" s="6070"/>
      <c r="BN63" s="6070"/>
    </row>
    <row r="64" spans="1:66" ht="6" customHeight="1">
      <c r="A64" s="6067"/>
      <c r="B64" s="9176"/>
      <c r="C64" s="9176"/>
      <c r="D64" s="9176"/>
      <c r="E64" s="9176"/>
      <c r="F64" s="9176"/>
      <c r="G64" s="9176"/>
      <c r="H64" s="9176"/>
      <c r="I64" s="9176"/>
      <c r="J64" s="9176"/>
      <c r="K64" s="9176"/>
      <c r="L64" s="9176"/>
      <c r="M64" s="9176"/>
      <c r="N64" s="9176"/>
      <c r="O64" s="9265"/>
      <c r="P64" s="9271"/>
      <c r="Q64" s="9272"/>
      <c r="R64" s="9272"/>
      <c r="S64" s="9272"/>
      <c r="T64" s="9272"/>
      <c r="U64" s="9272"/>
      <c r="V64" s="9272"/>
      <c r="W64" s="9272"/>
      <c r="X64" s="9272"/>
      <c r="Y64" s="9272"/>
      <c r="Z64" s="9272"/>
      <c r="AA64" s="9272"/>
      <c r="AB64" s="9272"/>
      <c r="AC64" s="9272"/>
      <c r="AD64" s="9272"/>
      <c r="AE64" s="9272"/>
      <c r="AF64" s="9272"/>
      <c r="AG64" s="9272"/>
      <c r="AH64" s="9272"/>
      <c r="AI64" s="9272"/>
      <c r="AJ64" s="9273"/>
      <c r="AK64" s="9205"/>
      <c r="AL64" s="9201"/>
      <c r="AM64" s="9201"/>
      <c r="AN64" s="9201"/>
      <c r="AO64" s="9201"/>
      <c r="AP64" s="6067"/>
      <c r="AQ64" s="6067"/>
      <c r="AR64" s="6067"/>
      <c r="AS64" s="6067"/>
      <c r="AT64" s="6067"/>
      <c r="AU64" s="6067"/>
      <c r="AV64" s="6067"/>
      <c r="AW64" s="6067"/>
      <c r="AX64" s="6067"/>
      <c r="AY64" s="6067"/>
      <c r="AZ64" s="6067"/>
      <c r="BA64" s="6067"/>
      <c r="BB64" s="6067"/>
      <c r="BD64" s="6070"/>
      <c r="BE64" s="6070"/>
      <c r="BF64" s="6070"/>
      <c r="BG64" s="6070"/>
      <c r="BH64" s="6070"/>
      <c r="BI64" s="6070"/>
      <c r="BJ64" s="6070"/>
      <c r="BK64" s="6070"/>
      <c r="BL64" s="6070"/>
      <c r="BM64" s="6070"/>
      <c r="BN64" s="6070"/>
    </row>
    <row r="65" spans="1:67" ht="18" customHeight="1">
      <c r="A65" s="6067"/>
      <c r="B65" s="6102" t="s">
        <v>542</v>
      </c>
      <c r="C65" s="9256"/>
      <c r="D65" s="9257"/>
      <c r="E65" s="9257"/>
      <c r="F65" s="9257"/>
      <c r="G65" s="9257"/>
      <c r="H65" s="9257"/>
      <c r="I65" s="9257"/>
      <c r="J65" s="9257"/>
      <c r="K65" s="9257"/>
      <c r="L65" s="9257"/>
      <c r="M65" s="9257"/>
      <c r="N65" s="9257"/>
      <c r="O65" s="9258"/>
      <c r="P65" s="9259"/>
      <c r="Q65" s="9260"/>
      <c r="R65" s="9260"/>
      <c r="S65" s="9260"/>
      <c r="T65" s="9260"/>
      <c r="U65" s="9260"/>
      <c r="V65" s="9260"/>
      <c r="W65" s="9260"/>
      <c r="X65" s="9260"/>
      <c r="Y65" s="9260"/>
      <c r="Z65" s="9260"/>
      <c r="AA65" s="9260"/>
      <c r="AB65" s="9260"/>
      <c r="AC65" s="9260"/>
      <c r="AD65" s="9260"/>
      <c r="AE65" s="9260"/>
      <c r="AF65" s="9260"/>
      <c r="AG65" s="9260"/>
      <c r="AH65" s="9260"/>
      <c r="AI65" s="9260"/>
      <c r="AJ65" s="9261"/>
      <c r="AK65" s="9235"/>
      <c r="AL65" s="9262"/>
      <c r="AM65" s="9262"/>
      <c r="AN65" s="9262"/>
      <c r="AO65" s="9262"/>
      <c r="AP65" s="6067"/>
      <c r="AQ65" s="6116" t="s">
        <v>4259</v>
      </c>
      <c r="AR65" s="1587"/>
      <c r="AS65" s="1587"/>
      <c r="AT65" s="1587"/>
      <c r="AU65" s="1587"/>
      <c r="AV65" s="1587"/>
      <c r="AW65" s="1587"/>
      <c r="AX65" s="1587"/>
      <c r="AY65" s="1587"/>
      <c r="AZ65" s="1587"/>
      <c r="BA65" s="1587"/>
      <c r="BB65" s="6067"/>
      <c r="BD65" s="6070"/>
      <c r="BE65" s="6070"/>
      <c r="BF65" s="6070"/>
      <c r="BG65" s="6070"/>
      <c r="BH65" s="6070"/>
      <c r="BI65" s="6070"/>
      <c r="BJ65" s="6070"/>
      <c r="BK65" s="6070"/>
      <c r="BL65" s="6070"/>
      <c r="BM65" s="6070"/>
      <c r="BN65" s="6070"/>
    </row>
    <row r="66" spans="1:67" ht="18" customHeight="1">
      <c r="A66" s="6067"/>
      <c r="B66" s="6102" t="s">
        <v>548</v>
      </c>
      <c r="C66" s="9256"/>
      <c r="D66" s="9257"/>
      <c r="E66" s="9257"/>
      <c r="F66" s="9257"/>
      <c r="G66" s="9257"/>
      <c r="H66" s="9257"/>
      <c r="I66" s="9257"/>
      <c r="J66" s="9257"/>
      <c r="K66" s="9257"/>
      <c r="L66" s="9257"/>
      <c r="M66" s="9257"/>
      <c r="N66" s="9257"/>
      <c r="O66" s="9258"/>
      <c r="P66" s="9259"/>
      <c r="Q66" s="9260"/>
      <c r="R66" s="9260"/>
      <c r="S66" s="9260"/>
      <c r="T66" s="9260"/>
      <c r="U66" s="9260"/>
      <c r="V66" s="9260"/>
      <c r="W66" s="9260"/>
      <c r="X66" s="9260"/>
      <c r="Y66" s="9260"/>
      <c r="Z66" s="9260"/>
      <c r="AA66" s="9260"/>
      <c r="AB66" s="9260"/>
      <c r="AC66" s="9260"/>
      <c r="AD66" s="9260"/>
      <c r="AE66" s="9260"/>
      <c r="AF66" s="9260"/>
      <c r="AG66" s="9260"/>
      <c r="AH66" s="9260"/>
      <c r="AI66" s="9260"/>
      <c r="AJ66" s="9261"/>
      <c r="AK66" s="9235"/>
      <c r="AL66" s="9262"/>
      <c r="AM66" s="9262"/>
      <c r="AN66" s="9262"/>
      <c r="AO66" s="9262"/>
      <c r="AP66" s="6067"/>
      <c r="AQ66" s="6067"/>
      <c r="AR66" s="6067"/>
      <c r="AS66" s="6067"/>
      <c r="AT66" s="6067"/>
      <c r="AU66" s="6067"/>
      <c r="AV66" s="6067"/>
      <c r="AW66" s="6067"/>
      <c r="AX66" s="6067"/>
      <c r="AY66" s="6067"/>
      <c r="AZ66" s="6067"/>
      <c r="BA66" s="6067"/>
      <c r="BB66" s="6067"/>
      <c r="BD66" s="6070"/>
      <c r="BE66" s="6070"/>
      <c r="BF66" s="6070"/>
      <c r="BG66" s="6070"/>
      <c r="BH66" s="6070"/>
      <c r="BI66" s="6070"/>
      <c r="BJ66" s="6070"/>
      <c r="BK66" s="6070"/>
      <c r="BL66" s="6070"/>
      <c r="BM66" s="6070"/>
      <c r="BN66" s="6070"/>
    </row>
    <row r="67" spans="1:67" ht="18" customHeight="1">
      <c r="A67" s="6067"/>
      <c r="B67" s="6102" t="s">
        <v>550</v>
      </c>
      <c r="C67" s="9256"/>
      <c r="D67" s="9257"/>
      <c r="E67" s="9257"/>
      <c r="F67" s="9257"/>
      <c r="G67" s="9257"/>
      <c r="H67" s="9257"/>
      <c r="I67" s="9257"/>
      <c r="J67" s="9257"/>
      <c r="K67" s="9257"/>
      <c r="L67" s="9257"/>
      <c r="M67" s="9257"/>
      <c r="N67" s="9257"/>
      <c r="O67" s="9258"/>
      <c r="P67" s="9259"/>
      <c r="Q67" s="9260"/>
      <c r="R67" s="9260"/>
      <c r="S67" s="9260"/>
      <c r="T67" s="9260"/>
      <c r="U67" s="9260"/>
      <c r="V67" s="9260"/>
      <c r="W67" s="9260"/>
      <c r="X67" s="9260"/>
      <c r="Y67" s="9260"/>
      <c r="Z67" s="9260"/>
      <c r="AA67" s="9260"/>
      <c r="AB67" s="9260"/>
      <c r="AC67" s="9260"/>
      <c r="AD67" s="9260"/>
      <c r="AE67" s="9260"/>
      <c r="AF67" s="9260"/>
      <c r="AG67" s="9260"/>
      <c r="AH67" s="9260"/>
      <c r="AI67" s="9260"/>
      <c r="AJ67" s="9261"/>
      <c r="AK67" s="9235"/>
      <c r="AL67" s="9262"/>
      <c r="AM67" s="9262"/>
      <c r="AN67" s="9262"/>
      <c r="AO67" s="9262"/>
      <c r="AP67" s="6067"/>
      <c r="BD67" s="6070"/>
      <c r="BE67" s="6070"/>
      <c r="BF67" s="6070"/>
      <c r="BG67" s="6070"/>
      <c r="BH67" s="6070"/>
      <c r="BI67" s="6070"/>
      <c r="BJ67" s="6070"/>
      <c r="BK67" s="6070"/>
      <c r="BL67" s="6070"/>
      <c r="BM67" s="6070"/>
      <c r="BN67" s="6070"/>
    </row>
    <row r="68" spans="1:67" s="6120" customFormat="1" ht="16.5" customHeight="1">
      <c r="A68" s="6117"/>
      <c r="B68" s="6118"/>
      <c r="C68" s="9203" t="s">
        <v>4281</v>
      </c>
      <c r="D68" s="9283"/>
      <c r="E68" s="9283"/>
      <c r="F68" s="9283"/>
      <c r="G68" s="9283"/>
      <c r="H68" s="9286" t="s">
        <v>4282</v>
      </c>
      <c r="I68" s="9283"/>
      <c r="J68" s="9283"/>
      <c r="K68" s="9283"/>
      <c r="L68" s="9283"/>
      <c r="M68" s="9283"/>
      <c r="N68" s="9283"/>
      <c r="O68" s="9287"/>
      <c r="P68" s="9203" t="s">
        <v>4283</v>
      </c>
      <c r="Q68" s="9289"/>
      <c r="R68" s="9289"/>
      <c r="S68" s="9289"/>
      <c r="T68" s="9289"/>
      <c r="U68" s="9289"/>
      <c r="V68" s="9289"/>
      <c r="W68" s="9203" t="s">
        <v>4284</v>
      </c>
      <c r="X68" s="9289"/>
      <c r="Y68" s="9289"/>
      <c r="Z68" s="9289"/>
      <c r="AA68" s="9289"/>
      <c r="AB68" s="9289"/>
      <c r="AC68" s="9289"/>
      <c r="AD68" s="9292"/>
      <c r="AE68" s="9206" t="s">
        <v>4285</v>
      </c>
      <c r="AF68" s="9207"/>
      <c r="AG68" s="9207"/>
      <c r="AH68" s="9207"/>
      <c r="AI68" s="9207"/>
      <c r="AJ68" s="9207"/>
      <c r="AK68" s="9206" t="s">
        <v>4286</v>
      </c>
      <c r="AL68" s="9207"/>
      <c r="AM68" s="9207"/>
      <c r="AN68" s="9207"/>
      <c r="AO68" s="9207"/>
      <c r="AP68" s="6067"/>
      <c r="AQ68" s="6068"/>
      <c r="AR68" s="6068"/>
      <c r="AS68" s="6068"/>
      <c r="AT68" s="6068"/>
      <c r="AU68" s="6068"/>
      <c r="AV68" s="6068"/>
      <c r="AW68" s="6068"/>
      <c r="AX68" s="6068"/>
      <c r="AY68" s="6068"/>
      <c r="AZ68" s="6068"/>
      <c r="BA68" s="6068"/>
      <c r="BB68" s="6068"/>
      <c r="BC68" s="6068"/>
      <c r="BD68" s="6070"/>
      <c r="BE68" s="6119"/>
      <c r="BF68" s="6119"/>
      <c r="BG68" s="6119"/>
      <c r="BH68" s="6119"/>
      <c r="BI68" s="6119"/>
      <c r="BJ68" s="6119"/>
      <c r="BK68" s="6119"/>
      <c r="BL68" s="6119"/>
      <c r="BM68" s="6119"/>
      <c r="BN68" s="6119"/>
    </row>
    <row r="69" spans="1:67" s="6120" customFormat="1" ht="23.25" customHeight="1">
      <c r="A69" s="6117"/>
      <c r="B69" s="6121"/>
      <c r="C69" s="9284"/>
      <c r="D69" s="9285"/>
      <c r="E69" s="9285"/>
      <c r="F69" s="9285"/>
      <c r="G69" s="9285"/>
      <c r="H69" s="9284"/>
      <c r="I69" s="9285"/>
      <c r="J69" s="9285"/>
      <c r="K69" s="9285"/>
      <c r="L69" s="9285"/>
      <c r="M69" s="9285"/>
      <c r="N69" s="9285"/>
      <c r="O69" s="9288"/>
      <c r="P69" s="9290"/>
      <c r="Q69" s="9291"/>
      <c r="R69" s="9291"/>
      <c r="S69" s="9291"/>
      <c r="T69" s="9291"/>
      <c r="U69" s="9291"/>
      <c r="V69" s="9291"/>
      <c r="W69" s="9290"/>
      <c r="X69" s="9291"/>
      <c r="Y69" s="9291"/>
      <c r="Z69" s="9291"/>
      <c r="AA69" s="9291"/>
      <c r="AB69" s="9291"/>
      <c r="AC69" s="9291"/>
      <c r="AD69" s="9293"/>
      <c r="AE69" s="9209"/>
      <c r="AF69" s="9210"/>
      <c r="AG69" s="9210"/>
      <c r="AH69" s="9210"/>
      <c r="AI69" s="9210"/>
      <c r="AJ69" s="9210"/>
      <c r="AK69" s="9209"/>
      <c r="AL69" s="9210"/>
      <c r="AM69" s="9210"/>
      <c r="AN69" s="9210"/>
      <c r="AO69" s="9210"/>
      <c r="AP69" s="6067"/>
      <c r="AQ69" s="6068"/>
      <c r="AR69" s="6068"/>
      <c r="AS69" s="6068"/>
      <c r="AT69" s="6068"/>
      <c r="AU69" s="6068"/>
      <c r="AV69" s="6068"/>
      <c r="AW69" s="6068"/>
      <c r="AX69" s="6068"/>
      <c r="AY69" s="6068"/>
      <c r="AZ69" s="6068"/>
      <c r="BA69" s="6068"/>
      <c r="BB69" s="6068"/>
      <c r="BC69" s="6068"/>
      <c r="BD69" s="6070"/>
      <c r="BE69" s="6119"/>
      <c r="BF69" s="6119"/>
      <c r="BG69" s="6119"/>
      <c r="BH69" s="6119"/>
      <c r="BI69" s="6119"/>
      <c r="BJ69" s="6119"/>
      <c r="BK69" s="6119"/>
      <c r="BL69" s="6119"/>
      <c r="BM69" s="6119"/>
      <c r="BN69" s="6119"/>
      <c r="BO69" s="6119"/>
    </row>
    <row r="70" spans="1:67" ht="18" customHeight="1">
      <c r="A70" s="6067"/>
      <c r="B70" s="6102" t="s">
        <v>542</v>
      </c>
      <c r="C70" s="9228"/>
      <c r="D70" s="9229"/>
      <c r="E70" s="9229"/>
      <c r="F70" s="9229"/>
      <c r="G70" s="9275"/>
      <c r="H70" s="9276"/>
      <c r="I70" s="9277"/>
      <c r="J70" s="9277"/>
      <c r="K70" s="9277"/>
      <c r="L70" s="9278"/>
      <c r="M70" s="9279"/>
      <c r="N70" s="9279"/>
      <c r="O70" s="9280"/>
      <c r="P70" s="9235"/>
      <c r="Q70" s="9281"/>
      <c r="R70" s="9281"/>
      <c r="S70" s="9281"/>
      <c r="T70" s="9281"/>
      <c r="U70" s="9281"/>
      <c r="V70" s="9282"/>
      <c r="W70" s="9235"/>
      <c r="X70" s="9236"/>
      <c r="Y70" s="9236"/>
      <c r="Z70" s="9236"/>
      <c r="AA70" s="9262"/>
      <c r="AB70" s="9281"/>
      <c r="AC70" s="9281"/>
      <c r="AD70" s="9282"/>
      <c r="AE70" s="9235"/>
      <c r="AF70" s="9236"/>
      <c r="AG70" s="9236"/>
      <c r="AH70" s="9236"/>
      <c r="AI70" s="9262"/>
      <c r="AJ70" s="9281"/>
      <c r="AK70" s="9228"/>
      <c r="AL70" s="9229"/>
      <c r="AM70" s="9229"/>
      <c r="AN70" s="9229"/>
      <c r="AO70" s="9275"/>
      <c r="AP70" s="6067"/>
      <c r="BD70" s="6070"/>
      <c r="BE70" s="6070"/>
      <c r="BF70" s="6070"/>
      <c r="BG70" s="6070"/>
      <c r="BH70" s="6070"/>
      <c r="BI70" s="6070"/>
      <c r="BJ70" s="6070"/>
      <c r="BK70" s="6070"/>
      <c r="BL70" s="6070"/>
      <c r="BM70" s="6070"/>
      <c r="BN70" s="6070"/>
    </row>
    <row r="71" spans="1:67" ht="18" customHeight="1">
      <c r="A71" s="6067"/>
      <c r="B71" s="6102" t="s">
        <v>548</v>
      </c>
      <c r="C71" s="9228"/>
      <c r="D71" s="9229"/>
      <c r="E71" s="9229"/>
      <c r="F71" s="9229"/>
      <c r="G71" s="9275"/>
      <c r="H71" s="9276"/>
      <c r="I71" s="9277"/>
      <c r="J71" s="9277"/>
      <c r="K71" s="9277"/>
      <c r="L71" s="9278"/>
      <c r="M71" s="9279"/>
      <c r="N71" s="9279"/>
      <c r="O71" s="9280"/>
      <c r="P71" s="9235"/>
      <c r="Q71" s="9281"/>
      <c r="R71" s="9281"/>
      <c r="S71" s="9281"/>
      <c r="T71" s="9281"/>
      <c r="U71" s="9281"/>
      <c r="V71" s="9282"/>
      <c r="W71" s="9235"/>
      <c r="X71" s="9236"/>
      <c r="Y71" s="9236"/>
      <c r="Z71" s="9236"/>
      <c r="AA71" s="9262"/>
      <c r="AB71" s="9281"/>
      <c r="AC71" s="9281"/>
      <c r="AD71" s="9282"/>
      <c r="AE71" s="9235"/>
      <c r="AF71" s="9236"/>
      <c r="AG71" s="9236"/>
      <c r="AH71" s="9236"/>
      <c r="AI71" s="9262"/>
      <c r="AJ71" s="9281"/>
      <c r="AK71" s="9228"/>
      <c r="AL71" s="9229"/>
      <c r="AM71" s="9229"/>
      <c r="AN71" s="9229"/>
      <c r="AO71" s="9275"/>
      <c r="AP71" s="6067"/>
      <c r="BD71" s="6070"/>
      <c r="BE71" s="6070"/>
      <c r="BF71" s="6070"/>
      <c r="BG71" s="6070"/>
      <c r="BH71" s="6070"/>
      <c r="BI71" s="6070"/>
      <c r="BJ71" s="6070"/>
      <c r="BK71" s="6070"/>
      <c r="BL71" s="6070"/>
      <c r="BM71" s="6070"/>
      <c r="BN71" s="6070"/>
    </row>
    <row r="72" spans="1:67" ht="18" customHeight="1">
      <c r="A72" s="6067"/>
      <c r="B72" s="6102" t="s">
        <v>550</v>
      </c>
      <c r="C72" s="9228"/>
      <c r="D72" s="9229"/>
      <c r="E72" s="9229"/>
      <c r="F72" s="9229"/>
      <c r="G72" s="9275"/>
      <c r="H72" s="9276"/>
      <c r="I72" s="9277"/>
      <c r="J72" s="9277"/>
      <c r="K72" s="9277"/>
      <c r="L72" s="9278"/>
      <c r="M72" s="9279"/>
      <c r="N72" s="9279"/>
      <c r="O72" s="9280"/>
      <c r="P72" s="9235"/>
      <c r="Q72" s="9281"/>
      <c r="R72" s="9281"/>
      <c r="S72" s="9281"/>
      <c r="T72" s="9281"/>
      <c r="U72" s="9281"/>
      <c r="V72" s="9282"/>
      <c r="W72" s="9235"/>
      <c r="X72" s="9236"/>
      <c r="Y72" s="9236"/>
      <c r="Z72" s="9236"/>
      <c r="AA72" s="9262"/>
      <c r="AB72" s="9281"/>
      <c r="AC72" s="9281"/>
      <c r="AD72" s="9282"/>
      <c r="AE72" s="9235"/>
      <c r="AF72" s="9236"/>
      <c r="AG72" s="9236"/>
      <c r="AH72" s="9236"/>
      <c r="AI72" s="9262"/>
      <c r="AJ72" s="9281"/>
      <c r="AK72" s="9228"/>
      <c r="AL72" s="9229"/>
      <c r="AM72" s="9229"/>
      <c r="AN72" s="9229"/>
      <c r="AO72" s="9275"/>
      <c r="AP72" s="6067"/>
      <c r="BD72" s="6070"/>
      <c r="BE72" s="6070"/>
      <c r="BF72" s="6070"/>
      <c r="BG72" s="6070"/>
      <c r="BH72" s="6070"/>
      <c r="BI72" s="6070"/>
      <c r="BJ72" s="6070"/>
      <c r="BK72" s="6070"/>
      <c r="BL72" s="6070"/>
      <c r="BM72" s="6070"/>
      <c r="BN72" s="6070"/>
    </row>
    <row r="73" spans="1:67" ht="18">
      <c r="A73" s="6067"/>
      <c r="B73" s="6122" t="s">
        <v>3378</v>
      </c>
      <c r="C73" s="6123"/>
      <c r="D73" s="6114"/>
      <c r="E73" s="6114"/>
      <c r="F73" s="6114"/>
      <c r="G73" s="6114"/>
      <c r="H73" s="6114"/>
      <c r="I73" s="6114"/>
      <c r="J73" s="6114"/>
      <c r="K73" s="6114"/>
      <c r="L73" s="6114"/>
      <c r="M73" s="6114"/>
      <c r="N73" s="6114"/>
      <c r="O73" s="6114"/>
      <c r="P73" s="6114"/>
      <c r="Q73" s="6114"/>
      <c r="R73" s="6114"/>
      <c r="S73" s="6114"/>
      <c r="T73" s="6114"/>
      <c r="U73" s="6114"/>
      <c r="V73" s="6114"/>
      <c r="W73" s="6114"/>
      <c r="X73" s="6114" t="s">
        <v>4287</v>
      </c>
      <c r="Y73" s="6114"/>
      <c r="Z73" s="6114"/>
      <c r="AA73" s="6114"/>
      <c r="AB73" s="6114"/>
      <c r="AC73" s="6114"/>
      <c r="AD73" s="6114"/>
      <c r="AE73" s="6114"/>
      <c r="AF73" s="6114"/>
      <c r="AG73" s="6114"/>
      <c r="AH73" s="6114"/>
      <c r="AI73" s="6114"/>
      <c r="AJ73" s="6114"/>
      <c r="AK73" s="6123" t="s">
        <v>4288</v>
      </c>
      <c r="AL73" s="6114"/>
      <c r="AM73" s="6114"/>
      <c r="AN73" s="6114"/>
      <c r="AO73" s="6123" t="s">
        <v>5802</v>
      </c>
      <c r="AP73" s="6067"/>
      <c r="BD73" s="6070"/>
      <c r="BE73" s="6070"/>
      <c r="BF73" s="6070"/>
      <c r="BG73" s="6070"/>
      <c r="BH73" s="6070"/>
      <c r="BI73" s="6070"/>
      <c r="BJ73" s="6070"/>
      <c r="BK73" s="6070"/>
      <c r="BL73" s="6070"/>
      <c r="BM73" s="6070"/>
      <c r="BN73" s="6070"/>
    </row>
    <row r="74" spans="1:67" ht="18.75" customHeight="1" thickBot="1">
      <c r="A74" s="6067"/>
      <c r="B74" s="3272" t="s">
        <v>5803</v>
      </c>
      <c r="C74" s="3272"/>
      <c r="D74" s="3272"/>
      <c r="E74" s="3272"/>
      <c r="F74" s="3272"/>
      <c r="G74" s="3272"/>
      <c r="H74" s="3272"/>
      <c r="I74" s="3272"/>
      <c r="J74" s="3272"/>
      <c r="K74" s="3272"/>
      <c r="L74" s="3272"/>
      <c r="M74" s="3272"/>
      <c r="N74" s="3272"/>
      <c r="O74" s="3272"/>
      <c r="P74" s="3272"/>
      <c r="Q74" s="3272"/>
      <c r="R74" s="3272"/>
      <c r="S74" s="3272"/>
      <c r="T74" s="3272"/>
      <c r="U74" s="3272"/>
      <c r="V74" s="3272"/>
      <c r="W74" s="3272"/>
      <c r="X74" s="3272"/>
      <c r="Y74" s="3272"/>
      <c r="Z74" s="3272"/>
      <c r="AA74" s="3272"/>
      <c r="AB74" s="3272"/>
      <c r="AC74" s="3272"/>
      <c r="AD74" s="3272"/>
      <c r="AE74" s="3272"/>
      <c r="AF74" s="3272"/>
      <c r="AG74" s="3272"/>
      <c r="AH74" s="3272"/>
      <c r="AI74" s="3272"/>
      <c r="AJ74" s="3272"/>
      <c r="AK74" s="3272"/>
      <c r="AL74" s="3272"/>
      <c r="AM74" s="3272"/>
      <c r="AN74" s="3272"/>
      <c r="AO74" s="6124" t="s">
        <v>981</v>
      </c>
      <c r="AP74" s="6067"/>
      <c r="BD74" s="6070"/>
      <c r="BE74" s="6070"/>
      <c r="BF74" s="6070"/>
      <c r="BG74" s="6070"/>
      <c r="BH74" s="6070"/>
      <c r="BI74" s="6070"/>
      <c r="BJ74" s="6070"/>
      <c r="BK74" s="6070"/>
      <c r="BL74" s="6070"/>
      <c r="BM74" s="6070"/>
      <c r="BN74" s="6070"/>
    </row>
    <row r="75" spans="1:67">
      <c r="A75" s="6067"/>
      <c r="B75" s="1587" t="s">
        <v>4248</v>
      </c>
      <c r="C75" s="1587"/>
      <c r="D75" s="1587"/>
      <c r="E75" s="1587"/>
      <c r="F75" s="1587"/>
      <c r="G75" s="1587"/>
      <c r="H75" s="1587"/>
      <c r="I75" s="1587"/>
      <c r="J75" s="1587"/>
      <c r="K75" s="1587"/>
      <c r="L75" s="1587"/>
      <c r="M75" s="1587"/>
      <c r="N75" s="1587"/>
      <c r="O75" s="1587"/>
      <c r="P75" s="1587"/>
      <c r="Q75" s="1587"/>
      <c r="R75" s="1587"/>
      <c r="S75" s="1587"/>
      <c r="T75" s="1587"/>
      <c r="U75" s="1587"/>
      <c r="V75" s="1587"/>
      <c r="W75" s="1587"/>
      <c r="X75" s="1587"/>
      <c r="Y75" s="1587"/>
      <c r="Z75" s="1587"/>
      <c r="AA75" s="1587"/>
      <c r="AB75" s="1587"/>
      <c r="AC75" s="1587"/>
      <c r="AD75" s="1587"/>
      <c r="AE75" s="1587"/>
      <c r="AF75" s="1587"/>
      <c r="AG75" s="1587"/>
      <c r="AH75" s="1587"/>
      <c r="AI75" s="6125" t="s">
        <v>3314</v>
      </c>
      <c r="AJ75" s="3951"/>
      <c r="AK75" s="3951"/>
      <c r="AL75" s="3951"/>
      <c r="AM75" s="3951"/>
      <c r="AN75" s="3951"/>
      <c r="AO75" s="3951"/>
      <c r="AP75" s="6067"/>
      <c r="BD75" s="6070"/>
      <c r="BE75" s="6070"/>
      <c r="BF75" s="6070"/>
      <c r="BG75" s="6070"/>
      <c r="BH75" s="6070"/>
      <c r="BI75" s="6070"/>
      <c r="BJ75" s="6070"/>
      <c r="BK75" s="6070"/>
      <c r="BL75" s="6070"/>
      <c r="BM75" s="6070"/>
      <c r="BN75" s="6070"/>
    </row>
    <row r="76" spans="1:67" ht="8.25" customHeight="1">
      <c r="A76" s="6067"/>
      <c r="B76" s="9168" t="str">
        <f>Names</f>
        <v/>
      </c>
      <c r="C76" s="9168"/>
      <c r="D76" s="9168"/>
      <c r="E76" s="9168"/>
      <c r="F76" s="9168"/>
      <c r="G76" s="9168"/>
      <c r="H76" s="9168"/>
      <c r="I76" s="9168"/>
      <c r="J76" s="9168"/>
      <c r="K76" s="9168"/>
      <c r="L76" s="9168"/>
      <c r="M76" s="9168"/>
      <c r="N76" s="9168"/>
      <c r="O76" s="9168"/>
      <c r="P76" s="9168"/>
      <c r="Q76" s="9168"/>
      <c r="R76" s="9168"/>
      <c r="S76" s="9168"/>
      <c r="T76" s="9168"/>
      <c r="U76" s="9168"/>
      <c r="V76" s="9168"/>
      <c r="W76" s="9168"/>
      <c r="X76" s="9168"/>
      <c r="Y76" s="9168"/>
      <c r="Z76" s="9168"/>
      <c r="AA76" s="9168"/>
      <c r="AB76" s="9168"/>
      <c r="AC76" s="9168"/>
      <c r="AD76" s="9168"/>
      <c r="AE76" s="9168"/>
      <c r="AF76" s="9168"/>
      <c r="AG76" s="9168"/>
      <c r="AH76" s="9298"/>
      <c r="AI76" s="9169"/>
      <c r="AJ76" s="9170"/>
      <c r="AK76" s="9170"/>
      <c r="AL76" s="9170"/>
      <c r="AM76" s="9170"/>
      <c r="AN76" s="9170"/>
      <c r="AO76" s="9170"/>
      <c r="AP76" s="6067"/>
      <c r="BD76" s="6070"/>
      <c r="BE76" s="6070"/>
      <c r="BF76" s="6070"/>
      <c r="BG76" s="6070"/>
      <c r="BH76" s="6070"/>
      <c r="BI76" s="6070"/>
      <c r="BJ76" s="6070"/>
      <c r="BK76" s="6070"/>
      <c r="BL76" s="6070"/>
      <c r="BM76" s="6070"/>
      <c r="BN76" s="6070"/>
    </row>
    <row r="77" spans="1:67" ht="8.25" customHeight="1">
      <c r="A77" s="6067"/>
      <c r="B77" s="9299"/>
      <c r="C77" s="9299"/>
      <c r="D77" s="9299"/>
      <c r="E77" s="9299"/>
      <c r="F77" s="9299"/>
      <c r="G77" s="9299"/>
      <c r="H77" s="9299"/>
      <c r="I77" s="9299"/>
      <c r="J77" s="9299"/>
      <c r="K77" s="9299"/>
      <c r="L77" s="9299"/>
      <c r="M77" s="9299"/>
      <c r="N77" s="9299"/>
      <c r="O77" s="9299"/>
      <c r="P77" s="9299"/>
      <c r="Q77" s="9299"/>
      <c r="R77" s="9299"/>
      <c r="S77" s="9299"/>
      <c r="T77" s="9299"/>
      <c r="U77" s="9299"/>
      <c r="V77" s="9299"/>
      <c r="W77" s="9299"/>
      <c r="X77" s="9299"/>
      <c r="Y77" s="9299"/>
      <c r="Z77" s="9299"/>
      <c r="AA77" s="9299"/>
      <c r="AB77" s="9299"/>
      <c r="AC77" s="9299"/>
      <c r="AD77" s="9299"/>
      <c r="AE77" s="9299"/>
      <c r="AF77" s="9299"/>
      <c r="AG77" s="9299"/>
      <c r="AH77" s="9300"/>
      <c r="AI77" s="9171"/>
      <c r="AJ77" s="9172"/>
      <c r="AK77" s="9172"/>
      <c r="AL77" s="9172"/>
      <c r="AM77" s="9172"/>
      <c r="AN77" s="9172"/>
      <c r="AO77" s="9172"/>
      <c r="AP77" s="6067"/>
      <c r="BD77" s="6070"/>
      <c r="BE77" s="6070"/>
      <c r="BF77" s="6070"/>
      <c r="BG77" s="6070"/>
      <c r="BH77" s="6070"/>
      <c r="BI77" s="6070"/>
      <c r="BJ77" s="6070"/>
      <c r="BK77" s="6070"/>
      <c r="BL77" s="6070"/>
      <c r="BM77" s="6070"/>
      <c r="BN77" s="6070"/>
    </row>
    <row r="78" spans="1:67" s="6081" customFormat="1" ht="15.75">
      <c r="A78" s="6079"/>
      <c r="B78" s="9301" t="s">
        <v>982</v>
      </c>
      <c r="C78" s="9301"/>
      <c r="D78" s="9302"/>
      <c r="E78" s="6126"/>
      <c r="F78" s="6127" t="s">
        <v>4289</v>
      </c>
      <c r="G78" s="6126"/>
      <c r="H78" s="6126"/>
      <c r="I78" s="6126"/>
      <c r="J78" s="6126"/>
      <c r="K78" s="6126"/>
      <c r="L78" s="6126"/>
      <c r="M78" s="6126"/>
      <c r="N78" s="6126"/>
      <c r="O78" s="6126"/>
      <c r="P78" s="6126"/>
      <c r="Q78" s="6126"/>
      <c r="R78" s="6126"/>
      <c r="S78" s="6126"/>
      <c r="T78" s="6126"/>
      <c r="U78" s="6126"/>
      <c r="V78" s="6126"/>
      <c r="W78" s="6126"/>
      <c r="X78" s="6126"/>
      <c r="Y78" s="6126"/>
      <c r="Z78" s="6126"/>
      <c r="AA78" s="6126"/>
      <c r="AB78" s="6126"/>
      <c r="AC78" s="6126"/>
      <c r="AD78" s="6126"/>
      <c r="AE78" s="6126"/>
      <c r="AF78" s="6126"/>
      <c r="AG78" s="6126"/>
      <c r="AH78" s="6126"/>
      <c r="AI78" s="6126"/>
      <c r="AJ78" s="6126"/>
      <c r="AK78" s="6126"/>
      <c r="AL78" s="6126"/>
      <c r="AM78" s="6126"/>
      <c r="AN78" s="6126"/>
      <c r="AO78" s="6126"/>
      <c r="AP78" s="6067"/>
      <c r="BD78" s="6070"/>
      <c r="BE78" s="6070"/>
      <c r="BF78" s="6070"/>
      <c r="BG78" s="6070"/>
      <c r="BH78" s="6070"/>
      <c r="BI78" s="6070"/>
      <c r="BJ78" s="6070"/>
      <c r="BK78" s="6070"/>
      <c r="BL78" s="6070"/>
      <c r="BM78" s="6070"/>
      <c r="BN78" s="6070"/>
    </row>
    <row r="79" spans="1:67" s="6081" customFormat="1" ht="15">
      <c r="A79" s="6079"/>
      <c r="B79" s="1587"/>
      <c r="C79" s="1587"/>
      <c r="D79" s="1587"/>
      <c r="E79" s="6078"/>
      <c r="F79" s="6078" t="s">
        <v>4290</v>
      </c>
      <c r="G79" s="6078"/>
      <c r="H79" s="6078"/>
      <c r="I79" s="6078"/>
      <c r="J79" s="6078"/>
      <c r="K79" s="6078"/>
      <c r="L79" s="6078"/>
      <c r="M79" s="6078"/>
      <c r="N79" s="6078"/>
      <c r="O79" s="6078"/>
      <c r="P79" s="6078"/>
      <c r="Q79" s="6078"/>
      <c r="R79" s="6078"/>
      <c r="S79" s="6078"/>
      <c r="T79" s="6078"/>
      <c r="U79" s="6078"/>
      <c r="V79" s="6078"/>
      <c r="W79" s="6078"/>
      <c r="X79" s="6078"/>
      <c r="Y79" s="6078"/>
      <c r="Z79" s="6078"/>
      <c r="AA79" s="6078"/>
      <c r="AB79" s="6078"/>
      <c r="AC79" s="6078"/>
      <c r="AD79" s="6078"/>
      <c r="AE79" s="6078"/>
      <c r="AF79" s="6078"/>
      <c r="AG79" s="6078"/>
      <c r="AH79" s="6078"/>
      <c r="AI79" s="6078"/>
      <c r="AJ79" s="6078"/>
      <c r="AK79" s="6078"/>
      <c r="AL79" s="6078"/>
      <c r="AM79" s="6078"/>
      <c r="AN79" s="6078"/>
      <c r="AO79" s="6078"/>
      <c r="AP79" s="6067"/>
      <c r="BD79" s="6070"/>
      <c r="BE79" s="6070"/>
      <c r="BF79" s="6070"/>
      <c r="BG79" s="6070"/>
      <c r="BH79" s="6070"/>
      <c r="BI79" s="6070"/>
      <c r="BJ79" s="6070"/>
      <c r="BK79" s="6070"/>
      <c r="BL79" s="6070"/>
      <c r="BM79" s="6070"/>
      <c r="BN79" s="6070"/>
    </row>
    <row r="80" spans="1:67" ht="13.5" customHeight="1">
      <c r="A80" s="6067"/>
      <c r="B80" s="1587"/>
      <c r="C80" s="1587"/>
      <c r="D80" s="1587"/>
      <c r="E80" s="1587"/>
      <c r="F80" s="6078" t="s">
        <v>4291</v>
      </c>
      <c r="G80" s="1587"/>
      <c r="H80" s="1587"/>
      <c r="I80" s="1587"/>
      <c r="J80" s="1587"/>
      <c r="K80" s="1587"/>
      <c r="L80" s="1587"/>
      <c r="M80" s="1587"/>
      <c r="N80" s="1587"/>
      <c r="O80" s="1587"/>
      <c r="P80" s="1587"/>
      <c r="Q80" s="1587"/>
      <c r="R80" s="1587"/>
      <c r="S80" s="1587"/>
      <c r="T80" s="1587"/>
      <c r="U80" s="1587"/>
      <c r="V80" s="1587"/>
      <c r="W80" s="1587"/>
      <c r="X80" s="1587"/>
      <c r="Y80" s="1587"/>
      <c r="Z80" s="1587"/>
      <c r="AA80" s="1587"/>
      <c r="AB80" s="1587"/>
      <c r="AC80" s="1587"/>
      <c r="AD80" s="1587"/>
      <c r="AE80" s="1587"/>
      <c r="AF80" s="1587"/>
      <c r="AG80" s="1587"/>
      <c r="AH80" s="1587"/>
      <c r="AI80" s="1587"/>
      <c r="AJ80" s="1587"/>
      <c r="AK80" s="1587"/>
      <c r="AL80" s="1587"/>
      <c r="AM80" s="1587"/>
      <c r="AN80" s="1587"/>
      <c r="AO80" s="1587"/>
      <c r="AP80" s="6067"/>
      <c r="BD80" s="6070"/>
      <c r="BE80" s="6070"/>
      <c r="BF80" s="6070"/>
      <c r="BG80" s="6070"/>
      <c r="BH80" s="6070"/>
      <c r="BI80" s="6070"/>
      <c r="BJ80" s="6070"/>
      <c r="BK80" s="6070"/>
      <c r="BL80" s="6070"/>
      <c r="BM80" s="6070"/>
      <c r="BN80" s="6070"/>
    </row>
    <row r="81" spans="1:66" ht="13.5" customHeight="1">
      <c r="A81" s="6067"/>
      <c r="B81" s="6128"/>
      <c r="C81" s="6128"/>
      <c r="D81" s="6128"/>
      <c r="E81" s="6128"/>
      <c r="F81" s="6129" t="s">
        <v>4292</v>
      </c>
      <c r="G81" s="6128"/>
      <c r="H81" s="6128"/>
      <c r="I81" s="6128"/>
      <c r="J81" s="6128"/>
      <c r="K81" s="6128"/>
      <c r="L81" s="6128"/>
      <c r="M81" s="6128"/>
      <c r="N81" s="6128"/>
      <c r="O81" s="6128"/>
      <c r="P81" s="6128"/>
      <c r="Q81" s="6128"/>
      <c r="R81" s="6128"/>
      <c r="S81" s="6128"/>
      <c r="T81" s="6128"/>
      <c r="U81" s="6128"/>
      <c r="V81" s="6128"/>
      <c r="W81" s="6128"/>
      <c r="X81" s="6128"/>
      <c r="Y81" s="6128"/>
      <c r="Z81" s="6128"/>
      <c r="AA81" s="6128"/>
      <c r="AB81" s="6128"/>
      <c r="AC81" s="6128"/>
      <c r="AD81" s="6128"/>
      <c r="AE81" s="6128"/>
      <c r="AF81" s="6128"/>
      <c r="AG81" s="6128"/>
      <c r="AH81" s="6128"/>
      <c r="AI81" s="6128"/>
      <c r="AJ81" s="6128"/>
      <c r="AK81" s="6128"/>
      <c r="AL81" s="6128"/>
      <c r="AM81" s="6128"/>
      <c r="AN81" s="6128"/>
      <c r="AO81" s="6128"/>
      <c r="AP81" s="6067"/>
      <c r="BD81" s="6070"/>
      <c r="BE81" s="6070"/>
      <c r="BF81" s="6070"/>
      <c r="BG81" s="6070"/>
      <c r="BH81" s="6070"/>
      <c r="BI81" s="6070"/>
      <c r="BJ81" s="6070"/>
      <c r="BK81" s="6070"/>
      <c r="BL81" s="6070"/>
      <c r="BM81" s="6070"/>
      <c r="BN81" s="6070"/>
    </row>
    <row r="82" spans="1:66" ht="15">
      <c r="A82" s="6067"/>
      <c r="B82" s="9303" t="s">
        <v>643</v>
      </c>
      <c r="C82" s="9304"/>
      <c r="D82" s="6104" t="s">
        <v>4293</v>
      </c>
      <c r="E82" s="1587"/>
      <c r="F82" s="1587"/>
      <c r="G82" s="1587"/>
      <c r="H82" s="1587"/>
      <c r="I82" s="1587"/>
      <c r="J82" s="1587"/>
      <c r="K82" s="1587"/>
      <c r="L82" s="1587"/>
      <c r="M82" s="1587"/>
      <c r="N82" s="1587"/>
      <c r="O82" s="1587"/>
      <c r="P82" s="1587"/>
      <c r="Q82" s="1587"/>
      <c r="R82" s="1587"/>
      <c r="S82" s="1587"/>
      <c r="T82" s="1587"/>
      <c r="U82" s="1587"/>
      <c r="V82" s="1587"/>
      <c r="W82" s="1587"/>
      <c r="X82" s="1587"/>
      <c r="Y82" s="1587"/>
      <c r="Z82" s="1587"/>
      <c r="AA82" s="1587"/>
      <c r="AB82" s="1587"/>
      <c r="AC82" s="1587"/>
      <c r="AD82" s="1587"/>
      <c r="AE82" s="1587"/>
      <c r="AF82" s="1587"/>
      <c r="AG82" s="1587"/>
      <c r="AH82" s="1587"/>
      <c r="AI82" s="1587"/>
      <c r="AJ82" s="1587"/>
      <c r="AK82" s="1587"/>
      <c r="AL82" s="1587"/>
      <c r="AM82" s="9294"/>
      <c r="AN82" s="9294"/>
      <c r="AO82" s="9294"/>
      <c r="AP82" s="6067"/>
      <c r="BD82" s="6070"/>
      <c r="BE82" s="6070"/>
      <c r="BF82" s="6070"/>
      <c r="BG82" s="6070"/>
      <c r="BH82" s="6070"/>
      <c r="BI82" s="6070"/>
      <c r="BJ82" s="6070"/>
      <c r="BK82" s="6070"/>
      <c r="BL82" s="6070"/>
      <c r="BM82" s="6070"/>
      <c r="BN82" s="6070"/>
    </row>
    <row r="83" spans="1:66" ht="14.25">
      <c r="A83" s="6067"/>
      <c r="B83" s="6130"/>
      <c r="C83" s="6130"/>
      <c r="D83" s="6104" t="s">
        <v>4294</v>
      </c>
      <c r="E83" s="1587"/>
      <c r="F83" s="1587"/>
      <c r="G83" s="1587"/>
      <c r="H83" s="1587"/>
      <c r="I83" s="1587"/>
      <c r="J83" s="1587"/>
      <c r="K83" s="1587"/>
      <c r="L83" s="1587"/>
      <c r="M83" s="1587"/>
      <c r="N83" s="1587"/>
      <c r="O83" s="1587"/>
      <c r="P83" s="1587"/>
      <c r="Q83" s="1587"/>
      <c r="R83" s="1587"/>
      <c r="S83" s="1587"/>
      <c r="T83" s="1587"/>
      <c r="U83" s="1587"/>
      <c r="V83" s="1587"/>
      <c r="W83" s="1587"/>
      <c r="X83" s="1587"/>
      <c r="Y83" s="1587"/>
      <c r="Z83" s="1587"/>
      <c r="AA83" s="1587"/>
      <c r="AB83" s="1587"/>
      <c r="AC83" s="1587"/>
      <c r="AD83" s="1587"/>
      <c r="AE83" s="1587"/>
      <c r="AF83" s="1587"/>
      <c r="AG83" s="1587"/>
      <c r="AH83" s="1587"/>
      <c r="AI83" s="1587"/>
      <c r="AJ83" s="1587"/>
      <c r="AK83" s="1587"/>
      <c r="AL83" s="1587"/>
      <c r="AM83" s="1587"/>
      <c r="AN83" s="1587"/>
      <c r="AO83" s="1587"/>
      <c r="AP83" s="6067"/>
      <c r="BD83" s="6070"/>
      <c r="BE83" s="6070"/>
      <c r="BF83" s="6070"/>
      <c r="BG83" s="6070"/>
      <c r="BH83" s="6070"/>
      <c r="BI83" s="6070"/>
      <c r="BJ83" s="6070"/>
      <c r="BK83" s="6070"/>
      <c r="BL83" s="6070"/>
      <c r="BM83" s="6070"/>
      <c r="BN83" s="6070"/>
    </row>
    <row r="84" spans="1:66" ht="15">
      <c r="A84" s="6067"/>
      <c r="B84" s="9242" t="s">
        <v>644</v>
      </c>
      <c r="C84" s="9242"/>
      <c r="D84" s="6104" t="s">
        <v>4295</v>
      </c>
      <c r="E84" s="1587"/>
      <c r="F84" s="1587"/>
      <c r="G84" s="1587"/>
      <c r="H84" s="1587"/>
      <c r="I84" s="1587"/>
      <c r="J84" s="1587"/>
      <c r="K84" s="1587"/>
      <c r="L84" s="1587"/>
      <c r="M84" s="1587"/>
      <c r="N84" s="1587"/>
      <c r="O84" s="1587"/>
      <c r="P84" s="1587"/>
      <c r="Q84" s="1587"/>
      <c r="R84" s="1587"/>
      <c r="S84" s="1587"/>
      <c r="T84" s="1587"/>
      <c r="U84" s="1587"/>
      <c r="V84" s="1587"/>
      <c r="W84" s="1587"/>
      <c r="X84" s="1587"/>
      <c r="Y84" s="1587"/>
      <c r="Z84" s="6131" t="s">
        <v>4296</v>
      </c>
      <c r="AA84" s="6104" t="s">
        <v>4297</v>
      </c>
      <c r="AB84" s="6104"/>
      <c r="AC84" s="1587"/>
      <c r="AD84" s="1587"/>
      <c r="AE84" s="1587"/>
      <c r="AF84" s="1587"/>
      <c r="AG84" s="1587"/>
      <c r="AH84" s="1587"/>
      <c r="AI84" s="9305"/>
      <c r="AJ84" s="9305"/>
      <c r="AK84" s="9305"/>
      <c r="AL84" s="9305"/>
      <c r="AM84" s="9305"/>
      <c r="AN84" s="9305"/>
      <c r="AO84" s="9305"/>
      <c r="AP84" s="6067"/>
      <c r="BD84" s="6070"/>
      <c r="BE84" s="6070"/>
      <c r="BF84" s="6070"/>
      <c r="BG84" s="6070"/>
      <c r="BH84" s="6070"/>
      <c r="BI84" s="6070"/>
      <c r="BJ84" s="6070"/>
      <c r="BK84" s="6070"/>
      <c r="BL84" s="6070"/>
      <c r="BM84" s="6070"/>
      <c r="BN84" s="6070"/>
    </row>
    <row r="85" spans="1:66" ht="15">
      <c r="A85" s="6067"/>
      <c r="B85" s="9242"/>
      <c r="C85" s="9242"/>
      <c r="D85" s="6104"/>
      <c r="E85" s="1587"/>
      <c r="F85" s="1587"/>
      <c r="G85" s="1587"/>
      <c r="H85" s="1587"/>
      <c r="I85" s="1587"/>
      <c r="J85" s="1587"/>
      <c r="K85" s="1587"/>
      <c r="L85" s="1587"/>
      <c r="M85" s="1587"/>
      <c r="N85" s="1587"/>
      <c r="O85" s="1587"/>
      <c r="P85" s="1587"/>
      <c r="Q85" s="1587"/>
      <c r="R85" s="1587"/>
      <c r="S85" s="1587"/>
      <c r="T85" s="1587"/>
      <c r="U85" s="1587"/>
      <c r="V85" s="1587"/>
      <c r="W85" s="1587"/>
      <c r="X85" s="1587"/>
      <c r="Y85" s="1587"/>
      <c r="Z85" s="6131" t="s">
        <v>4298</v>
      </c>
      <c r="AA85" s="6104" t="s">
        <v>4299</v>
      </c>
      <c r="AB85" s="6104"/>
      <c r="AC85" s="1587"/>
      <c r="AD85" s="1587"/>
      <c r="AE85" s="1587"/>
      <c r="AF85" s="1587"/>
      <c r="AG85" s="1587"/>
      <c r="AH85" s="1587"/>
      <c r="AI85" s="9294"/>
      <c r="AJ85" s="9294"/>
      <c r="AK85" s="9294"/>
      <c r="AL85" s="9294"/>
      <c r="AM85" s="9294"/>
      <c r="AN85" s="9294"/>
      <c r="AO85" s="9294"/>
      <c r="AP85" s="6067"/>
      <c r="BD85" s="6070"/>
      <c r="BE85" s="6070"/>
      <c r="BF85" s="6070"/>
      <c r="BG85" s="6070"/>
      <c r="BH85" s="6070"/>
      <c r="BI85" s="6070"/>
      <c r="BJ85" s="6070"/>
      <c r="BK85" s="6070"/>
      <c r="BL85" s="6070"/>
      <c r="BM85" s="6070"/>
      <c r="BN85" s="6070"/>
    </row>
    <row r="86" spans="1:66" ht="15">
      <c r="A86" s="6067"/>
      <c r="B86" s="9242" t="s">
        <v>648</v>
      </c>
      <c r="C86" s="9242"/>
      <c r="D86" s="6104" t="s">
        <v>4300</v>
      </c>
      <c r="E86" s="1587"/>
      <c r="F86" s="1587"/>
      <c r="G86" s="1587"/>
      <c r="H86" s="1587"/>
      <c r="I86" s="1587"/>
      <c r="J86" s="1587"/>
      <c r="K86" s="1587"/>
      <c r="L86" s="1587"/>
      <c r="M86" s="1587"/>
      <c r="N86" s="1587"/>
      <c r="O86" s="1587"/>
      <c r="P86" s="1587"/>
      <c r="Q86" s="1587"/>
      <c r="R86" s="1587"/>
      <c r="S86" s="1587"/>
      <c r="T86" s="1587"/>
      <c r="U86" s="1587"/>
      <c r="V86" s="1587"/>
      <c r="W86" s="1587"/>
      <c r="X86" s="1587"/>
      <c r="Y86" s="1587"/>
      <c r="Z86" s="1587"/>
      <c r="AA86" s="1587"/>
      <c r="AB86" s="1587"/>
      <c r="AC86" s="1587"/>
      <c r="AD86" s="1587"/>
      <c r="AE86" s="1587"/>
      <c r="AF86" s="1587"/>
      <c r="AG86" s="1587"/>
      <c r="AH86" s="1587"/>
      <c r="AI86" s="1587"/>
      <c r="AJ86" s="1587"/>
      <c r="AK86" s="1587"/>
      <c r="AL86" s="1587"/>
      <c r="AM86" s="1587"/>
      <c r="AN86" s="1587"/>
      <c r="AO86" s="1587"/>
      <c r="AP86" s="6067"/>
      <c r="BD86" s="6070"/>
      <c r="BE86" s="6070"/>
      <c r="BF86" s="6070"/>
      <c r="BG86" s="6070"/>
      <c r="BH86" s="6070"/>
      <c r="BI86" s="6070"/>
      <c r="BJ86" s="6070"/>
      <c r="BK86" s="6070"/>
      <c r="BL86" s="6070"/>
      <c r="BM86" s="6070"/>
      <c r="BN86" s="6070"/>
    </row>
    <row r="87" spans="1:66" ht="14.25">
      <c r="A87" s="6067"/>
      <c r="B87" s="6130"/>
      <c r="C87" s="6130"/>
      <c r="D87" s="6104" t="s">
        <v>4301</v>
      </c>
      <c r="E87" s="1587"/>
      <c r="F87" s="1587"/>
      <c r="G87" s="1587"/>
      <c r="H87" s="1587"/>
      <c r="I87" s="1587"/>
      <c r="J87" s="1587"/>
      <c r="K87" s="1587"/>
      <c r="L87" s="1587"/>
      <c r="M87" s="1587"/>
      <c r="N87" s="1587"/>
      <c r="O87" s="1587"/>
      <c r="P87" s="1587"/>
      <c r="Q87" s="1587"/>
      <c r="R87" s="1587"/>
      <c r="S87" s="1587"/>
      <c r="T87" s="1587"/>
      <c r="U87" s="1587"/>
      <c r="V87" s="1587"/>
      <c r="W87" s="1587"/>
      <c r="X87" s="1587"/>
      <c r="Y87" s="1587"/>
      <c r="Z87" s="1587"/>
      <c r="AA87" s="1587"/>
      <c r="AB87" s="1587"/>
      <c r="AC87" s="1587"/>
      <c r="AD87" s="1587"/>
      <c r="AE87" s="1587"/>
      <c r="AF87" s="1587"/>
      <c r="AG87" s="1587"/>
      <c r="AH87" s="1587"/>
      <c r="AI87" s="1587"/>
      <c r="AJ87" s="1587"/>
      <c r="AK87" s="1587"/>
      <c r="AL87" s="1587"/>
      <c r="AM87" s="1587"/>
      <c r="AN87" s="1587"/>
      <c r="AO87" s="1587"/>
      <c r="AP87" s="6067"/>
      <c r="BD87" s="6070"/>
      <c r="BE87" s="6070"/>
      <c r="BF87" s="6070"/>
      <c r="BG87" s="6070"/>
      <c r="BH87" s="6070"/>
      <c r="BI87" s="6070"/>
      <c r="BJ87" s="6070"/>
      <c r="BK87" s="6070"/>
      <c r="BL87" s="6070"/>
      <c r="BM87" s="6070"/>
      <c r="BN87" s="6070"/>
    </row>
    <row r="88" spans="1:66">
      <c r="A88" s="6067"/>
      <c r="B88" s="6130"/>
      <c r="C88" s="6130"/>
      <c r="D88" s="1587" t="s">
        <v>4302</v>
      </c>
      <c r="E88" s="1587"/>
      <c r="F88" s="1587"/>
      <c r="G88" s="1587"/>
      <c r="H88" s="1587"/>
      <c r="I88" s="1587"/>
      <c r="J88" s="1587"/>
      <c r="K88" s="1587"/>
      <c r="L88" s="1587"/>
      <c r="M88" s="1587"/>
      <c r="N88" s="1587"/>
      <c r="O88" s="1587"/>
      <c r="P88" s="1587"/>
      <c r="Q88" s="1587"/>
      <c r="R88" s="1587"/>
      <c r="S88" s="1587"/>
      <c r="T88" s="1587"/>
      <c r="U88" s="1587"/>
      <c r="V88" s="1587"/>
      <c r="W88" s="1587"/>
      <c r="X88" s="1587"/>
      <c r="Y88" s="1587"/>
      <c r="Z88" s="1587"/>
      <c r="AA88" s="1587"/>
      <c r="AB88" s="1587"/>
      <c r="AC88" s="1587"/>
      <c r="AD88" s="1587"/>
      <c r="AE88" s="1587"/>
      <c r="AF88" s="1587"/>
      <c r="AG88" s="1587"/>
      <c r="AH88" s="1587"/>
      <c r="AI88" s="1587"/>
      <c r="AJ88" s="1587"/>
      <c r="AK88" s="1587"/>
      <c r="AL88" s="1587"/>
      <c r="AM88" s="1587"/>
      <c r="AN88" s="1587"/>
      <c r="AO88" s="1587"/>
      <c r="AP88" s="6067"/>
      <c r="BD88" s="6070"/>
      <c r="BE88" s="6070"/>
      <c r="BF88" s="6070"/>
      <c r="BG88" s="6070"/>
      <c r="BH88" s="6070"/>
      <c r="BI88" s="6070"/>
      <c r="BJ88" s="6070"/>
      <c r="BK88" s="6070"/>
      <c r="BL88" s="6070"/>
      <c r="BM88" s="6070"/>
      <c r="BN88" s="6070"/>
    </row>
    <row r="89" spans="1:66" ht="16.5" customHeight="1">
      <c r="A89" s="6067"/>
      <c r="B89" s="6130"/>
      <c r="C89" s="6130"/>
      <c r="D89" s="9295"/>
      <c r="E89" s="9296"/>
      <c r="F89" s="9296"/>
      <c r="G89" s="9296"/>
      <c r="H89" s="9296"/>
      <c r="I89" s="9296"/>
      <c r="J89" s="9296"/>
      <c r="K89" s="9296"/>
      <c r="L89" s="9296"/>
      <c r="M89" s="9296"/>
      <c r="N89" s="9296"/>
      <c r="O89" s="9296"/>
      <c r="P89" s="9296"/>
      <c r="Q89" s="9296"/>
      <c r="R89" s="9296"/>
      <c r="S89" s="9296"/>
      <c r="T89" s="9296"/>
      <c r="U89" s="9296"/>
      <c r="V89" s="9296"/>
      <c r="W89" s="9296"/>
      <c r="X89" s="9296"/>
      <c r="Y89" s="9296"/>
      <c r="Z89" s="9296"/>
      <c r="AA89" s="9296"/>
      <c r="AB89" s="9296"/>
      <c r="AC89" s="9296"/>
      <c r="AD89" s="9296"/>
      <c r="AE89" s="9296"/>
      <c r="AF89" s="9296"/>
      <c r="AG89" s="9296"/>
      <c r="AH89" s="9296"/>
      <c r="AI89" s="9296"/>
      <c r="AJ89" s="9296"/>
      <c r="AK89" s="9296"/>
      <c r="AL89" s="9296"/>
      <c r="AM89" s="9296"/>
      <c r="AN89" s="9296"/>
      <c r="AO89" s="9296"/>
      <c r="AP89" s="6067"/>
      <c r="BD89" s="6070"/>
      <c r="BE89" s="6070"/>
      <c r="BF89" s="6070"/>
      <c r="BG89" s="6070"/>
      <c r="BH89" s="6070"/>
      <c r="BI89" s="6070"/>
      <c r="BJ89" s="6070"/>
      <c r="BK89" s="6070"/>
      <c r="BL89" s="6070"/>
      <c r="BM89" s="6070"/>
      <c r="BN89" s="6070"/>
    </row>
    <row r="90" spans="1:66">
      <c r="A90" s="6067"/>
      <c r="B90" s="6130"/>
      <c r="C90" s="6130"/>
      <c r="D90" s="1587" t="s">
        <v>4303</v>
      </c>
      <c r="E90" s="1587"/>
      <c r="F90" s="1587"/>
      <c r="G90" s="1587"/>
      <c r="H90" s="1587"/>
      <c r="I90" s="1587"/>
      <c r="J90" s="1587"/>
      <c r="K90" s="1587"/>
      <c r="L90" s="1587"/>
      <c r="M90" s="1587"/>
      <c r="N90" s="1587"/>
      <c r="O90" s="1587"/>
      <c r="P90" s="1587"/>
      <c r="Q90" s="1587"/>
      <c r="R90" s="1587"/>
      <c r="S90" s="1587"/>
      <c r="T90" s="1587"/>
      <c r="U90" s="1587"/>
      <c r="V90" s="1587"/>
      <c r="W90" s="6132"/>
      <c r="X90" s="1587" t="s">
        <v>4304</v>
      </c>
      <c r="Y90" s="1587"/>
      <c r="Z90" s="1587"/>
      <c r="AA90" s="1587"/>
      <c r="AB90" s="1587"/>
      <c r="AC90" s="1587"/>
      <c r="AD90" s="1587"/>
      <c r="AE90" s="1587"/>
      <c r="AF90" s="1587"/>
      <c r="AG90" s="1587"/>
      <c r="AH90" s="1587"/>
      <c r="AI90" s="1587"/>
      <c r="AJ90" s="1587"/>
      <c r="AK90" s="1587"/>
      <c r="AL90" s="1587"/>
      <c r="AM90" s="1587"/>
      <c r="AN90" s="1587"/>
      <c r="AO90" s="1587"/>
      <c r="AP90" s="6067"/>
      <c r="BD90" s="6070"/>
      <c r="BE90" s="6070"/>
      <c r="BF90" s="6070"/>
      <c r="BG90" s="6070"/>
      <c r="BH90" s="6070"/>
      <c r="BI90" s="6070"/>
      <c r="BJ90" s="6070"/>
      <c r="BK90" s="6070"/>
      <c r="BL90" s="6070"/>
      <c r="BM90" s="6070"/>
      <c r="BN90" s="6070"/>
    </row>
    <row r="91" spans="1:66" ht="16.5" customHeight="1">
      <c r="A91" s="6067"/>
      <c r="B91" s="6130"/>
      <c r="C91" s="6130"/>
      <c r="D91" s="9295"/>
      <c r="E91" s="9295"/>
      <c r="F91" s="9295"/>
      <c r="G91" s="9295"/>
      <c r="H91" s="9295"/>
      <c r="I91" s="9295"/>
      <c r="J91" s="9295"/>
      <c r="K91" s="9295"/>
      <c r="L91" s="9295"/>
      <c r="M91" s="9295"/>
      <c r="N91" s="9295"/>
      <c r="O91" s="9295"/>
      <c r="P91" s="9295"/>
      <c r="Q91" s="9295"/>
      <c r="R91" s="9295"/>
      <c r="S91" s="9295"/>
      <c r="T91" s="9295"/>
      <c r="U91" s="9295"/>
      <c r="V91" s="9295"/>
      <c r="W91" s="9297"/>
      <c r="X91" s="9295"/>
      <c r="Y91" s="9295"/>
      <c r="Z91" s="9295"/>
      <c r="AA91" s="9295"/>
      <c r="AB91" s="9295"/>
      <c r="AC91" s="9295"/>
      <c r="AD91" s="9295"/>
      <c r="AE91" s="9295"/>
      <c r="AF91" s="9295"/>
      <c r="AG91" s="9295"/>
      <c r="AH91" s="9295"/>
      <c r="AI91" s="9295"/>
      <c r="AJ91" s="9295"/>
      <c r="AK91" s="9295"/>
      <c r="AL91" s="9295"/>
      <c r="AM91" s="9295"/>
      <c r="AN91" s="9295"/>
      <c r="AO91" s="9295"/>
      <c r="AP91" s="6067"/>
      <c r="BD91" s="6070"/>
      <c r="BE91" s="6070"/>
      <c r="BF91" s="6070"/>
      <c r="BG91" s="6070"/>
      <c r="BH91" s="6070"/>
      <c r="BI91" s="6070"/>
      <c r="BJ91" s="6070"/>
      <c r="BK91" s="6070"/>
      <c r="BL91" s="6070"/>
      <c r="BM91" s="6070"/>
      <c r="BN91" s="6070"/>
    </row>
    <row r="92" spans="1:66" ht="15">
      <c r="A92" s="6067"/>
      <c r="B92" s="9242" t="s">
        <v>652</v>
      </c>
      <c r="C92" s="9242"/>
      <c r="D92" s="6104" t="s">
        <v>4305</v>
      </c>
      <c r="E92" s="1587"/>
      <c r="F92" s="1587"/>
      <c r="G92" s="1587"/>
      <c r="H92" s="1587"/>
      <c r="I92" s="1587"/>
      <c r="J92" s="1587"/>
      <c r="K92" s="1587"/>
      <c r="L92" s="1587"/>
      <c r="M92" s="1587"/>
      <c r="N92" s="1587"/>
      <c r="O92" s="1587"/>
      <c r="P92" s="1587"/>
      <c r="Q92" s="1587"/>
      <c r="R92" s="1587"/>
      <c r="S92" s="1587"/>
      <c r="T92" s="1587"/>
      <c r="U92" s="1587"/>
      <c r="V92" s="1587"/>
      <c r="W92" s="1587"/>
      <c r="X92" s="1587"/>
      <c r="Y92" s="1587"/>
      <c r="Z92" s="1587"/>
      <c r="AA92" s="1587"/>
      <c r="AB92" s="1587"/>
      <c r="AC92" s="9312"/>
      <c r="AD92" s="9312"/>
      <c r="AE92" s="9312"/>
      <c r="AF92" s="9312"/>
      <c r="AG92" s="9312"/>
      <c r="AH92" s="9312"/>
      <c r="AI92" s="9312"/>
      <c r="AJ92" s="9312"/>
      <c r="AK92" s="9312"/>
      <c r="AL92" s="9312"/>
      <c r="AM92" s="9312"/>
      <c r="AN92" s="9312"/>
      <c r="AO92" s="9312"/>
      <c r="AP92" s="6067"/>
      <c r="BD92" s="6070"/>
      <c r="BE92" s="6070"/>
      <c r="BF92" s="6070"/>
      <c r="BG92" s="6070"/>
      <c r="BH92" s="6070"/>
      <c r="BI92" s="6070"/>
      <c r="BJ92" s="6070"/>
      <c r="BK92" s="6070"/>
      <c r="BL92" s="6070"/>
      <c r="BM92" s="6070"/>
      <c r="BN92" s="6070"/>
    </row>
    <row r="93" spans="1:66" ht="15">
      <c r="A93" s="6067"/>
      <c r="B93" s="9242" t="s">
        <v>656</v>
      </c>
      <c r="C93" s="9242"/>
      <c r="D93" s="6104" t="s">
        <v>4306</v>
      </c>
      <c r="E93" s="1587"/>
      <c r="F93" s="1587"/>
      <c r="G93" s="1587"/>
      <c r="H93" s="1587"/>
      <c r="I93" s="1587"/>
      <c r="J93" s="1587"/>
      <c r="K93" s="1587"/>
      <c r="L93" s="1587"/>
      <c r="M93" s="1587"/>
      <c r="N93" s="1587"/>
      <c r="O93" s="1587"/>
      <c r="P93" s="1587"/>
      <c r="Q93" s="1587"/>
      <c r="R93" s="1587"/>
      <c r="S93" s="1587"/>
      <c r="T93" s="1587"/>
      <c r="U93" s="1587"/>
      <c r="V93" s="1587"/>
      <c r="W93" s="1587"/>
      <c r="X93" s="1587"/>
      <c r="Y93" s="1587"/>
      <c r="Z93" s="1587"/>
      <c r="AA93" s="1587"/>
      <c r="AB93" s="1587"/>
      <c r="AC93" s="1587"/>
      <c r="AD93" s="1587"/>
      <c r="AE93" s="1587"/>
      <c r="AF93" s="1587"/>
      <c r="AG93" s="1587"/>
      <c r="AH93" s="1587"/>
      <c r="AI93" s="9312"/>
      <c r="AJ93" s="9312"/>
      <c r="AK93" s="9312"/>
      <c r="AL93" s="9312"/>
      <c r="AM93" s="9312"/>
      <c r="AN93" s="9312"/>
      <c r="AO93" s="9312"/>
      <c r="AP93" s="6067"/>
      <c r="BD93" s="6070"/>
      <c r="BE93" s="6070"/>
      <c r="BF93" s="6070"/>
      <c r="BG93" s="6070"/>
      <c r="BH93" s="6070"/>
      <c r="BI93" s="6070"/>
      <c r="BJ93" s="6070"/>
      <c r="BK93" s="6070"/>
      <c r="BL93" s="6070"/>
      <c r="BM93" s="6070"/>
      <c r="BN93" s="6070"/>
    </row>
    <row r="94" spans="1:66" ht="16.5" customHeight="1">
      <c r="A94" s="6067"/>
      <c r="B94" s="6130"/>
      <c r="C94" s="6130"/>
      <c r="D94" s="9295"/>
      <c r="E94" s="9296"/>
      <c r="F94" s="9296"/>
      <c r="G94" s="9296"/>
      <c r="H94" s="9296"/>
      <c r="I94" s="9296"/>
      <c r="J94" s="9296"/>
      <c r="K94" s="9296"/>
      <c r="L94" s="9296"/>
      <c r="M94" s="9296"/>
      <c r="N94" s="9296"/>
      <c r="O94" s="9296"/>
      <c r="P94" s="9296"/>
      <c r="Q94" s="9296"/>
      <c r="R94" s="9296"/>
      <c r="S94" s="9296"/>
      <c r="T94" s="9296"/>
      <c r="U94" s="9296"/>
      <c r="V94" s="9296"/>
      <c r="W94" s="9296"/>
      <c r="X94" s="9296"/>
      <c r="Y94" s="9296"/>
      <c r="Z94" s="9296"/>
      <c r="AA94" s="9296"/>
      <c r="AB94" s="9296"/>
      <c r="AC94" s="9296"/>
      <c r="AD94" s="9296"/>
      <c r="AE94" s="9296"/>
      <c r="AF94" s="9296"/>
      <c r="AG94" s="9296"/>
      <c r="AH94" s="9296"/>
      <c r="AI94" s="9296"/>
      <c r="AJ94" s="9296"/>
      <c r="AK94" s="9296"/>
      <c r="AL94" s="9296"/>
      <c r="AM94" s="9296"/>
      <c r="AN94" s="9296"/>
      <c r="AO94" s="9296"/>
      <c r="AP94" s="6067"/>
      <c r="BD94" s="6070"/>
      <c r="BE94" s="6070"/>
      <c r="BF94" s="6070"/>
      <c r="BG94" s="6070"/>
      <c r="BH94" s="6070"/>
      <c r="BI94" s="6070"/>
      <c r="BJ94" s="6070"/>
      <c r="BK94" s="6070"/>
      <c r="BL94" s="6070"/>
      <c r="BM94" s="6070"/>
      <c r="BN94" s="6070"/>
    </row>
    <row r="95" spans="1:66" ht="15">
      <c r="A95" s="6067"/>
      <c r="B95" s="9242"/>
      <c r="C95" s="9242"/>
      <c r="D95" s="6104"/>
      <c r="E95" s="1587"/>
      <c r="F95" s="1587"/>
      <c r="G95" s="1587"/>
      <c r="H95" s="1587"/>
      <c r="I95" s="1587"/>
      <c r="J95" s="1587"/>
      <c r="K95" s="1587"/>
      <c r="L95" s="1587"/>
      <c r="M95" s="1587"/>
      <c r="N95" s="1587"/>
      <c r="O95" s="1587"/>
      <c r="P95" s="1587"/>
      <c r="Q95" s="1587"/>
      <c r="R95" s="1587"/>
      <c r="S95" s="1587"/>
      <c r="T95" s="1587"/>
      <c r="U95" s="1587"/>
      <c r="V95" s="1587"/>
      <c r="W95" s="1587"/>
      <c r="X95" s="1587"/>
      <c r="Y95" s="1587"/>
      <c r="Z95" s="1587"/>
      <c r="AA95" s="1587"/>
      <c r="AB95" s="1587"/>
      <c r="AC95" s="1587"/>
      <c r="AD95" s="1587"/>
      <c r="AE95" s="1587"/>
      <c r="AF95" s="1587"/>
      <c r="AG95" s="1587"/>
      <c r="AH95" s="1587"/>
      <c r="AI95" s="1587"/>
      <c r="AJ95" s="1587"/>
      <c r="AK95" s="1587"/>
      <c r="AL95" s="9313" t="s">
        <v>608</v>
      </c>
      <c r="AM95" s="9314"/>
      <c r="AN95" s="9313" t="s">
        <v>609</v>
      </c>
      <c r="AO95" s="9315"/>
      <c r="AP95" s="6067"/>
      <c r="BD95" s="6070"/>
      <c r="BE95" s="6070"/>
      <c r="BF95" s="6070"/>
      <c r="BG95" s="6070"/>
      <c r="BH95" s="6070"/>
      <c r="BI95" s="6070"/>
      <c r="BJ95" s="6070"/>
      <c r="BK95" s="6070"/>
      <c r="BL95" s="6070"/>
      <c r="BM95" s="6070"/>
      <c r="BN95" s="6070"/>
    </row>
    <row r="96" spans="1:66" ht="15.75" customHeight="1">
      <c r="A96" s="6067"/>
      <c r="B96" s="9242" t="s">
        <v>682</v>
      </c>
      <c r="C96" s="9242"/>
      <c r="D96" s="1587" t="s">
        <v>4307</v>
      </c>
      <c r="E96" s="1587"/>
      <c r="F96" s="1587"/>
      <c r="G96" s="1587"/>
      <c r="H96" s="1587"/>
      <c r="I96" s="1587"/>
      <c r="J96" s="1587"/>
      <c r="K96" s="1587"/>
      <c r="L96" s="1587"/>
      <c r="M96" s="1587"/>
      <c r="N96" s="1587"/>
      <c r="O96" s="1587"/>
      <c r="P96" s="1587"/>
      <c r="Q96" s="1587"/>
      <c r="R96" s="1587"/>
      <c r="S96" s="1587"/>
      <c r="T96" s="1587"/>
      <c r="U96" s="1587"/>
      <c r="V96" s="1587"/>
      <c r="W96" s="1587"/>
      <c r="X96" s="1587"/>
      <c r="Y96" s="1587"/>
      <c r="Z96" s="1587"/>
      <c r="AA96" s="1587"/>
      <c r="AB96" s="1587"/>
      <c r="AC96" s="1587"/>
      <c r="AD96" s="1587"/>
      <c r="AE96" s="1587"/>
      <c r="AF96" s="1587"/>
      <c r="AG96" s="1587"/>
      <c r="AH96" s="1587"/>
      <c r="AI96" s="1587"/>
      <c r="AJ96" s="1587"/>
      <c r="AK96" s="6133"/>
      <c r="AL96" s="9306"/>
      <c r="AM96" s="9307"/>
      <c r="AN96" s="9306"/>
      <c r="AO96" s="9308"/>
      <c r="AP96" s="6067"/>
      <c r="BD96" s="6070"/>
      <c r="BE96" s="6070"/>
      <c r="BF96" s="6070"/>
      <c r="BG96" s="6070"/>
      <c r="BH96" s="6070"/>
      <c r="BI96" s="6070"/>
      <c r="BJ96" s="6070"/>
      <c r="BK96" s="6070"/>
      <c r="BL96" s="6070"/>
      <c r="BM96" s="6070"/>
      <c r="BN96" s="6070"/>
    </row>
    <row r="97" spans="1:66" ht="15">
      <c r="A97" s="6067"/>
      <c r="B97" s="9242" t="s">
        <v>644</v>
      </c>
      <c r="C97" s="9242"/>
      <c r="D97" s="6104" t="s">
        <v>4308</v>
      </c>
      <c r="E97" s="1587"/>
      <c r="F97" s="1587"/>
      <c r="G97" s="1587"/>
      <c r="H97" s="1587"/>
      <c r="I97" s="1587"/>
      <c r="J97" s="1587"/>
      <c r="K97" s="1587"/>
      <c r="L97" s="1587"/>
      <c r="M97" s="1587"/>
      <c r="N97" s="1587"/>
      <c r="O97" s="1587"/>
      <c r="P97" s="1587"/>
      <c r="Q97" s="1587"/>
      <c r="R97" s="1587"/>
      <c r="S97" s="1587"/>
      <c r="T97" s="1587"/>
      <c r="U97" s="1587"/>
      <c r="V97" s="1587"/>
      <c r="W97" s="1587"/>
      <c r="X97" s="1587"/>
      <c r="Y97" s="1587"/>
      <c r="Z97" s="1587"/>
      <c r="AA97" s="1587"/>
      <c r="AB97" s="1587"/>
      <c r="AC97" s="1587"/>
      <c r="AD97" s="1587"/>
      <c r="AE97" s="1587"/>
      <c r="AF97" s="1587"/>
      <c r="AG97" s="1587"/>
      <c r="AH97" s="1587"/>
      <c r="AI97" s="1587"/>
      <c r="AJ97" s="1587"/>
      <c r="AK97" s="6090"/>
      <c r="AL97" s="6134"/>
      <c r="AM97" s="6135"/>
      <c r="AN97" s="6134"/>
      <c r="AO97" s="6136"/>
      <c r="AP97" s="6067"/>
      <c r="BD97" s="6070"/>
      <c r="BE97" s="6070"/>
      <c r="BF97" s="6070"/>
      <c r="BG97" s="6070"/>
      <c r="BH97" s="6070"/>
      <c r="BI97" s="6070"/>
      <c r="BJ97" s="6070"/>
      <c r="BK97" s="6070"/>
      <c r="BL97" s="6070"/>
      <c r="BM97" s="6070"/>
      <c r="BN97" s="6070"/>
    </row>
    <row r="98" spans="1:66" ht="15">
      <c r="A98" s="6067"/>
      <c r="B98" s="6106"/>
      <c r="C98" s="6106"/>
      <c r="D98" s="1587" t="s">
        <v>4309</v>
      </c>
      <c r="E98" s="1587"/>
      <c r="F98" s="1587"/>
      <c r="G98" s="1587"/>
      <c r="H98" s="1587"/>
      <c r="I98" s="1587"/>
      <c r="J98" s="1587"/>
      <c r="K98" s="1587"/>
      <c r="L98" s="1587"/>
      <c r="M98" s="1587"/>
      <c r="N98" s="1587"/>
      <c r="O98" s="1587"/>
      <c r="P98" s="1587"/>
      <c r="Q98" s="1587"/>
      <c r="R98" s="1587"/>
      <c r="S98" s="1587"/>
      <c r="T98" s="1587"/>
      <c r="U98" s="1587"/>
      <c r="V98" s="1587"/>
      <c r="W98" s="1587"/>
      <c r="X98" s="1587"/>
      <c r="Y98" s="1587"/>
      <c r="Z98" s="1587"/>
      <c r="AA98" s="1587"/>
      <c r="AB98" s="1587"/>
      <c r="AC98" s="1587"/>
      <c r="AD98" s="1587"/>
      <c r="AE98" s="1587"/>
      <c r="AF98" s="1587"/>
      <c r="AG98" s="1587"/>
      <c r="AH98" s="1587"/>
      <c r="AI98" s="1587"/>
      <c r="AJ98" s="1587"/>
      <c r="AK98" s="1587"/>
      <c r="AL98" s="6137"/>
      <c r="AM98" s="6138"/>
      <c r="AN98" s="6137"/>
      <c r="AO98" s="6139"/>
      <c r="AP98" s="6067"/>
      <c r="BD98" s="6070"/>
      <c r="BE98" s="6070"/>
      <c r="BF98" s="6070"/>
      <c r="BG98" s="6070"/>
      <c r="BH98" s="6070"/>
      <c r="BI98" s="6070"/>
      <c r="BJ98" s="6070"/>
      <c r="BK98" s="6070"/>
      <c r="BL98" s="6070"/>
      <c r="BM98" s="6070"/>
      <c r="BN98" s="6070"/>
    </row>
    <row r="99" spans="1:66" ht="15">
      <c r="A99" s="6067"/>
      <c r="B99" s="6106"/>
      <c r="C99" s="6106"/>
      <c r="D99" s="6104" t="s">
        <v>4310</v>
      </c>
      <c r="E99" s="1587"/>
      <c r="F99" s="1587"/>
      <c r="G99" s="1587"/>
      <c r="H99" s="1587"/>
      <c r="I99" s="1587"/>
      <c r="J99" s="1587"/>
      <c r="K99" s="1587"/>
      <c r="L99" s="1587"/>
      <c r="M99" s="1587"/>
      <c r="N99" s="1587"/>
      <c r="O99" s="1587"/>
      <c r="P99" s="1587"/>
      <c r="Q99" s="1587"/>
      <c r="R99" s="1587"/>
      <c r="S99" s="1587"/>
      <c r="T99" s="1587"/>
      <c r="U99" s="1587"/>
      <c r="V99" s="1587"/>
      <c r="W99" s="1587"/>
      <c r="X99" s="1587"/>
      <c r="Y99" s="1587"/>
      <c r="Z99" s="1587"/>
      <c r="AA99" s="1587"/>
      <c r="AB99" s="1587"/>
      <c r="AC99" s="1587"/>
      <c r="AD99" s="1587"/>
      <c r="AE99" s="1587"/>
      <c r="AF99" s="1587"/>
      <c r="AG99" s="1587"/>
      <c r="AH99" s="1587"/>
      <c r="AI99" s="1587"/>
      <c r="AJ99" s="1587"/>
      <c r="AK99" s="1587"/>
      <c r="AL99" s="6137"/>
      <c r="AM99" s="6138"/>
      <c r="AN99" s="6137"/>
      <c r="AO99" s="6139"/>
      <c r="AP99" s="6067"/>
      <c r="BD99" s="6070"/>
      <c r="BE99" s="6070"/>
      <c r="BF99" s="6070"/>
      <c r="BG99" s="6070"/>
      <c r="BH99" s="6070"/>
      <c r="BI99" s="6070"/>
      <c r="BJ99" s="6070"/>
      <c r="BK99" s="6070"/>
      <c r="BL99" s="6070"/>
      <c r="BM99" s="6070"/>
      <c r="BN99" s="6070"/>
    </row>
    <row r="100" spans="1:66" ht="15.75">
      <c r="A100" s="6067"/>
      <c r="B100" s="6106"/>
      <c r="C100" s="6106"/>
      <c r="D100" s="6104" t="s">
        <v>4311</v>
      </c>
      <c r="E100" s="1587"/>
      <c r="F100" s="1587"/>
      <c r="G100" s="1587"/>
      <c r="H100" s="1587"/>
      <c r="I100" s="1587"/>
      <c r="J100" s="1587"/>
      <c r="K100" s="1587"/>
      <c r="L100" s="1587"/>
      <c r="M100" s="1587"/>
      <c r="N100" s="1587"/>
      <c r="O100" s="1587"/>
      <c r="P100" s="1587"/>
      <c r="Q100" s="1587"/>
      <c r="R100" s="1587"/>
      <c r="S100" s="1587"/>
      <c r="T100" s="1587"/>
      <c r="U100" s="1587"/>
      <c r="V100" s="1587"/>
      <c r="W100" s="1587"/>
      <c r="X100" s="1587"/>
      <c r="Y100" s="1587"/>
      <c r="Z100" s="1587"/>
      <c r="AA100" s="1587"/>
      <c r="AB100" s="1587"/>
      <c r="AC100" s="1587"/>
      <c r="AD100" s="1587"/>
      <c r="AE100" s="1587"/>
      <c r="AF100" s="1587"/>
      <c r="AG100" s="1587"/>
      <c r="AH100" s="1587"/>
      <c r="AI100" s="1587"/>
      <c r="AJ100" s="1587"/>
      <c r="AK100" s="6140" t="s">
        <v>709</v>
      </c>
      <c r="AL100" s="9309"/>
      <c r="AM100" s="9310"/>
      <c r="AN100" s="9309"/>
      <c r="AO100" s="9311"/>
      <c r="AP100" s="6067"/>
      <c r="BD100" s="6070"/>
      <c r="BE100" s="6070"/>
      <c r="BF100" s="6070"/>
      <c r="BG100" s="6070"/>
      <c r="BH100" s="6070"/>
      <c r="BI100" s="6070"/>
      <c r="BJ100" s="6070"/>
      <c r="BK100" s="6070"/>
      <c r="BL100" s="6070"/>
      <c r="BM100" s="6070"/>
      <c r="BN100" s="6070"/>
    </row>
    <row r="101" spans="1:66" ht="16.5" thickBot="1">
      <c r="A101" s="6067"/>
      <c r="B101" s="9325" t="s">
        <v>648</v>
      </c>
      <c r="C101" s="9325"/>
      <c r="D101" s="6141" t="s">
        <v>4312</v>
      </c>
      <c r="E101" s="3272"/>
      <c r="F101" s="3272"/>
      <c r="G101" s="3272"/>
      <c r="H101" s="3272"/>
      <c r="I101" s="3272"/>
      <c r="J101" s="3272"/>
      <c r="K101" s="3272"/>
      <c r="L101" s="3272"/>
      <c r="M101" s="3272"/>
      <c r="N101" s="3272"/>
      <c r="O101" s="3272"/>
      <c r="P101" s="3272"/>
      <c r="Q101" s="3272"/>
      <c r="R101" s="3272"/>
      <c r="S101" s="3272"/>
      <c r="T101" s="3272"/>
      <c r="U101" s="3272"/>
      <c r="V101" s="3272"/>
      <c r="W101" s="3272"/>
      <c r="X101" s="3272"/>
      <c r="Y101" s="3272"/>
      <c r="Z101" s="3272"/>
      <c r="AA101" s="3272"/>
      <c r="AB101" s="3272"/>
      <c r="AC101" s="3272"/>
      <c r="AD101" s="3272"/>
      <c r="AE101" s="3272"/>
      <c r="AF101" s="3272"/>
      <c r="AG101" s="3272"/>
      <c r="AH101" s="3272"/>
      <c r="AI101" s="3272"/>
      <c r="AJ101" s="3272"/>
      <c r="AK101" s="6142" t="s">
        <v>661</v>
      </c>
      <c r="AL101" s="9326"/>
      <c r="AM101" s="9327"/>
      <c r="AN101" s="9326"/>
      <c r="AO101" s="9328"/>
      <c r="AP101" s="6067"/>
      <c r="BD101" s="6070"/>
      <c r="BE101" s="6070"/>
      <c r="BF101" s="6070"/>
      <c r="BG101" s="6070"/>
      <c r="BH101" s="6070"/>
      <c r="BI101" s="6070"/>
      <c r="BJ101" s="6070"/>
      <c r="BK101" s="6070"/>
      <c r="BL101" s="6070"/>
      <c r="BM101" s="6070"/>
      <c r="BN101" s="6070"/>
    </row>
    <row r="102" spans="1:66" s="6081" customFormat="1" ht="15.75">
      <c r="A102" s="6079"/>
      <c r="B102" s="9301" t="s">
        <v>2243</v>
      </c>
      <c r="C102" s="9301"/>
      <c r="D102" s="9302"/>
      <c r="E102" s="6126"/>
      <c r="F102" s="6127" t="s">
        <v>4313</v>
      </c>
      <c r="G102" s="6126"/>
      <c r="H102" s="6126"/>
      <c r="I102" s="6126"/>
      <c r="J102" s="6126"/>
      <c r="K102" s="6126"/>
      <c r="L102" s="6126"/>
      <c r="M102" s="6126"/>
      <c r="N102" s="6126"/>
      <c r="O102" s="6126"/>
      <c r="P102" s="6126"/>
      <c r="Q102" s="6126"/>
      <c r="R102" s="6126"/>
      <c r="S102" s="6126"/>
      <c r="T102" s="6126"/>
      <c r="U102" s="6126"/>
      <c r="V102" s="6126"/>
      <c r="W102" s="6126"/>
      <c r="X102" s="6126"/>
      <c r="Y102" s="6126"/>
      <c r="Z102" s="6126"/>
      <c r="AA102" s="6126"/>
      <c r="AB102" s="6126"/>
      <c r="AC102" s="6126"/>
      <c r="AD102" s="6126"/>
      <c r="AE102" s="6126"/>
      <c r="AF102" s="6126"/>
      <c r="AG102" s="6126"/>
      <c r="AH102" s="6126"/>
      <c r="AI102" s="6126"/>
      <c r="AJ102" s="6126"/>
      <c r="AK102" s="6126"/>
      <c r="AL102" s="6126"/>
      <c r="AM102" s="6126"/>
      <c r="AN102" s="6126"/>
      <c r="AO102" s="6126"/>
      <c r="AP102" s="6067"/>
      <c r="BD102" s="6070"/>
      <c r="BE102" s="6070"/>
      <c r="BF102" s="6070"/>
      <c r="BG102" s="6070"/>
      <c r="BH102" s="6070"/>
      <c r="BI102" s="6070"/>
      <c r="BJ102" s="6070"/>
      <c r="BK102" s="6070"/>
      <c r="BL102" s="6070"/>
      <c r="BM102" s="6070"/>
      <c r="BN102" s="6070"/>
    </row>
    <row r="103" spans="1:66" ht="15">
      <c r="A103" s="6067"/>
      <c r="B103" s="6128"/>
      <c r="C103" s="6128"/>
      <c r="D103" s="6128"/>
      <c r="E103" s="6128"/>
      <c r="F103" s="6143" t="s">
        <v>4314</v>
      </c>
      <c r="G103" s="6128"/>
      <c r="H103" s="6128"/>
      <c r="I103" s="6128"/>
      <c r="J103" s="6128"/>
      <c r="K103" s="6128"/>
      <c r="L103" s="6128"/>
      <c r="M103" s="6128"/>
      <c r="N103" s="6128"/>
      <c r="O103" s="6128"/>
      <c r="P103" s="6128"/>
      <c r="Q103" s="6128"/>
      <c r="R103" s="6128"/>
      <c r="S103" s="6128"/>
      <c r="T103" s="6144"/>
      <c r="U103" s="6128"/>
      <c r="V103" s="6128"/>
      <c r="W103" s="6128"/>
      <c r="X103" s="6128"/>
      <c r="Y103" s="6128"/>
      <c r="Z103" s="6128"/>
      <c r="AA103" s="6128"/>
      <c r="AB103" s="6128"/>
      <c r="AC103" s="6128"/>
      <c r="AD103" s="6128"/>
      <c r="AE103" s="6128"/>
      <c r="AF103" s="6128"/>
      <c r="AG103" s="6128"/>
      <c r="AH103" s="6128"/>
      <c r="AI103" s="6128"/>
      <c r="AJ103" s="6128"/>
      <c r="AK103" s="6128"/>
      <c r="AL103" s="6128"/>
      <c r="AM103" s="6128"/>
      <c r="AN103" s="6128"/>
      <c r="AO103" s="6128"/>
      <c r="AP103" s="6067"/>
      <c r="BD103" s="6070"/>
      <c r="BE103" s="6070"/>
      <c r="BF103" s="6070"/>
      <c r="BG103" s="6070"/>
      <c r="BH103" s="6070"/>
      <c r="BI103" s="6070"/>
      <c r="BJ103" s="6070"/>
      <c r="BK103" s="6070"/>
      <c r="BL103" s="6070"/>
      <c r="BM103" s="6070"/>
      <c r="BN103" s="6070"/>
    </row>
    <row r="104" spans="1:66" ht="14.25">
      <c r="A104" s="6067"/>
      <c r="B104" s="6104" t="s">
        <v>4315</v>
      </c>
      <c r="C104" s="1587"/>
      <c r="D104" s="1587"/>
      <c r="E104" s="1587"/>
      <c r="F104" s="1587"/>
      <c r="G104" s="1587"/>
      <c r="H104" s="1587"/>
      <c r="I104" s="1587"/>
      <c r="J104" s="1587"/>
      <c r="K104" s="1587"/>
      <c r="L104" s="1587"/>
      <c r="M104" s="1587"/>
      <c r="N104" s="1587"/>
      <c r="O104" s="1587"/>
      <c r="P104" s="1587"/>
      <c r="Q104" s="1587"/>
      <c r="R104" s="1587"/>
      <c r="S104" s="1587"/>
      <c r="T104" s="6112"/>
      <c r="U104" s="1587"/>
      <c r="V104" s="1587"/>
      <c r="W104" s="1587"/>
      <c r="X104" s="1587"/>
      <c r="Y104" s="1587"/>
      <c r="Z104" s="1587"/>
      <c r="AA104" s="1587"/>
      <c r="AB104" s="1587"/>
      <c r="AC104" s="1587"/>
      <c r="AD104" s="1587"/>
      <c r="AE104" s="1587"/>
      <c r="AF104" s="1587"/>
      <c r="AG104" s="1587"/>
      <c r="AH104" s="1587"/>
      <c r="AI104" s="1587"/>
      <c r="AJ104" s="1587"/>
      <c r="AK104" s="1587"/>
      <c r="AL104" s="1587"/>
      <c r="AM104" s="1587"/>
      <c r="AN104" s="1587"/>
      <c r="AO104" s="1587"/>
      <c r="AP104" s="6067"/>
      <c r="BD104" s="6070"/>
      <c r="BE104" s="6070"/>
      <c r="BF104" s="6070"/>
      <c r="BG104" s="6070"/>
      <c r="BH104" s="6070"/>
      <c r="BI104" s="6070"/>
      <c r="BJ104" s="6070"/>
      <c r="BK104" s="6070"/>
      <c r="BL104" s="6070"/>
      <c r="BM104" s="6070"/>
      <c r="BN104" s="6070"/>
    </row>
    <row r="105" spans="1:66" ht="14.25">
      <c r="A105" s="6067"/>
      <c r="B105" s="6104" t="s">
        <v>4316</v>
      </c>
      <c r="C105" s="1587"/>
      <c r="D105" s="1587"/>
      <c r="E105" s="1587"/>
      <c r="F105" s="1587"/>
      <c r="G105" s="1587"/>
      <c r="H105" s="1587"/>
      <c r="I105" s="1587"/>
      <c r="J105" s="1587"/>
      <c r="K105" s="1587"/>
      <c r="L105" s="1587"/>
      <c r="M105" s="1587"/>
      <c r="N105" s="1587"/>
      <c r="O105" s="1587"/>
      <c r="P105" s="1587"/>
      <c r="Q105" s="1587"/>
      <c r="R105" s="1587"/>
      <c r="S105" s="1587"/>
      <c r="T105" s="6112"/>
      <c r="U105" s="1587"/>
      <c r="V105" s="1587"/>
      <c r="W105" s="1587"/>
      <c r="X105" s="1587"/>
      <c r="Y105" s="1587"/>
      <c r="Z105" s="1587"/>
      <c r="AA105" s="1587"/>
      <c r="AB105" s="1587"/>
      <c r="AC105" s="1587"/>
      <c r="AD105" s="1587"/>
      <c r="AE105" s="6145"/>
      <c r="AF105" s="6145"/>
      <c r="AG105" s="6145"/>
      <c r="AH105" s="6145"/>
      <c r="AI105" s="6145"/>
      <c r="AJ105" s="6145"/>
      <c r="AK105" s="6145"/>
      <c r="AL105" s="6145"/>
      <c r="AM105" s="6145"/>
      <c r="AN105" s="6145"/>
      <c r="AO105" s="6145"/>
      <c r="AP105" s="6067"/>
      <c r="BD105" s="6070"/>
      <c r="BE105" s="6070"/>
      <c r="BF105" s="6070"/>
      <c r="BG105" s="6070"/>
      <c r="BH105" s="6070"/>
      <c r="BI105" s="6070"/>
      <c r="BJ105" s="6070"/>
      <c r="BK105" s="6070"/>
      <c r="BL105" s="6070"/>
      <c r="BM105" s="6070"/>
      <c r="BN105" s="6070"/>
    </row>
    <row r="106" spans="1:66" ht="12.75" customHeight="1">
      <c r="A106" s="6067"/>
      <c r="B106" s="1587"/>
      <c r="C106" s="9329"/>
      <c r="D106" s="9329"/>
      <c r="E106" s="9329"/>
      <c r="F106" s="9329"/>
      <c r="G106" s="9329"/>
      <c r="H106" s="9329"/>
      <c r="I106" s="9329"/>
      <c r="J106" s="9329"/>
      <c r="K106" s="9329"/>
      <c r="L106" s="9329"/>
      <c r="M106" s="9329"/>
      <c r="N106" s="9329"/>
      <c r="O106" s="9329"/>
      <c r="P106" s="9329"/>
      <c r="Q106" s="9329"/>
      <c r="R106" s="9329"/>
      <c r="S106" s="9329"/>
      <c r="T106" s="9329"/>
      <c r="U106" s="9329"/>
      <c r="V106" s="9329"/>
      <c r="W106" s="9329"/>
      <c r="X106" s="9329"/>
      <c r="Y106" s="9329"/>
      <c r="Z106" s="9329"/>
      <c r="AA106" s="9329"/>
      <c r="AB106" s="9329"/>
      <c r="AC106" s="9329"/>
      <c r="AD106" s="9329"/>
      <c r="AE106" s="9329"/>
      <c r="AF106" s="9329"/>
      <c r="AG106" s="9329"/>
      <c r="AH106" s="9329"/>
      <c r="AI106" s="9329"/>
      <c r="AJ106" s="9329"/>
      <c r="AK106" s="9329"/>
      <c r="AL106" s="9329"/>
      <c r="AM106" s="9329"/>
      <c r="AN106" s="9329"/>
      <c r="AO106" s="9329"/>
      <c r="AP106" s="6067"/>
      <c r="BD106" s="6070"/>
      <c r="BE106" s="6070"/>
      <c r="BF106" s="6070"/>
      <c r="BG106" s="6070"/>
      <c r="BH106" s="6070"/>
      <c r="BI106" s="6070"/>
      <c r="BJ106" s="6070"/>
      <c r="BK106" s="6070"/>
      <c r="BL106" s="6070"/>
      <c r="BM106" s="6070"/>
      <c r="BN106" s="6070"/>
    </row>
    <row r="107" spans="1:66" ht="24.75" customHeight="1">
      <c r="A107" s="6067"/>
      <c r="B107" s="9330" t="s">
        <v>4317</v>
      </c>
      <c r="C107" s="9330"/>
      <c r="D107" s="9330"/>
      <c r="E107" s="9330"/>
      <c r="F107" s="9330"/>
      <c r="G107" s="9331"/>
      <c r="H107" s="9331"/>
      <c r="I107" s="9331"/>
      <c r="J107" s="9331"/>
      <c r="K107" s="9331"/>
      <c r="L107" s="9331"/>
      <c r="M107" s="9331"/>
      <c r="N107" s="9331"/>
      <c r="O107" s="9331"/>
      <c r="P107" s="9331"/>
      <c r="Q107" s="9331"/>
      <c r="R107" s="9331"/>
      <c r="S107" s="9331"/>
      <c r="T107" s="9331"/>
      <c r="U107" s="9331"/>
      <c r="V107" s="9331"/>
      <c r="W107" s="9331"/>
      <c r="X107" s="9331"/>
      <c r="Y107" s="9331"/>
      <c r="Z107" s="9331"/>
      <c r="AA107" s="9331"/>
      <c r="AB107" s="9331"/>
      <c r="AC107" s="9331"/>
      <c r="AD107" s="9331"/>
      <c r="AE107" s="9331"/>
      <c r="AF107" s="9331"/>
      <c r="AG107" s="6146" t="s">
        <v>251</v>
      </c>
      <c r="AH107" s="6147"/>
      <c r="AI107" s="9332"/>
      <c r="AJ107" s="9332"/>
      <c r="AK107" s="9332"/>
      <c r="AL107" s="9332"/>
      <c r="AM107" s="9332"/>
      <c r="AN107" s="9332"/>
      <c r="AO107" s="9332"/>
      <c r="AP107" s="6067"/>
      <c r="BD107" s="6070"/>
      <c r="BE107" s="6070"/>
      <c r="BF107" s="6070"/>
      <c r="BG107" s="6070"/>
      <c r="BH107" s="6070"/>
      <c r="BI107" s="6070"/>
      <c r="BJ107" s="6070"/>
      <c r="BK107" s="6070"/>
      <c r="BL107" s="6070"/>
      <c r="BM107" s="6070"/>
      <c r="BN107" s="6070"/>
    </row>
    <row r="108" spans="1:66" s="6081" customFormat="1" ht="16.5" customHeight="1">
      <c r="A108" s="6079"/>
      <c r="B108" s="9191" t="s">
        <v>2410</v>
      </c>
      <c r="C108" s="9191"/>
      <c r="D108" s="9192"/>
      <c r="E108" s="6080"/>
      <c r="F108" s="6148" t="s">
        <v>4318</v>
      </c>
      <c r="G108" s="6080"/>
      <c r="H108" s="6080"/>
      <c r="I108" s="6080"/>
      <c r="J108" s="6080"/>
      <c r="K108" s="6080"/>
      <c r="L108" s="6080"/>
      <c r="M108" s="6080"/>
      <c r="N108" s="6080"/>
      <c r="O108" s="6080"/>
      <c r="P108" s="6080"/>
      <c r="Q108" s="6080"/>
      <c r="R108" s="6080"/>
      <c r="S108" s="6080"/>
      <c r="T108" s="6080"/>
      <c r="U108" s="6080"/>
      <c r="V108" s="6080"/>
      <c r="W108" s="6080"/>
      <c r="X108" s="6080"/>
      <c r="Y108" s="6080"/>
      <c r="Z108" s="6080"/>
      <c r="AA108" s="6080"/>
      <c r="AB108" s="6080"/>
      <c r="AC108" s="6080"/>
      <c r="AD108" s="6080"/>
      <c r="AE108" s="6080"/>
      <c r="AF108" s="6080"/>
      <c r="AG108" s="6080"/>
      <c r="AH108" s="6080"/>
      <c r="AI108" s="6080"/>
      <c r="AJ108" s="6080"/>
      <c r="AK108" s="6080"/>
      <c r="AL108" s="6080"/>
      <c r="AM108" s="6080"/>
      <c r="AN108" s="6080"/>
      <c r="AO108" s="6080"/>
      <c r="AP108" s="6067"/>
      <c r="BD108" s="6070"/>
      <c r="BE108" s="6070"/>
      <c r="BF108" s="6070"/>
      <c r="BG108" s="6070"/>
      <c r="BH108" s="6070"/>
      <c r="BI108" s="6070"/>
      <c r="BJ108" s="6070"/>
      <c r="BK108" s="6070"/>
      <c r="BL108" s="6070"/>
      <c r="BM108" s="6070"/>
      <c r="BN108" s="6070"/>
    </row>
    <row r="109" spans="1:66" s="6150" customFormat="1" ht="35.25" customHeight="1">
      <c r="A109" s="6149"/>
      <c r="B109" s="9316" t="s">
        <v>4319</v>
      </c>
      <c r="C109" s="9317"/>
      <c r="D109" s="9317"/>
      <c r="E109" s="9317"/>
      <c r="F109" s="9317"/>
      <c r="G109" s="9317"/>
      <c r="H109" s="9317"/>
      <c r="I109" s="9317"/>
      <c r="J109" s="9317"/>
      <c r="K109" s="9317"/>
      <c r="L109" s="9317"/>
      <c r="M109" s="9317"/>
      <c r="N109" s="9317"/>
      <c r="O109" s="9317"/>
      <c r="P109" s="9317"/>
      <c r="Q109" s="9317"/>
      <c r="R109" s="9317"/>
      <c r="S109" s="9317"/>
      <c r="T109" s="9317"/>
      <c r="U109" s="9317"/>
      <c r="V109" s="9317"/>
      <c r="W109" s="9317"/>
      <c r="X109" s="9317"/>
      <c r="Y109" s="9317"/>
      <c r="Z109" s="9317"/>
      <c r="AA109" s="9317"/>
      <c r="AB109" s="9317"/>
      <c r="AC109" s="9317"/>
      <c r="AD109" s="9317"/>
      <c r="AE109" s="9317"/>
      <c r="AF109" s="9317"/>
      <c r="AG109" s="9317"/>
      <c r="AH109" s="9317"/>
      <c r="AI109" s="9317"/>
      <c r="AJ109" s="9317"/>
      <c r="AK109" s="9317"/>
      <c r="AL109" s="9317"/>
      <c r="AM109" s="9317"/>
      <c r="AN109" s="9317"/>
      <c r="AO109" s="9317"/>
      <c r="AP109" s="6149"/>
      <c r="BD109" s="6151"/>
      <c r="BE109" s="6151"/>
      <c r="BF109" s="6151"/>
      <c r="BG109" s="6151"/>
      <c r="BH109" s="6151"/>
      <c r="BI109" s="6151"/>
      <c r="BJ109" s="6151"/>
      <c r="BK109" s="6151"/>
      <c r="BL109" s="6151"/>
      <c r="BM109" s="6151"/>
      <c r="BN109" s="6151"/>
    </row>
    <row r="110" spans="1:66" ht="78" customHeight="1">
      <c r="A110" s="6067"/>
      <c r="B110" s="9316" t="s">
        <v>5804</v>
      </c>
      <c r="C110" s="9317"/>
      <c r="D110" s="9317"/>
      <c r="E110" s="9317"/>
      <c r="F110" s="9317"/>
      <c r="G110" s="9317"/>
      <c r="H110" s="9317"/>
      <c r="I110" s="9317"/>
      <c r="J110" s="9317"/>
      <c r="K110" s="9317"/>
      <c r="L110" s="9317"/>
      <c r="M110" s="9317"/>
      <c r="N110" s="9317"/>
      <c r="O110" s="9317"/>
      <c r="P110" s="9317"/>
      <c r="Q110" s="9317"/>
      <c r="R110" s="9317"/>
      <c r="S110" s="9317"/>
      <c r="T110" s="9317"/>
      <c r="U110" s="9317"/>
      <c r="V110" s="9317"/>
      <c r="W110" s="9317"/>
      <c r="X110" s="9317"/>
      <c r="Y110" s="9317"/>
      <c r="Z110" s="9317"/>
      <c r="AA110" s="9317"/>
      <c r="AB110" s="9317"/>
      <c r="AC110" s="9317"/>
      <c r="AD110" s="9317"/>
      <c r="AE110" s="9317"/>
      <c r="AF110" s="9317"/>
      <c r="AG110" s="9317"/>
      <c r="AH110" s="9317"/>
      <c r="AI110" s="9317"/>
      <c r="AJ110" s="9317"/>
      <c r="AK110" s="9317"/>
      <c r="AL110" s="9317"/>
      <c r="AM110" s="9317"/>
      <c r="AN110" s="9317"/>
      <c r="AO110" s="9317"/>
      <c r="AP110" s="6067"/>
      <c r="BD110" s="6070"/>
      <c r="BE110" s="6070"/>
      <c r="BF110" s="6070"/>
      <c r="BG110" s="6070"/>
      <c r="BH110" s="6070"/>
      <c r="BI110" s="6070"/>
      <c r="BJ110" s="6070"/>
      <c r="BK110" s="6070"/>
      <c r="BL110" s="6070"/>
      <c r="BM110" s="6070"/>
      <c r="BN110" s="6070"/>
    </row>
    <row r="111" spans="1:66" ht="13.5" customHeight="1">
      <c r="A111" s="6067"/>
      <c r="B111" s="9318" t="s">
        <v>4320</v>
      </c>
      <c r="C111" s="9319"/>
      <c r="D111" s="6088"/>
      <c r="E111" s="1587"/>
      <c r="F111" s="1587"/>
      <c r="G111" s="1587"/>
      <c r="H111" s="1587"/>
      <c r="I111" s="1587"/>
      <c r="J111" s="1587"/>
      <c r="K111" s="1587"/>
      <c r="L111" s="1587"/>
      <c r="M111" s="1587"/>
      <c r="N111" s="1587"/>
      <c r="O111" s="1587"/>
      <c r="P111" s="1587"/>
      <c r="Q111" s="1587"/>
      <c r="R111" s="1587"/>
      <c r="S111" s="1587"/>
      <c r="T111" s="6112"/>
      <c r="U111" s="6112"/>
      <c r="V111" s="6112"/>
      <c r="W111" s="6112"/>
      <c r="X111" s="6112"/>
      <c r="Y111" s="6112"/>
      <c r="Z111" s="6112"/>
      <c r="AA111" s="6112"/>
      <c r="AB111" s="6112"/>
      <c r="AC111" s="6112"/>
      <c r="AD111" s="6112"/>
      <c r="AE111" s="6112"/>
      <c r="AF111" s="6112"/>
      <c r="AG111" s="1587"/>
      <c r="AH111" s="1587"/>
      <c r="AI111" s="1587"/>
      <c r="AJ111" s="1587"/>
      <c r="AK111" s="1587"/>
      <c r="AL111" s="1587"/>
      <c r="AM111" s="1587"/>
      <c r="AN111" s="1587"/>
      <c r="AO111" s="1587"/>
      <c r="AP111" s="6067"/>
      <c r="BD111" s="6070"/>
      <c r="BE111" s="6070"/>
      <c r="BF111" s="6070"/>
      <c r="BG111" s="6070"/>
      <c r="BH111" s="6070"/>
      <c r="BI111" s="6070"/>
      <c r="BJ111" s="6070"/>
      <c r="BK111" s="6070"/>
      <c r="BL111" s="6070"/>
      <c r="BM111" s="6070"/>
      <c r="BN111" s="6070"/>
    </row>
    <row r="112" spans="1:66" ht="13.5" customHeight="1">
      <c r="A112" s="6067"/>
      <c r="B112" s="9318"/>
      <c r="C112" s="9319"/>
      <c r="D112" s="6152" t="s">
        <v>4321</v>
      </c>
      <c r="E112" s="6128"/>
      <c r="F112" s="6128"/>
      <c r="G112" s="9322"/>
      <c r="H112" s="9322"/>
      <c r="I112" s="9322"/>
      <c r="J112" s="9322"/>
      <c r="K112" s="9322"/>
      <c r="L112" s="9322"/>
      <c r="M112" s="9322"/>
      <c r="N112" s="9322"/>
      <c r="O112" s="9322"/>
      <c r="P112" s="9322"/>
      <c r="Q112" s="9322"/>
      <c r="R112" s="9322"/>
      <c r="S112" s="9322"/>
      <c r="T112" s="9322"/>
      <c r="U112" s="9322"/>
      <c r="V112" s="9322"/>
      <c r="W112" s="9322"/>
      <c r="X112" s="9322"/>
      <c r="Y112" s="9322"/>
      <c r="Z112" s="9322"/>
      <c r="AA112" s="9322"/>
      <c r="AB112" s="9322"/>
      <c r="AC112" s="9322"/>
      <c r="AD112" s="9322"/>
      <c r="AE112" s="9322"/>
      <c r="AF112" s="9322"/>
      <c r="AG112" s="6128"/>
      <c r="AH112" s="6153" t="s">
        <v>251</v>
      </c>
      <c r="AI112" s="1587"/>
      <c r="AJ112" s="9323"/>
      <c r="AK112" s="9324"/>
      <c r="AL112" s="9324"/>
      <c r="AM112" s="9324"/>
      <c r="AN112" s="9324"/>
      <c r="AO112" s="9324"/>
      <c r="AP112" s="6067"/>
      <c r="BD112" s="6070"/>
      <c r="BE112" s="6070"/>
      <c r="BF112" s="6070"/>
      <c r="BG112" s="6070"/>
      <c r="BH112" s="6070"/>
      <c r="BI112" s="6070"/>
      <c r="BJ112" s="6070"/>
      <c r="BK112" s="6070"/>
      <c r="BL112" s="6070"/>
      <c r="BM112" s="6070"/>
      <c r="BN112" s="6070"/>
    </row>
    <row r="113" spans="1:66">
      <c r="A113" s="6067"/>
      <c r="B113" s="9320"/>
      <c r="C113" s="9321"/>
      <c r="D113" s="6154" t="s">
        <v>4322</v>
      </c>
      <c r="E113" s="6076"/>
      <c r="F113" s="6076"/>
      <c r="G113" s="6076"/>
      <c r="H113" s="6076"/>
      <c r="I113" s="6076"/>
      <c r="J113" s="6076"/>
      <c r="K113" s="6076"/>
      <c r="L113" s="6076"/>
      <c r="M113" s="6076"/>
      <c r="N113" s="6076"/>
      <c r="O113" s="6076"/>
      <c r="P113" s="6076"/>
      <c r="Q113" s="6076"/>
      <c r="R113" s="6076"/>
      <c r="S113" s="6155"/>
      <c r="T113" s="6156"/>
      <c r="U113" s="6157" t="s">
        <v>4323</v>
      </c>
      <c r="V113" s="6076"/>
      <c r="W113" s="6076"/>
      <c r="X113" s="6076"/>
      <c r="Y113" s="6076"/>
      <c r="Z113" s="6076"/>
      <c r="AA113" s="6076"/>
      <c r="AB113" s="6076"/>
      <c r="AC113" s="6076"/>
      <c r="AD113" s="6076"/>
      <c r="AE113" s="6076"/>
      <c r="AF113" s="6076"/>
      <c r="AG113" s="6076"/>
      <c r="AH113" s="6076"/>
      <c r="AI113" s="6076"/>
      <c r="AJ113" s="6076"/>
      <c r="AK113" s="6076"/>
      <c r="AL113" s="6158"/>
      <c r="AM113" s="6158"/>
      <c r="AN113" s="6158"/>
      <c r="AO113" s="6158"/>
      <c r="AP113" s="6067"/>
      <c r="BD113" s="6070"/>
      <c r="BE113" s="6070"/>
      <c r="BF113" s="6070"/>
      <c r="BG113" s="6070"/>
      <c r="BH113" s="6070"/>
      <c r="BI113" s="6070"/>
      <c r="BJ113" s="6070"/>
      <c r="BK113" s="6070"/>
      <c r="BL113" s="6070"/>
      <c r="BM113" s="6070"/>
      <c r="BN113" s="6070"/>
    </row>
    <row r="114" spans="1:66">
      <c r="A114" s="6067"/>
      <c r="B114" s="1587" t="s">
        <v>4324</v>
      </c>
      <c r="C114" s="1587"/>
      <c r="D114" s="1587"/>
      <c r="E114" s="1587"/>
      <c r="F114" s="1587"/>
      <c r="G114" s="1587"/>
      <c r="H114" s="1587"/>
      <c r="I114" s="1587"/>
      <c r="J114" s="1587"/>
      <c r="K114" s="1587"/>
      <c r="L114" s="1587"/>
      <c r="M114" s="1587"/>
      <c r="N114" s="1587"/>
      <c r="O114" s="1587"/>
      <c r="P114" s="1587"/>
      <c r="Q114" s="1587"/>
      <c r="R114" s="1587"/>
      <c r="S114" s="1587"/>
      <c r="T114" s="1587"/>
      <c r="U114" s="1587"/>
      <c r="V114" s="1587"/>
      <c r="W114" s="1587"/>
      <c r="X114" s="1587"/>
      <c r="Y114" s="1587"/>
      <c r="Z114" s="1587"/>
      <c r="AA114" s="1587"/>
      <c r="AB114" s="1587"/>
      <c r="AC114" s="1587"/>
      <c r="AD114" s="1587"/>
      <c r="AE114" s="1587"/>
      <c r="AF114" s="1587"/>
      <c r="AG114" s="1587"/>
      <c r="AH114" s="1587"/>
      <c r="AI114" s="6159" t="s">
        <v>3314</v>
      </c>
      <c r="AJ114" s="6158"/>
      <c r="AK114" s="6158"/>
      <c r="AL114" s="6158"/>
      <c r="AM114" s="6158"/>
      <c r="AN114" s="6158"/>
      <c r="AO114" s="6158"/>
      <c r="AP114" s="6067"/>
      <c r="BD114" s="6070"/>
      <c r="BE114" s="6070"/>
      <c r="BF114" s="6070"/>
      <c r="BG114" s="6070"/>
      <c r="BH114" s="6070"/>
      <c r="BI114" s="6070"/>
      <c r="BJ114" s="6070"/>
      <c r="BK114" s="6070"/>
      <c r="BL114" s="6070"/>
      <c r="BM114" s="6070"/>
      <c r="BN114" s="6070"/>
    </row>
    <row r="115" spans="1:66" ht="16.5" customHeight="1">
      <c r="A115" s="6067"/>
      <c r="B115" s="9342"/>
      <c r="C115" s="9343"/>
      <c r="D115" s="9343"/>
      <c r="E115" s="9343"/>
      <c r="F115" s="9343"/>
      <c r="G115" s="9343"/>
      <c r="H115" s="9343"/>
      <c r="I115" s="9343"/>
      <c r="J115" s="9343"/>
      <c r="K115" s="9343"/>
      <c r="L115" s="9343"/>
      <c r="M115" s="9343"/>
      <c r="N115" s="9343"/>
      <c r="O115" s="9343"/>
      <c r="P115" s="9343"/>
      <c r="Q115" s="9343"/>
      <c r="R115" s="9343"/>
      <c r="S115" s="9343"/>
      <c r="T115" s="9343"/>
      <c r="U115" s="9343"/>
      <c r="V115" s="9343"/>
      <c r="W115" s="9343"/>
      <c r="X115" s="9343"/>
      <c r="Y115" s="9343"/>
      <c r="Z115" s="9343"/>
      <c r="AA115" s="9343"/>
      <c r="AB115" s="9343"/>
      <c r="AC115" s="9343"/>
      <c r="AD115" s="9343"/>
      <c r="AE115" s="9343"/>
      <c r="AF115" s="9343"/>
      <c r="AG115" s="9343"/>
      <c r="AH115" s="9344"/>
      <c r="AI115" s="9345"/>
      <c r="AJ115" s="9172"/>
      <c r="AK115" s="9172"/>
      <c r="AL115" s="9172"/>
      <c r="AM115" s="9172"/>
      <c r="AN115" s="9172"/>
      <c r="AO115" s="9172"/>
      <c r="AP115" s="6067"/>
      <c r="BD115" s="6070"/>
      <c r="BE115" s="6070"/>
      <c r="BF115" s="6070"/>
      <c r="BG115" s="6070"/>
      <c r="BH115" s="6070"/>
      <c r="BI115" s="6070"/>
      <c r="BJ115" s="6070"/>
      <c r="BK115" s="6070"/>
      <c r="BL115" s="6070"/>
      <c r="BM115" s="6070"/>
      <c r="BN115" s="6070"/>
    </row>
    <row r="116" spans="1:66">
      <c r="A116" s="6067"/>
      <c r="B116" s="1587" t="s">
        <v>4304</v>
      </c>
      <c r="C116" s="1587"/>
      <c r="D116" s="1587"/>
      <c r="E116" s="1587"/>
      <c r="F116" s="1587"/>
      <c r="G116" s="1587"/>
      <c r="H116" s="1587"/>
      <c r="I116" s="1587"/>
      <c r="J116" s="1587"/>
      <c r="K116" s="1587"/>
      <c r="L116" s="1587"/>
      <c r="M116" s="1587"/>
      <c r="N116" s="1587"/>
      <c r="O116" s="1587"/>
      <c r="P116" s="1587"/>
      <c r="Q116" s="1587"/>
      <c r="R116" s="1587"/>
      <c r="S116" s="1587"/>
      <c r="T116" s="1587"/>
      <c r="U116" s="1587"/>
      <c r="V116" s="1587"/>
      <c r="W116" s="1587"/>
      <c r="X116" s="1587"/>
      <c r="Y116" s="1587"/>
      <c r="Z116" s="1587"/>
      <c r="AA116" s="1587"/>
      <c r="AB116" s="1587"/>
      <c r="AC116" s="1587"/>
      <c r="AD116" s="1587"/>
      <c r="AE116" s="1587"/>
      <c r="AF116" s="1587"/>
      <c r="AG116" s="1587"/>
      <c r="AH116" s="1587"/>
      <c r="AI116" s="1587"/>
      <c r="AJ116" s="1587"/>
      <c r="AK116" s="1587"/>
      <c r="AL116" s="1587"/>
      <c r="AM116" s="1587"/>
      <c r="AN116" s="1587"/>
      <c r="AO116" s="1587"/>
      <c r="AP116" s="6067"/>
      <c r="BD116" s="6070"/>
      <c r="BE116" s="6070"/>
      <c r="BF116" s="6070"/>
      <c r="BG116" s="6070"/>
      <c r="BH116" s="6070"/>
      <c r="BI116" s="6070"/>
      <c r="BJ116" s="6070"/>
      <c r="BK116" s="6070"/>
      <c r="BL116" s="6070"/>
      <c r="BM116" s="6070"/>
      <c r="BN116" s="6070"/>
    </row>
    <row r="117" spans="1:66" ht="15" customHeight="1">
      <c r="A117" s="6067"/>
      <c r="B117" s="9346"/>
      <c r="C117" s="9347"/>
      <c r="D117" s="9347"/>
      <c r="E117" s="9347"/>
      <c r="F117" s="9347"/>
      <c r="G117" s="9347"/>
      <c r="H117" s="9347"/>
      <c r="I117" s="9347"/>
      <c r="J117" s="9347"/>
      <c r="K117" s="9347"/>
      <c r="L117" s="9347"/>
      <c r="M117" s="9347"/>
      <c r="N117" s="9347"/>
      <c r="O117" s="9347"/>
      <c r="P117" s="9347"/>
      <c r="Q117" s="9347"/>
      <c r="R117" s="9347"/>
      <c r="S117" s="9347"/>
      <c r="T117" s="9347"/>
      <c r="U117" s="9347"/>
      <c r="V117" s="9347"/>
      <c r="W117" s="9347"/>
      <c r="X117" s="9347"/>
      <c r="Y117" s="9347"/>
      <c r="Z117" s="9347"/>
      <c r="AA117" s="9347"/>
      <c r="AB117" s="9347"/>
      <c r="AC117" s="9347"/>
      <c r="AD117" s="9347"/>
      <c r="AE117" s="9347"/>
      <c r="AF117" s="9347"/>
      <c r="AG117" s="9347"/>
      <c r="AH117" s="9347"/>
      <c r="AI117" s="9347"/>
      <c r="AJ117" s="9347"/>
      <c r="AK117" s="9347"/>
      <c r="AL117" s="9347"/>
      <c r="AM117" s="9347"/>
      <c r="AN117" s="9347"/>
      <c r="AO117" s="9347"/>
      <c r="AP117" s="6067"/>
      <c r="BD117" s="6070"/>
      <c r="BE117" s="6070"/>
      <c r="BF117" s="6070"/>
      <c r="BG117" s="6070"/>
      <c r="BH117" s="6070"/>
      <c r="BI117" s="6070"/>
      <c r="BJ117" s="6070"/>
      <c r="BK117" s="6070"/>
      <c r="BL117" s="6070"/>
      <c r="BM117" s="6070"/>
      <c r="BN117" s="6070"/>
    </row>
    <row r="118" spans="1:66" s="6081" customFormat="1" ht="16.5" customHeight="1">
      <c r="A118" s="6079"/>
      <c r="B118" s="9191" t="s">
        <v>2425</v>
      </c>
      <c r="C118" s="9191"/>
      <c r="D118" s="9192"/>
      <c r="E118" s="6080"/>
      <c r="F118" s="6148" t="s">
        <v>4325</v>
      </c>
      <c r="G118" s="6080"/>
      <c r="H118" s="6080"/>
      <c r="I118" s="6080"/>
      <c r="J118" s="6080"/>
      <c r="K118" s="6080"/>
      <c r="L118" s="6080"/>
      <c r="M118" s="6080"/>
      <c r="N118" s="6080"/>
      <c r="O118" s="6080"/>
      <c r="P118" s="6080"/>
      <c r="Q118" s="6080"/>
      <c r="R118" s="6080"/>
      <c r="S118" s="6080"/>
      <c r="T118" s="6080"/>
      <c r="U118" s="6080"/>
      <c r="V118" s="6080"/>
      <c r="W118" s="6080"/>
      <c r="X118" s="6080"/>
      <c r="Y118" s="6080"/>
      <c r="Z118" s="6080"/>
      <c r="AA118" s="6080"/>
      <c r="AB118" s="6080"/>
      <c r="AC118" s="6080"/>
      <c r="AD118" s="6080"/>
      <c r="AE118" s="6080"/>
      <c r="AF118" s="6080"/>
      <c r="AG118" s="6080"/>
      <c r="AH118" s="6080"/>
      <c r="AI118" s="6080"/>
      <c r="AJ118" s="6080"/>
      <c r="AK118" s="6080"/>
      <c r="AL118" s="6080"/>
      <c r="AM118" s="6080"/>
      <c r="AN118" s="6080"/>
      <c r="AO118" s="6080"/>
      <c r="AP118" s="6067"/>
      <c r="BD118" s="6070"/>
      <c r="BE118" s="6070"/>
      <c r="BF118" s="6070"/>
      <c r="BG118" s="6070"/>
      <c r="BH118" s="6070"/>
      <c r="BI118" s="6070"/>
      <c r="BJ118" s="6070"/>
      <c r="BK118" s="6070"/>
      <c r="BL118" s="6070"/>
      <c r="BM118" s="6070"/>
      <c r="BN118" s="6070"/>
    </row>
    <row r="119" spans="1:66">
      <c r="A119" s="6067"/>
      <c r="B119" s="1587" t="s">
        <v>4326</v>
      </c>
      <c r="C119" s="1587"/>
      <c r="D119" s="1587"/>
      <c r="E119" s="1587"/>
      <c r="F119" s="1587"/>
      <c r="G119" s="1587"/>
      <c r="H119" s="1587"/>
      <c r="I119" s="1587"/>
      <c r="J119" s="1587"/>
      <c r="K119" s="1587"/>
      <c r="L119" s="1587"/>
      <c r="M119" s="1587"/>
      <c r="N119" s="1587"/>
      <c r="O119" s="1587"/>
      <c r="P119" s="1587"/>
      <c r="Q119" s="1587"/>
      <c r="R119" s="1587"/>
      <c r="S119" s="1587"/>
      <c r="T119" s="6112"/>
      <c r="U119" s="1587"/>
      <c r="V119" s="1587"/>
      <c r="W119" s="1587"/>
      <c r="X119" s="1587"/>
      <c r="Y119" s="1587"/>
      <c r="Z119" s="1587"/>
      <c r="AA119" s="1587"/>
      <c r="AB119" s="1587"/>
      <c r="AC119" s="1587"/>
      <c r="AD119" s="1587"/>
      <c r="AE119" s="1587"/>
      <c r="AF119" s="1587"/>
      <c r="AG119" s="1587"/>
      <c r="AH119" s="1587"/>
      <c r="AI119" s="1587"/>
      <c r="AJ119" s="1587"/>
      <c r="AK119" s="1587"/>
      <c r="AL119" s="1587"/>
      <c r="AM119" s="1587"/>
      <c r="AN119" s="1587"/>
      <c r="AO119" s="1587"/>
      <c r="AP119" s="6067"/>
      <c r="BD119" s="6070"/>
      <c r="BE119" s="6070"/>
      <c r="BF119" s="6070"/>
      <c r="BG119" s="6070"/>
      <c r="BH119" s="6070"/>
      <c r="BI119" s="6070"/>
      <c r="BJ119" s="6070"/>
      <c r="BK119" s="6070"/>
      <c r="BL119" s="6070"/>
      <c r="BM119" s="6070"/>
      <c r="BN119" s="6070"/>
    </row>
    <row r="120" spans="1:66" ht="14.25" customHeight="1">
      <c r="A120" s="6067"/>
      <c r="B120" s="6160" t="s">
        <v>4327</v>
      </c>
      <c r="C120" s="1587"/>
      <c r="D120" s="1587"/>
      <c r="E120" s="1587"/>
      <c r="F120" s="1587"/>
      <c r="G120" s="1587"/>
      <c r="H120" s="1587"/>
      <c r="I120" s="1587"/>
      <c r="J120" s="1587"/>
      <c r="K120" s="1587"/>
      <c r="L120" s="1587"/>
      <c r="M120" s="1587"/>
      <c r="N120" s="1587"/>
      <c r="O120" s="1587"/>
      <c r="P120" s="1587"/>
      <c r="Q120" s="1587"/>
      <c r="R120" s="1587"/>
      <c r="S120" s="1587"/>
      <c r="T120" s="9348"/>
      <c r="U120" s="9348"/>
      <c r="V120" s="9348"/>
      <c r="W120" s="9348"/>
      <c r="X120" s="9348"/>
      <c r="Y120" s="9348"/>
      <c r="Z120" s="9348"/>
      <c r="AA120" s="9348"/>
      <c r="AB120" s="9348"/>
      <c r="AC120" s="9348"/>
      <c r="AD120" s="9348"/>
      <c r="AE120" s="9348"/>
      <c r="AF120" s="9348"/>
      <c r="AG120" s="9348"/>
      <c r="AH120" s="9348"/>
      <c r="AI120" s="9348"/>
      <c r="AJ120" s="1587"/>
      <c r="AK120" s="1587"/>
      <c r="AL120" s="1587"/>
      <c r="AM120" s="1587"/>
      <c r="AN120" s="1587"/>
      <c r="AO120" s="1587"/>
      <c r="AP120" s="6067"/>
      <c r="BD120" s="6070"/>
      <c r="BE120" s="6070"/>
      <c r="BF120" s="6070"/>
      <c r="BG120" s="6070"/>
      <c r="BH120" s="6070"/>
      <c r="BI120" s="6070"/>
      <c r="BJ120" s="6070"/>
      <c r="BK120" s="6070"/>
      <c r="BL120" s="6070"/>
      <c r="BM120" s="6070"/>
      <c r="BN120" s="6070"/>
    </row>
    <row r="121" spans="1:66" ht="11.25" customHeight="1">
      <c r="A121" s="6067"/>
      <c r="B121" s="1587" t="s">
        <v>5805</v>
      </c>
      <c r="C121" s="1587"/>
      <c r="D121" s="1587"/>
      <c r="E121" s="1587"/>
      <c r="F121" s="1587"/>
      <c r="G121" s="1587"/>
      <c r="H121" s="1587"/>
      <c r="I121" s="1587"/>
      <c r="J121" s="1587"/>
      <c r="K121" s="1587"/>
      <c r="L121" s="1587"/>
      <c r="M121" s="1587"/>
      <c r="N121" s="1587"/>
      <c r="O121" s="1587"/>
      <c r="P121" s="1587"/>
      <c r="Q121" s="1587"/>
      <c r="R121" s="1587"/>
      <c r="S121" s="1587"/>
      <c r="T121" s="6112"/>
      <c r="U121" s="1587"/>
      <c r="V121" s="1587"/>
      <c r="W121" s="1587"/>
      <c r="X121" s="1587"/>
      <c r="Y121" s="1587"/>
      <c r="Z121" s="1587"/>
      <c r="AA121" s="1587"/>
      <c r="AB121" s="1587"/>
      <c r="AC121" s="1587"/>
      <c r="AD121" s="1587"/>
      <c r="AE121" s="1587"/>
      <c r="AF121" s="1587"/>
      <c r="AG121" s="1587"/>
      <c r="AH121" s="1587"/>
      <c r="AI121" s="1587"/>
      <c r="AJ121" s="1587"/>
      <c r="AK121" s="1587"/>
      <c r="AL121" s="1587"/>
      <c r="AM121" s="1587"/>
      <c r="AN121" s="1587"/>
      <c r="AO121" s="1587"/>
      <c r="AP121" s="6067"/>
      <c r="BD121" s="6070"/>
      <c r="BE121" s="6070"/>
      <c r="BF121" s="6070"/>
      <c r="BG121" s="6070"/>
      <c r="BH121" s="6070"/>
      <c r="BI121" s="6070"/>
      <c r="BJ121" s="6070"/>
      <c r="BK121" s="6070"/>
      <c r="BL121" s="6070"/>
      <c r="BM121" s="6070"/>
      <c r="BN121" s="6070"/>
    </row>
    <row r="122" spans="1:66" ht="11.25" customHeight="1">
      <c r="A122" s="6067"/>
      <c r="B122" s="1587" t="s">
        <v>5806</v>
      </c>
      <c r="C122" s="1587"/>
      <c r="D122" s="1587"/>
      <c r="E122" s="1587"/>
      <c r="F122" s="1587"/>
      <c r="G122" s="1587"/>
      <c r="H122" s="1587"/>
      <c r="I122" s="1587"/>
      <c r="J122" s="1587"/>
      <c r="K122" s="1587"/>
      <c r="L122" s="1587"/>
      <c r="M122" s="1587"/>
      <c r="N122" s="1587"/>
      <c r="O122" s="1587"/>
      <c r="P122" s="1587"/>
      <c r="Q122" s="1587"/>
      <c r="R122" s="1587"/>
      <c r="S122" s="1587"/>
      <c r="T122" s="6112"/>
      <c r="U122" s="1587"/>
      <c r="V122" s="1587"/>
      <c r="W122" s="1587"/>
      <c r="X122" s="1587"/>
      <c r="Y122" s="1587"/>
      <c r="Z122" s="1587"/>
      <c r="AA122" s="1587"/>
      <c r="AB122" s="1587"/>
      <c r="AC122" s="1587"/>
      <c r="AD122" s="1587"/>
      <c r="AE122" s="1587"/>
      <c r="AF122" s="1587"/>
      <c r="AG122" s="1587"/>
      <c r="AH122" s="1587"/>
      <c r="AI122" s="1587"/>
      <c r="AJ122" s="1587"/>
      <c r="AK122" s="1587"/>
      <c r="AL122" s="1587"/>
      <c r="AM122" s="1587"/>
      <c r="AN122" s="1587"/>
      <c r="AO122" s="1587"/>
      <c r="AP122" s="6067"/>
      <c r="BD122" s="6070"/>
      <c r="BE122" s="6070"/>
      <c r="BF122" s="6070"/>
      <c r="BG122" s="6070"/>
      <c r="BH122" s="6070"/>
      <c r="BI122" s="6070"/>
      <c r="BJ122" s="6070"/>
      <c r="BK122" s="6070"/>
      <c r="BL122" s="6070"/>
      <c r="BM122" s="6070"/>
      <c r="BN122" s="6070"/>
    </row>
    <row r="123" spans="1:66" ht="11.25" customHeight="1">
      <c r="A123" s="6067"/>
      <c r="B123" s="1587" t="s">
        <v>5807</v>
      </c>
      <c r="C123" s="1587"/>
      <c r="D123" s="1587"/>
      <c r="E123" s="1587"/>
      <c r="F123" s="1587"/>
      <c r="G123" s="1587"/>
      <c r="H123" s="1587"/>
      <c r="I123" s="1587"/>
      <c r="J123" s="1587"/>
      <c r="K123" s="1587"/>
      <c r="L123" s="1587"/>
      <c r="M123" s="1587"/>
      <c r="N123" s="1587"/>
      <c r="O123" s="1587"/>
      <c r="P123" s="1587"/>
      <c r="Q123" s="1587"/>
      <c r="R123" s="1587"/>
      <c r="S123" s="1587"/>
      <c r="T123" s="6112"/>
      <c r="U123" s="1587"/>
      <c r="V123" s="1587"/>
      <c r="W123" s="1587"/>
      <c r="X123" s="1587"/>
      <c r="Y123" s="1587"/>
      <c r="Z123" s="1587"/>
      <c r="AA123" s="1587"/>
      <c r="AB123" s="1587"/>
      <c r="AC123" s="1587"/>
      <c r="AD123" s="1587"/>
      <c r="AE123" s="1587"/>
      <c r="AF123" s="1587"/>
      <c r="AG123" s="1587"/>
      <c r="AH123" s="1587"/>
      <c r="AI123" s="1587"/>
      <c r="AJ123" s="1587"/>
      <c r="AK123" s="6161" t="str">
        <f>IF(SUM(AK124,AL124)=2,"Check only one.",IF(SUM(AK124,AL124)=0,"Check one box.",""))</f>
        <v>Check one box.</v>
      </c>
      <c r="AL123" s="1587"/>
      <c r="AM123" s="1587"/>
      <c r="AN123" s="1587"/>
      <c r="AO123" s="1587"/>
      <c r="AP123" s="6067"/>
      <c r="BD123" s="6070"/>
      <c r="BE123" s="6070"/>
      <c r="BF123" s="6070"/>
      <c r="BG123" s="6070"/>
      <c r="BH123" s="6070"/>
      <c r="BI123" s="6070"/>
      <c r="BJ123" s="6070"/>
      <c r="BK123" s="6070"/>
      <c r="BL123" s="6070"/>
      <c r="BM123" s="6070"/>
      <c r="BN123" s="6070"/>
    </row>
    <row r="124" spans="1:66" ht="11.25" customHeight="1">
      <c r="A124" s="6067"/>
      <c r="B124" s="1587" t="s">
        <v>4328</v>
      </c>
      <c r="C124" s="1587"/>
      <c r="D124" s="1587"/>
      <c r="E124" s="1587"/>
      <c r="F124" s="1587"/>
      <c r="G124" s="1587"/>
      <c r="H124" s="1587"/>
      <c r="I124" s="1587"/>
      <c r="J124" s="1587"/>
      <c r="K124" s="1587"/>
      <c r="L124" s="1587"/>
      <c r="M124" s="1587"/>
      <c r="N124" s="1587"/>
      <c r="O124" s="1587"/>
      <c r="P124" s="1587"/>
      <c r="Q124" s="1587"/>
      <c r="R124" s="1587"/>
      <c r="S124" s="1587"/>
      <c r="T124" s="6112"/>
      <c r="U124" s="1587"/>
      <c r="V124" s="1587"/>
      <c r="W124" s="1587"/>
      <c r="X124" s="1587"/>
      <c r="Y124" s="1587"/>
      <c r="Z124" s="1587"/>
      <c r="AA124" s="1587"/>
      <c r="AB124" s="1587"/>
      <c r="AC124" s="1587"/>
      <c r="AD124" s="1587"/>
      <c r="AE124" s="1587"/>
      <c r="AF124" s="1587"/>
      <c r="AG124" s="1587"/>
      <c r="AH124" s="6162"/>
      <c r="AI124" s="6163" t="s">
        <v>608</v>
      </c>
      <c r="AJ124" s="1587"/>
      <c r="AK124" s="6164">
        <f>IF(AH124&lt;&gt;"",1,0)</f>
        <v>0</v>
      </c>
      <c r="AL124" s="6165">
        <f>IF(AM124&lt;&gt;"",1,0)</f>
        <v>0</v>
      </c>
      <c r="AM124" s="6162"/>
      <c r="AN124" s="6163" t="s">
        <v>609</v>
      </c>
      <c r="AO124" s="1587"/>
      <c r="AP124" s="6067"/>
      <c r="BD124" s="6070"/>
      <c r="BE124" s="6070"/>
      <c r="BF124" s="6070"/>
      <c r="BG124" s="6070"/>
      <c r="BH124" s="6070"/>
      <c r="BI124" s="6070"/>
      <c r="BJ124" s="6070"/>
      <c r="BK124" s="6070"/>
      <c r="BL124" s="6070"/>
      <c r="BM124" s="6070"/>
      <c r="BN124" s="6070"/>
    </row>
    <row r="125" spans="1:66" ht="5.25" customHeight="1">
      <c r="A125" s="6067"/>
      <c r="B125" s="6166"/>
      <c r="C125" s="6128"/>
      <c r="D125" s="6128"/>
      <c r="E125" s="6128"/>
      <c r="F125" s="6128"/>
      <c r="G125" s="6128"/>
      <c r="H125" s="6128"/>
      <c r="I125" s="6128"/>
      <c r="J125" s="6128"/>
      <c r="K125" s="6128"/>
      <c r="L125" s="6128"/>
      <c r="M125" s="6128"/>
      <c r="N125" s="6128"/>
      <c r="O125" s="6128"/>
      <c r="P125" s="6128"/>
      <c r="Q125" s="6128"/>
      <c r="R125" s="6128"/>
      <c r="S125" s="6128"/>
      <c r="T125" s="6128"/>
      <c r="U125" s="6128"/>
      <c r="V125" s="6128"/>
      <c r="W125" s="6128"/>
      <c r="X125" s="6128"/>
      <c r="Y125" s="6128"/>
      <c r="Z125" s="6128"/>
      <c r="AA125" s="6128"/>
      <c r="AB125" s="6128"/>
      <c r="AC125" s="6128"/>
      <c r="AD125" s="6128"/>
      <c r="AE125" s="6128"/>
      <c r="AF125" s="6128"/>
      <c r="AG125" s="6128"/>
      <c r="AH125" s="6128"/>
      <c r="AI125" s="6128"/>
      <c r="AJ125" s="6128"/>
      <c r="AK125" s="6128"/>
      <c r="AL125" s="6128"/>
      <c r="AM125" s="6128"/>
      <c r="AN125" s="6128"/>
      <c r="AO125" s="6128"/>
      <c r="AP125" s="6067"/>
      <c r="BD125" s="6070"/>
      <c r="BE125" s="6070"/>
      <c r="BF125" s="6070"/>
      <c r="BG125" s="6070"/>
      <c r="BH125" s="6070"/>
      <c r="BI125" s="6070"/>
      <c r="BJ125" s="6070"/>
      <c r="BK125" s="6070"/>
      <c r="BL125" s="6070"/>
      <c r="BM125" s="6070"/>
      <c r="BN125" s="6070"/>
    </row>
    <row r="126" spans="1:66">
      <c r="A126" s="6067"/>
      <c r="B126" s="6111" t="s">
        <v>4302</v>
      </c>
      <c r="C126" s="1587"/>
      <c r="D126" s="1587"/>
      <c r="E126" s="1587"/>
      <c r="F126" s="1587"/>
      <c r="G126" s="1587"/>
      <c r="H126" s="1587"/>
      <c r="I126" s="1587"/>
      <c r="J126" s="1587"/>
      <c r="K126" s="1587"/>
      <c r="L126" s="1587"/>
      <c r="M126" s="1587"/>
      <c r="N126" s="1587"/>
      <c r="O126" s="1587"/>
      <c r="P126" s="1587"/>
      <c r="Q126" s="1587"/>
      <c r="R126" s="1587"/>
      <c r="S126" s="1587"/>
      <c r="T126" s="6112"/>
      <c r="U126" s="1587"/>
      <c r="V126" s="6167" t="s">
        <v>4329</v>
      </c>
      <c r="W126" s="1587"/>
      <c r="X126" s="1587"/>
      <c r="Y126" s="1587"/>
      <c r="Z126" s="1587"/>
      <c r="AA126" s="1587"/>
      <c r="AB126" s="1587"/>
      <c r="AC126" s="1587"/>
      <c r="AD126" s="1587"/>
      <c r="AE126" s="1587"/>
      <c r="AF126" s="1587"/>
      <c r="AG126" s="1587"/>
      <c r="AH126" s="1587"/>
      <c r="AI126" s="1587"/>
      <c r="AJ126" s="1587"/>
      <c r="AK126" s="1587"/>
      <c r="AL126" s="1587"/>
      <c r="AM126" s="1587"/>
      <c r="AN126" s="1587"/>
      <c r="AO126" s="1587"/>
      <c r="AP126" s="6067"/>
      <c r="BD126" s="6070"/>
      <c r="BE126" s="6070"/>
      <c r="BF126" s="6070"/>
      <c r="BG126" s="6070"/>
      <c r="BH126" s="6070"/>
      <c r="BI126" s="6070"/>
      <c r="BJ126" s="6070"/>
      <c r="BK126" s="6070"/>
      <c r="BL126" s="6070"/>
      <c r="BM126" s="6070"/>
      <c r="BN126" s="6070"/>
    </row>
    <row r="127" spans="1:66" ht="12.75" customHeight="1">
      <c r="A127" s="6067"/>
      <c r="B127" s="9333"/>
      <c r="C127" s="9333"/>
      <c r="D127" s="9333"/>
      <c r="E127" s="9333"/>
      <c r="F127" s="9333"/>
      <c r="G127" s="9333"/>
      <c r="H127" s="9333"/>
      <c r="I127" s="9333"/>
      <c r="J127" s="9333"/>
      <c r="K127" s="9333"/>
      <c r="L127" s="9333"/>
      <c r="M127" s="9333"/>
      <c r="N127" s="9333"/>
      <c r="O127" s="9333"/>
      <c r="P127" s="9333"/>
      <c r="Q127" s="9333"/>
      <c r="R127" s="9333"/>
      <c r="S127" s="9333"/>
      <c r="T127" s="9333"/>
      <c r="U127" s="9334"/>
      <c r="V127" s="9335"/>
      <c r="W127" s="9333"/>
      <c r="X127" s="9333"/>
      <c r="Y127" s="9333"/>
      <c r="Z127" s="9333"/>
      <c r="AA127" s="9333"/>
      <c r="AB127" s="9333"/>
      <c r="AC127" s="9333"/>
      <c r="AD127" s="9333"/>
      <c r="AE127" s="9333"/>
      <c r="AF127" s="9333"/>
      <c r="AG127" s="9333"/>
      <c r="AH127" s="9333"/>
      <c r="AI127" s="9333"/>
      <c r="AJ127" s="9333"/>
      <c r="AK127" s="9333"/>
      <c r="AL127" s="9333"/>
      <c r="AM127" s="9333"/>
      <c r="AN127" s="9333"/>
      <c r="AO127" s="9333"/>
      <c r="AP127" s="6067"/>
      <c r="BD127" s="6070"/>
      <c r="BE127" s="6070"/>
      <c r="BF127" s="6070"/>
      <c r="BG127" s="6070"/>
      <c r="BH127" s="6070"/>
      <c r="BI127" s="6070"/>
      <c r="BJ127" s="6070"/>
      <c r="BK127" s="6070"/>
      <c r="BL127" s="6070"/>
      <c r="BM127" s="6070"/>
      <c r="BN127" s="6070"/>
    </row>
    <row r="128" spans="1:66">
      <c r="A128" s="6067"/>
      <c r="B128" s="6111" t="s">
        <v>4303</v>
      </c>
      <c r="C128" s="1587"/>
      <c r="D128" s="1587"/>
      <c r="E128" s="1587"/>
      <c r="F128" s="1587"/>
      <c r="G128" s="1587"/>
      <c r="H128" s="1587"/>
      <c r="I128" s="1587"/>
      <c r="J128" s="1587"/>
      <c r="K128" s="1587"/>
      <c r="L128" s="1587"/>
      <c r="M128" s="1587"/>
      <c r="N128" s="1587"/>
      <c r="O128" s="1587"/>
      <c r="P128" s="1587"/>
      <c r="Q128" s="1587"/>
      <c r="R128" s="1587"/>
      <c r="S128" s="1587"/>
      <c r="T128" s="6112"/>
      <c r="U128" s="1587"/>
      <c r="V128" s="6168" t="s">
        <v>4304</v>
      </c>
      <c r="W128" s="1587"/>
      <c r="X128" s="1587"/>
      <c r="Y128" s="1587"/>
      <c r="Z128" s="1587"/>
      <c r="AA128" s="1587"/>
      <c r="AB128" s="1587"/>
      <c r="AC128" s="1587"/>
      <c r="AD128" s="1587"/>
      <c r="AE128" s="1587"/>
      <c r="AF128" s="1587"/>
      <c r="AG128" s="1587"/>
      <c r="AH128" s="1587"/>
      <c r="AI128" s="1587"/>
      <c r="AJ128" s="1587"/>
      <c r="AK128" s="1587"/>
      <c r="AL128" s="1587"/>
      <c r="AM128" s="1587"/>
      <c r="AN128" s="1587"/>
      <c r="AO128" s="1587"/>
      <c r="AP128" s="6067"/>
      <c r="BD128" s="6070"/>
      <c r="BE128" s="6070"/>
      <c r="BF128" s="6070"/>
      <c r="BG128" s="6070"/>
      <c r="BH128" s="6070"/>
      <c r="BI128" s="6070"/>
      <c r="BJ128" s="6070"/>
      <c r="BK128" s="6070"/>
      <c r="BL128" s="6070"/>
      <c r="BM128" s="6070"/>
      <c r="BN128" s="6070"/>
    </row>
    <row r="129" spans="1:66" ht="13.5" customHeight="1">
      <c r="A129" s="6067"/>
      <c r="B129" s="9333"/>
      <c r="C129" s="9333"/>
      <c r="D129" s="9333"/>
      <c r="E129" s="9333"/>
      <c r="F129" s="9333"/>
      <c r="G129" s="9333"/>
      <c r="H129" s="9333"/>
      <c r="I129" s="9333"/>
      <c r="J129" s="9333"/>
      <c r="K129" s="9333"/>
      <c r="L129" s="9333"/>
      <c r="M129" s="9333"/>
      <c r="N129" s="9333"/>
      <c r="O129" s="9333"/>
      <c r="P129" s="9333"/>
      <c r="Q129" s="9333"/>
      <c r="R129" s="9333"/>
      <c r="S129" s="9333"/>
      <c r="T129" s="9333"/>
      <c r="U129" s="9334"/>
      <c r="V129" s="9335"/>
      <c r="W129" s="9333"/>
      <c r="X129" s="9333"/>
      <c r="Y129" s="9333"/>
      <c r="Z129" s="9333"/>
      <c r="AA129" s="9333"/>
      <c r="AB129" s="9333"/>
      <c r="AC129" s="9333"/>
      <c r="AD129" s="9333"/>
      <c r="AE129" s="9333"/>
      <c r="AF129" s="9333"/>
      <c r="AG129" s="9333"/>
      <c r="AH129" s="9333"/>
      <c r="AI129" s="9333"/>
      <c r="AJ129" s="9333"/>
      <c r="AK129" s="9333"/>
      <c r="AL129" s="9333"/>
      <c r="AM129" s="9333"/>
      <c r="AN129" s="9333"/>
      <c r="AO129" s="9333"/>
      <c r="AP129" s="6067"/>
      <c r="BD129" s="6070"/>
      <c r="BE129" s="6070"/>
      <c r="BF129" s="6070"/>
      <c r="BG129" s="6070"/>
      <c r="BH129" s="6070"/>
      <c r="BI129" s="6070"/>
      <c r="BJ129" s="6070"/>
      <c r="BK129" s="6070"/>
      <c r="BL129" s="6070"/>
      <c r="BM129" s="6070"/>
      <c r="BN129" s="6070"/>
    </row>
    <row r="130" spans="1:66">
      <c r="A130" s="6067"/>
      <c r="B130" s="6111" t="s">
        <v>4330</v>
      </c>
      <c r="C130" s="1587"/>
      <c r="D130" s="1587"/>
      <c r="E130" s="1587"/>
      <c r="F130" s="1587"/>
      <c r="G130" s="1587"/>
      <c r="H130" s="1587"/>
      <c r="I130" s="1587"/>
      <c r="J130" s="1587"/>
      <c r="K130" s="1587"/>
      <c r="L130" s="1587"/>
      <c r="M130" s="1587"/>
      <c r="N130" s="1587"/>
      <c r="O130" s="1587"/>
      <c r="P130" s="1587"/>
      <c r="Q130" s="1587"/>
      <c r="R130" s="1587"/>
      <c r="S130" s="1587"/>
      <c r="T130" s="6112"/>
      <c r="U130" s="6132"/>
      <c r="V130" s="1587" t="s">
        <v>4323</v>
      </c>
      <c r="W130" s="1587"/>
      <c r="X130" s="1587"/>
      <c r="Y130" s="1587"/>
      <c r="Z130" s="1587"/>
      <c r="AA130" s="1587"/>
      <c r="AB130" s="1587"/>
      <c r="AC130" s="1587"/>
      <c r="AD130" s="1587"/>
      <c r="AE130" s="1587"/>
      <c r="AF130" s="1587"/>
      <c r="AG130" s="1587"/>
      <c r="AH130" s="1587"/>
      <c r="AI130" s="6168" t="s">
        <v>251</v>
      </c>
      <c r="AJ130" s="1587"/>
      <c r="AK130" s="1587"/>
      <c r="AL130" s="1587"/>
      <c r="AM130" s="1587"/>
      <c r="AN130" s="1587"/>
      <c r="AO130" s="1587"/>
      <c r="AP130" s="6067"/>
      <c r="BD130" s="6070"/>
      <c r="BE130" s="6070"/>
      <c r="BF130" s="6070"/>
      <c r="BG130" s="6070"/>
      <c r="BH130" s="6070"/>
      <c r="BI130" s="6070"/>
      <c r="BJ130" s="6070"/>
      <c r="BK130" s="6070"/>
      <c r="BL130" s="6070"/>
      <c r="BM130" s="6070"/>
      <c r="BN130" s="6070"/>
    </row>
    <row r="131" spans="1:66" ht="13.5" customHeight="1">
      <c r="A131" s="6067"/>
      <c r="B131" s="9336"/>
      <c r="C131" s="9336"/>
      <c r="D131" s="9336"/>
      <c r="E131" s="9336"/>
      <c r="F131" s="9336"/>
      <c r="G131" s="9336"/>
      <c r="H131" s="9336"/>
      <c r="I131" s="9336"/>
      <c r="J131" s="9336"/>
      <c r="K131" s="9336"/>
      <c r="L131" s="9336"/>
      <c r="M131" s="9336"/>
      <c r="N131" s="9336"/>
      <c r="O131" s="9336"/>
      <c r="P131" s="9336"/>
      <c r="Q131" s="9336"/>
      <c r="R131" s="9336"/>
      <c r="S131" s="9336"/>
      <c r="T131" s="9336"/>
      <c r="U131" s="9337"/>
      <c r="V131" s="9335"/>
      <c r="W131" s="9338"/>
      <c r="X131" s="9338"/>
      <c r="Y131" s="9338"/>
      <c r="Z131" s="9338"/>
      <c r="AA131" s="9338"/>
      <c r="AB131" s="9338"/>
      <c r="AC131" s="9338"/>
      <c r="AD131" s="9338"/>
      <c r="AE131" s="9338"/>
      <c r="AF131" s="9338"/>
      <c r="AG131" s="9338"/>
      <c r="AH131" s="9339"/>
      <c r="AI131" s="9340"/>
      <c r="AJ131" s="9341"/>
      <c r="AK131" s="9341"/>
      <c r="AL131" s="9341"/>
      <c r="AM131" s="9341"/>
      <c r="AN131" s="9341"/>
      <c r="AO131" s="9341"/>
      <c r="AP131" s="6067"/>
      <c r="BD131" s="6070"/>
      <c r="BE131" s="6070"/>
      <c r="BF131" s="6070"/>
      <c r="BG131" s="6070"/>
      <c r="BH131" s="6070"/>
      <c r="BI131" s="6070"/>
      <c r="BJ131" s="6070"/>
      <c r="BK131" s="6070"/>
      <c r="BL131" s="6070"/>
      <c r="BM131" s="6070"/>
      <c r="BN131" s="6070"/>
    </row>
    <row r="132" spans="1:66" ht="18">
      <c r="A132" s="6067"/>
      <c r="B132" s="6163"/>
      <c r="C132" s="6130"/>
      <c r="D132" s="1587"/>
      <c r="E132" s="1587"/>
      <c r="F132" s="1587"/>
      <c r="G132" s="1587"/>
      <c r="H132" s="1587"/>
      <c r="I132" s="1587"/>
      <c r="J132" s="1587"/>
      <c r="K132" s="1587"/>
      <c r="L132" s="1587"/>
      <c r="M132" s="1587"/>
      <c r="N132" s="1587"/>
      <c r="O132" s="1587"/>
      <c r="P132" s="1587"/>
      <c r="Q132" s="1587"/>
      <c r="R132" s="1587"/>
      <c r="S132" s="1587"/>
      <c r="T132" s="1587"/>
      <c r="U132" s="1587"/>
      <c r="V132" s="1587"/>
      <c r="W132" s="1587"/>
      <c r="X132" s="1587"/>
      <c r="Y132" s="1587"/>
      <c r="Z132" s="1587"/>
      <c r="AA132" s="1587"/>
      <c r="AB132" s="1587"/>
      <c r="AC132" s="1587"/>
      <c r="AD132" s="1587"/>
      <c r="AE132" s="1587"/>
      <c r="AF132" s="1587"/>
      <c r="AG132" s="1587"/>
      <c r="AH132" s="1587"/>
      <c r="AI132" s="1587"/>
      <c r="AJ132" s="1587"/>
      <c r="AK132" s="1591" t="s">
        <v>4288</v>
      </c>
      <c r="AL132" s="1587"/>
      <c r="AM132" s="1587"/>
      <c r="AN132" s="1587"/>
      <c r="AO132" s="1591" t="str">
        <f>AO73</f>
        <v>(Rev. 11-2022)</v>
      </c>
      <c r="AP132" s="6067"/>
      <c r="BD132" s="6070"/>
      <c r="BE132" s="6070"/>
      <c r="BF132" s="6070"/>
      <c r="BG132" s="6070"/>
      <c r="BH132" s="6070"/>
      <c r="BI132" s="6070"/>
      <c r="BJ132" s="6070"/>
      <c r="BK132" s="6070"/>
      <c r="BL132" s="6070"/>
      <c r="BM132" s="6070"/>
      <c r="BN132" s="6070"/>
    </row>
    <row r="133" spans="1:66">
      <c r="A133" s="6067"/>
      <c r="B133" s="6067"/>
      <c r="C133" s="6067"/>
      <c r="D133" s="6067"/>
      <c r="E133" s="6067"/>
      <c r="F133" s="6067"/>
      <c r="G133" s="6067"/>
      <c r="H133" s="6067"/>
      <c r="I133" s="6067"/>
      <c r="J133" s="6067"/>
      <c r="K133" s="6067"/>
      <c r="L133" s="6067"/>
      <c r="M133" s="6067"/>
      <c r="N133" s="6067"/>
      <c r="O133" s="6067"/>
      <c r="P133" s="6067"/>
      <c r="Q133" s="6067"/>
      <c r="R133" s="6067"/>
      <c r="S133" s="6067"/>
      <c r="T133" s="6067"/>
      <c r="U133" s="6067"/>
      <c r="V133" s="6067"/>
      <c r="W133" s="6067"/>
      <c r="X133" s="6067"/>
      <c r="Y133" s="6067"/>
      <c r="Z133" s="6067"/>
      <c r="AA133" s="6067"/>
      <c r="AB133" s="6067"/>
      <c r="AC133" s="6067"/>
      <c r="AD133" s="6067"/>
      <c r="AE133" s="6067"/>
      <c r="AF133" s="6067"/>
      <c r="AG133" s="6067"/>
      <c r="AH133" s="6067"/>
      <c r="AI133" s="6067"/>
      <c r="AJ133" s="6067"/>
      <c r="AK133" s="6067"/>
      <c r="AL133" s="6067"/>
      <c r="AM133" s="6067"/>
      <c r="AN133" s="6067"/>
      <c r="AO133" s="6067"/>
      <c r="AP133" s="6067"/>
      <c r="BD133" s="6070"/>
      <c r="BE133" s="6070"/>
      <c r="BF133" s="6070"/>
      <c r="BG133" s="6070"/>
      <c r="BH133" s="6070"/>
      <c r="BI133" s="6070"/>
      <c r="BJ133" s="6070"/>
      <c r="BK133" s="6070"/>
      <c r="BL133" s="6070"/>
      <c r="BM133" s="6070"/>
      <c r="BN133" s="6070"/>
    </row>
  </sheetData>
  <sheetProtection algorithmName="SHA-512" hashValue="RnqfgAazYM0twQBrrjo4FW0JHlBUBHe+P0DBDksSyRS+qyHUQ7EFqPco4eKgbe/RsLks5feDotuFdXUmZv6cow==" saltValue="zzoo2gxw4EN7s/Yy67eUDQ==" spinCount="100000" sheet="1" objects="1" scenarios="1"/>
  <mergeCells count="164">
    <mergeCell ref="B129:U129"/>
    <mergeCell ref="V129:AO129"/>
    <mergeCell ref="B131:U131"/>
    <mergeCell ref="V131:AH131"/>
    <mergeCell ref="AI131:AO131"/>
    <mergeCell ref="B115:AH115"/>
    <mergeCell ref="AI115:AO115"/>
    <mergeCell ref="B117:AO117"/>
    <mergeCell ref="B118:D118"/>
    <mergeCell ref="T120:AI120"/>
    <mergeCell ref="B127:U127"/>
    <mergeCell ref="V127:AO127"/>
    <mergeCell ref="B108:D108"/>
    <mergeCell ref="B109:AO109"/>
    <mergeCell ref="B110:AO110"/>
    <mergeCell ref="B111:C113"/>
    <mergeCell ref="G112:AF112"/>
    <mergeCell ref="AJ112:AO112"/>
    <mergeCell ref="B101:C101"/>
    <mergeCell ref="AL101:AM101"/>
    <mergeCell ref="AN101:AO101"/>
    <mergeCell ref="B102:D102"/>
    <mergeCell ref="C106:AO106"/>
    <mergeCell ref="B107:F107"/>
    <mergeCell ref="G107:AF107"/>
    <mergeCell ref="AI107:AO107"/>
    <mergeCell ref="B96:C96"/>
    <mergeCell ref="AL96:AM96"/>
    <mergeCell ref="AN96:AO96"/>
    <mergeCell ref="B97:C97"/>
    <mergeCell ref="AL100:AM100"/>
    <mergeCell ref="AN100:AO100"/>
    <mergeCell ref="B92:C92"/>
    <mergeCell ref="AC92:AO92"/>
    <mergeCell ref="B93:C93"/>
    <mergeCell ref="AI93:AO93"/>
    <mergeCell ref="D94:AO94"/>
    <mergeCell ref="B95:C95"/>
    <mergeCell ref="AL95:AM95"/>
    <mergeCell ref="AN95:AO95"/>
    <mergeCell ref="B85:C85"/>
    <mergeCell ref="AI85:AO85"/>
    <mergeCell ref="B86:C86"/>
    <mergeCell ref="D89:AO89"/>
    <mergeCell ref="D91:W91"/>
    <mergeCell ref="X91:AO91"/>
    <mergeCell ref="B76:AH77"/>
    <mergeCell ref="AI76:AO77"/>
    <mergeCell ref="B78:D78"/>
    <mergeCell ref="B82:C82"/>
    <mergeCell ref="AM82:AO82"/>
    <mergeCell ref="B84:C84"/>
    <mergeCell ref="AI84:AO84"/>
    <mergeCell ref="C72:G72"/>
    <mergeCell ref="H72:O72"/>
    <mergeCell ref="P72:V72"/>
    <mergeCell ref="W72:AD72"/>
    <mergeCell ref="AE72:AJ72"/>
    <mergeCell ref="AK72:AO72"/>
    <mergeCell ref="C71:G71"/>
    <mergeCell ref="H71:O71"/>
    <mergeCell ref="P71:V71"/>
    <mergeCell ref="W71:AD71"/>
    <mergeCell ref="AE71:AJ71"/>
    <mergeCell ref="AK71:AO71"/>
    <mergeCell ref="C70:G70"/>
    <mergeCell ref="H70:O70"/>
    <mergeCell ref="P70:V70"/>
    <mergeCell ref="W70:AD70"/>
    <mergeCell ref="AE70:AJ70"/>
    <mergeCell ref="AK70:AO70"/>
    <mergeCell ref="C68:G69"/>
    <mergeCell ref="H68:O69"/>
    <mergeCell ref="P68:V69"/>
    <mergeCell ref="W68:AD69"/>
    <mergeCell ref="AE68:AJ69"/>
    <mergeCell ref="AK68:AO69"/>
    <mergeCell ref="C66:O66"/>
    <mergeCell ref="P66:AJ66"/>
    <mergeCell ref="AK66:AO66"/>
    <mergeCell ref="C67:O67"/>
    <mergeCell ref="P67:AJ67"/>
    <mergeCell ref="AK67:AO67"/>
    <mergeCell ref="B56:C56"/>
    <mergeCell ref="B61:C64"/>
    <mergeCell ref="D61:O64"/>
    <mergeCell ref="P61:AJ64"/>
    <mergeCell ref="AK61:AO64"/>
    <mergeCell ref="C65:O65"/>
    <mergeCell ref="P65:AJ65"/>
    <mergeCell ref="AK65:AO65"/>
    <mergeCell ref="AH41:AO41"/>
    <mergeCell ref="B47:D47"/>
    <mergeCell ref="B48:C48"/>
    <mergeCell ref="B50:C50"/>
    <mergeCell ref="B52:C52"/>
    <mergeCell ref="B54:C54"/>
    <mergeCell ref="B41:C41"/>
    <mergeCell ref="D41:G41"/>
    <mergeCell ref="H41:L41"/>
    <mergeCell ref="M41:S41"/>
    <mergeCell ref="T41:Z41"/>
    <mergeCell ref="AA41:AG41"/>
    <mergeCell ref="AH39:AO39"/>
    <mergeCell ref="B40:C40"/>
    <mergeCell ref="D40:G40"/>
    <mergeCell ref="H40:L40"/>
    <mergeCell ref="M40:S40"/>
    <mergeCell ref="T40:Z40"/>
    <mergeCell ref="AA40:AG40"/>
    <mergeCell ref="AH40:AO40"/>
    <mergeCell ref="B39:C39"/>
    <mergeCell ref="D39:G39"/>
    <mergeCell ref="H39:L39"/>
    <mergeCell ref="M39:S39"/>
    <mergeCell ref="T39:Z39"/>
    <mergeCell ref="AA39:AG39"/>
    <mergeCell ref="AH37:AO37"/>
    <mergeCell ref="B38:C38"/>
    <mergeCell ref="D38:G38"/>
    <mergeCell ref="H38:L38"/>
    <mergeCell ref="M38:S38"/>
    <mergeCell ref="T38:Z38"/>
    <mergeCell ref="AA38:AG38"/>
    <mergeCell ref="AH38:AO38"/>
    <mergeCell ref="B37:C37"/>
    <mergeCell ref="D37:G37"/>
    <mergeCell ref="H37:L37"/>
    <mergeCell ref="M37:S37"/>
    <mergeCell ref="T37:Z37"/>
    <mergeCell ref="AA37:AG37"/>
    <mergeCell ref="D35:G36"/>
    <mergeCell ref="H35:L36"/>
    <mergeCell ref="M35:S36"/>
    <mergeCell ref="T35:Z36"/>
    <mergeCell ref="AA35:AG36"/>
    <mergeCell ref="AH35:AO36"/>
    <mergeCell ref="B28:C30"/>
    <mergeCell ref="D28:L30"/>
    <mergeCell ref="AD28:AO30"/>
    <mergeCell ref="B31:C33"/>
    <mergeCell ref="D31:L33"/>
    <mergeCell ref="AD31:AO33"/>
    <mergeCell ref="B25:C27"/>
    <mergeCell ref="D25:L27"/>
    <mergeCell ref="AD25:AO27"/>
    <mergeCell ref="B14:D14"/>
    <mergeCell ref="B15:D18"/>
    <mergeCell ref="E15:L18"/>
    <mergeCell ref="M15:AC18"/>
    <mergeCell ref="AD15:AO18"/>
    <mergeCell ref="B19:C21"/>
    <mergeCell ref="D19:L21"/>
    <mergeCell ref="AD19:AO21"/>
    <mergeCell ref="AI3:AO3"/>
    <mergeCell ref="H4:AH4"/>
    <mergeCell ref="AI4:AM6"/>
    <mergeCell ref="AN4:AO6"/>
    <mergeCell ref="B5:G6"/>
    <mergeCell ref="B8:AH9"/>
    <mergeCell ref="AI8:AO9"/>
    <mergeCell ref="B22:C24"/>
    <mergeCell ref="D22:L24"/>
    <mergeCell ref="AD22:AO24"/>
  </mergeCells>
  <conditionalFormatting sqref="B115 AI115:AO115 B117">
    <cfRule type="expression" dxfId="985" priority="52">
      <formula>NoColor</formula>
    </cfRule>
  </conditionalFormatting>
  <conditionalFormatting sqref="B8:AO9">
    <cfRule type="expression" dxfId="984" priority="51">
      <formula>NoColor</formula>
    </cfRule>
  </conditionalFormatting>
  <conditionalFormatting sqref="B76:AO77">
    <cfRule type="expression" dxfId="983" priority="33">
      <formula>NoColor</formula>
    </cfRule>
  </conditionalFormatting>
  <conditionalFormatting sqref="B127:AO127">
    <cfRule type="expression" dxfId="982" priority="17">
      <formula>NoColor</formula>
    </cfRule>
  </conditionalFormatting>
  <conditionalFormatting sqref="B129:AO129">
    <cfRule type="expression" dxfId="981" priority="16">
      <formula>NoColor</formula>
    </cfRule>
  </conditionalFormatting>
  <conditionalFormatting sqref="B131:AO131">
    <cfRule type="expression" dxfId="980" priority="15">
      <formula>NoColor</formula>
    </cfRule>
  </conditionalFormatting>
  <conditionalFormatting sqref="C65:P67">
    <cfRule type="expression" dxfId="979" priority="25">
      <formula>NoColor</formula>
    </cfRule>
  </conditionalFormatting>
  <conditionalFormatting sqref="C70:P72">
    <cfRule type="expression" dxfId="978" priority="22">
      <formula>NoColor</formula>
    </cfRule>
  </conditionalFormatting>
  <conditionalFormatting sqref="C106:AO106">
    <cfRule type="expression" dxfId="977" priority="10">
      <formula>NoColor</formula>
    </cfRule>
  </conditionalFormatting>
  <conditionalFormatting sqref="D91 X91">
    <cfRule type="expression" dxfId="976" priority="39">
      <formula>NoColor</formula>
    </cfRule>
  </conditionalFormatting>
  <conditionalFormatting sqref="D19:L33">
    <cfRule type="expression" dxfId="975" priority="50">
      <formula>NoColor</formula>
    </cfRule>
  </conditionalFormatting>
  <conditionalFormatting sqref="D37:AO41">
    <cfRule type="expression" dxfId="974" priority="42">
      <formula>NoColor</formula>
    </cfRule>
  </conditionalFormatting>
  <conditionalFormatting sqref="D89:AO89">
    <cfRule type="expression" dxfId="973" priority="40">
      <formula>NoColor</formula>
    </cfRule>
  </conditionalFormatting>
  <conditionalFormatting sqref="D94:AO94">
    <cfRule type="expression" dxfId="972" priority="38">
      <formula>NoColor</formula>
    </cfRule>
  </conditionalFormatting>
  <conditionalFormatting sqref="E50">
    <cfRule type="expression" dxfId="971" priority="32">
      <formula>NoColor</formula>
    </cfRule>
  </conditionalFormatting>
  <conditionalFormatting sqref="E52">
    <cfRule type="expression" dxfId="970" priority="31">
      <formula>NoColor</formula>
    </cfRule>
  </conditionalFormatting>
  <conditionalFormatting sqref="E54">
    <cfRule type="expression" dxfId="969" priority="30">
      <formula>NoColor</formula>
    </cfRule>
  </conditionalFormatting>
  <conditionalFormatting sqref="E56">
    <cfRule type="expression" dxfId="968" priority="8">
      <formula>NoColor</formula>
    </cfRule>
  </conditionalFormatting>
  <conditionalFormatting sqref="G112">
    <cfRule type="expression" dxfId="967" priority="13">
      <formula>NoColor</formula>
    </cfRule>
  </conditionalFormatting>
  <conditionalFormatting sqref="M21:AC21">
    <cfRule type="expression" dxfId="966" priority="49">
      <formula>NoColor</formula>
    </cfRule>
  </conditionalFormatting>
  <conditionalFormatting sqref="M24:AC24">
    <cfRule type="expression" dxfId="965" priority="4">
      <formula>NoColor</formula>
    </cfRule>
  </conditionalFormatting>
  <conditionalFormatting sqref="M27:AC27">
    <cfRule type="expression" dxfId="964" priority="3">
      <formula>NoColor</formula>
    </cfRule>
  </conditionalFormatting>
  <conditionalFormatting sqref="M30:AC30">
    <cfRule type="expression" dxfId="963" priority="2">
      <formula>NoColor</formula>
    </cfRule>
  </conditionalFormatting>
  <conditionalFormatting sqref="M33:AC33">
    <cfRule type="expression" dxfId="962" priority="1">
      <formula>NoColor</formula>
    </cfRule>
  </conditionalFormatting>
  <conditionalFormatting sqref="Q50">
    <cfRule type="expression" dxfId="961" priority="29">
      <formula>NoColor</formula>
    </cfRule>
  </conditionalFormatting>
  <conditionalFormatting sqref="Q52">
    <cfRule type="expression" dxfId="960" priority="6">
      <formula>NoColor</formula>
    </cfRule>
  </conditionalFormatting>
  <conditionalFormatting sqref="Q54">
    <cfRule type="expression" dxfId="959" priority="5">
      <formula>NoColor</formula>
    </cfRule>
  </conditionalFormatting>
  <conditionalFormatting sqref="Q56">
    <cfRule type="expression" dxfId="958" priority="7">
      <formula>NoColor</formula>
    </cfRule>
  </conditionalFormatting>
  <conditionalFormatting sqref="T20">
    <cfRule type="expression" dxfId="957" priority="48">
      <formula>NoColor</formula>
    </cfRule>
  </conditionalFormatting>
  <conditionalFormatting sqref="T23">
    <cfRule type="expression" dxfId="956" priority="47">
      <formula>NoColor</formula>
    </cfRule>
  </conditionalFormatting>
  <conditionalFormatting sqref="T26">
    <cfRule type="expression" dxfId="955" priority="46">
      <formula>NoColor</formula>
    </cfRule>
  </conditionalFormatting>
  <conditionalFormatting sqref="T29">
    <cfRule type="expression" dxfId="954" priority="45">
      <formula>NoColor</formula>
    </cfRule>
  </conditionalFormatting>
  <conditionalFormatting sqref="T32">
    <cfRule type="expression" dxfId="953" priority="44">
      <formula>NoColor</formula>
    </cfRule>
  </conditionalFormatting>
  <conditionalFormatting sqref="T120:AI120">
    <cfRule type="expression" dxfId="952" priority="19">
      <formula>NoColor</formula>
    </cfRule>
  </conditionalFormatting>
  <conditionalFormatting sqref="W70:AO72">
    <cfRule type="expression" dxfId="951" priority="23">
      <formula>NoColor</formula>
    </cfRule>
  </conditionalFormatting>
  <conditionalFormatting sqref="AC92:AO92">
    <cfRule type="expression" dxfId="950" priority="37">
      <formula>NoColor</formula>
    </cfRule>
  </conditionalFormatting>
  <conditionalFormatting sqref="AD19:AO33">
    <cfRule type="expression" dxfId="949" priority="43">
      <formula>NoColor</formula>
    </cfRule>
  </conditionalFormatting>
  <conditionalFormatting sqref="AE50">
    <cfRule type="expression" dxfId="948" priority="28">
      <formula>NoColor</formula>
    </cfRule>
  </conditionalFormatting>
  <conditionalFormatting sqref="AE52">
    <cfRule type="expression" dxfId="947" priority="27">
      <formula>NoColor</formula>
    </cfRule>
  </conditionalFormatting>
  <conditionalFormatting sqref="AE54">
    <cfRule type="expression" dxfId="946" priority="26">
      <formula>NoColor</formula>
    </cfRule>
  </conditionalFormatting>
  <conditionalFormatting sqref="AE105:AO105">
    <cfRule type="expression" dxfId="945" priority="20">
      <formula>NoColor</formula>
    </cfRule>
  </conditionalFormatting>
  <conditionalFormatting sqref="AH124">
    <cfRule type="expression" dxfId="944" priority="18">
      <formula>NoColor</formula>
    </cfRule>
  </conditionalFormatting>
  <conditionalFormatting sqref="AI8:AO9">
    <cfRule type="expression" dxfId="943" priority="11">
      <formula>AND(NoSSN,NoColor)</formula>
    </cfRule>
    <cfRule type="expression" dxfId="942" priority="12">
      <formula>NoSSN</formula>
    </cfRule>
  </conditionalFormatting>
  <conditionalFormatting sqref="AI84:AO85">
    <cfRule type="expression" dxfId="941" priority="41">
      <formula>NoColor</formula>
    </cfRule>
  </conditionalFormatting>
  <conditionalFormatting sqref="AI93:AO93">
    <cfRule type="expression" dxfId="940" priority="36">
      <formula>NoColor</formula>
    </cfRule>
  </conditionalFormatting>
  <conditionalFormatting sqref="AI107:AO107">
    <cfRule type="expression" dxfId="939" priority="9">
      <formula>NoColor</formula>
    </cfRule>
  </conditionalFormatting>
  <conditionalFormatting sqref="AJ112">
    <cfRule type="expression" dxfId="938" priority="21">
      <formula>NoColor</formula>
    </cfRule>
  </conditionalFormatting>
  <conditionalFormatting sqref="AK65:AK67">
    <cfRule type="expression" dxfId="937" priority="24">
      <formula>NoColor</formula>
    </cfRule>
  </conditionalFormatting>
  <conditionalFormatting sqref="AL96:AO96">
    <cfRule type="expression" dxfId="936" priority="35">
      <formula>NoColor</formula>
    </cfRule>
  </conditionalFormatting>
  <conditionalFormatting sqref="AL100:AO101">
    <cfRule type="expression" dxfId="935" priority="34">
      <formula>NoColor</formula>
    </cfRule>
  </conditionalFormatting>
  <conditionalFormatting sqref="AM124">
    <cfRule type="expression" dxfId="934" priority="14">
      <formula>NoColor</formula>
    </cfRule>
  </conditionalFormatting>
  <pageMargins left="0.75" right="0.25" top="0.36" bottom="0.28999999999999998" header="0.36" footer="0.21"/>
  <pageSetup scale="76" fitToHeight="0"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J142"/>
  <sheetViews>
    <sheetView zoomScaleNormal="100" zoomScaleSheetLayoutView="85" workbookViewId="0"/>
  </sheetViews>
  <sheetFormatPr defaultColWidth="9.140625" defaultRowHeight="12.75"/>
  <cols>
    <col min="1" max="1" width="2.7109375" style="39" customWidth="1"/>
    <col min="2" max="2" width="4.140625" style="39" customWidth="1"/>
    <col min="3" max="3" width="7" style="217" customWidth="1"/>
    <col min="4" max="4" width="3.140625" style="39" customWidth="1"/>
    <col min="5" max="6" width="3.7109375" style="39" customWidth="1"/>
    <col min="7" max="7" width="5.140625" style="39" customWidth="1"/>
    <col min="8" max="8" width="2.7109375" style="39" customWidth="1"/>
    <col min="9" max="9" width="3.7109375" style="39" customWidth="1"/>
    <col min="10" max="10" width="4.5703125" style="39" customWidth="1"/>
    <col min="11" max="11" width="4.42578125" style="39" customWidth="1"/>
    <col min="12" max="12" width="5.5703125" style="39" customWidth="1"/>
    <col min="13" max="13" width="4.42578125" style="39" customWidth="1"/>
    <col min="14" max="21" width="5.140625" style="39" customWidth="1"/>
    <col min="22" max="22" width="4.42578125" style="39" customWidth="1"/>
    <col min="23" max="23" width="4.5703125" style="39" customWidth="1"/>
    <col min="24" max="24" width="2.140625" style="39" customWidth="1"/>
    <col min="25" max="28" width="4.140625" style="39" customWidth="1"/>
    <col min="29" max="29" width="2.5703125" style="39" customWidth="1"/>
    <col min="30" max="30" width="4.7109375" style="39" customWidth="1"/>
    <col min="31" max="31" width="3.5703125" style="39" customWidth="1"/>
    <col min="32" max="32" width="5.140625" style="39" customWidth="1"/>
    <col min="33" max="36" width="3.5703125" style="39" customWidth="1"/>
    <col min="37" max="37" width="9.140625" style="39"/>
    <col min="38" max="38" width="2.85546875" style="39" customWidth="1"/>
    <col min="39" max="39" width="14.42578125" style="39" customWidth="1"/>
    <col min="40" max="40" width="3.28515625" style="39" customWidth="1"/>
    <col min="41" max="41" width="11.7109375" style="4415" hidden="1" customWidth="1"/>
    <col min="42" max="42" width="3.85546875" style="4415" customWidth="1"/>
    <col min="43" max="44" width="2.28515625" style="39" customWidth="1"/>
    <col min="45" max="45" width="41.28515625" style="39" customWidth="1"/>
    <col min="46" max="47" width="15.7109375" style="39" customWidth="1"/>
    <col min="48" max="48" width="5.85546875" style="39" customWidth="1"/>
    <col min="49" max="49" width="3.7109375" style="39" customWidth="1"/>
    <col min="50" max="50" width="13.28515625" style="5768" customWidth="1"/>
    <col min="51" max="58" width="10.7109375" style="2038" customWidth="1"/>
    <col min="59" max="59" width="4.140625" style="2038" customWidth="1"/>
    <col min="60" max="61" width="9.140625" style="39"/>
    <col min="62" max="62" width="10" style="39" customWidth="1"/>
    <col min="63" max="66" width="9.140625" style="39"/>
    <col min="67" max="67" width="9.140625" style="39" customWidth="1"/>
    <col min="68" max="16384" width="9.140625" style="39"/>
  </cols>
  <sheetData>
    <row r="1" spans="1:6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08"/>
      <c r="AM1" s="808"/>
      <c r="AN1" s="808"/>
      <c r="AO1" s="3837"/>
      <c r="AP1" s="3837"/>
      <c r="AQ1" s="808"/>
      <c r="AR1" s="808"/>
      <c r="AS1" s="808"/>
      <c r="AT1" s="808"/>
      <c r="AU1" s="808"/>
      <c r="AV1" s="808"/>
      <c r="AW1" s="808"/>
    </row>
    <row r="2" spans="1:61" s="2690" customFormat="1" ht="17.25" customHeight="1">
      <c r="A2" s="461"/>
      <c r="B2" s="808"/>
      <c r="C2" s="1461"/>
      <c r="D2" s="9478">
        <v>8582</v>
      </c>
      <c r="E2" s="9478"/>
      <c r="F2" s="9478"/>
      <c r="G2" s="9478"/>
      <c r="H2" s="9479"/>
      <c r="I2" s="9459" t="s">
        <v>4331</v>
      </c>
      <c r="J2" s="9460"/>
      <c r="K2" s="9460"/>
      <c r="L2" s="9460"/>
      <c r="M2" s="9460"/>
      <c r="N2" s="9460"/>
      <c r="O2" s="9460"/>
      <c r="P2" s="9460"/>
      <c r="Q2" s="9460"/>
      <c r="R2" s="9460"/>
      <c r="S2" s="9460"/>
      <c r="T2" s="9460"/>
      <c r="U2" s="9460"/>
      <c r="V2" s="9460"/>
      <c r="W2" s="9460"/>
      <c r="X2" s="9460"/>
      <c r="Y2" s="9460"/>
      <c r="Z2" s="9460"/>
      <c r="AA2" s="9460"/>
      <c r="AB2" s="9460"/>
      <c r="AC2" s="9461" t="s">
        <v>5633</v>
      </c>
      <c r="AD2" s="9462"/>
      <c r="AE2" s="9462"/>
      <c r="AF2" s="9462"/>
      <c r="AG2" s="9462"/>
      <c r="AH2" s="9462"/>
      <c r="AI2" s="9462"/>
      <c r="AJ2" s="9462"/>
      <c r="AK2" s="461"/>
      <c r="AL2" s="808"/>
      <c r="AM2" s="808"/>
      <c r="AN2" s="808"/>
      <c r="AO2" s="3837"/>
      <c r="AP2" s="3837"/>
      <c r="AQ2" s="808"/>
      <c r="AR2" s="808"/>
      <c r="AS2" s="808"/>
      <c r="AT2" s="808"/>
      <c r="AU2" s="808"/>
      <c r="AV2" s="808"/>
      <c r="AW2" s="808"/>
      <c r="AX2" s="5768"/>
      <c r="AY2" s="2038"/>
      <c r="AZ2" s="2038"/>
      <c r="BA2" s="2038"/>
      <c r="BB2" s="2038"/>
      <c r="BC2" s="2038"/>
      <c r="BD2" s="2038"/>
      <c r="BE2" s="2038"/>
      <c r="BF2" s="2038"/>
      <c r="BG2" s="2038"/>
      <c r="BH2" s="39"/>
      <c r="BI2" s="39"/>
    </row>
    <row r="3" spans="1:61" s="2690" customFormat="1" ht="24" customHeight="1">
      <c r="A3" s="461"/>
      <c r="B3" s="8774" t="s">
        <v>50</v>
      </c>
      <c r="C3" s="7256"/>
      <c r="D3" s="9478"/>
      <c r="E3" s="9478"/>
      <c r="F3" s="9478"/>
      <c r="G3" s="9478"/>
      <c r="H3" s="9479"/>
      <c r="I3" s="9460"/>
      <c r="J3" s="9460"/>
      <c r="K3" s="9460"/>
      <c r="L3" s="9460"/>
      <c r="M3" s="9460"/>
      <c r="N3" s="9460"/>
      <c r="O3" s="9460"/>
      <c r="P3" s="9460"/>
      <c r="Q3" s="9460"/>
      <c r="R3" s="9460"/>
      <c r="S3" s="9460"/>
      <c r="T3" s="9460"/>
      <c r="U3" s="9460"/>
      <c r="V3" s="9460"/>
      <c r="W3" s="9460"/>
      <c r="X3" s="9460"/>
      <c r="Y3" s="9460"/>
      <c r="Z3" s="9460"/>
      <c r="AA3" s="9460"/>
      <c r="AB3" s="9460"/>
      <c r="AC3" s="9463">
        <f>TaxYear</f>
        <v>2023</v>
      </c>
      <c r="AD3" s="8776"/>
      <c r="AE3" s="8776"/>
      <c r="AF3" s="8776"/>
      <c r="AG3" s="8776"/>
      <c r="AH3" s="8776"/>
      <c r="AI3" s="8776"/>
      <c r="AJ3" s="8776"/>
      <c r="AK3" s="461"/>
      <c r="AL3" s="808"/>
      <c r="AM3" s="808"/>
      <c r="AN3" s="808"/>
      <c r="AO3" s="3837"/>
      <c r="AP3" s="3837"/>
      <c r="AQ3" s="808"/>
      <c r="AR3" s="808"/>
      <c r="AS3" s="808"/>
      <c r="AT3" s="808"/>
      <c r="AU3" s="808"/>
      <c r="AV3" s="808"/>
      <c r="AW3" s="808"/>
      <c r="AX3" s="5768"/>
      <c r="AY3" s="2038"/>
      <c r="AZ3" s="2038"/>
      <c r="BA3" s="2038"/>
      <c r="BB3" s="2038"/>
      <c r="BC3" s="2038"/>
      <c r="BD3" s="2038"/>
      <c r="BE3" s="2038"/>
      <c r="BF3" s="2038"/>
      <c r="BG3" s="2038"/>
      <c r="BH3" s="39"/>
      <c r="BI3" s="39"/>
    </row>
    <row r="4" spans="1:61" s="2690" customFormat="1" ht="12" customHeight="1">
      <c r="A4" s="461"/>
      <c r="B4" s="808"/>
      <c r="C4" s="1461"/>
      <c r="D4" s="808"/>
      <c r="E4" s="808"/>
      <c r="F4" s="808"/>
      <c r="G4" s="808"/>
      <c r="H4" s="4558"/>
      <c r="I4" s="9480" t="s">
        <v>4332</v>
      </c>
      <c r="J4" s="7834"/>
      <c r="K4" s="7834"/>
      <c r="L4" s="7834"/>
      <c r="M4" s="7834"/>
      <c r="N4" s="7834"/>
      <c r="O4" s="7834"/>
      <c r="P4" s="7834"/>
      <c r="Q4" s="7834"/>
      <c r="R4" s="7834"/>
      <c r="S4" s="7834"/>
      <c r="T4" s="7834"/>
      <c r="U4" s="7834"/>
      <c r="V4" s="7834"/>
      <c r="W4" s="7834"/>
      <c r="X4" s="7834"/>
      <c r="Y4" s="7834"/>
      <c r="Z4" s="7834"/>
      <c r="AA4" s="7834"/>
      <c r="AB4" s="9481"/>
      <c r="AC4" s="8778"/>
      <c r="AD4" s="8778"/>
      <c r="AE4" s="8778"/>
      <c r="AF4" s="8778"/>
      <c r="AG4" s="8778"/>
      <c r="AH4" s="8778"/>
      <c r="AI4" s="8778"/>
      <c r="AJ4" s="8778"/>
      <c r="AK4" s="461"/>
      <c r="AL4" s="899" t="s">
        <v>4334</v>
      </c>
      <c r="AM4" s="808"/>
      <c r="AN4" s="808"/>
      <c r="AO4" s="3837"/>
      <c r="AP4" s="3837"/>
      <c r="AQ4" s="808"/>
      <c r="AR4" s="808"/>
      <c r="AS4" s="808"/>
      <c r="AT4" s="808"/>
      <c r="AU4" s="808"/>
      <c r="AV4" s="808"/>
      <c r="AW4" s="808"/>
      <c r="AX4" s="5768"/>
      <c r="AY4" s="2038"/>
      <c r="AZ4" s="2038"/>
      <c r="BA4" s="2038"/>
      <c r="BB4" s="2038"/>
      <c r="BC4" s="2038"/>
      <c r="BD4" s="2038"/>
      <c r="BE4" s="2038"/>
      <c r="BF4" s="2038"/>
      <c r="BG4" s="2038"/>
      <c r="BH4" s="39"/>
      <c r="BI4" s="39"/>
    </row>
    <row r="5" spans="1:61" s="2690" customFormat="1" ht="12.75" customHeight="1" thickBot="1">
      <c r="A5" s="461"/>
      <c r="B5" s="808" t="s">
        <v>535</v>
      </c>
      <c r="C5" s="1461"/>
      <c r="D5" s="808"/>
      <c r="E5" s="808"/>
      <c r="F5" s="808"/>
      <c r="G5" s="808"/>
      <c r="H5" s="4558"/>
      <c r="I5" s="9482" t="s">
        <v>4333</v>
      </c>
      <c r="J5" s="7064"/>
      <c r="K5" s="7064"/>
      <c r="L5" s="7064"/>
      <c r="M5" s="7064"/>
      <c r="N5" s="7064"/>
      <c r="O5" s="7064"/>
      <c r="P5" s="7064"/>
      <c r="Q5" s="7064"/>
      <c r="R5" s="7064"/>
      <c r="S5" s="7064"/>
      <c r="T5" s="7064"/>
      <c r="U5" s="7064"/>
      <c r="V5" s="7064"/>
      <c r="W5" s="7064"/>
      <c r="X5" s="7064"/>
      <c r="Y5" s="7064"/>
      <c r="Z5" s="7064"/>
      <c r="AA5" s="7064"/>
      <c r="AB5" s="9483"/>
      <c r="AC5" s="808"/>
      <c r="AD5" s="8472" t="s">
        <v>3899</v>
      </c>
      <c r="AE5" s="6848"/>
      <c r="AF5" s="6848"/>
      <c r="AG5" s="6848"/>
      <c r="AH5" s="9464">
        <v>858</v>
      </c>
      <c r="AI5" s="9464"/>
      <c r="AJ5" s="808"/>
      <c r="AK5" s="461"/>
      <c r="AL5" s="899" t="s">
        <v>5454</v>
      </c>
      <c r="AM5" s="808"/>
      <c r="AN5" s="808"/>
      <c r="AO5" s="3837"/>
      <c r="AP5" s="3837"/>
      <c r="AQ5" s="808"/>
      <c r="AR5" s="808"/>
      <c r="AS5" s="808"/>
      <c r="AT5" s="808"/>
      <c r="AU5" s="808"/>
      <c r="AV5" s="808"/>
      <c r="AW5" s="808"/>
      <c r="AX5" s="5768"/>
      <c r="AY5" s="2038"/>
      <c r="AZ5" s="2038"/>
      <c r="BA5" s="2038"/>
      <c r="BB5" s="2038"/>
      <c r="BC5" s="2038"/>
      <c r="BD5" s="2038"/>
      <c r="BE5" s="2038"/>
      <c r="BF5" s="2038"/>
      <c r="BG5" s="2038"/>
      <c r="BH5" s="39"/>
      <c r="BI5" s="39"/>
    </row>
    <row r="6" spans="1:61" s="2690" customFormat="1" ht="18" customHeight="1" thickBot="1">
      <c r="A6" s="461"/>
      <c r="B6" s="1448" t="s">
        <v>537</v>
      </c>
      <c r="C6" s="3595"/>
      <c r="D6" s="896"/>
      <c r="E6" s="896"/>
      <c r="F6" s="896"/>
      <c r="G6" s="896"/>
      <c r="H6" s="4559"/>
      <c r="I6" s="9466" t="s">
        <v>4335</v>
      </c>
      <c r="J6" s="9467"/>
      <c r="K6" s="9467"/>
      <c r="L6" s="9467"/>
      <c r="M6" s="9467"/>
      <c r="N6" s="9467"/>
      <c r="O6" s="9467"/>
      <c r="P6" s="9467"/>
      <c r="Q6" s="9467"/>
      <c r="R6" s="9467"/>
      <c r="S6" s="9467"/>
      <c r="T6" s="9467"/>
      <c r="U6" s="9467"/>
      <c r="V6" s="9467"/>
      <c r="W6" s="9467"/>
      <c r="X6" s="9467"/>
      <c r="Y6" s="9467"/>
      <c r="Z6" s="9467"/>
      <c r="AA6" s="9467"/>
      <c r="AB6" s="9467"/>
      <c r="AC6" s="1257"/>
      <c r="AD6" s="9468" t="s">
        <v>3912</v>
      </c>
      <c r="AE6" s="9469"/>
      <c r="AF6" s="9469"/>
      <c r="AG6" s="9469"/>
      <c r="AH6" s="9465"/>
      <c r="AI6" s="9465"/>
      <c r="AJ6" s="896"/>
      <c r="AK6" s="461"/>
      <c r="AL6" s="810" t="s">
        <v>2268</v>
      </c>
      <c r="AM6" s="892" t="s">
        <v>605</v>
      </c>
      <c r="AN6" s="808"/>
      <c r="AO6" s="3837"/>
      <c r="AP6" s="3837"/>
      <c r="AQ6" s="1149"/>
      <c r="AR6" s="1142"/>
      <c r="AS6" s="1142"/>
      <c r="AT6" s="1142"/>
      <c r="AU6" s="1142"/>
      <c r="AV6" s="5798"/>
      <c r="AW6" s="808"/>
      <c r="AX6" s="5768"/>
      <c r="AY6" s="2038"/>
      <c r="AZ6" s="2038"/>
      <c r="BA6" s="2038"/>
      <c r="BB6" s="2038"/>
      <c r="BC6" s="2038"/>
      <c r="BD6" s="2038"/>
      <c r="BE6" s="2038"/>
      <c r="BF6" s="2038"/>
      <c r="BG6" s="2038"/>
      <c r="BH6" s="39"/>
      <c r="BI6" s="39"/>
    </row>
    <row r="7" spans="1:61" s="2690" customFormat="1" ht="16.5" thickBot="1">
      <c r="A7" s="461"/>
      <c r="B7" s="1119" t="s">
        <v>4336</v>
      </c>
      <c r="C7" s="3597"/>
      <c r="D7" s="1119"/>
      <c r="E7" s="1119"/>
      <c r="F7" s="1119"/>
      <c r="G7" s="1119"/>
      <c r="H7" s="1119"/>
      <c r="I7" s="1119"/>
      <c r="J7" s="1119"/>
      <c r="K7" s="1119"/>
      <c r="L7" s="1119"/>
      <c r="M7" s="1119"/>
      <c r="N7" s="1119"/>
      <c r="O7" s="1119"/>
      <c r="P7" s="1119"/>
      <c r="Q7" s="1119"/>
      <c r="R7" s="1119"/>
      <c r="S7" s="1119"/>
      <c r="T7" s="1119"/>
      <c r="U7" s="1119"/>
      <c r="V7" s="1119"/>
      <c r="W7" s="1119"/>
      <c r="X7" s="1119"/>
      <c r="Y7" s="3592" t="s">
        <v>3314</v>
      </c>
      <c r="Z7" s="890"/>
      <c r="AA7" s="890"/>
      <c r="AB7" s="890"/>
      <c r="AC7" s="1150"/>
      <c r="AD7" s="1255"/>
      <c r="AE7" s="1255"/>
      <c r="AF7" s="1255"/>
      <c r="AG7" s="1255"/>
      <c r="AH7" s="1255"/>
      <c r="AI7" s="1255"/>
      <c r="AJ7" s="1255"/>
      <c r="AK7" s="461"/>
      <c r="AL7" s="810"/>
      <c r="AM7" s="892" t="s">
        <v>606</v>
      </c>
      <c r="AN7" s="808"/>
      <c r="AO7" s="3837"/>
      <c r="AP7" s="3837"/>
      <c r="AQ7" s="1150"/>
      <c r="AR7" s="808"/>
      <c r="AS7" s="5797" t="s">
        <v>5466</v>
      </c>
      <c r="AT7" s="5797"/>
      <c r="AU7" s="808"/>
      <c r="AV7" s="1151"/>
      <c r="AW7" s="808"/>
      <c r="AX7" s="5768"/>
      <c r="AY7" s="2038"/>
      <c r="AZ7" s="2038"/>
      <c r="BA7" s="2038"/>
      <c r="BB7" s="2038"/>
      <c r="BC7" s="2038"/>
      <c r="BD7" s="2038"/>
      <c r="BE7" s="2038"/>
      <c r="BF7" s="2038"/>
      <c r="BG7" s="2038"/>
      <c r="BH7" s="39"/>
      <c r="BI7" s="39"/>
    </row>
    <row r="8" spans="1:61" s="2690" customFormat="1" ht="25.5" customHeight="1">
      <c r="A8" s="461"/>
      <c r="B8" s="9487" t="str">
        <f>IF(AND(AL6&lt;&gt;"",AL7&lt;&gt;""),Names,IF(AL7&lt;&gt;"",NameSpouse,IF(AL6&lt;&gt;"",NameYours,"")))</f>
        <v xml:space="preserve"> </v>
      </c>
      <c r="C8" s="9487"/>
      <c r="D8" s="9487"/>
      <c r="E8" s="9487"/>
      <c r="F8" s="9487"/>
      <c r="G8" s="9487"/>
      <c r="H8" s="9487"/>
      <c r="I8" s="9487"/>
      <c r="J8" s="9487"/>
      <c r="K8" s="9487"/>
      <c r="L8" s="9487"/>
      <c r="M8" s="9487"/>
      <c r="N8" s="9487"/>
      <c r="O8" s="9487"/>
      <c r="P8" s="9487"/>
      <c r="Q8" s="9487"/>
      <c r="R8" s="9487"/>
      <c r="S8" s="9487"/>
      <c r="T8" s="9487"/>
      <c r="U8" s="9487"/>
      <c r="V8" s="9487"/>
      <c r="W8" s="9487"/>
      <c r="X8" s="9488"/>
      <c r="Y8" s="9524">
        <f>IF(AND(NOT(NoSSN),SS_Yours&lt;&gt;"",OR(AL6&lt;&gt;"",AND(AL6&lt;&gt;"",AL7&lt;&gt;""))),SS_Yours,IF(AND(NOT(NoSSN),SS_Spouse&lt;&gt;"",AL7&lt;&gt;""),SS_Spouse,""))</f>
        <v>1010001</v>
      </c>
      <c r="Z8" s="9525"/>
      <c r="AA8" s="9525"/>
      <c r="AB8" s="9525"/>
      <c r="AC8" s="9525"/>
      <c r="AD8" s="9525"/>
      <c r="AE8" s="9525"/>
      <c r="AF8" s="9525"/>
      <c r="AG8" s="9525"/>
      <c r="AH8" s="9525"/>
      <c r="AI8" s="9525"/>
      <c r="AJ8" s="9525"/>
      <c r="AK8" s="461"/>
      <c r="AL8" s="808"/>
      <c r="AM8" s="900"/>
      <c r="AN8" s="808"/>
      <c r="AO8" s="3837"/>
      <c r="AP8" s="3837"/>
      <c r="AQ8" s="1150"/>
      <c r="AR8" s="808"/>
      <c r="AS8" s="808"/>
      <c r="AT8" s="808"/>
      <c r="AU8" s="808"/>
      <c r="AV8" s="1151"/>
      <c r="AW8" s="808"/>
      <c r="AX8" s="5768"/>
      <c r="AY8" s="2038"/>
      <c r="AZ8" s="2038"/>
      <c r="BA8" s="2038"/>
      <c r="BB8" s="2038"/>
      <c r="BC8" s="2038"/>
      <c r="BD8" s="2038"/>
      <c r="BE8" s="2038"/>
      <c r="BF8" s="2038"/>
      <c r="BG8" s="2038"/>
      <c r="BH8" s="39"/>
      <c r="BI8" s="39"/>
    </row>
    <row r="9" spans="1:61" s="2690" customFormat="1" ht="19.5" customHeight="1">
      <c r="A9" s="461"/>
      <c r="B9" s="8698" t="s">
        <v>884</v>
      </c>
      <c r="C9" s="8698"/>
      <c r="D9" s="3593"/>
      <c r="E9" s="9475" t="str">
        <f>TaxYear&amp;" Passive Activity Loss"</f>
        <v>2023 Passive Activity Loss</v>
      </c>
      <c r="F9" s="9475"/>
      <c r="G9" s="9475"/>
      <c r="H9" s="9475"/>
      <c r="I9" s="9475"/>
      <c r="J9" s="9475"/>
      <c r="K9" s="9475"/>
      <c r="L9" s="9475"/>
      <c r="M9" s="9475"/>
      <c r="N9" s="9475"/>
      <c r="O9" s="9475"/>
      <c r="P9" s="9475"/>
      <c r="Q9" s="9475"/>
      <c r="R9" s="9475"/>
      <c r="S9" s="9475"/>
      <c r="T9" s="9475"/>
      <c r="U9" s="9475"/>
      <c r="V9" s="9475"/>
      <c r="W9" s="9475"/>
      <c r="X9" s="9475"/>
      <c r="Y9" s="9475"/>
      <c r="Z9" s="9475"/>
      <c r="AA9" s="9475"/>
      <c r="AB9" s="9475"/>
      <c r="AC9" s="9475"/>
      <c r="AD9" s="9475"/>
      <c r="AE9" s="9475"/>
      <c r="AF9" s="9475"/>
      <c r="AG9" s="9475"/>
      <c r="AH9" s="9475"/>
      <c r="AI9" s="9475"/>
      <c r="AJ9" s="9475"/>
      <c r="AK9" s="461"/>
      <c r="AL9" s="808"/>
      <c r="AM9" s="808"/>
      <c r="AN9" s="808"/>
      <c r="AO9" s="3837"/>
      <c r="AP9" s="3837"/>
      <c r="AQ9" s="1150"/>
      <c r="AR9" s="808"/>
      <c r="AS9" s="892" t="s">
        <v>5443</v>
      </c>
      <c r="AT9" s="892"/>
      <c r="AU9" s="5820" t="str">
        <f>IF(NOT(AO32),"",Adj_Gross_Inc)</f>
        <v/>
      </c>
      <c r="AV9" s="1151"/>
      <c r="AW9" s="808"/>
      <c r="AX9" s="5768"/>
      <c r="AY9" s="3524"/>
      <c r="AZ9" s="2038"/>
      <c r="BA9" s="2038"/>
      <c r="BB9" s="2038"/>
      <c r="BC9" s="2038"/>
      <c r="BD9" s="2038"/>
      <c r="BE9" s="2038"/>
      <c r="BF9" s="2038"/>
      <c r="BG9" s="2038"/>
      <c r="BH9" s="39"/>
      <c r="BI9" s="39"/>
    </row>
    <row r="10" spans="1:61" s="2690" customFormat="1" ht="16.5" customHeight="1">
      <c r="A10" s="461"/>
      <c r="B10" s="1121"/>
      <c r="C10" s="3598"/>
      <c r="D10" s="1121"/>
      <c r="E10" s="3594" t="s">
        <v>4337</v>
      </c>
      <c r="F10" s="1121"/>
      <c r="G10" s="1121"/>
      <c r="H10" s="1121"/>
      <c r="I10" s="1121"/>
      <c r="J10" s="1121"/>
      <c r="K10" s="1121"/>
      <c r="L10" s="1121"/>
      <c r="M10" s="1121"/>
      <c r="N10" s="1121"/>
      <c r="O10" s="1121"/>
      <c r="P10" s="1121"/>
      <c r="Q10" s="1121"/>
      <c r="R10" s="1121"/>
      <c r="S10" s="1121"/>
      <c r="T10" s="1121"/>
      <c r="U10" s="1121"/>
      <c r="V10" s="1121"/>
      <c r="W10" s="1121"/>
      <c r="X10" s="1121"/>
      <c r="Y10" s="1121"/>
      <c r="Z10" s="1121"/>
      <c r="AA10" s="1121"/>
      <c r="AB10" s="1121"/>
      <c r="AC10" s="1121"/>
      <c r="AD10" s="1121"/>
      <c r="AE10" s="1121"/>
      <c r="AF10" s="1121"/>
      <c r="AG10" s="1121"/>
      <c r="AH10" s="1121"/>
      <c r="AI10" s="1121"/>
      <c r="AJ10" s="1121"/>
      <c r="AK10" s="461"/>
      <c r="AL10" s="808"/>
      <c r="AM10" s="808"/>
      <c r="AN10" s="808"/>
      <c r="AO10" s="3837"/>
      <c r="AP10" s="3837"/>
      <c r="AQ10" s="1150"/>
      <c r="AR10" s="808"/>
      <c r="AS10" s="5819" t="s">
        <v>5453</v>
      </c>
      <c r="AT10" s="808"/>
      <c r="AU10" s="1598"/>
      <c r="AV10" s="1151"/>
      <c r="AW10" s="808"/>
      <c r="AX10" s="5768"/>
      <c r="AY10" s="3524"/>
      <c r="AZ10" s="2038"/>
      <c r="BA10" s="2038"/>
      <c r="BB10" s="2038"/>
      <c r="BC10" s="2038"/>
      <c r="BD10" s="2038"/>
      <c r="BE10" s="2038"/>
      <c r="BF10" s="2038"/>
      <c r="BG10" s="2038"/>
      <c r="BH10" s="39"/>
      <c r="BI10" s="39"/>
    </row>
    <row r="11" spans="1:61" s="2690" customFormat="1" ht="15" customHeight="1">
      <c r="A11" s="461"/>
      <c r="B11" s="3174" t="s">
        <v>4338</v>
      </c>
      <c r="C11" s="1124"/>
      <c r="D11" s="2112"/>
      <c r="E11" s="2334"/>
      <c r="F11" s="2112"/>
      <c r="G11" s="808"/>
      <c r="H11" s="808"/>
      <c r="I11" s="808"/>
      <c r="J11" s="808"/>
      <c r="K11" s="808"/>
      <c r="L11" s="808"/>
      <c r="M11" s="808"/>
      <c r="N11" s="808"/>
      <c r="O11" s="808"/>
      <c r="P11" s="2112"/>
      <c r="Q11" s="1108" t="s">
        <v>5440</v>
      </c>
      <c r="R11" s="808"/>
      <c r="S11" s="808"/>
      <c r="T11" s="808"/>
      <c r="U11" s="808"/>
      <c r="V11" s="808"/>
      <c r="W11" s="808"/>
      <c r="X11" s="808"/>
      <c r="Y11" s="808"/>
      <c r="Z11" s="4097"/>
      <c r="AA11" s="808"/>
      <c r="AB11" s="808"/>
      <c r="AC11" s="808"/>
      <c r="AD11" s="1129"/>
      <c r="AE11" s="900"/>
      <c r="AF11" s="900"/>
      <c r="AG11" s="900"/>
      <c r="AH11" s="900"/>
      <c r="AI11" s="900"/>
      <c r="AJ11" s="900"/>
      <c r="AK11" s="461"/>
      <c r="AL11" s="808"/>
      <c r="AM11" s="808"/>
      <c r="AN11" s="808"/>
      <c r="AO11" s="3837"/>
      <c r="AP11" s="3837"/>
      <c r="AQ11" s="3829"/>
      <c r="AR11" s="808"/>
      <c r="AS11" s="9559" t="s">
        <v>5452</v>
      </c>
      <c r="AT11" s="808"/>
      <c r="AU11" s="1598"/>
      <c r="AV11" s="1151"/>
      <c r="AW11" s="808"/>
      <c r="AX11" s="5768"/>
      <c r="AY11" s="3524"/>
      <c r="AZ11" s="2038"/>
      <c r="BA11" s="2038"/>
      <c r="BB11" s="2038"/>
      <c r="BC11" s="2038"/>
      <c r="BD11" s="2038"/>
      <c r="BE11" s="2038"/>
      <c r="BF11" s="2038"/>
      <c r="BG11" s="2038"/>
      <c r="BH11" s="39"/>
      <c r="BI11" s="39"/>
    </row>
    <row r="12" spans="1:61" s="4011" customFormat="1" ht="18.75" customHeight="1">
      <c r="A12" s="4010"/>
      <c r="B12" s="3172" t="s">
        <v>5433</v>
      </c>
      <c r="C12" s="5775"/>
      <c r="D12" s="2645"/>
      <c r="E12" s="2334"/>
      <c r="F12" s="2645"/>
      <c r="G12" s="1382"/>
      <c r="H12" s="1382"/>
      <c r="I12" s="1382"/>
      <c r="J12" s="1382"/>
      <c r="K12" s="1382"/>
      <c r="L12" s="1382"/>
      <c r="M12" s="1382"/>
      <c r="N12" s="1382"/>
      <c r="O12" s="1382"/>
      <c r="P12" s="1382"/>
      <c r="Q12" s="1382"/>
      <c r="R12" s="1382"/>
      <c r="S12" s="1382"/>
      <c r="T12" s="1382"/>
      <c r="U12" s="1382"/>
      <c r="V12" s="1382"/>
      <c r="W12" s="1382"/>
      <c r="X12" s="1382"/>
      <c r="Y12" s="1382"/>
      <c r="Z12" s="1382"/>
      <c r="AA12" s="1382"/>
      <c r="AB12" s="1382"/>
      <c r="AC12" s="1382"/>
      <c r="AD12" s="5753"/>
      <c r="AE12" s="2821"/>
      <c r="AF12" s="2821"/>
      <c r="AG12" s="2821"/>
      <c r="AH12" s="2821"/>
      <c r="AI12" s="2821"/>
      <c r="AJ12" s="2821"/>
      <c r="AK12" s="4010"/>
      <c r="AL12" s="1382"/>
      <c r="AM12" s="1382"/>
      <c r="AN12" s="1382"/>
      <c r="AO12" s="4926"/>
      <c r="AP12" s="4926"/>
      <c r="AQ12" s="1150"/>
      <c r="AR12" s="808"/>
      <c r="AS12" s="9559"/>
      <c r="AT12" s="5766" t="str">
        <f>IF(NOT(AO32),"",PassiveIncomeLoss)</f>
        <v/>
      </c>
      <c r="AU12" s="1598"/>
      <c r="AV12" s="1151"/>
      <c r="AW12" s="1382"/>
      <c r="AX12" s="5769"/>
      <c r="AY12" s="5754"/>
      <c r="AZ12" s="2045"/>
      <c r="BA12" s="2045"/>
      <c r="BB12" s="2045"/>
      <c r="BC12" s="2045"/>
      <c r="BD12" s="2045"/>
      <c r="BE12" s="2045"/>
      <c r="BF12" s="2045"/>
      <c r="BG12" s="2045"/>
      <c r="BH12" s="1998"/>
      <c r="BI12" s="1998"/>
    </row>
    <row r="13" spans="1:61" s="2690" customFormat="1" ht="23.25" customHeight="1">
      <c r="A13" s="461"/>
      <c r="B13" s="808"/>
      <c r="C13" s="3644" t="s">
        <v>363</v>
      </c>
      <c r="D13" s="1108" t="s">
        <v>4339</v>
      </c>
      <c r="E13" s="808"/>
      <c r="F13" s="2112"/>
      <c r="G13" s="2112"/>
      <c r="H13" s="808"/>
      <c r="I13" s="808"/>
      <c r="J13" s="808"/>
      <c r="K13" s="808"/>
      <c r="L13" s="808"/>
      <c r="M13" s="808"/>
      <c r="N13" s="808"/>
      <c r="O13" s="808"/>
      <c r="P13" s="808"/>
      <c r="Q13" s="808"/>
      <c r="R13" s="808"/>
      <c r="S13" s="808"/>
      <c r="T13" s="808"/>
      <c r="U13" s="808"/>
      <c r="V13" s="3281" t="s">
        <v>789</v>
      </c>
      <c r="W13" s="3724" t="s">
        <v>363</v>
      </c>
      <c r="X13" s="9484" t="str">
        <f>N55</f>
        <v/>
      </c>
      <c r="Y13" s="9485"/>
      <c r="Z13" s="9485"/>
      <c r="AA13" s="9485"/>
      <c r="AB13" s="9485"/>
      <c r="AC13" s="9486"/>
      <c r="AD13" s="1129"/>
      <c r="AE13" s="9540">
        <f>IF(X13="",0,X13)</f>
        <v>0</v>
      </c>
      <c r="AF13" s="9541"/>
      <c r="AG13" s="9541"/>
      <c r="AH13" s="9541"/>
      <c r="AI13" s="9541"/>
      <c r="AJ13" s="9541"/>
      <c r="AK13" s="461"/>
      <c r="AL13" s="808"/>
      <c r="AM13" s="808"/>
      <c r="AN13" s="808"/>
      <c r="AO13" s="3837"/>
      <c r="AP13" s="3837"/>
      <c r="AQ13" s="1150"/>
      <c r="AR13" s="808"/>
      <c r="AS13" s="9559" t="s">
        <v>5451</v>
      </c>
      <c r="AT13" s="808"/>
      <c r="AU13" s="1598"/>
      <c r="AV13" s="1151"/>
      <c r="AW13" s="808"/>
      <c r="AX13" s="5768"/>
      <c r="AY13" s="2038"/>
      <c r="AZ13" s="2038"/>
      <c r="BA13" s="2038"/>
      <c r="BB13" s="2038"/>
      <c r="BC13" s="2038"/>
      <c r="BD13" s="2038"/>
      <c r="BE13" s="2038"/>
      <c r="BF13" s="2038"/>
      <c r="BG13" s="2038"/>
      <c r="BH13" s="39"/>
      <c r="BI13" s="39"/>
    </row>
    <row r="14" spans="1:61" s="2690" customFormat="1" ht="18">
      <c r="A14" s="461"/>
      <c r="B14" s="808"/>
      <c r="C14" s="5821" t="s">
        <v>4340</v>
      </c>
      <c r="D14" s="1108" t="s">
        <v>4341</v>
      </c>
      <c r="E14" s="808"/>
      <c r="F14" s="2112"/>
      <c r="G14" s="2112"/>
      <c r="H14" s="808"/>
      <c r="I14" s="808"/>
      <c r="J14" s="808"/>
      <c r="K14" s="808"/>
      <c r="L14" s="808"/>
      <c r="M14" s="808"/>
      <c r="N14" s="808"/>
      <c r="O14" s="808"/>
      <c r="P14" s="808"/>
      <c r="Q14" s="808"/>
      <c r="R14" s="808"/>
      <c r="S14" s="808"/>
      <c r="T14" s="808"/>
      <c r="U14" s="808"/>
      <c r="V14" s="3281" t="s">
        <v>684</v>
      </c>
      <c r="W14" s="3724" t="s">
        <v>365</v>
      </c>
      <c r="X14" s="5350" t="s">
        <v>905</v>
      </c>
      <c r="Y14" s="9472" t="str">
        <f>R55</f>
        <v/>
      </c>
      <c r="Z14" s="9472"/>
      <c r="AA14" s="9472"/>
      <c r="AB14" s="9472"/>
      <c r="AC14" s="5351" t="s">
        <v>906</v>
      </c>
      <c r="AD14" s="1129"/>
      <c r="AE14" s="9540">
        <f>IF(Y14="",0,Y14)</f>
        <v>0</v>
      </c>
      <c r="AF14" s="9541"/>
      <c r="AG14" s="9541"/>
      <c r="AH14" s="9541"/>
      <c r="AI14" s="9541"/>
      <c r="AJ14" s="9541"/>
      <c r="AK14" s="461"/>
      <c r="AL14" s="808"/>
      <c r="AM14" s="23" t="s">
        <v>1113</v>
      </c>
      <c r="AN14" s="808"/>
      <c r="AO14" s="3837"/>
      <c r="AP14" s="3837"/>
      <c r="AQ14" s="1150"/>
      <c r="AR14" s="808"/>
      <c r="AS14" s="9559"/>
      <c r="AT14" s="5766"/>
      <c r="AU14" s="1598"/>
      <c r="AV14" s="1151"/>
      <c r="AW14" s="808"/>
      <c r="AX14" s="5768"/>
      <c r="AY14" s="2038"/>
      <c r="AZ14" s="2038"/>
      <c r="BA14" s="2038"/>
      <c r="BB14" s="2038"/>
      <c r="BC14" s="2038"/>
      <c r="BD14" s="2038"/>
      <c r="BE14" s="2038"/>
      <c r="BF14" s="2038"/>
      <c r="BG14" s="2038"/>
      <c r="BH14" s="39"/>
      <c r="BI14" s="39"/>
    </row>
    <row r="15" spans="1:61" s="2690" customFormat="1" ht="18.75" thickBot="1">
      <c r="A15" s="461"/>
      <c r="B15" s="808"/>
      <c r="C15" s="5821" t="s">
        <v>4342</v>
      </c>
      <c r="D15" s="1108" t="s">
        <v>4343</v>
      </c>
      <c r="E15" s="808"/>
      <c r="F15" s="2112"/>
      <c r="G15" s="2112"/>
      <c r="H15" s="808"/>
      <c r="I15" s="808"/>
      <c r="J15" s="808"/>
      <c r="K15" s="808"/>
      <c r="L15" s="808"/>
      <c r="M15" s="808"/>
      <c r="N15" s="808"/>
      <c r="O15" s="808"/>
      <c r="P15" s="808"/>
      <c r="Q15" s="808"/>
      <c r="R15" s="808"/>
      <c r="S15" s="808"/>
      <c r="T15" s="808"/>
      <c r="U15" s="808"/>
      <c r="V15" s="3281" t="s">
        <v>680</v>
      </c>
      <c r="W15" s="3724" t="s">
        <v>651</v>
      </c>
      <c r="X15" s="5350" t="s">
        <v>905</v>
      </c>
      <c r="Y15" s="9472" t="str">
        <f>V55</f>
        <v/>
      </c>
      <c r="Z15" s="9472"/>
      <c r="AA15" s="9472"/>
      <c r="AB15" s="9472"/>
      <c r="AC15" s="5351" t="s">
        <v>906</v>
      </c>
      <c r="AD15" s="1129"/>
      <c r="AE15" s="9540">
        <f>IF(Y15="",0,Y15)</f>
        <v>0</v>
      </c>
      <c r="AF15" s="9541"/>
      <c r="AG15" s="9541"/>
      <c r="AH15" s="9541"/>
      <c r="AI15" s="9541"/>
      <c r="AJ15" s="9541"/>
      <c r="AK15" s="461"/>
      <c r="AL15" s="808"/>
      <c r="AM15" s="23" t="s">
        <v>1062</v>
      </c>
      <c r="AN15" s="808"/>
      <c r="AO15" s="3837"/>
      <c r="AP15" s="3837"/>
      <c r="AQ15" s="1150"/>
      <c r="AR15" s="808"/>
      <c r="AS15" s="808"/>
      <c r="AT15" s="808"/>
      <c r="AU15" s="808"/>
      <c r="AV15" s="1151"/>
      <c r="AW15" s="808"/>
      <c r="AX15" s="5768"/>
      <c r="AY15" s="2038"/>
      <c r="AZ15" s="2038"/>
      <c r="BA15" s="2038"/>
      <c r="BB15" s="2038"/>
      <c r="BC15" s="2038"/>
      <c r="BD15" s="2038"/>
      <c r="BE15" s="2038"/>
      <c r="BF15" s="2038"/>
      <c r="BG15" s="2038"/>
      <c r="BH15" s="39"/>
      <c r="BI15" s="39"/>
    </row>
    <row r="16" spans="1:61" s="2690" customFormat="1" ht="16.5" customHeight="1" thickBot="1">
      <c r="A16" s="461"/>
      <c r="B16" s="1121"/>
      <c r="C16" s="5352" t="s">
        <v>4344</v>
      </c>
      <c r="D16" s="998" t="s">
        <v>4345</v>
      </c>
      <c r="E16" s="1080"/>
      <c r="F16" s="2190"/>
      <c r="G16" s="2190"/>
      <c r="H16" s="1121"/>
      <c r="I16" s="1121"/>
      <c r="J16" s="1121"/>
      <c r="K16" s="1121"/>
      <c r="L16" s="1121"/>
      <c r="M16" s="1121"/>
      <c r="N16" s="1121"/>
      <c r="O16" s="1121"/>
      <c r="P16" s="1121"/>
      <c r="Q16" s="1121"/>
      <c r="R16" s="1121"/>
      <c r="S16" s="1121"/>
      <c r="T16" s="1121"/>
      <c r="U16" s="1121"/>
      <c r="V16" s="1121"/>
      <c r="W16" s="1121"/>
      <c r="X16" s="1121"/>
      <c r="Y16" s="1121"/>
      <c r="Z16" s="1121"/>
      <c r="AA16" s="1121"/>
      <c r="AB16" s="1121"/>
      <c r="AC16" s="2391"/>
      <c r="AD16" s="3724" t="s">
        <v>655</v>
      </c>
      <c r="AE16" s="9473" t="str">
        <f>IF(AM16&lt;&gt;"",ROUND(AM16,0),IF(AND(X13="",Y14="",Y15=""),"",SUM(AE13,-AE14,-AE15)))</f>
        <v/>
      </c>
      <c r="AF16" s="9474"/>
      <c r="AG16" s="9474"/>
      <c r="AH16" s="9474"/>
      <c r="AI16" s="9474"/>
      <c r="AJ16" s="9474"/>
      <c r="AK16" s="461"/>
      <c r="AL16" s="808"/>
      <c r="AM16" s="5765"/>
      <c r="AN16" s="808"/>
      <c r="AO16" s="2633" t="b">
        <f>AND(X8="",Y9="",Y10="")</f>
        <v>1</v>
      </c>
      <c r="AP16" s="3837"/>
      <c r="AQ16" s="1150"/>
      <c r="AR16" s="808"/>
      <c r="AS16" s="5795" t="s">
        <v>5444</v>
      </c>
      <c r="AT16" s="5766"/>
      <c r="AU16" s="1598"/>
      <c r="AV16" s="1151"/>
      <c r="AW16" s="808"/>
      <c r="AX16" s="5768"/>
      <c r="AY16" s="2038"/>
      <c r="AZ16" s="2038"/>
      <c r="BA16" s="2038"/>
      <c r="BB16" s="2038"/>
      <c r="BC16" s="2038"/>
      <c r="BD16" s="2038"/>
      <c r="BE16" s="2038"/>
      <c r="BF16" s="2038"/>
      <c r="BG16" s="2038"/>
      <c r="BH16" s="39"/>
      <c r="BI16" s="39"/>
    </row>
    <row r="17" spans="1:61" s="2690" customFormat="1" ht="24" customHeight="1">
      <c r="A17" s="461"/>
      <c r="B17" s="5822" t="s">
        <v>4346</v>
      </c>
      <c r="C17" s="5821"/>
      <c r="D17" s="2112"/>
      <c r="E17" s="2334"/>
      <c r="F17" s="2112"/>
      <c r="G17" s="2112"/>
      <c r="H17" s="808"/>
      <c r="I17" s="808"/>
      <c r="J17" s="808"/>
      <c r="K17" s="808"/>
      <c r="L17" s="808"/>
      <c r="M17" s="808"/>
      <c r="N17" s="808"/>
      <c r="O17" s="808"/>
      <c r="P17" s="808"/>
      <c r="Q17" s="808"/>
      <c r="R17" s="808"/>
      <c r="S17" s="808"/>
      <c r="T17" s="808"/>
      <c r="U17" s="808"/>
      <c r="V17" s="808"/>
      <c r="W17" s="808"/>
      <c r="X17" s="808"/>
      <c r="Y17" s="808"/>
      <c r="Z17" s="808"/>
      <c r="AA17" s="808"/>
      <c r="AB17" s="808"/>
      <c r="AC17" s="808"/>
      <c r="AD17" s="1129"/>
      <c r="AE17" s="6912">
        <f>IF(AE16&lt;0,ABS(AE16),0)</f>
        <v>0</v>
      </c>
      <c r="AF17" s="6913"/>
      <c r="AG17" s="6913"/>
      <c r="AH17" s="6913"/>
      <c r="AI17" s="6913"/>
      <c r="AJ17" s="6913"/>
      <c r="AK17" s="461"/>
      <c r="AL17" s="808"/>
      <c r="AM17" s="808"/>
      <c r="AN17" s="808"/>
      <c r="AO17" s="3837"/>
      <c r="AP17" s="3837"/>
      <c r="AQ17" s="1150"/>
      <c r="AR17" s="808"/>
      <c r="AS17" s="9562" t="s">
        <v>5450</v>
      </c>
      <c r="AT17" s="808"/>
      <c r="AU17" s="1598"/>
      <c r="AV17" s="5772"/>
      <c r="AW17" s="808"/>
      <c r="AX17" s="5768"/>
      <c r="AY17" s="2038"/>
      <c r="AZ17" s="2038"/>
      <c r="BA17" s="2038"/>
      <c r="BB17" s="2038"/>
      <c r="BC17" s="2038"/>
      <c r="BD17" s="2038"/>
      <c r="BE17" s="2038"/>
      <c r="BF17" s="2038"/>
      <c r="BG17" s="2038"/>
      <c r="BH17" s="39"/>
      <c r="BI17" s="39"/>
    </row>
    <row r="18" spans="1:61" s="2690" customFormat="1" ht="18" customHeight="1">
      <c r="A18" s="461"/>
      <c r="B18" s="808"/>
      <c r="C18" s="3644" t="s">
        <v>367</v>
      </c>
      <c r="D18" s="1108" t="s">
        <v>4347</v>
      </c>
      <c r="E18" s="808"/>
      <c r="F18" s="2112"/>
      <c r="G18" s="2112"/>
      <c r="H18" s="808"/>
      <c r="I18" s="808"/>
      <c r="J18" s="808"/>
      <c r="K18" s="808"/>
      <c r="L18" s="808"/>
      <c r="M18" s="808"/>
      <c r="N18" s="808"/>
      <c r="O18" s="808"/>
      <c r="P18" s="808"/>
      <c r="Q18" s="808"/>
      <c r="R18" s="808"/>
      <c r="S18" s="808"/>
      <c r="T18" s="808"/>
      <c r="U18" s="808"/>
      <c r="V18" s="808"/>
      <c r="W18" s="3724" t="s">
        <v>367</v>
      </c>
      <c r="X18" s="9484" t="str">
        <f>N69</f>
        <v/>
      </c>
      <c r="Y18" s="9485"/>
      <c r="Z18" s="9485"/>
      <c r="AA18" s="9485"/>
      <c r="AB18" s="9485"/>
      <c r="AC18" s="9486"/>
      <c r="AD18" s="1129"/>
      <c r="AE18" s="9540">
        <f>IF(X18="",0,X18)</f>
        <v>0</v>
      </c>
      <c r="AF18" s="9541"/>
      <c r="AG18" s="9541"/>
      <c r="AH18" s="9541"/>
      <c r="AI18" s="9541"/>
      <c r="AJ18" s="9541"/>
      <c r="AK18" s="461"/>
      <c r="AL18" s="808"/>
      <c r="AM18" s="808"/>
      <c r="AN18" s="808"/>
      <c r="AO18" s="3837"/>
      <c r="AP18" s="3837"/>
      <c r="AQ18" s="1150"/>
      <c r="AR18" s="808"/>
      <c r="AS18" s="9562"/>
      <c r="AT18" s="5766" t="str">
        <f>IF(NOT(AO32),"",SocSecBenefits_Taxable)</f>
        <v/>
      </c>
      <c r="AU18" s="1598"/>
      <c r="AV18" s="1151"/>
      <c r="AW18" s="808"/>
      <c r="AX18" s="5768"/>
      <c r="AY18" s="2038"/>
      <c r="AZ18" s="2038"/>
      <c r="BA18" s="2038"/>
      <c r="BB18" s="2038"/>
      <c r="BC18" s="2038"/>
      <c r="BD18" s="2038"/>
      <c r="BE18" s="2038"/>
      <c r="BF18" s="2038"/>
      <c r="BG18" s="2038"/>
      <c r="BH18" s="39"/>
      <c r="BI18" s="39"/>
    </row>
    <row r="19" spans="1:61" s="2690" customFormat="1" ht="18" customHeight="1">
      <c r="A19" s="461"/>
      <c r="B19" s="808"/>
      <c r="C19" s="5821" t="s">
        <v>4340</v>
      </c>
      <c r="D19" s="1108" t="s">
        <v>4348</v>
      </c>
      <c r="E19" s="808"/>
      <c r="F19" s="808"/>
      <c r="G19" s="808"/>
      <c r="H19" s="808"/>
      <c r="I19" s="808"/>
      <c r="J19" s="808"/>
      <c r="K19" s="808"/>
      <c r="L19" s="808"/>
      <c r="M19" s="808"/>
      <c r="N19" s="808"/>
      <c r="O19" s="808"/>
      <c r="P19" s="808"/>
      <c r="Q19" s="808"/>
      <c r="R19" s="808"/>
      <c r="S19" s="808"/>
      <c r="T19" s="808"/>
      <c r="U19" s="808"/>
      <c r="V19" s="808"/>
      <c r="W19" s="3724" t="s">
        <v>369</v>
      </c>
      <c r="X19" s="5350" t="s">
        <v>905</v>
      </c>
      <c r="Y19" s="9472" t="str">
        <f>R69</f>
        <v/>
      </c>
      <c r="Z19" s="9472"/>
      <c r="AA19" s="9472"/>
      <c r="AB19" s="9472"/>
      <c r="AC19" s="5351" t="s">
        <v>906</v>
      </c>
      <c r="AD19" s="1129"/>
      <c r="AE19" s="9540">
        <f>IF(Y19="",0,Y19)</f>
        <v>0</v>
      </c>
      <c r="AF19" s="9541"/>
      <c r="AG19" s="9541"/>
      <c r="AH19" s="9541"/>
      <c r="AI19" s="9541"/>
      <c r="AJ19" s="9541"/>
      <c r="AK19" s="461"/>
      <c r="AL19" s="808"/>
      <c r="AM19" s="23" t="s">
        <v>1113</v>
      </c>
      <c r="AN19" s="808"/>
      <c r="AO19" s="3837"/>
      <c r="AP19" s="3837"/>
      <c r="AQ19" s="1150"/>
      <c r="AR19" s="808"/>
      <c r="AS19" s="9563" t="s">
        <v>5446</v>
      </c>
      <c r="AT19" s="808"/>
      <c r="AU19" s="1598"/>
      <c r="AV19" s="1151"/>
      <c r="AW19" s="808"/>
      <c r="AX19" s="5768"/>
      <c r="AY19" s="2038"/>
      <c r="AZ19" s="2038"/>
      <c r="BA19" s="2038"/>
      <c r="BB19" s="2038"/>
      <c r="BC19" s="2038"/>
      <c r="BD19" s="2038"/>
      <c r="BE19" s="2038"/>
      <c r="BF19" s="2038"/>
      <c r="BG19" s="2038"/>
      <c r="BH19" s="39"/>
      <c r="BI19" s="39"/>
    </row>
    <row r="20" spans="1:61" s="2690" customFormat="1" ht="18" customHeight="1" thickBot="1">
      <c r="A20" s="461"/>
      <c r="B20" s="808"/>
      <c r="C20" s="5821" t="s">
        <v>4342</v>
      </c>
      <c r="D20" s="1108" t="s">
        <v>4343</v>
      </c>
      <c r="E20" s="808"/>
      <c r="F20" s="808"/>
      <c r="G20" s="808"/>
      <c r="H20" s="808"/>
      <c r="I20" s="808"/>
      <c r="J20" s="808"/>
      <c r="K20" s="808"/>
      <c r="L20" s="808"/>
      <c r="M20" s="808"/>
      <c r="N20" s="808"/>
      <c r="O20" s="808"/>
      <c r="P20" s="808"/>
      <c r="Q20" s="808"/>
      <c r="R20" s="808"/>
      <c r="S20" s="808"/>
      <c r="T20" s="808"/>
      <c r="U20" s="808"/>
      <c r="V20" s="808"/>
      <c r="W20" s="3724" t="s">
        <v>371</v>
      </c>
      <c r="X20" s="5350" t="s">
        <v>905</v>
      </c>
      <c r="Y20" s="9472" t="str">
        <f>V69</f>
        <v/>
      </c>
      <c r="Z20" s="9472"/>
      <c r="AA20" s="9472"/>
      <c r="AB20" s="9472"/>
      <c r="AC20" s="5351" t="s">
        <v>906</v>
      </c>
      <c r="AD20" s="1129"/>
      <c r="AE20" s="9540">
        <f>IF(Y20="",0,Y20)</f>
        <v>0</v>
      </c>
      <c r="AF20" s="9541"/>
      <c r="AG20" s="9541"/>
      <c r="AH20" s="9541"/>
      <c r="AI20" s="9541"/>
      <c r="AJ20" s="9541"/>
      <c r="AK20" s="461"/>
      <c r="AL20" s="1376"/>
      <c r="AM20" s="23" t="s">
        <v>1062</v>
      </c>
      <c r="AN20" s="808"/>
      <c r="AO20" s="2633" t="b">
        <f>AND(X17="",Y18="",Y19="")</f>
        <v>1</v>
      </c>
      <c r="AP20" s="3837"/>
      <c r="AQ20" s="1150"/>
      <c r="AR20" s="808"/>
      <c r="AS20" s="9563"/>
      <c r="AT20" s="5766"/>
      <c r="AU20" s="1598"/>
      <c r="AV20" s="5772"/>
      <c r="AW20" s="808"/>
      <c r="AX20" s="5768"/>
      <c r="AY20" s="2038"/>
      <c r="AZ20" s="2038"/>
      <c r="BA20" s="2038"/>
      <c r="BB20" s="2038"/>
      <c r="BC20" s="2038"/>
      <c r="BD20" s="2038"/>
      <c r="BE20" s="2038"/>
      <c r="BF20" s="2038"/>
      <c r="BG20" s="2038"/>
      <c r="BH20" s="39"/>
      <c r="BI20" s="39"/>
    </row>
    <row r="21" spans="1:61" s="2690" customFormat="1" ht="16.5" customHeight="1" thickBot="1">
      <c r="A21" s="461"/>
      <c r="B21" s="1121"/>
      <c r="C21" s="5352" t="s">
        <v>4344</v>
      </c>
      <c r="D21" s="998" t="s">
        <v>5436</v>
      </c>
      <c r="E21" s="1080"/>
      <c r="F21" s="2190"/>
      <c r="G21" s="2190"/>
      <c r="H21" s="1121"/>
      <c r="I21" s="1121"/>
      <c r="J21" s="1121"/>
      <c r="K21" s="1121"/>
      <c r="L21" s="1121"/>
      <c r="M21" s="1121"/>
      <c r="N21" s="1121"/>
      <c r="O21" s="1121"/>
      <c r="P21" s="1121"/>
      <c r="Q21" s="1121"/>
      <c r="R21" s="1121"/>
      <c r="S21" s="1121"/>
      <c r="T21" s="1121"/>
      <c r="U21" s="1121"/>
      <c r="V21" s="1121"/>
      <c r="W21" s="1121"/>
      <c r="X21" s="1121"/>
      <c r="Y21" s="1121"/>
      <c r="Z21" s="1121"/>
      <c r="AA21" s="1121"/>
      <c r="AB21" s="1121"/>
      <c r="AC21" s="2391"/>
      <c r="AD21" s="3724" t="s">
        <v>373</v>
      </c>
      <c r="AE21" s="9473" t="str">
        <f>IF(AM21&lt;&gt;"",ROUND(AM21,0),IF(AND(X18="",Y19="",Y20=""),"",SUM(AE18,-AE19,-AE20)))</f>
        <v/>
      </c>
      <c r="AF21" s="9474"/>
      <c r="AG21" s="9474"/>
      <c r="AH21" s="9474"/>
      <c r="AI21" s="9474"/>
      <c r="AJ21" s="9474"/>
      <c r="AK21" s="461"/>
      <c r="AL21" s="1376"/>
      <c r="AM21" s="5765"/>
      <c r="AN21" s="808"/>
      <c r="AO21" s="2633" t="b">
        <f>AND(AO16,AO20)</f>
        <v>1</v>
      </c>
      <c r="AP21" s="3837"/>
      <c r="AQ21" s="1150"/>
      <c r="AR21" s="808"/>
      <c r="AS21" s="9562" t="s">
        <v>5445</v>
      </c>
      <c r="AT21" s="808"/>
      <c r="AU21" s="1598"/>
      <c r="AV21" s="5772"/>
      <c r="AW21" s="808"/>
      <c r="AX21" s="5768"/>
      <c r="AY21" s="2038"/>
      <c r="AZ21" s="2038"/>
      <c r="BA21" s="2038"/>
      <c r="BB21" s="2038"/>
      <c r="BC21" s="2038"/>
      <c r="BD21" s="2038"/>
      <c r="BE21" s="2038"/>
      <c r="BF21" s="2038"/>
      <c r="BG21" s="2038"/>
      <c r="BH21" s="39"/>
      <c r="BI21" s="39"/>
    </row>
    <row r="22" spans="1:61" s="2690" customFormat="1" ht="20.25" customHeight="1" thickBot="1">
      <c r="A22" s="461"/>
      <c r="B22" s="808"/>
      <c r="C22" s="3644" t="s">
        <v>256</v>
      </c>
      <c r="D22" s="1108" t="s">
        <v>5634</v>
      </c>
      <c r="E22" s="808"/>
      <c r="F22" s="808"/>
      <c r="G22" s="808"/>
      <c r="H22" s="808"/>
      <c r="I22" s="808"/>
      <c r="J22" s="808"/>
      <c r="K22" s="808"/>
      <c r="L22" s="808"/>
      <c r="M22" s="808"/>
      <c r="N22" s="808"/>
      <c r="O22" s="808"/>
      <c r="P22" s="5823"/>
      <c r="Q22" s="808"/>
      <c r="R22" s="1108"/>
      <c r="S22" s="1108"/>
      <c r="T22" s="808"/>
      <c r="U22" s="808"/>
      <c r="V22" s="808"/>
      <c r="W22" s="808"/>
      <c r="X22" s="808"/>
      <c r="Y22" s="808"/>
      <c r="Z22" s="808"/>
      <c r="AA22" s="808"/>
      <c r="AB22" s="808"/>
      <c r="AC22" s="3281"/>
      <c r="AD22" s="2389"/>
      <c r="AE22" s="6912">
        <f>IF(AE21&lt;0,ABS(AE21),0)</f>
        <v>0</v>
      </c>
      <c r="AF22" s="6913"/>
      <c r="AG22" s="6913"/>
      <c r="AH22" s="6913"/>
      <c r="AI22" s="6913"/>
      <c r="AJ22" s="6913"/>
      <c r="AK22" s="461"/>
      <c r="AL22" s="2633"/>
      <c r="AM22" s="5985" t="str">
        <f>TaxYear-1&amp;" Unallowed CRD"</f>
        <v>2022 Unallowed CRD</v>
      </c>
      <c r="AN22" s="2633"/>
      <c r="AO22" s="5984" t="b">
        <f>AND(NOT(AO21),AE24&gt;=0)</f>
        <v>0</v>
      </c>
      <c r="AP22" s="2633"/>
      <c r="AQ22" s="1150"/>
      <c r="AR22" s="2173"/>
      <c r="AS22" s="9562"/>
      <c r="AT22" s="5766" t="str">
        <f>IF(NOT(AO32),"",IF(AND(AL6&lt;&gt;"",AL7&lt;&gt;""),SchSE_Deduction_Both,IF(AL6&lt;&gt;"",SchSE_Deduction_You,SchSE_Deduction_Sp)))</f>
        <v/>
      </c>
      <c r="AU22" s="1598"/>
      <c r="AV22" s="1151"/>
      <c r="AW22" s="4768"/>
      <c r="AX22" s="5768"/>
      <c r="AY22" s="2038"/>
      <c r="AZ22" s="2038"/>
      <c r="BA22" s="2038"/>
      <c r="BB22" s="2038"/>
      <c r="BC22" s="2038"/>
      <c r="BD22" s="2038"/>
      <c r="BE22" s="2038"/>
      <c r="BF22" s="2038"/>
      <c r="BG22" s="2038"/>
      <c r="BH22" s="39"/>
      <c r="BI22" s="39"/>
    </row>
    <row r="23" spans="1:61" s="2690" customFormat="1" ht="13.5" customHeight="1" thickBot="1">
      <c r="A23" s="461"/>
      <c r="B23" s="808"/>
      <c r="C23" s="808"/>
      <c r="D23" s="3172" t="s">
        <v>5636</v>
      </c>
      <c r="E23" s="808"/>
      <c r="F23" s="808"/>
      <c r="G23" s="808"/>
      <c r="H23" s="9419" t="str">
        <f>IF(AO22,"STOP HERE,","stop here,")</f>
        <v>stop here,</v>
      </c>
      <c r="I23" s="9419"/>
      <c r="J23" s="9419"/>
      <c r="K23" s="9419"/>
      <c r="L23" s="3172" t="s">
        <v>5637</v>
      </c>
      <c r="M23" s="808"/>
      <c r="N23" s="808"/>
      <c r="O23" s="808"/>
      <c r="P23" s="808"/>
      <c r="Q23" s="808"/>
      <c r="R23" s="808"/>
      <c r="S23" s="808"/>
      <c r="T23" s="808"/>
      <c r="U23" s="808"/>
      <c r="V23" s="808"/>
      <c r="W23" s="808"/>
      <c r="X23" s="808"/>
      <c r="Y23" s="808"/>
      <c r="Z23" s="808"/>
      <c r="AA23" s="808"/>
      <c r="AB23" s="808"/>
      <c r="AC23" s="1151"/>
      <c r="AD23" s="2387"/>
      <c r="AE23" s="900"/>
      <c r="AF23" s="900"/>
      <c r="AG23" s="900"/>
      <c r="AH23" s="900"/>
      <c r="AI23" s="900"/>
      <c r="AJ23" s="900"/>
      <c r="AK23" s="461"/>
      <c r="AL23" s="1376"/>
      <c r="AM23" s="5765"/>
      <c r="AN23" s="808"/>
      <c r="AO23" s="3837"/>
      <c r="AP23" s="3837"/>
      <c r="AQ23" s="1150"/>
      <c r="AR23" s="2173"/>
      <c r="AS23" s="6279" t="s">
        <v>5477</v>
      </c>
      <c r="AT23" s="2173"/>
      <c r="AU23" s="5796"/>
      <c r="AV23" s="1151"/>
      <c r="AW23" s="808"/>
      <c r="AX23" s="5768"/>
      <c r="AY23" s="2038"/>
      <c r="AZ23" s="2038"/>
      <c r="BA23" s="2038"/>
      <c r="BB23" s="2038"/>
      <c r="BC23" s="2038"/>
      <c r="BD23" s="2038"/>
      <c r="BE23" s="2038"/>
      <c r="BF23" s="2038"/>
      <c r="BG23" s="2038"/>
      <c r="BH23" s="39"/>
      <c r="BI23" s="39"/>
    </row>
    <row r="24" spans="1:61" s="2690" customFormat="1" ht="18.75" customHeight="1" thickBot="1">
      <c r="A24" s="461"/>
      <c r="B24" s="808"/>
      <c r="C24" s="808"/>
      <c r="D24" s="5069" t="s">
        <v>5635</v>
      </c>
      <c r="E24" s="808"/>
      <c r="F24" s="808"/>
      <c r="G24" s="808"/>
      <c r="H24" s="808"/>
      <c r="I24" s="808"/>
      <c r="J24" s="808"/>
      <c r="K24" s="808"/>
      <c r="L24" s="808"/>
      <c r="M24" s="808"/>
      <c r="N24" s="808"/>
      <c r="O24" s="808"/>
      <c r="P24" s="808"/>
      <c r="Q24" s="808"/>
      <c r="R24" s="808"/>
      <c r="S24" s="808"/>
      <c r="T24" s="808"/>
      <c r="U24" s="808"/>
      <c r="V24" s="808"/>
      <c r="W24" s="808"/>
      <c r="X24" s="808"/>
      <c r="Y24" s="808"/>
      <c r="Z24" s="808"/>
      <c r="AA24" s="808"/>
      <c r="AB24" s="808"/>
      <c r="AC24" s="808"/>
      <c r="AD24" s="3724">
        <v>3</v>
      </c>
      <c r="AE24" s="9473" t="str">
        <f>IF(AM24&lt;&gt;"",ROUND(AM24,0),IF(AND(X13="",Y14="",Y15="",X18="",Y19="",Y20=""),"",SUM(AE16,AE21,-ROUND(AM23,0))))</f>
        <v/>
      </c>
      <c r="AF24" s="9474"/>
      <c r="AG24" s="9474"/>
      <c r="AH24" s="9474"/>
      <c r="AI24" s="9474"/>
      <c r="AJ24" s="9474"/>
      <c r="AK24" s="461"/>
      <c r="AL24" s="1376"/>
      <c r="AM24" s="5765"/>
      <c r="AN24" s="808"/>
      <c r="AO24" s="3837"/>
      <c r="AP24" s="3837"/>
      <c r="AQ24" s="1150"/>
      <c r="AR24" s="2173"/>
      <c r="AS24" s="6279"/>
      <c r="AT24" s="9349"/>
      <c r="AU24" s="2173"/>
      <c r="AV24" s="1151"/>
      <c r="AW24" s="808"/>
      <c r="AX24" s="5768"/>
      <c r="AY24" s="2038"/>
      <c r="AZ24" s="2038"/>
      <c r="BA24" s="2038"/>
      <c r="BB24" s="2038"/>
      <c r="BC24" s="2038"/>
      <c r="BD24" s="2038"/>
      <c r="BE24" s="2038"/>
      <c r="BF24" s="2038"/>
      <c r="BG24" s="2038"/>
      <c r="BH24" s="39"/>
      <c r="BI24" s="39"/>
    </row>
    <row r="25" spans="1:61" s="2690" customFormat="1" ht="8.25" customHeight="1">
      <c r="A25" s="461"/>
      <c r="B25" s="808"/>
      <c r="C25" s="808"/>
      <c r="D25" s="808"/>
      <c r="E25" s="808"/>
      <c r="F25" s="808"/>
      <c r="G25" s="808"/>
      <c r="H25" s="808"/>
      <c r="I25" s="808"/>
      <c r="J25" s="808"/>
      <c r="K25" s="808"/>
      <c r="L25" s="808"/>
      <c r="M25" s="808"/>
      <c r="N25" s="808"/>
      <c r="O25" s="808"/>
      <c r="P25" s="808"/>
      <c r="Q25" s="808"/>
      <c r="R25" s="808"/>
      <c r="S25" s="808"/>
      <c r="T25" s="808"/>
      <c r="U25" s="808"/>
      <c r="V25" s="808"/>
      <c r="W25" s="808"/>
      <c r="X25" s="808"/>
      <c r="Y25" s="808"/>
      <c r="Z25" s="808"/>
      <c r="AA25" s="808"/>
      <c r="AB25" s="808"/>
      <c r="AC25" s="2645"/>
      <c r="AD25" s="1142"/>
      <c r="AE25" s="9398">
        <f>IF(PassiveIncomeLoss&lt;0,ABS(PassiveIncomeLoss),0)</f>
        <v>0</v>
      </c>
      <c r="AF25" s="9398"/>
      <c r="AG25" s="9398"/>
      <c r="AH25" s="9398"/>
      <c r="AI25" s="9398"/>
      <c r="AJ25" s="9398"/>
      <c r="AK25" s="461"/>
      <c r="AL25" s="1376"/>
      <c r="AM25" s="3431"/>
      <c r="AN25" s="808"/>
      <c r="AO25" s="3837"/>
      <c r="AP25" s="3837"/>
      <c r="AQ25" s="1150"/>
      <c r="AR25" s="808"/>
      <c r="AS25" s="6279"/>
      <c r="AT25" s="6729"/>
      <c r="AU25" s="808"/>
      <c r="AV25" s="1151" t="s">
        <v>2181</v>
      </c>
      <c r="AW25" s="808"/>
      <c r="AX25" s="5768"/>
      <c r="AY25" s="2038"/>
      <c r="AZ25" s="2038"/>
      <c r="BA25" s="2038"/>
      <c r="BB25" s="2038"/>
      <c r="BC25" s="2038"/>
      <c r="BD25" s="2038"/>
      <c r="BE25" s="2038"/>
      <c r="BF25" s="2038"/>
      <c r="BG25" s="2038"/>
      <c r="BH25" s="39"/>
      <c r="BI25" s="39"/>
    </row>
    <row r="26" spans="1:61" s="2690" customFormat="1" ht="13.5" customHeight="1">
      <c r="A26" s="461"/>
      <c r="B26" s="808"/>
      <c r="C26" s="808"/>
      <c r="D26" s="1108" t="s">
        <v>4349</v>
      </c>
      <c r="E26" s="1108"/>
      <c r="F26" s="1108"/>
      <c r="G26" s="1108"/>
      <c r="H26" s="1108"/>
      <c r="I26" s="1108"/>
      <c r="J26" s="4069" t="s">
        <v>1806</v>
      </c>
      <c r="K26" s="1108" t="s">
        <v>4350</v>
      </c>
      <c r="L26" s="1108"/>
      <c r="M26" s="808"/>
      <c r="N26" s="808"/>
      <c r="O26" s="808"/>
      <c r="P26" s="808"/>
      <c r="Q26" s="808"/>
      <c r="R26" s="808"/>
      <c r="S26" s="808"/>
      <c r="T26" s="808"/>
      <c r="U26" s="808"/>
      <c r="V26" s="808"/>
      <c r="W26" s="808"/>
      <c r="X26" s="808"/>
      <c r="Y26" s="808"/>
      <c r="Z26" s="808"/>
      <c r="AA26" s="808"/>
      <c r="AB26" s="808"/>
      <c r="AC26" s="2645"/>
      <c r="AD26" s="808"/>
      <c r="AE26" s="8168"/>
      <c r="AF26" s="8168"/>
      <c r="AG26" s="8168"/>
      <c r="AH26" s="8168"/>
      <c r="AI26" s="8168"/>
      <c r="AJ26" s="8168"/>
      <c r="AK26" s="461"/>
      <c r="AL26" s="808"/>
      <c r="AM26" s="808"/>
      <c r="AN26" s="1376"/>
      <c r="AO26" s="4768" t="b">
        <f>AE16&lt;0</f>
        <v>0</v>
      </c>
      <c r="AP26" s="4768"/>
      <c r="AQ26" s="1150"/>
      <c r="AR26" s="2173"/>
      <c r="AS26" s="2648"/>
      <c r="AT26" s="2173"/>
      <c r="AU26" s="2173"/>
      <c r="AV26" s="1151"/>
      <c r="AW26" s="808"/>
      <c r="AX26" s="5768"/>
      <c r="AY26" s="2038"/>
      <c r="AZ26" s="2038"/>
      <c r="BA26" s="2038"/>
      <c r="BB26" s="2038"/>
      <c r="BC26" s="2038"/>
      <c r="BD26" s="2038"/>
      <c r="BE26" s="2038"/>
      <c r="BF26" s="2038"/>
      <c r="BG26" s="2038"/>
      <c r="BH26" s="39"/>
      <c r="BI26" s="39"/>
    </row>
    <row r="27" spans="1:61" s="2690" customFormat="1" ht="13.5" customHeight="1">
      <c r="A27" s="461"/>
      <c r="B27" s="808"/>
      <c r="C27" s="3644"/>
      <c r="D27" s="1108"/>
      <c r="E27" s="1108"/>
      <c r="F27" s="1108"/>
      <c r="G27" s="1108"/>
      <c r="H27" s="1108"/>
      <c r="I27" s="1108"/>
      <c r="J27" s="4069" t="s">
        <v>1806</v>
      </c>
      <c r="K27" s="1108" t="s">
        <v>4351</v>
      </c>
      <c r="L27" s="1108"/>
      <c r="M27" s="892"/>
      <c r="N27" s="892"/>
      <c r="O27" s="892"/>
      <c r="P27" s="892"/>
      <c r="Q27" s="892"/>
      <c r="R27" s="892"/>
      <c r="S27" s="892"/>
      <c r="T27" s="892"/>
      <c r="U27" s="892"/>
      <c r="V27" s="892"/>
      <c r="W27" s="1128"/>
      <c r="X27" s="808"/>
      <c r="Y27" s="808"/>
      <c r="Z27" s="808"/>
      <c r="AA27" s="808"/>
      <c r="AB27" s="808"/>
      <c r="AC27" s="808"/>
      <c r="AD27" s="1376"/>
      <c r="AE27" s="9476"/>
      <c r="AF27" s="9477"/>
      <c r="AG27" s="9477"/>
      <c r="AH27" s="9477"/>
      <c r="AI27" s="9477"/>
      <c r="AJ27" s="9477"/>
      <c r="AK27" s="461"/>
      <c r="AL27" s="808"/>
      <c r="AM27" s="808"/>
      <c r="AN27" s="1376"/>
      <c r="AO27" s="4768" t="b">
        <f>AND(AE21&lt;0,AE16&gt;=0)</f>
        <v>0</v>
      </c>
      <c r="AP27" s="4768"/>
      <c r="AQ27" s="1150"/>
      <c r="AR27" s="808"/>
      <c r="AS27" s="9559" t="s">
        <v>5447</v>
      </c>
      <c r="AT27" s="2173"/>
      <c r="AU27" s="2173"/>
      <c r="AV27" s="1151"/>
      <c r="AW27" s="808"/>
      <c r="AX27" s="5768"/>
      <c r="AY27" s="2038"/>
      <c r="AZ27" s="2038"/>
      <c r="BA27" s="2038"/>
      <c r="BB27" s="2038"/>
      <c r="BC27" s="2038"/>
      <c r="BD27" s="2038"/>
      <c r="BE27" s="2038"/>
      <c r="BF27" s="2038"/>
      <c r="BG27" s="2038"/>
      <c r="BH27" s="39"/>
      <c r="BI27" s="39"/>
    </row>
    <row r="28" spans="1:61" s="2690" customFormat="1" ht="18" customHeight="1">
      <c r="A28" s="461"/>
      <c r="B28" s="1108" t="s">
        <v>4352</v>
      </c>
      <c r="C28" s="3644"/>
      <c r="D28" s="2112"/>
      <c r="E28" s="892"/>
      <c r="F28" s="892"/>
      <c r="G28" s="892"/>
      <c r="H28" s="892"/>
      <c r="I28" s="892"/>
      <c r="J28" s="892"/>
      <c r="K28" s="892"/>
      <c r="L28" s="892"/>
      <c r="M28" s="892"/>
      <c r="N28" s="892"/>
      <c r="O28" s="892"/>
      <c r="P28" s="892"/>
      <c r="Q28" s="892"/>
      <c r="R28" s="892"/>
      <c r="S28" s="892"/>
      <c r="T28" s="892"/>
      <c r="U28" s="892"/>
      <c r="V28" s="892"/>
      <c r="W28" s="808"/>
      <c r="X28" s="808"/>
      <c r="Y28" s="808"/>
      <c r="Z28" s="808"/>
      <c r="AA28" s="808"/>
      <c r="AB28" s="808"/>
      <c r="AC28" s="808"/>
      <c r="AD28" s="808"/>
      <c r="AE28" s="900"/>
      <c r="AF28" s="900"/>
      <c r="AG28" s="900"/>
      <c r="AH28" s="900"/>
      <c r="AI28" s="900"/>
      <c r="AJ28" s="900"/>
      <c r="AK28" s="461"/>
      <c r="AL28" s="9546" t="str">
        <f>IF(AO22,"Stop here.",IF(AO28,"Do not complete",IF(AO27,"Skip Part II,",IF(AO26,"Go to Part II.",""))))</f>
        <v/>
      </c>
      <c r="AM28" s="9546"/>
      <c r="AN28" s="9546"/>
      <c r="AO28" s="1893" t="b">
        <f>AND(File_Marr_Sep&lt;&gt;"",NOT(LivedApart))</f>
        <v>0</v>
      </c>
      <c r="AP28" s="5790"/>
      <c r="AQ28" s="1150"/>
      <c r="AR28" s="808"/>
      <c r="AS28" s="9559"/>
      <c r="AT28" s="5766"/>
      <c r="AU28" s="808"/>
      <c r="AV28" s="5772"/>
      <c r="AW28" s="5763"/>
      <c r="AX28" s="5768"/>
      <c r="AY28" s="2038"/>
      <c r="AZ28" s="2038"/>
      <c r="BA28" s="2038"/>
      <c r="BB28" s="2038"/>
      <c r="BC28" s="2038"/>
      <c r="BD28" s="2038"/>
      <c r="BE28" s="2038"/>
      <c r="BF28" s="2038"/>
      <c r="BG28" s="2038"/>
      <c r="BH28" s="39"/>
      <c r="BI28" s="39"/>
    </row>
    <row r="29" spans="1:61" s="2690" customFormat="1" ht="18" customHeight="1">
      <c r="A29" s="461"/>
      <c r="B29" s="3172" t="s">
        <v>4353</v>
      </c>
      <c r="C29" s="3045"/>
      <c r="D29" s="2112"/>
      <c r="E29" s="892"/>
      <c r="F29" s="892"/>
      <c r="G29" s="892"/>
      <c r="H29" s="892"/>
      <c r="I29" s="892"/>
      <c r="J29" s="892"/>
      <c r="K29" s="892"/>
      <c r="L29" s="892"/>
      <c r="M29" s="892"/>
      <c r="N29" s="892"/>
      <c r="O29" s="892"/>
      <c r="P29" s="892"/>
      <c r="Q29" s="892"/>
      <c r="R29" s="892"/>
      <c r="S29" s="892"/>
      <c r="T29" s="892"/>
      <c r="U29" s="892"/>
      <c r="V29" s="892"/>
      <c r="W29" s="808"/>
      <c r="X29" s="808"/>
      <c r="Y29" s="808"/>
      <c r="Z29" s="808"/>
      <c r="AA29" s="808"/>
      <c r="AB29" s="808"/>
      <c r="AC29" s="808"/>
      <c r="AD29" s="808"/>
      <c r="AE29" s="900"/>
      <c r="AF29" s="900"/>
      <c r="AG29" s="900"/>
      <c r="AH29" s="900"/>
      <c r="AI29" s="900"/>
      <c r="AJ29" s="900"/>
      <c r="AK29" s="461"/>
      <c r="AL29" s="9370" t="str">
        <f>IF(AO22,"",IF(AO27,"and go to",IF(AO28,"Part II;","")))</f>
        <v/>
      </c>
      <c r="AM29" s="9370"/>
      <c r="AN29" s="9370"/>
      <c r="AO29" s="5791"/>
      <c r="AP29" s="5791"/>
      <c r="AQ29" s="1150"/>
      <c r="AR29" s="808"/>
      <c r="AS29" s="808"/>
      <c r="AT29" s="808"/>
      <c r="AU29" s="808"/>
      <c r="AV29" s="5772"/>
      <c r="AW29" s="5764"/>
      <c r="AX29" s="5768"/>
      <c r="AY29" s="2038"/>
      <c r="AZ29" s="2038"/>
      <c r="BA29" s="2038"/>
      <c r="BB29" s="2038"/>
      <c r="BC29" s="2038"/>
      <c r="BD29" s="2038"/>
      <c r="BE29" s="2038"/>
      <c r="BF29" s="2038"/>
      <c r="BG29" s="2038"/>
      <c r="BH29" s="39"/>
      <c r="BI29" s="39"/>
    </row>
    <row r="30" spans="1:61" s="2690" customFormat="1" ht="19.5" customHeight="1">
      <c r="A30" s="461"/>
      <c r="B30" s="8698" t="s">
        <v>982</v>
      </c>
      <c r="C30" s="8698"/>
      <c r="D30" s="3593"/>
      <c r="E30" s="9475" t="s">
        <v>4354</v>
      </c>
      <c r="F30" s="9475"/>
      <c r="G30" s="9475"/>
      <c r="H30" s="9475"/>
      <c r="I30" s="9475"/>
      <c r="J30" s="9475"/>
      <c r="K30" s="9475"/>
      <c r="L30" s="9475"/>
      <c r="M30" s="9475"/>
      <c r="N30" s="9475"/>
      <c r="O30" s="9475"/>
      <c r="P30" s="9475"/>
      <c r="Q30" s="9475"/>
      <c r="R30" s="9475"/>
      <c r="S30" s="9475"/>
      <c r="T30" s="9475"/>
      <c r="U30" s="9475"/>
      <c r="V30" s="9475"/>
      <c r="W30" s="9475"/>
      <c r="X30" s="9475"/>
      <c r="Y30" s="9475"/>
      <c r="Z30" s="9475"/>
      <c r="AA30" s="9475"/>
      <c r="AB30" s="9475"/>
      <c r="AC30" s="9475"/>
      <c r="AD30" s="9475"/>
      <c r="AE30" s="9475"/>
      <c r="AF30" s="9475"/>
      <c r="AG30" s="9475"/>
      <c r="AH30" s="9475"/>
      <c r="AI30" s="9475"/>
      <c r="AJ30" s="9475"/>
      <c r="AK30" s="461"/>
      <c r="AL30" s="9370" t="str">
        <f>IF(AO22,"",IF(AO28,"Go to Line 10.",IF(AO27,"Line 10.","")))</f>
        <v/>
      </c>
      <c r="AM30" s="9370"/>
      <c r="AN30" s="9370"/>
      <c r="AO30" s="5791"/>
      <c r="AP30" s="5791"/>
      <c r="AQ30" s="1150"/>
      <c r="AR30" s="808"/>
      <c r="AS30" s="5795" t="s">
        <v>5448</v>
      </c>
      <c r="AT30" s="5766"/>
      <c r="AU30" s="808"/>
      <c r="AV30" s="5772"/>
      <c r="AW30" s="5764"/>
      <c r="AX30" s="5768"/>
      <c r="AY30" s="2038"/>
      <c r="AZ30" s="2038"/>
      <c r="BA30" s="2038"/>
      <c r="BB30" s="2038"/>
      <c r="BC30" s="2038"/>
      <c r="BD30" s="2038"/>
      <c r="BE30" s="2038"/>
      <c r="BF30" s="2038"/>
      <c r="BG30" s="2038"/>
      <c r="BH30" s="39"/>
      <c r="BI30" s="39"/>
    </row>
    <row r="31" spans="1:61" s="2690" customFormat="1" ht="15" customHeight="1">
      <c r="A31" s="461"/>
      <c r="B31" s="1121"/>
      <c r="C31" s="5353"/>
      <c r="D31" s="2190"/>
      <c r="E31" s="998" t="s">
        <v>5441</v>
      </c>
      <c r="F31" s="1260"/>
      <c r="G31" s="1260"/>
      <c r="H31" s="1260"/>
      <c r="I31" s="1260"/>
      <c r="J31" s="1260"/>
      <c r="K31" s="1260"/>
      <c r="L31" s="1260"/>
      <c r="M31" s="1260"/>
      <c r="N31" s="1260"/>
      <c r="O31" s="1260"/>
      <c r="P31" s="1260"/>
      <c r="Q31" s="1260"/>
      <c r="R31" s="1260"/>
      <c r="S31" s="1260"/>
      <c r="T31" s="1260"/>
      <c r="U31" s="4063"/>
      <c r="V31" s="5354"/>
      <c r="W31" s="1121"/>
      <c r="X31" s="1121"/>
      <c r="Y31" s="1121"/>
      <c r="Z31" s="1121"/>
      <c r="AA31" s="1121"/>
      <c r="AB31" s="1121"/>
      <c r="AC31" s="1121"/>
      <c r="AD31" s="1121"/>
      <c r="AE31" s="1121"/>
      <c r="AF31" s="1121"/>
      <c r="AG31" s="1121"/>
      <c r="AH31" s="1121"/>
      <c r="AI31" s="1121"/>
      <c r="AJ31" s="1121"/>
      <c r="AK31" s="461"/>
      <c r="AL31" s="900"/>
      <c r="AM31" s="23" t="s">
        <v>1113</v>
      </c>
      <c r="AN31" s="808"/>
      <c r="AO31" s="3837"/>
      <c r="AP31" s="3837"/>
      <c r="AQ31" s="1150"/>
      <c r="AR31" s="808"/>
      <c r="AS31" s="9562" t="s">
        <v>5449</v>
      </c>
      <c r="AT31" s="808"/>
      <c r="AU31" s="808"/>
      <c r="AV31" s="1151"/>
      <c r="AW31" s="808"/>
      <c r="AX31" s="5768"/>
      <c r="AY31" s="2038"/>
      <c r="AZ31" s="2038"/>
      <c r="BA31" s="2038"/>
      <c r="BB31" s="2038"/>
      <c r="BC31" s="2038"/>
      <c r="BD31" s="2038"/>
      <c r="BE31" s="2038"/>
      <c r="BF31" s="2038"/>
      <c r="BG31" s="2038"/>
      <c r="BH31" s="39"/>
      <c r="BI31" s="39"/>
    </row>
    <row r="32" spans="1:61" s="2690" customFormat="1" ht="18" customHeight="1" thickBot="1">
      <c r="A32" s="461"/>
      <c r="B32" s="808"/>
      <c r="C32" s="3644" t="s">
        <v>259</v>
      </c>
      <c r="D32" s="1108" t="s">
        <v>5438</v>
      </c>
      <c r="E32" s="808"/>
      <c r="F32" s="808"/>
      <c r="G32" s="808"/>
      <c r="H32" s="808"/>
      <c r="I32" s="808"/>
      <c r="J32" s="808"/>
      <c r="K32" s="808"/>
      <c r="L32" s="808"/>
      <c r="M32" s="808"/>
      <c r="N32" s="808"/>
      <c r="O32" s="808"/>
      <c r="P32" s="808"/>
      <c r="Q32" s="808"/>
      <c r="R32" s="808"/>
      <c r="S32" s="808"/>
      <c r="T32" s="808"/>
      <c r="U32" s="808"/>
      <c r="V32" s="808"/>
      <c r="W32" s="808"/>
      <c r="X32" s="808"/>
      <c r="Y32" s="808"/>
      <c r="Z32" s="808"/>
      <c r="AA32" s="808"/>
      <c r="AB32" s="808"/>
      <c r="AC32" s="3281" t="s">
        <v>740</v>
      </c>
      <c r="AD32" s="3724">
        <v>4</v>
      </c>
      <c r="AE32" s="9473" t="str">
        <f>IF(NOT(AO32),"",MIN(AE17,AE25))</f>
        <v/>
      </c>
      <c r="AF32" s="9474"/>
      <c r="AG32" s="9474"/>
      <c r="AH32" s="9474"/>
      <c r="AI32" s="9474"/>
      <c r="AJ32" s="9474"/>
      <c r="AK32" s="461"/>
      <c r="AL32" s="808"/>
      <c r="AM32" s="23" t="s">
        <v>1062</v>
      </c>
      <c r="AN32" s="1376"/>
      <c r="AO32" s="5767" t="b">
        <f>OR(AM33&lt;&gt;"",AM34&lt;&gt;"",AM39&lt;&gt;"",AND(NOT(AO22),AO26,NOT(AO27),NOT(AO28)))</f>
        <v>0</v>
      </c>
      <c r="AP32" s="5767"/>
      <c r="AQ32" s="1150"/>
      <c r="AR32" s="808"/>
      <c r="AS32" s="9562"/>
      <c r="AT32" s="808"/>
      <c r="AU32" s="808"/>
      <c r="AV32" s="1151"/>
      <c r="AW32" s="808"/>
      <c r="AX32" s="5768"/>
      <c r="AY32" s="2038"/>
      <c r="AZ32" s="2038"/>
      <c r="BA32" s="2038"/>
      <c r="BB32" s="2038"/>
      <c r="BC32" s="2038"/>
      <c r="BD32" s="2038"/>
      <c r="BE32" s="2038"/>
      <c r="BF32" s="2038"/>
      <c r="BG32" s="2038"/>
      <c r="BH32" s="39"/>
      <c r="BI32" s="39"/>
    </row>
    <row r="33" spans="1:61" s="2690" customFormat="1" ht="18" customHeight="1" thickBot="1">
      <c r="A33" s="461"/>
      <c r="B33" s="808"/>
      <c r="C33" s="3644" t="s">
        <v>261</v>
      </c>
      <c r="D33" s="1108" t="str">
        <f>"Enter "&amp;TEXT(AO33,"$0,000")&amp;". If married filing separately, see instructions"</f>
        <v>Enter $150,000. If married filing separately, see instructions</v>
      </c>
      <c r="E33" s="2112"/>
      <c r="F33" s="892"/>
      <c r="G33" s="892"/>
      <c r="H33" s="892"/>
      <c r="I33" s="892"/>
      <c r="J33" s="892"/>
      <c r="K33" s="892"/>
      <c r="L33" s="892"/>
      <c r="M33" s="892"/>
      <c r="N33" s="892"/>
      <c r="O33" s="892"/>
      <c r="P33" s="892"/>
      <c r="Q33" s="892"/>
      <c r="R33" s="892"/>
      <c r="S33" s="892"/>
      <c r="T33" s="892"/>
      <c r="U33" s="892"/>
      <c r="V33" s="2760" t="s">
        <v>746</v>
      </c>
      <c r="W33" s="3724">
        <v>5</v>
      </c>
      <c r="X33" s="9526" t="str">
        <f>IF(AM33&lt;&gt;"",ROUND(AM33,0),IF(OR(NOT(AO32),NumFileStatusBoxes&lt;&gt;1),"",IF(File_Marr_Sep&lt;&gt;"",AO34,AO33)))</f>
        <v/>
      </c>
      <c r="Y33" s="9527"/>
      <c r="Z33" s="9527"/>
      <c r="AA33" s="9527"/>
      <c r="AB33" s="9527"/>
      <c r="AC33" s="9528"/>
      <c r="AD33" s="1129"/>
      <c r="AE33" s="3422"/>
      <c r="AF33" s="900"/>
      <c r="AG33" s="900"/>
      <c r="AH33" s="900"/>
      <c r="AI33" s="900"/>
      <c r="AJ33" s="900"/>
      <c r="AK33" s="461"/>
      <c r="AL33" s="808"/>
      <c r="AM33" s="5765"/>
      <c r="AN33" s="900"/>
      <c r="AO33" s="5761">
        <v>150000</v>
      </c>
      <c r="AP33" s="5761"/>
      <c r="AQ33" s="1150"/>
      <c r="AR33" s="808"/>
      <c r="AS33" s="9562"/>
      <c r="AT33" s="5766"/>
      <c r="AU33" s="808"/>
      <c r="AV33" s="1151"/>
      <c r="AW33" s="808"/>
      <c r="AX33" s="5768"/>
      <c r="AY33" s="2038"/>
      <c r="AZ33" s="2038"/>
      <c r="BA33" s="2038"/>
      <c r="BB33" s="2038"/>
      <c r="BC33" s="2038"/>
      <c r="BD33" s="2038"/>
      <c r="BE33" s="2038"/>
      <c r="BF33" s="2038"/>
      <c r="BG33" s="2038"/>
      <c r="BH33" s="39"/>
      <c r="BI33" s="39"/>
    </row>
    <row r="34" spans="1:61" s="2690" customFormat="1" ht="18" customHeight="1" thickBot="1">
      <c r="A34" s="461"/>
      <c r="B34" s="808"/>
      <c r="C34" s="3644">
        <v>6</v>
      </c>
      <c r="D34" s="1108" t="s">
        <v>4355</v>
      </c>
      <c r="E34" s="2112"/>
      <c r="F34" s="892"/>
      <c r="G34" s="892"/>
      <c r="H34" s="892"/>
      <c r="I34" s="892"/>
      <c r="J34" s="892"/>
      <c r="K34" s="892"/>
      <c r="L34" s="892"/>
      <c r="M34" s="892"/>
      <c r="N34" s="892"/>
      <c r="O34" s="892"/>
      <c r="P34" s="892"/>
      <c r="Q34" s="892"/>
      <c r="R34" s="892"/>
      <c r="S34" s="892"/>
      <c r="T34" s="892"/>
      <c r="U34" s="892"/>
      <c r="V34" s="2760"/>
      <c r="W34" s="4426">
        <v>6</v>
      </c>
      <c r="X34" s="9529" t="str">
        <f>IF(AM34&lt;&gt;"",ROUND(AM34,0),IF(NOT(AO32),"",MAX(F8582_MAGI,0)))</f>
        <v/>
      </c>
      <c r="Y34" s="9530"/>
      <c r="Z34" s="9530"/>
      <c r="AA34" s="9530"/>
      <c r="AB34" s="9530"/>
      <c r="AC34" s="9531"/>
      <c r="AD34" s="1129"/>
      <c r="AE34" s="3422"/>
      <c r="AF34" s="900"/>
      <c r="AG34" s="900"/>
      <c r="AH34" s="900"/>
      <c r="AI34" s="900"/>
      <c r="AJ34" s="900"/>
      <c r="AK34" s="461"/>
      <c r="AL34" s="808"/>
      <c r="AM34" s="5765"/>
      <c r="AN34" s="3591"/>
      <c r="AO34" s="5761">
        <f>AO33/2</f>
        <v>75000</v>
      </c>
      <c r="AP34" s="5761"/>
      <c r="AQ34" s="1150"/>
      <c r="AR34" s="808"/>
      <c r="AS34" s="808"/>
      <c r="AT34" s="808"/>
      <c r="AU34" s="808"/>
      <c r="AV34" s="1151"/>
      <c r="AW34" s="808"/>
      <c r="AX34" s="5768"/>
      <c r="AY34" s="2038"/>
      <c r="AZ34" s="2038"/>
      <c r="BA34" s="2038"/>
      <c r="BB34" s="2038"/>
      <c r="BC34" s="2038"/>
      <c r="BD34" s="2038"/>
      <c r="BE34" s="2038"/>
      <c r="BF34" s="2038"/>
      <c r="BG34" s="2038"/>
      <c r="BH34" s="39"/>
      <c r="BI34" s="39"/>
    </row>
    <row r="35" spans="1:61" s="2690" customFormat="1" ht="18" customHeight="1">
      <c r="A35" s="461"/>
      <c r="B35" s="808"/>
      <c r="C35" s="3644"/>
      <c r="D35" s="1108" t="s">
        <v>5437</v>
      </c>
      <c r="E35" s="2112"/>
      <c r="F35" s="892"/>
      <c r="G35" s="892"/>
      <c r="H35" s="892"/>
      <c r="I35" s="892"/>
      <c r="J35" s="892"/>
      <c r="K35" s="892"/>
      <c r="L35" s="892"/>
      <c r="M35" s="892"/>
      <c r="N35" s="892"/>
      <c r="O35" s="892"/>
      <c r="P35" s="892"/>
      <c r="Q35" s="892"/>
      <c r="R35" s="892"/>
      <c r="S35" s="892"/>
      <c r="T35" s="892"/>
      <c r="U35" s="892"/>
      <c r="V35" s="892"/>
      <c r="W35" s="1129"/>
      <c r="X35" s="5770"/>
      <c r="Y35" s="5770"/>
      <c r="Z35" s="900"/>
      <c r="AA35" s="5770"/>
      <c r="AB35" s="5770"/>
      <c r="AC35" s="5771"/>
      <c r="AD35" s="1129"/>
      <c r="AE35" s="3422"/>
      <c r="AF35" s="900"/>
      <c r="AG35" s="900"/>
      <c r="AH35" s="900"/>
      <c r="AI35" s="900"/>
      <c r="AJ35" s="900"/>
      <c r="AK35" s="461"/>
      <c r="AL35" s="808"/>
      <c r="AM35" s="808"/>
      <c r="AN35" s="808"/>
      <c r="AO35" s="2633" t="b">
        <f>X34&gt;=X33</f>
        <v>1</v>
      </c>
      <c r="AP35" s="2633"/>
      <c r="AQ35" s="1150"/>
      <c r="AR35" s="808"/>
      <c r="AS35" s="5797" t="s">
        <v>5457</v>
      </c>
      <c r="AT35" s="808"/>
      <c r="AU35" s="5766" t="str">
        <f>IF(NOT(AO32),"",SUM(AU9,-SUM(AT12,AT14,AT16,AT18,AT20,AT22,AT24,AT28,AT30,AT33)))</f>
        <v/>
      </c>
      <c r="AV35" s="1151"/>
      <c r="AW35" s="808"/>
      <c r="AX35" s="5768"/>
      <c r="AY35" s="2038"/>
      <c r="AZ35" s="2038"/>
      <c r="BA35" s="2038"/>
      <c r="BB35" s="2038"/>
      <c r="BC35" s="2038"/>
      <c r="BD35" s="2038"/>
      <c r="BE35" s="2038"/>
      <c r="BF35" s="2038"/>
      <c r="BG35" s="2038"/>
      <c r="BH35" s="39"/>
      <c r="BI35" s="39"/>
    </row>
    <row r="36" spans="1:61" s="2690" customFormat="1" ht="18" customHeight="1">
      <c r="A36" s="461"/>
      <c r="B36" s="808"/>
      <c r="C36" s="3045"/>
      <c r="D36" s="5069" t="s">
        <v>4356</v>
      </c>
      <c r="E36" s="2112"/>
      <c r="F36" s="808"/>
      <c r="G36" s="808"/>
      <c r="H36" s="808"/>
      <c r="I36" s="808"/>
      <c r="J36" s="808"/>
      <c r="K36" s="808"/>
      <c r="L36" s="808"/>
      <c r="M36" s="808"/>
      <c r="N36" s="808"/>
      <c r="O36" s="808"/>
      <c r="P36" s="808"/>
      <c r="Q36" s="808"/>
      <c r="R36" s="808"/>
      <c r="S36" s="808"/>
      <c r="T36" s="808"/>
      <c r="U36" s="808"/>
      <c r="V36" s="2760"/>
      <c r="W36" s="1129"/>
      <c r="X36" s="808"/>
      <c r="Y36" s="808"/>
      <c r="Z36" s="808"/>
      <c r="AA36" s="808"/>
      <c r="AB36" s="808"/>
      <c r="AC36" s="1151"/>
      <c r="AD36" s="1129"/>
      <c r="AE36" s="3422"/>
      <c r="AF36" s="900"/>
      <c r="AG36" s="900"/>
      <c r="AH36" s="900"/>
      <c r="AI36" s="900"/>
      <c r="AJ36" s="900"/>
      <c r="AK36" s="461"/>
      <c r="AL36" s="808"/>
      <c r="AM36" s="808"/>
      <c r="AN36" s="3591"/>
      <c r="AO36" s="3837">
        <v>0.5</v>
      </c>
      <c r="AP36" s="3837"/>
      <c r="AQ36" s="1154"/>
      <c r="AR36" s="1121"/>
      <c r="AS36" s="5773"/>
      <c r="AT36" s="1121"/>
      <c r="AU36" s="1121"/>
      <c r="AV36" s="5774"/>
      <c r="AW36" s="808"/>
      <c r="AX36" s="5768"/>
      <c r="AY36" s="2038"/>
      <c r="AZ36" s="2038"/>
      <c r="BA36" s="2038"/>
      <c r="BB36" s="2038"/>
      <c r="BC36" s="2038"/>
      <c r="BD36" s="2038"/>
      <c r="BE36" s="2038"/>
      <c r="BF36" s="2038"/>
      <c r="BG36" s="2038"/>
      <c r="BH36" s="39"/>
      <c r="BI36" s="39"/>
    </row>
    <row r="37" spans="1:61" s="2690" customFormat="1" ht="18" customHeight="1">
      <c r="A37" s="461"/>
      <c r="B37" s="808"/>
      <c r="C37" s="3644">
        <v>7</v>
      </c>
      <c r="D37" s="1108" t="s">
        <v>4120</v>
      </c>
      <c r="E37" s="2112"/>
      <c r="F37" s="808"/>
      <c r="G37" s="808"/>
      <c r="H37" s="808"/>
      <c r="I37" s="808"/>
      <c r="J37" s="808"/>
      <c r="K37" s="808"/>
      <c r="L37" s="808"/>
      <c r="M37" s="808"/>
      <c r="N37" s="808"/>
      <c r="O37" s="808"/>
      <c r="P37" s="808"/>
      <c r="Q37" s="808"/>
      <c r="R37" s="808"/>
      <c r="S37" s="808"/>
      <c r="T37" s="808"/>
      <c r="U37" s="808"/>
      <c r="V37" s="2760" t="s">
        <v>665</v>
      </c>
      <c r="W37" s="3724">
        <v>7</v>
      </c>
      <c r="X37" s="9484" t="str">
        <f>IF(OR(NOT(AO32),AO35),"",SUM(X33,-X34))</f>
        <v/>
      </c>
      <c r="Y37" s="9485"/>
      <c r="Z37" s="9485"/>
      <c r="AA37" s="9485"/>
      <c r="AB37" s="9485"/>
      <c r="AC37" s="9486"/>
      <c r="AD37" s="1129"/>
      <c r="AE37" s="3422"/>
      <c r="AF37" s="900"/>
      <c r="AG37" s="900"/>
      <c r="AH37" s="900"/>
      <c r="AI37" s="900"/>
      <c r="AJ37" s="900"/>
      <c r="AK37" s="461"/>
      <c r="AL37" s="900"/>
      <c r="AM37" s="23" t="s">
        <v>1113</v>
      </c>
      <c r="AN37" s="808"/>
      <c r="AO37" s="5761">
        <v>25000</v>
      </c>
      <c r="AP37" s="5761"/>
      <c r="AQ37" s="808"/>
      <c r="AR37" s="2173"/>
      <c r="AS37" s="808"/>
      <c r="AT37" s="808"/>
      <c r="AU37" s="4960" t="b">
        <f>AND(AE16&lt;0,PassiveIncomeLoss&lt;0)</f>
        <v>0</v>
      </c>
      <c r="AV37" s="5762"/>
      <c r="AW37" s="808"/>
      <c r="AX37" s="5768"/>
      <c r="AY37" s="2038"/>
      <c r="AZ37" s="2038"/>
      <c r="BA37" s="2038"/>
      <c r="BB37" s="2038"/>
      <c r="BC37" s="2038"/>
      <c r="BD37" s="2038"/>
      <c r="BE37" s="2038"/>
      <c r="BF37" s="2038"/>
      <c r="BG37" s="2038"/>
      <c r="BH37" s="39"/>
      <c r="BI37" s="39"/>
    </row>
    <row r="38" spans="1:61" s="2690" customFormat="1" ht="18" customHeight="1" thickBot="1">
      <c r="A38" s="461"/>
      <c r="B38" s="808"/>
      <c r="C38" s="3644">
        <v>8</v>
      </c>
      <c r="D38" s="5069" t="str">
        <f>"Multiply line 7 by "&amp;TEXT(AO36,"0%")&amp;" ("&amp;TEXT(AO36,"0.00")&amp;")."</f>
        <v>Multiply line 7 by 50% (0.50).</v>
      </c>
      <c r="E38" s="2952"/>
      <c r="F38" s="808"/>
      <c r="G38" s="808"/>
      <c r="H38" s="808"/>
      <c r="I38" s="808"/>
      <c r="J38" s="808"/>
      <c r="K38" s="2112"/>
      <c r="L38" s="808"/>
      <c r="M38" s="808"/>
      <c r="N38" s="3340"/>
      <c r="O38" s="3340"/>
      <c r="P38" s="3452" t="s">
        <v>5439</v>
      </c>
      <c r="Q38" s="4137" t="str">
        <f>TEXT($AO$37,"$0,000")&amp;"."</f>
        <v>$25,000.</v>
      </c>
      <c r="R38" s="4137"/>
      <c r="S38" s="4137"/>
      <c r="T38" s="3340"/>
      <c r="U38" s="3340"/>
      <c r="V38" s="3340"/>
      <c r="W38" s="3340"/>
      <c r="X38" s="3340"/>
      <c r="Y38" s="3340"/>
      <c r="Z38" s="3340"/>
      <c r="AA38" s="3340"/>
      <c r="AB38" s="3340"/>
      <c r="AC38" s="5824" t="s">
        <v>4357</v>
      </c>
      <c r="AD38" s="5759">
        <v>8</v>
      </c>
      <c r="AE38" s="9484" t="str">
        <f>IF(OR(NOT(AO32),AO35),"",MIN(AO37,ROUND(X37*AO36,0)))</f>
        <v/>
      </c>
      <c r="AF38" s="9485"/>
      <c r="AG38" s="9485"/>
      <c r="AH38" s="9485"/>
      <c r="AI38" s="9485"/>
      <c r="AJ38" s="9485"/>
      <c r="AK38" s="461"/>
      <c r="AL38" s="23"/>
      <c r="AM38" s="23" t="s">
        <v>1062</v>
      </c>
      <c r="AN38" s="808"/>
      <c r="AO38" s="3837"/>
      <c r="AP38" s="3837"/>
      <c r="AQ38" s="9361" t="s">
        <v>5483</v>
      </c>
      <c r="AR38" s="9362"/>
      <c r="AS38" s="9362"/>
      <c r="AT38" s="9362"/>
      <c r="AU38" s="9362"/>
      <c r="AV38" s="9363"/>
      <c r="AW38" s="808"/>
      <c r="AX38" s="5768"/>
      <c r="AY38" s="2038"/>
      <c r="AZ38" s="2038"/>
      <c r="BA38" s="2038"/>
      <c r="BB38" s="2038"/>
      <c r="BC38" s="2038"/>
      <c r="BD38" s="2038"/>
      <c r="BE38" s="2038"/>
      <c r="BF38" s="2038"/>
      <c r="BG38" s="2038"/>
      <c r="BH38" s="39"/>
      <c r="BI38" s="39"/>
    </row>
    <row r="39" spans="1:61" s="2690" customFormat="1" ht="18" customHeight="1" thickBot="1">
      <c r="A39" s="461"/>
      <c r="B39" s="896"/>
      <c r="C39" s="5355">
        <v>9</v>
      </c>
      <c r="D39" s="5755" t="s">
        <v>5638</v>
      </c>
      <c r="E39" s="2122"/>
      <c r="F39" s="896"/>
      <c r="G39" s="896"/>
      <c r="H39" s="896"/>
      <c r="I39" s="896"/>
      <c r="J39" s="896"/>
      <c r="K39" s="896"/>
      <c r="L39" s="896"/>
      <c r="M39" s="5755" t="s">
        <v>5639</v>
      </c>
      <c r="N39" s="5814"/>
      <c r="O39" s="5814"/>
      <c r="P39" s="5814"/>
      <c r="Q39" s="5814"/>
      <c r="R39" s="5814"/>
      <c r="S39" s="5814"/>
      <c r="T39" s="5814"/>
      <c r="U39" s="5814"/>
      <c r="V39" s="5814"/>
      <c r="W39" s="5814"/>
      <c r="X39" s="5814"/>
      <c r="Y39" s="1128" t="s">
        <v>1171</v>
      </c>
      <c r="Z39" s="9352" t="str">
        <f>IF(NOT(AO54),".   .   .   .   .   .   ","CRD = "&amp;AU60&amp;"  ")</f>
        <v xml:space="preserve">.   .   .   .   .   .   </v>
      </c>
      <c r="AA39" s="9352"/>
      <c r="AB39" s="9352"/>
      <c r="AC39" s="9353"/>
      <c r="AD39" s="5760">
        <v>9</v>
      </c>
      <c r="AE39" s="9532" t="str">
        <f>IF(AM39&lt;&gt;"",ROUND(AM39,0),IF(AO54,AU61,IF(NOT(AO32),"",IF(AO35,0,MIN(AE32,AE38)))))</f>
        <v/>
      </c>
      <c r="AF39" s="9533"/>
      <c r="AG39" s="9533"/>
      <c r="AH39" s="9533"/>
      <c r="AI39" s="9533"/>
      <c r="AJ39" s="9533"/>
      <c r="AK39" s="461"/>
      <c r="AL39" s="900"/>
      <c r="AM39" s="5765"/>
      <c r="AN39" s="808"/>
      <c r="AO39" s="2633" t="b">
        <f>AND(AE16&gt;=0,PassiveIncomeLoss&lt;0)</f>
        <v>0</v>
      </c>
      <c r="AP39" s="3837"/>
      <c r="AQ39" s="9364"/>
      <c r="AR39" s="9365"/>
      <c r="AS39" s="9365"/>
      <c r="AT39" s="9365"/>
      <c r="AU39" s="9365"/>
      <c r="AV39" s="9366"/>
      <c r="AW39" s="808"/>
      <c r="AX39" s="5768"/>
      <c r="AY39" s="2038"/>
      <c r="AZ39" s="2038"/>
      <c r="BA39" s="2038"/>
      <c r="BB39" s="2038"/>
      <c r="BC39" s="2038"/>
      <c r="BD39" s="2038"/>
      <c r="BE39" s="2038"/>
      <c r="BF39" s="2038"/>
      <c r="BG39" s="2038"/>
      <c r="BH39" s="39"/>
      <c r="BI39" s="39"/>
    </row>
    <row r="40" spans="1:61" s="2690" customFormat="1" ht="19.5" customHeight="1">
      <c r="A40" s="461"/>
      <c r="B40" s="9450" t="s">
        <v>2243</v>
      </c>
      <c r="C40" s="9450"/>
      <c r="D40" s="1146"/>
      <c r="E40" s="5356" t="s">
        <v>4358</v>
      </c>
      <c r="F40" s="1147"/>
      <c r="G40" s="1147"/>
      <c r="H40" s="1147"/>
      <c r="I40" s="1147"/>
      <c r="J40" s="1147"/>
      <c r="K40" s="1147"/>
      <c r="L40" s="1147"/>
      <c r="M40" s="1147"/>
      <c r="N40" s="1147"/>
      <c r="O40" s="1147"/>
      <c r="P40" s="1147"/>
      <c r="Q40" s="1147"/>
      <c r="R40" s="1147"/>
      <c r="S40" s="1147"/>
      <c r="T40" s="1147"/>
      <c r="U40" s="1147"/>
      <c r="V40" s="1147"/>
      <c r="W40" s="1147"/>
      <c r="X40" s="1147"/>
      <c r="Y40" s="1147"/>
      <c r="Z40" s="1147"/>
      <c r="AA40" s="1147"/>
      <c r="AB40" s="1147"/>
      <c r="AC40" s="1147"/>
      <c r="AD40" s="1147"/>
      <c r="AE40" s="1147"/>
      <c r="AF40" s="1147"/>
      <c r="AG40" s="1147"/>
      <c r="AH40" s="1147"/>
      <c r="AI40" s="1147"/>
      <c r="AJ40" s="1147"/>
      <c r="AK40" s="461"/>
      <c r="AL40" s="3653"/>
      <c r="AM40" s="3653"/>
      <c r="AN40" s="3653"/>
      <c r="AO40" s="5792" t="b">
        <f>NOT(AO39)</f>
        <v>1</v>
      </c>
      <c r="AP40" s="5792"/>
      <c r="AQ40" s="1150"/>
      <c r="AR40" s="9350" t="s">
        <v>5484</v>
      </c>
      <c r="AS40" s="9350"/>
      <c r="AT40" s="9350"/>
      <c r="AU40" s="9350"/>
      <c r="AV40" s="5810"/>
      <c r="AW40" s="808"/>
      <c r="AX40" s="5768"/>
      <c r="AY40" s="2038"/>
      <c r="AZ40" s="2038"/>
      <c r="BA40" s="2038"/>
      <c r="BB40" s="2038"/>
      <c r="BC40" s="2038"/>
      <c r="BD40" s="2038"/>
      <c r="BE40" s="2038"/>
      <c r="BF40" s="2038"/>
      <c r="BG40" s="2038"/>
      <c r="BH40" s="39"/>
      <c r="BI40" s="39"/>
    </row>
    <row r="41" spans="1:61" s="2690" customFormat="1" ht="18" customHeight="1" thickBot="1">
      <c r="A41" s="461"/>
      <c r="B41" s="808"/>
      <c r="C41" s="1895">
        <v>10</v>
      </c>
      <c r="D41" s="1108" t="s">
        <v>4359</v>
      </c>
      <c r="E41" s="2112"/>
      <c r="F41" s="808"/>
      <c r="G41" s="808"/>
      <c r="H41" s="808"/>
      <c r="I41" s="808"/>
      <c r="J41" s="808"/>
      <c r="K41" s="808"/>
      <c r="L41" s="808"/>
      <c r="M41" s="808"/>
      <c r="N41" s="808"/>
      <c r="O41" s="808"/>
      <c r="P41" s="808"/>
      <c r="Q41" s="808"/>
      <c r="R41" s="808"/>
      <c r="S41" s="808"/>
      <c r="T41" s="808"/>
      <c r="U41" s="808"/>
      <c r="V41" s="808"/>
      <c r="W41" s="808"/>
      <c r="X41" s="808"/>
      <c r="Y41" s="808"/>
      <c r="Z41" s="808"/>
      <c r="AA41" s="808"/>
      <c r="AB41" s="808"/>
      <c r="AC41" s="3281" t="s">
        <v>705</v>
      </c>
      <c r="AD41" s="4426">
        <v>10</v>
      </c>
      <c r="AE41" s="9470" t="str">
        <f>IF(AO21,"",SUM(MAX(0,AE16),MAX(0,AE21)))</f>
        <v/>
      </c>
      <c r="AF41" s="9471"/>
      <c r="AG41" s="9471"/>
      <c r="AH41" s="9471"/>
      <c r="AI41" s="9471"/>
      <c r="AJ41" s="9471"/>
      <c r="AK41" s="461"/>
      <c r="AL41" s="808"/>
      <c r="AM41" s="808"/>
      <c r="AN41" s="808"/>
      <c r="AO41" s="5767"/>
      <c r="AP41" s="5767"/>
      <c r="AQ41" s="5778"/>
      <c r="AR41" s="9350"/>
      <c r="AS41" s="9350"/>
      <c r="AT41" s="9350"/>
      <c r="AU41" s="9350"/>
      <c r="AV41" s="5811"/>
      <c r="AW41" s="3653"/>
      <c r="AX41" s="5768"/>
      <c r="AY41" s="2038"/>
      <c r="AZ41" s="2038"/>
      <c r="BA41" s="2038"/>
      <c r="BB41" s="2038"/>
      <c r="BC41" s="2038"/>
      <c r="BD41" s="2038"/>
      <c r="BE41" s="2038"/>
      <c r="BF41" s="2038"/>
      <c r="BG41" s="2038"/>
      <c r="BH41" s="39"/>
      <c r="BI41" s="39"/>
    </row>
    <row r="42" spans="1:61" s="2690" customFormat="1" ht="18" customHeight="1">
      <c r="A42" s="461"/>
      <c r="B42" s="808"/>
      <c r="C42" s="3644" t="s">
        <v>272</v>
      </c>
      <c r="D42" s="3174" t="str">
        <f>"Total losses allowed from all passive activities for "&amp;TaxYear&amp;"."</f>
        <v>Total losses allowed from all passive activities for 2023.</v>
      </c>
      <c r="E42" s="2112"/>
      <c r="F42" s="808"/>
      <c r="G42" s="808"/>
      <c r="H42" s="808"/>
      <c r="I42" s="808"/>
      <c r="J42" s="808"/>
      <c r="K42" s="808"/>
      <c r="L42" s="808"/>
      <c r="M42" s="808"/>
      <c r="N42" s="808"/>
      <c r="O42" s="808"/>
      <c r="P42" s="892"/>
      <c r="Q42" s="892"/>
      <c r="R42" s="2112"/>
      <c r="S42" s="1108" t="s">
        <v>4360</v>
      </c>
      <c r="T42" s="808"/>
      <c r="U42" s="808"/>
      <c r="V42" s="808"/>
      <c r="W42" s="808"/>
      <c r="X42" s="808"/>
      <c r="Y42" s="808"/>
      <c r="Z42" s="808"/>
      <c r="AA42" s="808"/>
      <c r="AB42" s="808"/>
      <c r="AC42" s="808"/>
      <c r="AD42" s="1129"/>
      <c r="AE42" s="3422"/>
      <c r="AF42" s="900"/>
      <c r="AG42" s="900"/>
      <c r="AH42" s="900"/>
      <c r="AI42" s="900"/>
      <c r="AJ42" s="900"/>
      <c r="AK42" s="461"/>
      <c r="AL42" s="808"/>
      <c r="AM42" s="808"/>
      <c r="AN42" s="808"/>
      <c r="AO42" s="3837"/>
      <c r="AP42" s="3837"/>
      <c r="AQ42" s="5778"/>
      <c r="AR42" s="9350"/>
      <c r="AS42" s="9350"/>
      <c r="AT42" s="9350"/>
      <c r="AU42" s="9350"/>
      <c r="AV42" s="5811"/>
      <c r="AW42" s="808"/>
      <c r="AX42" s="5768"/>
      <c r="AY42" s="2038"/>
      <c r="AZ42" s="2038"/>
      <c r="BA42" s="2038"/>
      <c r="BB42" s="2038"/>
      <c r="BC42" s="2038"/>
      <c r="BD42" s="2038"/>
      <c r="BE42" s="2038"/>
      <c r="BF42" s="2038"/>
      <c r="BG42" s="2038"/>
      <c r="BH42" s="39"/>
      <c r="BI42" s="39"/>
    </row>
    <row r="43" spans="1:61" s="2690" customFormat="1" ht="18" customHeight="1" thickBot="1">
      <c r="A43" s="461"/>
      <c r="B43" s="896"/>
      <c r="C43" s="3647"/>
      <c r="D43" s="5755" t="s">
        <v>4361</v>
      </c>
      <c r="E43" s="2122"/>
      <c r="F43" s="896"/>
      <c r="G43" s="896"/>
      <c r="H43" s="896"/>
      <c r="I43" s="896"/>
      <c r="J43" s="896"/>
      <c r="K43" s="896"/>
      <c r="L43" s="896"/>
      <c r="M43" s="896"/>
      <c r="N43" s="896"/>
      <c r="O43" s="896"/>
      <c r="P43" s="896"/>
      <c r="Q43" s="896"/>
      <c r="R43" s="896"/>
      <c r="S43" s="896"/>
      <c r="T43" s="896"/>
      <c r="U43" s="896"/>
      <c r="V43" s="896"/>
      <c r="W43" s="896"/>
      <c r="X43" s="896"/>
      <c r="Y43" s="896"/>
      <c r="Z43" s="896"/>
      <c r="AA43" s="896"/>
      <c r="AB43" s="896"/>
      <c r="AC43" s="3281" t="s">
        <v>2163</v>
      </c>
      <c r="AD43" s="5760">
        <v>11</v>
      </c>
      <c r="AE43" s="9532" t="str">
        <f>IF(AO21,"",SUM(AE39,AE41))</f>
        <v/>
      </c>
      <c r="AF43" s="9533"/>
      <c r="AG43" s="9533"/>
      <c r="AH43" s="9533"/>
      <c r="AI43" s="9533"/>
      <c r="AJ43" s="9533"/>
      <c r="AK43" s="461"/>
      <c r="AL43" s="3653"/>
      <c r="AM43" s="3653"/>
      <c r="AN43" s="3653"/>
      <c r="AO43" s="5792"/>
      <c r="AP43" s="5792"/>
      <c r="AQ43" s="5778"/>
      <c r="AR43" s="9350"/>
      <c r="AS43" s="9350"/>
      <c r="AT43" s="9350"/>
      <c r="AU43" s="9350"/>
      <c r="AV43" s="5811"/>
      <c r="AW43" s="808"/>
      <c r="AX43" s="5768"/>
      <c r="AY43" s="2038"/>
      <c r="AZ43" s="2038"/>
      <c r="BA43" s="2038"/>
      <c r="BB43" s="2038"/>
      <c r="BC43" s="2038"/>
      <c r="BD43" s="2038"/>
      <c r="BE43" s="2038"/>
      <c r="BF43" s="2038"/>
      <c r="BG43" s="2038"/>
      <c r="BH43" s="39"/>
      <c r="BI43" s="39"/>
    </row>
    <row r="44" spans="1:61" s="2690" customFormat="1" ht="19.5" customHeight="1">
      <c r="A44" s="461"/>
      <c r="B44" s="9450" t="s">
        <v>2410</v>
      </c>
      <c r="C44" s="9450"/>
      <c r="D44" s="3615"/>
      <c r="E44" s="3633" t="s">
        <v>4362</v>
      </c>
      <c r="F44" s="890"/>
      <c r="G44" s="890"/>
      <c r="H44" s="890"/>
      <c r="I44" s="890"/>
      <c r="J44" s="890"/>
      <c r="K44" s="890"/>
      <c r="L44" s="890"/>
      <c r="M44" s="890"/>
      <c r="N44" s="890"/>
      <c r="O44" s="890"/>
      <c r="P44" s="890"/>
      <c r="Q44" s="890"/>
      <c r="R44" s="890"/>
      <c r="S44" s="890"/>
      <c r="T44" s="890"/>
      <c r="U44" s="890"/>
      <c r="V44" s="890"/>
      <c r="W44" s="890"/>
      <c r="X44" s="890"/>
      <c r="Y44" s="890"/>
      <c r="Z44" s="890"/>
      <c r="AA44" s="890"/>
      <c r="AB44" s="890"/>
      <c r="AC44" s="890"/>
      <c r="AD44" s="890"/>
      <c r="AE44" s="890"/>
      <c r="AF44" s="890"/>
      <c r="AG44" s="890"/>
      <c r="AH44" s="890"/>
      <c r="AI44" s="890"/>
      <c r="AJ44" s="890"/>
      <c r="AK44" s="461"/>
      <c r="AL44" s="4088"/>
      <c r="AM44" s="23"/>
      <c r="AN44" s="3653"/>
      <c r="AO44" s="5792"/>
      <c r="AP44" s="5792"/>
      <c r="AQ44" s="5778"/>
      <c r="AR44" s="9350"/>
      <c r="AS44" s="9350"/>
      <c r="AT44" s="9350"/>
      <c r="AU44" s="9350"/>
      <c r="AV44" s="5812"/>
      <c r="AW44" s="3653"/>
      <c r="AX44" s="5768"/>
      <c r="AY44" s="2038"/>
      <c r="AZ44" s="2038"/>
      <c r="BA44" s="2038"/>
      <c r="BB44" s="2038"/>
      <c r="BC44" s="2038"/>
      <c r="BD44" s="2038"/>
      <c r="BE44" s="2038"/>
      <c r="BF44" s="2038"/>
      <c r="BG44" s="2038"/>
      <c r="BH44" s="39"/>
      <c r="BI44" s="39"/>
    </row>
    <row r="45" spans="1:61" ht="16.5" customHeight="1">
      <c r="A45" s="461"/>
      <c r="B45" s="9372" t="s">
        <v>4363</v>
      </c>
      <c r="C45" s="9372"/>
      <c r="D45" s="9372"/>
      <c r="E45" s="9372"/>
      <c r="F45" s="9372"/>
      <c r="G45" s="9372"/>
      <c r="H45" s="9372"/>
      <c r="I45" s="9372"/>
      <c r="J45" s="9372"/>
      <c r="K45" s="9372"/>
      <c r="L45" s="9372"/>
      <c r="M45" s="9373"/>
      <c r="N45" s="9371" t="s">
        <v>4364</v>
      </c>
      <c r="O45" s="9372"/>
      <c r="P45" s="9372"/>
      <c r="Q45" s="9372"/>
      <c r="R45" s="9372"/>
      <c r="S45" s="9372"/>
      <c r="T45" s="9372"/>
      <c r="U45" s="9373"/>
      <c r="V45" s="9371" t="s">
        <v>4365</v>
      </c>
      <c r="W45" s="9372"/>
      <c r="X45" s="9372"/>
      <c r="Y45" s="9372"/>
      <c r="Z45" s="9373"/>
      <c r="AA45" s="9371" t="s">
        <v>4366</v>
      </c>
      <c r="AB45" s="9372"/>
      <c r="AC45" s="9372"/>
      <c r="AD45" s="9372"/>
      <c r="AE45" s="9372"/>
      <c r="AF45" s="9372"/>
      <c r="AG45" s="9372"/>
      <c r="AH45" s="9372"/>
      <c r="AI45" s="9372"/>
      <c r="AJ45" s="9372"/>
      <c r="AK45" s="461"/>
      <c r="AL45" s="808"/>
      <c r="AM45" s="808"/>
      <c r="AN45" s="808"/>
      <c r="AO45" s="3837"/>
      <c r="AP45" s="3837"/>
      <c r="AQ45" s="9367" t="s">
        <v>5467</v>
      </c>
      <c r="AR45" s="9368"/>
      <c r="AS45" s="9368"/>
      <c r="AT45" s="9368"/>
      <c r="AU45" s="9368"/>
      <c r="AV45" s="9369"/>
      <c r="AW45" s="3653"/>
      <c r="BH45" s="1281"/>
      <c r="BI45" s="1281"/>
    </row>
    <row r="46" spans="1:61" ht="16.5" customHeight="1">
      <c r="A46" s="461"/>
      <c r="B46" s="9419"/>
      <c r="C46" s="9419"/>
      <c r="D46" s="9419"/>
      <c r="E46" s="9419"/>
      <c r="F46" s="9419"/>
      <c r="G46" s="9419"/>
      <c r="H46" s="9419"/>
      <c r="I46" s="9419"/>
      <c r="J46" s="9419"/>
      <c r="K46" s="9419"/>
      <c r="L46" s="9419"/>
      <c r="M46" s="9420"/>
      <c r="N46" s="9374"/>
      <c r="O46" s="9375"/>
      <c r="P46" s="9375"/>
      <c r="Q46" s="9375"/>
      <c r="R46" s="9375"/>
      <c r="S46" s="9375"/>
      <c r="T46" s="9375"/>
      <c r="U46" s="9376"/>
      <c r="V46" s="9374"/>
      <c r="W46" s="9375"/>
      <c r="X46" s="9375"/>
      <c r="Y46" s="9375"/>
      <c r="Z46" s="9376"/>
      <c r="AA46" s="9374"/>
      <c r="AB46" s="9375"/>
      <c r="AC46" s="9375"/>
      <c r="AD46" s="9375"/>
      <c r="AE46" s="9375"/>
      <c r="AF46" s="9375"/>
      <c r="AG46" s="9375"/>
      <c r="AH46" s="9375"/>
      <c r="AI46" s="9375"/>
      <c r="AJ46" s="9375"/>
      <c r="AK46" s="461"/>
      <c r="AL46" s="808"/>
      <c r="AM46" s="23" t="s">
        <v>5442</v>
      </c>
      <c r="AN46" s="808"/>
      <c r="AO46" s="3837"/>
      <c r="AP46" s="3837"/>
      <c r="AQ46" s="1150"/>
      <c r="AR46" s="899" t="s">
        <v>2351</v>
      </c>
      <c r="AS46" s="5801" t="str">
        <f>"Enter "&amp;TEXT(AO37,"$0,000")&amp;"* reduced by the amount, if"</f>
        <v>Enter $25,000* reduced by the amount, if</v>
      </c>
      <c r="AT46" s="808"/>
      <c r="AU46" s="5809"/>
      <c r="AV46" s="1151"/>
      <c r="AW46" s="808"/>
      <c r="BH46" s="1281"/>
      <c r="BI46" s="1281"/>
    </row>
    <row r="47" spans="1:61" ht="16.5" customHeight="1">
      <c r="A47" s="461"/>
      <c r="B47" s="9419"/>
      <c r="C47" s="9419"/>
      <c r="D47" s="9419"/>
      <c r="E47" s="9419"/>
      <c r="F47" s="9419"/>
      <c r="G47" s="9419"/>
      <c r="H47" s="9419"/>
      <c r="I47" s="9419"/>
      <c r="J47" s="9419"/>
      <c r="K47" s="9419"/>
      <c r="L47" s="9419"/>
      <c r="M47" s="9420"/>
      <c r="N47" s="9507" t="s">
        <v>5417</v>
      </c>
      <c r="O47" s="9508"/>
      <c r="P47" s="9508"/>
      <c r="Q47" s="9509"/>
      <c r="R47" s="9507" t="s">
        <v>5415</v>
      </c>
      <c r="S47" s="9508"/>
      <c r="T47" s="9508"/>
      <c r="U47" s="9509"/>
      <c r="V47" s="9377" t="s">
        <v>5416</v>
      </c>
      <c r="W47" s="9378"/>
      <c r="X47" s="9378"/>
      <c r="Y47" s="9378"/>
      <c r="Z47" s="9379"/>
      <c r="AA47" s="9520" t="s">
        <v>4367</v>
      </c>
      <c r="AB47" s="9517"/>
      <c r="AC47" s="9517"/>
      <c r="AD47" s="9517"/>
      <c r="AE47" s="9521"/>
      <c r="AF47" s="9520" t="s">
        <v>4368</v>
      </c>
      <c r="AG47" s="9517"/>
      <c r="AH47" s="9517"/>
      <c r="AI47" s="9517"/>
      <c r="AJ47" s="9517"/>
      <c r="AK47" s="461"/>
      <c r="AL47" s="808"/>
      <c r="AM47" s="23" t="s">
        <v>1113</v>
      </c>
      <c r="AN47" s="808"/>
      <c r="AO47" s="3837"/>
      <c r="AP47" s="3837"/>
      <c r="AQ47" s="5783"/>
      <c r="AR47" s="5802"/>
      <c r="AS47" s="5807" t="s">
        <v>5478</v>
      </c>
      <c r="AT47" s="1128" t="s">
        <v>2351</v>
      </c>
      <c r="AU47" s="5766" t="str">
        <f>IF(AO40,"",SUM(AU65,-MIN(AE32,AE38)))</f>
        <v/>
      </c>
      <c r="AV47" s="1151"/>
      <c r="AW47" s="808"/>
      <c r="BH47" s="1281"/>
      <c r="BI47" s="1281"/>
    </row>
    <row r="48" spans="1:61" ht="16.5" customHeight="1" thickBot="1">
      <c r="A48" s="461"/>
      <c r="B48" s="9375"/>
      <c r="C48" s="9375"/>
      <c r="D48" s="9375"/>
      <c r="E48" s="9375"/>
      <c r="F48" s="9375"/>
      <c r="G48" s="9375"/>
      <c r="H48" s="9375"/>
      <c r="I48" s="9375"/>
      <c r="J48" s="9375"/>
      <c r="K48" s="9375"/>
      <c r="L48" s="9375"/>
      <c r="M48" s="9376"/>
      <c r="N48" s="9510"/>
      <c r="O48" s="9511"/>
      <c r="P48" s="9511"/>
      <c r="Q48" s="9512"/>
      <c r="R48" s="9510"/>
      <c r="S48" s="9511"/>
      <c r="T48" s="9511"/>
      <c r="U48" s="9512"/>
      <c r="V48" s="9380"/>
      <c r="W48" s="9381"/>
      <c r="X48" s="9381"/>
      <c r="Y48" s="9381"/>
      <c r="Z48" s="9382"/>
      <c r="AA48" s="9522"/>
      <c r="AB48" s="9519"/>
      <c r="AC48" s="9519"/>
      <c r="AD48" s="9519"/>
      <c r="AE48" s="9523"/>
      <c r="AF48" s="9522"/>
      <c r="AG48" s="9519"/>
      <c r="AH48" s="9519"/>
      <c r="AI48" s="9519"/>
      <c r="AJ48" s="9519"/>
      <c r="AK48" s="461"/>
      <c r="AL48" s="808"/>
      <c r="AM48" s="23" t="s">
        <v>1062</v>
      </c>
      <c r="AN48" s="808"/>
      <c r="AO48" s="3837"/>
      <c r="AP48" s="3837"/>
      <c r="AQ48" s="2220"/>
      <c r="AR48" s="899"/>
      <c r="AS48" s="5803" t="s">
        <v>5479</v>
      </c>
      <c r="AT48" s="5799"/>
      <c r="AU48" s="5800"/>
      <c r="AV48" s="1151"/>
      <c r="AW48" s="808"/>
      <c r="BH48" s="1281"/>
      <c r="BI48" s="1281"/>
    </row>
    <row r="49" spans="1:62" ht="18" customHeight="1" thickBot="1">
      <c r="A49" s="461"/>
      <c r="B49" s="9045"/>
      <c r="C49" s="9045"/>
      <c r="D49" s="9045"/>
      <c r="E49" s="9045"/>
      <c r="F49" s="9045"/>
      <c r="G49" s="9045"/>
      <c r="H49" s="9045"/>
      <c r="I49" s="9045"/>
      <c r="J49" s="9045"/>
      <c r="K49" s="9045"/>
      <c r="L49" s="9045"/>
      <c r="M49" s="9046"/>
      <c r="N49" s="9354"/>
      <c r="O49" s="9355"/>
      <c r="P49" s="9355"/>
      <c r="Q49" s="9356"/>
      <c r="R49" s="9354"/>
      <c r="S49" s="9355"/>
      <c r="T49" s="9355"/>
      <c r="U49" s="9356"/>
      <c r="V49" s="9354"/>
      <c r="W49" s="9355"/>
      <c r="X49" s="9355"/>
      <c r="Y49" s="9355"/>
      <c r="Z49" s="9356"/>
      <c r="AA49" s="9357" t="str">
        <f>IF(AND(AM49&lt;&gt;"",AM49&gt;0),ROUND(AM49,0),IF(AND(AM49&lt;&gt;"",AM49&lt;0),"",IF(SUM(N49,-R49,-V49)&gt;0,SUM(N49,-R49,-V49),"")))</f>
        <v/>
      </c>
      <c r="AB49" s="9358"/>
      <c r="AC49" s="9358"/>
      <c r="AD49" s="9358"/>
      <c r="AE49" s="9359"/>
      <c r="AF49" s="9357" t="str">
        <f>IF(AND(AM49&lt;&gt;"",AM49&lt;0),-ROUND(AM49,0),IF(AND(AM49&lt;&gt;"",AM49&gt;0),"",IF(SUM(N49,-R49,-V49)&lt;0,-SUM(N49,-R49,-V49),"")))</f>
        <v/>
      </c>
      <c r="AG49" s="9358"/>
      <c r="AH49" s="9358"/>
      <c r="AI49" s="9358"/>
      <c r="AJ49" s="9358"/>
      <c r="AK49" s="461"/>
      <c r="AL49" s="808"/>
      <c r="AM49" s="5765"/>
      <c r="AN49" s="808"/>
      <c r="AO49" s="3837"/>
      <c r="AP49" s="3837"/>
      <c r="AQ49" s="2220"/>
      <c r="AR49" s="899" t="s">
        <v>2354</v>
      </c>
      <c r="AS49" s="2953" t="s">
        <v>5468</v>
      </c>
      <c r="AT49" s="1128" t="s">
        <v>2354</v>
      </c>
      <c r="AU49" s="5766" t="str">
        <f>IF(AO40,"",IF(PassiveIncomeLoss&lt;0,-PassiveIncomeLoss,0))</f>
        <v/>
      </c>
      <c r="AV49" s="5772"/>
      <c r="AW49" s="808"/>
    </row>
    <row r="50" spans="1:62" ht="18" customHeight="1" thickBot="1">
      <c r="A50" s="461"/>
      <c r="B50" s="9045"/>
      <c r="C50" s="9045"/>
      <c r="D50" s="9045"/>
      <c r="E50" s="9045"/>
      <c r="F50" s="9045"/>
      <c r="G50" s="9045"/>
      <c r="H50" s="9045"/>
      <c r="I50" s="9045"/>
      <c r="J50" s="9045"/>
      <c r="K50" s="9045"/>
      <c r="L50" s="9045"/>
      <c r="M50" s="9046"/>
      <c r="N50" s="9354"/>
      <c r="O50" s="9355"/>
      <c r="P50" s="9355"/>
      <c r="Q50" s="9356"/>
      <c r="R50" s="9354"/>
      <c r="S50" s="9355"/>
      <c r="T50" s="9355"/>
      <c r="U50" s="9356"/>
      <c r="V50" s="9354"/>
      <c r="W50" s="9355"/>
      <c r="X50" s="9355"/>
      <c r="Y50" s="9355"/>
      <c r="Z50" s="9356"/>
      <c r="AA50" s="9357" t="str">
        <f>IF(AND(AM50&lt;&gt;"",AM50&gt;0),ROUND(AM50,0),IF(AND(AM50&lt;&gt;"",AM50&lt;0),"",IF(SUM(N50,-R50,-V50)&gt;0,SUM(N50,-R50,-V50),"")))</f>
        <v/>
      </c>
      <c r="AB50" s="9358"/>
      <c r="AC50" s="9358"/>
      <c r="AD50" s="9358"/>
      <c r="AE50" s="9359"/>
      <c r="AF50" s="9357" t="str">
        <f>IF(AND(AM50&lt;&gt;"",AM50&lt;0),-ROUND(AM50,0),IF(AND(AM50&lt;&gt;"",AM50&gt;0),"",IF(SUM(N50,-R50,-V50)&lt;0,-SUM(N50,-R50,-V50),"")))</f>
        <v/>
      </c>
      <c r="AG50" s="9358"/>
      <c r="AH50" s="9358"/>
      <c r="AI50" s="9358"/>
      <c r="AJ50" s="9358"/>
      <c r="AK50" s="461"/>
      <c r="AL50" s="3653"/>
      <c r="AM50" s="5765"/>
      <c r="AN50" s="3653"/>
      <c r="AO50" s="5792"/>
      <c r="AP50" s="3837"/>
      <c r="AQ50" s="2220"/>
      <c r="AR50" s="892"/>
      <c r="AS50" s="2953"/>
      <c r="AT50" s="892"/>
      <c r="AU50" s="808"/>
      <c r="AV50" s="5772"/>
      <c r="AW50" s="808"/>
    </row>
    <row r="51" spans="1:62" ht="18" customHeight="1" thickBot="1">
      <c r="A51" s="461"/>
      <c r="B51" s="9045"/>
      <c r="C51" s="9045"/>
      <c r="D51" s="9045"/>
      <c r="E51" s="9045"/>
      <c r="F51" s="9045"/>
      <c r="G51" s="9045"/>
      <c r="H51" s="9045"/>
      <c r="I51" s="9045"/>
      <c r="J51" s="9045"/>
      <c r="K51" s="9045"/>
      <c r="L51" s="9045"/>
      <c r="M51" s="9046"/>
      <c r="N51" s="9354"/>
      <c r="O51" s="9355"/>
      <c r="P51" s="9355"/>
      <c r="Q51" s="9356"/>
      <c r="R51" s="9354"/>
      <c r="S51" s="9355"/>
      <c r="T51" s="9355"/>
      <c r="U51" s="9356"/>
      <c r="V51" s="9354"/>
      <c r="W51" s="9355"/>
      <c r="X51" s="9355"/>
      <c r="Y51" s="9355"/>
      <c r="Z51" s="9356"/>
      <c r="AA51" s="9357" t="str">
        <f>IF(AND(AM51&lt;&gt;"",AM51&gt;0),ROUND(AM51,0),IF(AND(AM51&lt;&gt;"",AM51&lt;0),"",IF(SUM(N51,-R51,-V51)&gt;0,SUM(N51,-R51,-V51),"")))</f>
        <v/>
      </c>
      <c r="AB51" s="9358"/>
      <c r="AC51" s="9358"/>
      <c r="AD51" s="9358"/>
      <c r="AE51" s="9359"/>
      <c r="AF51" s="9357" t="str">
        <f>IF(AND(AM51&lt;&gt;"",AM51&lt;0),-ROUND(AM51,0),IF(AND(AM51&lt;&gt;"",AM51&gt;0),"",IF(SUM(N51,-R51,-V51)&lt;0,-SUM(N51,-R51,-V51),"")))</f>
        <v/>
      </c>
      <c r="AG51" s="9358"/>
      <c r="AH51" s="9358"/>
      <c r="AI51" s="9358"/>
      <c r="AJ51" s="9358"/>
      <c r="AK51" s="461"/>
      <c r="AL51" s="3653"/>
      <c r="AM51" s="5765"/>
      <c r="AN51" s="3653"/>
      <c r="AO51" s="5792"/>
      <c r="AP51" s="5792"/>
      <c r="AQ51" s="2220"/>
      <c r="AR51" s="899" t="s">
        <v>2357</v>
      </c>
      <c r="AS51" s="5803" t="s">
        <v>5470</v>
      </c>
      <c r="AT51" s="1585" t="str">
        <f>IF(MIN(AE32,AE38)=AE32,"Part II, line 4 &gt;","Part II, line 8 &gt;")</f>
        <v>Part II, line 8 &gt;</v>
      </c>
      <c r="AU51" s="5766" t="str">
        <f>IF(AO40,"",MIN(AE32,AE38))</f>
        <v/>
      </c>
      <c r="AV51" s="1151"/>
      <c r="AW51" s="808"/>
    </row>
    <row r="52" spans="1:62" ht="18" customHeight="1" thickBot="1">
      <c r="A52" s="461"/>
      <c r="B52" s="9045"/>
      <c r="C52" s="9045"/>
      <c r="D52" s="9045"/>
      <c r="E52" s="9045"/>
      <c r="F52" s="9045"/>
      <c r="G52" s="9045"/>
      <c r="H52" s="9045"/>
      <c r="I52" s="9045"/>
      <c r="J52" s="9045"/>
      <c r="K52" s="9045"/>
      <c r="L52" s="9045"/>
      <c r="M52" s="9046"/>
      <c r="N52" s="9354"/>
      <c r="O52" s="9355"/>
      <c r="P52" s="9355"/>
      <c r="Q52" s="9356"/>
      <c r="R52" s="9354"/>
      <c r="S52" s="9355"/>
      <c r="T52" s="9355"/>
      <c r="U52" s="9356"/>
      <c r="V52" s="9354"/>
      <c r="W52" s="9355"/>
      <c r="X52" s="9355"/>
      <c r="Y52" s="9355"/>
      <c r="Z52" s="9356"/>
      <c r="AA52" s="9357" t="str">
        <f>IF(AND(AM52&lt;&gt;"",AM52&gt;0),ROUND(AM52,0),IF(AND(AM52&lt;&gt;"",AM52&lt;0),"",IF(SUM(N52,-R52,-V52)&gt;0,SUM(N52,-R52,-V52),"")))</f>
        <v/>
      </c>
      <c r="AB52" s="9358"/>
      <c r="AC52" s="9358"/>
      <c r="AD52" s="9358"/>
      <c r="AE52" s="9359"/>
      <c r="AF52" s="9357" t="str">
        <f>IF(AND(AM52&lt;&gt;"",AM52&lt;0),-ROUND(AM52,0),IF(AND(AM52&lt;&gt;"",AM52&gt;0),"",IF(SUM(N52,-R52,-V52)&lt;0,-SUM(N52,-R52,-V52),"")))</f>
        <v/>
      </c>
      <c r="AG52" s="9358"/>
      <c r="AH52" s="9358"/>
      <c r="AI52" s="9358"/>
      <c r="AJ52" s="9358"/>
      <c r="AK52" s="461"/>
      <c r="AL52" s="3653"/>
      <c r="AM52" s="5765"/>
      <c r="AN52" s="3653"/>
      <c r="AO52" s="5792"/>
      <c r="AP52" s="5792"/>
      <c r="AQ52" s="1150"/>
      <c r="AR52" s="808"/>
      <c r="AS52" s="5803" t="s">
        <v>5469</v>
      </c>
      <c r="AT52" s="1128" t="s">
        <v>2357</v>
      </c>
      <c r="AU52" s="5766" t="str">
        <f>IF(AO40,"",SUM(AU49,-AU51))</f>
        <v/>
      </c>
      <c r="AV52" s="1151"/>
      <c r="AW52" s="808"/>
    </row>
    <row r="53" spans="1:62" ht="18" customHeight="1" thickBot="1">
      <c r="A53" s="461"/>
      <c r="B53" s="9414"/>
      <c r="C53" s="9414"/>
      <c r="D53" s="9414"/>
      <c r="E53" s="9414"/>
      <c r="F53" s="9414"/>
      <c r="G53" s="9414"/>
      <c r="H53" s="9414"/>
      <c r="I53" s="9414"/>
      <c r="J53" s="9414"/>
      <c r="K53" s="9414"/>
      <c r="L53" s="9414"/>
      <c r="M53" s="9415"/>
      <c r="N53" s="9489"/>
      <c r="O53" s="9490"/>
      <c r="P53" s="9490"/>
      <c r="Q53" s="9491"/>
      <c r="R53" s="9489"/>
      <c r="S53" s="9490"/>
      <c r="T53" s="9490"/>
      <c r="U53" s="9491"/>
      <c r="V53" s="9489"/>
      <c r="W53" s="9490"/>
      <c r="X53" s="9490"/>
      <c r="Y53" s="9490"/>
      <c r="Z53" s="9491"/>
      <c r="AA53" s="9357" t="str">
        <f>IF(AND(AM53&lt;&gt;"",AM53&gt;0),ROUND(AM53,0),IF(AND(AM53&lt;&gt;"",AM53&lt;0),"",IF(SUM(N53,-R53,-V53)&gt;0,SUM(N53,-R53,-V53),"")))</f>
        <v/>
      </c>
      <c r="AB53" s="9358"/>
      <c r="AC53" s="9358"/>
      <c r="AD53" s="9358"/>
      <c r="AE53" s="9359"/>
      <c r="AF53" s="9357" t="str">
        <f>IF(AND(AM53&lt;&gt;"",AM53&lt;0),-ROUND(AM53,0),IF(AND(AM53&lt;&gt;"",AM53&gt;0),"",IF(SUM(N53,-R53,-V53)&lt;0,-SUM(N53,-R53,-V53),"")))</f>
        <v/>
      </c>
      <c r="AG53" s="9358"/>
      <c r="AH53" s="9358"/>
      <c r="AI53" s="9358"/>
      <c r="AJ53" s="9358"/>
      <c r="AK53" s="461"/>
      <c r="AL53" s="1376"/>
      <c r="AM53" s="5765"/>
      <c r="AN53" s="808"/>
      <c r="AO53" s="3837"/>
      <c r="AP53" s="5792"/>
      <c r="AQ53" s="2220"/>
      <c r="AR53" s="892"/>
      <c r="AS53" s="2953"/>
      <c r="AT53" s="892"/>
      <c r="AU53" s="808"/>
      <c r="AV53" s="1151"/>
      <c r="AW53" s="808"/>
    </row>
    <row r="54" spans="1:62" ht="18.75" customHeight="1">
      <c r="A54" s="461"/>
      <c r="B54" s="890"/>
      <c r="C54" s="5733"/>
      <c r="D54" s="5733"/>
      <c r="E54" s="5733"/>
      <c r="F54" s="5733"/>
      <c r="G54" s="5733"/>
      <c r="H54" s="5733"/>
      <c r="I54" s="5733"/>
      <c r="J54" s="5733"/>
      <c r="K54" s="5733"/>
      <c r="L54" s="5733"/>
      <c r="M54" s="5733"/>
      <c r="N54" s="9547">
        <f>SUM(ROUND(N49,0),ROUND(N50,0),ROUND(N51,0),ROUND(N52,0),ROUND(N53,0))</f>
        <v>0</v>
      </c>
      <c r="O54" s="9548"/>
      <c r="P54" s="9548"/>
      <c r="Q54" s="9549"/>
      <c r="R54" s="9550">
        <f>SUM(ROUND(R49,0),ROUND(R50,0),ROUND(R51,0),ROUND(R52,0),ROUND(R53,0))</f>
        <v>0</v>
      </c>
      <c r="S54" s="9551"/>
      <c r="T54" s="9551"/>
      <c r="U54" s="9552"/>
      <c r="V54" s="9550">
        <f>SUM(ROUND(V49,0),ROUND(V50,0),ROUND(V51,0),ROUND(V52,0),ROUND(V53,0))</f>
        <v>0</v>
      </c>
      <c r="W54" s="9551"/>
      <c r="X54" s="9551"/>
      <c r="Y54" s="9551"/>
      <c r="Z54" s="9552"/>
      <c r="AA54" s="9534"/>
      <c r="AB54" s="9535"/>
      <c r="AC54" s="9535"/>
      <c r="AD54" s="9535"/>
      <c r="AE54" s="9536"/>
      <c r="AF54" s="9534"/>
      <c r="AG54" s="9535"/>
      <c r="AH54" s="9535"/>
      <c r="AI54" s="9535"/>
      <c r="AJ54" s="9535"/>
      <c r="AK54" s="461"/>
      <c r="AL54" s="1376"/>
      <c r="AM54" s="2590"/>
      <c r="AN54" s="808"/>
      <c r="AO54" s="2633" t="b">
        <f>AU55&lt;&gt;""</f>
        <v>0</v>
      </c>
      <c r="AP54" s="3837"/>
      <c r="AQ54" s="2220"/>
      <c r="AR54" s="899" t="s">
        <v>2360</v>
      </c>
      <c r="AS54" s="5803" t="s">
        <v>5480</v>
      </c>
      <c r="AT54" s="5817" t="s">
        <v>5482</v>
      </c>
      <c r="AU54" s="808"/>
      <c r="AV54" s="1151"/>
      <c r="AW54" s="808"/>
      <c r="BJ54" s="1268"/>
    </row>
    <row r="55" spans="1:62" ht="18.75" customHeight="1" thickBot="1">
      <c r="A55" s="461"/>
      <c r="B55" s="3444" t="s">
        <v>4369</v>
      </c>
      <c r="C55" s="5357"/>
      <c r="D55" s="5357"/>
      <c r="E55" s="5357"/>
      <c r="F55" s="5357"/>
      <c r="G55" s="5357"/>
      <c r="H55" s="5357"/>
      <c r="I55" s="5357"/>
      <c r="J55" s="5357"/>
      <c r="K55" s="5357"/>
      <c r="L55" s="5357"/>
      <c r="M55" s="5357"/>
      <c r="N55" s="9395" t="str">
        <f>IF(OR(N54=0,ISERROR(N54)),"",N54)</f>
        <v/>
      </c>
      <c r="O55" s="9396"/>
      <c r="P55" s="9396"/>
      <c r="Q55" s="9397"/>
      <c r="R55" s="9395" t="str">
        <f>IF(OR(R54=0,ISERROR(R54)),"",R54)</f>
        <v/>
      </c>
      <c r="S55" s="9396"/>
      <c r="T55" s="9396"/>
      <c r="U55" s="9397"/>
      <c r="V55" s="9395" t="str">
        <f>IF(OR(V54=0,ISERROR(V54)),"",V54)</f>
        <v/>
      </c>
      <c r="W55" s="9396"/>
      <c r="X55" s="9396"/>
      <c r="Y55" s="9396"/>
      <c r="Z55" s="9397"/>
      <c r="AA55" s="9537"/>
      <c r="AB55" s="9538"/>
      <c r="AC55" s="9538"/>
      <c r="AD55" s="9538"/>
      <c r="AE55" s="9539"/>
      <c r="AF55" s="9537"/>
      <c r="AG55" s="9538"/>
      <c r="AH55" s="9538"/>
      <c r="AI55" s="9538"/>
      <c r="AJ55" s="9538"/>
      <c r="AK55" s="461"/>
      <c r="AL55" s="2175"/>
      <c r="AM55" s="892"/>
      <c r="AN55" s="808"/>
      <c r="AO55" s="3837"/>
      <c r="AP55" s="3837"/>
      <c r="AQ55" s="1150"/>
      <c r="AR55" s="808"/>
      <c r="AS55" s="5803" t="s">
        <v>5471</v>
      </c>
      <c r="AT55" s="5817" t="s">
        <v>5481</v>
      </c>
      <c r="AU55" s="5766"/>
      <c r="AV55" s="1151"/>
      <c r="AW55" s="3653"/>
    </row>
    <row r="56" spans="1:62" s="2690" customFormat="1" ht="22.5" customHeight="1">
      <c r="A56" s="461"/>
      <c r="B56" s="2979" t="s">
        <v>3378</v>
      </c>
      <c r="C56" s="3599"/>
      <c r="D56" s="695"/>
      <c r="E56" s="695"/>
      <c r="F56" s="695"/>
      <c r="G56" s="695"/>
      <c r="H56" s="695"/>
      <c r="I56" s="695"/>
      <c r="J56" s="695"/>
      <c r="K56" s="695"/>
      <c r="L56" s="695"/>
      <c r="M56" s="695"/>
      <c r="N56" s="695"/>
      <c r="O56" s="695"/>
      <c r="P56" s="695"/>
      <c r="Q56" s="30"/>
      <c r="R56" s="30"/>
      <c r="S56" s="30"/>
      <c r="T56" s="30"/>
      <c r="U56" s="2980"/>
      <c r="V56" s="30"/>
      <c r="W56" s="2980" t="s">
        <v>4371</v>
      </c>
      <c r="X56" s="30"/>
      <c r="Y56" s="30"/>
      <c r="Z56" s="30"/>
      <c r="AA56" s="30"/>
      <c r="AB56" s="30"/>
      <c r="AC56" s="30"/>
      <c r="AD56" s="30"/>
      <c r="AE56" s="5758" t="s">
        <v>50</v>
      </c>
      <c r="AF56" s="9421">
        <v>8582</v>
      </c>
      <c r="AG56" s="9421"/>
      <c r="AH56" s="9421"/>
      <c r="AI56" s="30"/>
      <c r="AJ56" s="2981" t="str">
        <f>"("&amp;TaxYear&amp;")"</f>
        <v>(2023)</v>
      </c>
      <c r="AK56" s="461"/>
      <c r="AL56" s="808"/>
      <c r="AM56" s="808"/>
      <c r="AN56" s="808"/>
      <c r="AO56" s="3837"/>
      <c r="AP56" s="3837"/>
      <c r="AQ56" s="1150"/>
      <c r="AR56" s="808"/>
      <c r="AS56" s="5803" t="s">
        <v>5472</v>
      </c>
      <c r="AT56" s="808"/>
      <c r="AU56" s="900">
        <f>IF(AU55="",0,AU55)</f>
        <v>0</v>
      </c>
      <c r="AV56" s="1151"/>
      <c r="AW56" s="3653"/>
      <c r="AX56" s="5768"/>
      <c r="AY56" s="2038"/>
      <c r="AZ56" s="2038"/>
      <c r="BA56" s="2038"/>
      <c r="BB56" s="2038"/>
      <c r="BC56" s="2038"/>
      <c r="BD56" s="2038"/>
      <c r="BE56" s="2038"/>
      <c r="BF56" s="2038"/>
      <c r="BG56" s="2038"/>
      <c r="BH56" s="39"/>
      <c r="BI56" s="39"/>
    </row>
    <row r="57" spans="1:62" s="2690" customFormat="1" ht="21.75" customHeight="1" thickBot="1">
      <c r="A57" s="461"/>
      <c r="B57" s="964" t="str">
        <f>"Form 8582 ("&amp;TaxYear&amp;")"</f>
        <v>Form 8582 (2023)</v>
      </c>
      <c r="C57" s="3600"/>
      <c r="D57" s="964"/>
      <c r="E57" s="964"/>
      <c r="F57" s="964"/>
      <c r="G57" s="964"/>
      <c r="H57" s="964"/>
      <c r="I57" s="964"/>
      <c r="J57" s="964"/>
      <c r="K57" s="964"/>
      <c r="L57" s="964"/>
      <c r="M57" s="964"/>
      <c r="N57" s="964"/>
      <c r="O57" s="964"/>
      <c r="P57" s="964"/>
      <c r="Q57" s="964"/>
      <c r="R57" s="964"/>
      <c r="S57" s="964"/>
      <c r="T57" s="964"/>
      <c r="U57" s="964"/>
      <c r="V57" s="964"/>
      <c r="W57" s="964"/>
      <c r="X57" s="964"/>
      <c r="Y57" s="964"/>
      <c r="Z57" s="964"/>
      <c r="AA57" s="964"/>
      <c r="AB57" s="964"/>
      <c r="AC57" s="964"/>
      <c r="AD57" s="964"/>
      <c r="AE57" s="964"/>
      <c r="AF57" s="964"/>
      <c r="AG57" s="964"/>
      <c r="AH57" s="964"/>
      <c r="AI57" s="1368" t="s">
        <v>2387</v>
      </c>
      <c r="AJ57" s="5757">
        <v>2</v>
      </c>
      <c r="AK57" s="461"/>
      <c r="AL57" s="808"/>
      <c r="AM57" s="808"/>
      <c r="AN57" s="808"/>
      <c r="AO57" s="3837"/>
      <c r="AP57" s="3837"/>
      <c r="AQ57" s="2220"/>
      <c r="AR57" s="899"/>
      <c r="AS57" s="5803" t="s">
        <v>5473</v>
      </c>
      <c r="AT57" s="1128" t="s">
        <v>2360</v>
      </c>
      <c r="AU57" s="5766" t="str">
        <f>IF(AO40,"",IF(AO54,MIN(AU56,AU47,AU52),""))</f>
        <v/>
      </c>
      <c r="AV57" s="5772"/>
      <c r="AW57" s="3653"/>
      <c r="AX57" s="5768"/>
      <c r="AY57" s="2038"/>
      <c r="AZ57" s="2038"/>
      <c r="BA57" s="2038"/>
      <c r="BB57" s="2038"/>
      <c r="BC57" s="2038"/>
      <c r="BD57" s="2038"/>
      <c r="BE57" s="2038"/>
      <c r="BF57" s="2038"/>
      <c r="BG57" s="2038"/>
      <c r="BH57" s="39"/>
      <c r="BI57" s="39"/>
    </row>
    <row r="58" spans="1:62" s="2690" customFormat="1" ht="16.5" customHeight="1" thickTop="1">
      <c r="A58" s="461"/>
      <c r="B58" s="9450" t="s">
        <v>2425</v>
      </c>
      <c r="C58" s="9450"/>
      <c r="D58" s="3615"/>
      <c r="E58" s="3633" t="s">
        <v>5465</v>
      </c>
      <c r="F58" s="890"/>
      <c r="G58" s="890"/>
      <c r="H58" s="890"/>
      <c r="I58" s="890"/>
      <c r="J58" s="890"/>
      <c r="K58" s="890"/>
      <c r="L58" s="890"/>
      <c r="M58" s="890"/>
      <c r="N58" s="890"/>
      <c r="O58" s="890"/>
      <c r="P58" s="890"/>
      <c r="Q58" s="890"/>
      <c r="R58" s="890"/>
      <c r="S58" s="890"/>
      <c r="T58" s="890"/>
      <c r="U58" s="890"/>
      <c r="V58" s="890"/>
      <c r="W58" s="890"/>
      <c r="X58" s="890"/>
      <c r="Y58" s="890"/>
      <c r="Z58" s="890"/>
      <c r="AA58" s="890"/>
      <c r="AB58" s="890"/>
      <c r="AC58" s="890"/>
      <c r="AD58" s="890"/>
      <c r="AE58" s="890"/>
      <c r="AF58" s="890"/>
      <c r="AG58" s="890"/>
      <c r="AH58" s="890"/>
      <c r="AI58" s="890"/>
      <c r="AJ58" s="890"/>
      <c r="AK58" s="461"/>
      <c r="AL58" s="4088"/>
      <c r="AM58" s="23"/>
      <c r="AN58" s="3653"/>
      <c r="AO58" s="5792"/>
      <c r="AP58" s="5792"/>
      <c r="AQ58" s="2220"/>
      <c r="AR58" s="892"/>
      <c r="AS58" s="892"/>
      <c r="AT58" s="892"/>
      <c r="AU58" s="2241"/>
      <c r="AV58" s="1151"/>
      <c r="AW58" s="808"/>
      <c r="AX58" s="5768"/>
      <c r="AY58" s="2038"/>
      <c r="AZ58" s="2038"/>
      <c r="BA58" s="2038"/>
      <c r="BB58" s="2038"/>
      <c r="BC58" s="2038"/>
      <c r="BD58" s="2038"/>
      <c r="BE58" s="2038"/>
      <c r="BF58" s="2038"/>
      <c r="BG58" s="2038"/>
      <c r="BH58" s="39"/>
      <c r="BI58" s="39"/>
    </row>
    <row r="59" spans="1:62" ht="16.5" customHeight="1">
      <c r="A59" s="461"/>
      <c r="B59" s="9372" t="s">
        <v>4363</v>
      </c>
      <c r="C59" s="9372"/>
      <c r="D59" s="9372"/>
      <c r="E59" s="9372"/>
      <c r="F59" s="9372"/>
      <c r="G59" s="9372"/>
      <c r="H59" s="9372"/>
      <c r="I59" s="9372"/>
      <c r="J59" s="9372"/>
      <c r="K59" s="9372"/>
      <c r="L59" s="9372"/>
      <c r="M59" s="9373"/>
      <c r="N59" s="9371" t="s">
        <v>4364</v>
      </c>
      <c r="O59" s="9372"/>
      <c r="P59" s="9372"/>
      <c r="Q59" s="9372"/>
      <c r="R59" s="9372"/>
      <c r="S59" s="9372"/>
      <c r="T59" s="9372"/>
      <c r="U59" s="9373"/>
      <c r="V59" s="9371" t="s">
        <v>4365</v>
      </c>
      <c r="W59" s="9372"/>
      <c r="X59" s="9372"/>
      <c r="Y59" s="9372"/>
      <c r="Z59" s="9373"/>
      <c r="AA59" s="9371" t="s">
        <v>4366</v>
      </c>
      <c r="AB59" s="9372"/>
      <c r="AC59" s="9372"/>
      <c r="AD59" s="9372"/>
      <c r="AE59" s="9372"/>
      <c r="AF59" s="9372"/>
      <c r="AG59" s="9372"/>
      <c r="AH59" s="9372"/>
      <c r="AI59" s="9372"/>
      <c r="AJ59" s="9372"/>
      <c r="AK59" s="461"/>
      <c r="AL59" s="808"/>
      <c r="AM59" s="808"/>
      <c r="AN59" s="9545"/>
      <c r="AO59" s="5793"/>
      <c r="AP59" s="5793"/>
      <c r="AQ59" s="1150"/>
      <c r="AR59" s="808"/>
      <c r="AS59" s="9351" t="s">
        <v>5485</v>
      </c>
      <c r="AT59" s="9351"/>
      <c r="AU59" s="5815"/>
      <c r="AV59" s="5813"/>
      <c r="AW59" s="3653"/>
      <c r="BH59" s="1281"/>
      <c r="BI59" s="1281"/>
    </row>
    <row r="60" spans="1:62" ht="16.5" customHeight="1">
      <c r="A60" s="461"/>
      <c r="B60" s="9419"/>
      <c r="C60" s="9419"/>
      <c r="D60" s="9419"/>
      <c r="E60" s="9419"/>
      <c r="F60" s="9419"/>
      <c r="G60" s="9419"/>
      <c r="H60" s="9419"/>
      <c r="I60" s="9419"/>
      <c r="J60" s="9419"/>
      <c r="K60" s="9419"/>
      <c r="L60" s="9419"/>
      <c r="M60" s="9420"/>
      <c r="N60" s="9374"/>
      <c r="O60" s="9375"/>
      <c r="P60" s="9375"/>
      <c r="Q60" s="9375"/>
      <c r="R60" s="9375"/>
      <c r="S60" s="9375"/>
      <c r="T60" s="9375"/>
      <c r="U60" s="9376"/>
      <c r="V60" s="9374"/>
      <c r="W60" s="9375"/>
      <c r="X60" s="9375"/>
      <c r="Y60" s="9375"/>
      <c r="Z60" s="9376"/>
      <c r="AA60" s="9374"/>
      <c r="AB60" s="9375"/>
      <c r="AC60" s="9375"/>
      <c r="AD60" s="9375"/>
      <c r="AE60" s="9375"/>
      <c r="AF60" s="9375"/>
      <c r="AG60" s="9375"/>
      <c r="AH60" s="9375"/>
      <c r="AI60" s="9375"/>
      <c r="AJ60" s="9375"/>
      <c r="AK60" s="461"/>
      <c r="AL60" s="808"/>
      <c r="AM60" s="3431"/>
      <c r="AN60" s="9545"/>
      <c r="AO60" s="5793"/>
      <c r="AP60" s="5793"/>
      <c r="AQ60" s="1150"/>
      <c r="AR60" s="808"/>
      <c r="AS60" s="9351"/>
      <c r="AT60" s="9351"/>
      <c r="AU60" s="5816" t="str">
        <f>IF(AU57&gt;1000000,TEXT(AU57,"$ 0,000,000"),IF(AU57&gt;1000,TEXT(AU57,"$ 0,000"),TEXT(AU57,"$ 0")))</f>
        <v/>
      </c>
      <c r="AV60" s="5813"/>
      <c r="AW60" s="5762"/>
      <c r="BH60" s="1281"/>
      <c r="BI60" s="1281"/>
    </row>
    <row r="61" spans="1:62" ht="16.5" customHeight="1">
      <c r="A61" s="461"/>
      <c r="B61" s="9419"/>
      <c r="C61" s="9419"/>
      <c r="D61" s="9419"/>
      <c r="E61" s="9419"/>
      <c r="F61" s="9419"/>
      <c r="G61" s="9419"/>
      <c r="H61" s="9419"/>
      <c r="I61" s="9419"/>
      <c r="J61" s="9419"/>
      <c r="K61" s="9419"/>
      <c r="L61" s="9419"/>
      <c r="M61" s="9420"/>
      <c r="N61" s="9507" t="s">
        <v>5640</v>
      </c>
      <c r="O61" s="9508"/>
      <c r="P61" s="9508"/>
      <c r="Q61" s="9509"/>
      <c r="R61" s="9507" t="s">
        <v>5641</v>
      </c>
      <c r="S61" s="9508"/>
      <c r="T61" s="9508"/>
      <c r="U61" s="9509"/>
      <c r="V61" s="9377" t="s">
        <v>5642</v>
      </c>
      <c r="W61" s="9378"/>
      <c r="X61" s="9378"/>
      <c r="Y61" s="9378"/>
      <c r="Z61" s="9379"/>
      <c r="AA61" s="9520" t="s">
        <v>4367</v>
      </c>
      <c r="AB61" s="9517"/>
      <c r="AC61" s="9517"/>
      <c r="AD61" s="9517"/>
      <c r="AE61" s="9521"/>
      <c r="AF61" s="9520" t="s">
        <v>4368</v>
      </c>
      <c r="AG61" s="9517"/>
      <c r="AH61" s="9517"/>
      <c r="AI61" s="9517"/>
      <c r="AJ61" s="9517"/>
      <c r="AK61" s="461"/>
      <c r="AL61" s="808"/>
      <c r="AM61" s="23" t="s">
        <v>1113</v>
      </c>
      <c r="AN61" s="9545"/>
      <c r="AO61" s="5793"/>
      <c r="AP61" s="5793"/>
      <c r="AQ61" s="1150"/>
      <c r="AR61" s="808"/>
      <c r="AS61" s="9351"/>
      <c r="AT61" s="9351"/>
      <c r="AU61" s="5766" t="str">
        <f>IF(AO40,"",IF(AO54,SUM(AU57,MIN(AE32,AE38)),""))</f>
        <v/>
      </c>
      <c r="AV61" s="5813"/>
      <c r="AW61" s="5762"/>
      <c r="BH61" s="1281"/>
      <c r="BI61" s="1281"/>
    </row>
    <row r="62" spans="1:62" ht="16.5" customHeight="1" thickBot="1">
      <c r="A62" s="461"/>
      <c r="B62" s="9375"/>
      <c r="C62" s="9375"/>
      <c r="D62" s="9375"/>
      <c r="E62" s="9375"/>
      <c r="F62" s="9375"/>
      <c r="G62" s="9375"/>
      <c r="H62" s="9375"/>
      <c r="I62" s="9375"/>
      <c r="J62" s="9375"/>
      <c r="K62" s="9375"/>
      <c r="L62" s="9375"/>
      <c r="M62" s="9376"/>
      <c r="N62" s="9510"/>
      <c r="O62" s="9511"/>
      <c r="P62" s="9511"/>
      <c r="Q62" s="9512"/>
      <c r="R62" s="9510"/>
      <c r="S62" s="9511"/>
      <c r="T62" s="9511"/>
      <c r="U62" s="9512"/>
      <c r="V62" s="9380"/>
      <c r="W62" s="9381"/>
      <c r="X62" s="9381"/>
      <c r="Y62" s="9381"/>
      <c r="Z62" s="9382"/>
      <c r="AA62" s="9522"/>
      <c r="AB62" s="9519"/>
      <c r="AC62" s="9519"/>
      <c r="AD62" s="9519"/>
      <c r="AE62" s="9523"/>
      <c r="AF62" s="9522"/>
      <c r="AG62" s="9519"/>
      <c r="AH62" s="9519"/>
      <c r="AI62" s="9519"/>
      <c r="AJ62" s="9519"/>
      <c r="AK62" s="461"/>
      <c r="AL62" s="808"/>
      <c r="AM62" s="23" t="s">
        <v>1062</v>
      </c>
      <c r="AN62" s="9545"/>
      <c r="AO62" s="5793"/>
      <c r="AP62" s="5793"/>
      <c r="AQ62" s="1150"/>
      <c r="AR62" s="808"/>
      <c r="AS62" s="5818" t="b">
        <f>AND(AO54,File_Marr_Sep&lt;&gt;"",LivedApart)</f>
        <v>0</v>
      </c>
      <c r="AT62" s="808"/>
      <c r="AU62" s="808"/>
      <c r="AV62" s="5813"/>
      <c r="AW62" s="5762"/>
      <c r="BH62" s="1281"/>
      <c r="BI62" s="1281"/>
    </row>
    <row r="63" spans="1:62" ht="18.75" customHeight="1" thickBot="1">
      <c r="A63" s="461"/>
      <c r="B63" s="9045"/>
      <c r="C63" s="9045"/>
      <c r="D63" s="9045"/>
      <c r="E63" s="9045"/>
      <c r="F63" s="9045"/>
      <c r="G63" s="9045"/>
      <c r="H63" s="9045"/>
      <c r="I63" s="9045"/>
      <c r="J63" s="9045"/>
      <c r="K63" s="9045"/>
      <c r="L63" s="9045"/>
      <c r="M63" s="9046"/>
      <c r="N63" s="9354"/>
      <c r="O63" s="9355"/>
      <c r="P63" s="9355"/>
      <c r="Q63" s="9356"/>
      <c r="R63" s="9354"/>
      <c r="S63" s="9355"/>
      <c r="T63" s="9355"/>
      <c r="U63" s="9356"/>
      <c r="V63" s="9354"/>
      <c r="W63" s="9355"/>
      <c r="X63" s="9355"/>
      <c r="Y63" s="9355"/>
      <c r="Z63" s="9356"/>
      <c r="AA63" s="9357" t="str">
        <f>IF(AND(AM63&lt;&gt;"",AM63&gt;0),ROUND(AM63,0),IF(AND(AM63&lt;&gt;"",AM63&lt;0),"",IF(SUM(N63,-R63,-V63)&gt;0,SUM(N63,-R63,-V63),"")))</f>
        <v/>
      </c>
      <c r="AB63" s="9358"/>
      <c r="AC63" s="9358"/>
      <c r="AD63" s="9358"/>
      <c r="AE63" s="9359"/>
      <c r="AF63" s="9357" t="str">
        <f>IF(AND(AM63&lt;&gt;"",AM63&lt;0),-ROUND(AM63,0),IF(AND(AM63&lt;&gt;"",AM63&gt;0),"",IF(SUM(N63,-R63,-V63)&lt;0,-SUM(N63,-R63,-V63),"")))</f>
        <v/>
      </c>
      <c r="AG63" s="9358"/>
      <c r="AH63" s="9358"/>
      <c r="AI63" s="9358"/>
      <c r="AJ63" s="9358"/>
      <c r="AK63" s="461"/>
      <c r="AL63" s="808"/>
      <c r="AM63" s="3521"/>
      <c r="AN63" s="1579"/>
      <c r="AO63" s="5794"/>
      <c r="AP63" s="5794"/>
      <c r="AQ63" s="2220"/>
      <c r="AR63" s="2952" t="s">
        <v>5474</v>
      </c>
      <c r="AS63" s="5804"/>
      <c r="AT63" s="5804"/>
      <c r="AU63" s="5804"/>
      <c r="AV63" s="5772"/>
      <c r="AW63" s="5762"/>
    </row>
    <row r="64" spans="1:62" ht="18.75" customHeight="1" thickBot="1">
      <c r="A64" s="461"/>
      <c r="B64" s="9045"/>
      <c r="C64" s="9045"/>
      <c r="D64" s="9045"/>
      <c r="E64" s="9045"/>
      <c r="F64" s="9045"/>
      <c r="G64" s="9045"/>
      <c r="H64" s="9045"/>
      <c r="I64" s="9045"/>
      <c r="J64" s="9045"/>
      <c r="K64" s="9045"/>
      <c r="L64" s="9045"/>
      <c r="M64" s="9046"/>
      <c r="N64" s="9354"/>
      <c r="O64" s="9355"/>
      <c r="P64" s="9355"/>
      <c r="Q64" s="9356"/>
      <c r="R64" s="9354"/>
      <c r="S64" s="9355"/>
      <c r="T64" s="9355"/>
      <c r="U64" s="9356"/>
      <c r="V64" s="9354"/>
      <c r="W64" s="9355"/>
      <c r="X64" s="9355"/>
      <c r="Y64" s="9355"/>
      <c r="Z64" s="9356"/>
      <c r="AA64" s="9357" t="str">
        <f>IF(AND(AM64&lt;&gt;"",AM64&gt;0),ROUND(AM64,0),IF(AND(AM64&lt;&gt;"",AM64&lt;0),"",IF(SUM(N64,-R64,-V64)&gt;0,SUM(N64,-R64,-V64),"")))</f>
        <v/>
      </c>
      <c r="AB64" s="9358"/>
      <c r="AC64" s="9358"/>
      <c r="AD64" s="9358"/>
      <c r="AE64" s="9359"/>
      <c r="AF64" s="9357" t="str">
        <f>IF(AND(AM64&lt;&gt;"",AM64&lt;0),-ROUND(AM64,0),IF(AND(AM64&lt;&gt;"",AM64&gt;0),"",IF(SUM(N64,-R64,-V64)&lt;0,-SUM(N64,-R64,-V64),"")))</f>
        <v/>
      </c>
      <c r="AG64" s="9358"/>
      <c r="AH64" s="9358"/>
      <c r="AI64" s="9358"/>
      <c r="AJ64" s="9358"/>
      <c r="AK64" s="461"/>
      <c r="AL64" s="3653"/>
      <c r="AM64" s="3521"/>
      <c r="AN64" s="1579"/>
      <c r="AO64" s="5794"/>
      <c r="AP64" s="5794"/>
      <c r="AQ64" s="5783"/>
      <c r="AR64" s="5806" t="s">
        <v>5476</v>
      </c>
      <c r="AS64" s="5804"/>
      <c r="AT64" s="5804"/>
      <c r="AU64" s="5804"/>
      <c r="AV64" s="1151"/>
      <c r="AW64" s="1579"/>
    </row>
    <row r="65" spans="1:62" ht="18.75" customHeight="1" thickBot="1">
      <c r="A65" s="461"/>
      <c r="B65" s="9045"/>
      <c r="C65" s="9045"/>
      <c r="D65" s="9045"/>
      <c r="E65" s="9045"/>
      <c r="F65" s="9045"/>
      <c r="G65" s="9045"/>
      <c r="H65" s="9045"/>
      <c r="I65" s="9045"/>
      <c r="J65" s="9045"/>
      <c r="K65" s="9045"/>
      <c r="L65" s="9045"/>
      <c r="M65" s="9046"/>
      <c r="N65" s="9354"/>
      <c r="O65" s="9355"/>
      <c r="P65" s="9355"/>
      <c r="Q65" s="9356"/>
      <c r="R65" s="9354"/>
      <c r="S65" s="9355"/>
      <c r="T65" s="9355"/>
      <c r="U65" s="9356"/>
      <c r="V65" s="9354"/>
      <c r="W65" s="9355"/>
      <c r="X65" s="9355"/>
      <c r="Y65" s="9355"/>
      <c r="Z65" s="9356"/>
      <c r="AA65" s="9357" t="str">
        <f>IF(AND(AM65&lt;&gt;"",AM65&gt;0),ROUND(AM65,0),IF(AND(AM65&lt;&gt;"",AM65&lt;0),"",IF(SUM(N65,-R65,-V65)&gt;0,SUM(N65,-R65,-V65),"")))</f>
        <v/>
      </c>
      <c r="AB65" s="9358"/>
      <c r="AC65" s="9358"/>
      <c r="AD65" s="9358"/>
      <c r="AE65" s="9359"/>
      <c r="AF65" s="9357" t="str">
        <f>IF(AND(AM65&lt;&gt;"",AM65&lt;0),-ROUND(AM65,0),IF(AND(AM65&lt;&gt;"",AM65&gt;0),"",IF(SUM(N65,-R65,-V65)&lt;0,-SUM(N65,-R65,-V65),"")))</f>
        <v/>
      </c>
      <c r="AG65" s="9358"/>
      <c r="AH65" s="9358"/>
      <c r="AI65" s="9358"/>
      <c r="AJ65" s="9358"/>
      <c r="AK65" s="461"/>
      <c r="AL65" s="3653"/>
      <c r="AM65" s="3521"/>
      <c r="AN65" s="1579"/>
      <c r="AO65" s="5794"/>
      <c r="AP65" s="5794"/>
      <c r="AQ65" s="1150"/>
      <c r="AR65" s="5806" t="s">
        <v>5475</v>
      </c>
      <c r="AS65" s="5804"/>
      <c r="AT65" s="808"/>
      <c r="AU65" s="5808">
        <f>IF(AND(File_Marr_Sep&lt;&gt;"",LivedApart),AO37/2,AO37)</f>
        <v>25000</v>
      </c>
      <c r="AV65" s="1151"/>
      <c r="AW65" s="1579"/>
    </row>
    <row r="66" spans="1:62" ht="18.75" customHeight="1" thickBot="1">
      <c r="A66" s="461"/>
      <c r="B66" s="9045"/>
      <c r="C66" s="9045"/>
      <c r="D66" s="9045"/>
      <c r="E66" s="9045"/>
      <c r="F66" s="9045"/>
      <c r="G66" s="9045"/>
      <c r="H66" s="9045"/>
      <c r="I66" s="9045"/>
      <c r="J66" s="9045"/>
      <c r="K66" s="9045"/>
      <c r="L66" s="9045"/>
      <c r="M66" s="9046"/>
      <c r="N66" s="9354"/>
      <c r="O66" s="9355"/>
      <c r="P66" s="9355"/>
      <c r="Q66" s="9356"/>
      <c r="R66" s="9354"/>
      <c r="S66" s="9355"/>
      <c r="T66" s="9355"/>
      <c r="U66" s="9356"/>
      <c r="V66" s="9354"/>
      <c r="W66" s="9355"/>
      <c r="X66" s="9355"/>
      <c r="Y66" s="9355"/>
      <c r="Z66" s="9356"/>
      <c r="AA66" s="9357" t="str">
        <f>IF(AND(AM66&lt;&gt;"",AM66&gt;0),ROUND(AM66,0),IF(AND(AM66&lt;&gt;"",AM66&lt;0),"",IF(SUM(N66,-R66,-V66)&gt;0,SUM(N66,-R66,-V66),"")))</f>
        <v/>
      </c>
      <c r="AB66" s="9358"/>
      <c r="AC66" s="9358"/>
      <c r="AD66" s="9358"/>
      <c r="AE66" s="9359"/>
      <c r="AF66" s="9357" t="str">
        <f>IF(AND(AM66&lt;&gt;"",AM66&lt;0),-ROUND(AM66,0),IF(AND(AM66&lt;&gt;"",AM66&gt;0),"",IF(SUM(N66,-R66,-V66)&lt;0,-SUM(N66,-R66,-V66),"")))</f>
        <v/>
      </c>
      <c r="AG66" s="9358"/>
      <c r="AH66" s="9358"/>
      <c r="AI66" s="9358"/>
      <c r="AJ66" s="9358"/>
      <c r="AK66" s="461"/>
      <c r="AL66" s="3653"/>
      <c r="AM66" s="3521"/>
      <c r="AN66" s="1579"/>
      <c r="AO66" s="5794"/>
      <c r="AP66" s="5794"/>
      <c r="AQ66" s="5784"/>
      <c r="AR66" s="5805"/>
      <c r="AS66" s="5805"/>
      <c r="AT66" s="5805"/>
      <c r="AU66" s="5805"/>
      <c r="AV66" s="2391"/>
      <c r="AW66" s="1579"/>
    </row>
    <row r="67" spans="1:62" ht="18.75" customHeight="1" thickBot="1">
      <c r="A67" s="461"/>
      <c r="B67" s="9414"/>
      <c r="C67" s="9414"/>
      <c r="D67" s="9414"/>
      <c r="E67" s="9414"/>
      <c r="F67" s="9414"/>
      <c r="G67" s="9414"/>
      <c r="H67" s="9414"/>
      <c r="I67" s="9414"/>
      <c r="J67" s="9414"/>
      <c r="K67" s="9414"/>
      <c r="L67" s="9414"/>
      <c r="M67" s="9415"/>
      <c r="N67" s="9489"/>
      <c r="O67" s="9490"/>
      <c r="P67" s="9490"/>
      <c r="Q67" s="9491"/>
      <c r="R67" s="9489"/>
      <c r="S67" s="9490"/>
      <c r="T67" s="9490"/>
      <c r="U67" s="9491"/>
      <c r="V67" s="9489"/>
      <c r="W67" s="9490"/>
      <c r="X67" s="9490"/>
      <c r="Y67" s="9490"/>
      <c r="Z67" s="9491"/>
      <c r="AA67" s="9357" t="str">
        <f>IF(AND(AM67&lt;&gt;"",AM67&gt;0),ROUND(AM67,0),IF(AND(AM67&lt;&gt;"",AM67&lt;0),"",IF(SUM(N67,-R67,-V67)&gt;0,SUM(N67,-R67,-V67),"")))</f>
        <v/>
      </c>
      <c r="AB67" s="9358"/>
      <c r="AC67" s="9358"/>
      <c r="AD67" s="9358"/>
      <c r="AE67" s="9359"/>
      <c r="AF67" s="9357" t="str">
        <f>IF(AND(AM67&lt;&gt;"",AM67&lt;0),-ROUND(AM67,0),IF(AND(AM67&lt;&gt;"",AM67&gt;0),"",IF(SUM(N67,-R67,-V67)&lt;0,-SUM(N67,-R67,-V67),"")))</f>
        <v/>
      </c>
      <c r="AG67" s="9358"/>
      <c r="AH67" s="9358"/>
      <c r="AI67" s="9358"/>
      <c r="AJ67" s="9358"/>
      <c r="AK67" s="461"/>
      <c r="AL67" s="1376"/>
      <c r="AM67" s="3521"/>
      <c r="AN67" s="1579"/>
      <c r="AO67" s="5794"/>
      <c r="AP67" s="5794"/>
      <c r="AQ67" s="2173"/>
      <c r="AR67" s="808"/>
      <c r="AS67" s="808"/>
      <c r="AT67" s="808"/>
      <c r="AU67" s="808"/>
      <c r="AV67" s="808"/>
      <c r="AW67" s="1579"/>
    </row>
    <row r="68" spans="1:62" ht="16.5" customHeight="1">
      <c r="A68" s="461"/>
      <c r="B68" s="890"/>
      <c r="C68" s="5733"/>
      <c r="D68" s="5733"/>
      <c r="E68" s="5733"/>
      <c r="F68" s="5733"/>
      <c r="G68" s="5733"/>
      <c r="H68" s="5733"/>
      <c r="I68" s="5733"/>
      <c r="J68" s="5733"/>
      <c r="K68" s="5733"/>
      <c r="L68" s="5733"/>
      <c r="M68" s="5733"/>
      <c r="N68" s="9553">
        <f>SUM(ROUND(N63,0),ROUND(N64,0),ROUND(N65,0),ROUND(N66,0),ROUND(N67,0))</f>
        <v>0</v>
      </c>
      <c r="O68" s="9554"/>
      <c r="P68" s="9554"/>
      <c r="Q68" s="9555"/>
      <c r="R68" s="9556">
        <f>SUM(ROUND(R63,0),ROUND(R64,0),ROUND(R65,0),ROUND(R66,0),ROUND(R67,0))</f>
        <v>0</v>
      </c>
      <c r="S68" s="9557"/>
      <c r="T68" s="9557"/>
      <c r="U68" s="9558"/>
      <c r="V68" s="9556">
        <f>SUM(ROUND(V63,0),ROUND(V64,0),ROUND(V65,0),ROUND(V66,0),ROUND(V67,0))</f>
        <v>0</v>
      </c>
      <c r="W68" s="9557"/>
      <c r="X68" s="9557"/>
      <c r="Y68" s="9557"/>
      <c r="Z68" s="9558"/>
      <c r="AA68" s="9534"/>
      <c r="AB68" s="9535"/>
      <c r="AC68" s="9535"/>
      <c r="AD68" s="9535"/>
      <c r="AE68" s="9536"/>
      <c r="AF68" s="9534"/>
      <c r="AG68" s="9535"/>
      <c r="AH68" s="9535"/>
      <c r="AI68" s="9535"/>
      <c r="AJ68" s="9535"/>
      <c r="AK68" s="461"/>
      <c r="AL68" s="1376"/>
      <c r="AM68" s="2590"/>
      <c r="AN68" s="808"/>
      <c r="AO68" s="3837"/>
      <c r="AP68" s="3837"/>
      <c r="AQ68" s="808"/>
      <c r="AR68" s="808"/>
      <c r="AS68" s="808"/>
      <c r="AT68" s="808"/>
      <c r="AU68" s="808"/>
      <c r="AV68" s="1579"/>
      <c r="AW68" s="1579"/>
      <c r="BJ68" s="1268"/>
    </row>
    <row r="69" spans="1:62" ht="16.5" customHeight="1" thickBot="1">
      <c r="A69" s="461"/>
      <c r="B69" s="3444" t="s">
        <v>5435</v>
      </c>
      <c r="C69" s="5357"/>
      <c r="D69" s="5357"/>
      <c r="E69" s="5357"/>
      <c r="F69" s="5357"/>
      <c r="G69" s="5357"/>
      <c r="H69" s="5357"/>
      <c r="I69" s="5357"/>
      <c r="J69" s="5357"/>
      <c r="K69" s="5357"/>
      <c r="L69" s="5357"/>
      <c r="M69" s="5357" t="s">
        <v>939</v>
      </c>
      <c r="N69" s="9395" t="str">
        <f>IF(OR(N68=0,ISERROR(N68)),"",N68)</f>
        <v/>
      </c>
      <c r="O69" s="9396"/>
      <c r="P69" s="9396"/>
      <c r="Q69" s="9397"/>
      <c r="R69" s="9395" t="str">
        <f>IF(OR(R68=0,ISERROR(R68)),"",R68)</f>
        <v/>
      </c>
      <c r="S69" s="9396"/>
      <c r="T69" s="9396"/>
      <c r="U69" s="9397"/>
      <c r="V69" s="9395" t="str">
        <f>IF(OR(V68=0,ISERROR(V68)),"",V68)</f>
        <v/>
      </c>
      <c r="W69" s="9396"/>
      <c r="X69" s="9396"/>
      <c r="Y69" s="9396"/>
      <c r="Z69" s="9397"/>
      <c r="AA69" s="9537"/>
      <c r="AB69" s="9538"/>
      <c r="AC69" s="9538"/>
      <c r="AD69" s="9538"/>
      <c r="AE69" s="9539"/>
      <c r="AF69" s="9537"/>
      <c r="AG69" s="9538"/>
      <c r="AH69" s="9538"/>
      <c r="AI69" s="9538"/>
      <c r="AJ69" s="9538"/>
      <c r="AK69" s="461"/>
      <c r="AL69" s="2175"/>
      <c r="AM69" s="892"/>
      <c r="AN69" s="808"/>
      <c r="AO69" s="3837"/>
      <c r="AP69" s="3837"/>
      <c r="AQ69" s="808"/>
      <c r="AR69" s="808"/>
      <c r="AS69" s="808"/>
      <c r="AT69" s="808"/>
      <c r="AU69" s="808"/>
      <c r="AV69" s="808"/>
      <c r="AW69" s="808"/>
    </row>
    <row r="70" spans="1:62" s="2690" customFormat="1" ht="16.5" customHeight="1">
      <c r="A70" s="461"/>
      <c r="B70" s="9450" t="s">
        <v>3803</v>
      </c>
      <c r="C70" s="9450"/>
      <c r="D70" s="3615"/>
      <c r="E70" s="3633" t="s">
        <v>4372</v>
      </c>
      <c r="F70" s="890"/>
      <c r="G70" s="890"/>
      <c r="H70" s="890"/>
      <c r="I70" s="890"/>
      <c r="J70" s="890"/>
      <c r="K70" s="890"/>
      <c r="L70" s="890"/>
      <c r="M70" s="890"/>
      <c r="N70" s="890"/>
      <c r="O70" s="890"/>
      <c r="P70" s="890"/>
      <c r="Q70" s="890"/>
      <c r="R70" s="890"/>
      <c r="S70" s="890"/>
      <c r="T70" s="890"/>
      <c r="U70" s="890"/>
      <c r="V70" s="890"/>
      <c r="W70" s="890"/>
      <c r="X70" s="890"/>
      <c r="Y70" s="890"/>
      <c r="Z70" s="890"/>
      <c r="AA70" s="890"/>
      <c r="AB70" s="890"/>
      <c r="AC70" s="890"/>
      <c r="AD70" s="890"/>
      <c r="AE70" s="890"/>
      <c r="AF70" s="890"/>
      <c r="AG70" s="890"/>
      <c r="AH70" s="890"/>
      <c r="AI70" s="890"/>
      <c r="AJ70" s="890"/>
      <c r="AK70" s="461"/>
      <c r="AL70" s="4088"/>
      <c r="AM70" s="5776"/>
      <c r="AN70" s="3653"/>
      <c r="AO70" s="5792" t="b">
        <f>AND(F8582_Line9&lt;&gt;"",F8582_Line9&lt;&gt;0)</f>
        <v>0</v>
      </c>
      <c r="AP70" s="5792"/>
      <c r="AQ70" s="808"/>
      <c r="AR70" s="808"/>
      <c r="AS70" s="808"/>
      <c r="AT70" s="808"/>
      <c r="AU70" s="808"/>
      <c r="AV70" s="808"/>
      <c r="AW70" s="808"/>
      <c r="AX70" s="5768"/>
      <c r="AY70" s="2038"/>
      <c r="AZ70" s="2038"/>
      <c r="BA70" s="2038"/>
      <c r="BB70" s="2038"/>
      <c r="BC70" s="2038"/>
      <c r="BD70" s="2038"/>
      <c r="BE70" s="2038"/>
      <c r="BF70" s="2038"/>
      <c r="BG70" s="2038"/>
      <c r="BH70" s="39"/>
      <c r="BI70" s="39"/>
    </row>
    <row r="71" spans="1:62" ht="16.5" customHeight="1">
      <c r="A71" s="461"/>
      <c r="B71" s="9372" t="s">
        <v>4363</v>
      </c>
      <c r="C71" s="9372"/>
      <c r="D71" s="9372"/>
      <c r="E71" s="9372"/>
      <c r="F71" s="9372"/>
      <c r="G71" s="9372"/>
      <c r="H71" s="9372"/>
      <c r="I71" s="9372"/>
      <c r="J71" s="9372"/>
      <c r="K71" s="9372"/>
      <c r="L71" s="9372"/>
      <c r="M71" s="9373"/>
      <c r="N71" s="9498" t="s">
        <v>4373</v>
      </c>
      <c r="O71" s="9499"/>
      <c r="P71" s="9499"/>
      <c r="Q71" s="9500"/>
      <c r="R71" s="9386" t="s">
        <v>5419</v>
      </c>
      <c r="S71" s="9387"/>
      <c r="T71" s="9387"/>
      <c r="U71" s="9388"/>
      <c r="V71" s="9377" t="s">
        <v>4374</v>
      </c>
      <c r="W71" s="9378"/>
      <c r="X71" s="9378"/>
      <c r="Y71" s="9378"/>
      <c r="Z71" s="9379"/>
      <c r="AA71" s="9386" t="s">
        <v>4375</v>
      </c>
      <c r="AB71" s="9387"/>
      <c r="AC71" s="9387"/>
      <c r="AD71" s="9387"/>
      <c r="AE71" s="9388"/>
      <c r="AF71" s="9387" t="s">
        <v>4376</v>
      </c>
      <c r="AG71" s="9517"/>
      <c r="AH71" s="9517"/>
      <c r="AI71" s="9517"/>
      <c r="AJ71" s="9517"/>
      <c r="AK71" s="461"/>
      <c r="AL71" s="808"/>
      <c r="AM71" s="808"/>
      <c r="AN71" s="808"/>
      <c r="AO71" s="5792" t="b">
        <f>NOT(AO70)</f>
        <v>1</v>
      </c>
      <c r="AP71" s="3837"/>
      <c r="AQ71" s="808"/>
      <c r="AR71" s="808"/>
      <c r="AS71" s="808"/>
      <c r="AT71" s="808"/>
      <c r="AU71" s="808"/>
      <c r="AV71" s="3653"/>
      <c r="AW71" s="3653"/>
      <c r="BH71" s="1281"/>
      <c r="BI71" s="1281"/>
    </row>
    <row r="72" spans="1:62" ht="16.5" customHeight="1">
      <c r="A72" s="461"/>
      <c r="B72" s="9419"/>
      <c r="C72" s="9419"/>
      <c r="D72" s="9419"/>
      <c r="E72" s="9419"/>
      <c r="F72" s="9419"/>
      <c r="G72" s="9419"/>
      <c r="H72" s="9419"/>
      <c r="I72" s="9419"/>
      <c r="J72" s="9419"/>
      <c r="K72" s="9419"/>
      <c r="L72" s="9419"/>
      <c r="M72" s="9420"/>
      <c r="N72" s="9501"/>
      <c r="O72" s="9502"/>
      <c r="P72" s="9502"/>
      <c r="Q72" s="9503"/>
      <c r="R72" s="9389"/>
      <c r="S72" s="9390"/>
      <c r="T72" s="9390"/>
      <c r="U72" s="9391"/>
      <c r="V72" s="9383"/>
      <c r="W72" s="9384"/>
      <c r="X72" s="9384"/>
      <c r="Y72" s="9384"/>
      <c r="Z72" s="9385"/>
      <c r="AA72" s="9389"/>
      <c r="AB72" s="9390"/>
      <c r="AC72" s="9390"/>
      <c r="AD72" s="9390"/>
      <c r="AE72" s="9391"/>
      <c r="AF72" s="9518"/>
      <c r="AG72" s="9518"/>
      <c r="AH72" s="9518"/>
      <c r="AI72" s="9518"/>
      <c r="AJ72" s="9518"/>
      <c r="AK72" s="461"/>
      <c r="AL72" s="808"/>
      <c r="AM72" s="3431"/>
      <c r="AN72" s="808"/>
      <c r="AO72" s="3837"/>
      <c r="AP72" s="3837"/>
      <c r="AQ72" s="2173"/>
      <c r="AR72" s="2173"/>
      <c r="AS72" s="808"/>
      <c r="AT72" s="808"/>
      <c r="AU72" s="808"/>
      <c r="AV72" s="808"/>
      <c r="AW72" s="808"/>
      <c r="BH72" s="1281"/>
      <c r="BI72" s="1281"/>
    </row>
    <row r="73" spans="1:62" ht="16.5" customHeight="1">
      <c r="A73" s="461"/>
      <c r="B73" s="9419"/>
      <c r="C73" s="9419"/>
      <c r="D73" s="9419"/>
      <c r="E73" s="9419"/>
      <c r="F73" s="9419"/>
      <c r="G73" s="9419"/>
      <c r="H73" s="9419"/>
      <c r="I73" s="9419"/>
      <c r="J73" s="9419"/>
      <c r="K73" s="9419"/>
      <c r="L73" s="9419"/>
      <c r="M73" s="9420"/>
      <c r="N73" s="9501"/>
      <c r="O73" s="9502"/>
      <c r="P73" s="9502"/>
      <c r="Q73" s="9503"/>
      <c r="R73" s="9389"/>
      <c r="S73" s="9390"/>
      <c r="T73" s="9390"/>
      <c r="U73" s="9391"/>
      <c r="V73" s="9383"/>
      <c r="W73" s="9384"/>
      <c r="X73" s="9384"/>
      <c r="Y73" s="9384"/>
      <c r="Z73" s="9385"/>
      <c r="AA73" s="9389"/>
      <c r="AB73" s="9390"/>
      <c r="AC73" s="9390"/>
      <c r="AD73" s="9390"/>
      <c r="AE73" s="9391"/>
      <c r="AF73" s="9518"/>
      <c r="AG73" s="9518"/>
      <c r="AH73" s="9518"/>
      <c r="AI73" s="9518"/>
      <c r="AJ73" s="9518"/>
      <c r="AK73" s="461"/>
      <c r="AL73" s="808"/>
      <c r="AM73" s="23" t="s">
        <v>1113</v>
      </c>
      <c r="AN73" s="808"/>
      <c r="AO73" s="3837"/>
      <c r="AP73" s="3837"/>
      <c r="AQ73" s="2173"/>
      <c r="AR73" s="2173"/>
      <c r="AS73" s="2173"/>
      <c r="AT73" s="2173"/>
      <c r="AU73" s="2173"/>
      <c r="AV73" s="808"/>
      <c r="AW73" s="808"/>
      <c r="BH73" s="1281"/>
      <c r="BI73" s="1281"/>
    </row>
    <row r="74" spans="1:62" ht="16.5" customHeight="1" thickBot="1">
      <c r="A74" s="461"/>
      <c r="B74" s="9375"/>
      <c r="C74" s="9375"/>
      <c r="D74" s="9375"/>
      <c r="E74" s="9375"/>
      <c r="F74" s="9375"/>
      <c r="G74" s="9375"/>
      <c r="H74" s="9375"/>
      <c r="I74" s="9375"/>
      <c r="J74" s="9375"/>
      <c r="K74" s="9375"/>
      <c r="L74" s="9375"/>
      <c r="M74" s="9376"/>
      <c r="N74" s="9504"/>
      <c r="O74" s="9505"/>
      <c r="P74" s="9505"/>
      <c r="Q74" s="9506"/>
      <c r="R74" s="9392"/>
      <c r="S74" s="9393"/>
      <c r="T74" s="9393"/>
      <c r="U74" s="9394"/>
      <c r="V74" s="9380"/>
      <c r="W74" s="9381"/>
      <c r="X74" s="9381"/>
      <c r="Y74" s="9381"/>
      <c r="Z74" s="9382"/>
      <c r="AA74" s="9392"/>
      <c r="AB74" s="9393"/>
      <c r="AC74" s="9393"/>
      <c r="AD74" s="9393"/>
      <c r="AE74" s="9394"/>
      <c r="AF74" s="9519"/>
      <c r="AG74" s="9519"/>
      <c r="AH74" s="9519"/>
      <c r="AI74" s="9519"/>
      <c r="AJ74" s="9519"/>
      <c r="AK74" s="461"/>
      <c r="AL74" s="808"/>
      <c r="AM74" s="23" t="s">
        <v>1062</v>
      </c>
      <c r="AN74" s="808"/>
      <c r="AO74" s="3837"/>
      <c r="AP74" s="3837"/>
      <c r="AQ74" s="2173"/>
      <c r="AR74" s="2173"/>
      <c r="AS74" s="2173"/>
      <c r="AT74" s="2173"/>
      <c r="AU74" s="2173"/>
      <c r="AV74" s="808"/>
      <c r="AW74" s="808"/>
      <c r="BH74" s="1281"/>
      <c r="BI74" s="1281"/>
    </row>
    <row r="75" spans="1:62" ht="18.75" customHeight="1" thickBot="1">
      <c r="A75" s="461"/>
      <c r="B75" s="9045"/>
      <c r="C75" s="9045"/>
      <c r="D75" s="9045"/>
      <c r="E75" s="9045"/>
      <c r="F75" s="9045"/>
      <c r="G75" s="9045"/>
      <c r="H75" s="9045"/>
      <c r="I75" s="9045"/>
      <c r="J75" s="9045"/>
      <c r="K75" s="9045"/>
      <c r="L75" s="9045"/>
      <c r="M75" s="9046"/>
      <c r="N75" s="9411"/>
      <c r="O75" s="9412"/>
      <c r="P75" s="9412"/>
      <c r="Q75" s="9413"/>
      <c r="R75" s="9354"/>
      <c r="S75" s="9355"/>
      <c r="T75" s="9355"/>
      <c r="U75" s="9356"/>
      <c r="V75" s="9399" t="str">
        <f>IF(OR($AO$71,R75=""),"",R75/$R$81)</f>
        <v/>
      </c>
      <c r="W75" s="9400"/>
      <c r="X75" s="9400"/>
      <c r="Y75" s="9400"/>
      <c r="Z75" s="9401"/>
      <c r="AA75" s="9357" t="str">
        <f>IF(OR($AO$71,R75=""),"",ROUND(F8582_Line9*V75,0))</f>
        <v/>
      </c>
      <c r="AB75" s="9358"/>
      <c r="AC75" s="9358"/>
      <c r="AD75" s="9358"/>
      <c r="AE75" s="9359"/>
      <c r="AF75" s="9357" t="str">
        <f>IF(AM75&lt;&gt;"",ROUND(AM75,0),IF(OR($AO$71,R75=""),"",IF(AND(R75&lt;&gt;"",AA75&lt;&gt;""),SUM(ROUND(R75,0),-AA75),"")))</f>
        <v/>
      </c>
      <c r="AG75" s="9358"/>
      <c r="AH75" s="9358"/>
      <c r="AI75" s="9358"/>
      <c r="AJ75" s="9358"/>
      <c r="AK75" s="461"/>
      <c r="AL75" s="874">
        <f>IF(R75&lt;&gt;"",1,0)</f>
        <v>0</v>
      </c>
      <c r="AM75" s="3521"/>
      <c r="AN75" s="808"/>
      <c r="AO75" s="3837"/>
      <c r="AP75" s="3837"/>
      <c r="AQ75" s="2173"/>
      <c r="AR75" s="2173"/>
      <c r="AS75" s="2173"/>
      <c r="AT75" s="2173"/>
      <c r="AU75" s="2173"/>
      <c r="AV75" s="808"/>
      <c r="AW75" s="808"/>
    </row>
    <row r="76" spans="1:62" ht="18.75" customHeight="1" thickBot="1">
      <c r="A76" s="461"/>
      <c r="B76" s="9045"/>
      <c r="C76" s="9045"/>
      <c r="D76" s="9045"/>
      <c r="E76" s="9045"/>
      <c r="F76" s="9045"/>
      <c r="G76" s="9045"/>
      <c r="H76" s="9045"/>
      <c r="I76" s="9045"/>
      <c r="J76" s="9045"/>
      <c r="K76" s="9045"/>
      <c r="L76" s="9045"/>
      <c r="M76" s="9046"/>
      <c r="N76" s="9411"/>
      <c r="O76" s="9412"/>
      <c r="P76" s="9412"/>
      <c r="Q76" s="9413"/>
      <c r="R76" s="9354"/>
      <c r="S76" s="9355"/>
      <c r="T76" s="9355"/>
      <c r="U76" s="9356"/>
      <c r="V76" s="9399" t="str">
        <f>IF(OR($AO$71,R76=""),"",R76/$R$81)</f>
        <v/>
      </c>
      <c r="W76" s="9400"/>
      <c r="X76" s="9400"/>
      <c r="Y76" s="9400"/>
      <c r="Z76" s="9401"/>
      <c r="AA76" s="9357" t="str">
        <f>IF(OR($AO$71,R76=""),"",ROUND(F8582_Line9*V76,0))</f>
        <v/>
      </c>
      <c r="AB76" s="9358"/>
      <c r="AC76" s="9358"/>
      <c r="AD76" s="9358"/>
      <c r="AE76" s="9359"/>
      <c r="AF76" s="9357" t="str">
        <f>IF(AM76&lt;&gt;"",ROUND(AM76,0),IF(OR($AO$71,R76=""),"",IF(AND(R76&lt;&gt;"",AA76&lt;&gt;""),SUM(ROUND(R76,0),-AA76),"")))</f>
        <v/>
      </c>
      <c r="AG76" s="9358"/>
      <c r="AH76" s="9358"/>
      <c r="AI76" s="9358"/>
      <c r="AJ76" s="9358"/>
      <c r="AK76" s="461"/>
      <c r="AL76" s="874">
        <f>IF(R76&lt;&gt;"",1,0)</f>
        <v>0</v>
      </c>
      <c r="AM76" s="3521"/>
      <c r="AN76" s="3653"/>
      <c r="AO76" s="5792"/>
      <c r="AP76" s="5792"/>
      <c r="AQ76" s="808"/>
      <c r="AR76" s="808"/>
      <c r="AS76" s="2173"/>
      <c r="AT76" s="2173"/>
      <c r="AU76" s="2173"/>
      <c r="AV76" s="808"/>
      <c r="AW76" s="808"/>
    </row>
    <row r="77" spans="1:62" ht="18.75" customHeight="1" thickBot="1">
      <c r="A77" s="461"/>
      <c r="B77" s="9045"/>
      <c r="C77" s="9045"/>
      <c r="D77" s="9045"/>
      <c r="E77" s="9045"/>
      <c r="F77" s="9045"/>
      <c r="G77" s="9045"/>
      <c r="H77" s="9045"/>
      <c r="I77" s="9045"/>
      <c r="J77" s="9045"/>
      <c r="K77" s="9045"/>
      <c r="L77" s="9045"/>
      <c r="M77" s="9046"/>
      <c r="N77" s="9411"/>
      <c r="O77" s="9412"/>
      <c r="P77" s="9412"/>
      <c r="Q77" s="9413"/>
      <c r="R77" s="9354"/>
      <c r="S77" s="9355"/>
      <c r="T77" s="9355"/>
      <c r="U77" s="9356"/>
      <c r="V77" s="9399" t="str">
        <f>IF(OR($AO$71,R77=""),"",R77/$R$81)</f>
        <v/>
      </c>
      <c r="W77" s="9400"/>
      <c r="X77" s="9400"/>
      <c r="Y77" s="9400"/>
      <c r="Z77" s="9401"/>
      <c r="AA77" s="9357" t="str">
        <f>IF(OR($AO$71,R77=""),"",ROUND(F8582_Line9*V77,0))</f>
        <v/>
      </c>
      <c r="AB77" s="9358"/>
      <c r="AC77" s="9358"/>
      <c r="AD77" s="9358"/>
      <c r="AE77" s="9359"/>
      <c r="AF77" s="9357" t="str">
        <f>IF(AM77&lt;&gt;"",ROUND(AM77,0),IF(OR($AO$71,R77=""),"",IF(AND(R77&lt;&gt;"",AA77&lt;&gt;""),SUM(ROUND(R77,0),-AA77),"")))</f>
        <v/>
      </c>
      <c r="AG77" s="9358"/>
      <c r="AH77" s="9358"/>
      <c r="AI77" s="9358"/>
      <c r="AJ77" s="9358"/>
      <c r="AK77" s="461"/>
      <c r="AL77" s="874">
        <f>IF(R77&lt;&gt;"",1,0)</f>
        <v>0</v>
      </c>
      <c r="AM77" s="3521"/>
      <c r="AN77" s="3653"/>
      <c r="AO77" s="5792"/>
      <c r="AP77" s="5792"/>
      <c r="AQ77" s="808"/>
      <c r="AR77" s="808"/>
      <c r="AS77" s="808"/>
      <c r="AT77" s="808"/>
      <c r="AU77" s="808"/>
      <c r="AV77" s="3653"/>
      <c r="AW77" s="3653"/>
    </row>
    <row r="78" spans="1:62" ht="18.75" customHeight="1" thickBot="1">
      <c r="A78" s="461"/>
      <c r="B78" s="9045"/>
      <c r="C78" s="9045"/>
      <c r="D78" s="9045"/>
      <c r="E78" s="9045"/>
      <c r="F78" s="9045"/>
      <c r="G78" s="9045"/>
      <c r="H78" s="9045"/>
      <c r="I78" s="9045"/>
      <c r="J78" s="9045"/>
      <c r="K78" s="9045"/>
      <c r="L78" s="9045"/>
      <c r="M78" s="9046"/>
      <c r="N78" s="9411"/>
      <c r="O78" s="9412"/>
      <c r="P78" s="9412"/>
      <c r="Q78" s="9413"/>
      <c r="R78" s="9354"/>
      <c r="S78" s="9355"/>
      <c r="T78" s="9355"/>
      <c r="U78" s="9356"/>
      <c r="V78" s="9399" t="str">
        <f>IF(OR($AO$71,R78=""),"",R78/$R$81)</f>
        <v/>
      </c>
      <c r="W78" s="9400"/>
      <c r="X78" s="9400"/>
      <c r="Y78" s="9400"/>
      <c r="Z78" s="9401"/>
      <c r="AA78" s="9357" t="str">
        <f>IF(OR($AO$71,R78=""),"",ROUND(F8582_Line9*V78,0))</f>
        <v/>
      </c>
      <c r="AB78" s="9358"/>
      <c r="AC78" s="9358"/>
      <c r="AD78" s="9358"/>
      <c r="AE78" s="9359"/>
      <c r="AF78" s="9357" t="str">
        <f>IF(AM78&lt;&gt;"",ROUND(AM78,0),IF(OR($AO$71,R78=""),"",IF(AND(R78&lt;&gt;"",AA78&lt;&gt;""),SUM(ROUND(R78,0),-AA78),"")))</f>
        <v/>
      </c>
      <c r="AG78" s="9358"/>
      <c r="AH78" s="9358"/>
      <c r="AI78" s="9358"/>
      <c r="AJ78" s="9358"/>
      <c r="AK78" s="461"/>
      <c r="AL78" s="874">
        <f>IF(R78&lt;&gt;"",1,0)</f>
        <v>0</v>
      </c>
      <c r="AM78" s="3521"/>
      <c r="AN78" s="3653"/>
      <c r="AO78" s="5792"/>
      <c r="AP78" s="5792"/>
      <c r="AQ78" s="808"/>
      <c r="AR78" s="808"/>
      <c r="AS78" s="808"/>
      <c r="AT78" s="808"/>
      <c r="AU78" s="808"/>
      <c r="AV78" s="3653"/>
      <c r="AW78" s="3653"/>
    </row>
    <row r="79" spans="1:62" ht="18.75" customHeight="1" thickBot="1">
      <c r="A79" s="461"/>
      <c r="B79" s="9414"/>
      <c r="C79" s="9414"/>
      <c r="D79" s="9414"/>
      <c r="E79" s="9414"/>
      <c r="F79" s="9414"/>
      <c r="G79" s="9414"/>
      <c r="H79" s="9414"/>
      <c r="I79" s="9414"/>
      <c r="J79" s="9414"/>
      <c r="K79" s="9414"/>
      <c r="L79" s="9414"/>
      <c r="M79" s="9415"/>
      <c r="N79" s="9411"/>
      <c r="O79" s="9412"/>
      <c r="P79" s="9412"/>
      <c r="Q79" s="9413"/>
      <c r="R79" s="9489"/>
      <c r="S79" s="9490"/>
      <c r="T79" s="9490"/>
      <c r="U79" s="9491"/>
      <c r="V79" s="9399" t="str">
        <f>IF(OR($AO$71,R79=""),"",R79/$R$81)</f>
        <v/>
      </c>
      <c r="W79" s="9400"/>
      <c r="X79" s="9400"/>
      <c r="Y79" s="9400"/>
      <c r="Z79" s="9401"/>
      <c r="AA79" s="9357" t="str">
        <f>IF(OR($AO$71,R79=""),"",ROUND(F8582_Line9*V79,0))</f>
        <v/>
      </c>
      <c r="AB79" s="9358"/>
      <c r="AC79" s="9358"/>
      <c r="AD79" s="9358"/>
      <c r="AE79" s="9359"/>
      <c r="AF79" s="9357" t="str">
        <f>IF(AM79&lt;&gt;"",ROUND(AM79,0),IF(OR($AO$71,R79=""),"",IF(AND(R79&lt;&gt;"",AA79&lt;&gt;""),SUM(ROUND(R79,0),-AA79),"")))</f>
        <v/>
      </c>
      <c r="AG79" s="9358"/>
      <c r="AH79" s="9358"/>
      <c r="AI79" s="9358"/>
      <c r="AJ79" s="9358"/>
      <c r="AK79" s="461"/>
      <c r="AL79" s="874">
        <f>IF(R79&lt;&gt;"",1,0)</f>
        <v>0</v>
      </c>
      <c r="AM79" s="3521"/>
      <c r="AN79" s="808"/>
      <c r="AO79" s="3837"/>
      <c r="AP79" s="3837"/>
      <c r="AQ79" s="808"/>
      <c r="AR79" s="808"/>
      <c r="AS79" s="808"/>
      <c r="AT79" s="808"/>
      <c r="AU79" s="808"/>
      <c r="AV79" s="3653"/>
      <c r="AW79" s="3653"/>
    </row>
    <row r="80" spans="1:62" ht="16.5" customHeight="1" thickBot="1">
      <c r="A80" s="461"/>
      <c r="B80" s="890"/>
      <c r="C80" s="5733"/>
      <c r="D80" s="5733"/>
      <c r="E80" s="5733"/>
      <c r="F80" s="5733"/>
      <c r="G80" s="5733"/>
      <c r="H80" s="5733"/>
      <c r="I80" s="5733"/>
      <c r="J80" s="5733"/>
      <c r="K80" s="5733"/>
      <c r="L80" s="5733"/>
      <c r="M80" s="5777"/>
      <c r="N80" s="5777"/>
      <c r="O80" s="5733"/>
      <c r="P80" s="5733"/>
      <c r="Q80" s="5735"/>
      <c r="R80" s="5734"/>
      <c r="S80" s="5733"/>
      <c r="T80" s="5733"/>
      <c r="U80" s="5735"/>
      <c r="V80" s="9514"/>
      <c r="W80" s="9515"/>
      <c r="X80" s="9515"/>
      <c r="Y80" s="9515"/>
      <c r="Z80" s="9516"/>
      <c r="AA80" s="9514"/>
      <c r="AB80" s="9560"/>
      <c r="AC80" s="9560"/>
      <c r="AD80" s="9560"/>
      <c r="AE80" s="9561"/>
      <c r="AF80" s="5734"/>
      <c r="AG80" s="5733"/>
      <c r="AH80" s="5733"/>
      <c r="AI80" s="5733"/>
      <c r="AJ80" s="5733"/>
      <c r="AK80" s="461"/>
      <c r="AL80" s="3431">
        <f>SUM(AL75:AL79)</f>
        <v>0</v>
      </c>
      <c r="AM80" s="2590"/>
      <c r="AN80" s="808"/>
      <c r="AO80" s="3837"/>
      <c r="AP80" s="3837"/>
      <c r="AQ80" s="808"/>
      <c r="AR80" s="808"/>
      <c r="AS80" s="808"/>
      <c r="AT80" s="808"/>
      <c r="AU80" s="808"/>
      <c r="AV80" s="808"/>
      <c r="AW80" s="808"/>
      <c r="BJ80" s="1268"/>
    </row>
    <row r="81" spans="1:62" ht="16.5" customHeight="1" thickBot="1">
      <c r="A81" s="461"/>
      <c r="B81" s="3444" t="s">
        <v>248</v>
      </c>
      <c r="C81" s="5357"/>
      <c r="D81" s="5357"/>
      <c r="E81" s="5357"/>
      <c r="F81" s="5357"/>
      <c r="G81" s="5357"/>
      <c r="H81" s="5357"/>
      <c r="I81" s="5357"/>
      <c r="J81" s="5357"/>
      <c r="K81" s="5357"/>
      <c r="L81" s="5357"/>
      <c r="M81" s="2629"/>
      <c r="N81" s="5357"/>
      <c r="O81" s="5357"/>
      <c r="P81" s="5357"/>
      <c r="Q81" s="2629" t="s">
        <v>754</v>
      </c>
      <c r="R81" s="9395" t="str">
        <f>IF(OR($AO$71,AL80=0),"",SUM(ROUND(R75,0),ROUND(R76,0),ROUND(R77,0),ROUND(R78,0),ROUND(R79,0)))</f>
        <v/>
      </c>
      <c r="S81" s="9396"/>
      <c r="T81" s="9396"/>
      <c r="U81" s="9397"/>
      <c r="V81" s="9542">
        <v>1</v>
      </c>
      <c r="W81" s="9543"/>
      <c r="X81" s="9543"/>
      <c r="Y81" s="9543"/>
      <c r="Z81" s="9544"/>
      <c r="AA81" s="9395" t="str">
        <f>IF(OR($AO$71,AL80=0),"",SUM(AA75:AE79))</f>
        <v/>
      </c>
      <c r="AB81" s="9396"/>
      <c r="AC81" s="9396"/>
      <c r="AD81" s="9396"/>
      <c r="AE81" s="9397"/>
      <c r="AF81" s="9395" t="str">
        <f>IF(OR($AO$71,AL80=0),"",SUM(AF75:AJ79))</f>
        <v/>
      </c>
      <c r="AG81" s="9396"/>
      <c r="AH81" s="9396"/>
      <c r="AI81" s="9396"/>
      <c r="AJ81" s="9396"/>
      <c r="AK81" s="461"/>
      <c r="AL81" s="2175"/>
      <c r="AM81" s="3521"/>
      <c r="AN81" s="808"/>
      <c r="AO81" s="3837"/>
      <c r="AP81" s="3837"/>
      <c r="AQ81" s="808"/>
      <c r="AR81" s="808"/>
      <c r="AS81" s="808"/>
      <c r="AT81" s="808"/>
      <c r="AU81" s="808"/>
      <c r="AV81" s="808"/>
      <c r="AW81" s="808"/>
    </row>
    <row r="82" spans="1:62" s="2690" customFormat="1" ht="16.5" customHeight="1">
      <c r="A82" s="461"/>
      <c r="B82" s="6796" t="s">
        <v>3833</v>
      </c>
      <c r="C82" s="6796"/>
      <c r="D82" s="5822"/>
      <c r="E82" s="5825" t="s">
        <v>5418</v>
      </c>
      <c r="F82" s="808"/>
      <c r="G82" s="808"/>
      <c r="H82" s="808"/>
      <c r="I82" s="808"/>
      <c r="J82" s="808"/>
      <c r="K82" s="808"/>
      <c r="L82" s="808"/>
      <c r="M82" s="808"/>
      <c r="N82" s="808"/>
      <c r="O82" s="808"/>
      <c r="P82" s="808"/>
      <c r="Q82" s="808"/>
      <c r="R82" s="808"/>
      <c r="S82" s="808"/>
      <c r="T82" s="808"/>
      <c r="U82" s="808"/>
      <c r="V82" s="808"/>
      <c r="W82" s="808"/>
      <c r="X82" s="808"/>
      <c r="Y82" s="808"/>
      <c r="Z82" s="808"/>
      <c r="AA82" s="808"/>
      <c r="AB82" s="808"/>
      <c r="AC82" s="808"/>
      <c r="AD82" s="808"/>
      <c r="AE82" s="808"/>
      <c r="AF82" s="808"/>
      <c r="AG82" s="808"/>
      <c r="AH82" s="808"/>
      <c r="AI82" s="808"/>
      <c r="AJ82" s="808"/>
      <c r="AK82" s="461"/>
      <c r="AL82" s="4088"/>
      <c r="AM82" s="23"/>
      <c r="AN82" s="3653"/>
      <c r="AO82" s="5792"/>
      <c r="AP82" s="5792"/>
      <c r="AQ82" s="808"/>
      <c r="AR82" s="808"/>
      <c r="AS82" s="808"/>
      <c r="AT82" s="808"/>
      <c r="AU82" s="808"/>
      <c r="AV82" s="808"/>
      <c r="AW82" s="808"/>
      <c r="AX82" s="5768"/>
      <c r="AY82" s="2038"/>
      <c r="AZ82" s="2038"/>
      <c r="BA82" s="2038"/>
      <c r="BB82" s="2038"/>
      <c r="BC82" s="2038"/>
      <c r="BD82" s="2038"/>
      <c r="BE82" s="2038"/>
      <c r="BF82" s="2038"/>
      <c r="BG82" s="2038"/>
      <c r="BH82" s="39"/>
      <c r="BI82" s="39"/>
    </row>
    <row r="83" spans="1:62" ht="16.5" customHeight="1">
      <c r="A83" s="461"/>
      <c r="B83" s="9372" t="s">
        <v>4363</v>
      </c>
      <c r="C83" s="9372"/>
      <c r="D83" s="9372"/>
      <c r="E83" s="9372"/>
      <c r="F83" s="9372"/>
      <c r="G83" s="9372"/>
      <c r="H83" s="9372"/>
      <c r="I83" s="9372"/>
      <c r="J83" s="9372"/>
      <c r="K83" s="9372"/>
      <c r="L83" s="9372"/>
      <c r="M83" s="9373"/>
      <c r="N83" s="9498" t="s">
        <v>4373</v>
      </c>
      <c r="O83" s="9499"/>
      <c r="P83" s="9499"/>
      <c r="Q83" s="9499"/>
      <c r="R83" s="9500"/>
      <c r="S83" s="9386" t="s">
        <v>5419</v>
      </c>
      <c r="T83" s="9387"/>
      <c r="U83" s="9387"/>
      <c r="V83" s="9387"/>
      <c r="W83" s="9387"/>
      <c r="X83" s="9388"/>
      <c r="Y83" s="9377" t="s">
        <v>4374</v>
      </c>
      <c r="Z83" s="9378"/>
      <c r="AA83" s="9378"/>
      <c r="AB83" s="9378"/>
      <c r="AC83" s="9378"/>
      <c r="AD83" s="9379"/>
      <c r="AE83" s="9386" t="s">
        <v>5632</v>
      </c>
      <c r="AF83" s="9387"/>
      <c r="AG83" s="9387"/>
      <c r="AH83" s="9387"/>
      <c r="AI83" s="9387"/>
      <c r="AJ83" s="9387"/>
      <c r="AK83" s="461"/>
      <c r="AL83" s="808"/>
      <c r="AM83" s="808"/>
      <c r="AN83" s="808"/>
      <c r="AO83" s="3837"/>
      <c r="AP83" s="3837"/>
      <c r="AQ83" s="2173"/>
      <c r="AR83" s="9360" t="s">
        <v>5458</v>
      </c>
      <c r="AS83" s="9360"/>
      <c r="AT83" s="2173"/>
      <c r="AU83" s="2173"/>
      <c r="AV83" s="808"/>
      <c r="AW83" s="3653"/>
      <c r="BH83" s="1281"/>
      <c r="BI83" s="1281"/>
    </row>
    <row r="84" spans="1:62" ht="16.5" customHeight="1">
      <c r="A84" s="461"/>
      <c r="B84" s="9419"/>
      <c r="C84" s="9419"/>
      <c r="D84" s="9419"/>
      <c r="E84" s="9419"/>
      <c r="F84" s="9419"/>
      <c r="G84" s="9419"/>
      <c r="H84" s="9419"/>
      <c r="I84" s="9419"/>
      <c r="J84" s="9419"/>
      <c r="K84" s="9419"/>
      <c r="L84" s="9419"/>
      <c r="M84" s="9420"/>
      <c r="N84" s="9501"/>
      <c r="O84" s="9502"/>
      <c r="P84" s="9502"/>
      <c r="Q84" s="9502"/>
      <c r="R84" s="9503"/>
      <c r="S84" s="9389"/>
      <c r="T84" s="9390"/>
      <c r="U84" s="9390"/>
      <c r="V84" s="9390"/>
      <c r="W84" s="9390"/>
      <c r="X84" s="9391"/>
      <c r="Y84" s="9383"/>
      <c r="Z84" s="9384"/>
      <c r="AA84" s="9384"/>
      <c r="AB84" s="9384"/>
      <c r="AC84" s="9384"/>
      <c r="AD84" s="9385"/>
      <c r="AE84" s="9389"/>
      <c r="AF84" s="9390"/>
      <c r="AG84" s="9390"/>
      <c r="AH84" s="9390"/>
      <c r="AI84" s="9390"/>
      <c r="AJ84" s="9390"/>
      <c r="AK84" s="461"/>
      <c r="AL84" s="808"/>
      <c r="AM84" s="3431"/>
      <c r="AN84" s="808"/>
      <c r="AO84" s="3837"/>
      <c r="AP84" s="3837"/>
      <c r="AQ84" s="5780"/>
      <c r="AR84" s="5781"/>
      <c r="AS84" s="5781"/>
      <c r="AT84" s="5781"/>
      <c r="AU84" s="5779"/>
      <c r="AV84" s="1143"/>
      <c r="AW84" s="808"/>
      <c r="BH84" s="1281"/>
      <c r="BI84" s="1281"/>
    </row>
    <row r="85" spans="1:62" ht="16.5" customHeight="1">
      <c r="A85" s="461"/>
      <c r="B85" s="9419"/>
      <c r="C85" s="9419"/>
      <c r="D85" s="9419"/>
      <c r="E85" s="9419"/>
      <c r="F85" s="9419"/>
      <c r="G85" s="9419"/>
      <c r="H85" s="9419"/>
      <c r="I85" s="9419"/>
      <c r="J85" s="9419"/>
      <c r="K85" s="9419"/>
      <c r="L85" s="9419"/>
      <c r="M85" s="9420"/>
      <c r="N85" s="9501"/>
      <c r="O85" s="9502"/>
      <c r="P85" s="9502"/>
      <c r="Q85" s="9502"/>
      <c r="R85" s="9503"/>
      <c r="S85" s="9389"/>
      <c r="T85" s="9390"/>
      <c r="U85" s="9390"/>
      <c r="V85" s="9390"/>
      <c r="W85" s="9390"/>
      <c r="X85" s="9391"/>
      <c r="Y85" s="9383"/>
      <c r="Z85" s="9384"/>
      <c r="AA85" s="9384"/>
      <c r="AB85" s="9384"/>
      <c r="AC85" s="9384"/>
      <c r="AD85" s="9385"/>
      <c r="AE85" s="9389"/>
      <c r="AF85" s="9390"/>
      <c r="AG85" s="9390"/>
      <c r="AH85" s="9390"/>
      <c r="AI85" s="9390"/>
      <c r="AJ85" s="9390"/>
      <c r="AK85" s="461"/>
      <c r="AL85" s="808"/>
      <c r="AM85" s="23" t="s">
        <v>1113</v>
      </c>
      <c r="AN85" s="808"/>
      <c r="AO85" s="3837"/>
      <c r="AP85" s="3837"/>
      <c r="AQ85" s="2220"/>
      <c r="AR85" s="899" t="s">
        <v>2351</v>
      </c>
      <c r="AS85" s="5787" t="s">
        <v>5460</v>
      </c>
      <c r="AT85" s="5782"/>
      <c r="AU85" s="2173"/>
      <c r="AV85" s="1151"/>
      <c r="AW85" s="808"/>
      <c r="BH85" s="1281"/>
      <c r="BI85" s="1281"/>
    </row>
    <row r="86" spans="1:62" ht="16.5" customHeight="1" thickBot="1">
      <c r="A86" s="461"/>
      <c r="B86" s="9375"/>
      <c r="C86" s="9375"/>
      <c r="D86" s="9375"/>
      <c r="E86" s="9375"/>
      <c r="F86" s="9375"/>
      <c r="G86" s="9375"/>
      <c r="H86" s="9375"/>
      <c r="I86" s="9375"/>
      <c r="J86" s="9375"/>
      <c r="K86" s="9375"/>
      <c r="L86" s="9375"/>
      <c r="M86" s="9376"/>
      <c r="N86" s="9504"/>
      <c r="O86" s="9505"/>
      <c r="P86" s="9505"/>
      <c r="Q86" s="9505"/>
      <c r="R86" s="9506"/>
      <c r="S86" s="9392"/>
      <c r="T86" s="9393"/>
      <c r="U86" s="9393"/>
      <c r="V86" s="9393"/>
      <c r="W86" s="9393"/>
      <c r="X86" s="9394"/>
      <c r="Y86" s="9380"/>
      <c r="Z86" s="9381"/>
      <c r="AA86" s="9381"/>
      <c r="AB86" s="9381"/>
      <c r="AC86" s="9381"/>
      <c r="AD86" s="9382"/>
      <c r="AE86" s="9392"/>
      <c r="AF86" s="9393"/>
      <c r="AG86" s="9393"/>
      <c r="AH86" s="9393"/>
      <c r="AI86" s="9393"/>
      <c r="AJ86" s="9393"/>
      <c r="AK86" s="461"/>
      <c r="AL86" s="808"/>
      <c r="AM86" s="23" t="s">
        <v>1062</v>
      </c>
      <c r="AN86" s="808"/>
      <c r="AO86" s="3837"/>
      <c r="AP86" s="3837"/>
      <c r="AQ86" s="2220"/>
      <c r="AR86" s="892"/>
      <c r="AS86" s="2112" t="s">
        <v>5459</v>
      </c>
      <c r="AT86" s="1128" t="s">
        <v>2351</v>
      </c>
      <c r="AU86" s="5786" t="str">
        <f>IF(PassiveIncomeLoss="","",ABS(PassiveIncomeLoss))</f>
        <v/>
      </c>
      <c r="AV86" s="5772"/>
      <c r="AW86" s="808"/>
      <c r="BH86" s="1281"/>
      <c r="BI86" s="1281"/>
    </row>
    <row r="87" spans="1:62" ht="18.75" customHeight="1" thickBot="1">
      <c r="A87" s="461"/>
      <c r="B87" s="9045"/>
      <c r="C87" s="9045"/>
      <c r="D87" s="9045"/>
      <c r="E87" s="9045"/>
      <c r="F87" s="9045"/>
      <c r="G87" s="9045"/>
      <c r="H87" s="9045"/>
      <c r="I87" s="9045"/>
      <c r="J87" s="9045"/>
      <c r="K87" s="9045"/>
      <c r="L87" s="9045"/>
      <c r="M87" s="9046"/>
      <c r="N87" s="9411"/>
      <c r="O87" s="9412"/>
      <c r="P87" s="9412"/>
      <c r="Q87" s="9412"/>
      <c r="R87" s="9413"/>
      <c r="S87" s="9354"/>
      <c r="T87" s="9355"/>
      <c r="U87" s="9355"/>
      <c r="V87" s="9355"/>
      <c r="W87" s="9355"/>
      <c r="X87" s="9356"/>
      <c r="Y87" s="9399" t="str">
        <f>IF(S87="","",S87/$S$93)</f>
        <v/>
      </c>
      <c r="Z87" s="9400"/>
      <c r="AA87" s="9400"/>
      <c r="AB87" s="9400"/>
      <c r="AC87" s="9400"/>
      <c r="AD87" s="9401"/>
      <c r="AE87" s="9357" t="str">
        <f>IF(OR(PassiveIncomeLoss="",S87=""),"",ROUND($AU$90*Y87,0))</f>
        <v/>
      </c>
      <c r="AF87" s="9358"/>
      <c r="AG87" s="9358"/>
      <c r="AH87" s="9358"/>
      <c r="AI87" s="9358"/>
      <c r="AJ87" s="9358"/>
      <c r="AK87" s="461"/>
      <c r="AL87" s="874">
        <f>IF(S87&lt;&gt;"",1,0)</f>
        <v>0</v>
      </c>
      <c r="AM87" s="3521"/>
      <c r="AN87" s="808"/>
      <c r="AO87" s="3837"/>
      <c r="AP87" s="3837"/>
      <c r="AQ87" s="2220"/>
      <c r="AR87" s="892"/>
      <c r="AS87" s="2112"/>
      <c r="AT87" s="892"/>
      <c r="AU87" s="808"/>
      <c r="AV87" s="5772"/>
      <c r="AW87" s="808"/>
    </row>
    <row r="88" spans="1:62" ht="18.75" customHeight="1" thickBot="1">
      <c r="A88" s="461"/>
      <c r="B88" s="9045"/>
      <c r="C88" s="9045"/>
      <c r="D88" s="9045"/>
      <c r="E88" s="9045"/>
      <c r="F88" s="9045"/>
      <c r="G88" s="9045"/>
      <c r="H88" s="9045"/>
      <c r="I88" s="9045"/>
      <c r="J88" s="9045"/>
      <c r="K88" s="9045"/>
      <c r="L88" s="9045"/>
      <c r="M88" s="9046"/>
      <c r="N88" s="9411"/>
      <c r="O88" s="9412"/>
      <c r="P88" s="9412"/>
      <c r="Q88" s="9412"/>
      <c r="R88" s="9413"/>
      <c r="S88" s="9354"/>
      <c r="T88" s="9355"/>
      <c r="U88" s="9355"/>
      <c r="V88" s="9355"/>
      <c r="W88" s="9355"/>
      <c r="X88" s="9356"/>
      <c r="Y88" s="9399" t="str">
        <f>IF(S88="","",S88/$S$93)</f>
        <v/>
      </c>
      <c r="Z88" s="9400"/>
      <c r="AA88" s="9400"/>
      <c r="AB88" s="9400"/>
      <c r="AC88" s="9400"/>
      <c r="AD88" s="9401"/>
      <c r="AE88" s="9357" t="str">
        <f>IF(OR(PassiveIncomeLoss="",S88=""),"",ROUND($AU$90*Y88,0))</f>
        <v/>
      </c>
      <c r="AF88" s="9358"/>
      <c r="AG88" s="9358"/>
      <c r="AH88" s="9358"/>
      <c r="AI88" s="9358"/>
      <c r="AJ88" s="9358"/>
      <c r="AK88" s="461"/>
      <c r="AL88" s="874">
        <f>IF(S88&lt;&gt;"",1,0)</f>
        <v>0</v>
      </c>
      <c r="AM88" s="3521"/>
      <c r="AN88" s="3653"/>
      <c r="AO88" s="5792"/>
      <c r="AP88" s="5792"/>
      <c r="AQ88" s="2220"/>
      <c r="AR88" s="899" t="s">
        <v>2354</v>
      </c>
      <c r="AS88" s="2112" t="s">
        <v>5461</v>
      </c>
      <c r="AT88" s="1128" t="s">
        <v>2354</v>
      </c>
      <c r="AU88" s="5786" t="str">
        <f>F8582_Line9</f>
        <v/>
      </c>
      <c r="AV88" s="1151"/>
      <c r="AW88" s="808"/>
    </row>
    <row r="89" spans="1:62" ht="18.75" customHeight="1" thickBot="1">
      <c r="A89" s="461"/>
      <c r="B89" s="9045"/>
      <c r="C89" s="9045"/>
      <c r="D89" s="9045"/>
      <c r="E89" s="9045"/>
      <c r="F89" s="9045"/>
      <c r="G89" s="9045"/>
      <c r="H89" s="9045"/>
      <c r="I89" s="9045"/>
      <c r="J89" s="9045"/>
      <c r="K89" s="9045"/>
      <c r="L89" s="9045"/>
      <c r="M89" s="9046"/>
      <c r="N89" s="9411"/>
      <c r="O89" s="9412"/>
      <c r="P89" s="9412"/>
      <c r="Q89" s="9412"/>
      <c r="R89" s="9413"/>
      <c r="S89" s="9354"/>
      <c r="T89" s="9355"/>
      <c r="U89" s="9355"/>
      <c r="V89" s="9355"/>
      <c r="W89" s="9355"/>
      <c r="X89" s="9356"/>
      <c r="Y89" s="9399" t="str">
        <f>IF(S89="","",S89/$S$93)</f>
        <v/>
      </c>
      <c r="Z89" s="9400"/>
      <c r="AA89" s="9400"/>
      <c r="AB89" s="9400"/>
      <c r="AC89" s="9400"/>
      <c r="AD89" s="9401"/>
      <c r="AE89" s="9357" t="str">
        <f>IF(OR(PassiveIncomeLoss="",S89=""),"",ROUND($AU$90*Y89,0))</f>
        <v/>
      </c>
      <c r="AF89" s="9358"/>
      <c r="AG89" s="9358"/>
      <c r="AH89" s="9358"/>
      <c r="AI89" s="9358"/>
      <c r="AJ89" s="9358"/>
      <c r="AK89" s="461"/>
      <c r="AL89" s="874">
        <f>IF(S89&lt;&gt;"",1,0)</f>
        <v>0</v>
      </c>
      <c r="AM89" s="3521"/>
      <c r="AN89" s="3653"/>
      <c r="AO89" s="5792"/>
      <c r="AP89" s="5792"/>
      <c r="AQ89" s="2220"/>
      <c r="AR89" s="892"/>
      <c r="AS89" s="2112"/>
      <c r="AT89" s="892"/>
      <c r="AU89" s="808"/>
      <c r="AV89" s="1151"/>
      <c r="AW89" s="3653"/>
    </row>
    <row r="90" spans="1:62" ht="18.75" customHeight="1" thickBot="1">
      <c r="A90" s="461"/>
      <c r="B90" s="9045"/>
      <c r="C90" s="9045"/>
      <c r="D90" s="9045"/>
      <c r="E90" s="9045"/>
      <c r="F90" s="9045"/>
      <c r="G90" s="9045"/>
      <c r="H90" s="9045"/>
      <c r="I90" s="9045"/>
      <c r="J90" s="9045"/>
      <c r="K90" s="9045"/>
      <c r="L90" s="9045"/>
      <c r="M90" s="9046"/>
      <c r="N90" s="9411"/>
      <c r="O90" s="9412"/>
      <c r="P90" s="9412"/>
      <c r="Q90" s="9412"/>
      <c r="R90" s="9413"/>
      <c r="S90" s="9354"/>
      <c r="T90" s="9355"/>
      <c r="U90" s="9355"/>
      <c r="V90" s="9355"/>
      <c r="W90" s="9355"/>
      <c r="X90" s="9356"/>
      <c r="Y90" s="9399" t="str">
        <f>IF(S90="","",S90/$S$93)</f>
        <v/>
      </c>
      <c r="Z90" s="9400"/>
      <c r="AA90" s="9400"/>
      <c r="AB90" s="9400"/>
      <c r="AC90" s="9400"/>
      <c r="AD90" s="9401"/>
      <c r="AE90" s="9357" t="str">
        <f>IF(OR(PassiveIncomeLoss="",S90=""),"",ROUND($AU$90*Y90,0))</f>
        <v/>
      </c>
      <c r="AF90" s="9358"/>
      <c r="AG90" s="9358"/>
      <c r="AH90" s="9358"/>
      <c r="AI90" s="9358"/>
      <c r="AJ90" s="9358"/>
      <c r="AK90" s="461"/>
      <c r="AL90" s="874">
        <f>IF(S90&lt;&gt;"",1,0)</f>
        <v>0</v>
      </c>
      <c r="AM90" s="3521"/>
      <c r="AN90" s="3653"/>
      <c r="AO90" s="5792"/>
      <c r="AP90" s="5792"/>
      <c r="AQ90" s="2220"/>
      <c r="AR90" s="899" t="s">
        <v>2357</v>
      </c>
      <c r="AS90" s="5787" t="s">
        <v>5462</v>
      </c>
      <c r="AT90" s="1128" t="s">
        <v>2357</v>
      </c>
      <c r="AU90" s="5786" t="str">
        <f>IF(PassiveIncomeLoss="","",SUM(AU86,-AU88))</f>
        <v/>
      </c>
      <c r="AV90" s="5772"/>
      <c r="AW90" s="3653"/>
    </row>
    <row r="91" spans="1:62" ht="18.75" customHeight="1" thickBot="1">
      <c r="A91" s="461"/>
      <c r="B91" s="9414"/>
      <c r="C91" s="9414"/>
      <c r="D91" s="9414"/>
      <c r="E91" s="9414"/>
      <c r="F91" s="9414"/>
      <c r="G91" s="9414"/>
      <c r="H91" s="9414"/>
      <c r="I91" s="9414"/>
      <c r="J91" s="9414"/>
      <c r="K91" s="9414"/>
      <c r="L91" s="9414"/>
      <c r="M91" s="9415"/>
      <c r="N91" s="9411"/>
      <c r="O91" s="9412"/>
      <c r="P91" s="9412"/>
      <c r="Q91" s="9412"/>
      <c r="R91" s="9413"/>
      <c r="S91" s="9422"/>
      <c r="T91" s="9423"/>
      <c r="U91" s="9423"/>
      <c r="V91" s="9423"/>
      <c r="W91" s="9423"/>
      <c r="X91" s="9424"/>
      <c r="Y91" s="9399" t="str">
        <f>IF(S91="","",S91/$S$93)</f>
        <v/>
      </c>
      <c r="Z91" s="9400"/>
      <c r="AA91" s="9400"/>
      <c r="AB91" s="9400"/>
      <c r="AC91" s="9400"/>
      <c r="AD91" s="9401"/>
      <c r="AE91" s="9357" t="str">
        <f>IF(OR(PassiveIncomeLoss="",S91=""),"",ROUND($AU$90*Y91,0))</f>
        <v/>
      </c>
      <c r="AF91" s="9358"/>
      <c r="AG91" s="9358"/>
      <c r="AH91" s="9358"/>
      <c r="AI91" s="9358"/>
      <c r="AJ91" s="9358"/>
      <c r="AK91" s="461"/>
      <c r="AL91" s="874">
        <f>IF(S91&lt;&gt;"",1,0)</f>
        <v>0</v>
      </c>
      <c r="AM91" s="3521"/>
      <c r="AN91" s="808"/>
      <c r="AO91" s="3837"/>
      <c r="AP91" s="3837"/>
      <c r="AQ91" s="2220"/>
      <c r="AR91" s="892"/>
      <c r="AS91" s="892"/>
      <c r="AT91" s="892"/>
      <c r="AU91" s="808"/>
      <c r="AV91" s="1151"/>
      <c r="AW91" s="3653"/>
    </row>
    <row r="92" spans="1:62" ht="16.5" customHeight="1" thickBot="1">
      <c r="A92" s="461"/>
      <c r="B92" s="890"/>
      <c r="C92" s="5733"/>
      <c r="D92" s="5733"/>
      <c r="E92" s="5733"/>
      <c r="F92" s="5733"/>
      <c r="G92" s="5733"/>
      <c r="H92" s="5733"/>
      <c r="I92" s="5733"/>
      <c r="J92" s="5733"/>
      <c r="K92" s="5733"/>
      <c r="L92" s="5733"/>
      <c r="M92" s="5733"/>
      <c r="N92" s="5733"/>
      <c r="O92" s="5733"/>
      <c r="P92" s="5733"/>
      <c r="Q92" s="5733"/>
      <c r="R92" s="5735"/>
      <c r="S92" s="5734"/>
      <c r="T92" s="5733"/>
      <c r="U92" s="5733"/>
      <c r="V92" s="5733"/>
      <c r="W92" s="5733"/>
      <c r="X92" s="5735"/>
      <c r="Y92" s="9514"/>
      <c r="Z92" s="9515"/>
      <c r="AA92" s="9515"/>
      <c r="AB92" s="9515"/>
      <c r="AC92" s="9515"/>
      <c r="AD92" s="9516"/>
      <c r="AE92" s="5734"/>
      <c r="AF92" s="5733"/>
      <c r="AG92" s="5733"/>
      <c r="AH92" s="5733"/>
      <c r="AI92" s="5733"/>
      <c r="AJ92" s="5733"/>
      <c r="AK92" s="461"/>
      <c r="AL92" s="3431">
        <f>SUM(AL87:AL91)</f>
        <v>0</v>
      </c>
      <c r="AM92" s="2590"/>
      <c r="AN92" s="808"/>
      <c r="AO92" s="3837"/>
      <c r="AP92" s="3837"/>
      <c r="AQ92" s="2220"/>
      <c r="AR92" s="1108" t="s">
        <v>5463</v>
      </c>
      <c r="AS92" s="892"/>
      <c r="AT92" s="892"/>
      <c r="AU92" s="808"/>
      <c r="AV92" s="5772"/>
      <c r="AW92" s="808"/>
      <c r="BJ92" s="1268"/>
    </row>
    <row r="93" spans="1:62" ht="16.5" customHeight="1" thickBot="1">
      <c r="A93" s="461"/>
      <c r="B93" s="3444" t="s">
        <v>248</v>
      </c>
      <c r="C93" s="5357"/>
      <c r="D93" s="5357"/>
      <c r="E93" s="5357"/>
      <c r="F93" s="5357"/>
      <c r="G93" s="5357"/>
      <c r="H93" s="5357"/>
      <c r="I93" s="5357"/>
      <c r="J93" s="5357"/>
      <c r="K93" s="5357"/>
      <c r="L93" s="5357"/>
      <c r="M93" s="5357"/>
      <c r="N93" s="5756"/>
      <c r="O93" s="5756"/>
      <c r="P93" s="5756"/>
      <c r="Q93" s="5756"/>
      <c r="R93" s="2629" t="s">
        <v>4204</v>
      </c>
      <c r="S93" s="9395" t="str">
        <f>IF(AL92=0,"",SUM(ROUND(S87,0),ROUND(S88,0),ROUND(S89,0),ROUND(S90,0),ROUND(S91,0)))</f>
        <v/>
      </c>
      <c r="T93" s="9396"/>
      <c r="U93" s="9396"/>
      <c r="V93" s="9396"/>
      <c r="W93" s="9396"/>
      <c r="X93" s="9397"/>
      <c r="Y93" s="9542">
        <v>1</v>
      </c>
      <c r="Z93" s="9543"/>
      <c r="AA93" s="9543"/>
      <c r="AB93" s="9543"/>
      <c r="AC93" s="9543"/>
      <c r="AD93" s="9544"/>
      <c r="AE93" s="9395" t="str">
        <f>IF(AND(PassiveIncomeLoss&lt;&gt;"",AL92&gt;0),SUM(AE87:AJ91),"")</f>
        <v/>
      </c>
      <c r="AF93" s="9396"/>
      <c r="AG93" s="9396"/>
      <c r="AH93" s="9396"/>
      <c r="AI93" s="9396"/>
      <c r="AJ93" s="9396"/>
      <c r="AK93" s="461"/>
      <c r="AL93" s="2175"/>
      <c r="AM93" s="3521"/>
      <c r="AN93" s="808"/>
      <c r="AO93" s="3837"/>
      <c r="AP93" s="3837"/>
      <c r="AQ93" s="5783"/>
      <c r="AR93" s="1108" t="s">
        <v>5464</v>
      </c>
      <c r="AS93" s="892"/>
      <c r="AT93" s="892"/>
      <c r="AU93" s="808"/>
      <c r="AV93" s="1151"/>
      <c r="AW93" s="808"/>
    </row>
    <row r="94" spans="1:62" s="2690" customFormat="1" ht="16.5" customHeight="1">
      <c r="A94" s="461"/>
      <c r="B94" s="9513" t="s">
        <v>3850</v>
      </c>
      <c r="C94" s="9513"/>
      <c r="D94" s="5822"/>
      <c r="E94" s="5825" t="s">
        <v>5434</v>
      </c>
      <c r="F94" s="808"/>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08"/>
      <c r="AE94" s="808"/>
      <c r="AF94" s="808"/>
      <c r="AG94" s="808"/>
      <c r="AH94" s="808"/>
      <c r="AI94" s="808"/>
      <c r="AJ94" s="808"/>
      <c r="AK94" s="461"/>
      <c r="AL94" s="4088"/>
      <c r="AM94" s="23"/>
      <c r="AN94" s="3653"/>
      <c r="AO94" s="5792"/>
      <c r="AP94" s="5792"/>
      <c r="AQ94" s="5784"/>
      <c r="AR94" s="5785"/>
      <c r="AS94" s="5785"/>
      <c r="AT94" s="5785"/>
      <c r="AU94" s="5773"/>
      <c r="AV94" s="2391"/>
      <c r="AW94" s="808"/>
      <c r="AX94" s="5768"/>
      <c r="AY94" s="2038"/>
      <c r="AZ94" s="2038"/>
      <c r="BA94" s="2038"/>
      <c r="BB94" s="2038"/>
      <c r="BC94" s="2038"/>
      <c r="BD94" s="2038"/>
      <c r="BE94" s="2038"/>
      <c r="BF94" s="2038"/>
      <c r="BG94" s="2038"/>
      <c r="BH94" s="39"/>
      <c r="BI94" s="39"/>
    </row>
    <row r="95" spans="1:62" ht="16.5" customHeight="1">
      <c r="A95" s="461"/>
      <c r="B95" s="9492" t="s">
        <v>4363</v>
      </c>
      <c r="C95" s="9492"/>
      <c r="D95" s="9492"/>
      <c r="E95" s="9492"/>
      <c r="F95" s="9492"/>
      <c r="G95" s="9492"/>
      <c r="H95" s="9492"/>
      <c r="I95" s="9492"/>
      <c r="J95" s="9492"/>
      <c r="K95" s="9492"/>
      <c r="L95" s="9492"/>
      <c r="M95" s="9493"/>
      <c r="N95" s="9498" t="s">
        <v>4373</v>
      </c>
      <c r="O95" s="9499"/>
      <c r="P95" s="9499"/>
      <c r="Q95" s="9499"/>
      <c r="R95" s="9500"/>
      <c r="S95" s="9386" t="s">
        <v>5419</v>
      </c>
      <c r="T95" s="9387"/>
      <c r="U95" s="9387"/>
      <c r="V95" s="9387"/>
      <c r="W95" s="9387"/>
      <c r="X95" s="9388"/>
      <c r="Y95" s="9377" t="s">
        <v>5421</v>
      </c>
      <c r="Z95" s="9378"/>
      <c r="AA95" s="9378"/>
      <c r="AB95" s="9378"/>
      <c r="AC95" s="9378"/>
      <c r="AD95" s="9379"/>
      <c r="AE95" s="9386" t="s">
        <v>5420</v>
      </c>
      <c r="AF95" s="9387"/>
      <c r="AG95" s="9387"/>
      <c r="AH95" s="9387"/>
      <c r="AI95" s="9387"/>
      <c r="AJ95" s="9387"/>
      <c r="AK95" s="461"/>
      <c r="AL95" s="808"/>
      <c r="AM95" s="808"/>
      <c r="AN95" s="808"/>
      <c r="AO95" s="3837"/>
      <c r="AP95" s="3837"/>
      <c r="AQ95" s="2173"/>
      <c r="AR95" s="2173"/>
      <c r="AS95" s="2173"/>
      <c r="AT95" s="2173"/>
      <c r="AU95" s="2173"/>
      <c r="AV95" s="808"/>
      <c r="AW95" s="3653"/>
      <c r="BH95" s="1281"/>
      <c r="BI95" s="1281"/>
    </row>
    <row r="96" spans="1:62" ht="16.5" customHeight="1">
      <c r="A96" s="461"/>
      <c r="B96" s="9494"/>
      <c r="C96" s="9494"/>
      <c r="D96" s="9494"/>
      <c r="E96" s="9494"/>
      <c r="F96" s="9494"/>
      <c r="G96" s="9494"/>
      <c r="H96" s="9494"/>
      <c r="I96" s="9494"/>
      <c r="J96" s="9494"/>
      <c r="K96" s="9494"/>
      <c r="L96" s="9494"/>
      <c r="M96" s="9495"/>
      <c r="N96" s="9501"/>
      <c r="O96" s="9502"/>
      <c r="P96" s="9502"/>
      <c r="Q96" s="9502"/>
      <c r="R96" s="9503"/>
      <c r="S96" s="9389"/>
      <c r="T96" s="9390"/>
      <c r="U96" s="9390"/>
      <c r="V96" s="9390"/>
      <c r="W96" s="9390"/>
      <c r="X96" s="9391"/>
      <c r="Y96" s="9383"/>
      <c r="Z96" s="9384"/>
      <c r="AA96" s="9384"/>
      <c r="AB96" s="9384"/>
      <c r="AC96" s="9384"/>
      <c r="AD96" s="9385"/>
      <c r="AE96" s="9389"/>
      <c r="AF96" s="9390"/>
      <c r="AG96" s="9390"/>
      <c r="AH96" s="9390"/>
      <c r="AI96" s="9390"/>
      <c r="AJ96" s="9390"/>
      <c r="AK96" s="461"/>
      <c r="AL96" s="808"/>
      <c r="AM96" s="3431"/>
      <c r="AN96" s="808"/>
      <c r="AO96" s="3837"/>
      <c r="AP96" s="3837"/>
      <c r="AQ96" s="808"/>
      <c r="AR96" s="808"/>
      <c r="AS96" s="2173"/>
      <c r="AT96" s="2173"/>
      <c r="AU96" s="2173"/>
      <c r="AV96" s="808"/>
      <c r="AW96" s="808"/>
      <c r="BH96" s="1281"/>
      <c r="BI96" s="1281"/>
    </row>
    <row r="97" spans="1:62" ht="16.5" customHeight="1">
      <c r="A97" s="461"/>
      <c r="B97" s="9494"/>
      <c r="C97" s="9494"/>
      <c r="D97" s="9494"/>
      <c r="E97" s="9494"/>
      <c r="F97" s="9494"/>
      <c r="G97" s="9494"/>
      <c r="H97" s="9494"/>
      <c r="I97" s="9494"/>
      <c r="J97" s="9494"/>
      <c r="K97" s="9494"/>
      <c r="L97" s="9494"/>
      <c r="M97" s="9495"/>
      <c r="N97" s="9501"/>
      <c r="O97" s="9502"/>
      <c r="P97" s="9502"/>
      <c r="Q97" s="9502"/>
      <c r="R97" s="9503"/>
      <c r="S97" s="9389"/>
      <c r="T97" s="9390"/>
      <c r="U97" s="9390"/>
      <c r="V97" s="9390"/>
      <c r="W97" s="9390"/>
      <c r="X97" s="9391"/>
      <c r="Y97" s="9383"/>
      <c r="Z97" s="9384"/>
      <c r="AA97" s="9384"/>
      <c r="AB97" s="9384"/>
      <c r="AC97" s="9384"/>
      <c r="AD97" s="9385"/>
      <c r="AE97" s="9389"/>
      <c r="AF97" s="9390"/>
      <c r="AG97" s="9390"/>
      <c r="AH97" s="9390"/>
      <c r="AI97" s="9390"/>
      <c r="AJ97" s="9390"/>
      <c r="AK97" s="461"/>
      <c r="AL97" s="808"/>
      <c r="AM97" s="23" t="s">
        <v>1113</v>
      </c>
      <c r="AN97" s="808"/>
      <c r="AO97" s="3837"/>
      <c r="AP97" s="3837"/>
      <c r="AQ97" s="808"/>
      <c r="AR97" s="808"/>
      <c r="AS97" s="808"/>
      <c r="AT97" s="808"/>
      <c r="AU97" s="808"/>
      <c r="AV97" s="3653"/>
      <c r="AW97" s="808"/>
      <c r="BH97" s="1281"/>
      <c r="BI97" s="1281"/>
    </row>
    <row r="98" spans="1:62" ht="16.5" customHeight="1" thickBot="1">
      <c r="A98" s="461"/>
      <c r="B98" s="9496"/>
      <c r="C98" s="9496"/>
      <c r="D98" s="9496"/>
      <c r="E98" s="9496"/>
      <c r="F98" s="9496"/>
      <c r="G98" s="9496"/>
      <c r="H98" s="9496"/>
      <c r="I98" s="9496"/>
      <c r="J98" s="9496"/>
      <c r="K98" s="9496"/>
      <c r="L98" s="9496"/>
      <c r="M98" s="9497"/>
      <c r="N98" s="9504"/>
      <c r="O98" s="9505"/>
      <c r="P98" s="9505"/>
      <c r="Q98" s="9505"/>
      <c r="R98" s="9506"/>
      <c r="S98" s="9392"/>
      <c r="T98" s="9393"/>
      <c r="U98" s="9393"/>
      <c r="V98" s="9393"/>
      <c r="W98" s="9393"/>
      <c r="X98" s="9394"/>
      <c r="Y98" s="9380"/>
      <c r="Z98" s="9381"/>
      <c r="AA98" s="9381"/>
      <c r="AB98" s="9381"/>
      <c r="AC98" s="9381"/>
      <c r="AD98" s="9382"/>
      <c r="AE98" s="9392"/>
      <c r="AF98" s="9393"/>
      <c r="AG98" s="9393"/>
      <c r="AH98" s="9393"/>
      <c r="AI98" s="9393"/>
      <c r="AJ98" s="9393"/>
      <c r="AK98" s="461"/>
      <c r="AL98" s="808"/>
      <c r="AM98" s="23" t="s">
        <v>1062</v>
      </c>
      <c r="AN98" s="808"/>
      <c r="AO98" s="3837"/>
      <c r="AP98" s="3837"/>
      <c r="AQ98" s="2173"/>
      <c r="AR98" s="2173"/>
      <c r="AS98" s="808"/>
      <c r="AT98" s="808"/>
      <c r="AU98" s="808"/>
      <c r="AV98" s="808"/>
      <c r="AW98" s="808"/>
      <c r="BH98" s="1281"/>
      <c r="BI98" s="1281"/>
    </row>
    <row r="99" spans="1:62" ht="18.75" customHeight="1" thickBot="1">
      <c r="A99" s="461"/>
      <c r="B99" s="9045"/>
      <c r="C99" s="9045"/>
      <c r="D99" s="9045"/>
      <c r="E99" s="9045"/>
      <c r="F99" s="9045"/>
      <c r="G99" s="9045"/>
      <c r="H99" s="9045"/>
      <c r="I99" s="9045"/>
      <c r="J99" s="9045"/>
      <c r="K99" s="9045"/>
      <c r="L99" s="9045"/>
      <c r="M99" s="9046"/>
      <c r="N99" s="9411"/>
      <c r="O99" s="9412"/>
      <c r="P99" s="9412"/>
      <c r="Q99" s="9412"/>
      <c r="R99" s="9413"/>
      <c r="S99" s="9354"/>
      <c r="T99" s="9355"/>
      <c r="U99" s="9355"/>
      <c r="V99" s="9355"/>
      <c r="W99" s="9355"/>
      <c r="X99" s="9356"/>
      <c r="Y99" s="9354"/>
      <c r="Z99" s="9355"/>
      <c r="AA99" s="9355"/>
      <c r="AB99" s="9355"/>
      <c r="AC99" s="9355"/>
      <c r="AD99" s="9356"/>
      <c r="AE99" s="9354" t="str">
        <f>IF(AND(S99&lt;&gt;"",Y99&lt;&gt;""),SUM(S99,-Y99),"")</f>
        <v/>
      </c>
      <c r="AF99" s="9355"/>
      <c r="AG99" s="9355"/>
      <c r="AH99" s="9355"/>
      <c r="AI99" s="9355"/>
      <c r="AJ99" s="9355"/>
      <c r="AK99" s="461"/>
      <c r="AL99" s="874">
        <f>IF(AE99&lt;&gt;"",1,0)</f>
        <v>0</v>
      </c>
      <c r="AM99" s="3521"/>
      <c r="AN99" s="808"/>
      <c r="AO99" s="3837"/>
      <c r="AP99" s="3837"/>
      <c r="AQ99" s="2173"/>
      <c r="AR99" s="2173"/>
      <c r="AS99" s="2173"/>
      <c r="AT99" s="2173"/>
      <c r="AU99" s="2173"/>
      <c r="AV99" s="808"/>
      <c r="AW99" s="808"/>
    </row>
    <row r="100" spans="1:62" ht="18.75" customHeight="1" thickBot="1">
      <c r="A100" s="461"/>
      <c r="B100" s="9045"/>
      <c r="C100" s="9045"/>
      <c r="D100" s="9045"/>
      <c r="E100" s="9045"/>
      <c r="F100" s="9045"/>
      <c r="G100" s="9045"/>
      <c r="H100" s="9045"/>
      <c r="I100" s="9045"/>
      <c r="J100" s="9045"/>
      <c r="K100" s="9045"/>
      <c r="L100" s="9045"/>
      <c r="M100" s="9046"/>
      <c r="N100" s="9411"/>
      <c r="O100" s="9412"/>
      <c r="P100" s="9412"/>
      <c r="Q100" s="9412"/>
      <c r="R100" s="9413"/>
      <c r="S100" s="9354"/>
      <c r="T100" s="9355"/>
      <c r="U100" s="9355"/>
      <c r="V100" s="9355"/>
      <c r="W100" s="9355"/>
      <c r="X100" s="9356"/>
      <c r="Y100" s="9354"/>
      <c r="Z100" s="9355"/>
      <c r="AA100" s="9355"/>
      <c r="AB100" s="9355"/>
      <c r="AC100" s="9355"/>
      <c r="AD100" s="9356"/>
      <c r="AE100" s="9354" t="str">
        <f>IF(AND(S100&lt;&gt;"",Y100&lt;&gt;""),SUM(S100,-Y100),"")</f>
        <v/>
      </c>
      <c r="AF100" s="9355"/>
      <c r="AG100" s="9355"/>
      <c r="AH100" s="9355"/>
      <c r="AI100" s="9355"/>
      <c r="AJ100" s="9355"/>
      <c r="AK100" s="461"/>
      <c r="AL100" s="874">
        <f>IF(AE100&lt;&gt;"",1,0)</f>
        <v>0</v>
      </c>
      <c r="AM100" s="3521"/>
      <c r="AN100" s="3653"/>
      <c r="AO100" s="5792"/>
      <c r="AP100" s="5792"/>
      <c r="AQ100" s="5788"/>
      <c r="AR100" s="5788"/>
      <c r="AS100" s="5788"/>
      <c r="AT100" s="5788"/>
      <c r="AU100" s="5789"/>
      <c r="AV100" s="1828"/>
      <c r="AW100" s="808"/>
    </row>
    <row r="101" spans="1:62" ht="18.75" customHeight="1" thickBot="1">
      <c r="A101" s="461"/>
      <c r="B101" s="9045"/>
      <c r="C101" s="9045"/>
      <c r="D101" s="9045"/>
      <c r="E101" s="9045"/>
      <c r="F101" s="9045"/>
      <c r="G101" s="9045"/>
      <c r="H101" s="9045"/>
      <c r="I101" s="9045"/>
      <c r="J101" s="9045"/>
      <c r="K101" s="9045"/>
      <c r="L101" s="9045"/>
      <c r="M101" s="9046"/>
      <c r="N101" s="9411"/>
      <c r="O101" s="9412"/>
      <c r="P101" s="9412"/>
      <c r="Q101" s="9412"/>
      <c r="R101" s="9413"/>
      <c r="S101" s="9354"/>
      <c r="T101" s="9355"/>
      <c r="U101" s="9355"/>
      <c r="V101" s="9355"/>
      <c r="W101" s="9355"/>
      <c r="X101" s="9356"/>
      <c r="Y101" s="9354"/>
      <c r="Z101" s="9355"/>
      <c r="AA101" s="9355"/>
      <c r="AB101" s="9355"/>
      <c r="AC101" s="9355"/>
      <c r="AD101" s="9356"/>
      <c r="AE101" s="9354" t="str">
        <f>IF(AND(S101&lt;&gt;"",Y101&lt;&gt;""),SUM(S101,-Y101),"")</f>
        <v/>
      </c>
      <c r="AF101" s="9355"/>
      <c r="AG101" s="9355"/>
      <c r="AH101" s="9355"/>
      <c r="AI101" s="9355"/>
      <c r="AJ101" s="9355"/>
      <c r="AK101" s="461"/>
      <c r="AL101" s="874">
        <f>IF(AE101&lt;&gt;"",1,0)</f>
        <v>0</v>
      </c>
      <c r="AM101" s="3521"/>
      <c r="AN101" s="3653"/>
      <c r="AO101" s="5792"/>
      <c r="AP101" s="5792"/>
      <c r="AQ101" s="808"/>
      <c r="AR101" s="808"/>
      <c r="AS101" s="808"/>
      <c r="AT101" s="808"/>
      <c r="AU101" s="808"/>
      <c r="AV101" s="3653"/>
      <c r="AW101" s="3653"/>
    </row>
    <row r="102" spans="1:62" ht="18.75" customHeight="1" thickBot="1">
      <c r="A102" s="461"/>
      <c r="B102" s="9045"/>
      <c r="C102" s="9045"/>
      <c r="D102" s="9045"/>
      <c r="E102" s="9045"/>
      <c r="F102" s="9045"/>
      <c r="G102" s="9045"/>
      <c r="H102" s="9045"/>
      <c r="I102" s="9045"/>
      <c r="J102" s="9045"/>
      <c r="K102" s="9045"/>
      <c r="L102" s="9045"/>
      <c r="M102" s="9046"/>
      <c r="N102" s="9411"/>
      <c r="O102" s="9412"/>
      <c r="P102" s="9412"/>
      <c r="Q102" s="9412"/>
      <c r="R102" s="9413"/>
      <c r="S102" s="9354"/>
      <c r="T102" s="9355"/>
      <c r="U102" s="9355"/>
      <c r="V102" s="9355"/>
      <c r="W102" s="9355"/>
      <c r="X102" s="9356"/>
      <c r="Y102" s="9354"/>
      <c r="Z102" s="9355"/>
      <c r="AA102" s="9355"/>
      <c r="AB102" s="9355"/>
      <c r="AC102" s="9355"/>
      <c r="AD102" s="9356"/>
      <c r="AE102" s="9354" t="str">
        <f>IF(AND(S102&lt;&gt;"",Y102&lt;&gt;""),SUM(S102,-Y102),"")</f>
        <v/>
      </c>
      <c r="AF102" s="9355"/>
      <c r="AG102" s="9355"/>
      <c r="AH102" s="9355"/>
      <c r="AI102" s="9355"/>
      <c r="AJ102" s="9355"/>
      <c r="AK102" s="461"/>
      <c r="AL102" s="874">
        <f>IF(AE102&lt;&gt;"",1,0)</f>
        <v>0</v>
      </c>
      <c r="AM102" s="3521"/>
      <c r="AN102" s="3653"/>
      <c r="AO102" s="5792"/>
      <c r="AP102" s="5792"/>
      <c r="AQ102" s="808"/>
      <c r="AR102" s="808"/>
      <c r="AS102" s="808"/>
      <c r="AT102" s="808"/>
      <c r="AU102" s="808"/>
      <c r="AV102" s="3653"/>
      <c r="AW102" s="3653"/>
    </row>
    <row r="103" spans="1:62" ht="18.75" customHeight="1" thickBot="1">
      <c r="A103" s="461"/>
      <c r="B103" s="9414"/>
      <c r="C103" s="9414"/>
      <c r="D103" s="9414"/>
      <c r="E103" s="9414"/>
      <c r="F103" s="9414"/>
      <c r="G103" s="9414"/>
      <c r="H103" s="9414"/>
      <c r="I103" s="9414"/>
      <c r="J103" s="9414"/>
      <c r="K103" s="9414"/>
      <c r="L103" s="9414"/>
      <c r="M103" s="9415"/>
      <c r="N103" s="9411"/>
      <c r="O103" s="9412"/>
      <c r="P103" s="9412"/>
      <c r="Q103" s="9412"/>
      <c r="R103" s="9413"/>
      <c r="S103" s="9354"/>
      <c r="T103" s="9355"/>
      <c r="U103" s="9355"/>
      <c r="V103" s="9355"/>
      <c r="W103" s="9355"/>
      <c r="X103" s="9356"/>
      <c r="Y103" s="9354"/>
      <c r="Z103" s="9355"/>
      <c r="AA103" s="9355"/>
      <c r="AB103" s="9355"/>
      <c r="AC103" s="9355"/>
      <c r="AD103" s="9356"/>
      <c r="AE103" s="9354" t="str">
        <f>IF(AND(S103&lt;&gt;"",Y103&lt;&gt;""),SUM(S103,-Y103),"")</f>
        <v/>
      </c>
      <c r="AF103" s="9355"/>
      <c r="AG103" s="9355"/>
      <c r="AH103" s="9355"/>
      <c r="AI103" s="9355"/>
      <c r="AJ103" s="9355"/>
      <c r="AK103" s="461"/>
      <c r="AL103" s="874">
        <f>IF(AE103&lt;&gt;"",1,0)</f>
        <v>0</v>
      </c>
      <c r="AM103" s="3521"/>
      <c r="AN103" s="808"/>
      <c r="AO103" s="3837"/>
      <c r="AP103" s="3837"/>
      <c r="AQ103" s="808"/>
      <c r="AR103" s="808"/>
      <c r="AS103" s="808"/>
      <c r="AT103" s="808"/>
      <c r="AU103" s="808"/>
      <c r="AV103" s="3653"/>
      <c r="AW103" s="3653"/>
    </row>
    <row r="104" spans="1:62" ht="16.5" customHeight="1" thickBot="1">
      <c r="A104" s="461"/>
      <c r="B104" s="890"/>
      <c r="C104" s="5733"/>
      <c r="D104" s="5733"/>
      <c r="E104" s="5733"/>
      <c r="F104" s="5733"/>
      <c r="G104" s="5733"/>
      <c r="H104" s="5733"/>
      <c r="I104" s="5733"/>
      <c r="J104" s="5733"/>
      <c r="K104" s="5733"/>
      <c r="L104" s="5733"/>
      <c r="M104" s="5733"/>
      <c r="N104" s="5733"/>
      <c r="O104" s="5733"/>
      <c r="P104" s="5733"/>
      <c r="Q104" s="5733"/>
      <c r="R104" s="5735"/>
      <c r="S104" s="5734"/>
      <c r="T104" s="5733"/>
      <c r="U104" s="5733"/>
      <c r="V104" s="5733"/>
      <c r="W104" s="5733"/>
      <c r="X104" s="5735"/>
      <c r="Y104" s="5734"/>
      <c r="Z104" s="5733"/>
      <c r="AA104" s="5733"/>
      <c r="AB104" s="5733"/>
      <c r="AC104" s="5733"/>
      <c r="AD104" s="5733"/>
      <c r="AE104" s="5734"/>
      <c r="AF104" s="5733"/>
      <c r="AG104" s="5733"/>
      <c r="AH104" s="5733"/>
      <c r="AI104" s="5733"/>
      <c r="AJ104" s="5733"/>
      <c r="AK104" s="461"/>
      <c r="AL104" s="3431">
        <f>SUM(AL99:AL103)</f>
        <v>0</v>
      </c>
      <c r="AM104" s="2590"/>
      <c r="AN104" s="808"/>
      <c r="AO104" s="3837"/>
      <c r="AP104" s="3837"/>
      <c r="AQ104" s="808"/>
      <c r="AR104" s="808"/>
      <c r="AS104" s="808"/>
      <c r="AT104" s="808"/>
      <c r="AU104" s="808"/>
      <c r="AV104" s="808"/>
      <c r="AW104" s="808"/>
      <c r="BJ104" s="1268"/>
    </row>
    <row r="105" spans="1:62" ht="16.5" customHeight="1" thickBot="1">
      <c r="A105" s="461"/>
      <c r="B105" s="3444" t="s">
        <v>248</v>
      </c>
      <c r="C105" s="5357"/>
      <c r="D105" s="5357"/>
      <c r="E105" s="5357"/>
      <c r="F105" s="5357"/>
      <c r="G105" s="5357"/>
      <c r="H105" s="5357"/>
      <c r="I105" s="5357"/>
      <c r="J105" s="5357"/>
      <c r="K105" s="5357"/>
      <c r="L105" s="5357"/>
      <c r="M105" s="5357"/>
      <c r="N105" s="5756"/>
      <c r="O105" s="5756"/>
      <c r="P105" s="5756"/>
      <c r="Q105" s="5756"/>
      <c r="R105" s="2629" t="s">
        <v>4204</v>
      </c>
      <c r="S105" s="9416" t="str">
        <f>IF(SUM(S99:X103)&gt;0,SUM(S99:X103),"")</f>
        <v/>
      </c>
      <c r="T105" s="9417"/>
      <c r="U105" s="9417"/>
      <c r="V105" s="9417"/>
      <c r="W105" s="9417"/>
      <c r="X105" s="9418"/>
      <c r="Y105" s="9416" t="str">
        <f>IF(SUM(Y99:AD103)&gt;0,SUM(Y99:AD103),"")</f>
        <v/>
      </c>
      <c r="Z105" s="9417"/>
      <c r="AA105" s="9417"/>
      <c r="AB105" s="9417"/>
      <c r="AC105" s="9417"/>
      <c r="AD105" s="9418"/>
      <c r="AE105" s="9416" t="str">
        <f>IF(AL104&gt;0,SUM(AE99:AJ103),"")</f>
        <v/>
      </c>
      <c r="AF105" s="9417"/>
      <c r="AG105" s="9417"/>
      <c r="AH105" s="9417"/>
      <c r="AI105" s="9417"/>
      <c r="AJ105" s="9417"/>
      <c r="AK105" s="461"/>
      <c r="AL105" s="2175"/>
      <c r="AM105" s="3521"/>
      <c r="AN105" s="808"/>
      <c r="AO105" s="3837"/>
      <c r="AP105" s="3837"/>
      <c r="AQ105" s="808"/>
      <c r="AR105" s="808"/>
      <c r="AS105" s="808"/>
      <c r="AT105" s="808"/>
      <c r="AU105" s="808"/>
      <c r="AV105" s="808"/>
      <c r="AW105" s="808"/>
    </row>
    <row r="106" spans="1:62" s="2690" customFormat="1" ht="18">
      <c r="A106" s="461"/>
      <c r="B106" s="1262"/>
      <c r="C106" s="1325"/>
      <c r="D106" s="61"/>
      <c r="E106" s="61"/>
      <c r="F106" s="61"/>
      <c r="G106" s="61"/>
      <c r="H106" s="61"/>
      <c r="I106" s="61"/>
      <c r="J106" s="61"/>
      <c r="K106" s="61"/>
      <c r="L106" s="61"/>
      <c r="M106" s="61"/>
      <c r="N106" s="61"/>
      <c r="O106" s="61"/>
      <c r="P106" s="61"/>
      <c r="Q106" s="22"/>
      <c r="R106" s="22"/>
      <c r="S106" s="22"/>
      <c r="T106" s="22"/>
      <c r="U106" s="337"/>
      <c r="V106" s="22"/>
      <c r="W106" s="337"/>
      <c r="X106" s="22"/>
      <c r="Y106" s="22"/>
      <c r="Z106" s="22"/>
      <c r="AA106" s="22"/>
      <c r="AB106" s="22"/>
      <c r="AC106" s="22"/>
      <c r="AD106" s="22"/>
      <c r="AE106" s="5758" t="s">
        <v>50</v>
      </c>
      <c r="AF106" s="9421">
        <v>8582</v>
      </c>
      <c r="AG106" s="9421"/>
      <c r="AH106" s="9421"/>
      <c r="AI106" s="22"/>
      <c r="AJ106" s="705" t="str">
        <f>"("&amp;TaxYear&amp;")"</f>
        <v>(2023)</v>
      </c>
      <c r="AK106" s="461"/>
      <c r="AL106" s="1461"/>
      <c r="AM106" s="1461"/>
      <c r="AN106" s="808"/>
      <c r="AO106" s="3837"/>
      <c r="AP106" s="3837"/>
      <c r="AQ106" s="808"/>
      <c r="AR106" s="808"/>
      <c r="AS106" s="808"/>
      <c r="AT106" s="808"/>
      <c r="AU106" s="808"/>
      <c r="AV106" s="808"/>
      <c r="AW106" s="808"/>
      <c r="AX106" s="5768"/>
      <c r="AY106" s="2038"/>
      <c r="AZ106" s="2038"/>
      <c r="BA106" s="2038"/>
      <c r="BB106" s="2038"/>
      <c r="BC106" s="2038"/>
      <c r="BD106" s="2038"/>
      <c r="BE106" s="2038"/>
      <c r="BF106" s="2038"/>
      <c r="BG106" s="2038"/>
      <c r="BH106" s="39"/>
      <c r="BI106" s="39"/>
    </row>
    <row r="107" spans="1:62" s="2690" customFormat="1" ht="22.5" customHeight="1" thickBot="1">
      <c r="A107" s="461"/>
      <c r="B107" s="964" t="str">
        <f>"Form 8582 ("&amp;TaxYear&amp;")"</f>
        <v>Form 8582 (2023)</v>
      </c>
      <c r="C107" s="3600"/>
      <c r="D107" s="964"/>
      <c r="E107" s="964"/>
      <c r="F107" s="964"/>
      <c r="G107" s="964"/>
      <c r="H107" s="964"/>
      <c r="I107" s="964"/>
      <c r="J107" s="964"/>
      <c r="K107" s="964"/>
      <c r="L107" s="964"/>
      <c r="M107" s="964"/>
      <c r="N107" s="964"/>
      <c r="O107" s="964"/>
      <c r="P107" s="964"/>
      <c r="Q107" s="964"/>
      <c r="R107" s="964"/>
      <c r="S107" s="964"/>
      <c r="T107" s="964"/>
      <c r="U107" s="964"/>
      <c r="V107" s="964"/>
      <c r="W107" s="964"/>
      <c r="X107" s="964"/>
      <c r="Y107" s="964"/>
      <c r="Z107" s="964"/>
      <c r="AA107" s="964"/>
      <c r="AB107" s="964"/>
      <c r="AC107" s="964"/>
      <c r="AD107" s="964"/>
      <c r="AE107" s="964"/>
      <c r="AF107" s="964"/>
      <c r="AG107" s="964"/>
      <c r="AH107" s="964"/>
      <c r="AI107" s="1368" t="s">
        <v>2387</v>
      </c>
      <c r="AJ107" s="5757">
        <v>3</v>
      </c>
      <c r="AK107" s="461"/>
      <c r="AL107" s="808"/>
      <c r="AM107" s="808"/>
      <c r="AN107" s="808"/>
      <c r="AO107" s="3837"/>
      <c r="AP107" s="3837"/>
      <c r="AQ107" s="808"/>
      <c r="AR107" s="808"/>
      <c r="AS107" s="808"/>
      <c r="AT107" s="808"/>
      <c r="AU107" s="808"/>
      <c r="AV107" s="808"/>
      <c r="AW107" s="808"/>
      <c r="AX107" s="5768"/>
      <c r="AY107" s="2038"/>
      <c r="AZ107" s="2038"/>
      <c r="BA107" s="2038"/>
      <c r="BB107" s="2038"/>
      <c r="BC107" s="2038"/>
      <c r="BD107" s="2038"/>
      <c r="BE107" s="2038"/>
      <c r="BF107" s="2038"/>
      <c r="BG107" s="2038"/>
      <c r="BH107" s="39"/>
      <c r="BI107" s="39"/>
    </row>
    <row r="108" spans="1:62" s="2690" customFormat="1" ht="18.75" customHeight="1" thickTop="1">
      <c r="A108" s="461"/>
      <c r="B108" s="9450" t="s">
        <v>3862</v>
      </c>
      <c r="C108" s="9450"/>
      <c r="D108" s="3611"/>
      <c r="E108" s="5739" t="s">
        <v>5422</v>
      </c>
      <c r="F108" s="963"/>
      <c r="G108" s="963"/>
      <c r="H108" s="963"/>
      <c r="I108" s="963"/>
      <c r="J108" s="963"/>
      <c r="K108" s="963"/>
      <c r="L108" s="963"/>
      <c r="M108" s="4165"/>
      <c r="N108" s="4165"/>
      <c r="O108" s="4165"/>
      <c r="P108" s="4165"/>
      <c r="Q108" s="4165"/>
      <c r="R108" s="4165"/>
      <c r="S108" s="4165"/>
      <c r="T108" s="4165"/>
      <c r="U108" s="4165"/>
      <c r="V108" s="4165"/>
      <c r="W108" s="4165"/>
      <c r="X108" s="4165"/>
      <c r="Y108" s="5738" t="s">
        <v>832</v>
      </c>
      <c r="Z108" s="5738"/>
      <c r="AA108" s="4165"/>
      <c r="AB108" s="4165"/>
      <c r="AC108" s="4165"/>
      <c r="AD108" s="4165"/>
      <c r="AE108" s="4165"/>
      <c r="AF108" s="4165"/>
      <c r="AG108" s="4165"/>
      <c r="AH108" s="4165"/>
      <c r="AI108" s="4165"/>
      <c r="AJ108" s="4165"/>
      <c r="AK108" s="461"/>
      <c r="AL108" s="808"/>
      <c r="AM108" s="808"/>
      <c r="AN108" s="808"/>
      <c r="AO108" s="3837"/>
      <c r="AP108" s="3837"/>
      <c r="AQ108" s="808"/>
      <c r="AR108" s="808"/>
      <c r="AS108" s="808"/>
      <c r="AT108" s="808"/>
      <c r="AU108" s="808"/>
      <c r="AV108" s="808"/>
      <c r="AW108" s="808"/>
      <c r="AX108" s="5768"/>
      <c r="AY108" s="2038"/>
      <c r="AZ108" s="2038"/>
      <c r="BA108" s="2038"/>
      <c r="BB108" s="2038"/>
      <c r="BC108" s="2038"/>
      <c r="BD108" s="2038"/>
      <c r="BE108" s="2038"/>
      <c r="BF108" s="2038"/>
      <c r="BG108" s="2038"/>
      <c r="BH108" s="39"/>
      <c r="BI108" s="39"/>
    </row>
    <row r="109" spans="1:62" ht="16.5" customHeight="1">
      <c r="A109" s="461"/>
      <c r="B109" s="997" t="s">
        <v>5423</v>
      </c>
      <c r="C109" s="5740"/>
      <c r="D109" s="2440"/>
      <c r="E109" s="5732"/>
      <c r="F109" s="5732"/>
      <c r="G109" s="5732"/>
      <c r="H109" s="1142"/>
      <c r="I109" s="1142"/>
      <c r="J109" s="1142"/>
      <c r="K109" s="1142"/>
      <c r="L109" s="1142"/>
      <c r="M109" s="7497" t="s">
        <v>2536</v>
      </c>
      <c r="N109" s="9451"/>
      <c r="O109" s="9451"/>
      <c r="P109" s="9452"/>
      <c r="Q109" s="7497" t="s">
        <v>2537</v>
      </c>
      <c r="R109" s="9451"/>
      <c r="S109" s="9451"/>
      <c r="T109" s="9452"/>
      <c r="U109" s="7497" t="s">
        <v>5424</v>
      </c>
      <c r="V109" s="9451"/>
      <c r="W109" s="9451"/>
      <c r="X109" s="9451"/>
      <c r="Y109" s="9452"/>
      <c r="Z109" s="9455" t="s">
        <v>5425</v>
      </c>
      <c r="AA109" s="9372"/>
      <c r="AB109" s="9372"/>
      <c r="AC109" s="9372"/>
      <c r="AD109" s="9372"/>
      <c r="AE109" s="9373"/>
      <c r="AF109" s="9456" t="s">
        <v>5426</v>
      </c>
      <c r="AG109" s="9451"/>
      <c r="AH109" s="9451"/>
      <c r="AI109" s="9451"/>
      <c r="AJ109" s="9451"/>
      <c r="AK109" s="461"/>
      <c r="AL109" s="808"/>
      <c r="AM109" s="808"/>
      <c r="AN109" s="808"/>
      <c r="AO109" s="3837"/>
      <c r="AP109" s="3837"/>
      <c r="AQ109" s="808"/>
      <c r="AR109" s="808"/>
      <c r="AS109" s="808"/>
      <c r="AT109" s="808"/>
      <c r="AU109" s="808"/>
      <c r="AV109" s="808"/>
      <c r="AW109" s="808"/>
    </row>
    <row r="110" spans="1:62" ht="16.5" customHeight="1">
      <c r="A110" s="461"/>
      <c r="B110" s="9457"/>
      <c r="C110" s="9457"/>
      <c r="D110" s="9457"/>
      <c r="E110" s="9457"/>
      <c r="F110" s="9457"/>
      <c r="G110" s="9457"/>
      <c r="H110" s="9457"/>
      <c r="I110" s="9457"/>
      <c r="J110" s="9457"/>
      <c r="K110" s="9457"/>
      <c r="L110" s="9458"/>
      <c r="M110" s="7479"/>
      <c r="N110" s="9453"/>
      <c r="O110" s="9453"/>
      <c r="P110" s="9454"/>
      <c r="Q110" s="7479"/>
      <c r="R110" s="9453"/>
      <c r="S110" s="9453"/>
      <c r="T110" s="9454"/>
      <c r="U110" s="7479"/>
      <c r="V110" s="9453"/>
      <c r="W110" s="9453"/>
      <c r="X110" s="9453"/>
      <c r="Y110" s="9454"/>
      <c r="Z110" s="9374"/>
      <c r="AA110" s="9375"/>
      <c r="AB110" s="9375"/>
      <c r="AC110" s="9375"/>
      <c r="AD110" s="9375"/>
      <c r="AE110" s="9376"/>
      <c r="AF110" s="7479"/>
      <c r="AG110" s="9453"/>
      <c r="AH110" s="9453"/>
      <c r="AI110" s="9453"/>
      <c r="AJ110" s="9453"/>
      <c r="AK110" s="461"/>
      <c r="AL110" s="808"/>
      <c r="AM110" s="808"/>
      <c r="AN110" s="808"/>
      <c r="AO110" s="3837"/>
      <c r="AP110" s="3837"/>
      <c r="AQ110" s="808"/>
      <c r="AR110" s="808"/>
      <c r="AS110" s="808"/>
      <c r="AT110" s="808"/>
      <c r="AU110" s="808"/>
      <c r="AV110" s="808"/>
      <c r="AW110" s="808"/>
    </row>
    <row r="111" spans="1:62" ht="16.5" customHeight="1">
      <c r="A111" s="461"/>
      <c r="B111" s="1747" t="s">
        <v>5429</v>
      </c>
      <c r="C111" s="3644"/>
      <c r="D111" s="2112"/>
      <c r="E111" s="1461"/>
      <c r="F111" s="1461"/>
      <c r="G111" s="1461"/>
      <c r="H111" s="808"/>
      <c r="I111" s="808"/>
      <c r="J111" s="808"/>
      <c r="K111" s="808"/>
      <c r="L111" s="808"/>
      <c r="M111" s="9402"/>
      <c r="N111" s="9403"/>
      <c r="O111" s="9403"/>
      <c r="P111" s="9404"/>
      <c r="Q111" s="5741"/>
      <c r="R111" s="5742"/>
      <c r="S111" s="5742"/>
      <c r="T111" s="5743"/>
      <c r="U111" s="5741"/>
      <c r="V111" s="5742"/>
      <c r="W111" s="5742"/>
      <c r="X111" s="5742"/>
      <c r="Y111" s="5743"/>
      <c r="Z111" s="5741"/>
      <c r="AA111" s="5742"/>
      <c r="AB111" s="5742"/>
      <c r="AC111" s="5742"/>
      <c r="AD111" s="5742"/>
      <c r="AE111" s="5743"/>
      <c r="AF111" s="5741"/>
      <c r="AG111" s="5742"/>
      <c r="AH111" s="5742"/>
      <c r="AI111" s="5742"/>
      <c r="AJ111" s="5742"/>
      <c r="AK111" s="461"/>
      <c r="AL111" s="808"/>
      <c r="AM111" s="808"/>
      <c r="AN111" s="808"/>
      <c r="AO111" s="3837"/>
      <c r="AP111" s="3837"/>
      <c r="AQ111" s="808"/>
      <c r="AR111" s="808"/>
      <c r="AS111" s="808"/>
      <c r="AT111" s="808"/>
      <c r="AU111" s="808"/>
      <c r="AV111" s="808"/>
      <c r="AW111" s="808"/>
    </row>
    <row r="112" spans="1:62" ht="16.5" customHeight="1">
      <c r="A112" s="461"/>
      <c r="B112" s="1747" t="s">
        <v>5430</v>
      </c>
      <c r="C112" s="3045"/>
      <c r="D112" s="2112"/>
      <c r="E112" s="1461"/>
      <c r="F112" s="1461"/>
      <c r="G112" s="1461"/>
      <c r="H112" s="1461"/>
      <c r="I112" s="808"/>
      <c r="J112" s="808"/>
      <c r="K112" s="808"/>
      <c r="L112" s="808"/>
      <c r="M112" s="9405"/>
      <c r="N112" s="9406"/>
      <c r="O112" s="9406"/>
      <c r="P112" s="9407"/>
      <c r="Q112" s="5744"/>
      <c r="R112" s="2162"/>
      <c r="S112" s="2162"/>
      <c r="T112" s="5745"/>
      <c r="U112" s="5744"/>
      <c r="V112" s="2162"/>
      <c r="W112" s="2162"/>
      <c r="X112" s="2162"/>
      <c r="Y112" s="5745"/>
      <c r="Z112" s="5744"/>
      <c r="AA112" s="2162"/>
      <c r="AB112" s="2162"/>
      <c r="AC112" s="2162"/>
      <c r="AD112" s="2162"/>
      <c r="AE112" s="5745"/>
      <c r="AF112" s="5744"/>
      <c r="AG112" s="2162"/>
      <c r="AH112" s="2162"/>
      <c r="AI112" s="2162"/>
      <c r="AJ112" s="2162"/>
      <c r="AK112" s="461"/>
      <c r="AL112" s="808"/>
      <c r="AM112" s="808"/>
      <c r="AN112" s="808"/>
      <c r="AO112" s="3837"/>
      <c r="AP112" s="3837"/>
      <c r="AQ112" s="808"/>
      <c r="AR112" s="808"/>
      <c r="AS112" s="808"/>
      <c r="AT112" s="808"/>
      <c r="AU112" s="808"/>
      <c r="AV112" s="808"/>
      <c r="AW112" s="808"/>
    </row>
    <row r="113" spans="1:49" ht="16.5" customHeight="1">
      <c r="A113" s="461"/>
      <c r="B113" s="9445"/>
      <c r="C113" s="9445"/>
      <c r="D113" s="9445"/>
      <c r="E113" s="9445"/>
      <c r="F113" s="9445"/>
      <c r="G113" s="9445"/>
      <c r="H113" s="9445"/>
      <c r="I113" s="9445"/>
      <c r="J113" s="9445"/>
      <c r="K113" s="9445"/>
      <c r="L113" s="9446"/>
      <c r="M113" s="9408"/>
      <c r="N113" s="9409"/>
      <c r="O113" s="9409"/>
      <c r="P113" s="9410"/>
      <c r="Q113" s="5744"/>
      <c r="R113" s="2162"/>
      <c r="S113" s="2162"/>
      <c r="T113" s="5745"/>
      <c r="U113" s="5744"/>
      <c r="V113" s="2162"/>
      <c r="W113" s="2162"/>
      <c r="X113" s="2162"/>
      <c r="Y113" s="5745"/>
      <c r="Z113" s="5744"/>
      <c r="AA113" s="2162"/>
      <c r="AB113" s="2162"/>
      <c r="AC113" s="2162"/>
      <c r="AD113" s="2162"/>
      <c r="AE113" s="5745"/>
      <c r="AF113" s="5744"/>
      <c r="AG113" s="2162"/>
      <c r="AH113" s="2162"/>
      <c r="AI113" s="2162"/>
      <c r="AJ113" s="2162"/>
      <c r="AK113" s="461"/>
      <c r="AL113" s="808"/>
      <c r="AM113" s="808"/>
      <c r="AN113" s="808"/>
      <c r="AO113" s="3837"/>
      <c r="AP113" s="3837"/>
      <c r="AQ113" s="808"/>
      <c r="AR113" s="808"/>
      <c r="AS113" s="808"/>
      <c r="AT113" s="808"/>
      <c r="AU113" s="808"/>
      <c r="AV113" s="808"/>
      <c r="AW113" s="808"/>
    </row>
    <row r="114" spans="1:49" ht="16.5" customHeight="1">
      <c r="A114" s="461"/>
      <c r="B114" s="808"/>
      <c r="C114" s="3644" t="s">
        <v>363</v>
      </c>
      <c r="D114" s="1108" t="s">
        <v>5427</v>
      </c>
      <c r="E114" s="1461"/>
      <c r="F114" s="1461"/>
      <c r="G114" s="1461"/>
      <c r="H114" s="808"/>
      <c r="I114" s="808"/>
      <c r="J114" s="808"/>
      <c r="K114" s="808"/>
      <c r="L114" s="808"/>
      <c r="M114" s="1149"/>
      <c r="N114" s="1142"/>
      <c r="O114" s="1142"/>
      <c r="P114" s="1143"/>
      <c r="Q114" s="5744"/>
      <c r="R114" s="2162"/>
      <c r="S114" s="2162"/>
      <c r="T114" s="5745"/>
      <c r="U114" s="5744"/>
      <c r="V114" s="2162"/>
      <c r="W114" s="2162"/>
      <c r="X114" s="2162"/>
      <c r="Y114" s="5745"/>
      <c r="Z114" s="5744"/>
      <c r="AA114" s="2162"/>
      <c r="AB114" s="2162"/>
      <c r="AC114" s="2162"/>
      <c r="AD114" s="2162"/>
      <c r="AE114" s="5745"/>
      <c r="AF114" s="5744"/>
      <c r="AG114" s="2162"/>
      <c r="AH114" s="2162"/>
      <c r="AI114" s="2162"/>
      <c r="AJ114" s="2162"/>
      <c r="AK114" s="461"/>
      <c r="AL114" s="808"/>
      <c r="AM114" s="808"/>
      <c r="AN114" s="808"/>
      <c r="AO114" s="3837"/>
      <c r="AP114" s="3837"/>
      <c r="AQ114" s="808"/>
      <c r="AR114" s="808"/>
      <c r="AS114" s="808"/>
      <c r="AT114" s="808"/>
      <c r="AU114" s="808"/>
      <c r="AV114" s="808"/>
      <c r="AW114" s="808"/>
    </row>
    <row r="115" spans="1:49" ht="16.5" customHeight="1">
      <c r="A115" s="461"/>
      <c r="B115" s="808"/>
      <c r="C115" s="3045"/>
      <c r="D115" s="1108" t="s">
        <v>5428</v>
      </c>
      <c r="E115" s="1461"/>
      <c r="F115" s="1461"/>
      <c r="G115" s="1461"/>
      <c r="H115" s="1461"/>
      <c r="I115" s="808"/>
      <c r="J115" s="808"/>
      <c r="K115" s="808"/>
      <c r="L115" s="808"/>
      <c r="M115" s="9447"/>
      <c r="N115" s="9448"/>
      <c r="O115" s="9448"/>
      <c r="P115" s="9449"/>
      <c r="Q115" s="5744"/>
      <c r="R115" s="2162"/>
      <c r="S115" s="2162"/>
      <c r="T115" s="5745"/>
      <c r="U115" s="5744"/>
      <c r="V115" s="2162"/>
      <c r="W115" s="2162"/>
      <c r="X115" s="2162"/>
      <c r="Y115" s="5745"/>
      <c r="Z115" s="5744"/>
      <c r="AA115" s="2162"/>
      <c r="AB115" s="2162"/>
      <c r="AC115" s="2162"/>
      <c r="AD115" s="2162"/>
      <c r="AE115" s="5745"/>
      <c r="AF115" s="5744"/>
      <c r="AG115" s="2162"/>
      <c r="AH115" s="2162"/>
      <c r="AI115" s="2162"/>
      <c r="AJ115" s="2162"/>
      <c r="AK115" s="461"/>
      <c r="AL115" s="808"/>
      <c r="AM115" s="808"/>
      <c r="AN115" s="808"/>
      <c r="AO115" s="3837"/>
      <c r="AP115" s="3837"/>
      <c r="AQ115" s="808"/>
      <c r="AR115" s="808"/>
      <c r="AS115" s="808"/>
      <c r="AT115" s="808"/>
      <c r="AU115" s="808"/>
      <c r="AV115" s="808"/>
      <c r="AW115" s="808"/>
    </row>
    <row r="116" spans="1:49" ht="16.5" customHeight="1">
      <c r="A116" s="461"/>
      <c r="B116" s="808"/>
      <c r="C116" s="3644"/>
      <c r="D116" s="2112"/>
      <c r="E116" s="1461"/>
      <c r="F116" s="1461"/>
      <c r="G116" s="1461"/>
      <c r="H116" s="808"/>
      <c r="I116" s="808"/>
      <c r="J116" s="808"/>
      <c r="K116" s="808"/>
      <c r="L116" s="808"/>
      <c r="M116" s="1149"/>
      <c r="N116" s="1142"/>
      <c r="O116" s="1142"/>
      <c r="P116" s="1143"/>
      <c r="Q116" s="5744"/>
      <c r="R116" s="2162"/>
      <c r="S116" s="2162"/>
      <c r="T116" s="5745"/>
      <c r="U116" s="5744"/>
      <c r="V116" s="2162"/>
      <c r="W116" s="2162"/>
      <c r="X116" s="2162"/>
      <c r="Y116" s="5745"/>
      <c r="Z116" s="5744"/>
      <c r="AA116" s="2162"/>
      <c r="AB116" s="2162"/>
      <c r="AC116" s="2162"/>
      <c r="AD116" s="2162"/>
      <c r="AE116" s="5745"/>
      <c r="AF116" s="5744"/>
      <c r="AG116" s="2162"/>
      <c r="AH116" s="2162"/>
      <c r="AI116" s="2162"/>
      <c r="AJ116" s="2162"/>
      <c r="AK116" s="461"/>
      <c r="AL116" s="808"/>
      <c r="AM116" s="808"/>
      <c r="AN116" s="808"/>
      <c r="AO116" s="3837"/>
      <c r="AP116" s="3837"/>
      <c r="AQ116" s="808"/>
      <c r="AR116" s="808"/>
      <c r="AS116" s="808"/>
      <c r="AT116" s="808"/>
      <c r="AU116" s="808"/>
      <c r="AV116" s="808"/>
      <c r="AW116" s="808"/>
    </row>
    <row r="117" spans="1:49" ht="16.5" customHeight="1">
      <c r="A117" s="461"/>
      <c r="B117" s="808"/>
      <c r="C117" s="3644" t="s">
        <v>644</v>
      </c>
      <c r="D117" s="1108" t="s">
        <v>5432</v>
      </c>
      <c r="E117" s="1461"/>
      <c r="F117" s="1461"/>
      <c r="G117" s="1461"/>
      <c r="H117" s="1461"/>
      <c r="I117" s="808"/>
      <c r="J117" s="808"/>
      <c r="K117" s="808"/>
      <c r="L117" s="808"/>
      <c r="M117" s="9447"/>
      <c r="N117" s="9448"/>
      <c r="O117" s="9448"/>
      <c r="P117" s="9449"/>
      <c r="Q117" s="5744"/>
      <c r="R117" s="2162"/>
      <c r="S117" s="2162"/>
      <c r="T117" s="5745"/>
      <c r="U117" s="5744"/>
      <c r="V117" s="2162"/>
      <c r="W117" s="2162"/>
      <c r="X117" s="2162"/>
      <c r="Y117" s="5745"/>
      <c r="Z117" s="5746"/>
      <c r="AA117" s="5747"/>
      <c r="AB117" s="5747"/>
      <c r="AC117" s="5747"/>
      <c r="AD117" s="5747"/>
      <c r="AE117" s="5748"/>
      <c r="AF117" s="5746"/>
      <c r="AG117" s="5747"/>
      <c r="AH117" s="5747"/>
      <c r="AI117" s="5747"/>
      <c r="AJ117" s="5747"/>
      <c r="AK117" s="461"/>
      <c r="AL117" s="808"/>
      <c r="AM117" s="808"/>
      <c r="AN117" s="808"/>
      <c r="AO117" s="3837"/>
      <c r="AP117" s="3837"/>
      <c r="AQ117" s="808"/>
      <c r="AR117" s="808"/>
      <c r="AS117" s="808"/>
      <c r="AT117" s="808"/>
      <c r="AU117" s="808"/>
      <c r="AV117" s="808"/>
      <c r="AW117" s="808"/>
    </row>
    <row r="118" spans="1:49" ht="16.5" customHeight="1">
      <c r="A118" s="461"/>
      <c r="B118" s="808"/>
      <c r="C118" s="3644"/>
      <c r="D118" s="2112"/>
      <c r="E118" s="1461"/>
      <c r="F118" s="1461"/>
      <c r="G118" s="1461"/>
      <c r="H118" s="808"/>
      <c r="I118" s="808"/>
      <c r="J118" s="808"/>
      <c r="K118" s="808"/>
      <c r="L118" s="808"/>
      <c r="M118" s="5749"/>
      <c r="N118" s="5749"/>
      <c r="O118" s="5749"/>
      <c r="P118" s="5750"/>
      <c r="Q118" s="1149"/>
      <c r="R118" s="1142"/>
      <c r="S118" s="1142"/>
      <c r="T118" s="1143"/>
      <c r="U118" s="1149"/>
      <c r="V118" s="1142"/>
      <c r="W118" s="1142"/>
      <c r="X118" s="1142"/>
      <c r="Y118" s="1143"/>
      <c r="Z118" s="1149"/>
      <c r="AA118" s="1142"/>
      <c r="AB118" s="1142"/>
      <c r="AC118" s="1142"/>
      <c r="AD118" s="1142"/>
      <c r="AE118" s="1142"/>
      <c r="AF118" s="1149"/>
      <c r="AG118" s="1142"/>
      <c r="AH118" s="1142"/>
      <c r="AI118" s="1142"/>
      <c r="AJ118" s="1142"/>
      <c r="AK118" s="461"/>
      <c r="AL118" s="808"/>
      <c r="AM118" s="808"/>
      <c r="AN118" s="808"/>
      <c r="AO118" s="3837"/>
      <c r="AP118" s="3837"/>
      <c r="AQ118" s="808"/>
      <c r="AR118" s="808"/>
      <c r="AS118" s="808"/>
      <c r="AT118" s="808"/>
      <c r="AU118" s="808"/>
      <c r="AV118" s="808"/>
      <c r="AW118" s="808"/>
    </row>
    <row r="119" spans="1:49" ht="16.5" customHeight="1">
      <c r="A119" s="461"/>
      <c r="B119" s="1121"/>
      <c r="C119" s="5353" t="s">
        <v>648</v>
      </c>
      <c r="D119" s="998" t="s">
        <v>5431</v>
      </c>
      <c r="E119" s="3598"/>
      <c r="F119" s="3598"/>
      <c r="G119" s="3598"/>
      <c r="H119" s="3598"/>
      <c r="I119" s="1121"/>
      <c r="J119" s="1121"/>
      <c r="K119" s="1121"/>
      <c r="L119" s="1121"/>
      <c r="M119" s="5751"/>
      <c r="N119" s="5751"/>
      <c r="O119" s="5751"/>
      <c r="P119" s="5752"/>
      <c r="Q119" s="9436" t="str">
        <f>IF(AO119,"",MAX(0,SUM(M115,-M117)))</f>
        <v/>
      </c>
      <c r="R119" s="9437"/>
      <c r="S119" s="9437"/>
      <c r="T119" s="9438"/>
      <c r="U119" s="9439" t="str">
        <f>IF(OR(Q119=0,AO119),"",Q119/$Q$139)</f>
        <v/>
      </c>
      <c r="V119" s="9440"/>
      <c r="W119" s="9440"/>
      <c r="X119" s="9440"/>
      <c r="Y119" s="9441"/>
      <c r="Z119" s="9442" t="str">
        <f>IF(OR(Q119=0,AO119),"",ROUND(Q119*U119,0))</f>
        <v/>
      </c>
      <c r="AA119" s="9443"/>
      <c r="AB119" s="9443"/>
      <c r="AC119" s="9443"/>
      <c r="AD119" s="9443"/>
      <c r="AE119" s="9444"/>
      <c r="AF119" s="9442" t="str">
        <f>IF(OR(Q119=0,AO119),"",SUM(Q119,-Z119))</f>
        <v/>
      </c>
      <c r="AG119" s="9443"/>
      <c r="AH119" s="9443"/>
      <c r="AI119" s="9443"/>
      <c r="AJ119" s="9443"/>
      <c r="AK119" s="461"/>
      <c r="AL119" s="808"/>
      <c r="AM119" s="808"/>
      <c r="AN119" s="808"/>
      <c r="AO119" s="2633" t="b">
        <f>AND(M115="",M117="")</f>
        <v>1</v>
      </c>
      <c r="AP119" s="3837"/>
      <c r="AQ119" s="808"/>
      <c r="AR119" s="808"/>
      <c r="AS119" s="808"/>
      <c r="AT119" s="808"/>
      <c r="AU119" s="808"/>
      <c r="AV119" s="808"/>
      <c r="AW119" s="808"/>
    </row>
    <row r="120" spans="1:49" ht="16.5" customHeight="1">
      <c r="A120" s="461"/>
      <c r="B120" s="1747" t="s">
        <v>5429</v>
      </c>
      <c r="C120" s="3644"/>
      <c r="D120" s="2112"/>
      <c r="E120" s="1461"/>
      <c r="F120" s="1461"/>
      <c r="G120" s="1461"/>
      <c r="H120" s="808"/>
      <c r="I120" s="808"/>
      <c r="J120" s="808"/>
      <c r="K120" s="808"/>
      <c r="L120" s="808"/>
      <c r="M120" s="9402"/>
      <c r="N120" s="9403"/>
      <c r="O120" s="9403"/>
      <c r="P120" s="9404"/>
      <c r="Q120" s="5741"/>
      <c r="R120" s="5742"/>
      <c r="S120" s="5742"/>
      <c r="T120" s="5743"/>
      <c r="U120" s="5741"/>
      <c r="V120" s="5742"/>
      <c r="W120" s="5742"/>
      <c r="X120" s="5742"/>
      <c r="Y120" s="5743"/>
      <c r="Z120" s="5741"/>
      <c r="AA120" s="5742"/>
      <c r="AB120" s="5742"/>
      <c r="AC120" s="5742"/>
      <c r="AD120" s="5742"/>
      <c r="AE120" s="5743"/>
      <c r="AF120" s="5741"/>
      <c r="AG120" s="5742"/>
      <c r="AH120" s="5742"/>
      <c r="AI120" s="5742"/>
      <c r="AJ120" s="5742"/>
      <c r="AK120" s="461"/>
      <c r="AL120" s="808"/>
      <c r="AM120" s="808"/>
      <c r="AN120" s="808"/>
      <c r="AO120" s="3837"/>
      <c r="AP120" s="3837"/>
      <c r="AQ120" s="808"/>
      <c r="AR120" s="808"/>
      <c r="AS120" s="808"/>
      <c r="AT120" s="808"/>
      <c r="AU120" s="808"/>
      <c r="AV120" s="808"/>
      <c r="AW120" s="808"/>
    </row>
    <row r="121" spans="1:49" ht="16.5" customHeight="1">
      <c r="A121" s="461"/>
      <c r="B121" s="1747" t="s">
        <v>5430</v>
      </c>
      <c r="C121" s="3045"/>
      <c r="D121" s="2112"/>
      <c r="E121" s="1461"/>
      <c r="F121" s="1461"/>
      <c r="G121" s="1461"/>
      <c r="H121" s="1461"/>
      <c r="I121" s="808"/>
      <c r="J121" s="808"/>
      <c r="K121" s="808"/>
      <c r="L121" s="808"/>
      <c r="M121" s="9405"/>
      <c r="N121" s="9406"/>
      <c r="O121" s="9406"/>
      <c r="P121" s="9407"/>
      <c r="Q121" s="5744"/>
      <c r="R121" s="2162"/>
      <c r="S121" s="2162"/>
      <c r="T121" s="5745"/>
      <c r="U121" s="5744"/>
      <c r="V121" s="2162"/>
      <c r="W121" s="2162"/>
      <c r="X121" s="2162"/>
      <c r="Y121" s="5745"/>
      <c r="Z121" s="5744"/>
      <c r="AA121" s="2162"/>
      <c r="AB121" s="2162"/>
      <c r="AC121" s="2162"/>
      <c r="AD121" s="2162"/>
      <c r="AE121" s="5745"/>
      <c r="AF121" s="5744"/>
      <c r="AG121" s="2162"/>
      <c r="AH121" s="2162"/>
      <c r="AI121" s="2162"/>
      <c r="AJ121" s="2162"/>
      <c r="AK121" s="461"/>
      <c r="AL121" s="808"/>
      <c r="AM121" s="808"/>
      <c r="AN121" s="808"/>
      <c r="AO121" s="3837"/>
      <c r="AP121" s="3837"/>
      <c r="AQ121" s="808"/>
      <c r="AR121" s="808"/>
      <c r="AS121" s="808"/>
      <c r="AT121" s="808"/>
      <c r="AU121" s="808"/>
      <c r="AV121" s="808"/>
      <c r="AW121" s="808"/>
    </row>
    <row r="122" spans="1:49" ht="16.5" customHeight="1">
      <c r="A122" s="461"/>
      <c r="B122" s="9445"/>
      <c r="C122" s="9445"/>
      <c r="D122" s="9445"/>
      <c r="E122" s="9445"/>
      <c r="F122" s="9445"/>
      <c r="G122" s="9445"/>
      <c r="H122" s="9445"/>
      <c r="I122" s="9445"/>
      <c r="J122" s="9445"/>
      <c r="K122" s="9445"/>
      <c r="L122" s="9446"/>
      <c r="M122" s="9408"/>
      <c r="N122" s="9409"/>
      <c r="O122" s="9409"/>
      <c r="P122" s="9410"/>
      <c r="Q122" s="5744"/>
      <c r="R122" s="2162"/>
      <c r="S122" s="2162"/>
      <c r="T122" s="5745"/>
      <c r="U122" s="5744"/>
      <c r="V122" s="2162"/>
      <c r="W122" s="2162"/>
      <c r="X122" s="2162"/>
      <c r="Y122" s="5745"/>
      <c r="Z122" s="5744"/>
      <c r="AA122" s="2162"/>
      <c r="AB122" s="2162"/>
      <c r="AC122" s="2162"/>
      <c r="AD122" s="2162"/>
      <c r="AE122" s="5745"/>
      <c r="AF122" s="5744"/>
      <c r="AG122" s="2162"/>
      <c r="AH122" s="2162"/>
      <c r="AI122" s="2162"/>
      <c r="AJ122" s="2162"/>
      <c r="AK122" s="461"/>
      <c r="AL122" s="808"/>
      <c r="AM122" s="808"/>
      <c r="AN122" s="808"/>
      <c r="AO122" s="3837"/>
      <c r="AP122" s="3837"/>
      <c r="AQ122" s="808"/>
      <c r="AR122" s="808"/>
      <c r="AS122" s="808"/>
      <c r="AT122" s="808"/>
      <c r="AU122" s="808"/>
      <c r="AV122" s="808"/>
      <c r="AW122" s="808"/>
    </row>
    <row r="123" spans="1:49" ht="16.5" customHeight="1">
      <c r="A123" s="461"/>
      <c r="B123" s="808"/>
      <c r="C123" s="3644" t="s">
        <v>363</v>
      </c>
      <c r="D123" s="1108" t="s">
        <v>5427</v>
      </c>
      <c r="E123" s="1461"/>
      <c r="F123" s="1461"/>
      <c r="G123" s="1461"/>
      <c r="H123" s="808"/>
      <c r="I123" s="808"/>
      <c r="J123" s="808"/>
      <c r="K123" s="808"/>
      <c r="L123" s="808"/>
      <c r="M123" s="1149"/>
      <c r="N123" s="1142"/>
      <c r="O123" s="1142"/>
      <c r="P123" s="1143"/>
      <c r="Q123" s="5744"/>
      <c r="R123" s="2162"/>
      <c r="S123" s="2162"/>
      <c r="T123" s="5745"/>
      <c r="U123" s="5744"/>
      <c r="V123" s="2162"/>
      <c r="W123" s="2162"/>
      <c r="X123" s="2162"/>
      <c r="Y123" s="5745"/>
      <c r="Z123" s="5744"/>
      <c r="AA123" s="2162"/>
      <c r="AB123" s="2162"/>
      <c r="AC123" s="2162"/>
      <c r="AD123" s="2162"/>
      <c r="AE123" s="5745"/>
      <c r="AF123" s="5744"/>
      <c r="AG123" s="2162"/>
      <c r="AH123" s="2162"/>
      <c r="AI123" s="2162"/>
      <c r="AJ123" s="2162"/>
      <c r="AK123" s="461"/>
      <c r="AL123" s="808"/>
      <c r="AM123" s="808"/>
      <c r="AN123" s="808"/>
      <c r="AO123" s="3837"/>
      <c r="AP123" s="3837"/>
      <c r="AQ123" s="808"/>
      <c r="AR123" s="808"/>
      <c r="AS123" s="808"/>
      <c r="AT123" s="808"/>
      <c r="AU123" s="808"/>
      <c r="AV123" s="808"/>
      <c r="AW123" s="808"/>
    </row>
    <row r="124" spans="1:49" ht="16.5" customHeight="1">
      <c r="A124" s="461"/>
      <c r="B124" s="808"/>
      <c r="C124" s="3045"/>
      <c r="D124" s="1108" t="s">
        <v>5428</v>
      </c>
      <c r="E124" s="1461"/>
      <c r="F124" s="1461"/>
      <c r="G124" s="1461"/>
      <c r="H124" s="1461"/>
      <c r="I124" s="808"/>
      <c r="J124" s="808"/>
      <c r="K124" s="808"/>
      <c r="L124" s="808"/>
      <c r="M124" s="9447"/>
      <c r="N124" s="9448"/>
      <c r="O124" s="9448"/>
      <c r="P124" s="9449"/>
      <c r="Q124" s="5744"/>
      <c r="R124" s="2162"/>
      <c r="S124" s="2162"/>
      <c r="T124" s="5745"/>
      <c r="U124" s="5744"/>
      <c r="V124" s="2162"/>
      <c r="W124" s="2162"/>
      <c r="X124" s="2162"/>
      <c r="Y124" s="5745"/>
      <c r="Z124" s="5744"/>
      <c r="AA124" s="2162"/>
      <c r="AB124" s="2162"/>
      <c r="AC124" s="2162"/>
      <c r="AD124" s="2162"/>
      <c r="AE124" s="5745"/>
      <c r="AF124" s="5744"/>
      <c r="AG124" s="2162"/>
      <c r="AH124" s="2162"/>
      <c r="AI124" s="2162"/>
      <c r="AJ124" s="2162"/>
      <c r="AK124" s="461"/>
      <c r="AL124" s="808"/>
      <c r="AM124" s="808"/>
      <c r="AN124" s="808"/>
      <c r="AO124" s="3837"/>
      <c r="AP124" s="3837"/>
      <c r="AQ124" s="808"/>
      <c r="AR124" s="808"/>
      <c r="AS124" s="808"/>
      <c r="AT124" s="808"/>
      <c r="AU124" s="808"/>
      <c r="AV124" s="808"/>
      <c r="AW124" s="808"/>
    </row>
    <row r="125" spans="1:49" ht="16.5" customHeight="1">
      <c r="A125" s="461"/>
      <c r="B125" s="808"/>
      <c r="C125" s="3644"/>
      <c r="D125" s="2112"/>
      <c r="E125" s="1461"/>
      <c r="F125" s="1461"/>
      <c r="G125" s="1461"/>
      <c r="H125" s="808"/>
      <c r="I125" s="808"/>
      <c r="J125" s="808"/>
      <c r="K125" s="808"/>
      <c r="L125" s="808"/>
      <c r="M125" s="1149"/>
      <c r="N125" s="1142"/>
      <c r="O125" s="1142"/>
      <c r="P125" s="1143"/>
      <c r="Q125" s="5744"/>
      <c r="R125" s="2162"/>
      <c r="S125" s="2162"/>
      <c r="T125" s="5745"/>
      <c r="U125" s="5744"/>
      <c r="V125" s="2162"/>
      <c r="W125" s="2162"/>
      <c r="X125" s="2162"/>
      <c r="Y125" s="5745"/>
      <c r="Z125" s="5744"/>
      <c r="AA125" s="2162"/>
      <c r="AB125" s="2162"/>
      <c r="AC125" s="2162"/>
      <c r="AD125" s="2162"/>
      <c r="AE125" s="5745"/>
      <c r="AF125" s="5744"/>
      <c r="AG125" s="2162"/>
      <c r="AH125" s="2162"/>
      <c r="AI125" s="2162"/>
      <c r="AJ125" s="2162"/>
      <c r="AK125" s="461"/>
      <c r="AL125" s="808"/>
      <c r="AM125" s="808"/>
      <c r="AN125" s="808"/>
      <c r="AO125" s="3837"/>
      <c r="AP125" s="3837"/>
      <c r="AQ125" s="808"/>
      <c r="AR125" s="808"/>
      <c r="AS125" s="808"/>
      <c r="AT125" s="808"/>
      <c r="AU125" s="808"/>
      <c r="AV125" s="808"/>
      <c r="AW125" s="808"/>
    </row>
    <row r="126" spans="1:49" ht="16.5" customHeight="1">
      <c r="A126" s="461"/>
      <c r="B126" s="808"/>
      <c r="C126" s="3644" t="s">
        <v>644</v>
      </c>
      <c r="D126" s="1108" t="s">
        <v>5432</v>
      </c>
      <c r="E126" s="1461"/>
      <c r="F126" s="1461"/>
      <c r="G126" s="1461"/>
      <c r="H126" s="1461"/>
      <c r="I126" s="808"/>
      <c r="J126" s="808"/>
      <c r="K126" s="808"/>
      <c r="L126" s="808"/>
      <c r="M126" s="9447"/>
      <c r="N126" s="9448"/>
      <c r="O126" s="9448"/>
      <c r="P126" s="9449"/>
      <c r="Q126" s="5746"/>
      <c r="R126" s="5747"/>
      <c r="S126" s="5747"/>
      <c r="T126" s="5748"/>
      <c r="U126" s="5746"/>
      <c r="V126" s="5747"/>
      <c r="W126" s="5747"/>
      <c r="X126" s="5747"/>
      <c r="Y126" s="5748"/>
      <c r="Z126" s="5746"/>
      <c r="AA126" s="5747"/>
      <c r="AB126" s="5747"/>
      <c r="AC126" s="5747"/>
      <c r="AD126" s="5747"/>
      <c r="AE126" s="5748"/>
      <c r="AF126" s="5746"/>
      <c r="AG126" s="5747"/>
      <c r="AH126" s="5747"/>
      <c r="AI126" s="5747"/>
      <c r="AJ126" s="5747"/>
      <c r="AK126" s="461"/>
      <c r="AL126" s="808"/>
      <c r="AM126" s="808"/>
      <c r="AN126" s="808"/>
      <c r="AO126" s="3837"/>
      <c r="AP126" s="3837"/>
      <c r="AQ126" s="808"/>
      <c r="AR126" s="808"/>
      <c r="AS126" s="808"/>
      <c r="AT126" s="808"/>
      <c r="AU126" s="808"/>
      <c r="AV126" s="808"/>
      <c r="AW126" s="808"/>
    </row>
    <row r="127" spans="1:49" ht="16.5" customHeight="1">
      <c r="A127" s="461"/>
      <c r="B127" s="808"/>
      <c r="C127" s="3644"/>
      <c r="D127" s="2112"/>
      <c r="E127" s="1461"/>
      <c r="F127" s="1461"/>
      <c r="G127" s="1461"/>
      <c r="H127" s="808"/>
      <c r="I127" s="808"/>
      <c r="J127" s="808"/>
      <c r="K127" s="808"/>
      <c r="L127" s="808"/>
      <c r="M127" s="5749"/>
      <c r="N127" s="5749"/>
      <c r="O127" s="5749"/>
      <c r="P127" s="5750"/>
      <c r="Q127" s="1149"/>
      <c r="R127" s="1142"/>
      <c r="S127" s="1142"/>
      <c r="T127" s="1143"/>
      <c r="U127" s="1149"/>
      <c r="V127" s="1142"/>
      <c r="W127" s="1142"/>
      <c r="X127" s="1142"/>
      <c r="Y127" s="1143"/>
      <c r="Z127" s="1149"/>
      <c r="AA127" s="1142"/>
      <c r="AB127" s="1142"/>
      <c r="AC127" s="1142"/>
      <c r="AD127" s="1142"/>
      <c r="AE127" s="1142"/>
      <c r="AF127" s="1149"/>
      <c r="AG127" s="1142"/>
      <c r="AH127" s="1142"/>
      <c r="AI127" s="1142"/>
      <c r="AJ127" s="1142"/>
      <c r="AK127" s="461"/>
      <c r="AL127" s="808"/>
      <c r="AM127" s="808"/>
      <c r="AN127" s="808"/>
      <c r="AO127" s="3837"/>
      <c r="AP127" s="3837"/>
      <c r="AQ127" s="808"/>
      <c r="AR127" s="808"/>
      <c r="AS127" s="808"/>
      <c r="AT127" s="808"/>
      <c r="AU127" s="808"/>
      <c r="AV127" s="808"/>
      <c r="AW127" s="808"/>
    </row>
    <row r="128" spans="1:49" ht="16.5" customHeight="1">
      <c r="A128" s="461"/>
      <c r="B128" s="1121"/>
      <c r="C128" s="5353" t="s">
        <v>648</v>
      </c>
      <c r="D128" s="998" t="s">
        <v>5431</v>
      </c>
      <c r="E128" s="3598"/>
      <c r="F128" s="3598"/>
      <c r="G128" s="3598"/>
      <c r="H128" s="3598"/>
      <c r="I128" s="1121"/>
      <c r="J128" s="1121"/>
      <c r="K128" s="1121"/>
      <c r="L128" s="1121"/>
      <c r="M128" s="5751"/>
      <c r="N128" s="5751"/>
      <c r="O128" s="5751"/>
      <c r="P128" s="5752"/>
      <c r="Q128" s="9436" t="str">
        <f>IF(AO128,"",MAX(0,SUM(M124,-M126)))</f>
        <v/>
      </c>
      <c r="R128" s="9437"/>
      <c r="S128" s="9437"/>
      <c r="T128" s="9438"/>
      <c r="U128" s="9439" t="str">
        <f>IF(OR(Q128=0,AO128),"",Q128/$Q$139)</f>
        <v/>
      </c>
      <c r="V128" s="9440"/>
      <c r="W128" s="9440"/>
      <c r="X128" s="9440"/>
      <c r="Y128" s="9441"/>
      <c r="Z128" s="9442" t="str">
        <f>IF(OR(Q128=0,AO128),"",ROUND(Q128*U128,0))</f>
        <v/>
      </c>
      <c r="AA128" s="9443"/>
      <c r="AB128" s="9443"/>
      <c r="AC128" s="9443"/>
      <c r="AD128" s="9443"/>
      <c r="AE128" s="9444"/>
      <c r="AF128" s="9442" t="str">
        <f>IF(OR(Q128=0,AO128),"",SUM(Q128,-Z128))</f>
        <v/>
      </c>
      <c r="AG128" s="9443"/>
      <c r="AH128" s="9443"/>
      <c r="AI128" s="9443"/>
      <c r="AJ128" s="9443"/>
      <c r="AK128" s="461"/>
      <c r="AL128" s="808"/>
      <c r="AM128" s="808"/>
      <c r="AN128" s="808"/>
      <c r="AO128" s="2633" t="b">
        <f>AND(M124="",M126="")</f>
        <v>1</v>
      </c>
      <c r="AP128" s="3837"/>
      <c r="AQ128" s="808"/>
      <c r="AR128" s="808"/>
      <c r="AS128" s="808"/>
      <c r="AT128" s="808"/>
      <c r="AU128" s="808"/>
      <c r="AV128" s="808"/>
      <c r="AW128" s="808"/>
    </row>
    <row r="129" spans="1:62" ht="16.5" customHeight="1">
      <c r="A129" s="461"/>
      <c r="B129" s="1747" t="s">
        <v>5429</v>
      </c>
      <c r="C129" s="3644"/>
      <c r="D129" s="2112"/>
      <c r="E129" s="1461"/>
      <c r="F129" s="1461"/>
      <c r="G129" s="1461"/>
      <c r="H129" s="808"/>
      <c r="I129" s="808"/>
      <c r="J129" s="808"/>
      <c r="K129" s="808"/>
      <c r="L129" s="808"/>
      <c r="M129" s="9402"/>
      <c r="N129" s="9403"/>
      <c r="O129" s="9403"/>
      <c r="P129" s="9404"/>
      <c r="Q129" s="5741"/>
      <c r="R129" s="5742"/>
      <c r="S129" s="5742"/>
      <c r="T129" s="5743"/>
      <c r="U129" s="5741"/>
      <c r="V129" s="5742"/>
      <c r="W129" s="5742"/>
      <c r="X129" s="5742"/>
      <c r="Y129" s="5743"/>
      <c r="Z129" s="5741"/>
      <c r="AA129" s="5742"/>
      <c r="AB129" s="5742"/>
      <c r="AC129" s="5742"/>
      <c r="AD129" s="5742"/>
      <c r="AE129" s="5743"/>
      <c r="AF129" s="5741"/>
      <c r="AG129" s="5742"/>
      <c r="AH129" s="5742"/>
      <c r="AI129" s="5742"/>
      <c r="AJ129" s="5742"/>
      <c r="AK129" s="461"/>
      <c r="AL129" s="808"/>
      <c r="AM129" s="808"/>
      <c r="AN129" s="808"/>
      <c r="AO129" s="3837"/>
      <c r="AP129" s="3837"/>
      <c r="AQ129" s="808"/>
      <c r="AR129" s="808"/>
      <c r="AS129" s="808"/>
      <c r="AT129" s="808"/>
      <c r="AU129" s="808"/>
      <c r="AV129" s="808"/>
      <c r="AW129" s="808"/>
    </row>
    <row r="130" spans="1:62" ht="16.5" customHeight="1">
      <c r="A130" s="461"/>
      <c r="B130" s="1747" t="s">
        <v>5430</v>
      </c>
      <c r="C130" s="3045"/>
      <c r="D130" s="2112"/>
      <c r="E130" s="1461"/>
      <c r="F130" s="1461"/>
      <c r="G130" s="1461"/>
      <c r="H130" s="1461"/>
      <c r="I130" s="808"/>
      <c r="J130" s="808"/>
      <c r="K130" s="808"/>
      <c r="L130" s="808"/>
      <c r="M130" s="9405"/>
      <c r="N130" s="9406"/>
      <c r="O130" s="9406"/>
      <c r="P130" s="9407"/>
      <c r="Q130" s="5744"/>
      <c r="R130" s="2162"/>
      <c r="S130" s="2162"/>
      <c r="T130" s="5745"/>
      <c r="U130" s="5744"/>
      <c r="V130" s="2162"/>
      <c r="W130" s="2162"/>
      <c r="X130" s="2162"/>
      <c r="Y130" s="5745"/>
      <c r="Z130" s="5744"/>
      <c r="AA130" s="2162"/>
      <c r="AB130" s="2162"/>
      <c r="AC130" s="2162"/>
      <c r="AD130" s="2162"/>
      <c r="AE130" s="5745"/>
      <c r="AF130" s="5744"/>
      <c r="AG130" s="2162"/>
      <c r="AH130" s="2162"/>
      <c r="AI130" s="2162"/>
      <c r="AJ130" s="2162"/>
      <c r="AK130" s="461"/>
      <c r="AL130" s="808"/>
      <c r="AM130" s="808"/>
      <c r="AN130" s="808"/>
      <c r="AO130" s="3837"/>
      <c r="AP130" s="3837"/>
      <c r="AQ130" s="808"/>
      <c r="AR130" s="808"/>
      <c r="AS130" s="808"/>
      <c r="AT130" s="808"/>
      <c r="AU130" s="808"/>
      <c r="AV130" s="808"/>
      <c r="AW130" s="808"/>
    </row>
    <row r="131" spans="1:62" ht="16.5" customHeight="1">
      <c r="A131" s="461"/>
      <c r="B131" s="9445"/>
      <c r="C131" s="9445"/>
      <c r="D131" s="9445"/>
      <c r="E131" s="9445"/>
      <c r="F131" s="9445"/>
      <c r="G131" s="9445"/>
      <c r="H131" s="9445"/>
      <c r="I131" s="9445"/>
      <c r="J131" s="9445"/>
      <c r="K131" s="9445"/>
      <c r="L131" s="9446"/>
      <c r="M131" s="9408"/>
      <c r="N131" s="9409"/>
      <c r="O131" s="9409"/>
      <c r="P131" s="9410"/>
      <c r="Q131" s="5744"/>
      <c r="R131" s="2162"/>
      <c r="S131" s="2162"/>
      <c r="T131" s="5745"/>
      <c r="U131" s="5744"/>
      <c r="V131" s="2162"/>
      <c r="W131" s="2162"/>
      <c r="X131" s="2162"/>
      <c r="Y131" s="5745"/>
      <c r="Z131" s="5744"/>
      <c r="AA131" s="2162"/>
      <c r="AB131" s="2162"/>
      <c r="AC131" s="2162"/>
      <c r="AD131" s="2162"/>
      <c r="AE131" s="5745"/>
      <c r="AF131" s="5744"/>
      <c r="AG131" s="2162"/>
      <c r="AH131" s="2162"/>
      <c r="AI131" s="2162"/>
      <c r="AJ131" s="2162"/>
      <c r="AK131" s="461"/>
      <c r="AL131" s="808"/>
      <c r="AM131" s="808"/>
      <c r="AN131" s="808"/>
      <c r="AO131" s="3837"/>
      <c r="AP131" s="3837"/>
      <c r="AQ131" s="808"/>
      <c r="AR131" s="808"/>
      <c r="AS131" s="808"/>
      <c r="AT131" s="808"/>
      <c r="AU131" s="808"/>
      <c r="AV131" s="808"/>
      <c r="AW131" s="808"/>
    </row>
    <row r="132" spans="1:62" ht="16.5" customHeight="1">
      <c r="A132" s="461"/>
      <c r="B132" s="808"/>
      <c r="C132" s="3644" t="s">
        <v>363</v>
      </c>
      <c r="D132" s="1108" t="s">
        <v>5427</v>
      </c>
      <c r="E132" s="1461"/>
      <c r="F132" s="1461"/>
      <c r="G132" s="1461"/>
      <c r="H132" s="808"/>
      <c r="I132" s="808"/>
      <c r="J132" s="808"/>
      <c r="K132" s="808"/>
      <c r="L132" s="808"/>
      <c r="M132" s="1149"/>
      <c r="N132" s="1142"/>
      <c r="O132" s="1142"/>
      <c r="P132" s="1143"/>
      <c r="Q132" s="5744"/>
      <c r="R132" s="2162"/>
      <c r="S132" s="2162"/>
      <c r="T132" s="5745"/>
      <c r="U132" s="5744"/>
      <c r="V132" s="2162"/>
      <c r="W132" s="2162"/>
      <c r="X132" s="2162"/>
      <c r="Y132" s="5745"/>
      <c r="Z132" s="5744"/>
      <c r="AA132" s="2162"/>
      <c r="AB132" s="2162"/>
      <c r="AC132" s="2162"/>
      <c r="AD132" s="2162"/>
      <c r="AE132" s="5745"/>
      <c r="AF132" s="5744"/>
      <c r="AG132" s="2162"/>
      <c r="AH132" s="2162"/>
      <c r="AI132" s="2162"/>
      <c r="AJ132" s="2162"/>
      <c r="AK132" s="461"/>
      <c r="AL132" s="808"/>
      <c r="AM132" s="808"/>
      <c r="AN132" s="808"/>
      <c r="AO132" s="3837"/>
      <c r="AP132" s="3837"/>
      <c r="AQ132" s="808"/>
      <c r="AR132" s="808"/>
      <c r="AS132" s="808"/>
      <c r="AT132" s="808"/>
      <c r="AU132" s="808"/>
      <c r="AV132" s="808"/>
      <c r="AW132" s="808"/>
    </row>
    <row r="133" spans="1:62" ht="16.5" customHeight="1">
      <c r="A133" s="461"/>
      <c r="B133" s="808"/>
      <c r="C133" s="3045"/>
      <c r="D133" s="1108" t="s">
        <v>5428</v>
      </c>
      <c r="E133" s="1461"/>
      <c r="F133" s="1461"/>
      <c r="G133" s="1461"/>
      <c r="H133" s="1461"/>
      <c r="I133" s="808"/>
      <c r="J133" s="808"/>
      <c r="K133" s="808"/>
      <c r="L133" s="808"/>
      <c r="M133" s="9447"/>
      <c r="N133" s="9448"/>
      <c r="O133" s="9448"/>
      <c r="P133" s="9449"/>
      <c r="Q133" s="5744"/>
      <c r="R133" s="2162"/>
      <c r="S133" s="2162"/>
      <c r="T133" s="5745"/>
      <c r="U133" s="5744"/>
      <c r="V133" s="2162"/>
      <c r="W133" s="2162"/>
      <c r="X133" s="2162"/>
      <c r="Y133" s="5745"/>
      <c r="Z133" s="5744"/>
      <c r="AA133" s="2162"/>
      <c r="AB133" s="2162"/>
      <c r="AC133" s="2162"/>
      <c r="AD133" s="2162"/>
      <c r="AE133" s="5745"/>
      <c r="AF133" s="5744"/>
      <c r="AG133" s="2162"/>
      <c r="AH133" s="2162"/>
      <c r="AI133" s="2162"/>
      <c r="AJ133" s="2162"/>
      <c r="AK133" s="461"/>
      <c r="AL133" s="808"/>
      <c r="AM133" s="808"/>
      <c r="AN133" s="808"/>
      <c r="AO133" s="3837"/>
      <c r="AP133" s="3837"/>
      <c r="AQ133" s="808"/>
      <c r="AR133" s="808"/>
      <c r="AS133" s="808"/>
      <c r="AT133" s="808"/>
      <c r="AU133" s="808"/>
      <c r="AV133" s="808"/>
      <c r="AW133" s="808"/>
    </row>
    <row r="134" spans="1:62" ht="16.5" customHeight="1">
      <c r="A134" s="461"/>
      <c r="B134" s="808"/>
      <c r="C134" s="3644"/>
      <c r="D134" s="2112"/>
      <c r="E134" s="1461"/>
      <c r="F134" s="1461"/>
      <c r="G134" s="1461"/>
      <c r="H134" s="808"/>
      <c r="I134" s="808"/>
      <c r="J134" s="808"/>
      <c r="K134" s="808"/>
      <c r="L134" s="808"/>
      <c r="M134" s="1149"/>
      <c r="N134" s="1142"/>
      <c r="O134" s="1142"/>
      <c r="P134" s="1143"/>
      <c r="Q134" s="5744"/>
      <c r="R134" s="2162"/>
      <c r="S134" s="2162"/>
      <c r="T134" s="5745"/>
      <c r="U134" s="5744"/>
      <c r="V134" s="2162"/>
      <c r="W134" s="2162"/>
      <c r="X134" s="2162"/>
      <c r="Y134" s="5745"/>
      <c r="Z134" s="5744"/>
      <c r="AA134" s="2162"/>
      <c r="AB134" s="2162"/>
      <c r="AC134" s="2162"/>
      <c r="AD134" s="2162"/>
      <c r="AE134" s="5745"/>
      <c r="AF134" s="5744"/>
      <c r="AG134" s="2162"/>
      <c r="AH134" s="2162"/>
      <c r="AI134" s="2162"/>
      <c r="AJ134" s="2162"/>
      <c r="AK134" s="461"/>
      <c r="AL134" s="808"/>
      <c r="AM134" s="808"/>
      <c r="AN134" s="808"/>
      <c r="AO134" s="3837"/>
      <c r="AP134" s="3837"/>
      <c r="AQ134" s="808"/>
      <c r="AR134" s="808"/>
      <c r="AS134" s="808"/>
      <c r="AT134" s="808"/>
      <c r="AU134" s="808"/>
      <c r="AV134" s="808"/>
      <c r="AW134" s="808"/>
    </row>
    <row r="135" spans="1:62" ht="16.5" customHeight="1">
      <c r="A135" s="461"/>
      <c r="B135" s="808"/>
      <c r="C135" s="3644" t="s">
        <v>644</v>
      </c>
      <c r="D135" s="1108" t="s">
        <v>5432</v>
      </c>
      <c r="E135" s="1461"/>
      <c r="F135" s="1461"/>
      <c r="G135" s="1461"/>
      <c r="H135" s="1461"/>
      <c r="I135" s="808"/>
      <c r="J135" s="808"/>
      <c r="K135" s="808"/>
      <c r="L135" s="808"/>
      <c r="M135" s="9447"/>
      <c r="N135" s="9448"/>
      <c r="O135" s="9448"/>
      <c r="P135" s="9449"/>
      <c r="Q135" s="5746"/>
      <c r="R135" s="5747"/>
      <c r="S135" s="5747"/>
      <c r="T135" s="5748"/>
      <c r="U135" s="5746"/>
      <c r="V135" s="5747"/>
      <c r="W135" s="5747"/>
      <c r="X135" s="5747"/>
      <c r="Y135" s="5748"/>
      <c r="Z135" s="5746"/>
      <c r="AA135" s="5747"/>
      <c r="AB135" s="5747"/>
      <c r="AC135" s="5747"/>
      <c r="AD135" s="5747"/>
      <c r="AE135" s="5748"/>
      <c r="AF135" s="5746"/>
      <c r="AG135" s="5747"/>
      <c r="AH135" s="5747"/>
      <c r="AI135" s="5747"/>
      <c r="AJ135" s="5747"/>
      <c r="AK135" s="461"/>
      <c r="AL135" s="808"/>
      <c r="AM135" s="808"/>
      <c r="AN135" s="808"/>
      <c r="AO135" s="3837"/>
      <c r="AP135" s="3837"/>
      <c r="AQ135" s="808"/>
      <c r="AR135" s="808"/>
      <c r="AS135" s="808"/>
      <c r="AT135" s="808"/>
      <c r="AU135" s="808"/>
      <c r="AV135" s="808"/>
      <c r="AW135" s="808"/>
    </row>
    <row r="136" spans="1:62" ht="16.5" customHeight="1">
      <c r="A136" s="461"/>
      <c r="B136" s="808"/>
      <c r="C136" s="3644"/>
      <c r="D136" s="2112"/>
      <c r="E136" s="1461"/>
      <c r="F136" s="1461"/>
      <c r="G136" s="1461"/>
      <c r="H136" s="808"/>
      <c r="I136" s="808"/>
      <c r="J136" s="808"/>
      <c r="K136" s="808"/>
      <c r="L136" s="808"/>
      <c r="M136" s="5749"/>
      <c r="N136" s="5749"/>
      <c r="O136" s="5749"/>
      <c r="P136" s="5750"/>
      <c r="Q136" s="1149"/>
      <c r="R136" s="1142"/>
      <c r="S136" s="1142"/>
      <c r="T136" s="1143"/>
      <c r="U136" s="1149"/>
      <c r="V136" s="1142"/>
      <c r="W136" s="1142"/>
      <c r="X136" s="1142"/>
      <c r="Y136" s="1143"/>
      <c r="Z136" s="1149"/>
      <c r="AA136" s="1142"/>
      <c r="AB136" s="1142"/>
      <c r="AC136" s="1142"/>
      <c r="AD136" s="1142"/>
      <c r="AE136" s="1142"/>
      <c r="AF136" s="1149"/>
      <c r="AG136" s="1142"/>
      <c r="AH136" s="1142"/>
      <c r="AI136" s="1142"/>
      <c r="AJ136" s="1142"/>
      <c r="AK136" s="461"/>
      <c r="AL136" s="808"/>
      <c r="AM136" s="808"/>
      <c r="AN136" s="808"/>
      <c r="AO136" s="3837"/>
      <c r="AP136" s="3837"/>
      <c r="AQ136" s="808"/>
      <c r="AR136" s="808"/>
      <c r="AS136" s="808"/>
      <c r="AT136" s="808"/>
      <c r="AU136" s="808"/>
      <c r="AV136" s="808"/>
      <c r="AW136" s="808"/>
    </row>
    <row r="137" spans="1:62" ht="16.5" customHeight="1" thickBot="1">
      <c r="A137" s="461"/>
      <c r="B137" s="1121"/>
      <c r="C137" s="5353" t="s">
        <v>648</v>
      </c>
      <c r="D137" s="998" t="s">
        <v>5431</v>
      </c>
      <c r="E137" s="3598"/>
      <c r="F137" s="3598"/>
      <c r="G137" s="3598"/>
      <c r="H137" s="3598"/>
      <c r="I137" s="1121"/>
      <c r="J137" s="1121"/>
      <c r="K137" s="1121"/>
      <c r="L137" s="1121"/>
      <c r="M137" s="5751"/>
      <c r="N137" s="5751"/>
      <c r="O137" s="5751"/>
      <c r="P137" s="5752"/>
      <c r="Q137" s="9436" t="str">
        <f>IF(AO137,"",MAX(0,SUM(M133,-M135)))</f>
        <v/>
      </c>
      <c r="R137" s="9437"/>
      <c r="S137" s="9437"/>
      <c r="T137" s="9438"/>
      <c r="U137" s="9439" t="str">
        <f>IF(OR(Q137=0,AO137),"",Q137/$Q$139)</f>
        <v/>
      </c>
      <c r="V137" s="9440"/>
      <c r="W137" s="9440"/>
      <c r="X137" s="9440"/>
      <c r="Y137" s="9441"/>
      <c r="Z137" s="9442" t="str">
        <f>IF(OR(Q137=0,AO137),"",ROUND(Q137*U137,0))</f>
        <v/>
      </c>
      <c r="AA137" s="9443"/>
      <c r="AB137" s="9443"/>
      <c r="AC137" s="9443"/>
      <c r="AD137" s="9443"/>
      <c r="AE137" s="9444"/>
      <c r="AF137" s="9442" t="str">
        <f>IF(OR(Q137=0,AO137),"",SUM(Q137,-Z137))</f>
        <v/>
      </c>
      <c r="AG137" s="9443"/>
      <c r="AH137" s="9443"/>
      <c r="AI137" s="9443"/>
      <c r="AJ137" s="9443"/>
      <c r="AK137" s="461"/>
      <c r="AL137" s="808"/>
      <c r="AM137" s="808"/>
      <c r="AN137" s="808"/>
      <c r="AO137" s="2633" t="b">
        <f>AND(M133="",M135="")</f>
        <v>1</v>
      </c>
      <c r="AP137" s="3837"/>
      <c r="AQ137" s="808"/>
      <c r="AR137" s="808"/>
      <c r="AS137" s="808"/>
      <c r="AT137" s="808"/>
      <c r="AU137" s="808"/>
      <c r="AV137" s="808"/>
      <c r="AW137" s="808"/>
    </row>
    <row r="138" spans="1:62" ht="16.5" customHeight="1">
      <c r="A138" s="461"/>
      <c r="B138" s="890"/>
      <c r="C138" s="5733"/>
      <c r="D138" s="5733"/>
      <c r="E138" s="5733"/>
      <c r="F138" s="5733"/>
      <c r="G138" s="5733"/>
      <c r="H138" s="5733"/>
      <c r="I138" s="5733"/>
      <c r="J138" s="5733"/>
      <c r="K138" s="5733"/>
      <c r="L138" s="5733"/>
      <c r="M138" s="5733"/>
      <c r="N138" s="5733"/>
      <c r="O138" s="5733"/>
      <c r="P138" s="5733"/>
      <c r="Q138" s="1150"/>
      <c r="R138" s="808"/>
      <c r="S138" s="808"/>
      <c r="T138" s="1151"/>
      <c r="U138" s="1150"/>
      <c r="V138" s="808"/>
      <c r="W138" s="808"/>
      <c r="X138" s="808"/>
      <c r="Y138" s="1151"/>
      <c r="Z138" s="1150"/>
      <c r="AA138" s="808"/>
      <c r="AB138" s="808"/>
      <c r="AC138" s="808"/>
      <c r="AD138" s="808"/>
      <c r="AE138" s="808"/>
      <c r="AF138" s="1150"/>
      <c r="AG138" s="808"/>
      <c r="AH138" s="808"/>
      <c r="AI138" s="808"/>
      <c r="AJ138" s="808"/>
      <c r="AK138" s="461"/>
      <c r="AL138" s="1376"/>
      <c r="AM138" s="2590"/>
      <c r="AN138" s="808"/>
      <c r="AO138" s="3837"/>
      <c r="AP138" s="3837"/>
      <c r="AQ138" s="808"/>
      <c r="AR138" s="808"/>
      <c r="AS138" s="808"/>
      <c r="AT138" s="808"/>
      <c r="AU138" s="808"/>
      <c r="AV138" s="808"/>
      <c r="AW138" s="808"/>
      <c r="BJ138" s="1268"/>
    </row>
    <row r="139" spans="1:62" ht="16.5" customHeight="1" thickBot="1">
      <c r="A139" s="461"/>
      <c r="B139" s="5736" t="s">
        <v>248</v>
      </c>
      <c r="C139" s="5737"/>
      <c r="D139" s="5737"/>
      <c r="E139" s="5737"/>
      <c r="F139" s="5737"/>
      <c r="G139" s="5737"/>
      <c r="H139" s="5737"/>
      <c r="I139" s="5737"/>
      <c r="J139" s="5737"/>
      <c r="K139" s="5737"/>
      <c r="L139" s="5737"/>
      <c r="M139" s="5737"/>
      <c r="N139" s="5737"/>
      <c r="O139" s="5737"/>
      <c r="P139" s="2629" t="s">
        <v>769</v>
      </c>
      <c r="Q139" s="9428" t="str">
        <f>IF(AO139,"",SUM(Q119,Q128,Q137))</f>
        <v/>
      </c>
      <c r="R139" s="9429"/>
      <c r="S139" s="9429"/>
      <c r="T139" s="9430"/>
      <c r="U139" s="9425">
        <v>1</v>
      </c>
      <c r="V139" s="9426"/>
      <c r="W139" s="9426"/>
      <c r="X139" s="9426"/>
      <c r="Y139" s="9427"/>
      <c r="Z139" s="9431" t="str">
        <f>IF(AO139,"",SUM(Z119,Z128,Z137))</f>
        <v/>
      </c>
      <c r="AA139" s="9432"/>
      <c r="AB139" s="9432"/>
      <c r="AC139" s="9432"/>
      <c r="AD139" s="9432"/>
      <c r="AE139" s="9433"/>
      <c r="AF139" s="9434" t="str">
        <f>IF(AO139,"",SUM(AF119,AF128,AF137))</f>
        <v/>
      </c>
      <c r="AG139" s="9435"/>
      <c r="AH139" s="9435"/>
      <c r="AI139" s="9435"/>
      <c r="AJ139" s="9435"/>
      <c r="AK139" s="461"/>
      <c r="AL139" s="2175"/>
      <c r="AM139" s="892"/>
      <c r="AN139" s="808"/>
      <c r="AO139" s="2633" t="b">
        <f>AND(AO119,AO128,AO137)</f>
        <v>1</v>
      </c>
      <c r="AP139" s="3837"/>
      <c r="AQ139" s="808"/>
      <c r="AR139" s="808"/>
      <c r="AS139" s="808"/>
      <c r="AT139" s="808"/>
      <c r="AU139" s="808"/>
      <c r="AV139" s="808"/>
      <c r="AW139" s="808"/>
    </row>
    <row r="140" spans="1:62" s="2690" customFormat="1" ht="18.75" thickTop="1">
      <c r="A140" s="461"/>
      <c r="B140" s="1262"/>
      <c r="C140" s="1325"/>
      <c r="D140" s="61"/>
      <c r="E140" s="61"/>
      <c r="F140" s="61"/>
      <c r="G140" s="61"/>
      <c r="H140" s="61"/>
      <c r="I140" s="61"/>
      <c r="J140" s="61"/>
      <c r="K140" s="61"/>
      <c r="L140" s="61"/>
      <c r="M140" s="61"/>
      <c r="N140" s="61"/>
      <c r="O140" s="61"/>
      <c r="P140" s="61"/>
      <c r="Q140" s="22"/>
      <c r="R140" s="22"/>
      <c r="S140" s="22"/>
      <c r="T140" s="22"/>
      <c r="U140" s="337"/>
      <c r="V140" s="22"/>
      <c r="W140" s="337"/>
      <c r="X140" s="22"/>
      <c r="Y140" s="22"/>
      <c r="Z140" s="22"/>
      <c r="AA140" s="22"/>
      <c r="AB140" s="22"/>
      <c r="AC140" s="22"/>
      <c r="AD140" s="22"/>
      <c r="AE140" s="5758" t="s">
        <v>50</v>
      </c>
      <c r="AF140" s="9421">
        <v>8582</v>
      </c>
      <c r="AG140" s="9421"/>
      <c r="AH140" s="9421"/>
      <c r="AI140" s="22"/>
      <c r="AJ140" s="705" t="str">
        <f>"("&amp;TaxYear&amp;")"</f>
        <v>(2023)</v>
      </c>
      <c r="AK140" s="461"/>
      <c r="AL140" s="1461"/>
      <c r="AM140" s="1461"/>
      <c r="AN140" s="808"/>
      <c r="AO140" s="3837"/>
      <c r="AP140" s="3837"/>
      <c r="AQ140" s="808"/>
      <c r="AR140" s="808"/>
      <c r="AS140" s="808"/>
      <c r="AT140" s="808"/>
      <c r="AU140" s="808"/>
      <c r="AV140" s="808"/>
      <c r="AW140" s="808"/>
      <c r="AX140" s="5768"/>
      <c r="AY140" s="2038"/>
      <c r="AZ140" s="2038"/>
      <c r="BA140" s="2038"/>
      <c r="BB140" s="2038"/>
      <c r="BC140" s="2038"/>
      <c r="BD140" s="2038"/>
      <c r="BE140" s="2038"/>
      <c r="BF140" s="2038"/>
      <c r="BG140" s="2038"/>
      <c r="BH140" s="39"/>
      <c r="BI140" s="39"/>
    </row>
    <row r="141" spans="1:62">
      <c r="AQ141" s="808"/>
      <c r="AR141" s="808"/>
      <c r="AS141" s="808"/>
      <c r="AT141" s="808"/>
      <c r="AU141" s="808"/>
      <c r="AV141" s="808"/>
      <c r="AW141" s="808"/>
    </row>
    <row r="142" spans="1:62">
      <c r="AS142" s="808"/>
      <c r="AT142" s="808"/>
      <c r="AU142" s="808"/>
    </row>
  </sheetData>
  <sheetProtection algorithmName="SHA-512" hashValue="TaFzixz4CGTlKyOHviK+5tT/900/Ew0kCHx4QLmevUrvC0CSyvIrPxzMDi1ldszyTw9t9qb9cROcwzWWj8fkpg==" saltValue="KDCXhanl86Y+mJ2P2PTYyQ==" spinCount="100000" sheet="1" objects="1" scenarios="1"/>
  <mergeCells count="311">
    <mergeCell ref="AS11:AS12"/>
    <mergeCell ref="AA80:AE80"/>
    <mergeCell ref="AS31:AS33"/>
    <mergeCell ref="AS27:AS28"/>
    <mergeCell ref="AS21:AS22"/>
    <mergeCell ref="AS19:AS20"/>
    <mergeCell ref="AS17:AS18"/>
    <mergeCell ref="AS13:AS14"/>
    <mergeCell ref="AF66:AJ66"/>
    <mergeCell ref="AF63:AJ63"/>
    <mergeCell ref="AS23:AS25"/>
    <mergeCell ref="AE13:AJ13"/>
    <mergeCell ref="AE15:AJ15"/>
    <mergeCell ref="AE18:AJ18"/>
    <mergeCell ref="AE19:AJ19"/>
    <mergeCell ref="AE20:AJ20"/>
    <mergeCell ref="AE17:AJ17"/>
    <mergeCell ref="AE22:AJ22"/>
    <mergeCell ref="AF67:AJ67"/>
    <mergeCell ref="AA68:AE69"/>
    <mergeCell ref="AF68:AJ69"/>
    <mergeCell ref="AA59:AJ60"/>
    <mergeCell ref="AA67:AE67"/>
    <mergeCell ref="AA75:AE75"/>
    <mergeCell ref="AN59:AN62"/>
    <mergeCell ref="AL28:AN28"/>
    <mergeCell ref="N54:Q54"/>
    <mergeCell ref="R54:U54"/>
    <mergeCell ref="V54:Z54"/>
    <mergeCell ref="N68:Q68"/>
    <mergeCell ref="R68:U68"/>
    <mergeCell ref="V68:Z68"/>
    <mergeCell ref="AL30:AN30"/>
    <mergeCell ref="AF54:AJ55"/>
    <mergeCell ref="N67:Q67"/>
    <mergeCell ref="AA66:AE66"/>
    <mergeCell ref="V66:Z66"/>
    <mergeCell ref="R51:U51"/>
    <mergeCell ref="AE103:AJ103"/>
    <mergeCell ref="AE87:AJ87"/>
    <mergeCell ref="AE88:AJ88"/>
    <mergeCell ref="AE89:AJ89"/>
    <mergeCell ref="AE90:AJ90"/>
    <mergeCell ref="AE91:AJ91"/>
    <mergeCell ref="Y99:AD99"/>
    <mergeCell ref="AE99:AJ99"/>
    <mergeCell ref="Y100:AD100"/>
    <mergeCell ref="AE100:AJ100"/>
    <mergeCell ref="Y87:AD87"/>
    <mergeCell ref="AE101:AJ101"/>
    <mergeCell ref="R81:U81"/>
    <mergeCell ref="AE95:AJ98"/>
    <mergeCell ref="Y93:AD93"/>
    <mergeCell ref="N79:Q79"/>
    <mergeCell ref="R79:U79"/>
    <mergeCell ref="V79:Z79"/>
    <mergeCell ref="AA79:AE79"/>
    <mergeCell ref="Y91:AD91"/>
    <mergeCell ref="AF75:AJ75"/>
    <mergeCell ref="Y88:AD88"/>
    <mergeCell ref="Y89:AD89"/>
    <mergeCell ref="V81:Z81"/>
    <mergeCell ref="AF77:AJ77"/>
    <mergeCell ref="N78:Q78"/>
    <mergeCell ref="R78:U78"/>
    <mergeCell ref="V78:Z78"/>
    <mergeCell ref="AA78:AE78"/>
    <mergeCell ref="AF78:AJ78"/>
    <mergeCell ref="V80:Z80"/>
    <mergeCell ref="AA76:AE76"/>
    <mergeCell ref="AF76:AJ76"/>
    <mergeCell ref="B9:C9"/>
    <mergeCell ref="E9:AJ9"/>
    <mergeCell ref="AE16:AJ16"/>
    <mergeCell ref="AE21:AJ21"/>
    <mergeCell ref="X18:AC18"/>
    <mergeCell ref="AA64:AE64"/>
    <mergeCell ref="AF64:AJ64"/>
    <mergeCell ref="AA65:AE65"/>
    <mergeCell ref="AF65:AJ65"/>
    <mergeCell ref="AA63:AE63"/>
    <mergeCell ref="AA51:AE51"/>
    <mergeCell ref="AF51:AJ51"/>
    <mergeCell ref="N52:Q52"/>
    <mergeCell ref="N49:Q49"/>
    <mergeCell ref="AF56:AH56"/>
    <mergeCell ref="AA54:AE55"/>
    <mergeCell ref="N47:Q48"/>
    <mergeCell ref="V53:Z53"/>
    <mergeCell ref="AE14:AJ14"/>
    <mergeCell ref="R47:U48"/>
    <mergeCell ref="AA45:AJ46"/>
    <mergeCell ref="AA47:AE48"/>
    <mergeCell ref="AF47:AJ48"/>
    <mergeCell ref="N51:Q51"/>
    <mergeCell ref="B70:C70"/>
    <mergeCell ref="AF79:AJ79"/>
    <mergeCell ref="N75:Q75"/>
    <mergeCell ref="AA61:AE62"/>
    <mergeCell ref="AF61:AJ62"/>
    <mergeCell ref="Y8:AJ8"/>
    <mergeCell ref="B58:C58"/>
    <mergeCell ref="B45:M48"/>
    <mergeCell ref="X33:AC33"/>
    <mergeCell ref="X34:AC34"/>
    <mergeCell ref="X37:AC37"/>
    <mergeCell ref="AE38:AJ38"/>
    <mergeCell ref="AE39:AJ39"/>
    <mergeCell ref="B40:C40"/>
    <mergeCell ref="AE43:AJ43"/>
    <mergeCell ref="B44:C44"/>
    <mergeCell ref="R49:U49"/>
    <mergeCell ref="AA49:AE49"/>
    <mergeCell ref="AF49:AJ49"/>
    <mergeCell ref="N50:Q50"/>
    <mergeCell ref="R50:U50"/>
    <mergeCell ref="AA50:AE50"/>
    <mergeCell ref="N45:U46"/>
    <mergeCell ref="AF53:AJ53"/>
    <mergeCell ref="U119:Y119"/>
    <mergeCell ref="N91:R91"/>
    <mergeCell ref="N53:Q53"/>
    <mergeCell ref="R53:U53"/>
    <mergeCell ref="N55:Q55"/>
    <mergeCell ref="R55:U55"/>
    <mergeCell ref="N66:Q66"/>
    <mergeCell ref="R66:U66"/>
    <mergeCell ref="N102:R102"/>
    <mergeCell ref="R76:U76"/>
    <mergeCell ref="V76:Z76"/>
    <mergeCell ref="Y103:AD103"/>
    <mergeCell ref="N77:Q77"/>
    <mergeCell ref="R77:U77"/>
    <mergeCell ref="V77:Z77"/>
    <mergeCell ref="AA77:AE77"/>
    <mergeCell ref="N71:Q74"/>
    <mergeCell ref="R71:U74"/>
    <mergeCell ref="Y92:AD92"/>
    <mergeCell ref="Y102:AD102"/>
    <mergeCell ref="AE102:AJ102"/>
    <mergeCell ref="AF81:AJ81"/>
    <mergeCell ref="AF71:AJ74"/>
    <mergeCell ref="N100:R100"/>
    <mergeCell ref="B51:M51"/>
    <mergeCell ref="B52:M52"/>
    <mergeCell ref="AA53:AE53"/>
    <mergeCell ref="R61:U62"/>
    <mergeCell ref="M120:P122"/>
    <mergeCell ref="B122:L122"/>
    <mergeCell ref="B94:C94"/>
    <mergeCell ref="B53:M53"/>
    <mergeCell ref="B63:M63"/>
    <mergeCell ref="B64:M64"/>
    <mergeCell ref="B65:M65"/>
    <mergeCell ref="B59:M62"/>
    <mergeCell ref="N59:U60"/>
    <mergeCell ref="V59:Z60"/>
    <mergeCell ref="N69:Q69"/>
    <mergeCell ref="R69:U69"/>
    <mergeCell ref="N61:Q62"/>
    <mergeCell ref="V61:Z62"/>
    <mergeCell ref="V55:Z55"/>
    <mergeCell ref="R75:U75"/>
    <mergeCell ref="N76:Q76"/>
    <mergeCell ref="M115:P115"/>
    <mergeCell ref="M117:P117"/>
    <mergeCell ref="Q119:T119"/>
    <mergeCell ref="M124:P124"/>
    <mergeCell ref="M126:P126"/>
    <mergeCell ref="N63:Q63"/>
    <mergeCell ref="R63:U63"/>
    <mergeCell ref="V63:Z63"/>
    <mergeCell ref="N64:Q64"/>
    <mergeCell ref="R64:U64"/>
    <mergeCell ref="V64:Z64"/>
    <mergeCell ref="N65:Q65"/>
    <mergeCell ref="R65:U65"/>
    <mergeCell ref="V65:Z65"/>
    <mergeCell ref="R67:U67"/>
    <mergeCell ref="V67:Z67"/>
    <mergeCell ref="B95:M98"/>
    <mergeCell ref="N95:R98"/>
    <mergeCell ref="S95:X98"/>
    <mergeCell ref="Y95:AD98"/>
    <mergeCell ref="B91:M91"/>
    <mergeCell ref="N88:R88"/>
    <mergeCell ref="N89:R89"/>
    <mergeCell ref="N90:R90"/>
    <mergeCell ref="B82:C82"/>
    <mergeCell ref="N83:R86"/>
    <mergeCell ref="S83:X86"/>
    <mergeCell ref="I2:AB3"/>
    <mergeCell ref="AC2:AJ2"/>
    <mergeCell ref="B3:C3"/>
    <mergeCell ref="AC3:AJ4"/>
    <mergeCell ref="AD5:AG5"/>
    <mergeCell ref="AH5:AI6"/>
    <mergeCell ref="I6:AB6"/>
    <mergeCell ref="AD6:AG6"/>
    <mergeCell ref="AE41:AJ41"/>
    <mergeCell ref="Y19:AB19"/>
    <mergeCell ref="Y20:AB20"/>
    <mergeCell ref="AE24:AJ24"/>
    <mergeCell ref="B30:C30"/>
    <mergeCell ref="E30:AJ30"/>
    <mergeCell ref="AE32:AJ32"/>
    <mergeCell ref="AE27:AJ27"/>
    <mergeCell ref="D2:H3"/>
    <mergeCell ref="I4:AB4"/>
    <mergeCell ref="I5:AB5"/>
    <mergeCell ref="X13:AC13"/>
    <mergeCell ref="Y14:AB14"/>
    <mergeCell ref="Y15:AB15"/>
    <mergeCell ref="H23:K23"/>
    <mergeCell ref="B8:X8"/>
    <mergeCell ref="B131:L131"/>
    <mergeCell ref="M133:P133"/>
    <mergeCell ref="M135:P135"/>
    <mergeCell ref="Q137:T137"/>
    <mergeCell ref="U137:Y137"/>
    <mergeCell ref="Z137:AE137"/>
    <mergeCell ref="AF137:AJ137"/>
    <mergeCell ref="B83:M86"/>
    <mergeCell ref="B108:C108"/>
    <mergeCell ref="M109:P110"/>
    <mergeCell ref="Q109:T110"/>
    <mergeCell ref="U109:Y110"/>
    <mergeCell ref="Z109:AE110"/>
    <mergeCell ref="AF109:AJ110"/>
    <mergeCell ref="B110:L110"/>
    <mergeCell ref="M111:P113"/>
    <mergeCell ref="B113:L113"/>
    <mergeCell ref="S93:X93"/>
    <mergeCell ref="AE93:AJ93"/>
    <mergeCell ref="B99:M99"/>
    <mergeCell ref="B100:M100"/>
    <mergeCell ref="B101:M101"/>
    <mergeCell ref="N99:R99"/>
    <mergeCell ref="S99:X99"/>
    <mergeCell ref="AF140:AH140"/>
    <mergeCell ref="S87:X87"/>
    <mergeCell ref="S88:X88"/>
    <mergeCell ref="S89:X89"/>
    <mergeCell ref="S90:X90"/>
    <mergeCell ref="S91:X91"/>
    <mergeCell ref="AE83:AJ86"/>
    <mergeCell ref="U139:Y139"/>
    <mergeCell ref="Q139:T139"/>
    <mergeCell ref="Z139:AE139"/>
    <mergeCell ref="AF139:AJ139"/>
    <mergeCell ref="Q128:T128"/>
    <mergeCell ref="U128:Y128"/>
    <mergeCell ref="Z128:AE128"/>
    <mergeCell ref="AF128:AJ128"/>
    <mergeCell ref="Y105:AD105"/>
    <mergeCell ref="AE105:AJ105"/>
    <mergeCell ref="Z119:AE119"/>
    <mergeCell ref="AF119:AJ119"/>
    <mergeCell ref="S102:X102"/>
    <mergeCell ref="Y83:AD86"/>
    <mergeCell ref="Y90:AD90"/>
    <mergeCell ref="Y101:AD101"/>
    <mergeCell ref="AF106:AH106"/>
    <mergeCell ref="M129:P131"/>
    <mergeCell ref="S100:X100"/>
    <mergeCell ref="N101:R101"/>
    <mergeCell ref="S101:X101"/>
    <mergeCell ref="B49:M49"/>
    <mergeCell ref="B50:M50"/>
    <mergeCell ref="B103:M103"/>
    <mergeCell ref="N103:R103"/>
    <mergeCell ref="S103:X103"/>
    <mergeCell ref="S105:X105"/>
    <mergeCell ref="B66:M66"/>
    <mergeCell ref="B67:M67"/>
    <mergeCell ref="B75:M75"/>
    <mergeCell ref="B76:M76"/>
    <mergeCell ref="B77:M77"/>
    <mergeCell ref="B78:M78"/>
    <mergeCell ref="B79:M79"/>
    <mergeCell ref="B87:M87"/>
    <mergeCell ref="B88:M88"/>
    <mergeCell ref="B89:M89"/>
    <mergeCell ref="B90:M90"/>
    <mergeCell ref="N87:R87"/>
    <mergeCell ref="B102:M102"/>
    <mergeCell ref="B71:M74"/>
    <mergeCell ref="AT24:AT25"/>
    <mergeCell ref="AR40:AU44"/>
    <mergeCell ref="AS59:AT61"/>
    <mergeCell ref="Z39:AC39"/>
    <mergeCell ref="R52:U52"/>
    <mergeCell ref="AA52:AE52"/>
    <mergeCell ref="AF52:AJ52"/>
    <mergeCell ref="AR83:AS83"/>
    <mergeCell ref="AQ38:AV39"/>
    <mergeCell ref="AQ45:AV45"/>
    <mergeCell ref="V51:Z51"/>
    <mergeCell ref="V52:Z52"/>
    <mergeCell ref="AL29:AN29"/>
    <mergeCell ref="AF50:AJ50"/>
    <mergeCell ref="V45:Z46"/>
    <mergeCell ref="V47:Z48"/>
    <mergeCell ref="V49:Z49"/>
    <mergeCell ref="V50:Z50"/>
    <mergeCell ref="V71:Z74"/>
    <mergeCell ref="AA71:AE74"/>
    <mergeCell ref="AA81:AE81"/>
    <mergeCell ref="AE25:AJ26"/>
    <mergeCell ref="V69:Z69"/>
    <mergeCell ref="V75:Z75"/>
  </mergeCells>
  <conditionalFormatting sqref="B8">
    <cfRule type="expression" dxfId="933" priority="213">
      <formula>IF(NoColor,1,0)</formula>
    </cfRule>
  </conditionalFormatting>
  <conditionalFormatting sqref="B49:B53 N49:V53">
    <cfRule type="expression" dxfId="932" priority="169">
      <formula>NoColor</formula>
    </cfRule>
  </conditionalFormatting>
  <conditionalFormatting sqref="B63:B67">
    <cfRule type="expression" dxfId="931" priority="109">
      <formula>NoColor</formula>
    </cfRule>
  </conditionalFormatting>
  <conditionalFormatting sqref="B75:B79">
    <cfRule type="expression" dxfId="930" priority="106">
      <formula>NoColor</formula>
    </cfRule>
  </conditionalFormatting>
  <conditionalFormatting sqref="B87:B91">
    <cfRule type="expression" dxfId="929" priority="49">
      <formula>NoColor</formula>
    </cfRule>
  </conditionalFormatting>
  <conditionalFormatting sqref="B99:B103">
    <cfRule type="expression" dxfId="928" priority="46">
      <formula>NoColor</formula>
    </cfRule>
  </conditionalFormatting>
  <conditionalFormatting sqref="B110:L110">
    <cfRule type="expression" dxfId="927" priority="126">
      <formula>NoColor</formula>
    </cfRule>
  </conditionalFormatting>
  <conditionalFormatting sqref="B113:L113">
    <cfRule type="expression" dxfId="926" priority="125">
      <formula>NoColor</formula>
    </cfRule>
  </conditionalFormatting>
  <conditionalFormatting sqref="B122:L122">
    <cfRule type="expression" dxfId="925" priority="39">
      <formula>NoColor</formula>
    </cfRule>
  </conditionalFormatting>
  <conditionalFormatting sqref="B131:L131">
    <cfRule type="expression" dxfId="924" priority="38">
      <formula>NoColor</formula>
    </cfRule>
  </conditionalFormatting>
  <conditionalFormatting sqref="H23">
    <cfRule type="expression" dxfId="923" priority="3">
      <formula>AO22</formula>
    </cfRule>
  </conditionalFormatting>
  <conditionalFormatting sqref="M39">
    <cfRule type="expression" dxfId="922" priority="2">
      <formula>Unallowed_CRD&lt;&gt;""</formula>
    </cfRule>
  </conditionalFormatting>
  <conditionalFormatting sqref="M115:P115">
    <cfRule type="expression" dxfId="921" priority="122">
      <formula>NoColor</formula>
    </cfRule>
  </conditionalFormatting>
  <conditionalFormatting sqref="M117:P117">
    <cfRule type="expression" dxfId="920" priority="121">
      <formula>NoColor</formula>
    </cfRule>
  </conditionalFormatting>
  <conditionalFormatting sqref="M124:P124">
    <cfRule type="expression" dxfId="919" priority="120">
      <formula>NoColor</formula>
    </cfRule>
  </conditionalFormatting>
  <conditionalFormatting sqref="M126:P126">
    <cfRule type="expression" dxfId="918" priority="119">
      <formula>NoColor</formula>
    </cfRule>
  </conditionalFormatting>
  <conditionalFormatting sqref="M133:P133">
    <cfRule type="expression" dxfId="917" priority="118">
      <formula>NoColor</formula>
    </cfRule>
  </conditionalFormatting>
  <conditionalFormatting sqref="M135:P135">
    <cfRule type="expression" dxfId="916" priority="117">
      <formula>NoColor</formula>
    </cfRule>
  </conditionalFormatting>
  <conditionalFormatting sqref="N87:N91">
    <cfRule type="expression" dxfId="915" priority="78">
      <formula>NoColor</formula>
    </cfRule>
  </conditionalFormatting>
  <conditionalFormatting sqref="N93">
    <cfRule type="expression" dxfId="914" priority="146">
      <formula>NoColor</formula>
    </cfRule>
  </conditionalFormatting>
  <conditionalFormatting sqref="N99:N103">
    <cfRule type="expression" dxfId="913" priority="79">
      <formula>NoColor</formula>
    </cfRule>
  </conditionalFormatting>
  <conditionalFormatting sqref="N105">
    <cfRule type="expression" dxfId="912" priority="131">
      <formula>NoColor</formula>
    </cfRule>
  </conditionalFormatting>
  <conditionalFormatting sqref="N55:V55">
    <cfRule type="expression" dxfId="911" priority="163">
      <formula>NoColor</formula>
    </cfRule>
  </conditionalFormatting>
  <conditionalFormatting sqref="N63:V67">
    <cfRule type="expression" dxfId="910" priority="56">
      <formula>NoColor</formula>
    </cfRule>
  </conditionalFormatting>
  <conditionalFormatting sqref="N69:V69">
    <cfRule type="expression" dxfId="909" priority="45">
      <formula>NoColor</formula>
    </cfRule>
  </conditionalFormatting>
  <conditionalFormatting sqref="N75:V79">
    <cfRule type="expression" dxfId="908" priority="69">
      <formula>NoColor</formula>
    </cfRule>
  </conditionalFormatting>
  <conditionalFormatting sqref="Q139:T139">
    <cfRule type="expression" dxfId="907" priority="112">
      <formula>NoColor</formula>
    </cfRule>
  </conditionalFormatting>
  <conditionalFormatting sqref="Q119:AJ119">
    <cfRule type="expression" dxfId="906" priority="25">
      <formula>NoColor</formula>
    </cfRule>
  </conditionalFormatting>
  <conditionalFormatting sqref="Q128:AJ128">
    <cfRule type="expression" dxfId="905" priority="24">
      <formula>NoColor</formula>
    </cfRule>
  </conditionalFormatting>
  <conditionalFormatting sqref="Q137:AJ137">
    <cfRule type="expression" dxfId="904" priority="23">
      <formula>NoColor</formula>
    </cfRule>
  </conditionalFormatting>
  <conditionalFormatting sqref="R81">
    <cfRule type="expression" dxfId="903" priority="157">
      <formula>NoColor</formula>
    </cfRule>
  </conditionalFormatting>
  <conditionalFormatting sqref="S93">
    <cfRule type="expression" dxfId="902" priority="145">
      <formula>NoColor</formula>
    </cfRule>
  </conditionalFormatting>
  <conditionalFormatting sqref="S105">
    <cfRule type="expression" dxfId="901" priority="130">
      <formula>NoColor</formula>
    </cfRule>
  </conditionalFormatting>
  <conditionalFormatting sqref="U139">
    <cfRule type="expression" dxfId="900" priority="140">
      <formula>NoColor</formula>
    </cfRule>
  </conditionalFormatting>
  <conditionalFormatting sqref="V75:V79">
    <cfRule type="expression" dxfId="899" priority="68">
      <formula>NoColor</formula>
    </cfRule>
  </conditionalFormatting>
  <conditionalFormatting sqref="V81">
    <cfRule type="expression" dxfId="898" priority="153">
      <formula>NoColor</formula>
    </cfRule>
  </conditionalFormatting>
  <conditionalFormatting sqref="X14:Y15 AC14:AC15">
    <cfRule type="expression" dxfId="897" priority="187">
      <formula>IF(NoColor,1,0)</formula>
    </cfRule>
  </conditionalFormatting>
  <conditionalFormatting sqref="X19:Y20 AC19:AC20">
    <cfRule type="expression" dxfId="896" priority="182">
      <formula>IF(NoColor,1,0)</formula>
    </cfRule>
  </conditionalFormatting>
  <conditionalFormatting sqref="X13:AC13">
    <cfRule type="expression" dxfId="895" priority="188">
      <formula>IF(NoColor,1,0)</formula>
    </cfRule>
  </conditionalFormatting>
  <conditionalFormatting sqref="X18:AC18">
    <cfRule type="expression" dxfId="894" priority="183">
      <formula>IF(NoColor,1,0)</formula>
    </cfRule>
  </conditionalFormatting>
  <conditionalFormatting sqref="X33:AC34">
    <cfRule type="expression" dxfId="893" priority="175">
      <formula>IF(NoColor,1,0)</formula>
    </cfRule>
  </conditionalFormatting>
  <conditionalFormatting sqref="X37:AC37">
    <cfRule type="expression" dxfId="892" priority="174">
      <formula>IF(NoColor,1,0)</formula>
    </cfRule>
  </conditionalFormatting>
  <conditionalFormatting sqref="Y8">
    <cfRule type="expression" dxfId="891" priority="211">
      <formula>IF(NoColor,1,0)</formula>
    </cfRule>
  </conditionalFormatting>
  <conditionalFormatting sqref="Y87:Y91">
    <cfRule type="expression" dxfId="890" priority="47">
      <formula>NoColor</formula>
    </cfRule>
    <cfRule type="expression" dxfId="889" priority="48">
      <formula>NoColor</formula>
    </cfRule>
  </conditionalFormatting>
  <conditionalFormatting sqref="Y93">
    <cfRule type="expression" dxfId="888" priority="129">
      <formula>NoColor</formula>
    </cfRule>
  </conditionalFormatting>
  <conditionalFormatting sqref="Y99:Y103 AE99:AE103 S99:S103">
    <cfRule type="expression" dxfId="887" priority="94">
      <formula>NoColor</formula>
    </cfRule>
  </conditionalFormatting>
  <conditionalFormatting sqref="Y99:Y103 AE99:AE103">
    <cfRule type="expression" dxfId="886" priority="93">
      <formula>NoColor</formula>
    </cfRule>
  </conditionalFormatting>
  <conditionalFormatting sqref="Y105">
    <cfRule type="expression" dxfId="885" priority="84">
      <formula>NoColor</formula>
    </cfRule>
  </conditionalFormatting>
  <conditionalFormatting sqref="Z139">
    <cfRule type="expression" dxfId="884" priority="27">
      <formula>NoColor</formula>
    </cfRule>
  </conditionalFormatting>
  <conditionalFormatting sqref="AA81">
    <cfRule type="expression" dxfId="883" priority="51">
      <formula>NoColor</formula>
    </cfRule>
  </conditionalFormatting>
  <conditionalFormatting sqref="AA49:AJ53">
    <cfRule type="expression" dxfId="882" priority="57">
      <formula>NoColor</formula>
    </cfRule>
    <cfRule type="expression" dxfId="881" priority="58">
      <formula>NoColor</formula>
    </cfRule>
  </conditionalFormatting>
  <conditionalFormatting sqref="AA63:AJ67">
    <cfRule type="expression" dxfId="880" priority="61">
      <formula>NoColor</formula>
    </cfRule>
    <cfRule type="expression" dxfId="879" priority="62">
      <formula>NoColor</formula>
    </cfRule>
  </conditionalFormatting>
  <conditionalFormatting sqref="AA75:AJ79">
    <cfRule type="expression" dxfId="878" priority="154">
      <formula>NoColor</formula>
    </cfRule>
    <cfRule type="expression" dxfId="877" priority="155">
      <formula>NoColor</formula>
    </cfRule>
  </conditionalFormatting>
  <conditionalFormatting sqref="AE87:AE91 S87:S91">
    <cfRule type="expression" dxfId="876" priority="152">
      <formula>NoColor</formula>
    </cfRule>
  </conditionalFormatting>
  <conditionalFormatting sqref="AE87:AE91">
    <cfRule type="expression" dxfId="875" priority="151">
      <formula>NoColor</formula>
    </cfRule>
  </conditionalFormatting>
  <conditionalFormatting sqref="AE93">
    <cfRule type="expression" dxfId="874" priority="147">
      <formula>NoColor</formula>
    </cfRule>
  </conditionalFormatting>
  <conditionalFormatting sqref="AE105">
    <cfRule type="expression" dxfId="873" priority="83">
      <formula>NoColor</formula>
    </cfRule>
  </conditionalFormatting>
  <conditionalFormatting sqref="AE16:AJ16">
    <cfRule type="expression" dxfId="872" priority="180">
      <formula>IF(NoColor,1,0)</formula>
    </cfRule>
  </conditionalFormatting>
  <conditionalFormatting sqref="AE21:AJ21">
    <cfRule type="expression" dxfId="871" priority="40">
      <formula>IF(NoColor,1,0)</formula>
    </cfRule>
  </conditionalFormatting>
  <conditionalFormatting sqref="AE24:AJ24">
    <cfRule type="expression" dxfId="870" priority="181">
      <formula>IF(NoColor,1,0)</formula>
    </cfRule>
  </conditionalFormatting>
  <conditionalFormatting sqref="AE27:AJ27">
    <cfRule type="expression" dxfId="869" priority="285">
      <formula>IF(NoColor,1,0)</formula>
    </cfRule>
  </conditionalFormatting>
  <conditionalFormatting sqref="AE32:AJ32">
    <cfRule type="expression" dxfId="868" priority="178">
      <formula>IF(NoColor,1,0)</formula>
    </cfRule>
  </conditionalFormatting>
  <conditionalFormatting sqref="AE38:AJ39">
    <cfRule type="expression" dxfId="867" priority="172">
      <formula>IF(NoColor,1,0)</formula>
    </cfRule>
  </conditionalFormatting>
  <conditionalFormatting sqref="AE41:AJ41">
    <cfRule type="expression" dxfId="866" priority="171">
      <formula>IF(NoColor,1,0)</formula>
    </cfRule>
  </conditionalFormatting>
  <conditionalFormatting sqref="AE43:AJ43">
    <cfRule type="expression" dxfId="865" priority="170">
      <formula>IF(NoColor,1,0)</formula>
    </cfRule>
  </conditionalFormatting>
  <conditionalFormatting sqref="AF81">
    <cfRule type="expression" dxfId="864" priority="50">
      <formula>NoColor</formula>
    </cfRule>
  </conditionalFormatting>
  <conditionalFormatting sqref="AF139:AJ139">
    <cfRule type="expression" dxfId="863" priority="110">
      <formula>NoColor</formula>
    </cfRule>
  </conditionalFormatting>
  <conditionalFormatting sqref="AL6:AL7">
    <cfRule type="expression" dxfId="862" priority="4">
      <formula>NoColor</formula>
    </cfRule>
  </conditionalFormatting>
  <conditionalFormatting sqref="AL28">
    <cfRule type="expression" dxfId="861" priority="52">
      <formula>AO22</formula>
    </cfRule>
  </conditionalFormatting>
  <conditionalFormatting sqref="AL40">
    <cfRule type="expression" dxfId="860" priority="1">
      <formula>($AM$23&lt;&gt;"")</formula>
    </cfRule>
  </conditionalFormatting>
  <conditionalFormatting sqref="AL55 AL81">
    <cfRule type="expression" dxfId="859" priority="207">
      <formula>$AM$54</formula>
    </cfRule>
  </conditionalFormatting>
  <conditionalFormatting sqref="AL69">
    <cfRule type="expression" dxfId="858" priority="160">
      <formula>$AM$54</formula>
    </cfRule>
  </conditionalFormatting>
  <conditionalFormatting sqref="AL93">
    <cfRule type="expression" dxfId="857" priority="150">
      <formula>$AM$54</formula>
    </cfRule>
  </conditionalFormatting>
  <conditionalFormatting sqref="AL105">
    <cfRule type="expression" dxfId="856" priority="135">
      <formula>$AM$54</formula>
    </cfRule>
  </conditionalFormatting>
  <conditionalFormatting sqref="AL139">
    <cfRule type="expression" dxfId="855" priority="144">
      <formula>$AM$54</formula>
    </cfRule>
  </conditionalFormatting>
  <conditionalFormatting sqref="AM28">
    <cfRule type="expression" dxfId="854" priority="5012">
      <formula>AN22</formula>
    </cfRule>
  </conditionalFormatting>
  <conditionalFormatting sqref="AM55">
    <cfRule type="expression" dxfId="853" priority="206">
      <formula>AND($AM$54,$AL$55="")</formula>
    </cfRule>
  </conditionalFormatting>
  <conditionalFormatting sqref="AM69">
    <cfRule type="expression" dxfId="852" priority="159">
      <formula>AND($AM$54,$AL$55="")</formula>
    </cfRule>
  </conditionalFormatting>
  <conditionalFormatting sqref="AM139">
    <cfRule type="expression" dxfId="851" priority="143">
      <formula>AND($AM$54,$AL$55="")</formula>
    </cfRule>
  </conditionalFormatting>
  <conditionalFormatting sqref="AN28 AP28">
    <cfRule type="expression" dxfId="850" priority="5017">
      <formula>AL22</formula>
    </cfRule>
  </conditionalFormatting>
  <conditionalFormatting sqref="AR63:AR65">
    <cfRule type="expression" dxfId="849" priority="42">
      <formula>$AS$62</formula>
    </cfRule>
  </conditionalFormatting>
  <conditionalFormatting sqref="AS59:AT61">
    <cfRule type="expression" dxfId="848" priority="44">
      <formula>AU58</formula>
    </cfRule>
  </conditionalFormatting>
  <conditionalFormatting sqref="AT12">
    <cfRule type="expression" dxfId="847" priority="21">
      <formula>NoColor</formula>
    </cfRule>
  </conditionalFormatting>
  <conditionalFormatting sqref="AT14">
    <cfRule type="expression" dxfId="846" priority="20">
      <formula>NoColor</formula>
    </cfRule>
  </conditionalFormatting>
  <conditionalFormatting sqref="AT16">
    <cfRule type="expression" dxfId="845" priority="19">
      <formula>NoColor</formula>
    </cfRule>
  </conditionalFormatting>
  <conditionalFormatting sqref="AT18">
    <cfRule type="expression" dxfId="844" priority="18">
      <formula>NoColor</formula>
    </cfRule>
  </conditionalFormatting>
  <conditionalFormatting sqref="AT20">
    <cfRule type="expression" dxfId="843" priority="17">
      <formula>NoColor</formula>
    </cfRule>
  </conditionalFormatting>
  <conditionalFormatting sqref="AT22">
    <cfRule type="expression" dxfId="842" priority="16">
      <formula>NoColor</formula>
    </cfRule>
  </conditionalFormatting>
  <conditionalFormatting sqref="AT24">
    <cfRule type="expression" dxfId="841" priority="15">
      <formula>NoColor</formula>
    </cfRule>
  </conditionalFormatting>
  <conditionalFormatting sqref="AT28">
    <cfRule type="expression" dxfId="840" priority="14">
      <formula>NoColor</formula>
    </cfRule>
  </conditionalFormatting>
  <conditionalFormatting sqref="AT30">
    <cfRule type="expression" dxfId="839" priority="13">
      <formula>NoColor</formula>
    </cfRule>
  </conditionalFormatting>
  <conditionalFormatting sqref="AT33">
    <cfRule type="expression" dxfId="838" priority="12">
      <formula>NoColor</formula>
    </cfRule>
  </conditionalFormatting>
  <conditionalFormatting sqref="AU9">
    <cfRule type="expression" dxfId="837" priority="22">
      <formula>NoColor</formula>
    </cfRule>
  </conditionalFormatting>
  <conditionalFormatting sqref="AU35">
    <cfRule type="expression" dxfId="836" priority="11">
      <formula>NoColor</formula>
    </cfRule>
  </conditionalFormatting>
  <conditionalFormatting sqref="AU47">
    <cfRule type="expression" dxfId="835" priority="10">
      <formula>NoColor</formula>
    </cfRule>
  </conditionalFormatting>
  <conditionalFormatting sqref="AU49">
    <cfRule type="expression" dxfId="834" priority="9">
      <formula>NoColor</formula>
    </cfRule>
  </conditionalFormatting>
  <conditionalFormatting sqref="AU51:AU52">
    <cfRule type="expression" dxfId="833" priority="8">
      <formula>NoColor</formula>
    </cfRule>
  </conditionalFormatting>
  <conditionalFormatting sqref="AU55">
    <cfRule type="expression" dxfId="832" priority="7">
      <formula>NoColor</formula>
    </cfRule>
  </conditionalFormatting>
  <conditionalFormatting sqref="AU57">
    <cfRule type="expression" dxfId="831" priority="6">
      <formula>NoColor</formula>
    </cfRule>
  </conditionalFormatting>
  <conditionalFormatting sqref="AU61">
    <cfRule type="expression" dxfId="830" priority="5">
      <formula>NoColor</formula>
    </cfRule>
  </conditionalFormatting>
  <conditionalFormatting sqref="AV40">
    <cfRule type="expression" dxfId="829" priority="5019">
      <formula>AV38</formula>
    </cfRule>
  </conditionalFormatting>
  <conditionalFormatting sqref="AW28">
    <cfRule type="expression" dxfId="828" priority="5014">
      <formula>AW22</formula>
    </cfRule>
  </conditionalFormatting>
  <pageMargins left="0.75" right="0.25" top="0.36" bottom="0.28999999999999998" header="0.36" footer="0.21"/>
  <pageSetup scale="64" fitToHeight="0" orientation="portrait" r:id="rId1"/>
  <rowBreaks count="2" manualBreakCount="2">
    <brk id="56" min="1" max="35" man="1"/>
    <brk id="106" min="1" max="35"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A222"/>
  <sheetViews>
    <sheetView zoomScaleNormal="100" zoomScaleSheetLayoutView="120" workbookViewId="0"/>
  </sheetViews>
  <sheetFormatPr defaultColWidth="9.140625" defaultRowHeight="12.75"/>
  <cols>
    <col min="1" max="1" width="2.7109375" style="39" customWidth="1"/>
    <col min="2" max="2" width="3" style="39" customWidth="1"/>
    <col min="3" max="3" width="5.85546875" style="217" customWidth="1"/>
    <col min="4" max="6" width="3.7109375" style="39" customWidth="1"/>
    <col min="7" max="7" width="5.140625" style="39" customWidth="1"/>
    <col min="8" max="8" width="2.7109375" style="39" customWidth="1"/>
    <col min="9" max="10" width="3.7109375" style="39" customWidth="1"/>
    <col min="11" max="11" width="4.42578125" style="39" customWidth="1"/>
    <col min="12" max="12" width="5.5703125" style="39" customWidth="1"/>
    <col min="13" max="13" width="4.42578125" style="39" customWidth="1"/>
    <col min="14" max="14" width="5" style="39" customWidth="1"/>
    <col min="15" max="15" width="3.7109375" style="39" customWidth="1"/>
    <col min="16" max="16" width="4.85546875" style="39" customWidth="1"/>
    <col min="17" max="17" width="4.28515625" style="39" customWidth="1"/>
    <col min="18" max="19" width="3.42578125" style="39" customWidth="1"/>
    <col min="20" max="21" width="3.7109375" style="39" customWidth="1"/>
    <col min="22" max="23" width="4.42578125" style="39" customWidth="1"/>
    <col min="24" max="29" width="3.5703125" style="39" customWidth="1"/>
    <col min="30" max="30" width="4.7109375" style="39" customWidth="1"/>
    <col min="31" max="31" width="3.5703125" style="39" customWidth="1"/>
    <col min="32" max="32" width="5.140625" style="39" customWidth="1"/>
    <col min="33" max="36" width="3.5703125" style="39" customWidth="1"/>
    <col min="37" max="37" width="9.140625" style="39"/>
    <col min="38" max="38" width="2.85546875" style="39" customWidth="1"/>
    <col min="39" max="39" width="14.42578125" style="39" customWidth="1"/>
    <col min="40" max="40" width="3.28515625" style="39" customWidth="1"/>
    <col min="41" max="49" width="10.7109375" style="2038" customWidth="1"/>
    <col min="50" max="50" width="4.140625" style="2038" customWidth="1"/>
    <col min="51" max="52" width="9.140625" style="39"/>
    <col min="53" max="53" width="10" style="39" customWidth="1"/>
    <col min="54" max="57" width="9.140625" style="39"/>
    <col min="58" max="58" width="9.140625" style="39" customWidth="1"/>
    <col min="59" max="16384" width="9.140625" style="39"/>
  </cols>
  <sheetData>
    <row r="1" spans="1:52">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08"/>
      <c r="AM1" s="808"/>
      <c r="AN1" s="808"/>
    </row>
    <row r="2" spans="1:52">
      <c r="A2" s="461"/>
      <c r="B2" s="892"/>
      <c r="C2" s="1579"/>
      <c r="D2" s="892"/>
      <c r="E2" s="892"/>
      <c r="F2" s="892"/>
      <c r="G2" s="892"/>
      <c r="H2" s="892"/>
      <c r="I2" s="892"/>
      <c r="J2" s="892"/>
      <c r="K2" s="892"/>
      <c r="L2" s="892"/>
      <c r="M2" s="892"/>
      <c r="N2" s="892"/>
      <c r="O2" s="892"/>
      <c r="P2" s="892"/>
      <c r="Q2" s="892"/>
      <c r="R2" s="892"/>
      <c r="S2" s="892"/>
      <c r="T2" s="892"/>
      <c r="U2" s="892"/>
      <c r="V2" s="892"/>
      <c r="W2" s="892"/>
      <c r="X2" s="892"/>
      <c r="Y2" s="892"/>
      <c r="Z2" s="892"/>
      <c r="AA2" s="892"/>
      <c r="AB2" s="892"/>
      <c r="AC2" s="892"/>
      <c r="AD2" s="892"/>
      <c r="AE2" s="892"/>
      <c r="AF2" s="892"/>
      <c r="AG2" s="892"/>
      <c r="AH2" s="892"/>
      <c r="AI2" s="892"/>
      <c r="AJ2" s="892"/>
      <c r="AK2" s="461"/>
      <c r="AL2" s="808"/>
      <c r="AM2" s="808"/>
      <c r="AN2" s="808"/>
    </row>
    <row r="3" spans="1:52" ht="15.75">
      <c r="A3" s="461"/>
      <c r="B3" s="892"/>
      <c r="C3" s="3243" t="s">
        <v>4450</v>
      </c>
      <c r="D3" s="892"/>
      <c r="E3" s="892"/>
      <c r="F3" s="892"/>
      <c r="G3" s="892"/>
      <c r="H3" s="892"/>
      <c r="I3" s="892"/>
      <c r="J3" s="892"/>
      <c r="K3" s="892" t="s">
        <v>4451</v>
      </c>
      <c r="L3" s="892"/>
      <c r="M3" s="892"/>
      <c r="N3" s="892"/>
      <c r="O3" s="892"/>
      <c r="P3" s="892"/>
      <c r="Q3" s="892"/>
      <c r="R3" s="892"/>
      <c r="S3" s="892"/>
      <c r="T3" s="892"/>
      <c r="U3" s="892"/>
      <c r="V3" s="892"/>
      <c r="W3" s="892"/>
      <c r="X3" s="892"/>
      <c r="Y3" s="892"/>
      <c r="Z3" s="892"/>
      <c r="AA3" s="892"/>
      <c r="AB3" s="892"/>
      <c r="AC3" s="892"/>
      <c r="AD3" s="892"/>
      <c r="AE3" s="892"/>
      <c r="AF3" s="892"/>
      <c r="AG3" s="892"/>
      <c r="AH3" s="892"/>
      <c r="AI3" s="892"/>
      <c r="AJ3" s="892"/>
      <c r="AK3" s="461"/>
      <c r="AL3" s="808"/>
      <c r="AM3" s="808"/>
      <c r="AN3" s="808"/>
    </row>
    <row r="4" spans="1:52" ht="15.75">
      <c r="A4" s="461"/>
      <c r="B4" s="892"/>
      <c r="C4" s="3243"/>
      <c r="D4" s="892"/>
      <c r="E4" s="892"/>
      <c r="F4" s="892"/>
      <c r="G4" s="892"/>
      <c r="H4" s="892"/>
      <c r="I4" s="892"/>
      <c r="J4" s="892"/>
      <c r="K4" s="892" t="s">
        <v>4452</v>
      </c>
      <c r="L4" s="892"/>
      <c r="M4" s="892"/>
      <c r="N4" s="892"/>
      <c r="O4" s="892"/>
      <c r="P4" s="892"/>
      <c r="Q4" s="892"/>
      <c r="R4" s="892"/>
      <c r="S4" s="892"/>
      <c r="T4" s="892"/>
      <c r="U4" s="892"/>
      <c r="V4" s="892"/>
      <c r="W4" s="892"/>
      <c r="X4" s="892"/>
      <c r="Y4" s="892"/>
      <c r="Z4" s="892"/>
      <c r="AA4" s="892"/>
      <c r="AB4" s="892"/>
      <c r="AC4" s="892"/>
      <c r="AD4" s="892"/>
      <c r="AE4" s="892"/>
      <c r="AF4" s="892"/>
      <c r="AG4" s="892"/>
      <c r="AH4" s="892"/>
      <c r="AI4" s="892"/>
      <c r="AJ4" s="892"/>
      <c r="AK4" s="461"/>
      <c r="AL4" s="808"/>
      <c r="AM4" s="808"/>
      <c r="AN4" s="808"/>
    </row>
    <row r="5" spans="1:52">
      <c r="A5" s="461"/>
      <c r="B5" s="808"/>
      <c r="C5" s="1461"/>
      <c r="D5" s="808"/>
      <c r="E5" s="808"/>
      <c r="F5" s="808"/>
      <c r="G5" s="808"/>
      <c r="H5" s="808"/>
      <c r="I5" s="808"/>
      <c r="J5" s="808"/>
      <c r="K5" s="808"/>
      <c r="L5" s="808"/>
      <c r="M5" s="808"/>
      <c r="N5" s="808"/>
      <c r="O5" s="808"/>
      <c r="P5" s="808"/>
      <c r="Q5" s="808"/>
      <c r="R5" s="808"/>
      <c r="S5" s="808"/>
      <c r="T5" s="808"/>
      <c r="U5" s="808"/>
      <c r="V5" s="808"/>
      <c r="W5" s="808"/>
      <c r="X5" s="808"/>
      <c r="Y5" s="808"/>
      <c r="Z5" s="808"/>
      <c r="AA5" s="808"/>
      <c r="AB5" s="808"/>
      <c r="AC5" s="808"/>
      <c r="AD5" s="808"/>
      <c r="AE5" s="808"/>
      <c r="AF5" s="808"/>
      <c r="AG5" s="808"/>
      <c r="AH5" s="808"/>
      <c r="AI5" s="808"/>
      <c r="AJ5" s="808"/>
      <c r="AK5" s="461"/>
      <c r="AL5" s="808"/>
      <c r="AM5" s="808"/>
      <c r="AN5" s="808"/>
    </row>
    <row r="6" spans="1:52" s="2690" customFormat="1" ht="27.75" customHeight="1">
      <c r="A6" s="461"/>
      <c r="B6" s="461"/>
      <c r="C6" s="461"/>
      <c r="D6" s="461"/>
      <c r="E6" s="461"/>
      <c r="F6" s="461"/>
      <c r="G6" s="461"/>
      <c r="H6" s="461"/>
      <c r="I6" s="461"/>
      <c r="J6" s="461"/>
      <c r="K6" s="3651" t="s">
        <v>4453</v>
      </c>
      <c r="L6" s="461"/>
      <c r="M6" s="461"/>
      <c r="N6" s="461"/>
      <c r="O6" s="461"/>
      <c r="P6" s="461"/>
      <c r="Q6" s="461"/>
      <c r="R6" s="461"/>
      <c r="S6" s="461"/>
      <c r="T6" s="461"/>
      <c r="U6" s="461"/>
      <c r="V6" s="461"/>
      <c r="W6" s="461"/>
      <c r="X6" s="461"/>
      <c r="Y6" s="461"/>
      <c r="Z6" s="461"/>
      <c r="AA6" s="461"/>
      <c r="AB6" s="461"/>
      <c r="AC6" s="461"/>
      <c r="AD6" s="461"/>
      <c r="AE6" s="461"/>
      <c r="AF6" s="461"/>
      <c r="AG6" s="461"/>
      <c r="AH6" s="461"/>
      <c r="AI6" s="461"/>
      <c r="AJ6" s="461"/>
      <c r="AK6" s="461"/>
      <c r="AL6" s="808"/>
      <c r="AM6" s="808"/>
      <c r="AN6" s="808"/>
      <c r="AO6" s="2038"/>
      <c r="AP6" s="2038"/>
      <c r="AQ6" s="2038"/>
      <c r="AR6" s="2038"/>
      <c r="AS6" s="2038"/>
      <c r="AT6" s="2038"/>
      <c r="AU6" s="2038"/>
      <c r="AV6" s="2038"/>
      <c r="AW6" s="2038"/>
      <c r="AX6" s="2038"/>
      <c r="AY6" s="39"/>
      <c r="AZ6" s="39"/>
    </row>
    <row r="7" spans="1:52" s="2690" customFormat="1" ht="24" customHeight="1">
      <c r="A7" s="461"/>
      <c r="B7" s="808"/>
      <c r="C7" s="1461"/>
      <c r="D7" s="9613" t="s">
        <v>135</v>
      </c>
      <c r="E7" s="9614"/>
      <c r="F7" s="9614"/>
      <c r="G7" s="9614"/>
      <c r="H7" s="4558"/>
      <c r="I7" s="9459" t="s">
        <v>4411</v>
      </c>
      <c r="J7" s="9460"/>
      <c r="K7" s="9460"/>
      <c r="L7" s="9460"/>
      <c r="M7" s="9460"/>
      <c r="N7" s="9460"/>
      <c r="O7" s="9460"/>
      <c r="P7" s="9460"/>
      <c r="Q7" s="9460"/>
      <c r="R7" s="9460"/>
      <c r="S7" s="9460"/>
      <c r="T7" s="9460"/>
      <c r="U7" s="9460"/>
      <c r="V7" s="9460"/>
      <c r="W7" s="9460"/>
      <c r="X7" s="9460"/>
      <c r="Y7" s="9460"/>
      <c r="Z7" s="9460"/>
      <c r="AA7" s="9460"/>
      <c r="AB7" s="9460"/>
      <c r="AC7" s="6725" t="s">
        <v>576</v>
      </c>
      <c r="AD7" s="8773"/>
      <c r="AE7" s="8773"/>
      <c r="AF7" s="8773"/>
      <c r="AG7" s="8773"/>
      <c r="AH7" s="8773"/>
      <c r="AI7" s="8773"/>
      <c r="AJ7" s="8773"/>
      <c r="AK7" s="461"/>
      <c r="AL7" s="808"/>
      <c r="AM7" s="808"/>
      <c r="AN7" s="808"/>
      <c r="AO7" s="2038"/>
      <c r="AP7" s="2038"/>
      <c r="AQ7" s="2038"/>
      <c r="AR7" s="2038"/>
      <c r="AS7" s="2038"/>
      <c r="AT7" s="2038"/>
      <c r="AU7" s="2038"/>
      <c r="AV7" s="2038"/>
      <c r="AW7" s="2038"/>
      <c r="AX7" s="2038"/>
      <c r="AY7" s="39"/>
      <c r="AZ7" s="39"/>
    </row>
    <row r="8" spans="1:52" s="2690" customFormat="1" ht="24" customHeight="1">
      <c r="A8" s="461"/>
      <c r="B8" s="8774" t="s">
        <v>50</v>
      </c>
      <c r="C8" s="7256"/>
      <c r="D8" s="9614"/>
      <c r="E8" s="9614"/>
      <c r="F8" s="9614"/>
      <c r="G8" s="9614"/>
      <c r="H8" s="4558"/>
      <c r="I8" s="9460"/>
      <c r="J8" s="9460"/>
      <c r="K8" s="9460"/>
      <c r="L8" s="9460"/>
      <c r="M8" s="9460"/>
      <c r="N8" s="9460"/>
      <c r="O8" s="9460"/>
      <c r="P8" s="9460"/>
      <c r="Q8" s="9460"/>
      <c r="R8" s="9460"/>
      <c r="S8" s="9460"/>
      <c r="T8" s="9460"/>
      <c r="U8" s="9460"/>
      <c r="V8" s="9460"/>
      <c r="W8" s="9460"/>
      <c r="X8" s="9460"/>
      <c r="Y8" s="9460"/>
      <c r="Z8" s="9460"/>
      <c r="AA8" s="9460"/>
      <c r="AB8" s="9460"/>
      <c r="AC8" s="9463">
        <f>TaxYear</f>
        <v>2023</v>
      </c>
      <c r="AD8" s="8776"/>
      <c r="AE8" s="8776"/>
      <c r="AF8" s="8776"/>
      <c r="AG8" s="8776"/>
      <c r="AH8" s="8776"/>
      <c r="AI8" s="8776"/>
      <c r="AJ8" s="8776"/>
      <c r="AK8" s="461"/>
      <c r="AL8" s="808"/>
      <c r="AM8" s="808"/>
      <c r="AN8" s="808"/>
      <c r="AO8" s="2038"/>
      <c r="AP8" s="2038"/>
      <c r="AQ8" s="2038"/>
      <c r="AR8" s="2038"/>
      <c r="AS8" s="2038"/>
      <c r="AT8" s="2038"/>
      <c r="AU8" s="2038"/>
      <c r="AV8" s="2038"/>
      <c r="AW8" s="2038"/>
      <c r="AX8" s="2038"/>
      <c r="AY8" s="39"/>
      <c r="AZ8" s="39"/>
    </row>
    <row r="9" spans="1:52" s="2690" customFormat="1" ht="6.75" customHeight="1">
      <c r="A9" s="461"/>
      <c r="B9" s="808"/>
      <c r="C9" s="1461"/>
      <c r="D9" s="808"/>
      <c r="E9" s="808"/>
      <c r="F9" s="808"/>
      <c r="G9" s="808"/>
      <c r="H9" s="4558"/>
      <c r="I9" s="9589" t="s">
        <v>880</v>
      </c>
      <c r="J9" s="9589"/>
      <c r="K9" s="9589"/>
      <c r="L9" s="9589"/>
      <c r="M9" s="9589"/>
      <c r="N9" s="9589"/>
      <c r="O9" s="9589"/>
      <c r="P9" s="9589"/>
      <c r="Q9" s="9589"/>
      <c r="R9" s="9589"/>
      <c r="S9" s="9589"/>
      <c r="T9" s="9589"/>
      <c r="U9" s="9589"/>
      <c r="V9" s="9589"/>
      <c r="W9" s="9589"/>
      <c r="X9" s="9589"/>
      <c r="Y9" s="9589"/>
      <c r="Z9" s="9589"/>
      <c r="AA9" s="9589"/>
      <c r="AB9" s="9589"/>
      <c r="AC9" s="8778"/>
      <c r="AD9" s="8778"/>
      <c r="AE9" s="8778"/>
      <c r="AF9" s="8778"/>
      <c r="AG9" s="8778"/>
      <c r="AH9" s="8778"/>
      <c r="AI9" s="8778"/>
      <c r="AJ9" s="8778"/>
      <c r="AK9" s="461"/>
      <c r="AL9" s="808"/>
      <c r="AM9" s="808"/>
      <c r="AN9" s="808"/>
      <c r="AO9" s="2038"/>
      <c r="AP9" s="2038"/>
      <c r="AQ9" s="2038"/>
      <c r="AR9" s="2038"/>
      <c r="AS9" s="2038"/>
      <c r="AT9" s="2038"/>
      <c r="AU9" s="2038"/>
      <c r="AV9" s="2038"/>
      <c r="AW9" s="2038"/>
      <c r="AX9" s="2038"/>
      <c r="AY9" s="39"/>
      <c r="AZ9" s="39"/>
    </row>
    <row r="10" spans="1:52" s="2690" customFormat="1" ht="12.75" customHeight="1" thickBot="1">
      <c r="A10" s="461"/>
      <c r="B10" s="808" t="s">
        <v>535</v>
      </c>
      <c r="C10" s="1461"/>
      <c r="D10" s="808"/>
      <c r="E10" s="808"/>
      <c r="F10" s="808"/>
      <c r="G10" s="808"/>
      <c r="H10" s="4558"/>
      <c r="I10" s="9589"/>
      <c r="J10" s="9589"/>
      <c r="K10" s="9589"/>
      <c r="L10" s="9589"/>
      <c r="M10" s="9589"/>
      <c r="N10" s="9589"/>
      <c r="O10" s="9589"/>
      <c r="P10" s="9589"/>
      <c r="Q10" s="9589"/>
      <c r="R10" s="9589"/>
      <c r="S10" s="9589"/>
      <c r="T10" s="9589"/>
      <c r="U10" s="9589"/>
      <c r="V10" s="9589"/>
      <c r="W10" s="9589"/>
      <c r="X10" s="9589"/>
      <c r="Y10" s="9589"/>
      <c r="Z10" s="9589"/>
      <c r="AA10" s="9589"/>
      <c r="AB10" s="9589"/>
      <c r="AC10" s="808"/>
      <c r="AD10" s="8472" t="s">
        <v>3899</v>
      </c>
      <c r="AE10" s="6848"/>
      <c r="AF10" s="6848"/>
      <c r="AG10" s="6848"/>
      <c r="AH10" s="8160">
        <v>48</v>
      </c>
      <c r="AI10" s="8160"/>
      <c r="AJ10" s="808"/>
      <c r="AK10" s="461"/>
      <c r="AL10" s="899" t="s">
        <v>4413</v>
      </c>
      <c r="AM10" s="808"/>
      <c r="AN10" s="808"/>
      <c r="AO10" s="2038"/>
      <c r="AP10" s="2038"/>
      <c r="AQ10" s="2038"/>
      <c r="AR10" s="2038"/>
      <c r="AS10" s="2038"/>
      <c r="AT10" s="2038"/>
      <c r="AU10" s="2038"/>
      <c r="AV10" s="2038"/>
      <c r="AW10" s="2038"/>
      <c r="AX10" s="2038"/>
      <c r="AY10" s="39"/>
      <c r="AZ10" s="39"/>
    </row>
    <row r="11" spans="1:52" s="2690" customFormat="1" ht="13.5" customHeight="1" thickBot="1">
      <c r="A11" s="461"/>
      <c r="B11" s="1257" t="s">
        <v>537</v>
      </c>
      <c r="C11" s="3595"/>
      <c r="D11" s="896"/>
      <c r="E11" s="896"/>
      <c r="F11" s="896"/>
      <c r="G11" s="896"/>
      <c r="H11" s="4559"/>
      <c r="I11" s="9615" t="s">
        <v>4412</v>
      </c>
      <c r="J11" s="9616"/>
      <c r="K11" s="9616"/>
      <c r="L11" s="9616"/>
      <c r="M11" s="9616"/>
      <c r="N11" s="9616"/>
      <c r="O11" s="9616"/>
      <c r="P11" s="9616"/>
      <c r="Q11" s="9616"/>
      <c r="R11" s="9616"/>
      <c r="S11" s="9616"/>
      <c r="T11" s="9616"/>
      <c r="U11" s="9616"/>
      <c r="V11" s="9616"/>
      <c r="W11" s="9616"/>
      <c r="X11" s="9616"/>
      <c r="Y11" s="9616"/>
      <c r="Z11" s="9616"/>
      <c r="AA11" s="9616"/>
      <c r="AB11" s="9616"/>
      <c r="AC11" s="1257"/>
      <c r="AD11" s="8860" t="s">
        <v>3912</v>
      </c>
      <c r="AE11" s="8861"/>
      <c r="AF11" s="8861"/>
      <c r="AG11" s="8861"/>
      <c r="AH11" s="8848"/>
      <c r="AI11" s="8848"/>
      <c r="AJ11" s="896"/>
      <c r="AK11" s="461"/>
      <c r="AL11" s="1413" t="str">
        <f>IF(AL12="","X","")</f>
        <v>X</v>
      </c>
      <c r="AM11" s="892" t="s">
        <v>605</v>
      </c>
      <c r="AN11" s="808"/>
      <c r="AO11" s="2038"/>
      <c r="AP11" s="2038"/>
      <c r="AQ11" s="2038"/>
      <c r="AR11" s="2038"/>
      <c r="AS11" s="2038"/>
      <c r="AT11" s="2038"/>
      <c r="AU11" s="2038"/>
      <c r="AV11" s="2038"/>
      <c r="AW11" s="2038"/>
      <c r="AX11" s="2038"/>
      <c r="AY11" s="39"/>
      <c r="AZ11" s="39"/>
    </row>
    <row r="12" spans="1:52" s="2690" customFormat="1" ht="13.5" thickBot="1">
      <c r="A12" s="461"/>
      <c r="B12" s="1119" t="str">
        <f>"Name. If married, file a separate form for each spouse required to file "&amp;TaxYear&amp;" Form 8606. See instructions."</f>
        <v>Name. If married, file a separate form for each spouse required to file 2023 Form 8606. See instructions.</v>
      </c>
      <c r="C12" s="3597"/>
      <c r="D12" s="1119"/>
      <c r="E12" s="1119"/>
      <c r="F12" s="1119"/>
      <c r="G12" s="1119"/>
      <c r="H12" s="1119"/>
      <c r="I12" s="1119"/>
      <c r="J12" s="1119"/>
      <c r="K12" s="1119"/>
      <c r="L12" s="1119"/>
      <c r="M12" s="1119"/>
      <c r="N12" s="1119"/>
      <c r="O12" s="1119"/>
      <c r="P12" s="1119"/>
      <c r="Q12" s="1119"/>
      <c r="R12" s="1119"/>
      <c r="S12" s="1119"/>
      <c r="T12" s="1119"/>
      <c r="U12" s="1119"/>
      <c r="V12" s="1119"/>
      <c r="W12" s="1119"/>
      <c r="X12" s="1119"/>
      <c r="Y12" s="3592" t="s">
        <v>4414</v>
      </c>
      <c r="Z12" s="890"/>
      <c r="AA12" s="890"/>
      <c r="AB12" s="890"/>
      <c r="AC12" s="1150"/>
      <c r="AD12" s="1255"/>
      <c r="AE12" s="1255"/>
      <c r="AF12" s="1255"/>
      <c r="AG12" s="1255"/>
      <c r="AH12" s="1255"/>
      <c r="AI12" s="1255"/>
      <c r="AJ12" s="1255"/>
      <c r="AK12" s="461"/>
      <c r="AL12" s="810"/>
      <c r="AM12" s="892" t="s">
        <v>606</v>
      </c>
      <c r="AN12" s="808"/>
      <c r="AO12" s="2038"/>
      <c r="AP12" s="2038"/>
      <c r="AQ12" s="2038"/>
      <c r="AR12" s="2038"/>
      <c r="AS12" s="2038"/>
      <c r="AT12" s="2038"/>
      <c r="AU12" s="2038"/>
      <c r="AV12" s="2038"/>
      <c r="AW12" s="2038"/>
      <c r="AX12" s="2038"/>
      <c r="AY12" s="39"/>
      <c r="AZ12" s="39"/>
    </row>
    <row r="13" spans="1:52" s="2690" customFormat="1" ht="25.5" customHeight="1">
      <c r="A13" s="461"/>
      <c r="B13" s="9607" t="str">
        <f>IF(AND(AL11&lt;&gt;"",AL12&lt;&gt;""),Names,IF(AL12&lt;&gt;"",NameSpouse,IF(AL11&lt;&gt;"",NameYours,"")))</f>
        <v xml:space="preserve"> </v>
      </c>
      <c r="C13" s="9607"/>
      <c r="D13" s="9607"/>
      <c r="E13" s="9607"/>
      <c r="F13" s="9607"/>
      <c r="G13" s="9607"/>
      <c r="H13" s="9607"/>
      <c r="I13" s="9607"/>
      <c r="J13" s="9607"/>
      <c r="K13" s="9607"/>
      <c r="L13" s="9607"/>
      <c r="M13" s="9607"/>
      <c r="N13" s="9607"/>
      <c r="O13" s="9607"/>
      <c r="P13" s="9607"/>
      <c r="Q13" s="9607"/>
      <c r="R13" s="9607"/>
      <c r="S13" s="9607"/>
      <c r="T13" s="9607"/>
      <c r="U13" s="9607"/>
      <c r="V13" s="9607"/>
      <c r="W13" s="9607"/>
      <c r="X13" s="9608"/>
      <c r="Y13" s="9609">
        <f>IF(AND(NOT(NoSSN),SS_Yours&lt;&gt;"",OR(AL11&lt;&gt;"",AND(AL11&lt;&gt;"",AL12&lt;&gt;""))),SS_Yours,IF(AND(NOT(NoSSN),SS_Spouse&lt;&gt;"",AL12&lt;&gt;""),SS_Spouse,""))</f>
        <v>1010001</v>
      </c>
      <c r="Z13" s="9610"/>
      <c r="AA13" s="9610"/>
      <c r="AB13" s="9610"/>
      <c r="AC13" s="9610"/>
      <c r="AD13" s="9610"/>
      <c r="AE13" s="9610"/>
      <c r="AF13" s="9610"/>
      <c r="AG13" s="9610"/>
      <c r="AH13" s="9610"/>
      <c r="AI13" s="9610"/>
      <c r="AJ13" s="9610"/>
      <c r="AK13" s="461"/>
      <c r="AL13" s="808"/>
      <c r="AM13" s="900" t="b">
        <f>OR(AND(AL11&lt;&gt;"",IRA_CONV_YOU&gt;0),AND(AL12&lt;&gt;"",IRA_CONV_SPOUSE&gt;0))</f>
        <v>0</v>
      </c>
      <c r="AN13" s="808"/>
      <c r="AO13" s="2038"/>
      <c r="AP13" s="2038"/>
      <c r="AQ13" s="2038"/>
      <c r="AR13" s="2038"/>
      <c r="AS13" s="2038"/>
      <c r="AT13" s="2038"/>
      <c r="AU13" s="2038"/>
      <c r="AV13" s="2038"/>
      <c r="AW13" s="2038"/>
      <c r="AX13" s="2038"/>
      <c r="AY13" s="39"/>
      <c r="AZ13" s="39"/>
    </row>
    <row r="14" spans="1:52" s="2690" customFormat="1" ht="15.75" customHeight="1">
      <c r="A14" s="461"/>
      <c r="B14" s="9617" t="s">
        <v>4415</v>
      </c>
      <c r="C14" s="9617"/>
      <c r="D14" s="9617"/>
      <c r="E14" s="9617"/>
      <c r="F14" s="9617"/>
      <c r="G14" s="9617"/>
      <c r="H14" s="9617"/>
      <c r="I14" s="9618"/>
      <c r="J14" s="9566" t="s">
        <v>4416</v>
      </c>
      <c r="K14" s="9567"/>
      <c r="L14" s="9567"/>
      <c r="M14" s="9567"/>
      <c r="N14" s="9567"/>
      <c r="O14" s="9567"/>
      <c r="P14" s="9567"/>
      <c r="Q14" s="9567"/>
      <c r="R14" s="9567"/>
      <c r="S14" s="9567"/>
      <c r="T14" s="9567"/>
      <c r="U14" s="9567"/>
      <c r="V14" s="9567"/>
      <c r="W14" s="9567"/>
      <c r="X14" s="9567"/>
      <c r="Y14" s="9567"/>
      <c r="Z14" s="9567"/>
      <c r="AA14" s="9567"/>
      <c r="AB14" s="9567"/>
      <c r="AC14" s="9568"/>
      <c r="AD14" s="9611" t="s">
        <v>4417</v>
      </c>
      <c r="AE14" s="9612"/>
      <c r="AF14" s="9612"/>
      <c r="AG14" s="9612"/>
      <c r="AH14" s="9612"/>
      <c r="AI14" s="9612"/>
      <c r="AJ14" s="9612"/>
      <c r="AK14" s="461"/>
      <c r="AL14" s="9662" t="str">
        <f>IF($AM$13,"Because you","")</f>
        <v/>
      </c>
      <c r="AM14" s="9662"/>
      <c r="AN14" s="9662"/>
      <c r="AO14" s="2038"/>
      <c r="AP14" s="2038"/>
      <c r="AQ14" s="2038"/>
      <c r="AR14" s="2038"/>
      <c r="AS14" s="2038"/>
      <c r="AT14" s="2038"/>
      <c r="AU14" s="2038"/>
      <c r="AV14" s="2038"/>
      <c r="AW14" s="2038"/>
      <c r="AX14" s="2038"/>
      <c r="AY14" s="39"/>
      <c r="AZ14" s="39"/>
    </row>
    <row r="15" spans="1:52" s="2690" customFormat="1" ht="18.75" customHeight="1">
      <c r="A15" s="461"/>
      <c r="B15" s="6433"/>
      <c r="C15" s="6433"/>
      <c r="D15" s="6433"/>
      <c r="E15" s="6433"/>
      <c r="F15" s="6433"/>
      <c r="G15" s="6433"/>
      <c r="H15" s="6433"/>
      <c r="I15" s="9619"/>
      <c r="J15" s="9569"/>
      <c r="K15" s="9570"/>
      <c r="L15" s="9570"/>
      <c r="M15" s="9570"/>
      <c r="N15" s="9570"/>
      <c r="O15" s="9570"/>
      <c r="P15" s="9570"/>
      <c r="Q15" s="9570"/>
      <c r="R15" s="9570"/>
      <c r="S15" s="9570"/>
      <c r="T15" s="9570"/>
      <c r="U15" s="9570"/>
      <c r="V15" s="9570"/>
      <c r="W15" s="9570"/>
      <c r="X15" s="9570"/>
      <c r="Y15" s="9570"/>
      <c r="Z15" s="9570"/>
      <c r="AA15" s="9570"/>
      <c r="AB15" s="9570"/>
      <c r="AC15" s="9571"/>
      <c r="AD15" s="9569"/>
      <c r="AE15" s="9570"/>
      <c r="AF15" s="9570"/>
      <c r="AG15" s="9570"/>
      <c r="AH15" s="9570"/>
      <c r="AI15" s="9570"/>
      <c r="AJ15" s="9570"/>
      <c r="AK15" s="461"/>
      <c r="AL15" s="9663" t="str">
        <f>IF($AM$13,"converted an IRA to","")</f>
        <v/>
      </c>
      <c r="AM15" s="9663"/>
      <c r="AN15" s="9663"/>
      <c r="AO15" s="2038"/>
      <c r="AP15" s="2038"/>
      <c r="AQ15" s="2038"/>
      <c r="AR15" s="2038"/>
      <c r="AS15" s="2038"/>
      <c r="AT15" s="2038"/>
      <c r="AU15" s="2038"/>
      <c r="AV15" s="2038"/>
      <c r="AW15" s="2038"/>
      <c r="AX15" s="2038"/>
      <c r="AY15" s="39"/>
      <c r="AZ15" s="39"/>
    </row>
    <row r="16" spans="1:52" s="2690" customFormat="1" ht="15.75" customHeight="1">
      <c r="A16" s="461"/>
      <c r="B16" s="6433"/>
      <c r="C16" s="6433"/>
      <c r="D16" s="6433"/>
      <c r="E16" s="6433"/>
      <c r="F16" s="6433"/>
      <c r="G16" s="6433"/>
      <c r="H16" s="6433"/>
      <c r="I16" s="9619"/>
      <c r="J16" s="9572" t="s">
        <v>4418</v>
      </c>
      <c r="K16" s="9573"/>
      <c r="L16" s="9573"/>
      <c r="M16" s="9573"/>
      <c r="N16" s="9573"/>
      <c r="O16" s="9573"/>
      <c r="P16" s="9573"/>
      <c r="Q16" s="9573"/>
      <c r="R16" s="9573"/>
      <c r="S16" s="9573"/>
      <c r="T16" s="9573"/>
      <c r="U16" s="9573"/>
      <c r="V16" s="9573"/>
      <c r="W16" s="9573"/>
      <c r="X16" s="9573"/>
      <c r="Y16" s="9573"/>
      <c r="Z16" s="9573"/>
      <c r="AA16" s="9573"/>
      <c r="AB16" s="9573"/>
      <c r="AC16" s="9573"/>
      <c r="AD16" s="9573"/>
      <c r="AE16" s="9573"/>
      <c r="AF16" s="9573"/>
      <c r="AG16" s="9573"/>
      <c r="AH16" s="9573"/>
      <c r="AI16" s="9573"/>
      <c r="AJ16" s="9573"/>
      <c r="AK16" s="461"/>
      <c r="AL16" s="9662" t="str">
        <f>IF($AM$13,"a Roth IRA, be sure","")</f>
        <v/>
      </c>
      <c r="AM16" s="9662"/>
      <c r="AN16" s="9662"/>
      <c r="AO16" s="2038"/>
      <c r="AP16" s="2038"/>
      <c r="AQ16" s="2038"/>
      <c r="AR16" s="2038"/>
      <c r="AS16" s="2038"/>
      <c r="AT16" s="2038"/>
      <c r="AU16" s="2038"/>
      <c r="AV16" s="2038"/>
      <c r="AW16" s="2038"/>
      <c r="AX16" s="2038"/>
      <c r="AY16" s="39"/>
      <c r="AZ16" s="39"/>
    </row>
    <row r="17" spans="1:52" s="2690" customFormat="1" ht="18.75" customHeight="1">
      <c r="A17" s="461"/>
      <c r="B17" s="6433"/>
      <c r="C17" s="6433"/>
      <c r="D17" s="6433"/>
      <c r="E17" s="6433"/>
      <c r="F17" s="6433"/>
      <c r="G17" s="6433"/>
      <c r="H17" s="6433"/>
      <c r="I17" s="9619"/>
      <c r="J17" s="9569"/>
      <c r="K17" s="9570"/>
      <c r="L17" s="9570"/>
      <c r="M17" s="9570"/>
      <c r="N17" s="9570"/>
      <c r="O17" s="9570"/>
      <c r="P17" s="9570"/>
      <c r="Q17" s="9570"/>
      <c r="R17" s="9570"/>
      <c r="S17" s="9570"/>
      <c r="T17" s="9570"/>
      <c r="U17" s="9570"/>
      <c r="V17" s="9570"/>
      <c r="W17" s="9570"/>
      <c r="X17" s="9570"/>
      <c r="Y17" s="9570"/>
      <c r="Z17" s="9570"/>
      <c r="AA17" s="9570"/>
      <c r="AB17" s="9570"/>
      <c r="AC17" s="9570"/>
      <c r="AD17" s="9570"/>
      <c r="AE17" s="9570"/>
      <c r="AF17" s="9570"/>
      <c r="AG17" s="9570"/>
      <c r="AH17" s="9570"/>
      <c r="AI17" s="9570"/>
      <c r="AJ17" s="9570"/>
      <c r="AK17" s="461"/>
      <c r="AL17" s="9662" t="str">
        <f>IF($AM$13,"to complete Part I","")</f>
        <v/>
      </c>
      <c r="AM17" s="9662"/>
      <c r="AN17" s="9662"/>
      <c r="AO17" s="2038"/>
      <c r="AP17" s="2038"/>
      <c r="AQ17" s="2038"/>
      <c r="AR17" s="2038"/>
      <c r="AS17" s="2038"/>
      <c r="AT17" s="2038"/>
      <c r="AU17" s="2038"/>
      <c r="AV17" s="2038"/>
      <c r="AW17" s="2038"/>
      <c r="AX17" s="2038"/>
      <c r="AY17" s="39"/>
      <c r="AZ17" s="39"/>
    </row>
    <row r="18" spans="1:52" s="2690" customFormat="1" ht="15.75" customHeight="1">
      <c r="A18" s="461"/>
      <c r="B18" s="6433"/>
      <c r="C18" s="6433"/>
      <c r="D18" s="6433"/>
      <c r="E18" s="6433"/>
      <c r="F18" s="6433"/>
      <c r="G18" s="6433"/>
      <c r="H18" s="6433"/>
      <c r="I18" s="9619"/>
      <c r="J18" s="2404" t="s">
        <v>4419</v>
      </c>
      <c r="K18" s="2145"/>
      <c r="L18" s="2145"/>
      <c r="M18" s="2145"/>
      <c r="N18" s="2145"/>
      <c r="O18" s="2145"/>
      <c r="P18" s="2145"/>
      <c r="Q18" s="2145"/>
      <c r="R18" s="2145"/>
      <c r="S18" s="2145"/>
      <c r="T18" s="2404" t="s">
        <v>4420</v>
      </c>
      <c r="U18" s="2145"/>
      <c r="V18" s="2145"/>
      <c r="W18" s="2145"/>
      <c r="X18" s="2145"/>
      <c r="Y18" s="2145"/>
      <c r="Z18" s="2145"/>
      <c r="AA18" s="2145"/>
      <c r="AB18" s="2146"/>
      <c r="AC18" s="2145" t="s">
        <v>4421</v>
      </c>
      <c r="AD18" s="2145"/>
      <c r="AE18" s="2145"/>
      <c r="AF18" s="2145"/>
      <c r="AG18" s="2145"/>
      <c r="AH18" s="2145"/>
      <c r="AI18" s="2145"/>
      <c r="AJ18" s="2145"/>
      <c r="AK18" s="461"/>
      <c r="AL18" s="9662" t="str">
        <f>IF($AM$13,"or Part II of this form.","")</f>
        <v/>
      </c>
      <c r="AM18" s="9662"/>
      <c r="AN18" s="9662"/>
      <c r="AO18" s="2038"/>
      <c r="AP18" s="2038"/>
      <c r="AQ18" s="2038"/>
      <c r="AR18" s="2038"/>
      <c r="AS18" s="2038"/>
      <c r="AT18" s="2038"/>
      <c r="AU18" s="2038"/>
      <c r="AV18" s="2038"/>
      <c r="AW18" s="2038"/>
      <c r="AX18" s="2038"/>
      <c r="AY18" s="39"/>
      <c r="AZ18" s="39"/>
    </row>
    <row r="19" spans="1:52" s="2690" customFormat="1" ht="18.75" customHeight="1">
      <c r="A19" s="461"/>
      <c r="B19" s="9620"/>
      <c r="C19" s="9620"/>
      <c r="D19" s="9620"/>
      <c r="E19" s="9620"/>
      <c r="F19" s="9620"/>
      <c r="G19" s="9620"/>
      <c r="H19" s="9620"/>
      <c r="I19" s="9621"/>
      <c r="J19" s="9569"/>
      <c r="K19" s="9570"/>
      <c r="L19" s="9570"/>
      <c r="M19" s="9570"/>
      <c r="N19" s="9570"/>
      <c r="O19" s="9570"/>
      <c r="P19" s="9570"/>
      <c r="Q19" s="9570"/>
      <c r="R19" s="9570"/>
      <c r="S19" s="9571"/>
      <c r="T19" s="9569"/>
      <c r="U19" s="9570"/>
      <c r="V19" s="9570"/>
      <c r="W19" s="9570"/>
      <c r="X19" s="9570"/>
      <c r="Y19" s="9570"/>
      <c r="Z19" s="9570"/>
      <c r="AA19" s="9570"/>
      <c r="AB19" s="9571"/>
      <c r="AC19" s="9569"/>
      <c r="AD19" s="9570"/>
      <c r="AE19" s="9570"/>
      <c r="AF19" s="9570"/>
      <c r="AG19" s="9570"/>
      <c r="AH19" s="9570"/>
      <c r="AI19" s="9570"/>
      <c r="AJ19" s="9570"/>
      <c r="AK19" s="461"/>
      <c r="AL19" s="808"/>
      <c r="AM19" s="808"/>
      <c r="AN19" s="808"/>
      <c r="AO19" s="2038"/>
      <c r="AP19" s="2038"/>
      <c r="AQ19" s="2038"/>
      <c r="AR19" s="2038"/>
      <c r="AS19" s="2038"/>
      <c r="AT19" s="2038"/>
      <c r="AU19" s="2038"/>
      <c r="AV19" s="2038"/>
      <c r="AW19" s="2038"/>
      <c r="AX19" s="2038"/>
      <c r="AY19" s="39"/>
      <c r="AZ19" s="39"/>
    </row>
    <row r="20" spans="1:52" s="2690" customFormat="1" ht="16.5" customHeight="1">
      <c r="A20" s="461"/>
      <c r="B20" s="8698" t="s">
        <v>884</v>
      </c>
      <c r="C20" s="8698"/>
      <c r="D20" s="3593"/>
      <c r="E20" s="9588" t="s">
        <v>5742</v>
      </c>
      <c r="F20" s="9588"/>
      <c r="G20" s="9588"/>
      <c r="H20" s="9588"/>
      <c r="I20" s="9588"/>
      <c r="J20" s="9588"/>
      <c r="K20" s="9588"/>
      <c r="L20" s="9588"/>
      <c r="M20" s="9588"/>
      <c r="N20" s="9588"/>
      <c r="O20" s="9588"/>
      <c r="P20" s="9588"/>
      <c r="Q20" s="9588"/>
      <c r="R20" s="9588"/>
      <c r="S20" s="9588"/>
      <c r="T20" s="9588"/>
      <c r="U20" s="9588"/>
      <c r="V20" s="9588"/>
      <c r="W20" s="9588"/>
      <c r="X20" s="9588"/>
      <c r="Y20" s="9588"/>
      <c r="Z20" s="9588"/>
      <c r="AA20" s="9588"/>
      <c r="AB20" s="9588"/>
      <c r="AC20" s="9588"/>
      <c r="AD20" s="9588"/>
      <c r="AE20" s="9588"/>
      <c r="AF20" s="9588"/>
      <c r="AG20" s="9588"/>
      <c r="AH20" s="9588"/>
      <c r="AI20" s="9588"/>
      <c r="AJ20" s="9588"/>
      <c r="AK20" s="461"/>
      <c r="AL20" s="808"/>
      <c r="AM20" s="808"/>
      <c r="AN20" s="808"/>
      <c r="AO20" s="2038"/>
      <c r="AP20" s="3524"/>
      <c r="AQ20" s="2038"/>
      <c r="AR20" s="2038"/>
      <c r="AS20" s="2038"/>
      <c r="AT20" s="2038"/>
      <c r="AU20" s="2038"/>
      <c r="AV20" s="2038"/>
      <c r="AW20" s="2038"/>
      <c r="AX20" s="2038"/>
      <c r="AY20" s="39"/>
      <c r="AZ20" s="39"/>
    </row>
    <row r="21" spans="1:52" s="2690" customFormat="1" ht="16.5" customHeight="1">
      <c r="A21" s="461"/>
      <c r="B21" s="808"/>
      <c r="C21" s="1461"/>
      <c r="D21" s="808"/>
      <c r="E21" s="5822" t="s">
        <v>5743</v>
      </c>
      <c r="F21" s="808"/>
      <c r="G21" s="808"/>
      <c r="H21" s="808"/>
      <c r="I21" s="808"/>
      <c r="J21" s="808"/>
      <c r="K21" s="808"/>
      <c r="L21" s="808"/>
      <c r="M21" s="808"/>
      <c r="N21" s="808"/>
      <c r="O21" s="808"/>
      <c r="P21" s="808"/>
      <c r="Q21" s="808"/>
      <c r="R21" s="808"/>
      <c r="S21" s="808"/>
      <c r="T21" s="808"/>
      <c r="U21" s="808"/>
      <c r="V21" s="808"/>
      <c r="W21" s="808"/>
      <c r="X21" s="808"/>
      <c r="Y21" s="808"/>
      <c r="Z21" s="808"/>
      <c r="AA21" s="808"/>
      <c r="AB21" s="808"/>
      <c r="AC21" s="808"/>
      <c r="AD21" s="808"/>
      <c r="AE21" s="808"/>
      <c r="AF21" s="808"/>
      <c r="AG21" s="808"/>
      <c r="AH21" s="808"/>
      <c r="AI21" s="808"/>
      <c r="AJ21" s="808"/>
      <c r="AK21" s="461"/>
      <c r="AL21" s="808"/>
      <c r="AM21" s="808"/>
      <c r="AN21" s="808"/>
      <c r="AO21" s="2038"/>
      <c r="AP21" s="3524"/>
      <c r="AQ21" s="2038"/>
      <c r="AR21" s="2038"/>
      <c r="AS21" s="2038"/>
      <c r="AT21" s="2038"/>
      <c r="AU21" s="2038"/>
      <c r="AV21" s="2038"/>
      <c r="AW21" s="2038"/>
      <c r="AX21" s="2038"/>
      <c r="AY21" s="39"/>
      <c r="AZ21" s="39"/>
    </row>
    <row r="22" spans="1:52" s="2690" customFormat="1" ht="16.5" customHeight="1">
      <c r="A22" s="461"/>
      <c r="B22" s="808"/>
      <c r="C22" s="1461"/>
      <c r="D22" s="808"/>
      <c r="E22" s="3172" t="s">
        <v>4422</v>
      </c>
      <c r="F22" s="808"/>
      <c r="G22" s="808"/>
      <c r="H22" s="808"/>
      <c r="I22" s="808"/>
      <c r="J22" s="808"/>
      <c r="K22" s="808"/>
      <c r="L22" s="808"/>
      <c r="M22" s="808"/>
      <c r="N22" s="808"/>
      <c r="O22" s="808"/>
      <c r="P22" s="808"/>
      <c r="Q22" s="808"/>
      <c r="R22" s="808"/>
      <c r="S22" s="808"/>
      <c r="T22" s="808"/>
      <c r="U22" s="808"/>
      <c r="V22" s="808"/>
      <c r="W22" s="808"/>
      <c r="X22" s="808"/>
      <c r="Y22" s="808"/>
      <c r="Z22" s="808"/>
      <c r="AA22" s="808"/>
      <c r="AB22" s="808"/>
      <c r="AC22" s="808"/>
      <c r="AD22" s="808"/>
      <c r="AE22" s="808"/>
      <c r="AF22" s="808"/>
      <c r="AG22" s="808"/>
      <c r="AH22" s="808"/>
      <c r="AI22" s="808"/>
      <c r="AJ22" s="808"/>
      <c r="AK22" s="461"/>
      <c r="AL22" s="808"/>
      <c r="AM22" s="808"/>
      <c r="AN22" s="808"/>
      <c r="AO22" s="2038"/>
      <c r="AP22" s="3524"/>
      <c r="AQ22" s="2038"/>
      <c r="AR22" s="2038"/>
      <c r="AS22" s="2038"/>
      <c r="AT22" s="2038"/>
      <c r="AU22" s="2038"/>
      <c r="AV22" s="2038"/>
      <c r="AW22" s="2038"/>
      <c r="AX22" s="2038"/>
      <c r="AY22" s="39"/>
      <c r="AZ22" s="39"/>
    </row>
    <row r="23" spans="1:52" s="2690" customFormat="1" ht="15" customHeight="1">
      <c r="A23" s="461"/>
      <c r="B23" s="808"/>
      <c r="C23" s="1124"/>
      <c r="D23" s="2112"/>
      <c r="E23" s="2334" t="s">
        <v>1806</v>
      </c>
      <c r="F23" s="2112" t="str">
        <f>"You made nondeductible contributions to a traditional IRA for "&amp;TaxYear&amp;"."</f>
        <v>You made nondeductible contributions to a traditional IRA for 2023.</v>
      </c>
      <c r="G23" s="808"/>
      <c r="H23" s="808"/>
      <c r="I23" s="808"/>
      <c r="J23" s="808"/>
      <c r="K23" s="808"/>
      <c r="L23" s="808"/>
      <c r="M23" s="808"/>
      <c r="N23" s="808"/>
      <c r="O23" s="808"/>
      <c r="P23" s="808"/>
      <c r="Q23" s="808"/>
      <c r="R23" s="808"/>
      <c r="S23" s="808"/>
      <c r="T23" s="808"/>
      <c r="U23" s="808"/>
      <c r="V23" s="808"/>
      <c r="W23" s="808"/>
      <c r="X23" s="808"/>
      <c r="Y23" s="808"/>
      <c r="Z23" s="808"/>
      <c r="AA23" s="808"/>
      <c r="AB23" s="808"/>
      <c r="AC23" s="808"/>
      <c r="AD23" s="808"/>
      <c r="AE23" s="808"/>
      <c r="AF23" s="808"/>
      <c r="AG23" s="808"/>
      <c r="AH23" s="808"/>
      <c r="AI23" s="808"/>
      <c r="AJ23" s="808"/>
      <c r="AK23" s="461"/>
      <c r="AL23" s="808"/>
      <c r="AM23" s="808"/>
      <c r="AN23" s="808"/>
      <c r="AO23" s="2038"/>
      <c r="AP23" s="3524"/>
      <c r="AQ23" s="2038"/>
      <c r="AR23" s="2038"/>
      <c r="AS23" s="2038"/>
      <c r="AT23" s="2038"/>
      <c r="AU23" s="2038"/>
      <c r="AV23" s="2038"/>
      <c r="AW23" s="2038"/>
      <c r="AX23" s="2038"/>
      <c r="AY23" s="39"/>
      <c r="AZ23" s="39"/>
    </row>
    <row r="24" spans="1:52" s="2690" customFormat="1" ht="15" customHeight="1">
      <c r="A24" s="461"/>
      <c r="B24" s="808"/>
      <c r="C24" s="1124"/>
      <c r="D24" s="2112"/>
      <c r="E24" s="2334" t="s">
        <v>1806</v>
      </c>
      <c r="F24" s="2112" t="str">
        <f>"You took distributions from a traditional,  SEP,  or  SIMPLE IRA in "&amp;TaxYear</f>
        <v>You took distributions from a traditional,  SEP,  or  SIMPLE IRA in 2023</v>
      </c>
      <c r="G24" s="808"/>
      <c r="H24" s="808"/>
      <c r="I24" s="808"/>
      <c r="J24" s="808"/>
      <c r="K24" s="808"/>
      <c r="L24" s="808"/>
      <c r="M24" s="808"/>
      <c r="N24" s="808"/>
      <c r="O24" s="808"/>
      <c r="P24" s="808"/>
      <c r="Q24" s="808"/>
      <c r="R24" s="808"/>
      <c r="S24" s="808"/>
      <c r="T24" s="808"/>
      <c r="U24" s="808"/>
      <c r="V24" s="808"/>
      <c r="W24" s="2112" t="s">
        <v>4423</v>
      </c>
      <c r="X24" s="808"/>
      <c r="Y24" s="808"/>
      <c r="Z24" s="808"/>
      <c r="AA24" s="808"/>
      <c r="AB24" s="808"/>
      <c r="AC24" s="808"/>
      <c r="AD24" s="808"/>
      <c r="AE24" s="808"/>
      <c r="AF24" s="808"/>
      <c r="AG24" s="808"/>
      <c r="AH24" s="808"/>
      <c r="AI24" s="808"/>
      <c r="AJ24" s="808"/>
      <c r="AK24" s="461"/>
      <c r="AL24" s="808"/>
      <c r="AM24" s="808"/>
      <c r="AN24" s="808"/>
      <c r="AO24" s="2038"/>
      <c r="AP24" s="3524"/>
      <c r="AQ24" s="2038"/>
      <c r="AR24" s="2038"/>
      <c r="AS24" s="2038"/>
      <c r="AT24" s="2038"/>
      <c r="AU24" s="2038"/>
      <c r="AV24" s="2038"/>
      <c r="AW24" s="2038"/>
      <c r="AX24" s="2038"/>
      <c r="AY24" s="39"/>
      <c r="AZ24" s="39"/>
    </row>
    <row r="25" spans="1:52" s="2690" customFormat="1" ht="14.25">
      <c r="A25" s="461"/>
      <c r="B25" s="808"/>
      <c r="C25" s="1461"/>
      <c r="D25" s="808"/>
      <c r="E25" s="808"/>
      <c r="F25" s="2112" t="str">
        <f>"traditional IRA in "&amp;TaxYear&amp;" or an earlier year. For this purpose, a distribution does not include a rollover (other than a"</f>
        <v>traditional IRA in 2023 or an earlier year. For this purpose, a distribution does not include a rollover (other than a</v>
      </c>
      <c r="G25" s="2112"/>
      <c r="H25" s="808"/>
      <c r="I25" s="808"/>
      <c r="J25" s="808"/>
      <c r="K25" s="808"/>
      <c r="L25" s="808"/>
      <c r="M25" s="808"/>
      <c r="N25" s="808"/>
      <c r="O25" s="808"/>
      <c r="P25" s="808"/>
      <c r="Q25" s="808"/>
      <c r="R25" s="808"/>
      <c r="S25" s="808"/>
      <c r="T25" s="808"/>
      <c r="U25" s="808"/>
      <c r="V25" s="808"/>
      <c r="W25" s="808"/>
      <c r="X25" s="808"/>
      <c r="Y25" s="808"/>
      <c r="Z25" s="808"/>
      <c r="AA25" s="808"/>
      <c r="AB25" s="808"/>
      <c r="AC25" s="808"/>
      <c r="AD25" s="808"/>
      <c r="AE25" s="808"/>
      <c r="AF25" s="808"/>
      <c r="AG25" s="808"/>
      <c r="AH25" s="808"/>
      <c r="AI25" s="808"/>
      <c r="AJ25" s="808"/>
      <c r="AK25" s="461"/>
      <c r="AL25" s="808"/>
      <c r="AM25" s="808"/>
      <c r="AN25" s="808"/>
      <c r="AO25" s="2038"/>
      <c r="AP25" s="2038"/>
      <c r="AQ25" s="2038"/>
      <c r="AR25" s="2038"/>
      <c r="AS25" s="2038"/>
      <c r="AT25" s="2038"/>
      <c r="AU25" s="2038"/>
      <c r="AV25" s="2038"/>
      <c r="AW25" s="2038"/>
      <c r="AX25" s="2038"/>
      <c r="AY25" s="39"/>
      <c r="AZ25" s="39"/>
    </row>
    <row r="26" spans="1:52" s="2690" customFormat="1" ht="14.25">
      <c r="A26" s="461"/>
      <c r="B26" s="808"/>
      <c r="C26" s="1461"/>
      <c r="D26" s="808"/>
      <c r="E26" s="808"/>
      <c r="F26" s="2112" t="str">
        <f>"repayment of a qualified disaster distribution, if any, from "&amp;TaxYear&amp;" Form(s) 8915-F (see instructions)), qualified charitable,"</f>
        <v>repayment of a qualified disaster distribution, if any, from 2023 Form(s) 8915-F (see instructions)), qualified charitable,</v>
      </c>
      <c r="G26" s="2112"/>
      <c r="H26" s="808"/>
      <c r="I26" s="808"/>
      <c r="J26" s="808"/>
      <c r="K26" s="808"/>
      <c r="L26" s="808"/>
      <c r="M26" s="808"/>
      <c r="N26" s="808"/>
      <c r="O26" s="808"/>
      <c r="P26" s="808"/>
      <c r="Q26" s="808"/>
      <c r="R26" s="808"/>
      <c r="S26" s="808"/>
      <c r="T26" s="808"/>
      <c r="U26" s="808"/>
      <c r="V26" s="808"/>
      <c r="W26" s="808"/>
      <c r="X26" s="808"/>
      <c r="Y26" s="808"/>
      <c r="Z26" s="808"/>
      <c r="AA26" s="808"/>
      <c r="AB26" s="808"/>
      <c r="AC26" s="808"/>
      <c r="AD26" s="808"/>
      <c r="AE26" s="808"/>
      <c r="AF26" s="808"/>
      <c r="AG26" s="808"/>
      <c r="AH26" s="808"/>
      <c r="AI26" s="808"/>
      <c r="AJ26" s="808"/>
      <c r="AK26" s="461"/>
      <c r="AL26" s="808"/>
      <c r="AM26" s="808"/>
      <c r="AN26" s="808"/>
      <c r="AO26" s="2038"/>
      <c r="AP26" s="2038"/>
      <c r="AQ26" s="2038"/>
      <c r="AR26" s="2038"/>
      <c r="AS26" s="2038"/>
      <c r="AT26" s="2038"/>
      <c r="AU26" s="2038"/>
      <c r="AV26" s="2038"/>
      <c r="AW26" s="2038"/>
      <c r="AX26" s="2038"/>
      <c r="AY26" s="39"/>
      <c r="AZ26" s="39"/>
    </row>
    <row r="27" spans="1:52" s="2690" customFormat="1" ht="14.25">
      <c r="A27" s="461"/>
      <c r="B27" s="808"/>
      <c r="C27" s="1461"/>
      <c r="D27" s="808"/>
      <c r="E27" s="808"/>
      <c r="F27" s="2112" t="s">
        <v>4454</v>
      </c>
      <c r="G27" s="2112"/>
      <c r="H27" s="808"/>
      <c r="I27" s="808"/>
      <c r="J27" s="808"/>
      <c r="K27" s="808"/>
      <c r="L27" s="808"/>
      <c r="M27" s="808"/>
      <c r="N27" s="808"/>
      <c r="O27" s="808"/>
      <c r="P27" s="808"/>
      <c r="Q27" s="808"/>
      <c r="R27" s="808"/>
      <c r="S27" s="808"/>
      <c r="T27" s="808"/>
      <c r="U27" s="808"/>
      <c r="V27" s="808"/>
      <c r="W27" s="808"/>
      <c r="X27" s="808"/>
      <c r="Y27" s="808"/>
      <c r="Z27" s="808"/>
      <c r="AA27" s="808"/>
      <c r="AB27" s="808"/>
      <c r="AC27" s="808"/>
      <c r="AD27" s="808"/>
      <c r="AE27" s="808"/>
      <c r="AF27" s="808"/>
      <c r="AG27" s="808"/>
      <c r="AH27" s="808"/>
      <c r="AI27" s="808"/>
      <c r="AJ27" s="808"/>
      <c r="AK27" s="461"/>
      <c r="AL27" s="808"/>
      <c r="AM27" s="808"/>
      <c r="AN27" s="808"/>
      <c r="AO27" s="2038"/>
      <c r="AP27" s="2038"/>
      <c r="AQ27" s="2038"/>
      <c r="AR27" s="2038"/>
      <c r="AS27" s="2038"/>
      <c r="AT27" s="2038"/>
      <c r="AU27" s="2038"/>
      <c r="AV27" s="2038"/>
      <c r="AW27" s="2038"/>
      <c r="AX27" s="2038"/>
      <c r="AY27" s="39"/>
      <c r="AZ27" s="39"/>
    </row>
    <row r="28" spans="1:52" s="2690" customFormat="1" ht="16.5" customHeight="1">
      <c r="A28" s="461"/>
      <c r="B28" s="808"/>
      <c r="C28" s="1461"/>
      <c r="D28" s="808"/>
      <c r="E28" s="2334" t="s">
        <v>1806</v>
      </c>
      <c r="F28" s="2112" t="str">
        <f>"You converted part, but not all, of your traditional, SEP, and SIMPLE IRAs to Roth IRAs in "&amp;TaxYear</f>
        <v>You converted part, but not all, of your traditional, SEP, and SIMPLE IRAs to Roth IRAs in 2023</v>
      </c>
      <c r="G28" s="2112"/>
      <c r="H28" s="808"/>
      <c r="I28" s="808"/>
      <c r="J28" s="808"/>
      <c r="K28" s="808"/>
      <c r="L28" s="808"/>
      <c r="M28" s="808"/>
      <c r="N28" s="808"/>
      <c r="O28" s="808"/>
      <c r="P28" s="808"/>
      <c r="Q28" s="808"/>
      <c r="R28" s="808"/>
      <c r="S28" s="808"/>
      <c r="T28" s="808"/>
      <c r="U28" s="808"/>
      <c r="V28" s="808"/>
      <c r="W28" s="808"/>
      <c r="X28" s="808"/>
      <c r="Y28" s="808"/>
      <c r="Z28" s="808"/>
      <c r="AA28" s="808"/>
      <c r="AB28" s="808"/>
      <c r="AC28" s="2112" t="s">
        <v>4425</v>
      </c>
      <c r="AD28" s="808"/>
      <c r="AE28" s="808"/>
      <c r="AF28" s="808"/>
      <c r="AG28" s="808"/>
      <c r="AH28" s="808"/>
      <c r="AI28" s="808"/>
      <c r="AJ28" s="808"/>
      <c r="AK28" s="461"/>
      <c r="AL28" s="808"/>
      <c r="AM28" s="808"/>
      <c r="AN28" s="808"/>
      <c r="AO28" s="2038"/>
      <c r="AP28" s="2038"/>
      <c r="AQ28" s="2038"/>
      <c r="AR28" s="2038"/>
      <c r="AS28" s="2038"/>
      <c r="AT28" s="2038"/>
      <c r="AU28" s="2038"/>
      <c r="AV28" s="2038"/>
      <c r="AW28" s="2038"/>
      <c r="AX28" s="2038"/>
      <c r="AY28" s="39"/>
      <c r="AZ28" s="39"/>
    </row>
    <row r="29" spans="1:52" s="2690" customFormat="1" ht="14.25">
      <c r="A29" s="461"/>
      <c r="B29" s="1121"/>
      <c r="C29" s="3598"/>
      <c r="D29" s="1121"/>
      <c r="E29" s="1121"/>
      <c r="F29" s="2190" t="str">
        <f>"nondeductible contributions to a traditional IRA in "&amp;TaxYear&amp;" or an earlier year."</f>
        <v>nondeductible contributions to a traditional IRA in 2023 or an earlier year.</v>
      </c>
      <c r="G29" s="2190"/>
      <c r="H29" s="1121"/>
      <c r="I29" s="1121"/>
      <c r="J29" s="1121"/>
      <c r="K29" s="1121"/>
      <c r="L29" s="1121"/>
      <c r="M29" s="1121"/>
      <c r="N29" s="1121"/>
      <c r="O29" s="1121"/>
      <c r="P29" s="1121"/>
      <c r="Q29" s="1121"/>
      <c r="R29" s="1121"/>
      <c r="S29" s="1121"/>
      <c r="T29" s="1121"/>
      <c r="U29" s="1121"/>
      <c r="V29" s="1121"/>
      <c r="W29" s="1121"/>
      <c r="X29" s="1121"/>
      <c r="Y29" s="1121"/>
      <c r="Z29" s="1121"/>
      <c r="AA29" s="1121"/>
      <c r="AB29" s="1121"/>
      <c r="AC29" s="1121"/>
      <c r="AD29" s="1121"/>
      <c r="AE29" s="1121"/>
      <c r="AF29" s="1121"/>
      <c r="AG29" s="1121"/>
      <c r="AH29" s="1121"/>
      <c r="AI29" s="1121"/>
      <c r="AJ29" s="1121"/>
      <c r="AK29" s="461"/>
      <c r="AL29" s="808"/>
      <c r="AM29" s="808"/>
      <c r="AN29" s="808"/>
      <c r="AO29" s="2038"/>
      <c r="AP29" s="2038"/>
      <c r="AQ29" s="2038"/>
      <c r="AR29" s="2038"/>
      <c r="AS29" s="2038"/>
      <c r="AT29" s="2038"/>
      <c r="AU29" s="2038"/>
      <c r="AV29" s="2038"/>
      <c r="AW29" s="2038"/>
      <c r="AX29" s="2038"/>
      <c r="AY29" s="39"/>
      <c r="AZ29" s="39"/>
    </row>
    <row r="30" spans="1:52" s="2690" customFormat="1" ht="15.75">
      <c r="A30" s="461"/>
      <c r="B30" s="808"/>
      <c r="C30" s="3644" t="s">
        <v>252</v>
      </c>
      <c r="D30" s="2112" t="str">
        <f>"Enter your nondeductible contributions to traditional IRAs for "&amp;TaxYear&amp;", including those made for "&amp;TaxYear</f>
        <v>Enter your nondeductible contributions to traditional IRAs for 2023, including those made for 2023</v>
      </c>
      <c r="E30" s="808"/>
      <c r="F30" s="2112"/>
      <c r="G30" s="2112"/>
      <c r="H30" s="808"/>
      <c r="I30" s="808"/>
      <c r="J30" s="808"/>
      <c r="K30" s="808"/>
      <c r="L30" s="808"/>
      <c r="M30" s="808"/>
      <c r="N30" s="808"/>
      <c r="O30" s="808"/>
      <c r="P30" s="808"/>
      <c r="Q30" s="808"/>
      <c r="R30" s="808"/>
      <c r="S30" s="808"/>
      <c r="T30" s="808"/>
      <c r="U30" s="808"/>
      <c r="V30" s="808"/>
      <c r="W30" s="808"/>
      <c r="X30" s="808"/>
      <c r="Y30" s="808"/>
      <c r="Z30" s="808"/>
      <c r="AA30" s="808"/>
      <c r="AB30" s="808"/>
      <c r="AC30" s="808"/>
      <c r="AD30" s="1126"/>
      <c r="AE30" s="9584"/>
      <c r="AF30" s="9585"/>
      <c r="AG30" s="9585"/>
      <c r="AH30" s="9585"/>
      <c r="AI30" s="9585"/>
      <c r="AJ30" s="9585"/>
      <c r="AK30" s="461"/>
      <c r="AL30" s="808"/>
      <c r="AM30" s="808"/>
      <c r="AN30" s="808"/>
      <c r="AO30" s="2038"/>
      <c r="AP30" s="2038"/>
      <c r="AQ30" s="2038"/>
      <c r="AR30" s="2038"/>
      <c r="AS30" s="2038"/>
      <c r="AT30" s="2038"/>
      <c r="AU30" s="2038"/>
      <c r="AV30" s="2038"/>
      <c r="AW30" s="2038"/>
      <c r="AX30" s="2038"/>
      <c r="AY30" s="39"/>
      <c r="AZ30" s="39"/>
    </row>
    <row r="31" spans="1:52" s="2690" customFormat="1" ht="15" customHeight="1">
      <c r="A31" s="461"/>
      <c r="B31" s="808"/>
      <c r="C31" s="3045"/>
      <c r="D31" s="2112" t="str">
        <f>"from January 1, "&amp;TaxYear+1&amp;", through "&amp;TEXT(TaxDay,"mmmm dd")&amp;", "&amp;TaxYear+1&amp;". See instructions"</f>
        <v>from January 1, 2024, through April 15, 2024. See instructions</v>
      </c>
      <c r="E31" s="808"/>
      <c r="F31" s="808"/>
      <c r="G31" s="808"/>
      <c r="H31" s="808"/>
      <c r="I31" s="808"/>
      <c r="J31" s="808"/>
      <c r="K31" s="808"/>
      <c r="L31" s="808"/>
      <c r="M31" s="808"/>
      <c r="N31" s="808"/>
      <c r="O31" s="808"/>
      <c r="P31" s="808"/>
      <c r="Q31" s="808"/>
      <c r="R31" s="808"/>
      <c r="S31" s="808"/>
      <c r="T31" s="808"/>
      <c r="U31" s="808"/>
      <c r="V31" s="808"/>
      <c r="W31" s="808"/>
      <c r="X31" s="808"/>
      <c r="Y31" s="808"/>
      <c r="Z31" s="808"/>
      <c r="AA31" s="808"/>
      <c r="AB31" s="808"/>
      <c r="AC31" s="3281" t="s">
        <v>650</v>
      </c>
      <c r="AD31" s="1125">
        <v>1</v>
      </c>
      <c r="AE31" s="9594"/>
      <c r="AF31" s="9602"/>
      <c r="AG31" s="9602"/>
      <c r="AH31" s="9602"/>
      <c r="AI31" s="9602"/>
      <c r="AJ31" s="9602"/>
      <c r="AK31" s="461"/>
      <c r="AL31" s="808"/>
      <c r="AM31" s="900" t="b">
        <f>AND(AE31="",AE32="")</f>
        <v>1</v>
      </c>
      <c r="AN31" s="808"/>
      <c r="AO31" s="2038"/>
      <c r="AP31" s="2038"/>
      <c r="AQ31" s="2038"/>
      <c r="AR31" s="2038"/>
      <c r="AS31" s="2038"/>
      <c r="AT31" s="2038"/>
      <c r="AU31" s="2038"/>
      <c r="AV31" s="2038"/>
      <c r="AW31" s="2038"/>
      <c r="AX31" s="2038"/>
      <c r="AY31" s="39"/>
      <c r="AZ31" s="39"/>
    </row>
    <row r="32" spans="1:52" s="2690" customFormat="1" ht="15.75" customHeight="1" thickBot="1">
      <c r="A32" s="461"/>
      <c r="B32" s="808"/>
      <c r="C32" s="3644" t="s">
        <v>254</v>
      </c>
      <c r="D32" s="2112" t="s">
        <v>4426</v>
      </c>
      <c r="E32" s="808"/>
      <c r="F32" s="808"/>
      <c r="G32" s="808"/>
      <c r="H32" s="808"/>
      <c r="I32" s="808"/>
      <c r="J32" s="808"/>
      <c r="K32" s="808"/>
      <c r="L32" s="808"/>
      <c r="M32" s="808"/>
      <c r="N32" s="808"/>
      <c r="O32" s="808"/>
      <c r="P32" s="808"/>
      <c r="Q32" s="808"/>
      <c r="R32" s="808"/>
      <c r="S32" s="808"/>
      <c r="T32" s="808"/>
      <c r="U32" s="808"/>
      <c r="V32" s="808"/>
      <c r="W32" s="808"/>
      <c r="X32" s="808"/>
      <c r="Y32" s="808"/>
      <c r="Z32" s="808"/>
      <c r="AA32" s="808"/>
      <c r="AB32" s="808"/>
      <c r="AC32" s="3281" t="s">
        <v>2521</v>
      </c>
      <c r="AD32" s="1125">
        <v>2</v>
      </c>
      <c r="AE32" s="9594"/>
      <c r="AF32" s="9602"/>
      <c r="AG32" s="9602"/>
      <c r="AH32" s="9602"/>
      <c r="AI32" s="9602"/>
      <c r="AJ32" s="9602"/>
      <c r="AK32" s="461"/>
      <c r="AL32" s="1376"/>
      <c r="AM32" s="3431" t="b">
        <f>NOT(AM31)</f>
        <v>0</v>
      </c>
      <c r="AN32" s="808"/>
      <c r="AO32" s="2038"/>
      <c r="AP32" s="2038"/>
      <c r="AQ32" s="2038"/>
      <c r="AR32" s="2038"/>
      <c r="AS32" s="2038"/>
      <c r="AT32" s="2038"/>
      <c r="AU32" s="2038"/>
      <c r="AV32" s="2038"/>
      <c r="AW32" s="2038"/>
      <c r="AX32" s="2038"/>
      <c r="AY32" s="39"/>
      <c r="AZ32" s="39"/>
    </row>
    <row r="33" spans="1:52" s="2690" customFormat="1" ht="15" customHeight="1" thickBot="1">
      <c r="A33" s="461"/>
      <c r="B33" s="808"/>
      <c r="C33" s="3644" t="s">
        <v>256</v>
      </c>
      <c r="D33" s="2112" t="s">
        <v>3463</v>
      </c>
      <c r="E33" s="808"/>
      <c r="F33" s="808"/>
      <c r="G33" s="808"/>
      <c r="H33" s="808"/>
      <c r="I33" s="808"/>
      <c r="J33" s="808"/>
      <c r="K33" s="808"/>
      <c r="L33" s="808"/>
      <c r="M33" s="808"/>
      <c r="N33" s="808"/>
      <c r="O33" s="808"/>
      <c r="P33" s="808"/>
      <c r="Q33" s="808"/>
      <c r="R33" s="808"/>
      <c r="S33" s="808"/>
      <c r="T33" s="808"/>
      <c r="U33" s="808"/>
      <c r="V33" s="808"/>
      <c r="W33" s="808"/>
      <c r="X33" s="808"/>
      <c r="Y33" s="808"/>
      <c r="Z33" s="808"/>
      <c r="AA33" s="808"/>
      <c r="AB33" s="808"/>
      <c r="AC33" s="3281" t="s">
        <v>2170</v>
      </c>
      <c r="AD33" s="1125">
        <v>3</v>
      </c>
      <c r="AE33" s="9586" t="str">
        <f>IF(AM31,"",SUM(AE31:AE32))</f>
        <v/>
      </c>
      <c r="AF33" s="9587"/>
      <c r="AG33" s="9587"/>
      <c r="AH33" s="9587"/>
      <c r="AI33" s="9587"/>
      <c r="AJ33" s="9587"/>
      <c r="AK33" s="461"/>
      <c r="AL33" s="3590"/>
      <c r="AM33" s="1459" t="str">
        <f>IF(OR(AL33&lt;&gt;"",AND(AL37="",NOT(AM35))),"Override 'No.'","")</f>
        <v/>
      </c>
      <c r="AN33" s="808"/>
      <c r="AO33" s="2038"/>
      <c r="AP33" s="2038"/>
      <c r="AQ33" s="2038"/>
      <c r="AR33" s="2038"/>
      <c r="AS33" s="2038"/>
      <c r="AT33" s="2038"/>
      <c r="AU33" s="2038"/>
      <c r="AV33" s="2038"/>
      <c r="AW33" s="2038"/>
      <c r="AX33" s="2038"/>
      <c r="AY33" s="39"/>
      <c r="AZ33" s="39"/>
    </row>
    <row r="34" spans="1:52" s="2690" customFormat="1" ht="17.25" customHeight="1" thickBot="1">
      <c r="A34" s="461"/>
      <c r="B34" s="808"/>
      <c r="C34" s="3644"/>
      <c r="D34" s="9622"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34" s="6598"/>
      <c r="F34" s="6598"/>
      <c r="G34" s="6598"/>
      <c r="H34" s="6598"/>
      <c r="I34" s="6598"/>
      <c r="J34" s="6598"/>
      <c r="K34" s="6598"/>
      <c r="L34" s="6598"/>
      <c r="M34" s="9623"/>
      <c r="N34" s="895"/>
      <c r="O34" s="896"/>
      <c r="P34" s="9599" t="s">
        <v>609</v>
      </c>
      <c r="Q34" s="9599"/>
      <c r="R34" s="896"/>
      <c r="S34" s="896"/>
      <c r="T34" s="2112" t="s">
        <v>4427</v>
      </c>
      <c r="U34" s="808"/>
      <c r="V34" s="808"/>
      <c r="W34" s="808"/>
      <c r="X34" s="808"/>
      <c r="Y34" s="808"/>
      <c r="Z34" s="808"/>
      <c r="AA34" s="808"/>
      <c r="AB34" s="808"/>
      <c r="AC34" s="1151"/>
      <c r="AD34" s="1129"/>
      <c r="AE34" s="900"/>
      <c r="AF34" s="900"/>
      <c r="AG34" s="900"/>
      <c r="AH34" s="900"/>
      <c r="AI34" s="900"/>
      <c r="AJ34" s="900"/>
      <c r="AK34" s="461"/>
      <c r="AL34" s="1413" t="str">
        <f>IF(AL37&lt;&gt;"","",IF(AL33&lt;&gt;"","X",IF(OR(AND(AL11&lt;&gt;"",OR('1099-R'!$M$4&gt;0,IRA_CONV_YOU&gt;0)),AND(AL12&lt;&gt;"",OR('1099-R'!$M$31&gt;0,IRA_CONV_SPOUSE&gt;0))),"","X")))</f>
        <v>X</v>
      </c>
      <c r="AM34" s="1459" t="s">
        <v>1067</v>
      </c>
      <c r="AN34" s="808"/>
      <c r="AO34" s="2038"/>
      <c r="AP34" s="2038"/>
      <c r="AQ34" s="2038"/>
      <c r="AR34" s="2038"/>
      <c r="AS34" s="2038"/>
      <c r="AT34" s="2038"/>
      <c r="AU34" s="2038"/>
      <c r="AV34" s="2038"/>
      <c r="AW34" s="2038"/>
      <c r="AX34" s="2038"/>
      <c r="AY34" s="39"/>
      <c r="AZ34" s="39"/>
    </row>
    <row r="35" spans="1:52" s="2690" customFormat="1" ht="12" customHeight="1" thickBot="1">
      <c r="A35" s="461"/>
      <c r="B35" s="808"/>
      <c r="C35" s="3045"/>
      <c r="D35" s="9624"/>
      <c r="E35" s="6599"/>
      <c r="F35" s="6599"/>
      <c r="G35" s="6599"/>
      <c r="H35" s="6599"/>
      <c r="I35" s="6599"/>
      <c r="J35" s="6599"/>
      <c r="K35" s="6599"/>
      <c r="L35" s="6599"/>
      <c r="M35" s="9625"/>
      <c r="N35" s="808"/>
      <c r="O35" s="808"/>
      <c r="P35" s="9599"/>
      <c r="Q35" s="9599"/>
      <c r="R35" s="808"/>
      <c r="S35" s="808"/>
      <c r="T35" s="2645" t="s">
        <v>4428</v>
      </c>
      <c r="U35" s="808"/>
      <c r="V35" s="808"/>
      <c r="W35" s="1128"/>
      <c r="X35" s="808"/>
      <c r="Y35" s="808"/>
      <c r="Z35" s="808"/>
      <c r="AA35" s="808"/>
      <c r="AB35" s="808"/>
      <c r="AC35" s="808"/>
      <c r="AD35" s="1129"/>
      <c r="AE35" s="900"/>
      <c r="AF35" s="900"/>
      <c r="AG35" s="900"/>
      <c r="AH35" s="900"/>
      <c r="AI35" s="900"/>
      <c r="AJ35" s="900"/>
      <c r="AK35" s="461"/>
      <c r="AL35" s="1376"/>
      <c r="AM35" s="3431" t="b">
        <f>(AL34&lt;&gt;"")</f>
        <v>1</v>
      </c>
      <c r="AN35" s="808"/>
      <c r="AO35" s="2038"/>
      <c r="AP35" s="2038"/>
      <c r="AQ35" s="2038"/>
      <c r="AR35" s="2038"/>
      <c r="AS35" s="2038"/>
      <c r="AT35" s="2038"/>
      <c r="AU35" s="2038"/>
      <c r="AV35" s="2038"/>
      <c r="AW35" s="2038"/>
      <c r="AX35" s="2038"/>
      <c r="AY35" s="39"/>
      <c r="AZ35" s="39"/>
    </row>
    <row r="36" spans="1:52" s="2690" customFormat="1" ht="11.25" customHeight="1" thickBot="1">
      <c r="A36" s="461"/>
      <c r="B36" s="808"/>
      <c r="C36" s="3045"/>
      <c r="D36" s="9624"/>
      <c r="E36" s="6599"/>
      <c r="F36" s="6599"/>
      <c r="G36" s="6599"/>
      <c r="H36" s="6599"/>
      <c r="I36" s="6599"/>
      <c r="J36" s="6599"/>
      <c r="K36" s="6599"/>
      <c r="L36" s="6599"/>
      <c r="M36" s="9625"/>
      <c r="N36" s="808"/>
      <c r="O36" s="808"/>
      <c r="P36" s="7834" t="s">
        <v>608</v>
      </c>
      <c r="Q36" s="7834"/>
      <c r="R36" s="808"/>
      <c r="S36" s="808"/>
      <c r="T36" s="9600" t="s">
        <v>4429</v>
      </c>
      <c r="U36" s="9600"/>
      <c r="V36" s="9600"/>
      <c r="W36" s="9600"/>
      <c r="X36" s="9600"/>
      <c r="Y36" s="9600"/>
      <c r="Z36" s="9600"/>
      <c r="AA36" s="9600"/>
      <c r="AB36" s="9600"/>
      <c r="AC36" s="9601"/>
      <c r="AD36" s="1129"/>
      <c r="AE36" s="900"/>
      <c r="AF36" s="900"/>
      <c r="AG36" s="900"/>
      <c r="AH36" s="900"/>
      <c r="AI36" s="900"/>
      <c r="AJ36" s="900"/>
      <c r="AK36" s="461"/>
      <c r="AL36" s="1413" t="str">
        <f>IF(AL37&lt;&gt;"","X",IF(AM35,"","X"))</f>
        <v/>
      </c>
      <c r="AM36" s="1459" t="s">
        <v>1069</v>
      </c>
      <c r="AN36" s="808"/>
      <c r="AO36" s="2038"/>
      <c r="AP36" s="2038"/>
      <c r="AQ36" s="2038"/>
      <c r="AR36" s="2038"/>
      <c r="AS36" s="2038"/>
      <c r="AT36" s="2038"/>
      <c r="AU36" s="2038"/>
      <c r="AV36" s="2038"/>
      <c r="AW36" s="2038"/>
      <c r="AX36" s="2038"/>
      <c r="AY36" s="39"/>
      <c r="AZ36" s="39"/>
    </row>
    <row r="37" spans="1:52" s="2690" customFormat="1" ht="10.5" customHeight="1" thickBot="1">
      <c r="A37" s="461"/>
      <c r="B37" s="808"/>
      <c r="C37" s="3045"/>
      <c r="D37" s="9626"/>
      <c r="E37" s="6600"/>
      <c r="F37" s="6600"/>
      <c r="G37" s="6600"/>
      <c r="H37" s="6600"/>
      <c r="I37" s="6600"/>
      <c r="J37" s="6600"/>
      <c r="K37" s="6600"/>
      <c r="L37" s="6600"/>
      <c r="M37" s="9627"/>
      <c r="N37" s="889"/>
      <c r="O37" s="890"/>
      <c r="P37" s="7834"/>
      <c r="Q37" s="7834"/>
      <c r="R37" s="890"/>
      <c r="S37" s="890"/>
      <c r="T37" s="9600"/>
      <c r="U37" s="9600"/>
      <c r="V37" s="9600"/>
      <c r="W37" s="9600"/>
      <c r="X37" s="9600"/>
      <c r="Y37" s="9600"/>
      <c r="Z37" s="9600"/>
      <c r="AA37" s="9600"/>
      <c r="AB37" s="9600"/>
      <c r="AC37" s="9601"/>
      <c r="AD37" s="1129"/>
      <c r="AE37" s="900"/>
      <c r="AF37" s="900"/>
      <c r="AG37" s="900"/>
      <c r="AH37" s="900"/>
      <c r="AI37" s="900"/>
      <c r="AJ37" s="900"/>
      <c r="AK37" s="461"/>
      <c r="AL37" s="3590"/>
      <c r="AM37" s="1459" t="str">
        <f>IF(AND(AL33="",OR(AL37&lt;&gt;"",AM35)),"Override 'Yes.'","")</f>
        <v>Override 'Yes.'</v>
      </c>
      <c r="AN37" s="808"/>
      <c r="AO37" s="2038"/>
      <c r="AP37" s="2038"/>
      <c r="AQ37" s="2038"/>
      <c r="AR37" s="2038"/>
      <c r="AS37" s="2038"/>
      <c r="AT37" s="2038"/>
      <c r="AU37" s="2038"/>
      <c r="AV37" s="2038"/>
      <c r="AW37" s="2038"/>
      <c r="AX37" s="2038"/>
      <c r="AY37" s="39"/>
      <c r="AZ37" s="39"/>
    </row>
    <row r="38" spans="1:52" s="2690" customFormat="1" ht="15" customHeight="1">
      <c r="A38" s="461"/>
      <c r="B38" s="808"/>
      <c r="C38" s="3644" t="s">
        <v>259</v>
      </c>
      <c r="D38" s="2112" t="str">
        <f>"Enter those contributions included on line 1 that were made from January 1, "&amp;TaxYear+1&amp;", through "&amp;TEXT(TaxDay,"mmmm dd")&amp;", "&amp;TaxYear+1</f>
        <v>Enter those contributions included on line 1 that were made from January 1, 2024, through April 15, 2024</v>
      </c>
      <c r="E38" s="2112"/>
      <c r="F38" s="808"/>
      <c r="G38" s="808"/>
      <c r="H38" s="808"/>
      <c r="I38" s="808"/>
      <c r="J38" s="808"/>
      <c r="K38" s="808"/>
      <c r="L38" s="808"/>
      <c r="M38" s="808"/>
      <c r="N38" s="808"/>
      <c r="O38" s="808"/>
      <c r="P38" s="808"/>
      <c r="Q38" s="808"/>
      <c r="R38" s="808"/>
      <c r="S38" s="808"/>
      <c r="T38" s="808"/>
      <c r="U38" s="808"/>
      <c r="V38" s="808"/>
      <c r="W38" s="1128"/>
      <c r="X38" s="808"/>
      <c r="Y38" s="808"/>
      <c r="Z38" s="808"/>
      <c r="AA38" s="808"/>
      <c r="AB38" s="808"/>
      <c r="AC38" s="808"/>
      <c r="AD38" s="1125">
        <v>4</v>
      </c>
      <c r="AE38" s="9594"/>
      <c r="AF38" s="9602"/>
      <c r="AG38" s="9602"/>
      <c r="AH38" s="9602"/>
      <c r="AI38" s="9602"/>
      <c r="AJ38" s="9602"/>
      <c r="AK38" s="461"/>
      <c r="AL38" s="1376"/>
      <c r="AM38" s="1376"/>
      <c r="AN38" s="808"/>
      <c r="AO38" s="2038"/>
      <c r="AP38" s="2038"/>
      <c r="AQ38" s="2038"/>
      <c r="AR38" s="2038"/>
      <c r="AS38" s="2038"/>
      <c r="AT38" s="2038"/>
      <c r="AU38" s="2038"/>
      <c r="AV38" s="2038"/>
      <c r="AW38" s="2038"/>
      <c r="AX38" s="2038"/>
      <c r="AY38" s="39"/>
      <c r="AZ38" s="39"/>
    </row>
    <row r="39" spans="1:52" s="2690" customFormat="1" ht="15.75" customHeight="1">
      <c r="A39" s="461"/>
      <c r="B39" s="808"/>
      <c r="C39" s="3644" t="s">
        <v>261</v>
      </c>
      <c r="D39" s="2112" t="s">
        <v>4098</v>
      </c>
      <c r="E39" s="808"/>
      <c r="F39" s="808"/>
      <c r="G39" s="808"/>
      <c r="H39" s="808"/>
      <c r="I39" s="808"/>
      <c r="J39" s="808"/>
      <c r="K39" s="808"/>
      <c r="L39" s="808"/>
      <c r="M39" s="808"/>
      <c r="N39" s="808"/>
      <c r="O39" s="808"/>
      <c r="P39" s="808"/>
      <c r="Q39" s="808"/>
      <c r="R39" s="808"/>
      <c r="S39" s="808"/>
      <c r="T39" s="808"/>
      <c r="U39" s="808"/>
      <c r="V39" s="808"/>
      <c r="W39" s="808"/>
      <c r="X39" s="808"/>
      <c r="Y39" s="808"/>
      <c r="Z39" s="808"/>
      <c r="AA39" s="808"/>
      <c r="AB39" s="808"/>
      <c r="AC39" s="3281" t="s">
        <v>4204</v>
      </c>
      <c r="AD39" s="1125">
        <v>5</v>
      </c>
      <c r="AE39" s="9586" t="str">
        <f>IF(AM31,"",IF(AM35,"",MAX(0,SUM(AE33,-ROUND(AE38,0)))))</f>
        <v/>
      </c>
      <c r="AF39" s="9587"/>
      <c r="AG39" s="9587"/>
      <c r="AH39" s="9587"/>
      <c r="AI39" s="9587"/>
      <c r="AJ39" s="9587"/>
      <c r="AK39" s="461"/>
      <c r="AL39" s="3591"/>
      <c r="AM39" s="1376"/>
      <c r="AN39" s="808"/>
      <c r="AO39" s="2038"/>
      <c r="AP39" s="2038"/>
      <c r="AQ39" s="2038"/>
      <c r="AR39" s="2038"/>
      <c r="AS39" s="2038"/>
      <c r="AT39" s="2038"/>
      <c r="AU39" s="2038"/>
      <c r="AV39" s="2038"/>
      <c r="AW39" s="2038"/>
      <c r="AX39" s="2038"/>
      <c r="AY39" s="39"/>
      <c r="AZ39" s="39"/>
    </row>
    <row r="40" spans="1:52" s="2690" customFormat="1" ht="15" customHeight="1">
      <c r="A40" s="461"/>
      <c r="B40" s="808"/>
      <c r="C40" s="3644" t="s">
        <v>263</v>
      </c>
      <c r="D40" s="2112" t="s">
        <v>4430</v>
      </c>
      <c r="E40" s="808"/>
      <c r="F40" s="808"/>
      <c r="G40" s="808"/>
      <c r="H40" s="808"/>
      <c r="I40" s="808"/>
      <c r="J40" s="808"/>
      <c r="K40" s="808"/>
      <c r="L40" s="808"/>
      <c r="M40" s="808"/>
      <c r="N40" s="808"/>
      <c r="O40" s="808"/>
      <c r="P40" s="808"/>
      <c r="Q40" s="808"/>
      <c r="R40" s="808"/>
      <c r="S40" s="808"/>
      <c r="T40" s="808"/>
      <c r="U40" s="808"/>
      <c r="V40" s="808"/>
      <c r="W40" s="1126"/>
      <c r="X40" s="808"/>
      <c r="Y40" s="808"/>
      <c r="Z40" s="808"/>
      <c r="AA40" s="808"/>
      <c r="AB40" s="808"/>
      <c r="AC40" s="808"/>
      <c r="AD40" s="1129"/>
      <c r="AE40" s="3422"/>
      <c r="AF40" s="900"/>
      <c r="AG40" s="900"/>
      <c r="AH40" s="900"/>
      <c r="AI40" s="900"/>
      <c r="AJ40" s="900"/>
      <c r="AK40" s="461"/>
      <c r="AL40" s="3591" t="str">
        <f>IF(AND(OR(AE38&lt;&gt;"",SUM(AL42,AL48,AL50,AL63)&gt;0),AM35)," Do not complete the","")</f>
        <v/>
      </c>
      <c r="AM40" s="808"/>
      <c r="AN40" s="808"/>
      <c r="AO40" s="2038"/>
      <c r="AP40" s="2038"/>
      <c r="AQ40" s="2038"/>
      <c r="AR40" s="2038"/>
      <c r="AS40" s="2038"/>
      <c r="AT40" s="2038"/>
      <c r="AU40" s="2038"/>
      <c r="AV40" s="2038"/>
      <c r="AW40" s="2038"/>
      <c r="AX40" s="2038"/>
      <c r="AY40" s="39"/>
      <c r="AZ40" s="39"/>
    </row>
    <row r="41" spans="1:52" s="2690" customFormat="1" ht="15" customHeight="1">
      <c r="A41" s="461"/>
      <c r="B41" s="808"/>
      <c r="C41" s="3045"/>
      <c r="D41" s="2112" t="str">
        <f>TaxYear&amp;", plus any outstanding rollovers. Subtract any repayments of qualified"</f>
        <v>2023, plus any outstanding rollovers. Subtract any repayments of qualified</v>
      </c>
      <c r="E41" s="808"/>
      <c r="F41" s="808"/>
      <c r="G41" s="808"/>
      <c r="H41" s="808"/>
      <c r="I41" s="808"/>
      <c r="J41" s="808"/>
      <c r="K41" s="808"/>
      <c r="L41" s="808"/>
      <c r="M41" s="808"/>
      <c r="N41" s="808"/>
      <c r="O41" s="808"/>
      <c r="P41" s="808"/>
      <c r="Q41" s="808"/>
      <c r="R41" s="808"/>
      <c r="S41" s="808"/>
      <c r="T41" s="808"/>
      <c r="U41" s="808"/>
      <c r="V41" s="808"/>
      <c r="W41" s="2387"/>
      <c r="X41" s="808"/>
      <c r="Y41" s="808"/>
      <c r="Z41" s="808"/>
      <c r="AA41" s="808"/>
      <c r="AB41" s="808"/>
      <c r="AC41" s="808"/>
      <c r="AD41" s="1129"/>
      <c r="AE41" s="3422"/>
      <c r="AF41" s="900"/>
      <c r="AG41" s="900"/>
      <c r="AH41" s="900"/>
      <c r="AI41" s="900"/>
      <c r="AJ41" s="900"/>
      <c r="AK41" s="461"/>
      <c r="AL41" s="3591" t="str">
        <f>IF(AND(OR(AE38&lt;&gt;"",SUM(AL42,AL48,AL50,AL63)&gt;0),AM35)," rest of Part I.","")</f>
        <v/>
      </c>
      <c r="AM41" s="808"/>
      <c r="AN41" s="808"/>
      <c r="AO41" s="2038"/>
      <c r="AP41" s="2038"/>
      <c r="AQ41" s="2038"/>
      <c r="AR41" s="2038"/>
      <c r="AS41" s="2038"/>
      <c r="AT41" s="2038"/>
      <c r="AU41" s="2038"/>
      <c r="AV41" s="2038"/>
      <c r="AW41" s="2038"/>
      <c r="AX41" s="2038"/>
      <c r="AY41" s="39"/>
      <c r="AZ41" s="39"/>
    </row>
    <row r="42" spans="1:52" s="2690" customFormat="1" ht="15" customHeight="1">
      <c r="A42" s="461"/>
      <c r="B42" s="808"/>
      <c r="C42" s="3644"/>
      <c r="D42" s="2112" t="str">
        <f>"disaster distributions (see "&amp;TaxYear&amp;" Form(s) 8915-F (see instructions)"</f>
        <v>disaster distributions (see 2023 Form(s) 8915-F (see instructions)</v>
      </c>
      <c r="E42" s="808"/>
      <c r="F42" s="808"/>
      <c r="G42" s="808"/>
      <c r="H42" s="808"/>
      <c r="I42" s="808"/>
      <c r="J42" s="808"/>
      <c r="K42" s="808"/>
      <c r="L42" s="808"/>
      <c r="M42" s="808"/>
      <c r="N42" s="2112"/>
      <c r="O42" s="2112"/>
      <c r="P42" s="808"/>
      <c r="Q42" s="808"/>
      <c r="R42" s="808"/>
      <c r="S42" s="808"/>
      <c r="T42" s="808"/>
      <c r="U42" s="808"/>
      <c r="V42" s="3281" t="s">
        <v>699</v>
      </c>
      <c r="W42" s="1125">
        <v>6</v>
      </c>
      <c r="X42" s="9564"/>
      <c r="Y42" s="9565"/>
      <c r="Z42" s="9565"/>
      <c r="AA42" s="9565"/>
      <c r="AB42" s="9565"/>
      <c r="AC42" s="9565"/>
      <c r="AD42" s="1129"/>
      <c r="AE42" s="3422"/>
      <c r="AF42" s="900"/>
      <c r="AG42" s="900"/>
      <c r="AH42" s="900"/>
      <c r="AI42" s="900"/>
      <c r="AJ42" s="900"/>
      <c r="AK42" s="461"/>
      <c r="AL42" s="900">
        <f>IF(X42&lt;&gt;"",1,0)</f>
        <v>0</v>
      </c>
      <c r="AM42" s="1376"/>
      <c r="AN42" s="808"/>
      <c r="AO42" s="2038"/>
      <c r="AP42" s="2038"/>
      <c r="AQ42" s="2038"/>
      <c r="AR42" s="2038"/>
      <c r="AS42" s="2038"/>
      <c r="AT42" s="2038"/>
      <c r="AU42" s="2038"/>
      <c r="AV42" s="2038"/>
      <c r="AW42" s="2038"/>
      <c r="AX42" s="2038"/>
      <c r="AY42" s="39"/>
      <c r="AZ42" s="39"/>
    </row>
    <row r="43" spans="1:52" s="2690" customFormat="1" ht="14.25" customHeight="1">
      <c r="A43" s="461"/>
      <c r="B43" s="808"/>
      <c r="C43" s="3644" t="s">
        <v>266</v>
      </c>
      <c r="D43" s="2112" t="str">
        <f>"Enter your distributions from traditional, SEP, and SIMPLE IRAs in "&amp;TaxYear&amp;"."</f>
        <v>Enter your distributions from traditional, SEP, and SIMPLE IRAs in 2023.</v>
      </c>
      <c r="E43" s="808"/>
      <c r="F43" s="808"/>
      <c r="G43" s="808"/>
      <c r="H43" s="808"/>
      <c r="I43" s="808"/>
      <c r="J43" s="808"/>
      <c r="K43" s="808"/>
      <c r="L43" s="808"/>
      <c r="M43" s="808"/>
      <c r="N43" s="808"/>
      <c r="O43" s="808"/>
      <c r="P43" s="808"/>
      <c r="Q43" s="808"/>
      <c r="R43" s="808"/>
      <c r="S43" s="808"/>
      <c r="T43" s="808"/>
      <c r="U43" s="5063" t="s">
        <v>5744</v>
      </c>
      <c r="V43" s="3649"/>
      <c r="W43" s="1126"/>
      <c r="X43" s="808"/>
      <c r="Y43" s="808"/>
      <c r="Z43" s="808"/>
      <c r="AA43" s="808"/>
      <c r="AB43" s="808"/>
      <c r="AC43" s="808"/>
      <c r="AD43" s="1129"/>
      <c r="AE43" s="3422"/>
      <c r="AF43" s="900"/>
      <c r="AG43" s="900"/>
      <c r="AH43" s="900"/>
      <c r="AI43" s="900"/>
      <c r="AJ43" s="900"/>
      <c r="AK43" s="461"/>
      <c r="AL43" s="900"/>
      <c r="AM43" s="808"/>
      <c r="AN43" s="808"/>
      <c r="AO43" s="2038"/>
      <c r="AP43" s="2038"/>
      <c r="AQ43" s="2038"/>
      <c r="AR43" s="2038"/>
      <c r="AS43" s="2038"/>
      <c r="AT43" s="2038"/>
      <c r="AU43" s="2038"/>
      <c r="AV43" s="2038"/>
      <c r="AW43" s="2038"/>
      <c r="AX43" s="2038"/>
      <c r="AY43" s="39"/>
      <c r="AZ43" s="39"/>
    </row>
    <row r="44" spans="1:52" s="2690" customFormat="1" ht="14.25" customHeight="1">
      <c r="A44" s="461"/>
      <c r="B44" s="808"/>
      <c r="C44" s="3644"/>
      <c r="D44" s="2112" t="s">
        <v>5745</v>
      </c>
      <c r="E44" s="2112"/>
      <c r="F44" s="808"/>
      <c r="G44" s="808"/>
      <c r="H44" s="808"/>
      <c r="I44" s="808"/>
      <c r="J44" s="808"/>
      <c r="K44" s="808"/>
      <c r="L44" s="808"/>
      <c r="M44" s="808"/>
      <c r="N44" s="808"/>
      <c r="O44" s="808"/>
      <c r="P44" s="808"/>
      <c r="Q44" s="808"/>
      <c r="R44" s="808"/>
      <c r="S44" s="808"/>
      <c r="T44" s="808"/>
      <c r="U44" s="808"/>
      <c r="V44" s="808"/>
      <c r="W44" s="1126"/>
      <c r="X44" s="808"/>
      <c r="Y44" s="808"/>
      <c r="Z44" s="808"/>
      <c r="AA44" s="808"/>
      <c r="AB44" s="808"/>
      <c r="AC44" s="808"/>
      <c r="AD44" s="1129"/>
      <c r="AE44" s="3422"/>
      <c r="AF44" s="900"/>
      <c r="AG44" s="900"/>
      <c r="AH44" s="900"/>
      <c r="AI44" s="900"/>
      <c r="AJ44" s="900"/>
      <c r="AK44" s="461"/>
      <c r="AL44" s="900"/>
      <c r="AM44" s="808"/>
      <c r="AN44" s="808"/>
      <c r="AO44" s="2038"/>
      <c r="AP44" s="2038"/>
      <c r="AQ44" s="2038"/>
      <c r="AR44" s="2038"/>
      <c r="AS44" s="2038"/>
      <c r="AT44" s="2038"/>
      <c r="AU44" s="2038"/>
      <c r="AV44" s="2038"/>
      <c r="AW44" s="2038"/>
      <c r="AX44" s="2038"/>
      <c r="AY44" s="39"/>
      <c r="AZ44" s="39"/>
    </row>
    <row r="45" spans="1:52" s="2690" customFormat="1" ht="14.25" customHeight="1">
      <c r="A45" s="461"/>
      <c r="B45" s="808"/>
      <c r="C45" s="3644"/>
      <c r="D45" s="2112" t="str">
        <f>"from "&amp;TaxYear&amp;" Form(s) 8915-F (see instructions)), qualified charitable distributions,"</f>
        <v>from 2023 Form(s) 8915-F (see instructions)), qualified charitable distributions,</v>
      </c>
      <c r="E45" s="2112"/>
      <c r="F45" s="808"/>
      <c r="G45" s="808"/>
      <c r="H45" s="808"/>
      <c r="I45" s="808"/>
      <c r="J45" s="808"/>
      <c r="K45" s="808"/>
      <c r="L45" s="808"/>
      <c r="M45" s="808"/>
      <c r="N45" s="808"/>
      <c r="O45" s="808"/>
      <c r="P45" s="808"/>
      <c r="Q45" s="808"/>
      <c r="R45" s="808"/>
      <c r="S45" s="808"/>
      <c r="T45" s="808"/>
      <c r="U45" s="808"/>
      <c r="V45" s="808"/>
      <c r="W45" s="1126"/>
      <c r="X45" s="808"/>
      <c r="Y45" s="808"/>
      <c r="Z45" s="808"/>
      <c r="AA45" s="808"/>
      <c r="AB45" s="808"/>
      <c r="AC45" s="808"/>
      <c r="AD45" s="1129"/>
      <c r="AE45" s="3422"/>
      <c r="AF45" s="900"/>
      <c r="AG45" s="900"/>
      <c r="AH45" s="900"/>
      <c r="AI45" s="900"/>
      <c r="AJ45" s="900"/>
      <c r="AK45" s="461"/>
      <c r="AL45" s="900"/>
      <c r="AM45" s="808"/>
      <c r="AN45" s="808"/>
      <c r="AO45" s="2038"/>
      <c r="AP45" s="2038"/>
      <c r="AQ45" s="2038"/>
      <c r="AR45" s="2038"/>
      <c r="AS45" s="2038"/>
      <c r="AT45" s="2038"/>
      <c r="AU45" s="2038"/>
      <c r="AV45" s="2038"/>
      <c r="AW45" s="2038"/>
      <c r="AX45" s="2038"/>
      <c r="AY45" s="39"/>
      <c r="AZ45" s="39"/>
    </row>
    <row r="46" spans="1:52" s="2690" customFormat="1" ht="14.25" customHeight="1">
      <c r="A46" s="461"/>
      <c r="B46" s="808"/>
      <c r="C46" s="3644"/>
      <c r="D46" s="2112" t="s">
        <v>5746</v>
      </c>
      <c r="E46" s="2112"/>
      <c r="F46" s="808"/>
      <c r="G46" s="808"/>
      <c r="H46" s="808"/>
      <c r="I46" s="808"/>
      <c r="J46" s="808"/>
      <c r="K46" s="808"/>
      <c r="L46" s="808"/>
      <c r="M46" s="808"/>
      <c r="N46" s="808"/>
      <c r="O46" s="808"/>
      <c r="P46" s="808"/>
      <c r="Q46" s="808"/>
      <c r="R46" s="808"/>
      <c r="S46" s="808"/>
      <c r="T46" s="808"/>
      <c r="U46" s="808"/>
      <c r="V46" s="808"/>
      <c r="W46" s="1126"/>
      <c r="X46" s="808"/>
      <c r="Y46" s="808"/>
      <c r="Z46" s="808"/>
      <c r="AA46" s="808"/>
      <c r="AB46" s="808"/>
      <c r="AC46" s="808"/>
      <c r="AD46" s="1129"/>
      <c r="AE46" s="3422"/>
      <c r="AF46" s="900"/>
      <c r="AG46" s="900"/>
      <c r="AH46" s="900"/>
      <c r="AI46" s="900"/>
      <c r="AJ46" s="900"/>
      <c r="AK46" s="461"/>
      <c r="AL46" s="3591"/>
      <c r="AM46" s="808"/>
      <c r="AN46" s="808"/>
      <c r="AO46" s="2038"/>
      <c r="AP46" s="2038"/>
      <c r="AQ46" s="2038"/>
      <c r="AR46" s="2038"/>
      <c r="AS46" s="2038"/>
      <c r="AT46" s="2038"/>
      <c r="AU46" s="2038"/>
      <c r="AV46" s="2038"/>
      <c r="AW46" s="2038"/>
      <c r="AX46" s="2038"/>
      <c r="AY46" s="39"/>
      <c r="AZ46" s="39"/>
    </row>
    <row r="47" spans="1:52" s="2690" customFormat="1" ht="14.25" customHeight="1">
      <c r="A47" s="461"/>
      <c r="B47" s="808"/>
      <c r="C47" s="3644"/>
      <c r="D47" s="2112" t="s">
        <v>5747</v>
      </c>
      <c r="E47" s="2112"/>
      <c r="F47" s="808"/>
      <c r="G47" s="808"/>
      <c r="H47" s="808"/>
      <c r="I47" s="808"/>
      <c r="J47" s="808"/>
      <c r="K47" s="808"/>
      <c r="L47" s="808"/>
      <c r="M47" s="808"/>
      <c r="N47" s="808"/>
      <c r="O47" s="808"/>
      <c r="P47" s="808"/>
      <c r="Q47" s="808"/>
      <c r="R47" s="808"/>
      <c r="S47" s="808"/>
      <c r="T47" s="808"/>
      <c r="U47" s="808"/>
      <c r="V47" s="808"/>
      <c r="W47" s="1126"/>
      <c r="X47" s="808"/>
      <c r="Y47" s="808"/>
      <c r="Z47" s="808"/>
      <c r="AA47" s="808"/>
      <c r="AB47" s="808"/>
      <c r="AC47" s="808"/>
      <c r="AD47" s="1129"/>
      <c r="AE47" s="3422"/>
      <c r="AF47" s="900"/>
      <c r="AG47" s="900"/>
      <c r="AH47" s="900"/>
      <c r="AI47" s="900"/>
      <c r="AJ47" s="900"/>
      <c r="AK47" s="461"/>
      <c r="AL47" s="3591"/>
      <c r="AM47" s="808"/>
      <c r="AN47" s="808"/>
      <c r="AO47" s="2038"/>
      <c r="AP47" s="2038"/>
      <c r="AQ47" s="2038"/>
      <c r="AR47" s="2038"/>
      <c r="AS47" s="2038"/>
      <c r="AT47" s="2038"/>
      <c r="AU47" s="2038"/>
      <c r="AV47" s="2038"/>
      <c r="AW47" s="2038"/>
      <c r="AX47" s="2038"/>
      <c r="AY47" s="39"/>
      <c r="AZ47" s="39"/>
    </row>
    <row r="48" spans="1:52" s="2690" customFormat="1" ht="16.5" customHeight="1">
      <c r="A48" s="461"/>
      <c r="B48" s="808"/>
      <c r="C48" s="3045"/>
      <c r="D48" s="2952" t="s">
        <v>4431</v>
      </c>
      <c r="E48" s="2112"/>
      <c r="F48" s="808"/>
      <c r="G48" s="808"/>
      <c r="H48" s="808"/>
      <c r="I48" s="808"/>
      <c r="J48" s="808"/>
      <c r="K48" s="808"/>
      <c r="L48" s="808"/>
      <c r="M48" s="808"/>
      <c r="N48" s="808"/>
      <c r="O48" s="808"/>
      <c r="P48" s="808"/>
      <c r="Q48" s="808"/>
      <c r="R48" s="808"/>
      <c r="S48" s="808"/>
      <c r="T48" s="808"/>
      <c r="U48" s="808"/>
      <c r="V48" s="2760" t="s">
        <v>2521</v>
      </c>
      <c r="W48" s="1125">
        <v>7</v>
      </c>
      <c r="X48" s="9564"/>
      <c r="Y48" s="9594"/>
      <c r="Z48" s="9594"/>
      <c r="AA48" s="9594"/>
      <c r="AB48" s="9594"/>
      <c r="AC48" s="9656"/>
      <c r="AD48" s="1129"/>
      <c r="AE48" s="3422"/>
      <c r="AF48" s="900"/>
      <c r="AG48" s="900"/>
      <c r="AH48" s="900"/>
      <c r="AI48" s="900"/>
      <c r="AJ48" s="900"/>
      <c r="AK48" s="461"/>
      <c r="AL48" s="900">
        <f>IF(X48&lt;&gt;"",1,0)</f>
        <v>0</v>
      </c>
      <c r="AM48" s="23" t="s">
        <v>1113</v>
      </c>
      <c r="AN48" s="808"/>
      <c r="AO48" s="2038"/>
      <c r="AP48" s="2038"/>
      <c r="AQ48" s="2038"/>
      <c r="AR48" s="2038"/>
      <c r="AS48" s="2038"/>
      <c r="AT48" s="2038"/>
      <c r="AU48" s="2038"/>
      <c r="AV48" s="2038"/>
      <c r="AW48" s="2038"/>
      <c r="AX48" s="2038"/>
      <c r="AY48" s="39"/>
      <c r="AZ48" s="39"/>
    </row>
    <row r="49" spans="1:52" s="2690" customFormat="1" ht="16.5" customHeight="1" thickBot="1">
      <c r="A49" s="461"/>
      <c r="B49" s="808"/>
      <c r="C49" s="3644" t="s">
        <v>268</v>
      </c>
      <c r="D49" s="892" t="s">
        <v>5748</v>
      </c>
      <c r="E49" s="2112"/>
      <c r="F49" s="808"/>
      <c r="G49" s="808"/>
      <c r="H49" s="808"/>
      <c r="I49" s="808"/>
      <c r="J49" s="808"/>
      <c r="K49" s="808"/>
      <c r="L49" s="808"/>
      <c r="M49" s="808"/>
      <c r="N49" s="808"/>
      <c r="O49" s="808"/>
      <c r="P49" s="808"/>
      <c r="Q49" s="808"/>
      <c r="R49" s="808"/>
      <c r="S49" s="808"/>
      <c r="T49" s="808"/>
      <c r="U49" s="808"/>
      <c r="V49" s="808"/>
      <c r="W49" s="1126"/>
      <c r="X49" s="808"/>
      <c r="Y49" s="808"/>
      <c r="Z49" s="808"/>
      <c r="AA49" s="808"/>
      <c r="AB49" s="808"/>
      <c r="AC49" s="808"/>
      <c r="AD49" s="1129"/>
      <c r="AE49" s="3422"/>
      <c r="AF49" s="900"/>
      <c r="AG49" s="900"/>
      <c r="AH49" s="900"/>
      <c r="AI49" s="900"/>
      <c r="AJ49" s="900"/>
      <c r="AK49" s="461"/>
      <c r="AL49" s="23"/>
      <c r="AM49" s="23" t="s">
        <v>1062</v>
      </c>
      <c r="AN49" s="808"/>
      <c r="AO49" s="2038"/>
      <c r="AP49" s="2038"/>
      <c r="AQ49" s="2038"/>
      <c r="AR49" s="2038"/>
      <c r="AS49" s="2038"/>
      <c r="AT49" s="2038"/>
      <c r="AU49" s="2038"/>
      <c r="AV49" s="2038"/>
      <c r="AW49" s="2038"/>
      <c r="AX49" s="2038"/>
      <c r="AY49" s="39"/>
      <c r="AZ49" s="39"/>
    </row>
    <row r="50" spans="1:52" s="2690" customFormat="1" ht="16.5" customHeight="1" thickBot="1">
      <c r="A50" s="461"/>
      <c r="B50" s="808"/>
      <c r="C50" s="3644"/>
      <c r="D50" s="1460" t="str">
        <f>"IRAs to Roth, Roth SEP, or SIMPLE IRAs in "&amp;TaxYear&amp;". Also enter this amount on line 16"</f>
        <v>IRAs to Roth, Roth SEP, or SIMPLE IRAs in 2023. Also enter this amount on line 16</v>
      </c>
      <c r="E50" s="2952"/>
      <c r="F50" s="808"/>
      <c r="G50" s="808"/>
      <c r="H50" s="808"/>
      <c r="I50" s="808"/>
      <c r="J50" s="808"/>
      <c r="K50" s="808"/>
      <c r="L50" s="808"/>
      <c r="M50" s="808"/>
      <c r="N50" s="3340"/>
      <c r="O50" s="3340"/>
      <c r="P50" s="3340"/>
      <c r="Q50" s="3340"/>
      <c r="R50" s="3340"/>
      <c r="S50" s="3340"/>
      <c r="T50" s="3340"/>
      <c r="U50" s="3340"/>
      <c r="V50" s="3281" t="s">
        <v>680</v>
      </c>
      <c r="W50" s="1125">
        <v>8</v>
      </c>
      <c r="X50" s="9574" t="str">
        <f>IF(AM50&lt;&gt;"",ROUND(AM50,0),IF(OR(AM31,AM35),"",IF(AL11&lt;&gt;"",IRA_CONV_YOU,IF(AL12&lt;&gt;"",IRA_CONV_SPOUSE))))</f>
        <v/>
      </c>
      <c r="Y50" s="9591"/>
      <c r="Z50" s="9591"/>
      <c r="AA50" s="9591"/>
      <c r="AB50" s="9591"/>
      <c r="AC50" s="9657"/>
      <c r="AD50" s="1129"/>
      <c r="AE50" s="3422"/>
      <c r="AF50" s="900"/>
      <c r="AG50" s="900"/>
      <c r="AH50" s="900"/>
      <c r="AI50" s="900"/>
      <c r="AJ50" s="900"/>
      <c r="AK50" s="461"/>
      <c r="AL50" s="900">
        <f>IF(X50&lt;&gt;"",1,0)</f>
        <v>0</v>
      </c>
      <c r="AM50" s="3521"/>
      <c r="AN50" s="808"/>
      <c r="AO50" s="2038"/>
      <c r="AP50" s="2038"/>
      <c r="AQ50" s="2038"/>
      <c r="AR50" s="2038"/>
      <c r="AS50" s="2038"/>
      <c r="AT50" s="2038"/>
      <c r="AU50" s="2038"/>
      <c r="AV50" s="2038"/>
      <c r="AW50" s="2038"/>
      <c r="AX50" s="2038"/>
      <c r="AY50" s="39"/>
      <c r="AZ50" s="39"/>
    </row>
    <row r="51" spans="1:52" s="2690" customFormat="1" ht="16.5" customHeight="1">
      <c r="A51" s="461"/>
      <c r="B51" s="808"/>
      <c r="C51" s="3644" t="s">
        <v>407</v>
      </c>
      <c r="D51" s="2112" t="s">
        <v>4432</v>
      </c>
      <c r="E51" s="2112"/>
      <c r="F51" s="808"/>
      <c r="G51" s="808"/>
      <c r="H51" s="808"/>
      <c r="I51" s="808"/>
      <c r="J51" s="808"/>
      <c r="K51" s="808"/>
      <c r="L51" s="808"/>
      <c r="M51" s="808"/>
      <c r="N51" s="808"/>
      <c r="O51" s="3281" t="s">
        <v>746</v>
      </c>
      <c r="P51" s="1125">
        <v>9</v>
      </c>
      <c r="Q51" s="9574" t="str">
        <f>IF(AM31,"",IF(NOT(AM35),SUM(X42,X48,X50),""))</f>
        <v/>
      </c>
      <c r="R51" s="9591"/>
      <c r="S51" s="9591"/>
      <c r="T51" s="9591"/>
      <c r="U51" s="9591"/>
      <c r="V51" s="9657"/>
      <c r="W51" s="3602"/>
      <c r="X51" s="808"/>
      <c r="Y51" s="808"/>
      <c r="Z51" s="3533"/>
      <c r="AA51" s="3533"/>
      <c r="AB51" s="3533"/>
      <c r="AC51" s="3532"/>
      <c r="AD51" s="1129"/>
      <c r="AE51" s="3422"/>
      <c r="AF51" s="900"/>
      <c r="AG51" s="900"/>
      <c r="AH51" s="900"/>
      <c r="AI51" s="900"/>
      <c r="AJ51" s="900"/>
      <c r="AK51" s="461"/>
      <c r="AL51" s="900"/>
      <c r="AM51" s="808"/>
      <c r="AN51" s="808"/>
      <c r="AO51" s="2038"/>
      <c r="AP51" s="2038"/>
      <c r="AQ51" s="2038"/>
      <c r="AR51" s="2038"/>
      <c r="AS51" s="2038"/>
      <c r="AT51" s="2038"/>
      <c r="AU51" s="2038"/>
      <c r="AV51" s="2038"/>
      <c r="AW51" s="2038"/>
      <c r="AX51" s="2038"/>
      <c r="AY51" s="39"/>
      <c r="AZ51" s="39"/>
    </row>
    <row r="52" spans="1:52" s="2690" customFormat="1" ht="16.5" customHeight="1">
      <c r="A52" s="461"/>
      <c r="B52" s="808"/>
      <c r="C52" s="3644" t="s">
        <v>270</v>
      </c>
      <c r="D52" s="2112" t="s">
        <v>4433</v>
      </c>
      <c r="E52" s="2112"/>
      <c r="F52" s="808"/>
      <c r="G52" s="808"/>
      <c r="H52" s="808"/>
      <c r="I52" s="808"/>
      <c r="J52" s="808"/>
      <c r="K52" s="808"/>
      <c r="L52" s="808"/>
      <c r="M52" s="808"/>
      <c r="N52" s="808"/>
      <c r="O52" s="808"/>
      <c r="P52" s="808"/>
      <c r="Q52" s="808"/>
      <c r="R52" s="808"/>
      <c r="S52" s="808"/>
      <c r="T52" s="808"/>
      <c r="U52" s="808"/>
      <c r="V52" s="808"/>
      <c r="W52" s="1716"/>
      <c r="X52" s="1150"/>
      <c r="Y52" s="808"/>
      <c r="Z52" s="8168"/>
      <c r="AA52" s="8168"/>
      <c r="AB52" s="8168"/>
      <c r="AC52" s="9576"/>
      <c r="AD52" s="1129"/>
      <c r="AE52" s="3422"/>
      <c r="AF52" s="900"/>
      <c r="AG52" s="900"/>
      <c r="AH52" s="900"/>
      <c r="AI52" s="900"/>
      <c r="AJ52" s="900"/>
      <c r="AK52" s="461"/>
      <c r="AL52" s="900"/>
      <c r="AM52" s="808"/>
      <c r="AN52" s="808"/>
      <c r="AO52" s="2038"/>
      <c r="AP52" s="2038"/>
      <c r="AQ52" s="2038"/>
      <c r="AR52" s="2038"/>
      <c r="AS52" s="2038"/>
      <c r="AT52" s="2038"/>
      <c r="AU52" s="2038"/>
      <c r="AV52" s="2038"/>
      <c r="AW52" s="2038"/>
      <c r="AX52" s="2038"/>
      <c r="AY52" s="39"/>
      <c r="AZ52" s="39"/>
    </row>
    <row r="53" spans="1:52" s="2690" customFormat="1" ht="16.5" customHeight="1">
      <c r="A53" s="461"/>
      <c r="B53" s="808"/>
      <c r="C53" s="3045"/>
      <c r="D53" s="2112" t="s">
        <v>4434</v>
      </c>
      <c r="E53" s="2112"/>
      <c r="F53" s="808"/>
      <c r="G53" s="808"/>
      <c r="H53" s="808"/>
      <c r="I53" s="808"/>
      <c r="J53" s="808"/>
      <c r="K53" s="808"/>
      <c r="L53" s="808"/>
      <c r="M53" s="808"/>
      <c r="N53" s="808"/>
      <c r="O53" s="808"/>
      <c r="P53" s="808"/>
      <c r="Q53" s="808"/>
      <c r="R53" s="808"/>
      <c r="S53" s="808"/>
      <c r="T53" s="808"/>
      <c r="U53" s="808"/>
      <c r="V53" s="2760" t="s">
        <v>746</v>
      </c>
      <c r="W53" s="1726">
        <v>10</v>
      </c>
      <c r="X53" s="3603"/>
      <c r="Y53" s="3650" t="str">
        <f>"x"</f>
        <v>x</v>
      </c>
      <c r="Z53" s="9577" t="str">
        <f>IF(AM31,"",IF(NOT(AM35),AE53,""))</f>
        <v/>
      </c>
      <c r="AA53" s="9577"/>
      <c r="AB53" s="9577"/>
      <c r="AC53" s="9578"/>
      <c r="AD53" s="1129"/>
      <c r="AE53" s="9664">
        <f>IF(OR(Q51="",Q51=0),0,MIN(1,ROUND(AE39/Q51,5)))</f>
        <v>0</v>
      </c>
      <c r="AF53" s="9665"/>
      <c r="AG53" s="9665"/>
      <c r="AH53" s="9665"/>
      <c r="AI53" s="9665"/>
      <c r="AJ53" s="9665"/>
      <c r="AK53" s="461"/>
      <c r="AL53" s="808"/>
      <c r="AM53" s="808"/>
      <c r="AN53" s="808"/>
      <c r="AO53" s="2038"/>
      <c r="AP53" s="2038"/>
      <c r="AQ53" s="2038"/>
      <c r="AR53" s="2038"/>
      <c r="AS53" s="2038"/>
      <c r="AT53" s="2038"/>
      <c r="AU53" s="2038"/>
      <c r="AV53" s="2038"/>
      <c r="AW53" s="2038"/>
      <c r="AX53" s="2038"/>
      <c r="AY53" s="39"/>
      <c r="AZ53" s="39"/>
    </row>
    <row r="54" spans="1:52" s="2690" customFormat="1" ht="16.5" customHeight="1">
      <c r="A54" s="461"/>
      <c r="B54" s="808"/>
      <c r="C54" s="3644" t="s">
        <v>272</v>
      </c>
      <c r="D54" s="2112" t="s">
        <v>4435</v>
      </c>
      <c r="E54" s="2112"/>
      <c r="F54" s="808"/>
      <c r="G54" s="808"/>
      <c r="H54" s="808"/>
      <c r="I54" s="808"/>
      <c r="J54" s="808"/>
      <c r="K54" s="808"/>
      <c r="L54" s="808"/>
      <c r="M54" s="808"/>
      <c r="N54" s="808"/>
      <c r="O54" s="808"/>
      <c r="P54" s="808"/>
      <c r="Q54" s="808"/>
      <c r="R54" s="808"/>
      <c r="S54" s="808"/>
      <c r="T54" s="808"/>
      <c r="U54" s="808"/>
      <c r="V54" s="808"/>
      <c r="W54" s="1716"/>
      <c r="X54" s="808"/>
      <c r="Y54" s="808"/>
      <c r="Z54" s="808"/>
      <c r="AA54" s="808"/>
      <c r="AB54" s="808"/>
      <c r="AC54" s="808"/>
      <c r="AD54" s="1129"/>
      <c r="AE54" s="3422"/>
      <c r="AF54" s="900"/>
      <c r="AG54" s="900"/>
      <c r="AH54" s="900"/>
      <c r="AI54" s="900"/>
      <c r="AJ54" s="900"/>
      <c r="AK54" s="461"/>
      <c r="AL54" s="808"/>
      <c r="AM54" s="808"/>
      <c r="AN54" s="808"/>
      <c r="AO54" s="2038"/>
      <c r="AP54" s="2038"/>
      <c r="AQ54" s="2038"/>
      <c r="AR54" s="2038"/>
      <c r="AS54" s="2038"/>
      <c r="AT54" s="2038"/>
      <c r="AU54" s="2038"/>
      <c r="AV54" s="2038"/>
      <c r="AW54" s="2038"/>
      <c r="AX54" s="2038"/>
      <c r="AY54" s="39"/>
      <c r="AZ54" s="39"/>
    </row>
    <row r="55" spans="1:52" s="2690" customFormat="1" ht="16.5" customHeight="1">
      <c r="A55" s="461"/>
      <c r="B55" s="808"/>
      <c r="C55" s="3045"/>
      <c r="D55" s="2112" t="s">
        <v>4436</v>
      </c>
      <c r="E55" s="2112"/>
      <c r="F55" s="808"/>
      <c r="G55" s="808"/>
      <c r="H55" s="808"/>
      <c r="I55" s="808"/>
      <c r="J55" s="808"/>
      <c r="K55" s="808"/>
      <c r="L55" s="808"/>
      <c r="M55" s="808"/>
      <c r="N55" s="808"/>
      <c r="O55" s="808"/>
      <c r="P55" s="808"/>
      <c r="Q55" s="808"/>
      <c r="R55" s="808"/>
      <c r="S55" s="808"/>
      <c r="T55" s="808"/>
      <c r="U55" s="808"/>
      <c r="V55" s="2760" t="s">
        <v>677</v>
      </c>
      <c r="W55" s="1726">
        <v>11</v>
      </c>
      <c r="X55" s="9574" t="str">
        <f>IF(AM31,"",IF(NOT(AM35),ROUND(X50*Z53,0),""))</f>
        <v/>
      </c>
      <c r="Y55" s="9591"/>
      <c r="Z55" s="9591"/>
      <c r="AA55" s="9591"/>
      <c r="AB55" s="9591"/>
      <c r="AC55" s="9657"/>
      <c r="AD55" s="1129"/>
      <c r="AE55" s="808"/>
      <c r="AF55" s="808"/>
      <c r="AG55" s="808"/>
      <c r="AH55" s="808"/>
      <c r="AI55" s="808"/>
      <c r="AJ55" s="808"/>
      <c r="AK55" s="461"/>
      <c r="AL55" s="808"/>
      <c r="AM55" s="808"/>
      <c r="AN55" s="808"/>
      <c r="AO55" s="2038"/>
      <c r="AP55" s="2038"/>
      <c r="AQ55" s="2038"/>
      <c r="AR55" s="2038"/>
      <c r="AS55" s="2038"/>
      <c r="AT55" s="2038"/>
      <c r="AU55" s="2038"/>
      <c r="AV55" s="2038"/>
      <c r="AW55" s="2038"/>
      <c r="AX55" s="2038"/>
      <c r="AY55" s="39"/>
      <c r="AZ55" s="39"/>
    </row>
    <row r="56" spans="1:52" s="2690" customFormat="1" ht="16.5" customHeight="1">
      <c r="A56" s="461"/>
      <c r="B56" s="808"/>
      <c r="C56" s="3644" t="s">
        <v>1155</v>
      </c>
      <c r="D56" s="2112" t="s">
        <v>5749</v>
      </c>
      <c r="E56" s="2112"/>
      <c r="F56" s="808"/>
      <c r="G56" s="808"/>
      <c r="H56" s="808"/>
      <c r="I56" s="808"/>
      <c r="J56" s="808"/>
      <c r="K56" s="808"/>
      <c r="L56" s="808"/>
      <c r="M56" s="808"/>
      <c r="N56" s="808"/>
      <c r="O56" s="808"/>
      <c r="P56" s="808"/>
      <c r="Q56" s="808"/>
      <c r="R56" s="808"/>
      <c r="S56" s="808"/>
      <c r="T56" s="808"/>
      <c r="U56" s="808"/>
      <c r="V56" s="2760"/>
      <c r="W56" s="1716"/>
      <c r="X56" s="9582"/>
      <c r="Y56" s="9398"/>
      <c r="Z56" s="9398"/>
      <c r="AA56" s="9398"/>
      <c r="AB56" s="9398"/>
      <c r="AC56" s="9583"/>
      <c r="AD56" s="1129"/>
      <c r="AE56" s="808"/>
      <c r="AF56" s="808"/>
      <c r="AG56" s="808"/>
      <c r="AH56" s="808"/>
      <c r="AI56" s="808"/>
      <c r="AJ56" s="808"/>
      <c r="AK56" s="461"/>
      <c r="AL56" s="808"/>
      <c r="AM56" s="3431" t="b">
        <f>AND(AE65&lt;&gt;"",AE65&gt;0,OR(AND(AL11&lt;&gt;"",IRA_Taxable_You&gt;0),AND(AL12&lt;&gt;"",IRA_Taxable_Spouse&gt;0)))</f>
        <v>0</v>
      </c>
      <c r="AN56" s="808"/>
      <c r="AO56" s="2038"/>
      <c r="AP56" s="2038"/>
      <c r="AQ56" s="2038"/>
      <c r="AR56" s="2038"/>
      <c r="AS56" s="2038"/>
      <c r="AT56" s="2038"/>
      <c r="AU56" s="2038"/>
      <c r="AV56" s="2038"/>
      <c r="AW56" s="2038"/>
      <c r="AX56" s="2038"/>
      <c r="AY56" s="39"/>
      <c r="AZ56" s="39"/>
    </row>
    <row r="57" spans="1:52" ht="16.5" customHeight="1">
      <c r="A57" s="461"/>
      <c r="B57" s="808"/>
      <c r="C57" s="3644"/>
      <c r="D57" s="2952" t="s">
        <v>5750</v>
      </c>
      <c r="E57" s="2112"/>
      <c r="F57" s="808"/>
      <c r="G57" s="808"/>
      <c r="H57" s="808"/>
      <c r="I57" s="808"/>
      <c r="J57" s="808"/>
      <c r="K57" s="808"/>
      <c r="L57" s="808"/>
      <c r="M57" s="808"/>
      <c r="N57" s="808"/>
      <c r="O57" s="808"/>
      <c r="P57" s="808"/>
      <c r="Q57" s="808"/>
      <c r="R57" s="808"/>
      <c r="S57" s="808"/>
      <c r="T57" s="808"/>
      <c r="U57" s="808"/>
      <c r="V57" s="2760" t="s">
        <v>2317</v>
      </c>
      <c r="W57" s="1726">
        <v>12</v>
      </c>
      <c r="X57" s="9574" t="str">
        <f>IF(AM31,"",IF(NOT(AM35),ROUND(X48*Z53,0),""))</f>
        <v/>
      </c>
      <c r="Y57" s="9591"/>
      <c r="Z57" s="9591"/>
      <c r="AA57" s="9591"/>
      <c r="AB57" s="9591"/>
      <c r="AC57" s="9657"/>
      <c r="AD57" s="1129"/>
      <c r="AE57" s="808"/>
      <c r="AF57" s="808"/>
      <c r="AG57" s="808"/>
      <c r="AH57" s="808"/>
      <c r="AI57" s="808"/>
      <c r="AJ57" s="808"/>
      <c r="AK57" s="461"/>
      <c r="AL57" s="808"/>
      <c r="AM57" s="23" t="s">
        <v>1113</v>
      </c>
      <c r="AN57" s="808"/>
      <c r="AY57" s="1281"/>
      <c r="AZ57" s="1281"/>
    </row>
    <row r="58" spans="1:52" ht="16.5" customHeight="1" thickBot="1">
      <c r="A58" s="461"/>
      <c r="B58" s="808"/>
      <c r="C58" s="3644" t="s">
        <v>280</v>
      </c>
      <c r="D58" s="2112" t="s">
        <v>4437</v>
      </c>
      <c r="E58" s="2112"/>
      <c r="F58" s="808"/>
      <c r="G58" s="808"/>
      <c r="H58" s="808"/>
      <c r="I58" s="808"/>
      <c r="J58" s="808"/>
      <c r="K58" s="808"/>
      <c r="L58" s="808"/>
      <c r="M58" s="808"/>
      <c r="N58" s="808"/>
      <c r="O58" s="808"/>
      <c r="P58" s="808"/>
      <c r="Q58" s="808"/>
      <c r="R58" s="808"/>
      <c r="S58" s="808"/>
      <c r="T58" s="808"/>
      <c r="U58" s="808"/>
      <c r="V58" s="808"/>
      <c r="W58" s="808"/>
      <c r="X58" s="808"/>
      <c r="Y58" s="808"/>
      <c r="Z58" s="808"/>
      <c r="AA58" s="808"/>
      <c r="AB58" s="808"/>
      <c r="AC58" s="2760" t="s">
        <v>990</v>
      </c>
      <c r="AD58" s="1726">
        <v>13</v>
      </c>
      <c r="AE58" s="9574" t="str">
        <f>IF(AM31,"",IF(NOT(AM35),SUM(X55,X57),""))</f>
        <v/>
      </c>
      <c r="AF58" s="9591"/>
      <c r="AG58" s="9591"/>
      <c r="AH58" s="9591"/>
      <c r="AI58" s="9591"/>
      <c r="AJ58" s="9591"/>
      <c r="AK58" s="461"/>
      <c r="AL58" s="808"/>
      <c r="AM58" s="23" t="s">
        <v>1062</v>
      </c>
      <c r="AN58" s="808"/>
      <c r="AY58" s="1281"/>
      <c r="AZ58" s="1281"/>
    </row>
    <row r="59" spans="1:52" ht="16.5" customHeight="1" thickBot="1">
      <c r="A59" s="461"/>
      <c r="B59" s="808"/>
      <c r="C59" s="3644" t="s">
        <v>282</v>
      </c>
      <c r="D59" s="2112" t="s">
        <v>4438</v>
      </c>
      <c r="E59" s="2112"/>
      <c r="F59" s="808"/>
      <c r="G59" s="808"/>
      <c r="H59" s="808"/>
      <c r="I59" s="808"/>
      <c r="J59" s="808"/>
      <c r="K59" s="808"/>
      <c r="L59" s="3604" t="s">
        <v>4439</v>
      </c>
      <c r="M59" s="1145" t="str">
        <f>"your total basis in traditional IRAs for "&amp;TaxYear&amp;" and earlier years"</f>
        <v>your total basis in traditional IRAs for 2023 and earlier years</v>
      </c>
      <c r="N59" s="808"/>
      <c r="O59" s="808"/>
      <c r="P59" s="808"/>
      <c r="Q59" s="808"/>
      <c r="R59" s="808"/>
      <c r="S59" s="808"/>
      <c r="T59" s="808"/>
      <c r="U59" s="808"/>
      <c r="V59" s="808"/>
      <c r="W59" s="1716"/>
      <c r="X59" s="1150"/>
      <c r="Y59" s="808"/>
      <c r="Z59" s="808"/>
      <c r="AA59" s="808"/>
      <c r="AB59" s="808"/>
      <c r="AC59" s="3281" t="s">
        <v>1245</v>
      </c>
      <c r="AD59" s="1726">
        <v>14</v>
      </c>
      <c r="AE59" s="9597" t="str">
        <f>IF(AM59&lt;&gt;"",ROUND(AM59,0),IF(AM31,"",IF(NOT(AM35),MAX(0,SUM(AE33,-AE58)),MAX(0,AE33))))</f>
        <v/>
      </c>
      <c r="AF59" s="9598"/>
      <c r="AG59" s="9598"/>
      <c r="AH59" s="9598"/>
      <c r="AI59" s="9598"/>
      <c r="AJ59" s="9598"/>
      <c r="AK59" s="461"/>
      <c r="AL59" s="808"/>
      <c r="AM59" s="3521"/>
      <c r="AN59" s="808"/>
      <c r="AY59" s="1281"/>
      <c r="AZ59" s="1281"/>
    </row>
    <row r="60" spans="1:52" ht="16.5" customHeight="1">
      <c r="A60" s="461"/>
      <c r="B60" s="808"/>
      <c r="C60" s="3644" t="s">
        <v>4440</v>
      </c>
      <c r="D60" s="2645" t="s">
        <v>4441</v>
      </c>
      <c r="E60" s="2112"/>
      <c r="F60" s="808"/>
      <c r="G60" s="808"/>
      <c r="H60" s="808"/>
      <c r="I60" s="808"/>
      <c r="J60" s="808"/>
      <c r="K60" s="808"/>
      <c r="L60" s="808"/>
      <c r="M60" s="808"/>
      <c r="N60" s="808"/>
      <c r="O60" s="808"/>
      <c r="P60" s="808"/>
      <c r="Q60" s="808"/>
      <c r="R60" s="808"/>
      <c r="S60" s="808"/>
      <c r="T60" s="808"/>
      <c r="U60" s="808"/>
      <c r="V60" s="808"/>
      <c r="W60" s="808"/>
      <c r="X60" s="808"/>
      <c r="Y60" s="808"/>
      <c r="Z60" s="808"/>
      <c r="AA60" s="808"/>
      <c r="AB60" s="808"/>
      <c r="AC60" s="2760" t="s">
        <v>2177</v>
      </c>
      <c r="AD60" s="1726" t="s">
        <v>4442</v>
      </c>
      <c r="AE60" s="9597" t="str">
        <f>IF(AM31,"",IF(NOT(AM35),SUM(X48,-X57),""))</f>
        <v/>
      </c>
      <c r="AF60" s="9598"/>
      <c r="AG60" s="9598"/>
      <c r="AH60" s="9598"/>
      <c r="AI60" s="9598"/>
      <c r="AJ60" s="9598"/>
      <c r="AK60" s="461"/>
      <c r="AL60" s="3653"/>
      <c r="AM60" s="3653"/>
      <c r="AN60" s="3653"/>
      <c r="AY60" s="1281"/>
      <c r="AZ60" s="1281"/>
    </row>
    <row r="61" spans="1:52" ht="15" customHeight="1">
      <c r="A61" s="461"/>
      <c r="B61" s="808"/>
      <c r="C61" s="3645" t="s">
        <v>644</v>
      </c>
      <c r="D61" s="1108" t="str">
        <f>"Enter the amount on line 15a attributable to qualified disaster distributions from "&amp;TaxYear&amp;" Form(s),"</f>
        <v>Enter the amount on line 15a attributable to qualified disaster distributions from 2023 Form(s),</v>
      </c>
      <c r="E61" s="2112"/>
      <c r="F61" s="808"/>
      <c r="G61" s="808"/>
      <c r="H61" s="808"/>
      <c r="I61" s="808"/>
      <c r="J61" s="808"/>
      <c r="K61" s="808"/>
      <c r="L61" s="808"/>
      <c r="M61" s="808"/>
      <c r="N61" s="808"/>
      <c r="O61" s="808"/>
      <c r="P61" s="808"/>
      <c r="Q61" s="808"/>
      <c r="R61" s="808"/>
      <c r="S61" s="808"/>
      <c r="T61" s="808"/>
      <c r="U61" s="808"/>
      <c r="V61" s="808"/>
      <c r="W61" s="808"/>
      <c r="X61" s="808"/>
      <c r="Y61" s="808"/>
      <c r="Z61" s="808"/>
      <c r="AA61" s="808"/>
      <c r="AB61" s="808"/>
      <c r="AC61" s="1151"/>
      <c r="AD61" s="1126"/>
      <c r="AE61" s="808"/>
      <c r="AF61" s="808"/>
      <c r="AG61" s="808"/>
      <c r="AH61" s="808"/>
      <c r="AI61" s="808"/>
      <c r="AJ61" s="808"/>
      <c r="AK61" s="461"/>
      <c r="AL61" s="3653"/>
      <c r="AM61" s="3653"/>
      <c r="AN61" s="3653"/>
    </row>
    <row r="62" spans="1:52" ht="15" customHeight="1">
      <c r="A62" s="461"/>
      <c r="B62" s="808"/>
      <c r="C62" s="3045"/>
      <c r="D62" s="1108" t="str">
        <f>"8915-F (see instructions). Also, enter this amount on "&amp;TaxYear&amp;" Form 8915-F, line 18, as applicable (see"</f>
        <v>8915-F (see instructions). Also, enter this amount on 2023 Form 8915-F, line 18, as applicable (see</v>
      </c>
      <c r="E62" s="1461"/>
      <c r="F62" s="1461"/>
      <c r="G62" s="1461"/>
      <c r="H62" s="808"/>
      <c r="I62" s="808"/>
      <c r="J62" s="808"/>
      <c r="K62" s="808"/>
      <c r="L62" s="808"/>
      <c r="M62" s="808"/>
      <c r="N62" s="808"/>
      <c r="O62" s="808"/>
      <c r="P62" s="808"/>
      <c r="Q62" s="808"/>
      <c r="R62" s="808"/>
      <c r="S62" s="808"/>
      <c r="T62" s="808"/>
      <c r="U62" s="808"/>
      <c r="V62" s="808"/>
      <c r="W62" s="808"/>
      <c r="X62" s="1145"/>
      <c r="Y62" s="808"/>
      <c r="Z62" s="808"/>
      <c r="AA62" s="808"/>
      <c r="AB62" s="808"/>
      <c r="AC62" s="808"/>
      <c r="AD62" s="1126"/>
      <c r="AE62" s="808"/>
      <c r="AF62" s="808"/>
      <c r="AG62" s="808"/>
      <c r="AH62" s="808"/>
      <c r="AI62" s="808"/>
      <c r="AJ62" s="808"/>
      <c r="AK62" s="461"/>
      <c r="AL62" s="3653"/>
      <c r="AM62" s="3653"/>
      <c r="AN62" s="3653"/>
    </row>
    <row r="63" spans="1:52" ht="15" customHeight="1">
      <c r="A63" s="461"/>
      <c r="B63" s="808"/>
      <c r="C63" s="3045"/>
      <c r="D63" s="1108" t="s">
        <v>943</v>
      </c>
      <c r="E63" s="1461"/>
      <c r="F63" s="1461"/>
      <c r="G63" s="1461"/>
      <c r="H63" s="1461"/>
      <c r="I63" s="808"/>
      <c r="J63" s="808"/>
      <c r="K63" s="808"/>
      <c r="L63" s="808"/>
      <c r="M63" s="808"/>
      <c r="N63" s="808"/>
      <c r="O63" s="808"/>
      <c r="P63" s="808"/>
      <c r="Q63" s="808"/>
      <c r="R63" s="808"/>
      <c r="S63" s="808"/>
      <c r="T63" s="808"/>
      <c r="U63" s="808"/>
      <c r="V63" s="808"/>
      <c r="W63" s="808"/>
      <c r="X63" s="808"/>
      <c r="Y63" s="808"/>
      <c r="Z63" s="808"/>
      <c r="AA63" s="808"/>
      <c r="AB63" s="808"/>
      <c r="AC63" s="2760" t="s">
        <v>3031</v>
      </c>
      <c r="AD63" s="1726" t="s">
        <v>4443</v>
      </c>
      <c r="AE63" s="9564"/>
      <c r="AF63" s="9594"/>
      <c r="AG63" s="9594"/>
      <c r="AH63" s="9594"/>
      <c r="AI63" s="9594"/>
      <c r="AJ63" s="9594"/>
      <c r="AK63" s="461"/>
      <c r="AL63" s="4088">
        <f>IF(AE63&lt;&gt;"",1,0)</f>
        <v>0</v>
      </c>
      <c r="AM63" s="23" t="s">
        <v>1113</v>
      </c>
      <c r="AN63" s="3653"/>
    </row>
    <row r="64" spans="1:52" ht="16.5" customHeight="1" thickBot="1">
      <c r="A64" s="461"/>
      <c r="B64" s="808"/>
      <c r="C64" s="3645" t="s">
        <v>648</v>
      </c>
      <c r="D64" s="1145" t="s">
        <v>4444</v>
      </c>
      <c r="E64" s="1461"/>
      <c r="F64" s="1461"/>
      <c r="G64" s="1461"/>
      <c r="H64" s="2112"/>
      <c r="I64" s="2112" t="str">
        <f>"Subtract line 15b from line 15a. If more than zero, also include this amount on "&amp;TaxYear</f>
        <v>Subtract line 15b from line 15a. If more than zero, also include this amount on 2023</v>
      </c>
      <c r="J64" s="808"/>
      <c r="K64" s="808"/>
      <c r="L64" s="808"/>
      <c r="M64" s="808"/>
      <c r="N64" s="808"/>
      <c r="O64" s="808"/>
      <c r="P64" s="808"/>
      <c r="Q64" s="808"/>
      <c r="R64" s="808"/>
      <c r="S64" s="808"/>
      <c r="T64" s="808"/>
      <c r="U64" s="808"/>
      <c r="V64" s="808"/>
      <c r="W64" s="808"/>
      <c r="X64" s="808"/>
      <c r="Y64" s="808"/>
      <c r="Z64" s="808"/>
      <c r="AA64" s="808"/>
      <c r="AB64" s="808"/>
      <c r="AC64" s="1128"/>
      <c r="AD64" s="1126"/>
      <c r="AE64" s="808"/>
      <c r="AF64" s="808"/>
      <c r="AG64" s="808"/>
      <c r="AH64" s="808"/>
      <c r="AI64" s="808"/>
      <c r="AJ64" s="808"/>
      <c r="AK64" s="461"/>
      <c r="AL64" s="3653"/>
      <c r="AM64" s="23" t="s">
        <v>1062</v>
      </c>
      <c r="AN64" s="3653"/>
    </row>
    <row r="65" spans="1:53" ht="16.5" customHeight="1" thickBot="1">
      <c r="A65" s="461"/>
      <c r="B65" s="808"/>
      <c r="C65" s="3644"/>
      <c r="D65" s="2952" t="s">
        <v>4391</v>
      </c>
      <c r="E65" s="2112"/>
      <c r="F65" s="808"/>
      <c r="G65" s="808"/>
      <c r="H65" s="808"/>
      <c r="I65" s="808"/>
      <c r="J65" s="808"/>
      <c r="K65" s="808"/>
      <c r="L65" s="808"/>
      <c r="M65" s="808"/>
      <c r="N65" s="808"/>
      <c r="O65" s="808"/>
      <c r="P65" s="808"/>
      <c r="Q65" s="808"/>
      <c r="R65" s="808"/>
      <c r="S65" s="808"/>
      <c r="T65" s="808"/>
      <c r="U65" s="808"/>
      <c r="V65" s="808"/>
      <c r="W65" s="808"/>
      <c r="X65" s="808"/>
      <c r="Y65" s="808"/>
      <c r="Z65" s="808"/>
      <c r="AA65" s="808"/>
      <c r="AB65" s="808"/>
      <c r="AC65" s="2760" t="s">
        <v>3937</v>
      </c>
      <c r="AD65" s="1726" t="s">
        <v>4445</v>
      </c>
      <c r="AE65" s="9574" t="str">
        <f>IF(AM31,"",IF(AM65&lt;&gt;"",ROUND(AM65,0),IF(NOT(AM35),SUM(AE60,-AE63),"")))</f>
        <v/>
      </c>
      <c r="AF65" s="9591"/>
      <c r="AG65" s="9591"/>
      <c r="AH65" s="9591"/>
      <c r="AI65" s="9591"/>
      <c r="AJ65" s="9591"/>
      <c r="AK65" s="461"/>
      <c r="AL65" s="1376"/>
      <c r="AM65" s="3521"/>
      <c r="AN65" s="808"/>
    </row>
    <row r="66" spans="1:53" ht="16.5" customHeight="1">
      <c r="A66" s="461"/>
      <c r="B66" s="808"/>
      <c r="C66" s="3644"/>
      <c r="D66" s="1108" t="s">
        <v>4446</v>
      </c>
      <c r="E66" s="2112"/>
      <c r="F66" s="808"/>
      <c r="G66" s="808"/>
      <c r="H66" s="808"/>
      <c r="I66" s="808"/>
      <c r="J66" s="808"/>
      <c r="K66" s="808"/>
      <c r="L66" s="808"/>
      <c r="M66" s="808"/>
      <c r="N66" s="808"/>
      <c r="O66" s="808"/>
      <c r="P66" s="808"/>
      <c r="Q66" s="808"/>
      <c r="R66" s="808"/>
      <c r="S66" s="808"/>
      <c r="T66" s="808"/>
      <c r="U66" s="808"/>
      <c r="V66" s="808"/>
      <c r="W66" s="808"/>
      <c r="X66" s="808"/>
      <c r="Y66" s="808"/>
      <c r="Z66" s="808"/>
      <c r="AA66" s="808"/>
      <c r="AB66" s="808"/>
      <c r="AC66" s="808"/>
      <c r="AD66" s="3605"/>
      <c r="AE66" s="3606"/>
      <c r="AF66" s="3606"/>
      <c r="AG66" s="3606"/>
      <c r="AH66" s="3606"/>
      <c r="AI66" s="3606"/>
      <c r="AJ66" s="3606"/>
      <c r="AK66" s="461"/>
      <c r="AL66" s="1376"/>
      <c r="AM66" s="2590"/>
      <c r="AN66" s="808"/>
      <c r="BA66" s="1268"/>
    </row>
    <row r="67" spans="1:53" ht="16.5" customHeight="1" thickBot="1">
      <c r="A67" s="461"/>
      <c r="B67" s="808"/>
      <c r="C67" s="3045"/>
      <c r="D67" s="1108" t="s">
        <v>4447</v>
      </c>
      <c r="E67" s="2112"/>
      <c r="F67" s="808"/>
      <c r="G67" s="808"/>
      <c r="H67" s="808"/>
      <c r="I67" s="808"/>
      <c r="J67" s="808"/>
      <c r="K67" s="808"/>
      <c r="L67" s="808"/>
      <c r="M67" s="808"/>
      <c r="N67" s="808"/>
      <c r="O67" s="808"/>
      <c r="P67" s="808"/>
      <c r="Q67" s="808"/>
      <c r="R67" s="808"/>
      <c r="S67" s="808"/>
      <c r="T67" s="808"/>
      <c r="U67" s="808"/>
      <c r="V67" s="808"/>
      <c r="W67" s="808"/>
      <c r="X67" s="808"/>
      <c r="Y67" s="808"/>
      <c r="Z67" s="808"/>
      <c r="AA67" s="808"/>
      <c r="AB67" s="808"/>
      <c r="AC67" s="2760"/>
      <c r="AD67" s="3607"/>
      <c r="AE67" s="3608"/>
      <c r="AF67" s="3609"/>
      <c r="AG67" s="3609"/>
      <c r="AH67" s="3609"/>
      <c r="AI67" s="3609"/>
      <c r="AJ67" s="3609"/>
      <c r="AK67" s="461"/>
      <c r="AL67" s="2175"/>
      <c r="AM67" s="892"/>
      <c r="AN67" s="808"/>
    </row>
    <row r="68" spans="1:53" s="2690" customFormat="1" ht="15.75">
      <c r="A68" s="5721"/>
      <c r="B68" s="2979" t="s">
        <v>4370</v>
      </c>
      <c r="C68" s="3599"/>
      <c r="D68" s="695"/>
      <c r="E68" s="695"/>
      <c r="F68" s="695"/>
      <c r="G68" s="695"/>
      <c r="H68" s="695"/>
      <c r="I68" s="695"/>
      <c r="J68" s="695"/>
      <c r="K68" s="695"/>
      <c r="L68" s="695"/>
      <c r="M68" s="695"/>
      <c r="N68" s="695"/>
      <c r="O68" s="695"/>
      <c r="P68" s="695"/>
      <c r="Q68" s="30"/>
      <c r="R68" s="30"/>
      <c r="S68" s="30"/>
      <c r="T68" s="30"/>
      <c r="U68" s="2980"/>
      <c r="V68" s="30"/>
      <c r="W68" s="2980" t="s">
        <v>4448</v>
      </c>
      <c r="X68" s="30"/>
      <c r="Y68" s="30"/>
      <c r="Z68" s="30"/>
      <c r="AA68" s="30"/>
      <c r="AB68" s="30"/>
      <c r="AC68" s="30"/>
      <c r="AD68" s="30"/>
      <c r="AE68" s="30"/>
      <c r="AF68" s="30"/>
      <c r="AG68" s="30"/>
      <c r="AH68" s="2981" t="s">
        <v>4410</v>
      </c>
      <c r="AI68" s="30"/>
      <c r="AJ68" s="2981" t="str">
        <f>"("&amp;TaxYear&amp;")"</f>
        <v>(2023)</v>
      </c>
      <c r="AK68" s="461"/>
      <c r="AL68" s="808"/>
      <c r="AM68" s="808"/>
      <c r="AN68" s="808"/>
      <c r="AO68" s="2038"/>
      <c r="AP68" s="2038"/>
      <c r="AQ68" s="2038"/>
      <c r="AR68" s="2038"/>
      <c r="AS68" s="2038"/>
      <c r="AT68" s="2038"/>
      <c r="AU68" s="2038"/>
      <c r="AV68" s="2038"/>
      <c r="AW68" s="2038"/>
      <c r="AX68" s="2038"/>
      <c r="AY68" s="39"/>
      <c r="AZ68" s="39"/>
    </row>
    <row r="69" spans="1:53" s="2690" customFormat="1" ht="18" customHeight="1" thickBot="1">
      <c r="A69" s="461"/>
      <c r="B69" s="964" t="str">
        <f>"Form 8606 ("&amp;TaxYear&amp;")"</f>
        <v>Form 8606 (2023)</v>
      </c>
      <c r="C69" s="3600"/>
      <c r="D69" s="964"/>
      <c r="E69" s="964"/>
      <c r="F69" s="964"/>
      <c r="G69" s="964"/>
      <c r="H69" s="964"/>
      <c r="I69" s="964"/>
      <c r="J69" s="964"/>
      <c r="K69" s="964"/>
      <c r="L69" s="964"/>
      <c r="M69" s="964"/>
      <c r="N69" s="964"/>
      <c r="O69" s="964"/>
      <c r="P69" s="964"/>
      <c r="Q69" s="964"/>
      <c r="R69" s="964"/>
      <c r="S69" s="964"/>
      <c r="T69" s="964"/>
      <c r="U69" s="964"/>
      <c r="V69" s="964"/>
      <c r="W69" s="964"/>
      <c r="X69" s="964"/>
      <c r="Y69" s="964"/>
      <c r="Z69" s="964"/>
      <c r="AA69" s="964"/>
      <c r="AB69" s="964"/>
      <c r="AC69" s="964"/>
      <c r="AD69" s="964"/>
      <c r="AE69" s="964"/>
      <c r="AF69" s="964"/>
      <c r="AG69" s="964"/>
      <c r="AH69" s="964"/>
      <c r="AI69" s="1368" t="s">
        <v>2387</v>
      </c>
      <c r="AJ69" s="1369">
        <v>2</v>
      </c>
      <c r="AK69" s="461"/>
      <c r="AL69" s="808"/>
      <c r="AM69" s="808"/>
      <c r="AN69" s="808"/>
      <c r="AO69" s="2038"/>
      <c r="AP69" s="2038"/>
      <c r="AQ69" s="2038"/>
      <c r="AR69" s="2038"/>
      <c r="AS69" s="2038"/>
      <c r="AT69" s="2038"/>
      <c r="AU69" s="2038"/>
      <c r="AV69" s="2038"/>
      <c r="AW69" s="2038"/>
      <c r="AX69" s="2038"/>
      <c r="AY69" s="39"/>
      <c r="AZ69" s="39"/>
    </row>
    <row r="70" spans="1:53" s="2690" customFormat="1" ht="19.5" customHeight="1" thickTop="1">
      <c r="A70" s="461"/>
      <c r="B70" s="9590" t="s">
        <v>982</v>
      </c>
      <c r="C70" s="9590"/>
      <c r="D70" s="3611"/>
      <c r="E70" s="3612" t="str">
        <f>TaxYear&amp;" Conversions From Traditional, Traditional SEP, or Traditional SIMPLE IRAs to Roth, Roth SEP,"</f>
        <v>2023 Conversions From Traditional, Traditional SEP, or Traditional SIMPLE IRAs to Roth, Roth SEP,</v>
      </c>
      <c r="F70" s="963"/>
      <c r="G70" s="963"/>
      <c r="H70" s="963"/>
      <c r="I70" s="963"/>
      <c r="J70" s="963"/>
      <c r="K70" s="963"/>
      <c r="L70" s="963"/>
      <c r="M70" s="963"/>
      <c r="N70" s="963"/>
      <c r="O70" s="963"/>
      <c r="P70" s="963"/>
      <c r="Q70" s="963"/>
      <c r="R70" s="963"/>
      <c r="S70" s="963"/>
      <c r="T70" s="963"/>
      <c r="U70" s="963"/>
      <c r="V70" s="963"/>
      <c r="W70" s="963"/>
      <c r="X70" s="963"/>
      <c r="Y70" s="963"/>
      <c r="Z70" s="963"/>
      <c r="AA70" s="963"/>
      <c r="AB70" s="963"/>
      <c r="AC70" s="963"/>
      <c r="AD70" s="963"/>
      <c r="AE70" s="963"/>
      <c r="AF70" s="963"/>
      <c r="AG70" s="963"/>
      <c r="AH70" s="963"/>
      <c r="AI70" s="963"/>
      <c r="AJ70" s="963"/>
      <c r="AK70" s="461"/>
      <c r="AL70" s="808"/>
      <c r="AM70" s="23"/>
      <c r="AN70" s="808"/>
      <c r="AO70" s="2038"/>
      <c r="AP70" s="2038"/>
      <c r="AQ70" s="2038"/>
      <c r="AR70" s="2038"/>
      <c r="AS70" s="2038"/>
      <c r="AT70" s="2038"/>
      <c r="AU70" s="2038"/>
      <c r="AV70" s="2038"/>
      <c r="AW70" s="2038"/>
      <c r="AX70" s="2038"/>
      <c r="AY70" s="39"/>
      <c r="AZ70" s="39"/>
    </row>
    <row r="71" spans="1:53" s="2690" customFormat="1" ht="19.5" customHeight="1">
      <c r="A71" s="461"/>
      <c r="B71" s="2434"/>
      <c r="C71" s="2434"/>
      <c r="D71" s="2434"/>
      <c r="E71" s="2434" t="s">
        <v>5751</v>
      </c>
      <c r="F71" s="808"/>
      <c r="G71" s="808"/>
      <c r="H71" s="808"/>
      <c r="I71" s="808"/>
      <c r="J71" s="808"/>
      <c r="K71" s="808"/>
      <c r="L71" s="808"/>
      <c r="M71" s="808"/>
      <c r="N71" s="808"/>
      <c r="O71" s="808"/>
      <c r="P71" s="808"/>
      <c r="Q71" s="808"/>
      <c r="R71" s="808"/>
      <c r="S71" s="808"/>
      <c r="T71" s="808"/>
      <c r="U71" s="808"/>
      <c r="V71" s="808"/>
      <c r="W71" s="808"/>
      <c r="X71" s="808"/>
      <c r="Y71" s="808"/>
      <c r="Z71" s="808"/>
      <c r="AA71" s="808"/>
      <c r="AB71" s="808"/>
      <c r="AC71" s="808"/>
      <c r="AD71" s="808"/>
      <c r="AE71" s="808"/>
      <c r="AF71" s="808"/>
      <c r="AG71" s="808"/>
      <c r="AH71" s="808"/>
      <c r="AI71" s="808"/>
      <c r="AJ71" s="808"/>
      <c r="AK71" s="461"/>
      <c r="AL71" s="808"/>
      <c r="AM71" s="23"/>
      <c r="AN71" s="808"/>
      <c r="AO71" s="2038"/>
      <c r="AP71" s="2038"/>
      <c r="AQ71" s="2038"/>
      <c r="AR71" s="2038"/>
      <c r="AS71" s="2038"/>
      <c r="AT71" s="2038"/>
      <c r="AU71" s="2038"/>
      <c r="AV71" s="2038"/>
      <c r="AW71" s="2038"/>
      <c r="AX71" s="2038"/>
      <c r="AY71" s="39"/>
      <c r="AZ71" s="39"/>
    </row>
    <row r="72" spans="1:53" s="2690" customFormat="1" ht="19.5" customHeight="1">
      <c r="A72" s="461"/>
      <c r="B72" s="2434"/>
      <c r="C72" s="2434"/>
      <c r="D72" s="2434"/>
      <c r="E72" s="2645" t="s">
        <v>5752</v>
      </c>
      <c r="F72" s="808"/>
      <c r="G72" s="808"/>
      <c r="H72" s="808"/>
      <c r="I72" s="808"/>
      <c r="J72" s="808"/>
      <c r="K72" s="808"/>
      <c r="L72" s="808"/>
      <c r="M72" s="808"/>
      <c r="N72" s="808"/>
      <c r="O72" s="808"/>
      <c r="P72" s="808"/>
      <c r="Q72" s="808"/>
      <c r="R72" s="808"/>
      <c r="S72" s="808"/>
      <c r="T72" s="808"/>
      <c r="U72" s="808"/>
      <c r="V72" s="808"/>
      <c r="W72" s="808"/>
      <c r="X72" s="808"/>
      <c r="Y72" s="808"/>
      <c r="Z72" s="808"/>
      <c r="AA72" s="808"/>
      <c r="AB72" s="808"/>
      <c r="AC72" s="808"/>
      <c r="AD72" s="808"/>
      <c r="AE72" s="808"/>
      <c r="AF72" s="808"/>
      <c r="AG72" s="808"/>
      <c r="AH72" s="808"/>
      <c r="AI72" s="808"/>
      <c r="AJ72" s="808"/>
      <c r="AK72" s="461"/>
      <c r="AL72" s="808"/>
      <c r="AM72" s="23"/>
      <c r="AN72" s="808"/>
      <c r="AO72" s="2038"/>
      <c r="AP72" s="2038"/>
      <c r="AQ72" s="2038"/>
      <c r="AR72" s="2038"/>
      <c r="AS72" s="2038"/>
      <c r="AT72" s="2038"/>
      <c r="AU72" s="2038"/>
      <c r="AV72" s="2038"/>
      <c r="AW72" s="2038"/>
      <c r="AX72" s="2038"/>
      <c r="AY72" s="39"/>
      <c r="AZ72" s="39"/>
    </row>
    <row r="73" spans="1:53" s="2690" customFormat="1" ht="16.5" customHeight="1">
      <c r="A73" s="461"/>
      <c r="B73" s="3504"/>
      <c r="C73" s="3504"/>
      <c r="D73" s="3504"/>
      <c r="E73" s="3613" t="str">
        <f>"Roth SEP, or Roth SIMPLE IRA in "&amp;TaxYear&amp;"."</f>
        <v>Roth SEP, or Roth SIMPLE IRA in 2023.</v>
      </c>
      <c r="F73" s="3504"/>
      <c r="G73" s="3504"/>
      <c r="H73" s="3504"/>
      <c r="I73" s="3504"/>
      <c r="J73" s="3504"/>
      <c r="K73" s="3504"/>
      <c r="L73" s="3504"/>
      <c r="M73" s="3504"/>
      <c r="N73" s="3504"/>
      <c r="O73" s="3504"/>
      <c r="P73" s="3504"/>
      <c r="Q73" s="3504"/>
      <c r="R73" s="3504"/>
      <c r="S73" s="3504"/>
      <c r="T73" s="3504"/>
      <c r="U73" s="3504"/>
      <c r="V73" s="3504"/>
      <c r="W73" s="3504"/>
      <c r="X73" s="3504"/>
      <c r="Y73" s="3504"/>
      <c r="Z73" s="3504"/>
      <c r="AA73" s="3504"/>
      <c r="AB73" s="3504"/>
      <c r="AC73" s="3504"/>
      <c r="AD73" s="3504"/>
      <c r="AE73" s="3504"/>
      <c r="AF73" s="3504"/>
      <c r="AG73" s="3504"/>
      <c r="AH73" s="3504"/>
      <c r="AI73" s="3504"/>
      <c r="AJ73" s="3504"/>
      <c r="AK73" s="461"/>
      <c r="AL73" s="808"/>
      <c r="AM73" s="23" t="s">
        <v>1113</v>
      </c>
      <c r="AN73" s="808"/>
      <c r="AO73" s="2038"/>
      <c r="AP73" s="2038"/>
      <c r="AQ73" s="2038"/>
      <c r="AR73" s="2038"/>
      <c r="AS73" s="2038"/>
      <c r="AT73" s="2038"/>
      <c r="AU73" s="2038"/>
      <c r="AV73" s="2038"/>
      <c r="AW73" s="2038"/>
      <c r="AX73" s="2038"/>
      <c r="AY73" s="39"/>
      <c r="AZ73" s="39"/>
    </row>
    <row r="74" spans="1:53" ht="16.5" customHeight="1" thickBot="1">
      <c r="A74" s="461"/>
      <c r="B74" s="808"/>
      <c r="C74" s="3644">
        <v>16</v>
      </c>
      <c r="D74" s="2112" t="s">
        <v>5753</v>
      </c>
      <c r="E74" s="1461"/>
      <c r="F74" s="1461"/>
      <c r="G74" s="1461"/>
      <c r="H74" s="808"/>
      <c r="I74" s="808"/>
      <c r="J74" s="808"/>
      <c r="K74" s="808"/>
      <c r="L74" s="808"/>
      <c r="M74" s="808"/>
      <c r="N74" s="808"/>
      <c r="O74" s="808"/>
      <c r="P74" s="808"/>
      <c r="Q74" s="808"/>
      <c r="R74" s="808"/>
      <c r="S74" s="808"/>
      <c r="T74" s="808"/>
      <c r="U74" s="808"/>
      <c r="V74" s="808"/>
      <c r="W74" s="808"/>
      <c r="X74" s="808"/>
      <c r="Y74" s="808"/>
      <c r="Z74" s="808"/>
      <c r="AA74" s="808"/>
      <c r="AB74" s="808"/>
      <c r="AC74" s="808"/>
      <c r="AD74" s="1126"/>
      <c r="AE74" s="808"/>
      <c r="AF74" s="808"/>
      <c r="AG74" s="808"/>
      <c r="AH74" s="808"/>
      <c r="AI74" s="808"/>
      <c r="AJ74" s="808"/>
      <c r="AK74" s="461"/>
      <c r="AL74" s="808"/>
      <c r="AM74" s="23" t="s">
        <v>1062</v>
      </c>
      <c r="AN74" s="808"/>
    </row>
    <row r="75" spans="1:53" ht="16.5" customHeight="1" thickBot="1">
      <c r="A75" s="461"/>
      <c r="B75" s="808"/>
      <c r="C75" s="3045"/>
      <c r="D75" s="2112" t="str">
        <f>"traditional, traditional SEP, and traditional SIMPLE IRAs to Roth, Roth SEP, or Roth SIMPLE IRAs in "&amp;TaxYear</f>
        <v>traditional, traditional SEP, and traditional SIMPLE IRAs to Roth, Roth SEP, or Roth SIMPLE IRAs in 2023</v>
      </c>
      <c r="E75" s="1461"/>
      <c r="F75" s="1461"/>
      <c r="G75" s="1461"/>
      <c r="H75" s="1461"/>
      <c r="I75" s="808"/>
      <c r="J75" s="808"/>
      <c r="K75" s="808"/>
      <c r="L75" s="808"/>
      <c r="M75" s="808"/>
      <c r="N75" s="808"/>
      <c r="O75" s="808"/>
      <c r="P75" s="808"/>
      <c r="Q75" s="808"/>
      <c r="R75" s="808"/>
      <c r="S75" s="808"/>
      <c r="T75" s="808"/>
      <c r="U75" s="808"/>
      <c r="V75" s="808"/>
      <c r="W75" s="808"/>
      <c r="X75" s="808"/>
      <c r="Y75" s="808"/>
      <c r="Z75" s="808"/>
      <c r="AA75" s="808"/>
      <c r="AB75" s="808"/>
      <c r="AC75" s="1128" t="s">
        <v>934</v>
      </c>
      <c r="AD75" s="1726" t="s">
        <v>289</v>
      </c>
      <c r="AE75" s="9574">
        <f>IF(AM75&lt;&gt;"",ROUND(AM75,0),IF(X50&lt;&gt;"",X50,IF(AL11&lt;&gt;"",IRA_CONV_YOU,IF(AL12&lt;&gt;"",IRA_CONV_SPOUSE))))</f>
        <v>0</v>
      </c>
      <c r="AF75" s="9591"/>
      <c r="AG75" s="9591"/>
      <c r="AH75" s="9591"/>
      <c r="AI75" s="9591"/>
      <c r="AJ75" s="9591"/>
      <c r="AK75" s="461"/>
      <c r="AL75" s="1376"/>
      <c r="AM75" s="3521"/>
      <c r="AN75" s="808"/>
    </row>
    <row r="76" spans="1:53" ht="16.5" customHeight="1" thickBot="1">
      <c r="A76" s="461"/>
      <c r="B76" s="808"/>
      <c r="C76" s="3644">
        <v>17</v>
      </c>
      <c r="D76" s="2112" t="s">
        <v>4377</v>
      </c>
      <c r="E76" s="1461"/>
      <c r="F76" s="1461"/>
      <c r="G76" s="1461"/>
      <c r="H76" s="808"/>
      <c r="I76" s="808"/>
      <c r="J76" s="808"/>
      <c r="K76" s="808"/>
      <c r="L76" s="808"/>
      <c r="M76" s="808"/>
      <c r="N76" s="808"/>
      <c r="O76" s="808"/>
      <c r="P76" s="808"/>
      <c r="Q76" s="808"/>
      <c r="R76" s="808"/>
      <c r="S76" s="808"/>
      <c r="T76" s="808"/>
      <c r="U76" s="808"/>
      <c r="V76" s="808"/>
      <c r="W76" s="808"/>
      <c r="X76" s="808"/>
      <c r="Y76" s="808"/>
      <c r="Z76" s="808"/>
      <c r="AA76" s="808"/>
      <c r="AB76" s="808"/>
      <c r="AC76" s="808"/>
      <c r="AD76" s="1126"/>
      <c r="AE76" s="9660" t="str">
        <f>IF(AL12&lt;&gt;"",IRA_CONV_TAXABLE_SPOUSE,IRA_CONV_TAXABLE_YOU)</f>
        <v>- - - -</v>
      </c>
      <c r="AF76" s="9661"/>
      <c r="AG76" s="9661"/>
      <c r="AH76" s="9661"/>
      <c r="AI76" s="9661"/>
      <c r="AJ76" s="9661"/>
      <c r="AK76" s="461"/>
      <c r="AL76" s="808"/>
      <c r="AM76" s="23" t="str">
        <f>IF(NOT(AM31),"Bases in Line 16.","")</f>
        <v/>
      </c>
      <c r="AN76" s="808"/>
    </row>
    <row r="77" spans="1:53" ht="16.5" customHeight="1" thickBot="1">
      <c r="A77" s="461"/>
      <c r="B77" s="808"/>
      <c r="C77" s="3045"/>
      <c r="D77" s="2112" t="s">
        <v>4378</v>
      </c>
      <c r="E77" s="1461"/>
      <c r="F77" s="1461"/>
      <c r="G77" s="1461"/>
      <c r="H77" s="1461"/>
      <c r="I77" s="808"/>
      <c r="J77" s="808"/>
      <c r="K77" s="808"/>
      <c r="L77" s="808"/>
      <c r="M77" s="808"/>
      <c r="N77" s="808"/>
      <c r="O77" s="808"/>
      <c r="P77" s="808"/>
      <c r="Q77" s="808"/>
      <c r="R77" s="808"/>
      <c r="S77" s="808"/>
      <c r="T77" s="808"/>
      <c r="U77" s="808"/>
      <c r="V77" s="808"/>
      <c r="W77" s="808"/>
      <c r="X77" s="808"/>
      <c r="Y77" s="808"/>
      <c r="Z77" s="808"/>
      <c r="AA77" s="808"/>
      <c r="AB77" s="808"/>
      <c r="AC77" s="1128" t="s">
        <v>3013</v>
      </c>
      <c r="AD77" s="3516" t="s">
        <v>291</v>
      </c>
      <c r="AE77" s="9592">
        <f>IF(AM77&lt;&gt;"",ROUND(AM77,0),IF(AM32,X55,IF(AE76="- - - -",AE75,IF(OR(AE76="",ISERROR(AE76+1)),"",SUM(AE75,-AE76)))))</f>
        <v>0</v>
      </c>
      <c r="AF77" s="9593"/>
      <c r="AG77" s="9593"/>
      <c r="AH77" s="9593"/>
      <c r="AI77" s="9593"/>
      <c r="AJ77" s="9593"/>
      <c r="AK77" s="461"/>
      <c r="AL77" s="1376"/>
      <c r="AM77" s="3521"/>
      <c r="AN77" s="808"/>
    </row>
    <row r="78" spans="1:53" ht="16.5" customHeight="1">
      <c r="A78" s="461"/>
      <c r="B78" s="808"/>
      <c r="C78" s="3644">
        <v>18</v>
      </c>
      <c r="D78" s="1145" t="s">
        <v>4379</v>
      </c>
      <c r="E78" s="1461"/>
      <c r="F78" s="1461"/>
      <c r="G78" s="1461"/>
      <c r="H78" s="808"/>
      <c r="I78" s="2112" t="str">
        <f>"Subtract line 17 from line 16. If more than zero, also include this amount on "&amp;TaxYear</f>
        <v>Subtract line 17 from line 16. If more than zero, also include this amount on 2023</v>
      </c>
      <c r="J78" s="808"/>
      <c r="K78" s="808"/>
      <c r="L78" s="808"/>
      <c r="M78" s="808"/>
      <c r="N78" s="808"/>
      <c r="O78" s="808"/>
      <c r="P78" s="808"/>
      <c r="Q78" s="808"/>
      <c r="R78" s="808"/>
      <c r="S78" s="808"/>
      <c r="T78" s="808"/>
      <c r="U78" s="808"/>
      <c r="V78" s="808"/>
      <c r="W78" s="808"/>
      <c r="X78" s="808"/>
      <c r="Y78" s="808"/>
      <c r="Z78" s="808"/>
      <c r="AA78" s="808"/>
      <c r="AB78" s="808"/>
      <c r="AC78" s="808"/>
      <c r="AD78" s="1126"/>
      <c r="AE78" s="9658"/>
      <c r="AF78" s="9659"/>
      <c r="AG78" s="9659"/>
      <c r="AH78" s="9659"/>
      <c r="AI78" s="9659"/>
      <c r="AJ78" s="9659"/>
      <c r="AK78" s="461"/>
      <c r="AL78" s="3653"/>
      <c r="AM78" s="3653"/>
      <c r="AN78" s="3653"/>
    </row>
    <row r="79" spans="1:53" ht="16.5" customHeight="1" thickBot="1">
      <c r="A79" s="461"/>
      <c r="B79" s="896"/>
      <c r="C79" s="3595"/>
      <c r="D79" s="2122" t="s">
        <v>4380</v>
      </c>
      <c r="E79" s="3595"/>
      <c r="F79" s="3595"/>
      <c r="G79" s="3595"/>
      <c r="H79" s="3595"/>
      <c r="I79" s="896"/>
      <c r="J79" s="896"/>
      <c r="K79" s="896"/>
      <c r="L79" s="896"/>
      <c r="M79" s="896"/>
      <c r="N79" s="896"/>
      <c r="O79" s="896"/>
      <c r="P79" s="896"/>
      <c r="Q79" s="896"/>
      <c r="R79" s="896"/>
      <c r="S79" s="896"/>
      <c r="T79" s="896"/>
      <c r="U79" s="896"/>
      <c r="V79" s="896"/>
      <c r="W79" s="896"/>
      <c r="X79" s="896"/>
      <c r="Y79" s="896"/>
      <c r="Z79" s="896"/>
      <c r="AA79" s="896"/>
      <c r="AB79" s="896"/>
      <c r="AC79" s="3614" t="s">
        <v>3937</v>
      </c>
      <c r="AD79" s="3516" t="s">
        <v>293</v>
      </c>
      <c r="AE79" s="9592">
        <f>IF(AE75="","",IF(AE77="",AE75,SUM(AE75,-AE77)))</f>
        <v>0</v>
      </c>
      <c r="AF79" s="9593"/>
      <c r="AG79" s="9593"/>
      <c r="AH79" s="9593"/>
      <c r="AI79" s="9593"/>
      <c r="AJ79" s="9593"/>
      <c r="AK79" s="461"/>
      <c r="AL79" s="3653"/>
      <c r="AM79" s="4128">
        <f>MAX(0,AE79)</f>
        <v>0</v>
      </c>
      <c r="AN79" s="3653"/>
    </row>
    <row r="80" spans="1:53" s="2690" customFormat="1" ht="19.5" customHeight="1">
      <c r="A80" s="461"/>
      <c r="B80" s="9450" t="s">
        <v>2243</v>
      </c>
      <c r="C80" s="9450"/>
      <c r="D80" s="3615"/>
      <c r="E80" s="3633" t="s">
        <v>5754</v>
      </c>
      <c r="F80" s="890"/>
      <c r="G80" s="890"/>
      <c r="H80" s="890"/>
      <c r="I80" s="890"/>
      <c r="J80" s="890"/>
      <c r="K80" s="890"/>
      <c r="L80" s="890"/>
      <c r="M80" s="890"/>
      <c r="N80" s="890"/>
      <c r="O80" s="890"/>
      <c r="P80" s="890"/>
      <c r="Q80" s="890"/>
      <c r="R80" s="890"/>
      <c r="S80" s="890"/>
      <c r="T80" s="890"/>
      <c r="U80" s="890"/>
      <c r="V80" s="890"/>
      <c r="W80" s="890"/>
      <c r="X80" s="890"/>
      <c r="Y80" s="890"/>
      <c r="Z80" s="890"/>
      <c r="AA80" s="890"/>
      <c r="AB80" s="890"/>
      <c r="AC80" s="890"/>
      <c r="AD80" s="890"/>
      <c r="AE80" s="890"/>
      <c r="AF80" s="890"/>
      <c r="AG80" s="890"/>
      <c r="AH80" s="890"/>
      <c r="AI80" s="890"/>
      <c r="AJ80" s="890"/>
      <c r="AK80" s="461"/>
      <c r="AL80" s="3653"/>
      <c r="AM80" s="3653"/>
      <c r="AN80" s="3653"/>
      <c r="AO80" s="2038"/>
      <c r="AP80" s="2038"/>
      <c r="AQ80" s="2038"/>
      <c r="AR80" s="2038"/>
      <c r="AS80" s="2038"/>
      <c r="AT80" s="2038"/>
      <c r="AU80" s="2038"/>
      <c r="AV80" s="2038"/>
      <c r="AW80" s="2038"/>
      <c r="AX80" s="2038"/>
      <c r="AY80" s="39"/>
      <c r="AZ80" s="39"/>
    </row>
    <row r="81" spans="1:52" s="2690" customFormat="1" ht="15" customHeight="1">
      <c r="A81" s="461"/>
      <c r="B81" s="3518"/>
      <c r="C81" s="3601"/>
      <c r="D81" s="3172" t="str">
        <f>"Complete this part only if you took a distribution from a Roth, Roth SEP, or Roth SIMPLE IRA in "&amp;TaxYear&amp;". For this purpose, a"</f>
        <v>Complete this part only if you took a distribution from a Roth, Roth SEP, or Roth SIMPLE IRA in 2023. For this purpose, a</v>
      </c>
      <c r="E81" s="3172"/>
      <c r="F81" s="3518"/>
      <c r="G81" s="3518"/>
      <c r="H81" s="3518"/>
      <c r="I81" s="3518"/>
      <c r="J81" s="3518"/>
      <c r="K81" s="3518"/>
      <c r="L81" s="3518"/>
      <c r="M81" s="3518"/>
      <c r="N81" s="3518"/>
      <c r="O81" s="3518"/>
      <c r="P81" s="3518"/>
      <c r="Q81" s="3518"/>
      <c r="R81" s="3518"/>
      <c r="S81" s="3518"/>
      <c r="T81" s="3518"/>
      <c r="U81" s="3518"/>
      <c r="V81" s="3518"/>
      <c r="W81" s="3518"/>
      <c r="X81" s="3518"/>
      <c r="Y81" s="3518"/>
      <c r="Z81" s="3518"/>
      <c r="AA81" s="3518"/>
      <c r="AB81" s="3518"/>
      <c r="AC81" s="3518"/>
      <c r="AD81" s="3518"/>
      <c r="AE81" s="3518"/>
      <c r="AF81" s="3518"/>
      <c r="AG81" s="3518"/>
      <c r="AH81" s="3518"/>
      <c r="AI81" s="3518"/>
      <c r="AJ81" s="3518"/>
      <c r="AK81" s="461"/>
      <c r="AL81" s="3653"/>
      <c r="AM81" s="3653"/>
      <c r="AN81" s="3653"/>
      <c r="AO81" s="2038"/>
      <c r="AP81" s="2038"/>
      <c r="AQ81" s="2038"/>
      <c r="AR81" s="2038"/>
      <c r="AS81" s="2038"/>
      <c r="AT81" s="2038"/>
      <c r="AU81" s="2038"/>
      <c r="AV81" s="2038"/>
      <c r="AW81" s="2038"/>
      <c r="AX81" s="2038"/>
      <c r="AY81" s="39"/>
      <c r="AZ81" s="39"/>
    </row>
    <row r="82" spans="1:52" s="3525" customFormat="1" ht="15.75" customHeight="1">
      <c r="A82" s="3497"/>
      <c r="B82" s="3518"/>
      <c r="C82" s="3601"/>
      <c r="D82" s="3172" t="str">
        <f>"distribution does not include a rollover (other than a repayment of a qualified disaster distribution from "&amp;TaxYear&amp;" Form(s)"</f>
        <v>distribution does not include a rollover (other than a repayment of a qualified disaster distribution from 2023 Form(s)</v>
      </c>
      <c r="E82" s="3172"/>
      <c r="F82" s="3518"/>
      <c r="G82" s="3518"/>
      <c r="H82" s="3518"/>
      <c r="I82" s="3518"/>
      <c r="J82" s="3518"/>
      <c r="K82" s="3518"/>
      <c r="L82" s="3518"/>
      <c r="M82" s="3518"/>
      <c r="N82" s="3518"/>
      <c r="O82" s="3518"/>
      <c r="P82" s="3518"/>
      <c r="Q82" s="3518"/>
      <c r="R82" s="3518"/>
      <c r="S82" s="3518"/>
      <c r="T82" s="3518"/>
      <c r="U82" s="3518"/>
      <c r="V82" s="3518"/>
      <c r="W82" s="3518"/>
      <c r="X82" s="3518"/>
      <c r="Y82" s="3518"/>
      <c r="Z82" s="3518"/>
      <c r="AA82" s="3518"/>
      <c r="AB82" s="3518"/>
      <c r="AC82" s="3518"/>
      <c r="AD82" s="3518"/>
      <c r="AE82" s="3518"/>
      <c r="AF82" s="3518"/>
      <c r="AG82" s="3518"/>
      <c r="AH82" s="3518"/>
      <c r="AI82" s="3518"/>
      <c r="AJ82" s="3518"/>
      <c r="AK82" s="3497"/>
      <c r="AL82" s="3653"/>
      <c r="AM82" s="3653"/>
      <c r="AN82" s="3653"/>
      <c r="AO82" s="3524"/>
      <c r="AP82" s="3524"/>
      <c r="AQ82" s="3524"/>
      <c r="AR82" s="3524"/>
      <c r="AS82" s="3524"/>
      <c r="AT82" s="3524"/>
      <c r="AU82" s="3524"/>
      <c r="AV82" s="3524"/>
      <c r="AW82" s="3524"/>
      <c r="AX82" s="3524"/>
      <c r="AY82" s="3499"/>
      <c r="AZ82" s="3499"/>
    </row>
    <row r="83" spans="1:52" s="3525" customFormat="1" ht="15.75" customHeight="1">
      <c r="A83" s="3497"/>
      <c r="B83" s="3518"/>
      <c r="C83" s="3601"/>
      <c r="D83" s="3172" t="s">
        <v>5755</v>
      </c>
      <c r="E83" s="3172"/>
      <c r="F83" s="3518"/>
      <c r="G83" s="3518"/>
      <c r="H83" s="3518"/>
      <c r="I83" s="3518"/>
      <c r="J83" s="3518"/>
      <c r="K83" s="3518"/>
      <c r="L83" s="3518"/>
      <c r="M83" s="3518"/>
      <c r="N83" s="3518"/>
      <c r="O83" s="3518"/>
      <c r="P83" s="3518"/>
      <c r="Q83" s="3518"/>
      <c r="R83" s="3518"/>
      <c r="S83" s="3518"/>
      <c r="T83" s="3518"/>
      <c r="U83" s="3518"/>
      <c r="V83" s="3518"/>
      <c r="W83" s="3518"/>
      <c r="X83" s="3518"/>
      <c r="Y83" s="3518"/>
      <c r="Z83" s="3518"/>
      <c r="AA83" s="3518"/>
      <c r="AB83" s="3518"/>
      <c r="AC83" s="3518"/>
      <c r="AD83" s="3518"/>
      <c r="AE83" s="3518"/>
      <c r="AF83" s="3518"/>
      <c r="AG83" s="3518"/>
      <c r="AH83" s="3518"/>
      <c r="AI83" s="3518"/>
      <c r="AJ83" s="3518"/>
      <c r="AK83" s="3497"/>
      <c r="AL83" s="3653"/>
      <c r="AM83" s="3653"/>
      <c r="AN83" s="3653"/>
      <c r="AO83" s="3524"/>
      <c r="AP83" s="3524"/>
      <c r="AQ83" s="3524"/>
      <c r="AR83" s="3524"/>
      <c r="AS83" s="3524"/>
      <c r="AT83" s="3524"/>
      <c r="AU83" s="3524"/>
      <c r="AV83" s="3524"/>
      <c r="AW83" s="3524"/>
      <c r="AX83" s="3524"/>
      <c r="AY83" s="3499"/>
      <c r="AZ83" s="3499"/>
    </row>
    <row r="84" spans="1:52" s="3525" customFormat="1" ht="17.25" customHeight="1" thickBot="1">
      <c r="A84" s="3497"/>
      <c r="B84" s="3626"/>
      <c r="C84" s="3627"/>
      <c r="D84" s="3629" t="s">
        <v>5756</v>
      </c>
      <c r="E84" s="3629"/>
      <c r="F84" s="3626"/>
      <c r="G84" s="3626"/>
      <c r="H84" s="3626"/>
      <c r="I84" s="3626"/>
      <c r="J84" s="3626"/>
      <c r="K84" s="3626"/>
      <c r="L84" s="3626"/>
      <c r="M84" s="3626"/>
      <c r="N84" s="3626"/>
      <c r="O84" s="3626"/>
      <c r="P84" s="3626"/>
      <c r="Q84" s="3626"/>
      <c r="R84" s="3626"/>
      <c r="S84" s="3626"/>
      <c r="T84" s="3626"/>
      <c r="U84" s="3626"/>
      <c r="V84" s="3626"/>
      <c r="W84" s="3626"/>
      <c r="X84" s="3626"/>
      <c r="Y84" s="3626"/>
      <c r="Z84" s="3626"/>
      <c r="AA84" s="3626"/>
      <c r="AB84" s="3626"/>
      <c r="AC84" s="3626"/>
      <c r="AD84" s="3626"/>
      <c r="AE84" s="3626"/>
      <c r="AF84" s="3626"/>
      <c r="AG84" s="3626"/>
      <c r="AH84" s="3626"/>
      <c r="AI84" s="3626"/>
      <c r="AJ84" s="3626"/>
      <c r="AK84" s="3497"/>
      <c r="AL84" s="3653"/>
      <c r="AM84" s="3653"/>
      <c r="AN84" s="3653"/>
      <c r="AO84" s="3524"/>
      <c r="AP84" s="3524"/>
      <c r="AQ84" s="3524"/>
      <c r="AR84" s="3524"/>
      <c r="AS84" s="3524"/>
      <c r="AT84" s="3524"/>
      <c r="AU84" s="3524"/>
      <c r="AV84" s="3524"/>
      <c r="AW84" s="3524"/>
      <c r="AX84" s="3524"/>
      <c r="AY84" s="3499"/>
      <c r="AZ84" s="3499"/>
    </row>
    <row r="85" spans="1:52" s="2690" customFormat="1" ht="16.5" customHeight="1">
      <c r="A85" s="461"/>
      <c r="B85" s="3630"/>
      <c r="C85" s="3646">
        <v>19</v>
      </c>
      <c r="D85" s="5068" t="str">
        <f>"Enter your total nonqualified distributions from Roth, Roth SEP, and Roth SIMPLE IRAs in "&amp;TaxYear&amp;","</f>
        <v>Enter your total nonqualified distributions from Roth, Roth SEP, and Roth SIMPLE IRAs in 2023,</v>
      </c>
      <c r="E85" s="3631"/>
      <c r="F85" s="1119"/>
      <c r="G85" s="1119"/>
      <c r="H85" s="1119"/>
      <c r="I85" s="1119"/>
      <c r="J85" s="1119"/>
      <c r="K85" s="1119"/>
      <c r="L85" s="1119"/>
      <c r="M85" s="1119"/>
      <c r="N85" s="1119"/>
      <c r="O85" s="1119"/>
      <c r="P85" s="1119"/>
      <c r="Q85" s="1119"/>
      <c r="R85" s="1119"/>
      <c r="S85" s="1119"/>
      <c r="T85" s="1119"/>
      <c r="U85" s="1119"/>
      <c r="V85" s="1119"/>
      <c r="W85" s="1119"/>
      <c r="X85" s="1119"/>
      <c r="Y85" s="1119"/>
      <c r="Z85" s="1119"/>
      <c r="AA85" s="1119"/>
      <c r="AB85" s="1119"/>
      <c r="AC85" s="1119"/>
      <c r="AD85" s="3632"/>
      <c r="AE85" s="1119"/>
      <c r="AF85" s="1119"/>
      <c r="AG85" s="1119"/>
      <c r="AH85" s="1119"/>
      <c r="AI85" s="1119"/>
      <c r="AJ85" s="1119"/>
      <c r="AK85" s="461"/>
      <c r="AL85" s="808"/>
      <c r="AM85" s="808"/>
      <c r="AN85" s="808"/>
      <c r="AO85" s="2038"/>
      <c r="AP85" s="2038"/>
      <c r="AQ85" s="2038"/>
      <c r="AR85" s="2038"/>
      <c r="AS85" s="2038"/>
      <c r="AT85" s="2038"/>
      <c r="AU85" s="2038"/>
      <c r="AV85" s="2038"/>
      <c r="AW85" s="2038"/>
      <c r="AX85" s="2038"/>
      <c r="AY85" s="39"/>
      <c r="AZ85" s="39"/>
    </row>
    <row r="86" spans="1:52" s="2690" customFormat="1" ht="16.5" customHeight="1">
      <c r="A86" s="461"/>
      <c r="B86" s="3620"/>
      <c r="C86" s="3045"/>
      <c r="D86" s="1108" t="s">
        <v>5757</v>
      </c>
      <c r="E86" s="2112"/>
      <c r="F86" s="892"/>
      <c r="G86" s="892"/>
      <c r="H86" s="892"/>
      <c r="I86" s="892"/>
      <c r="J86" s="892"/>
      <c r="K86" s="892"/>
      <c r="L86" s="892"/>
      <c r="M86" s="892"/>
      <c r="N86" s="3621"/>
      <c r="O86" s="892"/>
      <c r="P86" s="892"/>
      <c r="Q86" s="892"/>
      <c r="R86" s="892"/>
      <c r="S86" s="892"/>
      <c r="T86" s="3621"/>
      <c r="U86" s="2447"/>
      <c r="V86" s="892"/>
      <c r="W86" s="892"/>
      <c r="X86" s="892"/>
      <c r="Y86" s="892"/>
      <c r="Z86" s="892"/>
      <c r="AA86" s="892"/>
      <c r="AB86" s="3621"/>
      <c r="AC86" s="892"/>
      <c r="AD86" s="3625"/>
      <c r="AE86" s="892"/>
      <c r="AF86" s="892"/>
      <c r="AG86" s="892"/>
      <c r="AH86" s="892"/>
      <c r="AI86" s="892"/>
      <c r="AJ86" s="892"/>
      <c r="AK86" s="461"/>
      <c r="AL86" s="808"/>
      <c r="AM86" s="808"/>
      <c r="AN86" s="808"/>
      <c r="AO86" s="2038"/>
      <c r="AP86" s="2038"/>
      <c r="AQ86" s="2038"/>
      <c r="AR86" s="2038"/>
      <c r="AS86" s="2038"/>
      <c r="AT86" s="2038"/>
      <c r="AU86" s="2038"/>
      <c r="AV86" s="2038"/>
      <c r="AW86" s="2038"/>
      <c r="AX86" s="2038"/>
      <c r="AY86" s="39"/>
      <c r="AZ86" s="39"/>
    </row>
    <row r="87" spans="1:52" ht="16.5" customHeight="1">
      <c r="A87" s="461"/>
      <c r="B87" s="808"/>
      <c r="C87" s="3045"/>
      <c r="D87" s="1108" t="str">
        <f>TaxYear&amp;" Form(s) 8915-F (see instructions)"</f>
        <v>2023 Form(s) 8915-F (see instructions)</v>
      </c>
      <c r="E87" s="1461"/>
      <c r="F87" s="1461"/>
      <c r="G87" s="1461"/>
      <c r="H87" s="1461"/>
      <c r="I87" s="808"/>
      <c r="J87" s="808"/>
      <c r="K87" s="808"/>
      <c r="L87" s="808"/>
      <c r="M87" s="808"/>
      <c r="N87" s="808"/>
      <c r="O87" s="808"/>
      <c r="P87" s="808"/>
      <c r="Q87" s="808"/>
      <c r="R87" s="808"/>
      <c r="S87" s="808"/>
      <c r="T87" s="808"/>
      <c r="U87" s="808"/>
      <c r="V87" s="808"/>
      <c r="W87" s="808"/>
      <c r="X87" s="808"/>
      <c r="Y87" s="808"/>
      <c r="Z87" s="808"/>
      <c r="AA87" s="808"/>
      <c r="AB87" s="808"/>
      <c r="AC87" s="1128" t="s">
        <v>5758</v>
      </c>
      <c r="AD87" s="1726" t="s">
        <v>295</v>
      </c>
      <c r="AE87" s="9564"/>
      <c r="AF87" s="9594"/>
      <c r="AG87" s="9594"/>
      <c r="AH87" s="9594"/>
      <c r="AI87" s="9594"/>
      <c r="AJ87" s="9594"/>
      <c r="AK87" s="461"/>
      <c r="AL87" s="1376"/>
      <c r="AM87" s="1376"/>
      <c r="AN87" s="808"/>
    </row>
    <row r="88" spans="1:52" ht="16.5" customHeight="1">
      <c r="A88" s="461"/>
      <c r="B88" s="808"/>
      <c r="C88" s="3644" t="s">
        <v>297</v>
      </c>
      <c r="D88" s="1108" t="s">
        <v>4381</v>
      </c>
      <c r="E88" s="1461"/>
      <c r="F88" s="1461"/>
      <c r="G88" s="1461"/>
      <c r="H88" s="808"/>
      <c r="I88" s="808"/>
      <c r="J88" s="808"/>
      <c r="K88" s="808"/>
      <c r="L88" s="808"/>
      <c r="M88" s="808"/>
      <c r="N88" s="808"/>
      <c r="O88" s="808"/>
      <c r="P88" s="808"/>
      <c r="Q88" s="808"/>
      <c r="R88" s="2112"/>
      <c r="S88" s="2112" t="s">
        <v>4382</v>
      </c>
      <c r="T88" s="808"/>
      <c r="U88" s="808"/>
      <c r="V88" s="808"/>
      <c r="W88" s="808"/>
      <c r="X88" s="2112"/>
      <c r="Y88" s="2112" t="str">
        <f>TEXT(AE88,"$0,000")&amp;" reduced"</f>
        <v>$10,000 reduced</v>
      </c>
      <c r="Z88" s="808"/>
      <c r="AA88" s="808"/>
      <c r="AB88" s="808"/>
      <c r="AC88" s="808"/>
      <c r="AD88" s="1126"/>
      <c r="AE88" s="9595">
        <v>10000</v>
      </c>
      <c r="AF88" s="9596"/>
      <c r="AG88" s="9596"/>
      <c r="AH88" s="9596"/>
      <c r="AI88" s="9596"/>
      <c r="AJ88" s="9596"/>
      <c r="AK88" s="461"/>
      <c r="AL88" s="808"/>
      <c r="AM88" s="808"/>
      <c r="AN88" s="808"/>
    </row>
    <row r="89" spans="1:52" ht="16.5" customHeight="1">
      <c r="A89" s="461"/>
      <c r="B89" s="808"/>
      <c r="C89" s="3045"/>
      <c r="D89" s="5069" t="s">
        <v>4383</v>
      </c>
      <c r="E89" s="1461"/>
      <c r="F89" s="1461"/>
      <c r="G89" s="1461"/>
      <c r="H89" s="1461"/>
      <c r="I89" s="808"/>
      <c r="J89" s="808"/>
      <c r="K89" s="808"/>
      <c r="L89" s="808"/>
      <c r="M89" s="808"/>
      <c r="N89" s="808"/>
      <c r="O89" s="808"/>
      <c r="P89" s="808"/>
      <c r="Q89" s="808"/>
      <c r="R89" s="808"/>
      <c r="S89" s="808"/>
      <c r="T89" s="808"/>
      <c r="U89" s="808"/>
      <c r="V89" s="808"/>
      <c r="W89" s="808"/>
      <c r="X89" s="808"/>
      <c r="Y89" s="808"/>
      <c r="Z89" s="808"/>
      <c r="AA89" s="808"/>
      <c r="AB89" s="808"/>
      <c r="AC89" s="1128" t="s">
        <v>1302</v>
      </c>
      <c r="AD89" s="1726" t="s">
        <v>297</v>
      </c>
      <c r="AE89" s="9564"/>
      <c r="AF89" s="9594"/>
      <c r="AG89" s="9594"/>
      <c r="AH89" s="9594"/>
      <c r="AI89" s="9594"/>
      <c r="AJ89" s="9594"/>
      <c r="AK89" s="461"/>
      <c r="AL89" s="1376"/>
      <c r="AM89" s="1376"/>
      <c r="AN89" s="808"/>
    </row>
    <row r="90" spans="1:52" ht="16.5" customHeight="1">
      <c r="A90" s="461"/>
      <c r="B90" s="808"/>
      <c r="C90" s="3644" t="s">
        <v>4384</v>
      </c>
      <c r="D90" s="1108" t="s">
        <v>4200</v>
      </c>
      <c r="E90" s="2112"/>
      <c r="F90" s="808"/>
      <c r="G90" s="808"/>
      <c r="H90" s="808"/>
      <c r="I90" s="808"/>
      <c r="J90" s="808"/>
      <c r="K90" s="808"/>
      <c r="L90" s="3604"/>
      <c r="M90" s="2112"/>
      <c r="N90" s="808"/>
      <c r="O90" s="808"/>
      <c r="P90" s="808"/>
      <c r="Q90" s="808"/>
      <c r="R90" s="808"/>
      <c r="S90" s="808"/>
      <c r="T90" s="808"/>
      <c r="U90" s="808"/>
      <c r="V90" s="808"/>
      <c r="W90" s="808"/>
      <c r="X90" s="808"/>
      <c r="Y90" s="808"/>
      <c r="Z90" s="808"/>
      <c r="AA90" s="808"/>
      <c r="AB90" s="808"/>
      <c r="AC90" s="1128" t="s">
        <v>4385</v>
      </c>
      <c r="AD90" s="1727">
        <v>21</v>
      </c>
      <c r="AE90" s="9597" t="str">
        <f>IF(AE87="","",MAX(0,SUM(AE87,-AE89)))</f>
        <v/>
      </c>
      <c r="AF90" s="9598"/>
      <c r="AG90" s="9598"/>
      <c r="AH90" s="9598"/>
      <c r="AI90" s="9598"/>
      <c r="AJ90" s="9598"/>
      <c r="AK90" s="461"/>
      <c r="AL90" s="808"/>
      <c r="AM90" s="900" t="b">
        <f>AND(AE90&lt;&gt;"",AE90=0)</f>
        <v>0</v>
      </c>
      <c r="AN90" s="808"/>
      <c r="AY90" s="1281"/>
      <c r="AZ90" s="1281"/>
    </row>
    <row r="91" spans="1:52" ht="16.5" customHeight="1">
      <c r="A91" s="461"/>
      <c r="B91" s="808"/>
      <c r="C91" s="3644">
        <v>22</v>
      </c>
      <c r="D91" s="1108" t="s">
        <v>5759</v>
      </c>
      <c r="E91" s="1461"/>
      <c r="F91" s="1461"/>
      <c r="G91" s="1461"/>
      <c r="H91" s="808"/>
      <c r="I91" s="808"/>
      <c r="J91" s="808"/>
      <c r="K91" s="808"/>
      <c r="L91" s="808"/>
      <c r="M91" s="808"/>
      <c r="N91" s="808"/>
      <c r="O91" s="808"/>
      <c r="P91" s="808"/>
      <c r="Q91" s="808"/>
      <c r="R91" s="2112"/>
      <c r="S91" s="808"/>
      <c r="T91" s="808"/>
      <c r="U91" s="808"/>
      <c r="V91" s="808"/>
      <c r="W91" s="808"/>
      <c r="X91" s="2112"/>
      <c r="Y91" s="808"/>
      <c r="Z91" s="808"/>
      <c r="AA91" s="808"/>
      <c r="AB91" s="808"/>
      <c r="AC91" s="808"/>
      <c r="AD91" s="1123"/>
      <c r="AE91" s="9654"/>
      <c r="AF91" s="9655"/>
      <c r="AG91" s="9655"/>
      <c r="AH91" s="9655"/>
      <c r="AI91" s="9655"/>
      <c r="AJ91" s="9655"/>
      <c r="AK91" s="461"/>
      <c r="AL91" s="808"/>
      <c r="AM91" s="808"/>
      <c r="AN91" s="808"/>
    </row>
    <row r="92" spans="1:52" ht="16.5" customHeight="1">
      <c r="A92" s="461"/>
      <c r="B92" s="808"/>
      <c r="C92" s="3644"/>
      <c r="D92" s="1108" t="s">
        <v>5760</v>
      </c>
      <c r="E92" s="2112"/>
      <c r="F92" s="808"/>
      <c r="G92" s="808"/>
      <c r="H92" s="808"/>
      <c r="I92" s="1108" t="s">
        <v>5761</v>
      </c>
      <c r="J92" s="808"/>
      <c r="K92" s="808"/>
      <c r="L92" s="3604"/>
      <c r="M92" s="2112"/>
      <c r="N92" s="808"/>
      <c r="O92" s="808"/>
      <c r="P92" s="808"/>
      <c r="Q92" s="808"/>
      <c r="R92" s="808"/>
      <c r="S92" s="2112"/>
      <c r="T92" s="2112"/>
      <c r="U92" s="808"/>
      <c r="V92" s="808"/>
      <c r="W92" s="808"/>
      <c r="X92" s="808"/>
      <c r="Y92" s="808"/>
      <c r="Z92" s="808"/>
      <c r="AA92" s="808"/>
      <c r="AB92" s="808"/>
      <c r="AC92" s="1128" t="s">
        <v>3013</v>
      </c>
      <c r="AD92" s="1726">
        <v>22</v>
      </c>
      <c r="AE92" s="9564"/>
      <c r="AF92" s="9594"/>
      <c r="AG92" s="9594"/>
      <c r="AH92" s="9594"/>
      <c r="AI92" s="9594"/>
      <c r="AJ92" s="9594"/>
      <c r="AK92" s="461"/>
      <c r="AL92" s="808"/>
      <c r="AM92" s="808"/>
      <c r="AN92" s="808"/>
      <c r="AY92" s="1281"/>
      <c r="AZ92" s="1281"/>
    </row>
    <row r="93" spans="1:52" ht="16.5" customHeight="1">
      <c r="A93" s="461"/>
      <c r="B93" s="808"/>
      <c r="C93" s="3644">
        <v>23</v>
      </c>
      <c r="D93" s="2112" t="s">
        <v>4387</v>
      </c>
      <c r="E93" s="1461"/>
      <c r="F93" s="1461"/>
      <c r="G93" s="1461"/>
      <c r="H93" s="808"/>
      <c r="I93" s="808"/>
      <c r="J93" s="808"/>
      <c r="K93" s="808"/>
      <c r="L93" s="808"/>
      <c r="M93" s="808"/>
      <c r="N93" s="808"/>
      <c r="O93" s="808"/>
      <c r="P93" s="808"/>
      <c r="Q93" s="808"/>
      <c r="R93" s="2112"/>
      <c r="S93" s="808"/>
      <c r="T93" s="808"/>
      <c r="U93" s="808"/>
      <c r="V93" s="808"/>
      <c r="W93" s="808"/>
      <c r="X93" s="2112"/>
      <c r="Y93" s="808"/>
      <c r="Z93" s="808"/>
      <c r="AA93" s="808"/>
      <c r="AB93" s="808"/>
      <c r="AC93" s="808"/>
      <c r="AD93" s="1126"/>
      <c r="AE93" s="9654"/>
      <c r="AF93" s="9655"/>
      <c r="AG93" s="9655"/>
      <c r="AH93" s="9655"/>
      <c r="AI93" s="9655"/>
      <c r="AJ93" s="9655"/>
      <c r="AK93" s="461"/>
      <c r="AL93" s="808"/>
      <c r="AM93" s="808"/>
      <c r="AN93" s="808"/>
    </row>
    <row r="94" spans="1:52" ht="16.5" customHeight="1">
      <c r="A94" s="461"/>
      <c r="B94" s="808"/>
      <c r="C94" s="3045"/>
      <c r="D94" s="2112" t="s">
        <v>4388</v>
      </c>
      <c r="E94" s="1461"/>
      <c r="F94" s="1461"/>
      <c r="G94" s="1461"/>
      <c r="H94" s="1461"/>
      <c r="I94" s="808"/>
      <c r="J94" s="808"/>
      <c r="K94" s="808"/>
      <c r="L94" s="808"/>
      <c r="M94" s="808"/>
      <c r="N94" s="808"/>
      <c r="O94" s="808"/>
      <c r="P94" s="808"/>
      <c r="Q94" s="808"/>
      <c r="R94" s="808"/>
      <c r="S94" s="808"/>
      <c r="T94" s="808"/>
      <c r="U94" s="808"/>
      <c r="V94" s="808"/>
      <c r="W94" s="808"/>
      <c r="X94" s="808"/>
      <c r="Y94" s="808"/>
      <c r="Z94" s="808"/>
      <c r="AA94" s="808"/>
      <c r="AB94" s="808"/>
      <c r="AC94" s="1128" t="s">
        <v>2832</v>
      </c>
      <c r="AD94" s="1726">
        <v>23</v>
      </c>
      <c r="AE94" s="9574" t="str">
        <f>IF(AE87="","",IF(NOT(AM90),MAX(0,SUM(AE90,-AE92)),""))</f>
        <v/>
      </c>
      <c r="AF94" s="9591"/>
      <c r="AG94" s="9591"/>
      <c r="AH94" s="9591"/>
      <c r="AI94" s="9591"/>
      <c r="AJ94" s="9591"/>
      <c r="AK94" s="461"/>
      <c r="AL94" s="1376"/>
      <c r="AM94" s="1376"/>
      <c r="AN94" s="808"/>
    </row>
    <row r="95" spans="1:52" ht="16.5" customHeight="1">
      <c r="A95" s="461"/>
      <c r="B95" s="808"/>
      <c r="C95" s="3644">
        <v>24</v>
      </c>
      <c r="D95" s="2112" t="s">
        <v>5762</v>
      </c>
      <c r="E95" s="1461"/>
      <c r="F95" s="1461"/>
      <c r="G95" s="1461"/>
      <c r="H95" s="808"/>
      <c r="I95" s="808"/>
      <c r="J95" s="808"/>
      <c r="K95" s="808"/>
      <c r="L95" s="808"/>
      <c r="M95" s="808"/>
      <c r="N95" s="808"/>
      <c r="O95" s="808"/>
      <c r="P95" s="808"/>
      <c r="Q95" s="808"/>
      <c r="R95" s="2112"/>
      <c r="S95" s="808"/>
      <c r="T95" s="808"/>
      <c r="U95" s="808"/>
      <c r="V95" s="808"/>
      <c r="W95" s="808"/>
      <c r="X95" s="2112"/>
      <c r="Y95" s="808"/>
      <c r="Z95" s="808"/>
      <c r="AA95" s="808"/>
      <c r="AB95" s="808"/>
      <c r="AC95" s="808"/>
      <c r="AD95" s="1126"/>
      <c r="AE95" s="9654"/>
      <c r="AF95" s="9655"/>
      <c r="AG95" s="9655"/>
      <c r="AH95" s="9655"/>
      <c r="AI95" s="9655"/>
      <c r="AJ95" s="9655"/>
      <c r="AK95" s="461"/>
      <c r="AL95" s="808"/>
      <c r="AM95" s="808"/>
      <c r="AN95" s="808"/>
    </row>
    <row r="96" spans="1:52" ht="16.5" customHeight="1">
      <c r="A96" s="461"/>
      <c r="B96" s="808"/>
      <c r="C96" s="3045"/>
      <c r="D96" s="2112" t="s">
        <v>5763</v>
      </c>
      <c r="E96" s="1461"/>
      <c r="F96" s="1461"/>
      <c r="G96" s="1461"/>
      <c r="H96" s="1461"/>
      <c r="I96" s="808"/>
      <c r="J96" s="808"/>
      <c r="K96" s="808"/>
      <c r="L96" s="808"/>
      <c r="M96" s="808"/>
      <c r="N96" s="808"/>
      <c r="O96" s="808"/>
      <c r="P96" s="808"/>
      <c r="Q96" s="808"/>
      <c r="R96" s="808"/>
      <c r="S96" s="808"/>
      <c r="T96" s="808"/>
      <c r="U96" s="808"/>
      <c r="V96" s="808"/>
      <c r="W96" s="808"/>
      <c r="X96" s="808"/>
      <c r="Y96" s="808"/>
      <c r="Z96" s="808"/>
      <c r="AA96" s="808"/>
      <c r="AB96" s="808"/>
      <c r="AC96" s="1128" t="s">
        <v>992</v>
      </c>
      <c r="AD96" s="1726">
        <v>24</v>
      </c>
      <c r="AE96" s="9564"/>
      <c r="AF96" s="9594"/>
      <c r="AG96" s="9594"/>
      <c r="AH96" s="9594"/>
      <c r="AI96" s="9594"/>
      <c r="AJ96" s="9594"/>
      <c r="AK96" s="461"/>
      <c r="AL96" s="1376"/>
      <c r="AM96" s="1376"/>
      <c r="AN96" s="808"/>
    </row>
    <row r="97" spans="1:52" ht="16.5" customHeight="1">
      <c r="A97" s="461"/>
      <c r="B97" s="808"/>
      <c r="C97" s="3644" t="s">
        <v>4389</v>
      </c>
      <c r="D97" s="2645" t="s">
        <v>4390</v>
      </c>
      <c r="E97" s="2112"/>
      <c r="F97" s="808"/>
      <c r="G97" s="808"/>
      <c r="H97" s="808"/>
      <c r="I97" s="808"/>
      <c r="J97" s="808"/>
      <c r="K97" s="808"/>
      <c r="L97" s="808"/>
      <c r="M97" s="808"/>
      <c r="N97" s="808"/>
      <c r="O97" s="808"/>
      <c r="P97" s="808"/>
      <c r="Q97" s="808"/>
      <c r="R97" s="808"/>
      <c r="S97" s="808"/>
      <c r="T97" s="808"/>
      <c r="U97" s="808"/>
      <c r="V97" s="808"/>
      <c r="W97" s="808"/>
      <c r="X97" s="808"/>
      <c r="Y97" s="808"/>
      <c r="Z97" s="808"/>
      <c r="AA97" s="808"/>
      <c r="AB97" s="808"/>
      <c r="AC97" s="2760" t="s">
        <v>930</v>
      </c>
      <c r="AD97" s="1726" t="s">
        <v>758</v>
      </c>
      <c r="AE97" s="9597" t="str">
        <f>IF(AE87="","",IF(NOT(AM90),MAX(0,SUM(AE94,-AE96)),""))</f>
        <v/>
      </c>
      <c r="AF97" s="9598"/>
      <c r="AG97" s="9598"/>
      <c r="AH97" s="9598"/>
      <c r="AI97" s="9598"/>
      <c r="AJ97" s="9598"/>
      <c r="AK97" s="461"/>
      <c r="AL97" s="808"/>
      <c r="AM97" s="808"/>
      <c r="AN97" s="808"/>
      <c r="AY97" s="1281"/>
      <c r="AZ97" s="1281"/>
    </row>
    <row r="98" spans="1:52" ht="16.5" customHeight="1">
      <c r="A98" s="461"/>
      <c r="B98" s="808"/>
      <c r="C98" s="3645" t="s">
        <v>644</v>
      </c>
      <c r="D98" s="2112" t="str">
        <f>"Enter the amount on line 25a attributable to qualified disaster distributions, if any, from "&amp;TaxYear&amp;" Form(s)"</f>
        <v>Enter the amount on line 25a attributable to qualified disaster distributions, if any, from 2023 Form(s)</v>
      </c>
      <c r="E98" s="2112"/>
      <c r="F98" s="808"/>
      <c r="G98" s="808"/>
      <c r="H98" s="808"/>
      <c r="I98" s="808"/>
      <c r="J98" s="808"/>
      <c r="K98" s="808"/>
      <c r="L98" s="808"/>
      <c r="M98" s="808"/>
      <c r="N98" s="808"/>
      <c r="O98" s="808"/>
      <c r="P98" s="808"/>
      <c r="Q98" s="808"/>
      <c r="R98" s="808"/>
      <c r="S98" s="808"/>
      <c r="T98" s="808"/>
      <c r="U98" s="808"/>
      <c r="V98" s="808"/>
      <c r="W98" s="808"/>
      <c r="X98" s="808"/>
      <c r="Y98" s="808"/>
      <c r="Z98" s="2112"/>
      <c r="AA98" s="808"/>
      <c r="AB98" s="808"/>
      <c r="AC98" s="1151"/>
      <c r="AD98" s="1126"/>
      <c r="AE98" s="808"/>
      <c r="AF98" s="808"/>
      <c r="AG98" s="808"/>
      <c r="AH98" s="808"/>
      <c r="AI98" s="808"/>
      <c r="AJ98" s="808"/>
      <c r="AK98" s="461"/>
      <c r="AL98" s="808"/>
      <c r="AM98" s="808"/>
      <c r="AN98" s="808"/>
    </row>
    <row r="99" spans="1:52" ht="16.5" customHeight="1">
      <c r="A99" s="461"/>
      <c r="B99" s="808"/>
      <c r="C99" s="3045"/>
      <c r="D99" s="2112" t="str">
        <f>"8915-F (see instructions).   Also, enter this amount on "&amp;TaxYear&amp;" Form(s) 8915-F, line 19, as applicable (see"</f>
        <v>8915-F (see instructions).   Also, enter this amount on 2023 Form(s) 8915-F, line 19, as applicable (see</v>
      </c>
      <c r="E99" s="1461"/>
      <c r="F99" s="1461"/>
      <c r="G99" s="1461"/>
      <c r="H99" s="808"/>
      <c r="I99" s="808"/>
      <c r="J99" s="808"/>
      <c r="K99" s="808"/>
      <c r="L99" s="808"/>
      <c r="M99" s="808"/>
      <c r="N99" s="808"/>
      <c r="O99" s="808"/>
      <c r="P99" s="808"/>
      <c r="Q99" s="808"/>
      <c r="R99" s="808"/>
      <c r="S99" s="808"/>
      <c r="T99" s="808"/>
      <c r="U99" s="808"/>
      <c r="V99" s="808"/>
      <c r="W99" s="808"/>
      <c r="X99" s="2448"/>
      <c r="Y99" s="2112"/>
      <c r="Z99" s="808"/>
      <c r="AA99" s="2112"/>
      <c r="AB99" s="2112"/>
      <c r="AC99" s="4566"/>
      <c r="AD99" s="1126"/>
      <c r="AE99" s="808"/>
      <c r="AF99" s="808"/>
      <c r="AG99" s="808"/>
      <c r="AH99" s="808"/>
      <c r="AI99" s="808"/>
      <c r="AJ99" s="808"/>
      <c r="AK99" s="461"/>
      <c r="AL99" s="808"/>
      <c r="AM99" s="808"/>
      <c r="AN99" s="808"/>
    </row>
    <row r="100" spans="1:52" ht="16.5" customHeight="1">
      <c r="A100" s="461"/>
      <c r="B100" s="808"/>
      <c r="C100" s="3045"/>
      <c r="D100" s="2112" t="s">
        <v>943</v>
      </c>
      <c r="E100" s="1461"/>
      <c r="F100" s="1461"/>
      <c r="G100" s="1461"/>
      <c r="H100" s="1461"/>
      <c r="I100" s="808"/>
      <c r="J100" s="808"/>
      <c r="K100" s="2112"/>
      <c r="L100" s="808"/>
      <c r="M100" s="808"/>
      <c r="N100" s="808"/>
      <c r="O100" s="808"/>
      <c r="P100" s="808"/>
      <c r="Q100" s="808"/>
      <c r="R100" s="808"/>
      <c r="S100" s="808"/>
      <c r="T100" s="808"/>
      <c r="U100" s="808"/>
      <c r="V100" s="808"/>
      <c r="W100" s="808"/>
      <c r="X100" s="808"/>
      <c r="Y100" s="808"/>
      <c r="Z100" s="808"/>
      <c r="AA100" s="808"/>
      <c r="AB100" s="808"/>
      <c r="AC100" s="1128" t="s">
        <v>1328</v>
      </c>
      <c r="AD100" s="1726" t="s">
        <v>760</v>
      </c>
      <c r="AE100" s="9564"/>
      <c r="AF100" s="9594"/>
      <c r="AG100" s="9594"/>
      <c r="AH100" s="9594"/>
      <c r="AI100" s="9594"/>
      <c r="AJ100" s="9594"/>
      <c r="AK100" s="461"/>
      <c r="AL100" s="1376"/>
      <c r="AM100" s="1376"/>
      <c r="AN100" s="808"/>
    </row>
    <row r="101" spans="1:52" ht="16.5" customHeight="1">
      <c r="A101" s="461"/>
      <c r="B101" s="808"/>
      <c r="C101" s="3645" t="s">
        <v>648</v>
      </c>
      <c r="D101" s="1145" t="s">
        <v>4379</v>
      </c>
      <c r="E101" s="1461"/>
      <c r="F101" s="1461"/>
      <c r="G101" s="1461"/>
      <c r="H101" s="808"/>
      <c r="I101" s="2112" t="str">
        <f>"Subtract line 25b from line 25a. If more than zero, also include this amount on "&amp;TaxYear</f>
        <v>Subtract line 25b from line 25a. If more than zero, also include this amount on 2023</v>
      </c>
      <c r="J101" s="808"/>
      <c r="K101" s="808"/>
      <c r="L101" s="808"/>
      <c r="M101" s="808"/>
      <c r="N101" s="808"/>
      <c r="O101" s="808"/>
      <c r="P101" s="808"/>
      <c r="Q101" s="808"/>
      <c r="R101" s="808"/>
      <c r="S101" s="808"/>
      <c r="T101" s="808"/>
      <c r="U101" s="808"/>
      <c r="V101" s="808"/>
      <c r="W101" s="808"/>
      <c r="X101" s="808"/>
      <c r="Y101" s="808"/>
      <c r="Z101" s="808"/>
      <c r="AA101" s="808"/>
      <c r="AB101" s="808"/>
      <c r="AC101" s="808"/>
      <c r="AD101" s="1126"/>
      <c r="AE101" s="808"/>
      <c r="AF101" s="808"/>
      <c r="AG101" s="808"/>
      <c r="AH101" s="808"/>
      <c r="AI101" s="808"/>
      <c r="AJ101" s="808"/>
      <c r="AK101" s="461"/>
      <c r="AL101" s="808"/>
      <c r="AM101" s="808"/>
      <c r="AN101" s="808"/>
    </row>
    <row r="102" spans="1:52" ht="16.5" customHeight="1" thickBot="1">
      <c r="A102" s="461"/>
      <c r="B102" s="896"/>
      <c r="C102" s="3647"/>
      <c r="D102" s="2122" t="s">
        <v>4391</v>
      </c>
      <c r="E102" s="3595"/>
      <c r="F102" s="3595"/>
      <c r="G102" s="3595"/>
      <c r="H102" s="3595"/>
      <c r="I102" s="896"/>
      <c r="J102" s="896"/>
      <c r="K102" s="896"/>
      <c r="L102" s="896"/>
      <c r="M102" s="896"/>
      <c r="N102" s="896"/>
      <c r="O102" s="896"/>
      <c r="P102" s="896"/>
      <c r="Q102" s="896"/>
      <c r="R102" s="896"/>
      <c r="S102" s="896"/>
      <c r="T102" s="896"/>
      <c r="U102" s="896"/>
      <c r="V102" s="896"/>
      <c r="W102" s="896"/>
      <c r="X102" s="896"/>
      <c r="Y102" s="896"/>
      <c r="Z102" s="896"/>
      <c r="AA102" s="896"/>
      <c r="AB102" s="896"/>
      <c r="AC102" s="3614" t="s">
        <v>1009</v>
      </c>
      <c r="AD102" s="3516" t="s">
        <v>765</v>
      </c>
      <c r="AE102" s="9592" t="str">
        <f>IF(AE87="","",IF(NOT(AM90),MAX(0,SUM(AE97,-AE100)),""))</f>
        <v/>
      </c>
      <c r="AF102" s="9593"/>
      <c r="AG102" s="9593"/>
      <c r="AH102" s="9593"/>
      <c r="AI102" s="9593"/>
      <c r="AJ102" s="9593"/>
      <c r="AK102" s="461"/>
      <c r="AL102" s="1376"/>
      <c r="AM102" s="1376"/>
      <c r="AN102" s="808"/>
    </row>
    <row r="103" spans="1:52" s="2690" customFormat="1" ht="12" customHeight="1">
      <c r="A103" s="461"/>
      <c r="B103" s="9603" t="s">
        <v>4392</v>
      </c>
      <c r="C103" s="9603"/>
      <c r="D103" s="9603"/>
      <c r="E103" s="9603"/>
      <c r="F103" s="9603"/>
      <c r="G103" s="9603"/>
      <c r="H103" s="9604"/>
      <c r="I103" s="1714" t="s">
        <v>4393</v>
      </c>
      <c r="J103" s="2449"/>
      <c r="K103" s="2449"/>
      <c r="L103" s="2449"/>
      <c r="M103" s="2449"/>
      <c r="N103" s="2449"/>
      <c r="O103" s="892"/>
      <c r="P103" s="892"/>
      <c r="Q103" s="892"/>
      <c r="R103" s="892"/>
      <c r="S103" s="892"/>
      <c r="T103" s="892"/>
      <c r="U103" s="3622"/>
      <c r="V103" s="2449"/>
      <c r="W103" s="2449"/>
      <c r="X103" s="2449"/>
      <c r="Y103" s="2449"/>
      <c r="Z103" s="2449"/>
      <c r="AA103" s="2449"/>
      <c r="AB103" s="2449"/>
      <c r="AC103" s="2449"/>
      <c r="AD103" s="2449"/>
      <c r="AE103" s="2449"/>
      <c r="AF103" s="892"/>
      <c r="AG103" s="892"/>
      <c r="AH103" s="892"/>
      <c r="AI103" s="892"/>
      <c r="AJ103" s="892"/>
      <c r="AK103" s="461"/>
      <c r="AL103" s="808"/>
      <c r="AM103" s="808"/>
      <c r="AN103" s="808"/>
      <c r="AO103" s="2038"/>
      <c r="AP103" s="2038"/>
      <c r="AQ103" s="2038"/>
      <c r="AR103" s="2038"/>
      <c r="AS103" s="2038"/>
      <c r="AT103" s="2038"/>
      <c r="AU103" s="2038"/>
      <c r="AV103" s="2038"/>
      <c r="AW103" s="2038"/>
      <c r="AX103" s="2038"/>
      <c r="AY103" s="39"/>
      <c r="AZ103" s="39"/>
    </row>
    <row r="104" spans="1:52" s="2690" customFormat="1" ht="14.25" customHeight="1">
      <c r="A104" s="461"/>
      <c r="B104" s="9605"/>
      <c r="C104" s="9605"/>
      <c r="D104" s="9605"/>
      <c r="E104" s="9605"/>
      <c r="F104" s="9605"/>
      <c r="G104" s="9605"/>
      <c r="H104" s="9606"/>
      <c r="I104" s="4934" t="s">
        <v>4394</v>
      </c>
      <c r="J104" s="2449"/>
      <c r="K104" s="2449"/>
      <c r="L104" s="2449"/>
      <c r="M104" s="2449"/>
      <c r="N104" s="2449"/>
      <c r="O104" s="3623"/>
      <c r="P104" s="892"/>
      <c r="Q104" s="892"/>
      <c r="R104" s="3623"/>
      <c r="S104" s="892"/>
      <c r="T104" s="892"/>
      <c r="U104" s="892"/>
      <c r="V104" s="2449"/>
      <c r="W104" s="2449"/>
      <c r="X104" s="2449"/>
      <c r="Y104" s="2449"/>
      <c r="Z104" s="2449"/>
      <c r="AA104" s="2449"/>
      <c r="AB104" s="2449"/>
      <c r="AC104" s="2449"/>
      <c r="AD104" s="2449"/>
      <c r="AE104" s="2449"/>
      <c r="AF104" s="3623"/>
      <c r="AG104" s="892"/>
      <c r="AH104" s="892"/>
      <c r="AI104" s="3623"/>
      <c r="AJ104" s="892"/>
      <c r="AK104" s="461"/>
      <c r="AL104" s="808"/>
      <c r="AM104" s="808"/>
      <c r="AN104" s="808"/>
      <c r="AO104" s="2038"/>
      <c r="AP104" s="2038"/>
      <c r="AQ104" s="2038"/>
      <c r="AR104" s="2038"/>
      <c r="AS104" s="2038"/>
      <c r="AT104" s="2038"/>
      <c r="AU104" s="2038"/>
      <c r="AV104" s="2038"/>
      <c r="AW104" s="2038"/>
      <c r="AX104" s="2038"/>
      <c r="AY104" s="39"/>
      <c r="AZ104" s="39"/>
    </row>
    <row r="105" spans="1:52" s="2690" customFormat="1" ht="15.75" customHeight="1">
      <c r="A105" s="461"/>
      <c r="B105" s="3174" t="s">
        <v>4395</v>
      </c>
      <c r="C105" s="3045"/>
      <c r="D105" s="1108"/>
      <c r="E105" s="2450"/>
      <c r="F105" s="2450"/>
      <c r="G105" s="2450"/>
      <c r="H105" s="3648"/>
      <c r="I105" s="2449"/>
      <c r="J105" s="2449"/>
      <c r="K105" s="2449"/>
      <c r="L105" s="2449"/>
      <c r="M105" s="2449"/>
      <c r="N105" s="2449"/>
      <c r="O105" s="892"/>
      <c r="P105" s="892"/>
      <c r="Q105" s="892"/>
      <c r="R105" s="892"/>
      <c r="S105" s="892"/>
      <c r="T105" s="892"/>
      <c r="U105" s="892"/>
      <c r="V105" s="2449"/>
      <c r="W105" s="2449"/>
      <c r="X105" s="2449"/>
      <c r="Y105" s="2449"/>
      <c r="Z105" s="2449"/>
      <c r="AA105" s="2449"/>
      <c r="AB105" s="2449"/>
      <c r="AC105" s="2449"/>
      <c r="AD105" s="2449"/>
      <c r="AE105" s="2449"/>
      <c r="AF105" s="892"/>
      <c r="AG105" s="892"/>
      <c r="AH105" s="892"/>
      <c r="AI105" s="892"/>
      <c r="AJ105" s="892"/>
      <c r="AK105" s="461"/>
      <c r="AL105" s="808"/>
      <c r="AM105" s="808"/>
      <c r="AN105" s="808"/>
      <c r="AO105" s="2042"/>
      <c r="AP105" s="2042"/>
      <c r="AQ105" s="2042"/>
      <c r="AR105" s="2042"/>
      <c r="AS105" s="2042"/>
      <c r="AT105" s="2042"/>
      <c r="AU105" s="2042"/>
      <c r="AV105" s="2042"/>
      <c r="AW105" s="2042"/>
      <c r="AX105" s="2042"/>
      <c r="AY105" s="39"/>
      <c r="AZ105" s="39"/>
    </row>
    <row r="106" spans="1:52" s="2690" customFormat="1" ht="15.75" customHeight="1">
      <c r="A106" s="461"/>
      <c r="B106" s="3174" t="s">
        <v>4396</v>
      </c>
      <c r="C106" s="3045"/>
      <c r="D106" s="3619"/>
      <c r="E106" s="2450"/>
      <c r="F106" s="2450"/>
      <c r="G106" s="2450"/>
      <c r="H106" s="3648"/>
      <c r="I106" s="2449"/>
      <c r="J106" s="2449"/>
      <c r="K106" s="2449"/>
      <c r="L106" s="2449"/>
      <c r="M106" s="2449"/>
      <c r="N106" s="2449"/>
      <c r="O106" s="892"/>
      <c r="P106" s="892"/>
      <c r="Q106" s="892"/>
      <c r="R106" s="892"/>
      <c r="S106" s="892"/>
      <c r="T106" s="892"/>
      <c r="U106" s="3624"/>
      <c r="V106" s="2449"/>
      <c r="W106" s="2449"/>
      <c r="X106" s="2449"/>
      <c r="Y106" s="2449"/>
      <c r="Z106" s="2449"/>
      <c r="AA106" s="2449"/>
      <c r="AB106" s="2449"/>
      <c r="AC106" s="2449"/>
      <c r="AD106" s="9675"/>
      <c r="AE106" s="9675"/>
      <c r="AF106" s="9675"/>
      <c r="AG106" s="9675"/>
      <c r="AH106" s="9675"/>
      <c r="AI106" s="9675"/>
      <c r="AJ106" s="9675"/>
      <c r="AK106" s="461"/>
      <c r="AL106" s="808"/>
      <c r="AM106" s="808"/>
      <c r="AN106" s="808"/>
      <c r="AO106" s="2038"/>
      <c r="AP106" s="2038"/>
      <c r="AQ106" s="2038"/>
      <c r="AR106" s="2038"/>
      <c r="AS106" s="2038"/>
      <c r="AT106" s="2038"/>
      <c r="AU106" s="2038"/>
      <c r="AV106" s="2038"/>
      <c r="AW106" s="2038"/>
      <c r="AX106" s="2038"/>
      <c r="AY106" s="39"/>
      <c r="AZ106" s="39"/>
    </row>
    <row r="107" spans="1:52" s="2690" customFormat="1" ht="15.75" customHeight="1">
      <c r="A107" s="461"/>
      <c r="B107" s="3174" t="s">
        <v>4397</v>
      </c>
      <c r="C107" s="3045"/>
      <c r="D107" s="1108"/>
      <c r="E107" s="2450"/>
      <c r="F107" s="2450"/>
      <c r="G107" s="2450"/>
      <c r="H107" s="3648"/>
      <c r="I107" s="3635"/>
      <c r="J107" s="2488"/>
      <c r="K107" s="2488"/>
      <c r="L107" s="2488"/>
      <c r="M107" s="2488"/>
      <c r="N107" s="2488"/>
      <c r="O107" s="3637"/>
      <c r="P107" s="1260"/>
      <c r="Q107" s="1260"/>
      <c r="R107" s="3637"/>
      <c r="S107" s="1260"/>
      <c r="T107" s="1260"/>
      <c r="U107" s="1260"/>
      <c r="V107" s="2488"/>
      <c r="W107" s="2488"/>
      <c r="X107" s="2488"/>
      <c r="Y107" s="2488"/>
      <c r="Z107" s="2488"/>
      <c r="AA107" s="2488"/>
      <c r="AB107" s="2449"/>
      <c r="AC107" s="2449"/>
      <c r="AD107" s="9676"/>
      <c r="AE107" s="9676"/>
      <c r="AF107" s="9676"/>
      <c r="AG107" s="9676"/>
      <c r="AH107" s="9676"/>
      <c r="AI107" s="9676"/>
      <c r="AJ107" s="9676"/>
      <c r="AK107" s="461"/>
      <c r="AL107" s="808"/>
      <c r="AM107" s="808"/>
      <c r="AN107" s="808"/>
      <c r="AO107" s="2038"/>
      <c r="AP107" s="2038"/>
      <c r="AQ107" s="2038"/>
      <c r="AR107" s="2038"/>
      <c r="AS107" s="2038"/>
      <c r="AT107" s="2038"/>
      <c r="AU107" s="2038"/>
      <c r="AV107" s="2038"/>
      <c r="AW107" s="2038"/>
      <c r="AX107" s="2038"/>
      <c r="AY107" s="39"/>
      <c r="AZ107" s="39"/>
    </row>
    <row r="108" spans="1:52" s="2690" customFormat="1" ht="11.25" customHeight="1">
      <c r="A108" s="461"/>
      <c r="B108" s="1260"/>
      <c r="C108" s="3618"/>
      <c r="D108" s="1260"/>
      <c r="E108" s="2488"/>
      <c r="F108" s="2488"/>
      <c r="G108" s="2488"/>
      <c r="H108" s="3634"/>
      <c r="I108" s="3636"/>
      <c r="J108" s="1719" t="s">
        <v>828</v>
      </c>
      <c r="K108" s="2488"/>
      <c r="L108" s="2488"/>
      <c r="M108" s="2488"/>
      <c r="N108" s="2488"/>
      <c r="O108" s="1260"/>
      <c r="P108" s="1260"/>
      <c r="Q108" s="1260"/>
      <c r="R108" s="1260"/>
      <c r="S108" s="1260"/>
      <c r="T108" s="1260"/>
      <c r="U108" s="1260"/>
      <c r="V108" s="2488"/>
      <c r="W108" s="2488"/>
      <c r="X108" s="2488"/>
      <c r="Y108" s="2488"/>
      <c r="Z108" s="2488"/>
      <c r="AA108" s="2488"/>
      <c r="AB108" s="2488"/>
      <c r="AC108" s="2488"/>
      <c r="AD108" s="1719" t="s">
        <v>251</v>
      </c>
      <c r="AE108" s="2488"/>
      <c r="AF108" s="1260"/>
      <c r="AG108" s="1260"/>
      <c r="AH108" s="1260"/>
      <c r="AI108" s="1260"/>
      <c r="AJ108" s="1260"/>
      <c r="AK108" s="461"/>
      <c r="AL108" s="808"/>
      <c r="AM108" s="808"/>
      <c r="AN108" s="808"/>
      <c r="AO108" s="2038"/>
      <c r="AP108" s="2038"/>
      <c r="AQ108" s="2038"/>
      <c r="AR108" s="2038"/>
      <c r="AS108" s="2038"/>
      <c r="AT108" s="2038"/>
      <c r="AU108" s="2038"/>
      <c r="AV108" s="2038"/>
      <c r="AW108" s="2038"/>
      <c r="AX108" s="2038"/>
      <c r="AY108" s="39"/>
      <c r="AZ108" s="39"/>
    </row>
    <row r="109" spans="1:52" s="2690" customFormat="1" ht="12.75" customHeight="1">
      <c r="A109" s="461"/>
      <c r="B109" s="9628" t="s">
        <v>4398</v>
      </c>
      <c r="C109" s="9628"/>
      <c r="D109" s="9628"/>
      <c r="E109" s="9629"/>
      <c r="F109" s="2456" t="s">
        <v>4399</v>
      </c>
      <c r="G109" s="3616"/>
      <c r="H109" s="3616"/>
      <c r="I109" s="3616"/>
      <c r="J109" s="3616"/>
      <c r="K109" s="3616"/>
      <c r="L109" s="3616"/>
      <c r="M109" s="3616"/>
      <c r="N109" s="3616"/>
      <c r="O109" s="3617"/>
      <c r="P109" s="2456" t="s">
        <v>4400</v>
      </c>
      <c r="Q109" s="3616"/>
      <c r="R109" s="3616"/>
      <c r="S109" s="3616"/>
      <c r="T109" s="1259"/>
      <c r="U109" s="3638"/>
      <c r="V109" s="3616"/>
      <c r="W109" s="3616"/>
      <c r="X109" s="3616"/>
      <c r="Y109" s="3617"/>
      <c r="Z109" s="2456" t="s">
        <v>4401</v>
      </c>
      <c r="AA109" s="3616"/>
      <c r="AB109" s="3616"/>
      <c r="AC109" s="3617"/>
      <c r="AD109" s="2456" t="s">
        <v>4402</v>
      </c>
      <c r="AE109" s="3616"/>
      <c r="AF109" s="3616" t="s">
        <v>4403</v>
      </c>
      <c r="AG109" s="2456" t="s">
        <v>4404</v>
      </c>
      <c r="AH109" s="3616"/>
      <c r="AI109" s="3616"/>
      <c r="AJ109" s="3616"/>
      <c r="AK109" s="461"/>
      <c r="AL109" s="808"/>
      <c r="AM109" s="808"/>
      <c r="AN109" s="808"/>
      <c r="AO109" s="2038"/>
      <c r="AP109" s="2038"/>
      <c r="AQ109" s="2038"/>
      <c r="AR109" s="2038"/>
      <c r="AS109" s="2038"/>
      <c r="AT109" s="2038"/>
      <c r="AU109" s="2038"/>
      <c r="AV109" s="2038"/>
      <c r="AW109" s="2038"/>
      <c r="AX109" s="2038"/>
      <c r="AY109" s="39"/>
      <c r="AZ109" s="39"/>
    </row>
    <row r="110" spans="1:52" s="2690" customFormat="1" ht="13.5" customHeight="1">
      <c r="A110" s="461"/>
      <c r="B110" s="9630"/>
      <c r="C110" s="9630"/>
      <c r="D110" s="9630"/>
      <c r="E110" s="9631"/>
      <c r="F110" s="9634"/>
      <c r="G110" s="9635"/>
      <c r="H110" s="9635"/>
      <c r="I110" s="9635"/>
      <c r="J110" s="9635"/>
      <c r="K110" s="9635"/>
      <c r="L110" s="9635"/>
      <c r="M110" s="9635"/>
      <c r="N110" s="9635"/>
      <c r="O110" s="9636"/>
      <c r="P110" s="3635"/>
      <c r="Q110" s="2449"/>
      <c r="R110" s="2449"/>
      <c r="S110" s="2449"/>
      <c r="T110" s="892"/>
      <c r="U110" s="892"/>
      <c r="V110" s="2449"/>
      <c r="W110" s="2449"/>
      <c r="X110" s="2449"/>
      <c r="Y110" s="3596"/>
      <c r="Z110" s="9639"/>
      <c r="AA110" s="9640"/>
      <c r="AB110" s="9640"/>
      <c r="AC110" s="9641"/>
      <c r="AD110" s="2340"/>
      <c r="AE110" s="1114"/>
      <c r="AF110" s="2449"/>
      <c r="AG110" s="9645"/>
      <c r="AH110" s="9646"/>
      <c r="AI110" s="9646"/>
      <c r="AJ110" s="9646"/>
      <c r="AK110" s="461"/>
      <c r="AL110" s="808"/>
      <c r="AM110" s="808"/>
      <c r="AN110" s="808"/>
      <c r="AO110" s="2038"/>
      <c r="AP110" s="2038"/>
      <c r="AQ110" s="2038"/>
      <c r="AR110" s="2038"/>
      <c r="AS110" s="2038"/>
      <c r="AT110" s="2038"/>
      <c r="AU110" s="2038"/>
      <c r="AV110" s="2038"/>
      <c r="AW110" s="2038"/>
      <c r="AX110" s="2038"/>
      <c r="AY110" s="39"/>
      <c r="AZ110" s="39"/>
    </row>
    <row r="111" spans="1:52" s="2690" customFormat="1" ht="13.5" customHeight="1">
      <c r="A111" s="461"/>
      <c r="B111" s="9630"/>
      <c r="C111" s="9630"/>
      <c r="D111" s="9630"/>
      <c r="E111" s="9631"/>
      <c r="F111" s="9637"/>
      <c r="G111" s="6632"/>
      <c r="H111" s="6632"/>
      <c r="I111" s="6632"/>
      <c r="J111" s="6632"/>
      <c r="K111" s="6632"/>
      <c r="L111" s="6632"/>
      <c r="M111" s="6632"/>
      <c r="N111" s="6632"/>
      <c r="O111" s="9638"/>
      <c r="P111" s="3636"/>
      <c r="Q111" s="2488"/>
      <c r="R111" s="2488"/>
      <c r="S111" s="2488"/>
      <c r="T111" s="1260"/>
      <c r="U111" s="1260"/>
      <c r="V111" s="2488"/>
      <c r="W111" s="2488"/>
      <c r="X111" s="2488"/>
      <c r="Y111" s="3634"/>
      <c r="Z111" s="9642"/>
      <c r="AA111" s="9643"/>
      <c r="AB111" s="9643"/>
      <c r="AC111" s="9644"/>
      <c r="AD111" s="3023" t="s">
        <v>4405</v>
      </c>
      <c r="AE111" s="2488"/>
      <c r="AF111" s="2488"/>
      <c r="AG111" s="9647"/>
      <c r="AH111" s="9648"/>
      <c r="AI111" s="9648"/>
      <c r="AJ111" s="9648"/>
      <c r="AK111" s="461"/>
      <c r="AL111" s="808"/>
      <c r="AM111" s="808"/>
      <c r="AN111" s="808"/>
      <c r="AO111" s="2038"/>
      <c r="AP111" s="2038"/>
      <c r="AQ111" s="2038"/>
      <c r="AR111" s="2038"/>
      <c r="AS111" s="2038"/>
      <c r="AT111" s="2038"/>
      <c r="AU111" s="2038"/>
      <c r="AV111" s="2038"/>
      <c r="AW111" s="2038"/>
      <c r="AX111" s="2038"/>
      <c r="AY111" s="39"/>
      <c r="AZ111" s="39"/>
    </row>
    <row r="112" spans="1:52" s="2690" customFormat="1" ht="14.25" customHeight="1">
      <c r="A112" s="461"/>
      <c r="B112" s="9630"/>
      <c r="C112" s="9630"/>
      <c r="D112" s="9630"/>
      <c r="E112" s="9631"/>
      <c r="F112" s="3639" t="s">
        <v>4406</v>
      </c>
      <c r="G112" s="3640"/>
      <c r="H112" s="3641"/>
      <c r="I112" s="3641"/>
      <c r="J112" s="3641"/>
      <c r="K112" s="9649"/>
      <c r="L112" s="9649"/>
      <c r="M112" s="9649"/>
      <c r="N112" s="9649"/>
      <c r="O112" s="9649"/>
      <c r="P112" s="9649"/>
      <c r="Q112" s="9649"/>
      <c r="R112" s="9649"/>
      <c r="S112" s="9649"/>
      <c r="T112" s="9649"/>
      <c r="U112" s="9649"/>
      <c r="V112" s="9649"/>
      <c r="W112" s="9649"/>
      <c r="X112" s="9649"/>
      <c r="Y112" s="9649"/>
      <c r="Z112" s="9649"/>
      <c r="AA112" s="9649"/>
      <c r="AB112" s="9649"/>
      <c r="AC112" s="9667"/>
      <c r="AD112" s="3639" t="s">
        <v>4407</v>
      </c>
      <c r="AE112" s="3641"/>
      <c r="AF112" s="2188"/>
      <c r="AG112" s="7361"/>
      <c r="AH112" s="7361"/>
      <c r="AI112" s="7361"/>
      <c r="AJ112" s="7361"/>
      <c r="AK112" s="461"/>
      <c r="AL112" s="808"/>
      <c r="AM112" s="808"/>
      <c r="AN112" s="808"/>
      <c r="AO112" s="2038"/>
      <c r="AP112" s="2038"/>
      <c r="AQ112" s="2038"/>
      <c r="AR112" s="2038"/>
      <c r="AS112" s="2038"/>
      <c r="AT112" s="2038"/>
      <c r="AU112" s="2038"/>
      <c r="AV112" s="2038"/>
      <c r="AW112" s="2038"/>
      <c r="AX112" s="2038"/>
      <c r="AY112" s="39"/>
      <c r="AZ112" s="39"/>
    </row>
    <row r="113" spans="1:52" s="2690" customFormat="1" ht="14.25" customHeight="1" thickBot="1">
      <c r="A113" s="461"/>
      <c r="B113" s="9632"/>
      <c r="C113" s="9632"/>
      <c r="D113" s="9632"/>
      <c r="E113" s="9633"/>
      <c r="F113" s="3642" t="s">
        <v>4408</v>
      </c>
      <c r="G113" s="3643"/>
      <c r="H113" s="3643"/>
      <c r="I113" s="3643"/>
      <c r="J113" s="3643"/>
      <c r="K113" s="9650"/>
      <c r="L113" s="9650"/>
      <c r="M113" s="9650"/>
      <c r="N113" s="9650"/>
      <c r="O113" s="9650"/>
      <c r="P113" s="9650"/>
      <c r="Q113" s="9650"/>
      <c r="R113" s="9650"/>
      <c r="S113" s="9650"/>
      <c r="T113" s="9650"/>
      <c r="U113" s="9650"/>
      <c r="V113" s="9650"/>
      <c r="W113" s="9650"/>
      <c r="X113" s="9650"/>
      <c r="Y113" s="9650"/>
      <c r="Z113" s="9650"/>
      <c r="AA113" s="9650"/>
      <c r="AB113" s="9650"/>
      <c r="AC113" s="9666"/>
      <c r="AD113" s="3642" t="s">
        <v>4409</v>
      </c>
      <c r="AE113" s="3643"/>
      <c r="AF113" s="3643"/>
      <c r="AG113" s="9651"/>
      <c r="AH113" s="9651"/>
      <c r="AI113" s="9651"/>
      <c r="AJ113" s="9651"/>
      <c r="AK113" s="461"/>
      <c r="AL113" s="808"/>
      <c r="AM113" s="808"/>
      <c r="AN113" s="808"/>
      <c r="AO113" s="2038"/>
      <c r="AP113" s="2038"/>
      <c r="AQ113" s="2038"/>
      <c r="AR113" s="2038"/>
      <c r="AS113" s="2038"/>
      <c r="AT113" s="2038"/>
      <c r="AU113" s="2038"/>
      <c r="AV113" s="2038"/>
      <c r="AW113" s="2038"/>
      <c r="AX113" s="2038"/>
      <c r="AY113" s="39"/>
      <c r="AZ113" s="39"/>
    </row>
    <row r="114" spans="1:52" s="2690" customFormat="1" ht="16.5" thickTop="1">
      <c r="A114" s="461"/>
      <c r="B114" s="1262"/>
      <c r="C114" s="1325"/>
      <c r="D114" s="61"/>
      <c r="E114" s="61"/>
      <c r="F114" s="61"/>
      <c r="G114" s="61"/>
      <c r="H114" s="61"/>
      <c r="I114" s="61"/>
      <c r="J114" s="61"/>
      <c r="K114" s="61"/>
      <c r="L114" s="61"/>
      <c r="M114" s="61"/>
      <c r="N114" s="61"/>
      <c r="O114" s="61"/>
      <c r="P114" s="61"/>
      <c r="Q114" s="22"/>
      <c r="R114" s="22"/>
      <c r="S114" s="22"/>
      <c r="T114" s="22"/>
      <c r="U114" s="337"/>
      <c r="V114" s="22"/>
      <c r="W114" s="337"/>
      <c r="X114" s="22"/>
      <c r="Y114" s="22"/>
      <c r="Z114" s="22"/>
      <c r="AA114" s="22"/>
      <c r="AB114" s="22"/>
      <c r="AC114" s="22"/>
      <c r="AD114" s="22"/>
      <c r="AE114" s="22"/>
      <c r="AF114" s="22"/>
      <c r="AG114" s="22"/>
      <c r="AH114" s="705" t="s">
        <v>4410</v>
      </c>
      <c r="AI114" s="22"/>
      <c r="AJ114" s="705" t="str">
        <f>"("&amp;TaxYear&amp;")"</f>
        <v>(2023)</v>
      </c>
      <c r="AK114" s="461"/>
      <c r="AL114" s="1461"/>
      <c r="AM114" s="1461"/>
      <c r="AN114" s="808"/>
      <c r="AO114" s="2038"/>
      <c r="AP114" s="2038"/>
      <c r="AQ114" s="2038"/>
      <c r="AR114" s="2038"/>
      <c r="AS114" s="2038"/>
      <c r="AT114" s="2038"/>
      <c r="AU114" s="2038"/>
      <c r="AV114" s="2038"/>
      <c r="AW114" s="2038"/>
      <c r="AX114" s="2038"/>
      <c r="AY114" s="39"/>
      <c r="AZ114" s="39"/>
    </row>
    <row r="115" spans="1:52" s="2690" customFormat="1" ht="24" customHeight="1">
      <c r="A115" s="461"/>
      <c r="B115" s="808"/>
      <c r="C115" s="1461"/>
      <c r="D115" s="9613" t="s">
        <v>135</v>
      </c>
      <c r="E115" s="9613"/>
      <c r="F115" s="9613"/>
      <c r="G115" s="9613"/>
      <c r="H115" s="4558"/>
      <c r="I115" s="9668" t="s">
        <v>4411</v>
      </c>
      <c r="J115" s="9669"/>
      <c r="K115" s="9669"/>
      <c r="L115" s="9669"/>
      <c r="M115" s="9669"/>
      <c r="N115" s="9669"/>
      <c r="O115" s="9669"/>
      <c r="P115" s="9669"/>
      <c r="Q115" s="9669"/>
      <c r="R115" s="9669"/>
      <c r="S115" s="9669"/>
      <c r="T115" s="9669"/>
      <c r="U115" s="9669"/>
      <c r="V115" s="9669"/>
      <c r="W115" s="9669"/>
      <c r="X115" s="9669"/>
      <c r="Y115" s="9669"/>
      <c r="Z115" s="9669"/>
      <c r="AA115" s="9669"/>
      <c r="AB115" s="9670"/>
      <c r="AC115" s="9671" t="s">
        <v>576</v>
      </c>
      <c r="AD115" s="6725"/>
      <c r="AE115" s="6725"/>
      <c r="AF115" s="6725"/>
      <c r="AG115" s="6725"/>
      <c r="AH115" s="6725"/>
      <c r="AI115" s="6725"/>
      <c r="AJ115" s="6725"/>
      <c r="AK115" s="461"/>
      <c r="AL115" s="808"/>
      <c r="AM115" s="808"/>
      <c r="AN115" s="808"/>
      <c r="AO115" s="2038"/>
      <c r="AP115" s="2038"/>
      <c r="AQ115" s="2038"/>
      <c r="AR115" s="2038"/>
      <c r="AS115" s="2038"/>
      <c r="AT115" s="2038"/>
      <c r="AU115" s="2038"/>
      <c r="AV115" s="2038"/>
      <c r="AW115" s="2038"/>
      <c r="AX115" s="2038"/>
      <c r="AY115" s="39"/>
      <c r="AZ115" s="39"/>
    </row>
    <row r="116" spans="1:52" s="2690" customFormat="1" ht="24" customHeight="1">
      <c r="A116" s="461"/>
      <c r="B116" s="8774" t="s">
        <v>50</v>
      </c>
      <c r="C116" s="8774"/>
      <c r="D116" s="9613"/>
      <c r="E116" s="9613"/>
      <c r="F116" s="9613"/>
      <c r="G116" s="9613"/>
      <c r="H116" s="4558"/>
      <c r="I116" s="9668"/>
      <c r="J116" s="9669"/>
      <c r="K116" s="9669"/>
      <c r="L116" s="9669"/>
      <c r="M116" s="9669"/>
      <c r="N116" s="9669"/>
      <c r="O116" s="9669"/>
      <c r="P116" s="9669"/>
      <c r="Q116" s="9669"/>
      <c r="R116" s="9669"/>
      <c r="S116" s="9669"/>
      <c r="T116" s="9669"/>
      <c r="U116" s="9669"/>
      <c r="V116" s="9669"/>
      <c r="W116" s="9669"/>
      <c r="X116" s="9669"/>
      <c r="Y116" s="9669"/>
      <c r="Z116" s="9669"/>
      <c r="AA116" s="9669"/>
      <c r="AB116" s="9670"/>
      <c r="AC116" s="9672">
        <f>TaxYear</f>
        <v>2023</v>
      </c>
      <c r="AD116" s="9463"/>
      <c r="AE116" s="9463"/>
      <c r="AF116" s="9463"/>
      <c r="AG116" s="9463"/>
      <c r="AH116" s="9463"/>
      <c r="AI116" s="9463"/>
      <c r="AJ116" s="9463"/>
      <c r="AK116" s="461"/>
      <c r="AL116" s="808"/>
      <c r="AM116" s="808"/>
      <c r="AN116" s="808"/>
      <c r="AO116" s="2038"/>
      <c r="AP116" s="2038"/>
      <c r="AQ116" s="2038"/>
      <c r="AR116" s="2038"/>
      <c r="AS116" s="2038"/>
      <c r="AT116" s="2038"/>
      <c r="AU116" s="2038"/>
      <c r="AV116" s="2038"/>
      <c r="AW116" s="2038"/>
      <c r="AX116" s="2038"/>
      <c r="AY116" s="39"/>
      <c r="AZ116" s="39"/>
    </row>
    <row r="117" spans="1:52" s="2690" customFormat="1" ht="6.75" customHeight="1">
      <c r="A117" s="461"/>
      <c r="B117" s="808"/>
      <c r="C117" s="1461"/>
      <c r="D117" s="808"/>
      <c r="E117" s="808"/>
      <c r="F117" s="808"/>
      <c r="G117" s="808"/>
      <c r="H117" s="4558"/>
      <c r="I117" s="9589" t="s">
        <v>880</v>
      </c>
      <c r="J117" s="9589"/>
      <c r="K117" s="9589"/>
      <c r="L117" s="9589"/>
      <c r="M117" s="9589"/>
      <c r="N117" s="9589"/>
      <c r="O117" s="9589"/>
      <c r="P117" s="9589"/>
      <c r="Q117" s="9589"/>
      <c r="R117" s="9589"/>
      <c r="S117" s="9589"/>
      <c r="T117" s="9589"/>
      <c r="U117" s="9589"/>
      <c r="V117" s="9589"/>
      <c r="W117" s="9589"/>
      <c r="X117" s="9589"/>
      <c r="Y117" s="9589"/>
      <c r="Z117" s="9589"/>
      <c r="AA117" s="9589"/>
      <c r="AB117" s="9589"/>
      <c r="AC117" s="9673"/>
      <c r="AD117" s="9674"/>
      <c r="AE117" s="9674"/>
      <c r="AF117" s="9674"/>
      <c r="AG117" s="9674"/>
      <c r="AH117" s="9674"/>
      <c r="AI117" s="9674"/>
      <c r="AJ117" s="9674"/>
      <c r="AK117" s="461"/>
      <c r="AL117" s="808"/>
      <c r="AM117" s="808"/>
      <c r="AN117" s="808"/>
      <c r="AO117" s="2038"/>
      <c r="AP117" s="2038"/>
      <c r="AQ117" s="2038"/>
      <c r="AR117" s="2038"/>
      <c r="AS117" s="2038"/>
      <c r="AT117" s="2038"/>
      <c r="AU117" s="2038"/>
      <c r="AV117" s="2038"/>
      <c r="AW117" s="2038"/>
      <c r="AX117" s="2038"/>
      <c r="AY117" s="39"/>
      <c r="AZ117" s="39"/>
    </row>
    <row r="118" spans="1:52" s="2690" customFormat="1" ht="12.75" customHeight="1" thickBot="1">
      <c r="A118" s="461"/>
      <c r="B118" s="808" t="s">
        <v>535</v>
      </c>
      <c r="C118" s="1461"/>
      <c r="D118" s="808"/>
      <c r="E118" s="808"/>
      <c r="F118" s="808"/>
      <c r="G118" s="808"/>
      <c r="H118" s="4558"/>
      <c r="I118" s="9589"/>
      <c r="J118" s="9589"/>
      <c r="K118" s="9589"/>
      <c r="L118" s="9589"/>
      <c r="M118" s="9589"/>
      <c r="N118" s="9589"/>
      <c r="O118" s="9589"/>
      <c r="P118" s="9589"/>
      <c r="Q118" s="9589"/>
      <c r="R118" s="9589"/>
      <c r="S118" s="9589"/>
      <c r="T118" s="9589"/>
      <c r="U118" s="9589"/>
      <c r="V118" s="9589"/>
      <c r="W118" s="9589"/>
      <c r="X118" s="9589"/>
      <c r="Y118" s="9589"/>
      <c r="Z118" s="9589"/>
      <c r="AA118" s="9589"/>
      <c r="AB118" s="9589"/>
      <c r="AC118" s="808"/>
      <c r="AD118" s="8472" t="s">
        <v>3899</v>
      </c>
      <c r="AE118" s="8472"/>
      <c r="AF118" s="8472"/>
      <c r="AG118" s="8472"/>
      <c r="AH118" s="8160">
        <v>48</v>
      </c>
      <c r="AI118" s="8160"/>
      <c r="AJ118" s="808"/>
      <c r="AK118" s="461"/>
      <c r="AL118" s="899" t="s">
        <v>4413</v>
      </c>
      <c r="AM118" s="808"/>
      <c r="AN118" s="808"/>
      <c r="AO118" s="2038"/>
      <c r="AP118" s="2038"/>
      <c r="AQ118" s="2038"/>
      <c r="AR118" s="2038"/>
      <c r="AS118" s="2038"/>
      <c r="AT118" s="2038"/>
      <c r="AU118" s="2038"/>
      <c r="AV118" s="2038"/>
      <c r="AW118" s="2038"/>
      <c r="AX118" s="2038"/>
      <c r="AY118" s="39"/>
      <c r="AZ118" s="39"/>
    </row>
    <row r="119" spans="1:52" s="2690" customFormat="1" ht="13.5" customHeight="1" thickBot="1">
      <c r="A119" s="461"/>
      <c r="B119" s="1257" t="s">
        <v>537</v>
      </c>
      <c r="C119" s="3595"/>
      <c r="D119" s="896"/>
      <c r="E119" s="896"/>
      <c r="F119" s="896"/>
      <c r="G119" s="896"/>
      <c r="H119" s="4559"/>
      <c r="I119" s="9615" t="s">
        <v>4412</v>
      </c>
      <c r="J119" s="9616"/>
      <c r="K119" s="9616"/>
      <c r="L119" s="9616"/>
      <c r="M119" s="9616"/>
      <c r="N119" s="9616"/>
      <c r="O119" s="9616"/>
      <c r="P119" s="9616"/>
      <c r="Q119" s="9616"/>
      <c r="R119" s="9616"/>
      <c r="S119" s="9616"/>
      <c r="T119" s="9616"/>
      <c r="U119" s="9616"/>
      <c r="V119" s="9616"/>
      <c r="W119" s="9616"/>
      <c r="X119" s="9616"/>
      <c r="Y119" s="9616"/>
      <c r="Z119" s="9616"/>
      <c r="AA119" s="9616"/>
      <c r="AB119" s="9616"/>
      <c r="AC119" s="1257"/>
      <c r="AD119" s="8860" t="s">
        <v>3912</v>
      </c>
      <c r="AE119" s="8860"/>
      <c r="AF119" s="8860"/>
      <c r="AG119" s="8860"/>
      <c r="AH119" s="8848"/>
      <c r="AI119" s="8848"/>
      <c r="AJ119" s="896"/>
      <c r="AK119" s="461"/>
      <c r="AL119" s="1413" t="str">
        <f>IF(AL11="","X","")</f>
        <v/>
      </c>
      <c r="AM119" s="892" t="s">
        <v>605</v>
      </c>
      <c r="AN119" s="808"/>
      <c r="AO119" s="2038"/>
      <c r="AP119" s="2038"/>
      <c r="AQ119" s="2038"/>
      <c r="AR119" s="2038"/>
      <c r="AS119" s="2038"/>
      <c r="AT119" s="2038"/>
      <c r="AU119" s="2038"/>
      <c r="AV119" s="2038"/>
      <c r="AW119" s="2038"/>
      <c r="AX119" s="2038"/>
      <c r="AY119" s="39"/>
      <c r="AZ119" s="39"/>
    </row>
    <row r="120" spans="1:52" s="2690" customFormat="1" ht="13.5" thickBot="1">
      <c r="A120" s="461"/>
      <c r="B120" s="1119" t="str">
        <f>"Name. If married, file a separate form for each spouse required to file "&amp;TaxYear&amp;" Form 8606. See instructions."</f>
        <v>Name. If married, file a separate form for each spouse required to file 2023 Form 8606. See instructions.</v>
      </c>
      <c r="C120" s="3597"/>
      <c r="D120" s="1119"/>
      <c r="E120" s="1119"/>
      <c r="F120" s="1119"/>
      <c r="G120" s="1119"/>
      <c r="H120" s="1119"/>
      <c r="I120" s="1119"/>
      <c r="J120" s="1119"/>
      <c r="K120" s="1119"/>
      <c r="L120" s="1119"/>
      <c r="M120" s="1119"/>
      <c r="N120" s="1119"/>
      <c r="O120" s="1119"/>
      <c r="P120" s="1119"/>
      <c r="Q120" s="1119"/>
      <c r="R120" s="1119"/>
      <c r="S120" s="1119"/>
      <c r="T120" s="1119"/>
      <c r="U120" s="1119"/>
      <c r="V120" s="1119"/>
      <c r="W120" s="1119"/>
      <c r="X120" s="1119"/>
      <c r="Y120" s="3592" t="s">
        <v>4414</v>
      </c>
      <c r="Z120" s="890"/>
      <c r="AA120" s="890"/>
      <c r="AB120" s="890"/>
      <c r="AC120" s="1150"/>
      <c r="AD120" s="1255"/>
      <c r="AE120" s="1255"/>
      <c r="AF120" s="1255"/>
      <c r="AG120" s="1255"/>
      <c r="AH120" s="1255"/>
      <c r="AI120" s="1255"/>
      <c r="AJ120" s="1255"/>
      <c r="AK120" s="461"/>
      <c r="AL120" s="1413" t="str">
        <f>IF(AL12="","X","")</f>
        <v>X</v>
      </c>
      <c r="AM120" s="892" t="s">
        <v>606</v>
      </c>
      <c r="AN120" s="808"/>
      <c r="AO120" s="2038"/>
      <c r="AP120" s="2038"/>
      <c r="AQ120" s="2038"/>
      <c r="AR120" s="2038"/>
      <c r="AS120" s="2038"/>
      <c r="AT120" s="2038"/>
      <c r="AU120" s="2038"/>
      <c r="AV120" s="2038"/>
      <c r="AW120" s="2038"/>
      <c r="AX120" s="2038"/>
      <c r="AY120" s="39"/>
      <c r="AZ120" s="39"/>
    </row>
    <row r="121" spans="1:52" s="2690" customFormat="1" ht="25.5" customHeight="1">
      <c r="A121" s="461"/>
      <c r="B121" s="9607" t="str">
        <f>IF(AND(AL119&lt;&gt;"",AL120&lt;&gt;""),Names,IF(AL120&lt;&gt;"",NameSpouse,IF(AL119&lt;&gt;"",NameYours,"")))</f>
        <v xml:space="preserve"> </v>
      </c>
      <c r="C121" s="9607"/>
      <c r="D121" s="9607"/>
      <c r="E121" s="9607"/>
      <c r="F121" s="9607"/>
      <c r="G121" s="9607"/>
      <c r="H121" s="9607"/>
      <c r="I121" s="9607"/>
      <c r="J121" s="9607"/>
      <c r="K121" s="9607"/>
      <c r="L121" s="9607"/>
      <c r="M121" s="9607"/>
      <c r="N121" s="9607"/>
      <c r="O121" s="9607"/>
      <c r="P121" s="9607"/>
      <c r="Q121" s="9607"/>
      <c r="R121" s="9607"/>
      <c r="S121" s="9607"/>
      <c r="T121" s="9607"/>
      <c r="U121" s="9607"/>
      <c r="V121" s="9607"/>
      <c r="W121" s="9607"/>
      <c r="X121" s="9608"/>
      <c r="Y121" s="9609">
        <f>IF(AND(NOT(NoSSN),SS_Yours&lt;&gt;"",OR(AL119&lt;&gt;"",AND(AL119&lt;&gt;"",AL120&lt;&gt;""))),SS_Yours,IF(AND(NOT(NoSSN),SS_Spouse&lt;&gt;"",AL120&lt;&gt;""),SS_Spouse,""))</f>
        <v>1010002</v>
      </c>
      <c r="Z121" s="9610"/>
      <c r="AA121" s="9610"/>
      <c r="AB121" s="9610"/>
      <c r="AC121" s="9610"/>
      <c r="AD121" s="9610"/>
      <c r="AE121" s="9610"/>
      <c r="AF121" s="9610"/>
      <c r="AG121" s="9610"/>
      <c r="AH121" s="9610"/>
      <c r="AI121" s="9610"/>
      <c r="AJ121" s="9610"/>
      <c r="AK121" s="461"/>
      <c r="AL121" s="808"/>
      <c r="AM121" s="900" t="b">
        <f>OR(AND(AL119&lt;&gt;"",IRA_CONV_YOU&gt;0),AND(AL120&lt;&gt;"",IRA_CONV_SPOUSE&gt;0))</f>
        <v>0</v>
      </c>
      <c r="AN121" s="808"/>
      <c r="AO121" s="2038"/>
      <c r="AP121" s="2038"/>
      <c r="AQ121" s="2038"/>
      <c r="AR121" s="2038"/>
      <c r="AS121" s="2038"/>
      <c r="AT121" s="2038"/>
      <c r="AU121" s="2038"/>
      <c r="AV121" s="2038"/>
      <c r="AW121" s="2038"/>
      <c r="AX121" s="2038"/>
      <c r="AY121" s="39"/>
      <c r="AZ121" s="39"/>
    </row>
    <row r="122" spans="1:52" s="2690" customFormat="1" ht="15.75" customHeight="1">
      <c r="A122" s="461"/>
      <c r="B122" s="9617" t="s">
        <v>4415</v>
      </c>
      <c r="C122" s="9617"/>
      <c r="D122" s="9617"/>
      <c r="E122" s="9617"/>
      <c r="F122" s="9617"/>
      <c r="G122" s="9617"/>
      <c r="H122" s="9617"/>
      <c r="I122" s="9618"/>
      <c r="J122" s="9566" t="s">
        <v>4416</v>
      </c>
      <c r="K122" s="9567"/>
      <c r="L122" s="9567"/>
      <c r="M122" s="9567"/>
      <c r="N122" s="9567"/>
      <c r="O122" s="9567"/>
      <c r="P122" s="9567"/>
      <c r="Q122" s="9567"/>
      <c r="R122" s="9567"/>
      <c r="S122" s="9567"/>
      <c r="T122" s="9567"/>
      <c r="U122" s="9567"/>
      <c r="V122" s="9567"/>
      <c r="W122" s="9567"/>
      <c r="X122" s="9567"/>
      <c r="Y122" s="9567"/>
      <c r="Z122" s="9567"/>
      <c r="AA122" s="9567"/>
      <c r="AB122" s="9567"/>
      <c r="AC122" s="9568"/>
      <c r="AD122" s="9611" t="s">
        <v>4417</v>
      </c>
      <c r="AE122" s="9612"/>
      <c r="AF122" s="9612"/>
      <c r="AG122" s="9612"/>
      <c r="AH122" s="9612"/>
      <c r="AI122" s="9612"/>
      <c r="AJ122" s="9612"/>
      <c r="AK122" s="461"/>
      <c r="AL122" s="9662" t="str">
        <f>IF($AM$121,"Because you","")</f>
        <v/>
      </c>
      <c r="AM122" s="9662"/>
      <c r="AN122" s="9662"/>
      <c r="AO122" s="2038"/>
      <c r="AP122" s="2038"/>
      <c r="AQ122" s="2038"/>
      <c r="AR122" s="2038"/>
      <c r="AS122" s="2038"/>
      <c r="AT122" s="2038"/>
      <c r="AU122" s="2038"/>
      <c r="AV122" s="2038"/>
      <c r="AW122" s="2038"/>
      <c r="AX122" s="2038"/>
      <c r="AY122" s="39"/>
      <c r="AZ122" s="39"/>
    </row>
    <row r="123" spans="1:52" s="2690" customFormat="1" ht="18.75" customHeight="1">
      <c r="A123" s="461"/>
      <c r="B123" s="6433"/>
      <c r="C123" s="6433"/>
      <c r="D123" s="6433"/>
      <c r="E123" s="6433"/>
      <c r="F123" s="6433"/>
      <c r="G123" s="6433"/>
      <c r="H123" s="6433"/>
      <c r="I123" s="9619"/>
      <c r="J123" s="9569"/>
      <c r="K123" s="9570"/>
      <c r="L123" s="9570"/>
      <c r="M123" s="9570"/>
      <c r="N123" s="9570"/>
      <c r="O123" s="9570"/>
      <c r="P123" s="9570"/>
      <c r="Q123" s="9570"/>
      <c r="R123" s="9570"/>
      <c r="S123" s="9570"/>
      <c r="T123" s="9570"/>
      <c r="U123" s="9570"/>
      <c r="V123" s="9570"/>
      <c r="W123" s="9570"/>
      <c r="X123" s="9570"/>
      <c r="Y123" s="9570"/>
      <c r="Z123" s="9570"/>
      <c r="AA123" s="9570"/>
      <c r="AB123" s="9570"/>
      <c r="AC123" s="9571"/>
      <c r="AD123" s="9569"/>
      <c r="AE123" s="9570"/>
      <c r="AF123" s="9570"/>
      <c r="AG123" s="9570"/>
      <c r="AH123" s="9570"/>
      <c r="AI123" s="9570"/>
      <c r="AJ123" s="9570"/>
      <c r="AK123" s="461"/>
      <c r="AL123" s="9663" t="str">
        <f>IF($AM$121,"converted an IRA to","")</f>
        <v/>
      </c>
      <c r="AM123" s="9663"/>
      <c r="AN123" s="9663"/>
      <c r="AO123" s="2038"/>
      <c r="AP123" s="2038"/>
      <c r="AQ123" s="2038"/>
      <c r="AR123" s="2038"/>
      <c r="AS123" s="2038"/>
      <c r="AT123" s="2038"/>
      <c r="AU123" s="2038"/>
      <c r="AV123" s="2038"/>
      <c r="AW123" s="2038"/>
      <c r="AX123" s="2038"/>
      <c r="AY123" s="39"/>
      <c r="AZ123" s="39"/>
    </row>
    <row r="124" spans="1:52" s="2690" customFormat="1" ht="15.75" customHeight="1">
      <c r="A124" s="461"/>
      <c r="B124" s="6433"/>
      <c r="C124" s="6433"/>
      <c r="D124" s="6433"/>
      <c r="E124" s="6433"/>
      <c r="F124" s="6433"/>
      <c r="G124" s="6433"/>
      <c r="H124" s="6433"/>
      <c r="I124" s="9619"/>
      <c r="J124" s="9572" t="s">
        <v>4418</v>
      </c>
      <c r="K124" s="9573"/>
      <c r="L124" s="9573"/>
      <c r="M124" s="9573"/>
      <c r="N124" s="9573"/>
      <c r="O124" s="9573"/>
      <c r="P124" s="9573"/>
      <c r="Q124" s="9573"/>
      <c r="R124" s="9573"/>
      <c r="S124" s="9573"/>
      <c r="T124" s="9573"/>
      <c r="U124" s="9573"/>
      <c r="V124" s="9573"/>
      <c r="W124" s="9573"/>
      <c r="X124" s="9573"/>
      <c r="Y124" s="9573"/>
      <c r="Z124" s="9573"/>
      <c r="AA124" s="9573"/>
      <c r="AB124" s="9573"/>
      <c r="AC124" s="9573"/>
      <c r="AD124" s="9573"/>
      <c r="AE124" s="9573"/>
      <c r="AF124" s="9573"/>
      <c r="AG124" s="9573"/>
      <c r="AH124" s="9573"/>
      <c r="AI124" s="9573"/>
      <c r="AJ124" s="9573"/>
      <c r="AK124" s="461"/>
      <c r="AL124" s="9662" t="str">
        <f>IF($AM$121,"a Roth IRA, be sure","")</f>
        <v/>
      </c>
      <c r="AM124" s="9662"/>
      <c r="AN124" s="9662"/>
      <c r="AO124" s="2038"/>
      <c r="AP124" s="2038"/>
      <c r="AQ124" s="2038"/>
      <c r="AR124" s="2038"/>
      <c r="AS124" s="2038"/>
      <c r="AT124" s="2038"/>
      <c r="AU124" s="2038"/>
      <c r="AV124" s="2038"/>
      <c r="AW124" s="2038"/>
      <c r="AX124" s="2038"/>
      <c r="AY124" s="39"/>
      <c r="AZ124" s="39"/>
    </row>
    <row r="125" spans="1:52" s="2690" customFormat="1" ht="18.75" customHeight="1">
      <c r="A125" s="461"/>
      <c r="B125" s="6433"/>
      <c r="C125" s="6433"/>
      <c r="D125" s="6433"/>
      <c r="E125" s="6433"/>
      <c r="F125" s="6433"/>
      <c r="G125" s="6433"/>
      <c r="H125" s="6433"/>
      <c r="I125" s="9619"/>
      <c r="J125" s="9569"/>
      <c r="K125" s="9570"/>
      <c r="L125" s="9570"/>
      <c r="M125" s="9570"/>
      <c r="N125" s="9570"/>
      <c r="O125" s="9570"/>
      <c r="P125" s="9570"/>
      <c r="Q125" s="9570"/>
      <c r="R125" s="9570"/>
      <c r="S125" s="9570"/>
      <c r="T125" s="9570"/>
      <c r="U125" s="9570"/>
      <c r="V125" s="9570"/>
      <c r="W125" s="9570"/>
      <c r="X125" s="9570"/>
      <c r="Y125" s="9570"/>
      <c r="Z125" s="9570"/>
      <c r="AA125" s="9570"/>
      <c r="AB125" s="9570"/>
      <c r="AC125" s="9570"/>
      <c r="AD125" s="9570"/>
      <c r="AE125" s="9570"/>
      <c r="AF125" s="9570"/>
      <c r="AG125" s="9570"/>
      <c r="AH125" s="9570"/>
      <c r="AI125" s="9570"/>
      <c r="AJ125" s="9570"/>
      <c r="AK125" s="461"/>
      <c r="AL125" s="9662" t="str">
        <f>IF($AM$121,"to complete Part I","")</f>
        <v/>
      </c>
      <c r="AM125" s="9662"/>
      <c r="AN125" s="9662"/>
      <c r="AO125" s="2038"/>
      <c r="AP125" s="2038"/>
      <c r="AQ125" s="2038"/>
      <c r="AR125" s="2038"/>
      <c r="AS125" s="2038"/>
      <c r="AT125" s="2038"/>
      <c r="AU125" s="2038"/>
      <c r="AV125" s="2038"/>
      <c r="AW125" s="2038"/>
      <c r="AX125" s="2038"/>
      <c r="AY125" s="39"/>
      <c r="AZ125" s="39"/>
    </row>
    <row r="126" spans="1:52" s="2690" customFormat="1" ht="15.75" customHeight="1">
      <c r="A126" s="461"/>
      <c r="B126" s="6433"/>
      <c r="C126" s="6433"/>
      <c r="D126" s="6433"/>
      <c r="E126" s="6433"/>
      <c r="F126" s="6433"/>
      <c r="G126" s="6433"/>
      <c r="H126" s="6433"/>
      <c r="I126" s="9619"/>
      <c r="J126" s="2404" t="s">
        <v>4419</v>
      </c>
      <c r="K126" s="2145"/>
      <c r="L126" s="2145"/>
      <c r="M126" s="2145"/>
      <c r="N126" s="2145"/>
      <c r="O126" s="2145"/>
      <c r="P126" s="2145"/>
      <c r="Q126" s="2145"/>
      <c r="R126" s="2145"/>
      <c r="S126" s="2145"/>
      <c r="T126" s="2404" t="s">
        <v>4420</v>
      </c>
      <c r="U126" s="2145"/>
      <c r="V126" s="2145"/>
      <c r="W126" s="2145"/>
      <c r="X126" s="2145"/>
      <c r="Y126" s="2145"/>
      <c r="Z126" s="2145"/>
      <c r="AA126" s="2145"/>
      <c r="AB126" s="2146"/>
      <c r="AC126" s="2145" t="s">
        <v>4421</v>
      </c>
      <c r="AD126" s="2145"/>
      <c r="AE126" s="2145"/>
      <c r="AF126" s="2145"/>
      <c r="AG126" s="2145"/>
      <c r="AH126" s="2145"/>
      <c r="AI126" s="2145"/>
      <c r="AJ126" s="2145"/>
      <c r="AK126" s="461"/>
      <c r="AL126" s="9662" t="str">
        <f>IF($AM$121,"or Part II of this form.","")</f>
        <v/>
      </c>
      <c r="AM126" s="9662"/>
      <c r="AN126" s="9662"/>
      <c r="AO126" s="2038"/>
      <c r="AP126" s="2038"/>
      <c r="AQ126" s="2038"/>
      <c r="AR126" s="2038"/>
      <c r="AS126" s="2038"/>
      <c r="AT126" s="2038"/>
      <c r="AU126" s="2038"/>
      <c r="AV126" s="2038"/>
      <c r="AW126" s="2038"/>
      <c r="AX126" s="2038"/>
      <c r="AY126" s="39"/>
      <c r="AZ126" s="39"/>
    </row>
    <row r="127" spans="1:52" s="2690" customFormat="1" ht="18.75" customHeight="1">
      <c r="A127" s="461"/>
      <c r="B127" s="9620"/>
      <c r="C127" s="9620"/>
      <c r="D127" s="9620"/>
      <c r="E127" s="9620"/>
      <c r="F127" s="9620"/>
      <c r="G127" s="9620"/>
      <c r="H127" s="9620"/>
      <c r="I127" s="9621"/>
      <c r="J127" s="9569"/>
      <c r="K127" s="9570"/>
      <c r="L127" s="9570"/>
      <c r="M127" s="9570"/>
      <c r="N127" s="9570"/>
      <c r="O127" s="9570"/>
      <c r="P127" s="9570"/>
      <c r="Q127" s="9570"/>
      <c r="R127" s="9570"/>
      <c r="S127" s="9571"/>
      <c r="T127" s="9569"/>
      <c r="U127" s="9570"/>
      <c r="V127" s="9570"/>
      <c r="W127" s="9570"/>
      <c r="X127" s="9570"/>
      <c r="Y127" s="9570"/>
      <c r="Z127" s="9570"/>
      <c r="AA127" s="9570"/>
      <c r="AB127" s="9571"/>
      <c r="AC127" s="9569"/>
      <c r="AD127" s="9570"/>
      <c r="AE127" s="9570"/>
      <c r="AF127" s="9570"/>
      <c r="AG127" s="9570"/>
      <c r="AH127" s="9570"/>
      <c r="AI127" s="9570"/>
      <c r="AJ127" s="9570"/>
      <c r="AK127" s="461"/>
      <c r="AL127" s="808"/>
      <c r="AM127" s="808"/>
      <c r="AN127" s="808"/>
      <c r="AO127" s="2038"/>
      <c r="AP127" s="2038"/>
      <c r="AQ127" s="2038"/>
      <c r="AR127" s="2038"/>
      <c r="AS127" s="2038"/>
      <c r="AT127" s="2038"/>
      <c r="AU127" s="2038"/>
      <c r="AV127" s="2038"/>
      <c r="AW127" s="2038"/>
      <c r="AX127" s="2038"/>
      <c r="AY127" s="39"/>
      <c r="AZ127" s="39"/>
    </row>
    <row r="128" spans="1:52" s="2690" customFormat="1" ht="16.5" customHeight="1">
      <c r="A128" s="461"/>
      <c r="B128" s="8698" t="s">
        <v>884</v>
      </c>
      <c r="C128" s="8698"/>
      <c r="D128" s="3593"/>
      <c r="E128" s="9588" t="s">
        <v>5742</v>
      </c>
      <c r="F128" s="9588"/>
      <c r="G128" s="9588"/>
      <c r="H128" s="9588"/>
      <c r="I128" s="9588"/>
      <c r="J128" s="9588"/>
      <c r="K128" s="9588"/>
      <c r="L128" s="9588"/>
      <c r="M128" s="9588"/>
      <c r="N128" s="9588"/>
      <c r="O128" s="9588"/>
      <c r="P128" s="9588"/>
      <c r="Q128" s="9588"/>
      <c r="R128" s="9588"/>
      <c r="S128" s="9588"/>
      <c r="T128" s="9588"/>
      <c r="U128" s="9588"/>
      <c r="V128" s="9588"/>
      <c r="W128" s="9588"/>
      <c r="X128" s="9588"/>
      <c r="Y128" s="9588"/>
      <c r="Z128" s="9588"/>
      <c r="AA128" s="9588"/>
      <c r="AB128" s="9588"/>
      <c r="AC128" s="9588"/>
      <c r="AD128" s="9588"/>
      <c r="AE128" s="9588"/>
      <c r="AF128" s="9588"/>
      <c r="AG128" s="9588"/>
      <c r="AH128" s="9588"/>
      <c r="AI128" s="9588"/>
      <c r="AJ128" s="9588"/>
      <c r="AK128" s="461"/>
      <c r="AL128" s="808"/>
      <c r="AM128" s="808"/>
      <c r="AN128" s="808"/>
      <c r="AO128" s="2038"/>
      <c r="AP128" s="3524"/>
      <c r="AQ128" s="2038"/>
      <c r="AR128" s="2038"/>
      <c r="AS128" s="2038"/>
      <c r="AT128" s="2038"/>
      <c r="AU128" s="2038"/>
      <c r="AV128" s="2038"/>
      <c r="AW128" s="2038"/>
      <c r="AX128" s="2038"/>
      <c r="AY128" s="39"/>
      <c r="AZ128" s="39"/>
    </row>
    <row r="129" spans="1:52" s="2690" customFormat="1" ht="16.5" customHeight="1">
      <c r="A129" s="461"/>
      <c r="B129" s="808"/>
      <c r="C129" s="1461"/>
      <c r="D129" s="808"/>
      <c r="E129" s="5822" t="s">
        <v>5743</v>
      </c>
      <c r="F129" s="808"/>
      <c r="G129" s="808"/>
      <c r="H129" s="808"/>
      <c r="I129" s="808"/>
      <c r="J129" s="808"/>
      <c r="K129" s="808"/>
      <c r="L129" s="808"/>
      <c r="M129" s="808"/>
      <c r="N129" s="808"/>
      <c r="O129" s="808"/>
      <c r="P129" s="808"/>
      <c r="Q129" s="808"/>
      <c r="R129" s="808"/>
      <c r="S129" s="808"/>
      <c r="T129" s="808"/>
      <c r="U129" s="808"/>
      <c r="V129" s="808"/>
      <c r="W129" s="808"/>
      <c r="X129" s="808"/>
      <c r="Y129" s="808"/>
      <c r="Z129" s="808"/>
      <c r="AA129" s="808"/>
      <c r="AB129" s="808"/>
      <c r="AC129" s="808"/>
      <c r="AD129" s="808"/>
      <c r="AE129" s="808"/>
      <c r="AF129" s="808"/>
      <c r="AG129" s="808"/>
      <c r="AH129" s="808"/>
      <c r="AI129" s="808"/>
      <c r="AJ129" s="808"/>
      <c r="AK129" s="461"/>
      <c r="AL129" s="808"/>
      <c r="AM129" s="808"/>
      <c r="AN129" s="808"/>
      <c r="AO129" s="2038"/>
      <c r="AP129" s="3524"/>
      <c r="AQ129" s="2038"/>
      <c r="AR129" s="2038"/>
      <c r="AS129" s="2038"/>
      <c r="AT129" s="2038"/>
      <c r="AU129" s="2038"/>
      <c r="AV129" s="2038"/>
      <c r="AW129" s="2038"/>
      <c r="AX129" s="2038"/>
      <c r="AY129" s="39"/>
      <c r="AZ129" s="39"/>
    </row>
    <row r="130" spans="1:52" s="2690" customFormat="1" ht="16.5" customHeight="1">
      <c r="A130" s="461"/>
      <c r="B130" s="808"/>
      <c r="C130" s="1461"/>
      <c r="D130" s="808"/>
      <c r="E130" s="3172" t="s">
        <v>4422</v>
      </c>
      <c r="F130" s="808"/>
      <c r="G130" s="808"/>
      <c r="H130" s="808"/>
      <c r="I130" s="808"/>
      <c r="J130" s="808"/>
      <c r="K130" s="808"/>
      <c r="L130" s="808"/>
      <c r="M130" s="808"/>
      <c r="N130" s="808"/>
      <c r="O130" s="808"/>
      <c r="P130" s="808"/>
      <c r="Q130" s="808"/>
      <c r="R130" s="808"/>
      <c r="S130" s="808"/>
      <c r="T130" s="808"/>
      <c r="U130" s="808"/>
      <c r="V130" s="808"/>
      <c r="W130" s="808"/>
      <c r="X130" s="808"/>
      <c r="Y130" s="808"/>
      <c r="Z130" s="808"/>
      <c r="AA130" s="808"/>
      <c r="AB130" s="808"/>
      <c r="AC130" s="808"/>
      <c r="AD130" s="808"/>
      <c r="AE130" s="808"/>
      <c r="AF130" s="808"/>
      <c r="AG130" s="808"/>
      <c r="AH130" s="808"/>
      <c r="AI130" s="808"/>
      <c r="AJ130" s="808"/>
      <c r="AK130" s="461"/>
      <c r="AL130" s="808"/>
      <c r="AM130" s="808"/>
      <c r="AN130" s="808"/>
      <c r="AO130" s="2038"/>
      <c r="AP130" s="3524"/>
      <c r="AQ130" s="2038"/>
      <c r="AR130" s="2038"/>
      <c r="AS130" s="2038"/>
      <c r="AT130" s="2038"/>
      <c r="AU130" s="2038"/>
      <c r="AV130" s="2038"/>
      <c r="AW130" s="2038"/>
      <c r="AX130" s="2038"/>
      <c r="AY130" s="39"/>
      <c r="AZ130" s="39"/>
    </row>
    <row r="131" spans="1:52" s="2690" customFormat="1" ht="15" customHeight="1">
      <c r="A131" s="461"/>
      <c r="B131" s="808"/>
      <c r="C131" s="1124"/>
      <c r="D131" s="2112"/>
      <c r="E131" s="2334" t="s">
        <v>1806</v>
      </c>
      <c r="F131" s="2112" t="str">
        <f>"You made nondeductible contributions to a traditional IRA for "&amp;TaxYear&amp;"."</f>
        <v>You made nondeductible contributions to a traditional IRA for 2023.</v>
      </c>
      <c r="G131" s="808"/>
      <c r="H131" s="808"/>
      <c r="I131" s="808"/>
      <c r="J131" s="808"/>
      <c r="K131" s="808"/>
      <c r="L131" s="808"/>
      <c r="M131" s="808"/>
      <c r="N131" s="808"/>
      <c r="O131" s="808"/>
      <c r="P131" s="808"/>
      <c r="Q131" s="808"/>
      <c r="R131" s="808"/>
      <c r="S131" s="808"/>
      <c r="T131" s="808"/>
      <c r="U131" s="808"/>
      <c r="V131" s="808"/>
      <c r="W131" s="808"/>
      <c r="X131" s="808"/>
      <c r="Y131" s="808"/>
      <c r="Z131" s="808"/>
      <c r="AA131" s="808"/>
      <c r="AB131" s="808"/>
      <c r="AC131" s="808"/>
      <c r="AD131" s="808"/>
      <c r="AE131" s="808"/>
      <c r="AF131" s="808"/>
      <c r="AG131" s="808"/>
      <c r="AH131" s="808"/>
      <c r="AI131" s="808"/>
      <c r="AJ131" s="808"/>
      <c r="AK131" s="461"/>
      <c r="AL131" s="808"/>
      <c r="AM131" s="808"/>
      <c r="AN131" s="808"/>
      <c r="AO131" s="2038"/>
      <c r="AP131" s="3524"/>
      <c r="AQ131" s="2038"/>
      <c r="AR131" s="2038"/>
      <c r="AS131" s="2038"/>
      <c r="AT131" s="2038"/>
      <c r="AU131" s="2038"/>
      <c r="AV131" s="2038"/>
      <c r="AW131" s="2038"/>
      <c r="AX131" s="2038"/>
      <c r="AY131" s="39"/>
      <c r="AZ131" s="39"/>
    </row>
    <row r="132" spans="1:52" s="2690" customFormat="1" ht="15" customHeight="1">
      <c r="A132" s="461"/>
      <c r="B132" s="808"/>
      <c r="C132" s="1124"/>
      <c r="D132" s="2112"/>
      <c r="E132" s="2334" t="s">
        <v>1806</v>
      </c>
      <c r="F132" s="2112" t="str">
        <f>"You took distributions from a traditional,  SEP,  or  SIMPLE IRA in "&amp;TaxYear</f>
        <v>You took distributions from a traditional,  SEP,  or  SIMPLE IRA in 2023</v>
      </c>
      <c r="G132" s="808"/>
      <c r="H132" s="808"/>
      <c r="I132" s="808"/>
      <c r="J132" s="808"/>
      <c r="K132" s="808"/>
      <c r="L132" s="808"/>
      <c r="M132" s="808"/>
      <c r="N132" s="808"/>
      <c r="O132" s="808"/>
      <c r="P132" s="808"/>
      <c r="Q132" s="808"/>
      <c r="R132" s="808"/>
      <c r="S132" s="808"/>
      <c r="T132" s="808"/>
      <c r="U132" s="808"/>
      <c r="V132" s="808"/>
      <c r="W132" s="2112" t="s">
        <v>4423</v>
      </c>
      <c r="X132" s="808"/>
      <c r="Y132" s="808"/>
      <c r="Z132" s="808"/>
      <c r="AA132" s="808"/>
      <c r="AB132" s="808"/>
      <c r="AC132" s="808"/>
      <c r="AD132" s="808"/>
      <c r="AE132" s="808"/>
      <c r="AF132" s="808"/>
      <c r="AG132" s="808"/>
      <c r="AH132" s="808"/>
      <c r="AI132" s="808"/>
      <c r="AJ132" s="808"/>
      <c r="AK132" s="461"/>
      <c r="AL132" s="808"/>
      <c r="AM132" s="808"/>
      <c r="AN132" s="808"/>
      <c r="AO132" s="2038"/>
      <c r="AP132" s="3524"/>
      <c r="AQ132" s="2038"/>
      <c r="AR132" s="2038"/>
      <c r="AS132" s="2038"/>
      <c r="AT132" s="2038"/>
      <c r="AU132" s="2038"/>
      <c r="AV132" s="2038"/>
      <c r="AW132" s="2038"/>
      <c r="AX132" s="2038"/>
      <c r="AY132" s="39"/>
      <c r="AZ132" s="39"/>
    </row>
    <row r="133" spans="1:52" s="2690" customFormat="1" ht="14.25">
      <c r="A133" s="461"/>
      <c r="B133" s="808"/>
      <c r="C133" s="1461"/>
      <c r="D133" s="808"/>
      <c r="E133" s="808"/>
      <c r="F133" s="2112" t="str">
        <f>"traditional IRA in "&amp;TaxYear&amp;" or an earlier year. For this purpose, a distribution does not include a rollover (other than a"</f>
        <v>traditional IRA in 2023 or an earlier year. For this purpose, a distribution does not include a rollover (other than a</v>
      </c>
      <c r="G133" s="2112"/>
      <c r="H133" s="808"/>
      <c r="I133" s="808"/>
      <c r="J133" s="808"/>
      <c r="K133" s="808"/>
      <c r="L133" s="808"/>
      <c r="M133" s="808"/>
      <c r="N133" s="808"/>
      <c r="O133" s="808"/>
      <c r="P133" s="808"/>
      <c r="Q133" s="808"/>
      <c r="R133" s="808"/>
      <c r="S133" s="808"/>
      <c r="T133" s="808"/>
      <c r="U133" s="808"/>
      <c r="V133" s="808"/>
      <c r="W133" s="808"/>
      <c r="X133" s="808"/>
      <c r="Y133" s="808"/>
      <c r="Z133" s="808"/>
      <c r="AA133" s="808"/>
      <c r="AB133" s="808"/>
      <c r="AC133" s="808"/>
      <c r="AD133" s="808"/>
      <c r="AE133" s="808"/>
      <c r="AF133" s="808"/>
      <c r="AG133" s="808"/>
      <c r="AH133" s="808"/>
      <c r="AI133" s="808"/>
      <c r="AJ133" s="808"/>
      <c r="AK133" s="461"/>
      <c r="AL133" s="808"/>
      <c r="AM133" s="808"/>
      <c r="AN133" s="808"/>
      <c r="AO133" s="2038"/>
      <c r="AP133" s="2038"/>
      <c r="AQ133" s="2038"/>
      <c r="AR133" s="2038"/>
      <c r="AS133" s="2038"/>
      <c r="AT133" s="2038"/>
      <c r="AU133" s="2038"/>
      <c r="AV133" s="2038"/>
      <c r="AW133" s="2038"/>
      <c r="AX133" s="2038"/>
      <c r="AY133" s="39"/>
      <c r="AZ133" s="39"/>
    </row>
    <row r="134" spans="1:52" s="2690" customFormat="1" ht="14.25">
      <c r="A134" s="461"/>
      <c r="B134" s="808"/>
      <c r="C134" s="1461"/>
      <c r="D134" s="808"/>
      <c r="E134" s="808"/>
      <c r="F134" s="2112" t="str">
        <f>"repayment of a qualified disaster distribution, if any, from "&amp;TaxYear&amp;" Form(s) 8915-F (see instructions)), qualified charitable,"</f>
        <v>repayment of a qualified disaster distribution, if any, from 2023 Form(s) 8915-F (see instructions)), qualified charitable,</v>
      </c>
      <c r="G134" s="2112"/>
      <c r="H134" s="808"/>
      <c r="I134" s="808"/>
      <c r="J134" s="808"/>
      <c r="K134" s="808"/>
      <c r="L134" s="808"/>
      <c r="M134" s="808"/>
      <c r="N134" s="808"/>
      <c r="O134" s="808"/>
      <c r="P134" s="808"/>
      <c r="Q134" s="808"/>
      <c r="R134" s="808"/>
      <c r="S134" s="808"/>
      <c r="T134" s="808"/>
      <c r="U134" s="808"/>
      <c r="V134" s="808"/>
      <c r="W134" s="808"/>
      <c r="X134" s="808"/>
      <c r="Y134" s="808"/>
      <c r="Z134" s="808"/>
      <c r="AA134" s="808"/>
      <c r="AB134" s="808"/>
      <c r="AC134" s="808"/>
      <c r="AD134" s="808"/>
      <c r="AE134" s="808"/>
      <c r="AF134" s="808"/>
      <c r="AG134" s="808"/>
      <c r="AH134" s="808"/>
      <c r="AI134" s="808"/>
      <c r="AJ134" s="808"/>
      <c r="AK134" s="461"/>
      <c r="AL134" s="808"/>
      <c r="AM134" s="808"/>
      <c r="AN134" s="808"/>
      <c r="AO134" s="2038"/>
      <c r="AP134" s="2038"/>
      <c r="AQ134" s="2038"/>
      <c r="AR134" s="2038"/>
      <c r="AS134" s="2038"/>
      <c r="AT134" s="2038"/>
      <c r="AU134" s="2038"/>
      <c r="AV134" s="2038"/>
      <c r="AW134" s="2038"/>
      <c r="AX134" s="2038"/>
      <c r="AY134" s="39"/>
      <c r="AZ134" s="39"/>
    </row>
    <row r="135" spans="1:52" s="2690" customFormat="1" ht="14.25">
      <c r="A135" s="461"/>
      <c r="B135" s="808"/>
      <c r="C135" s="1461"/>
      <c r="D135" s="808"/>
      <c r="E135" s="808"/>
      <c r="F135" s="2112" t="s">
        <v>4424</v>
      </c>
      <c r="G135" s="2112"/>
      <c r="H135" s="808"/>
      <c r="I135" s="808"/>
      <c r="J135" s="808"/>
      <c r="K135" s="808"/>
      <c r="L135" s="808"/>
      <c r="M135" s="808"/>
      <c r="N135" s="808"/>
      <c r="O135" s="808"/>
      <c r="P135" s="808"/>
      <c r="Q135" s="808"/>
      <c r="R135" s="808"/>
      <c r="S135" s="808"/>
      <c r="T135" s="808"/>
      <c r="U135" s="808"/>
      <c r="V135" s="808"/>
      <c r="W135" s="808"/>
      <c r="X135" s="808"/>
      <c r="Y135" s="808"/>
      <c r="Z135" s="808"/>
      <c r="AA135" s="808"/>
      <c r="AB135" s="808"/>
      <c r="AC135" s="808"/>
      <c r="AD135" s="808"/>
      <c r="AE135" s="808"/>
      <c r="AF135" s="808"/>
      <c r="AG135" s="808"/>
      <c r="AH135" s="808"/>
      <c r="AI135" s="808"/>
      <c r="AJ135" s="808"/>
      <c r="AK135" s="461"/>
      <c r="AL135" s="808"/>
      <c r="AM135" s="808"/>
      <c r="AN135" s="808"/>
      <c r="AO135" s="2038"/>
      <c r="AP135" s="2038"/>
      <c r="AQ135" s="2038"/>
      <c r="AR135" s="2038"/>
      <c r="AS135" s="2038"/>
      <c r="AT135" s="2038"/>
      <c r="AU135" s="2038"/>
      <c r="AV135" s="2038"/>
      <c r="AW135" s="2038"/>
      <c r="AX135" s="2038"/>
      <c r="AY135" s="39"/>
      <c r="AZ135" s="39"/>
    </row>
    <row r="136" spans="1:52" s="2690" customFormat="1" ht="16.5" customHeight="1">
      <c r="A136" s="461"/>
      <c r="B136" s="808"/>
      <c r="C136" s="1461"/>
      <c r="D136" s="808"/>
      <c r="E136" s="2334" t="s">
        <v>1806</v>
      </c>
      <c r="F136" s="2112" t="str">
        <f>"You converted part, but not all, of your traditional, SEP, and SIMPLE IRAs to Roth IRAs in "&amp;TaxYear</f>
        <v>You converted part, but not all, of your traditional, SEP, and SIMPLE IRAs to Roth IRAs in 2023</v>
      </c>
      <c r="G136" s="2112"/>
      <c r="H136" s="808"/>
      <c r="I136" s="808"/>
      <c r="J136" s="808"/>
      <c r="K136" s="808"/>
      <c r="L136" s="808"/>
      <c r="M136" s="808"/>
      <c r="N136" s="808"/>
      <c r="O136" s="808"/>
      <c r="P136" s="808"/>
      <c r="Q136" s="808"/>
      <c r="R136" s="808"/>
      <c r="S136" s="808"/>
      <c r="T136" s="808"/>
      <c r="U136" s="808"/>
      <c r="V136" s="808"/>
      <c r="W136" s="808"/>
      <c r="X136" s="808"/>
      <c r="Y136" s="808"/>
      <c r="Z136" s="808"/>
      <c r="AA136" s="808"/>
      <c r="AB136" s="808"/>
      <c r="AC136" s="2112" t="s">
        <v>4425</v>
      </c>
      <c r="AD136" s="808"/>
      <c r="AE136" s="808"/>
      <c r="AF136" s="808"/>
      <c r="AG136" s="808"/>
      <c r="AH136" s="808"/>
      <c r="AI136" s="808"/>
      <c r="AJ136" s="808"/>
      <c r="AK136" s="461"/>
      <c r="AL136" s="808"/>
      <c r="AM136" s="808"/>
      <c r="AN136" s="808"/>
      <c r="AO136" s="2038"/>
      <c r="AP136" s="2038"/>
      <c r="AQ136" s="2038"/>
      <c r="AR136" s="2038"/>
      <c r="AS136" s="2038"/>
      <c r="AT136" s="2038"/>
      <c r="AU136" s="2038"/>
      <c r="AV136" s="2038"/>
      <c r="AW136" s="2038"/>
      <c r="AX136" s="2038"/>
      <c r="AY136" s="39"/>
      <c r="AZ136" s="39"/>
    </row>
    <row r="137" spans="1:52" s="2690" customFormat="1" ht="14.25">
      <c r="A137" s="461"/>
      <c r="B137" s="1121"/>
      <c r="C137" s="3598"/>
      <c r="D137" s="1121"/>
      <c r="E137" s="1121"/>
      <c r="F137" s="2190" t="str">
        <f>"nondeductible contributions to a traditional IRA in "&amp;TaxYear&amp;" or an earlier year."</f>
        <v>nondeductible contributions to a traditional IRA in 2023 or an earlier year.</v>
      </c>
      <c r="G137" s="2190"/>
      <c r="H137" s="1121"/>
      <c r="I137" s="1121"/>
      <c r="J137" s="1121"/>
      <c r="K137" s="1121"/>
      <c r="L137" s="1121"/>
      <c r="M137" s="1121"/>
      <c r="N137" s="1121"/>
      <c r="O137" s="1121"/>
      <c r="P137" s="1121"/>
      <c r="Q137" s="1121"/>
      <c r="R137" s="1121"/>
      <c r="S137" s="1121"/>
      <c r="T137" s="1121"/>
      <c r="U137" s="1121"/>
      <c r="V137" s="1121"/>
      <c r="W137" s="1121"/>
      <c r="X137" s="1121"/>
      <c r="Y137" s="1121"/>
      <c r="Z137" s="1121"/>
      <c r="AA137" s="1121"/>
      <c r="AB137" s="1121"/>
      <c r="AC137" s="1121"/>
      <c r="AD137" s="1121"/>
      <c r="AE137" s="1121"/>
      <c r="AF137" s="1121"/>
      <c r="AG137" s="1121"/>
      <c r="AH137" s="1121"/>
      <c r="AI137" s="1121"/>
      <c r="AJ137" s="1121"/>
      <c r="AK137" s="461"/>
      <c r="AL137" s="808"/>
      <c r="AM137" s="808"/>
      <c r="AN137" s="808"/>
      <c r="AO137" s="2038"/>
      <c r="AP137" s="2038"/>
      <c r="AQ137" s="2038"/>
      <c r="AR137" s="2038"/>
      <c r="AS137" s="2038"/>
      <c r="AT137" s="2038"/>
      <c r="AU137" s="2038"/>
      <c r="AV137" s="2038"/>
      <c r="AW137" s="2038"/>
      <c r="AX137" s="2038"/>
      <c r="AY137" s="39"/>
      <c r="AZ137" s="39"/>
    </row>
    <row r="138" spans="1:52" s="2690" customFormat="1" ht="15.75">
      <c r="A138" s="461"/>
      <c r="B138" s="808"/>
      <c r="C138" s="3644" t="s">
        <v>252</v>
      </c>
      <c r="D138" s="2112" t="str">
        <f>"Enter your nondeductible contributions to traditional IRAs for "&amp;TaxYear&amp;", including those made for "&amp;TaxYear</f>
        <v>Enter your nondeductible contributions to traditional IRAs for 2023, including those made for 2023</v>
      </c>
      <c r="E138" s="808"/>
      <c r="F138" s="2112"/>
      <c r="G138" s="2112"/>
      <c r="H138" s="808"/>
      <c r="I138" s="808"/>
      <c r="J138" s="808"/>
      <c r="K138" s="808"/>
      <c r="L138" s="808"/>
      <c r="M138" s="808"/>
      <c r="N138" s="808"/>
      <c r="O138" s="808"/>
      <c r="P138" s="808"/>
      <c r="Q138" s="808"/>
      <c r="R138" s="808"/>
      <c r="S138" s="808"/>
      <c r="T138" s="808"/>
      <c r="U138" s="808"/>
      <c r="V138" s="808"/>
      <c r="W138" s="808"/>
      <c r="X138" s="808"/>
      <c r="Y138" s="808"/>
      <c r="Z138" s="808"/>
      <c r="AA138" s="808"/>
      <c r="AB138" s="808"/>
      <c r="AC138" s="808"/>
      <c r="AD138" s="1126"/>
      <c r="AE138" s="9584"/>
      <c r="AF138" s="9585"/>
      <c r="AG138" s="9585"/>
      <c r="AH138" s="9585"/>
      <c r="AI138" s="9585"/>
      <c r="AJ138" s="9585"/>
      <c r="AK138" s="461"/>
      <c r="AL138" s="808"/>
      <c r="AM138" s="808"/>
      <c r="AN138" s="808"/>
      <c r="AO138" s="2038"/>
      <c r="AP138" s="2038"/>
      <c r="AQ138" s="2038"/>
      <c r="AR138" s="2038"/>
      <c r="AS138" s="2038"/>
      <c r="AT138" s="2038"/>
      <c r="AU138" s="2038"/>
      <c r="AV138" s="2038"/>
      <c r="AW138" s="2038"/>
      <c r="AX138" s="2038"/>
      <c r="AY138" s="39"/>
      <c r="AZ138" s="39"/>
    </row>
    <row r="139" spans="1:52" s="2690" customFormat="1" ht="15" customHeight="1">
      <c r="A139" s="461"/>
      <c r="B139" s="808"/>
      <c r="C139" s="3045"/>
      <c r="D139" s="2112" t="str">
        <f>"from January 1, "&amp;TaxYear+1&amp;", through "&amp;TEXT(TaxDay,"mmmm dd")&amp;", "&amp;TaxYear+1&amp;". See instructions"</f>
        <v>from January 1, 2024, through April 15, 2024. See instructions</v>
      </c>
      <c r="E139" s="808"/>
      <c r="F139" s="808"/>
      <c r="G139" s="808"/>
      <c r="H139" s="808"/>
      <c r="I139" s="808"/>
      <c r="J139" s="808"/>
      <c r="K139" s="808"/>
      <c r="L139" s="808"/>
      <c r="M139" s="808"/>
      <c r="N139" s="808"/>
      <c r="O139" s="808"/>
      <c r="P139" s="808"/>
      <c r="Q139" s="808"/>
      <c r="R139" s="808"/>
      <c r="S139" s="808"/>
      <c r="T139" s="808"/>
      <c r="U139" s="808"/>
      <c r="V139" s="808"/>
      <c r="W139" s="808"/>
      <c r="X139" s="808"/>
      <c r="Y139" s="808"/>
      <c r="Z139" s="808"/>
      <c r="AA139" s="808"/>
      <c r="AB139" s="808"/>
      <c r="AC139" s="3281" t="s">
        <v>650</v>
      </c>
      <c r="AD139" s="1125">
        <v>1</v>
      </c>
      <c r="AE139" s="9594"/>
      <c r="AF139" s="9602"/>
      <c r="AG139" s="9602"/>
      <c r="AH139" s="9602"/>
      <c r="AI139" s="9602"/>
      <c r="AJ139" s="9602"/>
      <c r="AK139" s="461"/>
      <c r="AL139" s="808"/>
      <c r="AM139" s="900" t="b">
        <f>AND(AE139="",AE140="")</f>
        <v>1</v>
      </c>
      <c r="AN139" s="808"/>
      <c r="AO139" s="2038"/>
      <c r="AP139" s="2038"/>
      <c r="AQ139" s="2038"/>
      <c r="AR139" s="2038"/>
      <c r="AS139" s="2038"/>
      <c r="AT139" s="2038"/>
      <c r="AU139" s="2038"/>
      <c r="AV139" s="2038"/>
      <c r="AW139" s="2038"/>
      <c r="AX139" s="2038"/>
      <c r="AY139" s="39"/>
      <c r="AZ139" s="39"/>
    </row>
    <row r="140" spans="1:52" s="2690" customFormat="1" ht="15.75" customHeight="1" thickBot="1">
      <c r="A140" s="461"/>
      <c r="B140" s="808"/>
      <c r="C140" s="3644" t="s">
        <v>254</v>
      </c>
      <c r="D140" s="2112" t="s">
        <v>4426</v>
      </c>
      <c r="E140" s="808"/>
      <c r="F140" s="808"/>
      <c r="G140" s="808"/>
      <c r="H140" s="808"/>
      <c r="I140" s="808"/>
      <c r="J140" s="808"/>
      <c r="K140" s="808"/>
      <c r="L140" s="808"/>
      <c r="M140" s="808"/>
      <c r="N140" s="808"/>
      <c r="O140" s="808"/>
      <c r="P140" s="808"/>
      <c r="Q140" s="808"/>
      <c r="R140" s="808"/>
      <c r="S140" s="808"/>
      <c r="T140" s="808"/>
      <c r="U140" s="808"/>
      <c r="V140" s="808"/>
      <c r="W140" s="808"/>
      <c r="X140" s="808"/>
      <c r="Y140" s="808"/>
      <c r="Z140" s="808"/>
      <c r="AA140" s="808"/>
      <c r="AB140" s="808"/>
      <c r="AC140" s="3281" t="s">
        <v>2521</v>
      </c>
      <c r="AD140" s="1125">
        <v>2</v>
      </c>
      <c r="AE140" s="9594"/>
      <c r="AF140" s="9602"/>
      <c r="AG140" s="9602"/>
      <c r="AH140" s="9602"/>
      <c r="AI140" s="9602"/>
      <c r="AJ140" s="9602"/>
      <c r="AK140" s="461"/>
      <c r="AL140" s="1376"/>
      <c r="AM140" s="3431" t="b">
        <f>NOT(AM139)</f>
        <v>0</v>
      </c>
      <c r="AN140" s="808"/>
      <c r="AO140" s="2038"/>
      <c r="AP140" s="2038"/>
      <c r="AQ140" s="2038"/>
      <c r="AR140" s="2038"/>
      <c r="AS140" s="2038"/>
      <c r="AT140" s="2038"/>
      <c r="AU140" s="2038"/>
      <c r="AV140" s="2038"/>
      <c r="AW140" s="2038"/>
      <c r="AX140" s="2038"/>
      <c r="AY140" s="39"/>
      <c r="AZ140" s="39"/>
    </row>
    <row r="141" spans="1:52" s="2690" customFormat="1" ht="15" customHeight="1" thickBot="1">
      <c r="A141" s="461"/>
      <c r="B141" s="808"/>
      <c r="C141" s="3644" t="s">
        <v>256</v>
      </c>
      <c r="D141" s="2112" t="s">
        <v>3463</v>
      </c>
      <c r="E141" s="808"/>
      <c r="F141" s="808"/>
      <c r="G141" s="808"/>
      <c r="H141" s="808"/>
      <c r="I141" s="808"/>
      <c r="J141" s="808"/>
      <c r="K141" s="808"/>
      <c r="L141" s="808"/>
      <c r="M141" s="808"/>
      <c r="N141" s="808"/>
      <c r="O141" s="808"/>
      <c r="P141" s="808"/>
      <c r="Q141" s="808"/>
      <c r="R141" s="808"/>
      <c r="S141" s="808"/>
      <c r="T141" s="808"/>
      <c r="U141" s="808"/>
      <c r="V141" s="808"/>
      <c r="W141" s="808"/>
      <c r="X141" s="808"/>
      <c r="Y141" s="808"/>
      <c r="Z141" s="808"/>
      <c r="AA141" s="808"/>
      <c r="AB141" s="808"/>
      <c r="AC141" s="3281" t="s">
        <v>2170</v>
      </c>
      <c r="AD141" s="1125">
        <v>3</v>
      </c>
      <c r="AE141" s="9586" t="str">
        <f>IF(AM139,"",SUM(AE139:AE140))</f>
        <v/>
      </c>
      <c r="AF141" s="9587"/>
      <c r="AG141" s="9587"/>
      <c r="AH141" s="9587"/>
      <c r="AI141" s="9587"/>
      <c r="AJ141" s="9587"/>
      <c r="AK141" s="461"/>
      <c r="AL141" s="3590"/>
      <c r="AM141" s="1459" t="str">
        <f>IF(OR(AL141&lt;&gt;"",AND(AL145="",NOT(AM143))),"Override 'No.'","")</f>
        <v/>
      </c>
      <c r="AN141" s="808"/>
      <c r="AO141" s="2038"/>
      <c r="AP141" s="2038"/>
      <c r="AQ141" s="2038"/>
      <c r="AR141" s="2038"/>
      <c r="AS141" s="2038"/>
      <c r="AT141" s="2038"/>
      <c r="AU141" s="2038"/>
      <c r="AV141" s="2038"/>
      <c r="AW141" s="2038"/>
      <c r="AX141" s="2038"/>
      <c r="AY141" s="39"/>
      <c r="AZ141" s="39"/>
    </row>
    <row r="142" spans="1:52" s="2690" customFormat="1" ht="17.25" customHeight="1" thickBot="1">
      <c r="A142" s="461"/>
      <c r="B142" s="808"/>
      <c r="C142" s="3644"/>
      <c r="D142" s="9622"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142" s="6598"/>
      <c r="F142" s="6598"/>
      <c r="G142" s="6598"/>
      <c r="H142" s="6598"/>
      <c r="I142" s="6598"/>
      <c r="J142" s="6598"/>
      <c r="K142" s="6598"/>
      <c r="L142" s="6598"/>
      <c r="M142" s="9623"/>
      <c r="N142" s="895"/>
      <c r="O142" s="896"/>
      <c r="P142" s="9599" t="s">
        <v>609</v>
      </c>
      <c r="Q142" s="9599"/>
      <c r="R142" s="896"/>
      <c r="S142" s="896"/>
      <c r="T142" s="2112" t="s">
        <v>4427</v>
      </c>
      <c r="U142" s="808"/>
      <c r="V142" s="808"/>
      <c r="W142" s="808"/>
      <c r="X142" s="808"/>
      <c r="Y142" s="808"/>
      <c r="Z142" s="808"/>
      <c r="AA142" s="808"/>
      <c r="AB142" s="808"/>
      <c r="AC142" s="808"/>
      <c r="AD142" s="1129"/>
      <c r="AE142" s="900"/>
      <c r="AF142" s="900"/>
      <c r="AG142" s="900"/>
      <c r="AH142" s="900"/>
      <c r="AI142" s="900"/>
      <c r="AJ142" s="900"/>
      <c r="AK142" s="461"/>
      <c r="AL142" s="1413" t="str">
        <f>IF(AL145&lt;&gt;"","",IF(AL141&lt;&gt;"","X",IF(OR(AND(AL119&lt;&gt;"",OR('1099-R'!$M$4&gt;0,IRA_CONV_YOU&gt;0)),AND(AL120&lt;&gt;"",OR('1099-R'!$M$31&gt;0,IRA_CONV_SPOUSE&gt;0))),"","X")))</f>
        <v>X</v>
      </c>
      <c r="AM142" s="1459" t="s">
        <v>1067</v>
      </c>
      <c r="AN142" s="808"/>
      <c r="AO142" s="2038"/>
      <c r="AP142" s="2038"/>
      <c r="AQ142" s="2038"/>
      <c r="AR142" s="2038"/>
      <c r="AS142" s="2038"/>
      <c r="AT142" s="2038"/>
      <c r="AU142" s="2038"/>
      <c r="AV142" s="2038"/>
      <c r="AW142" s="2038"/>
      <c r="AX142" s="2038"/>
      <c r="AY142" s="39"/>
      <c r="AZ142" s="39"/>
    </row>
    <row r="143" spans="1:52" s="2690" customFormat="1" ht="12" customHeight="1" thickBot="1">
      <c r="A143" s="461"/>
      <c r="B143" s="808"/>
      <c r="C143" s="3045"/>
      <c r="D143" s="9624"/>
      <c r="E143" s="6599"/>
      <c r="F143" s="6599"/>
      <c r="G143" s="6599"/>
      <c r="H143" s="6599"/>
      <c r="I143" s="6599"/>
      <c r="J143" s="6599"/>
      <c r="K143" s="6599"/>
      <c r="L143" s="6599"/>
      <c r="M143" s="9625"/>
      <c r="N143" s="808"/>
      <c r="O143" s="808"/>
      <c r="P143" s="9599"/>
      <c r="Q143" s="9599"/>
      <c r="R143" s="808"/>
      <c r="S143" s="808"/>
      <c r="T143" s="2645" t="s">
        <v>4428</v>
      </c>
      <c r="U143" s="808"/>
      <c r="V143" s="808"/>
      <c r="W143" s="1128"/>
      <c r="X143" s="808"/>
      <c r="Y143" s="808"/>
      <c r="Z143" s="808"/>
      <c r="AA143" s="808"/>
      <c r="AB143" s="808"/>
      <c r="AC143" s="808"/>
      <c r="AD143" s="1129"/>
      <c r="AE143" s="900"/>
      <c r="AF143" s="900"/>
      <c r="AG143" s="900"/>
      <c r="AH143" s="900"/>
      <c r="AI143" s="900"/>
      <c r="AJ143" s="900"/>
      <c r="AK143" s="461"/>
      <c r="AL143" s="1376"/>
      <c r="AM143" s="3431" t="b">
        <f>(AL142&lt;&gt;"")</f>
        <v>1</v>
      </c>
      <c r="AN143" s="808"/>
      <c r="AO143" s="2038"/>
      <c r="AP143" s="2038"/>
      <c r="AQ143" s="2038"/>
      <c r="AR143" s="2038"/>
      <c r="AS143" s="2038"/>
      <c r="AT143" s="2038"/>
      <c r="AU143" s="2038"/>
      <c r="AV143" s="2038"/>
      <c r="AW143" s="2038"/>
      <c r="AX143" s="2038"/>
      <c r="AY143" s="39"/>
      <c r="AZ143" s="39"/>
    </row>
    <row r="144" spans="1:52" s="2690" customFormat="1" ht="11.25" customHeight="1" thickBot="1">
      <c r="A144" s="461"/>
      <c r="B144" s="808"/>
      <c r="C144" s="3045"/>
      <c r="D144" s="9624"/>
      <c r="E144" s="6599"/>
      <c r="F144" s="6599"/>
      <c r="G144" s="6599"/>
      <c r="H144" s="6599"/>
      <c r="I144" s="6599"/>
      <c r="J144" s="6599"/>
      <c r="K144" s="6599"/>
      <c r="L144" s="6599"/>
      <c r="M144" s="9625"/>
      <c r="N144" s="808"/>
      <c r="O144" s="808"/>
      <c r="P144" s="7834" t="s">
        <v>608</v>
      </c>
      <c r="Q144" s="7834"/>
      <c r="R144" s="808"/>
      <c r="S144" s="808"/>
      <c r="T144" s="9600" t="s">
        <v>4429</v>
      </c>
      <c r="U144" s="9600"/>
      <c r="V144" s="9600"/>
      <c r="W144" s="9600"/>
      <c r="X144" s="9600"/>
      <c r="Y144" s="9600"/>
      <c r="Z144" s="9600"/>
      <c r="AA144" s="9600"/>
      <c r="AB144" s="9600"/>
      <c r="AC144" s="9601"/>
      <c r="AD144" s="1129"/>
      <c r="AE144" s="900"/>
      <c r="AF144" s="900"/>
      <c r="AG144" s="900"/>
      <c r="AH144" s="900"/>
      <c r="AI144" s="900"/>
      <c r="AJ144" s="900"/>
      <c r="AK144" s="461"/>
      <c r="AL144" s="1413" t="str">
        <f>IF(AL145&lt;&gt;"","X",IF(AM143,"","X"))</f>
        <v/>
      </c>
      <c r="AM144" s="1459" t="s">
        <v>1069</v>
      </c>
      <c r="AN144" s="808"/>
      <c r="AO144" s="2038"/>
      <c r="AP144" s="2038"/>
      <c r="AQ144" s="2038"/>
      <c r="AR144" s="2038"/>
      <c r="AS144" s="2038"/>
      <c r="AT144" s="2038"/>
      <c r="AU144" s="2038"/>
      <c r="AV144" s="2038"/>
      <c r="AW144" s="2038"/>
      <c r="AX144" s="2038"/>
      <c r="AY144" s="39"/>
      <c r="AZ144" s="39"/>
    </row>
    <row r="145" spans="1:52" s="2690" customFormat="1" ht="10.5" customHeight="1" thickBot="1">
      <c r="A145" s="461"/>
      <c r="B145" s="808"/>
      <c r="C145" s="3045"/>
      <c r="D145" s="9626"/>
      <c r="E145" s="6600"/>
      <c r="F145" s="6600"/>
      <c r="G145" s="6600"/>
      <c r="H145" s="6600"/>
      <c r="I145" s="6600"/>
      <c r="J145" s="6600"/>
      <c r="K145" s="6600"/>
      <c r="L145" s="6600"/>
      <c r="M145" s="9627"/>
      <c r="N145" s="889"/>
      <c r="O145" s="890"/>
      <c r="P145" s="7834"/>
      <c r="Q145" s="7834"/>
      <c r="R145" s="890"/>
      <c r="S145" s="890"/>
      <c r="T145" s="9600"/>
      <c r="U145" s="9600"/>
      <c r="V145" s="9600"/>
      <c r="W145" s="9600"/>
      <c r="X145" s="9600"/>
      <c r="Y145" s="9600"/>
      <c r="Z145" s="9600"/>
      <c r="AA145" s="9600"/>
      <c r="AB145" s="9600"/>
      <c r="AC145" s="9601"/>
      <c r="AD145" s="1129"/>
      <c r="AE145" s="900"/>
      <c r="AF145" s="900"/>
      <c r="AG145" s="900"/>
      <c r="AH145" s="900"/>
      <c r="AI145" s="900"/>
      <c r="AJ145" s="900"/>
      <c r="AK145" s="461"/>
      <c r="AL145" s="3590"/>
      <c r="AM145" s="1459" t="str">
        <f>IF(AND(AL141="",OR(AL145&lt;&gt;"",AM143)),"Override 'Yes.'","")</f>
        <v>Override 'Yes.'</v>
      </c>
      <c r="AN145" s="808"/>
      <c r="AO145" s="2038"/>
      <c r="AP145" s="2038"/>
      <c r="AQ145" s="2038"/>
      <c r="AR145" s="2038"/>
      <c r="AS145" s="2038"/>
      <c r="AT145" s="2038"/>
      <c r="AU145" s="2038"/>
      <c r="AV145" s="2038"/>
      <c r="AW145" s="2038"/>
      <c r="AX145" s="2038"/>
      <c r="AY145" s="39"/>
      <c r="AZ145" s="39"/>
    </row>
    <row r="146" spans="1:52" s="2690" customFormat="1" ht="15" customHeight="1">
      <c r="A146" s="461"/>
      <c r="B146" s="808"/>
      <c r="C146" s="3644" t="s">
        <v>259</v>
      </c>
      <c r="D146" s="2112" t="str">
        <f>"Enter those contributions included on line 1 that were made from January 1, "&amp;TaxYear+1&amp;", through "&amp;TEXT(TaxDay,"mmmm dd")&amp;", "&amp;TaxYear+1</f>
        <v>Enter those contributions included on line 1 that were made from January 1, 2024, through April 15, 2024</v>
      </c>
      <c r="E146" s="2112"/>
      <c r="F146" s="808"/>
      <c r="G146" s="808"/>
      <c r="H146" s="808"/>
      <c r="I146" s="808"/>
      <c r="J146" s="808"/>
      <c r="K146" s="808"/>
      <c r="L146" s="808"/>
      <c r="M146" s="808"/>
      <c r="N146" s="808"/>
      <c r="O146" s="808"/>
      <c r="P146" s="808"/>
      <c r="Q146" s="808"/>
      <c r="R146" s="808"/>
      <c r="S146" s="808"/>
      <c r="T146" s="808"/>
      <c r="U146" s="808"/>
      <c r="V146" s="808"/>
      <c r="W146" s="1128"/>
      <c r="X146" s="808"/>
      <c r="Y146" s="808"/>
      <c r="Z146" s="808"/>
      <c r="AA146" s="808"/>
      <c r="AB146" s="808"/>
      <c r="AC146" s="808"/>
      <c r="AD146" s="1125">
        <v>4</v>
      </c>
      <c r="AE146" s="9594"/>
      <c r="AF146" s="9602"/>
      <c r="AG146" s="9602"/>
      <c r="AH146" s="9602"/>
      <c r="AI146" s="9602"/>
      <c r="AJ146" s="9602"/>
      <c r="AK146" s="461"/>
      <c r="AL146" s="1376"/>
      <c r="AM146" s="1376"/>
      <c r="AN146" s="808"/>
      <c r="AO146" s="2038"/>
      <c r="AP146" s="2038"/>
      <c r="AQ146" s="2038"/>
      <c r="AR146" s="2038"/>
      <c r="AS146" s="2038"/>
      <c r="AT146" s="2038"/>
      <c r="AU146" s="2038"/>
      <c r="AV146" s="2038"/>
      <c r="AW146" s="2038"/>
      <c r="AX146" s="2038"/>
      <c r="AY146" s="39"/>
      <c r="AZ146" s="39"/>
    </row>
    <row r="147" spans="1:52" s="2690" customFormat="1" ht="15.75" customHeight="1">
      <c r="A147" s="461"/>
      <c r="B147" s="808"/>
      <c r="C147" s="3644" t="s">
        <v>261</v>
      </c>
      <c r="D147" s="2112" t="s">
        <v>4098</v>
      </c>
      <c r="E147" s="808"/>
      <c r="F147" s="808"/>
      <c r="G147" s="808"/>
      <c r="H147" s="808"/>
      <c r="I147" s="808"/>
      <c r="J147" s="808"/>
      <c r="K147" s="808"/>
      <c r="L147" s="808"/>
      <c r="M147" s="808"/>
      <c r="N147" s="808"/>
      <c r="O147" s="808"/>
      <c r="P147" s="808"/>
      <c r="Q147" s="808"/>
      <c r="R147" s="808"/>
      <c r="S147" s="808"/>
      <c r="T147" s="808"/>
      <c r="U147" s="808"/>
      <c r="V147" s="808"/>
      <c r="W147" s="808"/>
      <c r="X147" s="808"/>
      <c r="Y147" s="808"/>
      <c r="Z147" s="808"/>
      <c r="AA147" s="808"/>
      <c r="AB147" s="808"/>
      <c r="AC147" s="3281" t="s">
        <v>4204</v>
      </c>
      <c r="AD147" s="1125">
        <v>5</v>
      </c>
      <c r="AE147" s="9586" t="str">
        <f>IF(AM139,"",IF(AM143,"",MAX(0,SUM(AE141,-ROUND(AE146,0)))))</f>
        <v/>
      </c>
      <c r="AF147" s="9587"/>
      <c r="AG147" s="9587"/>
      <c r="AH147" s="9587"/>
      <c r="AI147" s="9587"/>
      <c r="AJ147" s="9587"/>
      <c r="AK147" s="461"/>
      <c r="AL147" s="3837"/>
      <c r="AM147" s="808"/>
      <c r="AN147" s="808"/>
      <c r="AO147" s="2038"/>
      <c r="AP147" s="2038"/>
      <c r="AQ147" s="2038"/>
      <c r="AR147" s="2038"/>
      <c r="AS147" s="2038"/>
      <c r="AT147" s="2038"/>
      <c r="AU147" s="2038"/>
      <c r="AV147" s="2038"/>
      <c r="AW147" s="2038"/>
      <c r="AX147" s="2038"/>
      <c r="AY147" s="39"/>
      <c r="AZ147" s="39"/>
    </row>
    <row r="148" spans="1:52" s="2690" customFormat="1" ht="15" customHeight="1">
      <c r="A148" s="461"/>
      <c r="B148" s="808"/>
      <c r="C148" s="3644" t="s">
        <v>263</v>
      </c>
      <c r="D148" s="2112" t="s">
        <v>4430</v>
      </c>
      <c r="E148" s="808"/>
      <c r="F148" s="808"/>
      <c r="G148" s="808"/>
      <c r="H148" s="808"/>
      <c r="I148" s="808"/>
      <c r="J148" s="808"/>
      <c r="K148" s="808"/>
      <c r="L148" s="808"/>
      <c r="M148" s="808"/>
      <c r="N148" s="808"/>
      <c r="O148" s="808"/>
      <c r="P148" s="808"/>
      <c r="Q148" s="808"/>
      <c r="R148" s="808"/>
      <c r="S148" s="808"/>
      <c r="T148" s="808"/>
      <c r="U148" s="808"/>
      <c r="V148" s="808"/>
      <c r="W148" s="1126"/>
      <c r="X148" s="808"/>
      <c r="Y148" s="808"/>
      <c r="Z148" s="808"/>
      <c r="AA148" s="808"/>
      <c r="AB148" s="808"/>
      <c r="AC148" s="808"/>
      <c r="AD148" s="1129"/>
      <c r="AE148" s="3422"/>
      <c r="AF148" s="900"/>
      <c r="AG148" s="900"/>
      <c r="AH148" s="900"/>
      <c r="AI148" s="900"/>
      <c r="AJ148" s="900"/>
      <c r="AK148" s="461"/>
      <c r="AL148" s="3591" t="str">
        <f>IF(AND(OR(AE146&lt;&gt;"",SUM(AL150,AL158,AL159,AL171)&gt;0),AM143)," Do not complete the","")</f>
        <v/>
      </c>
      <c r="AM148" s="1376"/>
      <c r="AN148" s="808"/>
      <c r="AO148" s="2038"/>
      <c r="AP148" s="2038"/>
      <c r="AQ148" s="2038"/>
      <c r="AR148" s="2038"/>
      <c r="AS148" s="2038"/>
      <c r="AT148" s="2038"/>
      <c r="AU148" s="2038"/>
      <c r="AV148" s="2038"/>
      <c r="AW148" s="2038"/>
      <c r="AX148" s="2038"/>
      <c r="AY148" s="39"/>
      <c r="AZ148" s="39"/>
    </row>
    <row r="149" spans="1:52" s="2690" customFormat="1" ht="15" customHeight="1">
      <c r="A149" s="461"/>
      <c r="B149" s="808"/>
      <c r="C149" s="3045"/>
      <c r="D149" s="2112" t="str">
        <f>TaxYear&amp;", plus any outstanding rollovers. Subtract any repayments of qualified"</f>
        <v>2023, plus any outstanding rollovers. Subtract any repayments of qualified</v>
      </c>
      <c r="E149" s="808"/>
      <c r="F149" s="808"/>
      <c r="G149" s="808"/>
      <c r="H149" s="808"/>
      <c r="I149" s="808"/>
      <c r="J149" s="808"/>
      <c r="K149" s="808"/>
      <c r="L149" s="808"/>
      <c r="M149" s="808"/>
      <c r="N149" s="808"/>
      <c r="O149" s="808"/>
      <c r="P149" s="808"/>
      <c r="Q149" s="808"/>
      <c r="R149" s="808"/>
      <c r="S149" s="808"/>
      <c r="T149" s="808"/>
      <c r="U149" s="808"/>
      <c r="V149" s="808"/>
      <c r="W149" s="1126"/>
      <c r="X149" s="808"/>
      <c r="Y149" s="808"/>
      <c r="Z149" s="808"/>
      <c r="AA149" s="808"/>
      <c r="AB149" s="808"/>
      <c r="AC149" s="808"/>
      <c r="AD149" s="1129"/>
      <c r="AE149" s="3422"/>
      <c r="AF149" s="900"/>
      <c r="AG149" s="900"/>
      <c r="AH149" s="900"/>
      <c r="AI149" s="900"/>
      <c r="AJ149" s="900"/>
      <c r="AK149" s="461"/>
      <c r="AL149" s="3591" t="str">
        <f>IF(AND(OR(AE146&lt;&gt;"",SUM(AL150,AL158,AL159,AL171)&gt;0),AM143)," rest of Part I.","")</f>
        <v/>
      </c>
      <c r="AM149" s="808"/>
      <c r="AN149" s="808"/>
      <c r="AO149" s="2038"/>
      <c r="AP149" s="2038"/>
      <c r="AQ149" s="2038"/>
      <c r="AR149" s="2038"/>
      <c r="AS149" s="2038"/>
      <c r="AT149" s="2038"/>
      <c r="AU149" s="2038"/>
      <c r="AV149" s="2038"/>
      <c r="AW149" s="2038"/>
      <c r="AX149" s="2038"/>
      <c r="AY149" s="39"/>
      <c r="AZ149" s="39"/>
    </row>
    <row r="150" spans="1:52" s="2690" customFormat="1" ht="15" customHeight="1">
      <c r="A150" s="461"/>
      <c r="B150" s="808"/>
      <c r="C150" s="3644"/>
      <c r="D150" s="2112" t="str">
        <f>"disaster distributions (see "&amp;TaxYear&amp;" Form(s) 8915-F (see instructions)"</f>
        <v>disaster distributions (see 2023 Form(s) 8915-F (see instructions)</v>
      </c>
      <c r="E150" s="808"/>
      <c r="F150" s="808"/>
      <c r="G150" s="808"/>
      <c r="H150" s="808"/>
      <c r="I150" s="808"/>
      <c r="J150" s="808"/>
      <c r="K150" s="808"/>
      <c r="L150" s="808"/>
      <c r="M150" s="808"/>
      <c r="N150" s="2112"/>
      <c r="O150" s="2112"/>
      <c r="P150" s="808"/>
      <c r="Q150" s="808"/>
      <c r="R150" s="808"/>
      <c r="S150" s="808"/>
      <c r="T150" s="808"/>
      <c r="U150" s="808"/>
      <c r="V150" s="808"/>
      <c r="W150" s="1125">
        <v>6</v>
      </c>
      <c r="X150" s="9564"/>
      <c r="Y150" s="9565"/>
      <c r="Z150" s="9565"/>
      <c r="AA150" s="9565"/>
      <c r="AB150" s="9565"/>
      <c r="AC150" s="9565"/>
      <c r="AD150" s="1129"/>
      <c r="AE150" s="3422"/>
      <c r="AF150" s="900"/>
      <c r="AG150" s="900"/>
      <c r="AH150" s="900"/>
      <c r="AI150" s="900"/>
      <c r="AJ150" s="900"/>
      <c r="AK150" s="461"/>
      <c r="AL150" s="900">
        <f>IF(X150&lt;&gt;"",1,0)</f>
        <v>0</v>
      </c>
      <c r="AM150" s="1376"/>
      <c r="AN150" s="808"/>
      <c r="AO150" s="2038"/>
      <c r="AP150" s="2038"/>
      <c r="AQ150" s="2038"/>
      <c r="AR150" s="2038"/>
      <c r="AS150" s="2038"/>
      <c r="AT150" s="2038"/>
      <c r="AU150" s="2038"/>
      <c r="AV150" s="2038"/>
      <c r="AW150" s="2038"/>
      <c r="AX150" s="2038"/>
      <c r="AY150" s="39"/>
      <c r="AZ150" s="39"/>
    </row>
    <row r="151" spans="1:52" s="2690" customFormat="1" ht="14.25" customHeight="1">
      <c r="A151" s="461"/>
      <c r="B151" s="808"/>
      <c r="C151" s="3644" t="s">
        <v>266</v>
      </c>
      <c r="D151" s="2112" t="str">
        <f>"Enter your distributions from traditional, SEP, and SIMPLE IRAs in "&amp;TaxYear&amp;"."</f>
        <v>Enter your distributions from traditional, SEP, and SIMPLE IRAs in 2023.</v>
      </c>
      <c r="E151" s="808"/>
      <c r="F151" s="808"/>
      <c r="G151" s="808"/>
      <c r="H151" s="808"/>
      <c r="I151" s="808"/>
      <c r="J151" s="808"/>
      <c r="K151" s="808"/>
      <c r="L151" s="808"/>
      <c r="M151" s="808"/>
      <c r="N151" s="808"/>
      <c r="O151" s="808"/>
      <c r="P151" s="808"/>
      <c r="Q151" s="808"/>
      <c r="R151" s="808"/>
      <c r="S151" s="808"/>
      <c r="T151" s="808"/>
      <c r="U151" s="3610" t="s">
        <v>5744</v>
      </c>
      <c r="V151" s="3649"/>
      <c r="W151" s="1126"/>
      <c r="X151" s="808"/>
      <c r="Y151" s="808"/>
      <c r="Z151" s="808"/>
      <c r="AA151" s="808"/>
      <c r="AB151" s="808"/>
      <c r="AC151" s="808"/>
      <c r="AD151" s="1129"/>
      <c r="AE151" s="3422"/>
      <c r="AF151" s="900"/>
      <c r="AG151" s="900"/>
      <c r="AH151" s="900"/>
      <c r="AI151" s="900"/>
      <c r="AJ151" s="900"/>
      <c r="AK151" s="461"/>
      <c r="AL151" s="900"/>
      <c r="AM151" s="1376"/>
      <c r="AN151" s="808"/>
      <c r="AO151" s="2038"/>
      <c r="AP151" s="2038"/>
      <c r="AQ151" s="2038"/>
      <c r="AR151" s="2038"/>
      <c r="AS151" s="2038"/>
      <c r="AT151" s="2038"/>
      <c r="AU151" s="2038"/>
      <c r="AV151" s="2038"/>
      <c r="AW151" s="2038"/>
      <c r="AX151" s="2038"/>
      <c r="AY151" s="39"/>
      <c r="AZ151" s="39"/>
    </row>
    <row r="152" spans="1:52" s="2690" customFormat="1" ht="14.25" customHeight="1">
      <c r="A152" s="461"/>
      <c r="B152" s="808"/>
      <c r="C152" s="3644"/>
      <c r="D152" s="2112" t="s">
        <v>5745</v>
      </c>
      <c r="E152" s="2112"/>
      <c r="F152" s="808"/>
      <c r="G152" s="808"/>
      <c r="H152" s="808"/>
      <c r="I152" s="808"/>
      <c r="J152" s="808"/>
      <c r="K152" s="808"/>
      <c r="L152" s="808"/>
      <c r="M152" s="808"/>
      <c r="N152" s="808"/>
      <c r="O152" s="808"/>
      <c r="P152" s="808"/>
      <c r="Q152" s="808"/>
      <c r="R152" s="808"/>
      <c r="S152" s="808"/>
      <c r="T152" s="808"/>
      <c r="U152" s="808"/>
      <c r="V152" s="808"/>
      <c r="W152" s="1126"/>
      <c r="X152" s="808"/>
      <c r="Y152" s="808"/>
      <c r="Z152" s="808"/>
      <c r="AA152" s="808"/>
      <c r="AB152" s="808"/>
      <c r="AC152" s="808"/>
      <c r="AD152" s="1129"/>
      <c r="AE152" s="3422"/>
      <c r="AF152" s="900"/>
      <c r="AG152" s="900"/>
      <c r="AH152" s="900"/>
      <c r="AI152" s="900"/>
      <c r="AJ152" s="900"/>
      <c r="AK152" s="461"/>
      <c r="AL152" s="900"/>
      <c r="AM152" s="808"/>
      <c r="AN152" s="808"/>
      <c r="AO152" s="2038"/>
      <c r="AP152" s="2038"/>
      <c r="AQ152" s="2038"/>
      <c r="AR152" s="2038"/>
      <c r="AS152" s="2038"/>
      <c r="AT152" s="2038"/>
      <c r="AU152" s="2038"/>
      <c r="AV152" s="2038"/>
      <c r="AW152" s="2038"/>
      <c r="AX152" s="2038"/>
      <c r="AY152" s="39"/>
      <c r="AZ152" s="39"/>
    </row>
    <row r="153" spans="1:52" s="2690" customFormat="1" ht="14.25" customHeight="1">
      <c r="A153" s="461"/>
      <c r="B153" s="808"/>
      <c r="C153" s="3644"/>
      <c r="D153" s="2112" t="str">
        <f>"from "&amp;TaxYear&amp;" Form(s) 8915-F (see instructions)), qualified charitable distributions,"</f>
        <v>from 2023 Form(s) 8915-F (see instructions)), qualified charitable distributions,</v>
      </c>
      <c r="E153" s="2112"/>
      <c r="F153" s="808"/>
      <c r="G153" s="808"/>
      <c r="H153" s="808"/>
      <c r="I153" s="808"/>
      <c r="J153" s="808"/>
      <c r="K153" s="808"/>
      <c r="L153" s="808"/>
      <c r="M153" s="808"/>
      <c r="N153" s="808"/>
      <c r="O153" s="808"/>
      <c r="P153" s="808"/>
      <c r="Q153" s="808"/>
      <c r="R153" s="808"/>
      <c r="S153" s="808"/>
      <c r="T153" s="808"/>
      <c r="U153" s="808"/>
      <c r="V153" s="808"/>
      <c r="W153" s="1126"/>
      <c r="X153" s="808"/>
      <c r="Y153" s="808"/>
      <c r="Z153" s="808"/>
      <c r="AA153" s="808"/>
      <c r="AB153" s="808"/>
      <c r="AC153" s="808"/>
      <c r="AD153" s="1129"/>
      <c r="AE153" s="3422"/>
      <c r="AF153" s="900"/>
      <c r="AG153" s="900"/>
      <c r="AH153" s="900"/>
      <c r="AI153" s="900"/>
      <c r="AJ153" s="900"/>
      <c r="AK153" s="461"/>
      <c r="AL153" s="900"/>
      <c r="AM153" s="808"/>
      <c r="AN153" s="808"/>
      <c r="AO153" s="2038"/>
      <c r="AP153" s="2038"/>
      <c r="AQ153" s="2038"/>
      <c r="AR153" s="2038"/>
      <c r="AS153" s="2038"/>
      <c r="AT153" s="2038"/>
      <c r="AU153" s="2038"/>
      <c r="AV153" s="2038"/>
      <c r="AW153" s="2038"/>
      <c r="AX153" s="2038"/>
      <c r="AY153" s="39"/>
      <c r="AZ153" s="39"/>
    </row>
    <row r="154" spans="1:52" s="2690" customFormat="1" ht="14.25" customHeight="1">
      <c r="A154" s="461"/>
      <c r="B154" s="808"/>
      <c r="C154" s="3644"/>
      <c r="D154" s="2112" t="s">
        <v>5746</v>
      </c>
      <c r="E154" s="2112"/>
      <c r="F154" s="808"/>
      <c r="G154" s="808"/>
      <c r="H154" s="808"/>
      <c r="I154" s="808"/>
      <c r="J154" s="808"/>
      <c r="K154" s="808"/>
      <c r="L154" s="808"/>
      <c r="M154" s="808"/>
      <c r="N154" s="808"/>
      <c r="O154" s="808"/>
      <c r="P154" s="808"/>
      <c r="Q154" s="808"/>
      <c r="R154" s="808"/>
      <c r="S154" s="808"/>
      <c r="T154" s="808"/>
      <c r="U154" s="808"/>
      <c r="V154" s="808"/>
      <c r="W154" s="1126"/>
      <c r="X154" s="808"/>
      <c r="Y154" s="808"/>
      <c r="Z154" s="808"/>
      <c r="AA154" s="808"/>
      <c r="AB154" s="808"/>
      <c r="AC154" s="808"/>
      <c r="AD154" s="1129"/>
      <c r="AE154" s="3422"/>
      <c r="AF154" s="900"/>
      <c r="AG154" s="900"/>
      <c r="AH154" s="900"/>
      <c r="AI154" s="900"/>
      <c r="AJ154" s="900"/>
      <c r="AK154" s="461"/>
      <c r="AL154" s="900"/>
      <c r="AM154" s="808"/>
      <c r="AN154" s="808"/>
      <c r="AO154" s="2038"/>
      <c r="AP154" s="2038"/>
      <c r="AQ154" s="2038"/>
      <c r="AR154" s="2038"/>
      <c r="AS154" s="2038"/>
      <c r="AT154" s="2038"/>
      <c r="AU154" s="2038"/>
      <c r="AV154" s="2038"/>
      <c r="AW154" s="2038"/>
      <c r="AX154" s="2038"/>
      <c r="AY154" s="39"/>
      <c r="AZ154" s="39"/>
    </row>
    <row r="155" spans="1:52" s="2690" customFormat="1" ht="14.25" customHeight="1">
      <c r="A155" s="461"/>
      <c r="B155" s="808"/>
      <c r="C155" s="3644"/>
      <c r="D155" s="2112" t="s">
        <v>5747</v>
      </c>
      <c r="E155" s="2112"/>
      <c r="F155" s="808"/>
      <c r="G155" s="808"/>
      <c r="H155" s="808"/>
      <c r="I155" s="808"/>
      <c r="J155" s="808"/>
      <c r="K155" s="808"/>
      <c r="L155" s="808"/>
      <c r="M155" s="808"/>
      <c r="N155" s="808"/>
      <c r="O155" s="808"/>
      <c r="P155" s="808"/>
      <c r="Q155" s="808"/>
      <c r="R155" s="808"/>
      <c r="S155" s="808"/>
      <c r="T155" s="808"/>
      <c r="U155" s="808"/>
      <c r="V155" s="808"/>
      <c r="W155" s="1126"/>
      <c r="X155" s="808"/>
      <c r="Y155" s="808"/>
      <c r="Z155" s="808"/>
      <c r="AA155" s="808"/>
      <c r="AB155" s="808"/>
      <c r="AC155" s="808"/>
      <c r="AD155" s="1129"/>
      <c r="AE155" s="3422"/>
      <c r="AF155" s="900"/>
      <c r="AG155" s="900"/>
      <c r="AH155" s="900"/>
      <c r="AI155" s="900"/>
      <c r="AJ155" s="900"/>
      <c r="AK155" s="461"/>
      <c r="AL155" s="900"/>
      <c r="AM155" s="808"/>
      <c r="AN155" s="808"/>
      <c r="AO155" s="2038"/>
      <c r="AP155" s="2038"/>
      <c r="AQ155" s="2038"/>
      <c r="AR155" s="2038"/>
      <c r="AS155" s="2038"/>
      <c r="AT155" s="2038"/>
      <c r="AU155" s="2038"/>
      <c r="AV155" s="2038"/>
      <c r="AW155" s="2038"/>
      <c r="AX155" s="2038"/>
      <c r="AY155" s="39"/>
      <c r="AZ155" s="39"/>
    </row>
    <row r="156" spans="1:52" s="2690" customFormat="1" ht="16.5" customHeight="1">
      <c r="A156" s="461"/>
      <c r="B156" s="808"/>
      <c r="C156" s="3045"/>
      <c r="D156" s="2952" t="s">
        <v>4431</v>
      </c>
      <c r="E156" s="2112"/>
      <c r="F156" s="808"/>
      <c r="G156" s="808"/>
      <c r="H156" s="808"/>
      <c r="I156" s="808"/>
      <c r="J156" s="808"/>
      <c r="K156" s="808"/>
      <c r="L156" s="808"/>
      <c r="M156" s="808"/>
      <c r="N156" s="808"/>
      <c r="O156" s="808"/>
      <c r="P156" s="808"/>
      <c r="Q156" s="808"/>
      <c r="R156" s="808"/>
      <c r="S156" s="808"/>
      <c r="T156" s="808"/>
      <c r="U156" s="808"/>
      <c r="V156" s="2760" t="s">
        <v>2521</v>
      </c>
      <c r="W156" s="1125">
        <v>7</v>
      </c>
      <c r="X156" s="9564"/>
      <c r="Y156" s="9565"/>
      <c r="Z156" s="9565"/>
      <c r="AA156" s="9565"/>
      <c r="AB156" s="9565"/>
      <c r="AC156" s="9565"/>
      <c r="AD156" s="1129"/>
      <c r="AE156" s="3422"/>
      <c r="AF156" s="900"/>
      <c r="AG156" s="900"/>
      <c r="AH156" s="900"/>
      <c r="AI156" s="900"/>
      <c r="AJ156" s="900"/>
      <c r="AK156" s="461"/>
      <c r="AL156" s="3591"/>
      <c r="AM156" s="23" t="s">
        <v>1113</v>
      </c>
      <c r="AN156" s="808"/>
      <c r="AO156" s="2038"/>
      <c r="AP156" s="2038"/>
      <c r="AQ156" s="2038"/>
      <c r="AR156" s="2038"/>
      <c r="AS156" s="2038"/>
      <c r="AT156" s="2038"/>
      <c r="AU156" s="2038"/>
      <c r="AV156" s="2038"/>
      <c r="AW156" s="2038"/>
      <c r="AX156" s="2038"/>
      <c r="AY156" s="39"/>
      <c r="AZ156" s="39"/>
    </row>
    <row r="157" spans="1:52" s="2690" customFormat="1" ht="16.5" customHeight="1" thickBot="1">
      <c r="A157" s="461"/>
      <c r="B157" s="808"/>
      <c r="C157" s="3644" t="s">
        <v>268</v>
      </c>
      <c r="D157" s="892" t="s">
        <v>5748</v>
      </c>
      <c r="E157" s="2112"/>
      <c r="F157" s="808"/>
      <c r="G157" s="808"/>
      <c r="H157" s="808"/>
      <c r="I157" s="808"/>
      <c r="J157" s="808"/>
      <c r="K157" s="808"/>
      <c r="L157" s="808"/>
      <c r="M157" s="808"/>
      <c r="N157" s="808"/>
      <c r="O157" s="808"/>
      <c r="P157" s="808"/>
      <c r="Q157" s="808"/>
      <c r="R157" s="808"/>
      <c r="S157" s="808"/>
      <c r="T157" s="808"/>
      <c r="U157" s="808"/>
      <c r="V157" s="808"/>
      <c r="W157" s="1126"/>
      <c r="X157" s="808"/>
      <c r="Y157" s="808"/>
      <c r="Z157" s="808"/>
      <c r="AA157" s="808"/>
      <c r="AB157" s="808"/>
      <c r="AC157" s="808"/>
      <c r="AD157" s="1129"/>
      <c r="AE157" s="3422"/>
      <c r="AF157" s="900"/>
      <c r="AG157" s="900"/>
      <c r="AH157" s="900"/>
      <c r="AI157" s="900"/>
      <c r="AJ157" s="900"/>
      <c r="AK157" s="461"/>
      <c r="AL157" s="3591"/>
      <c r="AM157" s="23" t="s">
        <v>1062</v>
      </c>
      <c r="AN157" s="808"/>
      <c r="AO157" s="2038"/>
      <c r="AP157" s="2038"/>
      <c r="AQ157" s="2038"/>
      <c r="AR157" s="2038"/>
      <c r="AS157" s="2038"/>
      <c r="AT157" s="2038"/>
      <c r="AU157" s="2038"/>
      <c r="AV157" s="2038"/>
      <c r="AW157" s="2038"/>
      <c r="AX157" s="2038"/>
      <c r="AY157" s="39"/>
      <c r="AZ157" s="39"/>
    </row>
    <row r="158" spans="1:52" s="2690" customFormat="1" ht="16.5" customHeight="1" thickBot="1">
      <c r="A158" s="461"/>
      <c r="B158" s="808"/>
      <c r="C158" s="3644"/>
      <c r="D158" s="1460" t="str">
        <f>"IRAs to Roth, Roth SEP, or SIMPLE IRAs in "&amp;TaxYear&amp;". Also enter this amount on line 16"</f>
        <v>IRAs to Roth, Roth SEP, or SIMPLE IRAs in 2023. Also enter this amount on line 16</v>
      </c>
      <c r="E158" s="2952"/>
      <c r="F158" s="808"/>
      <c r="G158" s="808"/>
      <c r="H158" s="808"/>
      <c r="I158" s="808"/>
      <c r="J158" s="808"/>
      <c r="K158" s="808"/>
      <c r="L158" s="808"/>
      <c r="M158" s="808"/>
      <c r="N158" s="3340"/>
      <c r="O158" s="3340"/>
      <c r="P158" s="3340"/>
      <c r="Q158" s="3340"/>
      <c r="R158" s="3340"/>
      <c r="S158" s="3340"/>
      <c r="T158" s="3340"/>
      <c r="U158" s="3340"/>
      <c r="V158" s="3281" t="s">
        <v>680</v>
      </c>
      <c r="W158" s="1125">
        <v>8</v>
      </c>
      <c r="X158" s="9574" t="str">
        <f>IF(AM158&lt;&gt;"",ROUND(AM158,0),IF(OR(AM139,AM143),"",IF(AL119&lt;&gt;"",IRA_CONV_YOU,IF(AL120&lt;&gt;"",IRA_CONV_SPOUSE))))</f>
        <v/>
      </c>
      <c r="Y158" s="9575"/>
      <c r="Z158" s="9575"/>
      <c r="AA158" s="9575"/>
      <c r="AB158" s="9575"/>
      <c r="AC158" s="9575"/>
      <c r="AD158" s="1129"/>
      <c r="AE158" s="3422"/>
      <c r="AF158" s="900"/>
      <c r="AG158" s="900"/>
      <c r="AH158" s="900"/>
      <c r="AI158" s="900"/>
      <c r="AJ158" s="900"/>
      <c r="AK158" s="461"/>
      <c r="AL158" s="900">
        <f>IF(X156&lt;&gt;"",1,0)</f>
        <v>0</v>
      </c>
      <c r="AM158" s="3521"/>
      <c r="AN158" s="808"/>
      <c r="AO158" s="2038"/>
      <c r="AP158" s="2038"/>
      <c r="AQ158" s="2038"/>
      <c r="AR158" s="2038"/>
      <c r="AS158" s="2038"/>
      <c r="AT158" s="2038"/>
      <c r="AU158" s="2038"/>
      <c r="AV158" s="2038"/>
      <c r="AW158" s="2038"/>
      <c r="AX158" s="2038"/>
      <c r="AY158" s="39"/>
      <c r="AZ158" s="39"/>
    </row>
    <row r="159" spans="1:52" s="2690" customFormat="1" ht="16.5" customHeight="1">
      <c r="A159" s="461"/>
      <c r="B159" s="808"/>
      <c r="C159" s="3644" t="s">
        <v>407</v>
      </c>
      <c r="D159" s="2112" t="s">
        <v>4432</v>
      </c>
      <c r="E159" s="2112"/>
      <c r="F159" s="808"/>
      <c r="G159" s="808"/>
      <c r="H159" s="808"/>
      <c r="I159" s="808"/>
      <c r="J159" s="808"/>
      <c r="K159" s="808"/>
      <c r="L159" s="808"/>
      <c r="M159" s="808"/>
      <c r="N159" s="808"/>
      <c r="O159" s="3281" t="s">
        <v>746</v>
      </c>
      <c r="P159" s="1125">
        <v>9</v>
      </c>
      <c r="Q159" s="9574" t="str">
        <f>IF(AM139,"",IF(NOT(AM143),SUM(X150,X156,X158),""))</f>
        <v/>
      </c>
      <c r="R159" s="9575"/>
      <c r="S159" s="9575"/>
      <c r="T159" s="9575"/>
      <c r="U159" s="9575"/>
      <c r="V159" s="9575"/>
      <c r="W159" s="3602"/>
      <c r="X159" s="808"/>
      <c r="Y159" s="808"/>
      <c r="Z159" s="3533"/>
      <c r="AA159" s="3533"/>
      <c r="AB159" s="3533"/>
      <c r="AC159" s="3532"/>
      <c r="AD159" s="1129"/>
      <c r="AE159" s="3422"/>
      <c r="AF159" s="900"/>
      <c r="AG159" s="900"/>
      <c r="AH159" s="900"/>
      <c r="AI159" s="900"/>
      <c r="AJ159" s="900"/>
      <c r="AK159" s="461"/>
      <c r="AL159" s="900">
        <f>IF(Q159&lt;&gt;"",1,0)</f>
        <v>0</v>
      </c>
      <c r="AM159" s="808"/>
      <c r="AN159" s="808"/>
      <c r="AO159" s="2038"/>
      <c r="AP159" s="2038"/>
      <c r="AQ159" s="2038"/>
      <c r="AR159" s="2038"/>
      <c r="AS159" s="2038"/>
      <c r="AT159" s="2038"/>
      <c r="AU159" s="2038"/>
      <c r="AV159" s="2038"/>
      <c r="AW159" s="2038"/>
      <c r="AX159" s="2038"/>
      <c r="AY159" s="39"/>
      <c r="AZ159" s="39"/>
    </row>
    <row r="160" spans="1:52" s="2690" customFormat="1" ht="16.5" customHeight="1">
      <c r="A160" s="461"/>
      <c r="B160" s="808"/>
      <c r="C160" s="3644" t="s">
        <v>270</v>
      </c>
      <c r="D160" s="2112" t="s">
        <v>4433</v>
      </c>
      <c r="E160" s="2112"/>
      <c r="F160" s="808"/>
      <c r="G160" s="808"/>
      <c r="H160" s="808"/>
      <c r="I160" s="808"/>
      <c r="J160" s="808"/>
      <c r="K160" s="808"/>
      <c r="L160" s="808"/>
      <c r="M160" s="808"/>
      <c r="N160" s="808"/>
      <c r="O160" s="808"/>
      <c r="P160" s="808"/>
      <c r="Q160" s="808"/>
      <c r="R160" s="808"/>
      <c r="S160" s="808"/>
      <c r="T160" s="808"/>
      <c r="U160" s="808"/>
      <c r="V160" s="808"/>
      <c r="W160" s="1716"/>
      <c r="X160" s="1150"/>
      <c r="Y160" s="808"/>
      <c r="Z160" s="8168"/>
      <c r="AA160" s="8168"/>
      <c r="AB160" s="8168"/>
      <c r="AC160" s="9576"/>
      <c r="AD160" s="1129"/>
      <c r="AE160" s="3422"/>
      <c r="AF160" s="900"/>
      <c r="AG160" s="900"/>
      <c r="AH160" s="900"/>
      <c r="AI160" s="900"/>
      <c r="AJ160" s="900"/>
      <c r="AK160" s="461"/>
      <c r="AL160" s="900"/>
      <c r="AM160" s="808"/>
      <c r="AN160" s="808"/>
      <c r="AO160" s="2038"/>
      <c r="AP160" s="2038"/>
      <c r="AQ160" s="2038"/>
      <c r="AR160" s="2038"/>
      <c r="AS160" s="2038"/>
      <c r="AT160" s="2038"/>
      <c r="AU160" s="2038"/>
      <c r="AV160" s="2038"/>
      <c r="AW160" s="2038"/>
      <c r="AX160" s="2038"/>
      <c r="AY160" s="39"/>
      <c r="AZ160" s="39"/>
    </row>
    <row r="161" spans="1:52" s="2690" customFormat="1" ht="16.5" customHeight="1">
      <c r="A161" s="461"/>
      <c r="B161" s="808"/>
      <c r="C161" s="3045"/>
      <c r="D161" s="2112" t="s">
        <v>4434</v>
      </c>
      <c r="E161" s="2112"/>
      <c r="F161" s="808"/>
      <c r="G161" s="808"/>
      <c r="H161" s="808"/>
      <c r="I161" s="808"/>
      <c r="J161" s="808"/>
      <c r="K161" s="808"/>
      <c r="L161" s="808"/>
      <c r="M161" s="808"/>
      <c r="N161" s="808"/>
      <c r="O161" s="808"/>
      <c r="P161" s="808"/>
      <c r="Q161" s="808"/>
      <c r="R161" s="808"/>
      <c r="S161" s="808"/>
      <c r="T161" s="808"/>
      <c r="U161" s="808"/>
      <c r="V161" s="2760" t="s">
        <v>746</v>
      </c>
      <c r="W161" s="1726">
        <v>10</v>
      </c>
      <c r="X161" s="3603"/>
      <c r="Y161" s="3650" t="str">
        <f>"x"</f>
        <v>x</v>
      </c>
      <c r="Z161" s="9577" t="str">
        <f>IF(AM139,"",IF(NOT(AM143),AE161,""))</f>
        <v/>
      </c>
      <c r="AA161" s="9577"/>
      <c r="AB161" s="9577"/>
      <c r="AC161" s="9578"/>
      <c r="AD161" s="1129"/>
      <c r="AE161" s="9579">
        <f>IF(OR(Q159="",Q159=0),0,MIN(1,ROUND(AE147/Q159,5)))</f>
        <v>0</v>
      </c>
      <c r="AF161" s="9580"/>
      <c r="AG161" s="9580"/>
      <c r="AH161" s="9580"/>
      <c r="AI161" s="9580"/>
      <c r="AJ161" s="9580"/>
      <c r="AK161" s="461"/>
      <c r="AL161" s="808"/>
      <c r="AM161" s="808"/>
      <c r="AN161" s="808"/>
      <c r="AO161" s="2038"/>
      <c r="AP161" s="2038"/>
      <c r="AQ161" s="2038"/>
      <c r="AR161" s="2038"/>
      <c r="AS161" s="2038"/>
      <c r="AT161" s="2038"/>
      <c r="AU161" s="2038"/>
      <c r="AV161" s="2038"/>
      <c r="AW161" s="2038"/>
      <c r="AX161" s="2038"/>
      <c r="AY161" s="39"/>
      <c r="AZ161" s="39"/>
    </row>
    <row r="162" spans="1:52" s="2690" customFormat="1" ht="16.5" customHeight="1">
      <c r="A162" s="461"/>
      <c r="B162" s="808"/>
      <c r="C162" s="3644" t="s">
        <v>272</v>
      </c>
      <c r="D162" s="2112" t="s">
        <v>4435</v>
      </c>
      <c r="E162" s="2112"/>
      <c r="F162" s="808"/>
      <c r="G162" s="808"/>
      <c r="H162" s="808"/>
      <c r="I162" s="808"/>
      <c r="J162" s="808"/>
      <c r="K162" s="808"/>
      <c r="L162" s="808"/>
      <c r="M162" s="808"/>
      <c r="N162" s="808"/>
      <c r="O162" s="808"/>
      <c r="P162" s="808"/>
      <c r="Q162" s="808"/>
      <c r="R162" s="808"/>
      <c r="S162" s="808"/>
      <c r="T162" s="808"/>
      <c r="U162" s="808"/>
      <c r="V162" s="808"/>
      <c r="W162" s="1716"/>
      <c r="X162" s="808"/>
      <c r="Y162" s="808"/>
      <c r="Z162" s="808"/>
      <c r="AA162" s="808"/>
      <c r="AB162" s="808"/>
      <c r="AC162" s="808"/>
      <c r="AD162" s="1129"/>
      <c r="AE162" s="3422"/>
      <c r="AF162" s="900"/>
      <c r="AG162" s="900"/>
      <c r="AH162" s="900"/>
      <c r="AI162" s="900"/>
      <c r="AJ162" s="900"/>
      <c r="AK162" s="461"/>
      <c r="AL162" s="808"/>
      <c r="AM162" s="808"/>
      <c r="AN162" s="808"/>
      <c r="AO162" s="2038"/>
      <c r="AP162" s="2038"/>
      <c r="AQ162" s="2038"/>
      <c r="AR162" s="2038"/>
      <c r="AS162" s="2038"/>
      <c r="AT162" s="2038"/>
      <c r="AU162" s="2038"/>
      <c r="AV162" s="2038"/>
      <c r="AW162" s="2038"/>
      <c r="AX162" s="2038"/>
      <c r="AY162" s="39"/>
      <c r="AZ162" s="39"/>
    </row>
    <row r="163" spans="1:52" s="2690" customFormat="1" ht="16.5" customHeight="1">
      <c r="A163" s="461"/>
      <c r="B163" s="808"/>
      <c r="C163" s="3045"/>
      <c r="D163" s="2112" t="s">
        <v>4436</v>
      </c>
      <c r="E163" s="2112"/>
      <c r="F163" s="808"/>
      <c r="G163" s="808"/>
      <c r="H163" s="808"/>
      <c r="I163" s="808"/>
      <c r="J163" s="808"/>
      <c r="K163" s="808"/>
      <c r="L163" s="808"/>
      <c r="M163" s="808"/>
      <c r="N163" s="808"/>
      <c r="O163" s="808"/>
      <c r="P163" s="808"/>
      <c r="Q163" s="808"/>
      <c r="R163" s="808"/>
      <c r="S163" s="808"/>
      <c r="T163" s="808"/>
      <c r="U163" s="808"/>
      <c r="V163" s="2760" t="s">
        <v>677</v>
      </c>
      <c r="W163" s="1726">
        <v>11</v>
      </c>
      <c r="X163" s="9574" t="str">
        <f>IF(AM139,"",IF(NOT(AM143),ROUND(X158*Z161,0),""))</f>
        <v/>
      </c>
      <c r="Y163" s="9575"/>
      <c r="Z163" s="9575"/>
      <c r="AA163" s="9575"/>
      <c r="AB163" s="9575"/>
      <c r="AC163" s="9581"/>
      <c r="AD163" s="1129"/>
      <c r="AE163" s="808"/>
      <c r="AF163" s="808"/>
      <c r="AG163" s="808"/>
      <c r="AH163" s="808"/>
      <c r="AI163" s="808"/>
      <c r="AJ163" s="808"/>
      <c r="AK163" s="461"/>
      <c r="AL163" s="808"/>
      <c r="AM163" s="808"/>
      <c r="AN163" s="808"/>
      <c r="AO163" s="2038"/>
      <c r="AP163" s="2038"/>
      <c r="AQ163" s="2038"/>
      <c r="AR163" s="2038"/>
      <c r="AS163" s="2038"/>
      <c r="AT163" s="2038"/>
      <c r="AU163" s="2038"/>
      <c r="AV163" s="2038"/>
      <c r="AW163" s="2038"/>
      <c r="AX163" s="2038"/>
      <c r="AY163" s="39"/>
      <c r="AZ163" s="39"/>
    </row>
    <row r="164" spans="1:52" s="2690" customFormat="1" ht="16.5" customHeight="1">
      <c r="A164" s="461"/>
      <c r="B164" s="808"/>
      <c r="C164" s="3644" t="s">
        <v>1155</v>
      </c>
      <c r="D164" s="2112" t="s">
        <v>5749</v>
      </c>
      <c r="E164" s="2112"/>
      <c r="F164" s="808"/>
      <c r="G164" s="808"/>
      <c r="H164" s="808"/>
      <c r="I164" s="808"/>
      <c r="J164" s="808"/>
      <c r="K164" s="808"/>
      <c r="L164" s="808"/>
      <c r="M164" s="808"/>
      <c r="N164" s="808"/>
      <c r="O164" s="808"/>
      <c r="P164" s="808"/>
      <c r="Q164" s="808"/>
      <c r="R164" s="808"/>
      <c r="S164" s="808"/>
      <c r="T164" s="808"/>
      <c r="U164" s="808"/>
      <c r="V164" s="2760"/>
      <c r="W164" s="1716"/>
      <c r="X164" s="9582"/>
      <c r="Y164" s="9398"/>
      <c r="Z164" s="9398"/>
      <c r="AA164" s="9398"/>
      <c r="AB164" s="9398"/>
      <c r="AC164" s="9583"/>
      <c r="AD164" s="1129"/>
      <c r="AE164" s="808"/>
      <c r="AF164" s="808"/>
      <c r="AG164" s="808"/>
      <c r="AH164" s="808"/>
      <c r="AI164" s="808"/>
      <c r="AJ164" s="808"/>
      <c r="AK164" s="461"/>
      <c r="AL164" s="808"/>
      <c r="AM164" s="3431" t="b">
        <f>AND(AE173&lt;&gt;"",AE173&gt;0,OR(AND(AL119&lt;&gt;"",IRA_Taxable_You&gt;0),AND(AL120&lt;&gt;"",IRA_Taxable_Spouse&gt;0)))</f>
        <v>0</v>
      </c>
      <c r="AN164" s="808"/>
      <c r="AO164" s="2038"/>
      <c r="AP164" s="2038"/>
      <c r="AQ164" s="2038"/>
      <c r="AR164" s="2038"/>
      <c r="AS164" s="2038"/>
      <c r="AT164" s="2038"/>
      <c r="AU164" s="2038"/>
      <c r="AV164" s="2038"/>
      <c r="AW164" s="2038"/>
      <c r="AX164" s="2038"/>
      <c r="AY164" s="39"/>
      <c r="AZ164" s="39"/>
    </row>
    <row r="165" spans="1:52" ht="16.5" customHeight="1">
      <c r="A165" s="461"/>
      <c r="B165" s="808"/>
      <c r="C165" s="3644"/>
      <c r="D165" s="2952" t="s">
        <v>5750</v>
      </c>
      <c r="E165" s="2112"/>
      <c r="F165" s="808"/>
      <c r="G165" s="808"/>
      <c r="H165" s="808"/>
      <c r="I165" s="808"/>
      <c r="J165" s="808"/>
      <c r="K165" s="808"/>
      <c r="L165" s="808"/>
      <c r="M165" s="808"/>
      <c r="N165" s="808"/>
      <c r="O165" s="808"/>
      <c r="P165" s="808"/>
      <c r="Q165" s="808"/>
      <c r="R165" s="808"/>
      <c r="S165" s="808"/>
      <c r="T165" s="808"/>
      <c r="U165" s="808"/>
      <c r="V165" s="2760" t="s">
        <v>2317</v>
      </c>
      <c r="W165" s="1726">
        <v>12</v>
      </c>
      <c r="X165" s="9574" t="str">
        <f>IF(AM139,"",IF(NOT(AM143),ROUND(X156*Z161,0),""))</f>
        <v/>
      </c>
      <c r="Y165" s="9575"/>
      <c r="Z165" s="9575"/>
      <c r="AA165" s="9575"/>
      <c r="AB165" s="9575"/>
      <c r="AC165" s="9581"/>
      <c r="AD165" s="1129"/>
      <c r="AE165" s="808"/>
      <c r="AF165" s="808"/>
      <c r="AG165" s="808"/>
      <c r="AH165" s="808"/>
      <c r="AI165" s="808"/>
      <c r="AJ165" s="808"/>
      <c r="AK165" s="461"/>
      <c r="AL165" s="808"/>
      <c r="AM165" s="23" t="s">
        <v>1113</v>
      </c>
      <c r="AN165" s="808"/>
      <c r="AY165" s="1281"/>
      <c r="AZ165" s="1281"/>
    </row>
    <row r="166" spans="1:52" ht="16.5" customHeight="1" thickBot="1">
      <c r="A166" s="461"/>
      <c r="B166" s="808"/>
      <c r="C166" s="3644" t="s">
        <v>280</v>
      </c>
      <c r="D166" s="2112" t="s">
        <v>4437</v>
      </c>
      <c r="E166" s="2112"/>
      <c r="F166" s="808"/>
      <c r="G166" s="808"/>
      <c r="H166" s="808"/>
      <c r="I166" s="808"/>
      <c r="J166" s="808"/>
      <c r="K166" s="808"/>
      <c r="L166" s="808"/>
      <c r="M166" s="808"/>
      <c r="N166" s="808"/>
      <c r="O166" s="808"/>
      <c r="P166" s="808"/>
      <c r="Q166" s="808"/>
      <c r="R166" s="808"/>
      <c r="S166" s="808"/>
      <c r="T166" s="808"/>
      <c r="U166" s="808"/>
      <c r="V166" s="808"/>
      <c r="W166" s="808"/>
      <c r="X166" s="808"/>
      <c r="Y166" s="808"/>
      <c r="Z166" s="808"/>
      <c r="AA166" s="808"/>
      <c r="AB166" s="808"/>
      <c r="AC166" s="2760" t="s">
        <v>990</v>
      </c>
      <c r="AD166" s="1726">
        <v>13</v>
      </c>
      <c r="AE166" s="9574" t="str">
        <f>IF(AM139,"",IF(NOT(AM143),SUM(X163,X165),""))</f>
        <v/>
      </c>
      <c r="AF166" s="9575"/>
      <c r="AG166" s="9575"/>
      <c r="AH166" s="9575"/>
      <c r="AI166" s="9575"/>
      <c r="AJ166" s="9575"/>
      <c r="AK166" s="461"/>
      <c r="AL166" s="808"/>
      <c r="AM166" s="23" t="s">
        <v>1062</v>
      </c>
      <c r="AN166" s="808"/>
      <c r="AY166" s="1281"/>
      <c r="AZ166" s="1281"/>
    </row>
    <row r="167" spans="1:52" ht="16.5" customHeight="1" thickBot="1">
      <c r="A167" s="461"/>
      <c r="B167" s="808"/>
      <c r="C167" s="3644" t="s">
        <v>282</v>
      </c>
      <c r="D167" s="2112" t="s">
        <v>4438</v>
      </c>
      <c r="E167" s="2112"/>
      <c r="F167" s="808"/>
      <c r="G167" s="808"/>
      <c r="H167" s="808"/>
      <c r="I167" s="808"/>
      <c r="J167" s="808"/>
      <c r="K167" s="808"/>
      <c r="L167" s="3604" t="s">
        <v>4439</v>
      </c>
      <c r="M167" s="1145" t="str">
        <f>"your total basis in traditional IRAs for "&amp;TaxYear&amp;" and earlier years"</f>
        <v>your total basis in traditional IRAs for 2023 and earlier years</v>
      </c>
      <c r="N167" s="808"/>
      <c r="O167" s="808"/>
      <c r="P167" s="808"/>
      <c r="Q167" s="808"/>
      <c r="R167" s="808"/>
      <c r="S167" s="808"/>
      <c r="T167" s="808"/>
      <c r="U167" s="808"/>
      <c r="V167" s="808"/>
      <c r="W167" s="1716"/>
      <c r="X167" s="1150"/>
      <c r="Y167" s="808"/>
      <c r="Z167" s="808"/>
      <c r="AA167" s="808"/>
      <c r="AB167" s="808"/>
      <c r="AC167" s="3281" t="s">
        <v>1245</v>
      </c>
      <c r="AD167" s="1726">
        <v>14</v>
      </c>
      <c r="AE167" s="9574" t="str">
        <f>IF(AM167&lt;&gt;"",ROUND(AM167,0),IF(AM139,"",IF(NOT(AM143),MAX(0,SUM(AE141,-AE166)),MAX(0,AE141))))</f>
        <v/>
      </c>
      <c r="AF167" s="9575"/>
      <c r="AG167" s="9575"/>
      <c r="AH167" s="9575"/>
      <c r="AI167" s="9575"/>
      <c r="AJ167" s="9575"/>
      <c r="AK167" s="461"/>
      <c r="AL167" s="808"/>
      <c r="AM167" s="3521"/>
      <c r="AN167" s="808"/>
      <c r="AY167" s="1281"/>
      <c r="AZ167" s="1281"/>
    </row>
    <row r="168" spans="1:52" ht="16.5" customHeight="1">
      <c r="A168" s="461"/>
      <c r="B168" s="808"/>
      <c r="C168" s="3644" t="s">
        <v>4440</v>
      </c>
      <c r="D168" s="2645" t="s">
        <v>4441</v>
      </c>
      <c r="E168" s="2112"/>
      <c r="F168" s="808"/>
      <c r="G168" s="808"/>
      <c r="H168" s="808"/>
      <c r="I168" s="808"/>
      <c r="J168" s="808"/>
      <c r="K168" s="808"/>
      <c r="L168" s="808"/>
      <c r="M168" s="808"/>
      <c r="N168" s="808"/>
      <c r="O168" s="808"/>
      <c r="P168" s="808"/>
      <c r="Q168" s="808"/>
      <c r="R168" s="808"/>
      <c r="S168" s="808"/>
      <c r="T168" s="808"/>
      <c r="U168" s="808"/>
      <c r="V168" s="808"/>
      <c r="W168" s="808"/>
      <c r="X168" s="808"/>
      <c r="Y168" s="808"/>
      <c r="Z168" s="808"/>
      <c r="AA168" s="808"/>
      <c r="AB168" s="808"/>
      <c r="AC168" s="2760" t="s">
        <v>2177</v>
      </c>
      <c r="AD168" s="1726" t="s">
        <v>4442</v>
      </c>
      <c r="AE168" s="9574" t="str">
        <f>IF(AM139,"",IF(NOT(AM143),SUM(X156,-X165),""))</f>
        <v/>
      </c>
      <c r="AF168" s="9575"/>
      <c r="AG168" s="9575"/>
      <c r="AH168" s="9575"/>
      <c r="AI168" s="9575"/>
      <c r="AJ168" s="9575"/>
      <c r="AK168" s="461"/>
      <c r="AL168" s="3653"/>
      <c r="AM168" s="3653"/>
      <c r="AN168" s="3653"/>
      <c r="AY168" s="1281"/>
      <c r="AZ168" s="1281"/>
    </row>
    <row r="169" spans="1:52" ht="15" customHeight="1">
      <c r="A169" s="461"/>
      <c r="B169" s="808"/>
      <c r="C169" s="3645" t="s">
        <v>644</v>
      </c>
      <c r="D169" s="1108" t="str">
        <f>"Enter the amount on line 15a attributable to qualified disaster distributions from "&amp;TaxYear&amp;" Form(s),"</f>
        <v>Enter the amount on line 15a attributable to qualified disaster distributions from 2023 Form(s),</v>
      </c>
      <c r="E169" s="2112"/>
      <c r="F169" s="808"/>
      <c r="G169" s="808"/>
      <c r="H169" s="808"/>
      <c r="I169" s="808"/>
      <c r="J169" s="808"/>
      <c r="K169" s="808"/>
      <c r="L169" s="808"/>
      <c r="M169" s="808"/>
      <c r="N169" s="808"/>
      <c r="O169" s="808"/>
      <c r="P169" s="808"/>
      <c r="Q169" s="808"/>
      <c r="R169" s="808"/>
      <c r="S169" s="808"/>
      <c r="T169" s="808"/>
      <c r="U169" s="808"/>
      <c r="V169" s="808"/>
      <c r="W169" s="808"/>
      <c r="X169" s="808"/>
      <c r="Y169" s="808"/>
      <c r="Z169" s="808"/>
      <c r="AA169" s="808"/>
      <c r="AB169" s="808"/>
      <c r="AC169" s="1151"/>
      <c r="AD169" s="1126"/>
      <c r="AE169" s="808"/>
      <c r="AF169" s="808"/>
      <c r="AG169" s="808"/>
      <c r="AH169" s="808"/>
      <c r="AI169" s="808"/>
      <c r="AJ169" s="808"/>
      <c r="AK169" s="461"/>
      <c r="AL169" s="3653"/>
      <c r="AM169" s="3653"/>
      <c r="AN169" s="3653"/>
    </row>
    <row r="170" spans="1:52" ht="15" customHeight="1">
      <c r="A170" s="461"/>
      <c r="B170" s="808"/>
      <c r="C170" s="3045"/>
      <c r="D170" s="1108" t="str">
        <f>"8915-F (see instructions). Also, enter this amount on "&amp;TaxYear&amp;" Form 8915-F, line 18, as applicable (see"</f>
        <v>8915-F (see instructions). Also, enter this amount on 2023 Form 8915-F, line 18, as applicable (see</v>
      </c>
      <c r="E170" s="1461"/>
      <c r="F170" s="1461"/>
      <c r="G170" s="1461"/>
      <c r="H170" s="808"/>
      <c r="I170" s="808"/>
      <c r="J170" s="808"/>
      <c r="K170" s="808"/>
      <c r="L170" s="808"/>
      <c r="M170" s="808"/>
      <c r="N170" s="808"/>
      <c r="O170" s="808"/>
      <c r="P170" s="808"/>
      <c r="Q170" s="808"/>
      <c r="R170" s="808"/>
      <c r="S170" s="808"/>
      <c r="T170" s="808"/>
      <c r="U170" s="808"/>
      <c r="V170" s="808"/>
      <c r="W170" s="808"/>
      <c r="X170" s="1145"/>
      <c r="Y170" s="808"/>
      <c r="Z170" s="808"/>
      <c r="AA170" s="808"/>
      <c r="AB170" s="808"/>
      <c r="AC170" s="808"/>
      <c r="AD170" s="1126"/>
      <c r="AE170" s="808"/>
      <c r="AF170" s="808"/>
      <c r="AG170" s="808"/>
      <c r="AH170" s="808"/>
      <c r="AI170" s="808"/>
      <c r="AJ170" s="808"/>
      <c r="AK170" s="461"/>
      <c r="AL170" s="3653"/>
      <c r="AM170" s="3653"/>
      <c r="AN170" s="3653"/>
    </row>
    <row r="171" spans="1:52" ht="15" customHeight="1">
      <c r="A171" s="461"/>
      <c r="B171" s="808"/>
      <c r="C171" s="3045"/>
      <c r="D171" s="1108" t="s">
        <v>943</v>
      </c>
      <c r="E171" s="1461"/>
      <c r="F171" s="1461"/>
      <c r="G171" s="1461"/>
      <c r="H171" s="1461"/>
      <c r="I171" s="808"/>
      <c r="J171" s="808"/>
      <c r="K171" s="808"/>
      <c r="L171" s="808"/>
      <c r="M171" s="808"/>
      <c r="N171" s="808"/>
      <c r="O171" s="808"/>
      <c r="P171" s="808"/>
      <c r="Q171" s="808"/>
      <c r="R171" s="808"/>
      <c r="S171" s="808"/>
      <c r="T171" s="808"/>
      <c r="U171" s="808"/>
      <c r="V171" s="808"/>
      <c r="W171" s="808"/>
      <c r="X171" s="808"/>
      <c r="Y171" s="808"/>
      <c r="Z171" s="808"/>
      <c r="AA171" s="808"/>
      <c r="AB171" s="808"/>
      <c r="AC171" s="2760" t="s">
        <v>3031</v>
      </c>
      <c r="AD171" s="1726" t="s">
        <v>4443</v>
      </c>
      <c r="AE171" s="9564"/>
      <c r="AF171" s="9565"/>
      <c r="AG171" s="9565"/>
      <c r="AH171" s="9565"/>
      <c r="AI171" s="9565"/>
      <c r="AJ171" s="9565"/>
      <c r="AK171" s="461"/>
      <c r="AL171" s="900">
        <f>IF(AE171&lt;&gt;"",1,0)</f>
        <v>0</v>
      </c>
      <c r="AM171" s="23" t="s">
        <v>1113</v>
      </c>
      <c r="AN171" s="3653"/>
    </row>
    <row r="172" spans="1:52" ht="16.5" customHeight="1" thickBot="1">
      <c r="A172" s="461"/>
      <c r="B172" s="808"/>
      <c r="C172" s="3645" t="s">
        <v>648</v>
      </c>
      <c r="D172" s="1145" t="s">
        <v>4444</v>
      </c>
      <c r="E172" s="1461"/>
      <c r="F172" s="1461"/>
      <c r="G172" s="1461"/>
      <c r="H172" s="2112"/>
      <c r="I172" s="2112" t="str">
        <f>"Subtract line 15b from line 15a. If more than zero, also include this amount on "&amp;TaxYear</f>
        <v>Subtract line 15b from line 15a. If more than zero, also include this amount on 2023</v>
      </c>
      <c r="J172" s="808"/>
      <c r="K172" s="808"/>
      <c r="L172" s="808"/>
      <c r="M172" s="808"/>
      <c r="N172" s="808"/>
      <c r="O172" s="808"/>
      <c r="P172" s="808"/>
      <c r="Q172" s="808"/>
      <c r="R172" s="808"/>
      <c r="S172" s="808"/>
      <c r="T172" s="808"/>
      <c r="U172" s="808"/>
      <c r="V172" s="808"/>
      <c r="W172" s="808"/>
      <c r="X172" s="808"/>
      <c r="Y172" s="808"/>
      <c r="Z172" s="808"/>
      <c r="AA172" s="808"/>
      <c r="AB172" s="808"/>
      <c r="AC172" s="1128"/>
      <c r="AD172" s="1126"/>
      <c r="AE172" s="808"/>
      <c r="AF172" s="808"/>
      <c r="AG172" s="808"/>
      <c r="AH172" s="808"/>
      <c r="AI172" s="808"/>
      <c r="AJ172" s="808"/>
      <c r="AK172" s="461"/>
      <c r="AL172" s="3653"/>
      <c r="AM172" s="23" t="s">
        <v>1062</v>
      </c>
      <c r="AN172" s="3653"/>
    </row>
    <row r="173" spans="1:52" ht="16.5" customHeight="1" thickBot="1">
      <c r="A173" s="461"/>
      <c r="B173" s="808"/>
      <c r="C173" s="3644"/>
      <c r="D173" s="2952" t="s">
        <v>4391</v>
      </c>
      <c r="E173" s="2112"/>
      <c r="F173" s="808"/>
      <c r="G173" s="808"/>
      <c r="H173" s="808"/>
      <c r="I173" s="808"/>
      <c r="J173" s="808"/>
      <c r="K173" s="808"/>
      <c r="L173" s="808"/>
      <c r="M173" s="808"/>
      <c r="N173" s="808"/>
      <c r="O173" s="808"/>
      <c r="P173" s="808"/>
      <c r="Q173" s="808"/>
      <c r="R173" s="808"/>
      <c r="S173" s="808"/>
      <c r="T173" s="808"/>
      <c r="U173" s="808"/>
      <c r="V173" s="808"/>
      <c r="W173" s="808"/>
      <c r="X173" s="808"/>
      <c r="Y173" s="808"/>
      <c r="Z173" s="808"/>
      <c r="AA173" s="808"/>
      <c r="AB173" s="808"/>
      <c r="AC173" s="2760" t="s">
        <v>3937</v>
      </c>
      <c r="AD173" s="1726" t="s">
        <v>4445</v>
      </c>
      <c r="AE173" s="9574" t="str">
        <f>IF(AM139,"",IF(AM173&lt;&gt;"",ROUND(AM173,0),IF(NOT(AM143),SUM(AE168,-AE171),"")))</f>
        <v/>
      </c>
      <c r="AF173" s="9575"/>
      <c r="AG173" s="9575"/>
      <c r="AH173" s="9575"/>
      <c r="AI173" s="9575"/>
      <c r="AJ173" s="9575"/>
      <c r="AK173" s="461"/>
      <c r="AL173" s="1376"/>
      <c r="AM173" s="3521"/>
      <c r="AN173" s="808"/>
    </row>
    <row r="174" spans="1:52" ht="16.5" customHeight="1">
      <c r="A174" s="461"/>
      <c r="B174" s="808"/>
      <c r="C174" s="3644"/>
      <c r="D174" s="1108" t="s">
        <v>4446</v>
      </c>
      <c r="E174" s="2112"/>
      <c r="F174" s="808"/>
      <c r="G174" s="808"/>
      <c r="H174" s="808"/>
      <c r="I174" s="808"/>
      <c r="J174" s="808"/>
      <c r="K174" s="808"/>
      <c r="L174" s="808"/>
      <c r="M174" s="808"/>
      <c r="N174" s="808"/>
      <c r="O174" s="808"/>
      <c r="P174" s="808"/>
      <c r="Q174" s="808"/>
      <c r="R174" s="808"/>
      <c r="S174" s="808"/>
      <c r="T174" s="808"/>
      <c r="U174" s="808"/>
      <c r="V174" s="808"/>
      <c r="W174" s="808"/>
      <c r="X174" s="808"/>
      <c r="Y174" s="808"/>
      <c r="Z174" s="808"/>
      <c r="AA174" s="808"/>
      <c r="AB174" s="808"/>
      <c r="AC174" s="808"/>
      <c r="AD174" s="3605"/>
      <c r="AE174" s="3606"/>
      <c r="AF174" s="3606"/>
      <c r="AG174" s="3606"/>
      <c r="AH174" s="3606"/>
      <c r="AI174" s="3606"/>
      <c r="AJ174" s="3606"/>
      <c r="AK174" s="461"/>
      <c r="AL174" s="1376"/>
      <c r="AM174" s="805"/>
      <c r="AN174" s="808"/>
    </row>
    <row r="175" spans="1:52" ht="16.5" customHeight="1" thickBot="1">
      <c r="A175" s="461"/>
      <c r="B175" s="808"/>
      <c r="C175" s="3045"/>
      <c r="D175" s="1108" t="s">
        <v>4447</v>
      </c>
      <c r="E175" s="2112"/>
      <c r="F175" s="808"/>
      <c r="G175" s="808"/>
      <c r="H175" s="808"/>
      <c r="I175" s="808"/>
      <c r="J175" s="808"/>
      <c r="K175" s="808"/>
      <c r="L175" s="808"/>
      <c r="M175" s="808"/>
      <c r="N175" s="808"/>
      <c r="O175" s="808"/>
      <c r="P175" s="808"/>
      <c r="Q175" s="808"/>
      <c r="R175" s="808"/>
      <c r="S175" s="808"/>
      <c r="T175" s="808"/>
      <c r="U175" s="808"/>
      <c r="V175" s="808"/>
      <c r="W175" s="808"/>
      <c r="X175" s="808"/>
      <c r="Y175" s="808"/>
      <c r="Z175" s="808"/>
      <c r="AA175" s="808"/>
      <c r="AB175" s="808"/>
      <c r="AC175" s="2760"/>
      <c r="AD175" s="3607"/>
      <c r="AE175" s="3608"/>
      <c r="AF175" s="3609"/>
      <c r="AG175" s="3609"/>
      <c r="AH175" s="3609"/>
      <c r="AI175" s="3609"/>
      <c r="AJ175" s="3609"/>
      <c r="AK175" s="461"/>
      <c r="AL175" s="2175"/>
      <c r="AM175" s="892"/>
      <c r="AN175" s="808"/>
    </row>
    <row r="176" spans="1:52" s="2690" customFormat="1" ht="15.75">
      <c r="A176" s="5721"/>
      <c r="B176" s="2979" t="s">
        <v>4370</v>
      </c>
      <c r="C176" s="3599"/>
      <c r="D176" s="695"/>
      <c r="E176" s="695"/>
      <c r="F176" s="695"/>
      <c r="G176" s="695"/>
      <c r="H176" s="695"/>
      <c r="I176" s="695"/>
      <c r="J176" s="695"/>
      <c r="K176" s="695"/>
      <c r="L176" s="695"/>
      <c r="M176" s="695"/>
      <c r="N176" s="695"/>
      <c r="O176" s="695"/>
      <c r="P176" s="695"/>
      <c r="Q176" s="30"/>
      <c r="R176" s="30"/>
      <c r="S176" s="30"/>
      <c r="T176" s="30"/>
      <c r="U176" s="2980"/>
      <c r="V176" s="30"/>
      <c r="W176" s="2980" t="s">
        <v>4448</v>
      </c>
      <c r="X176" s="30"/>
      <c r="Y176" s="30"/>
      <c r="Z176" s="30"/>
      <c r="AA176" s="30"/>
      <c r="AB176" s="30"/>
      <c r="AC176" s="30"/>
      <c r="AD176" s="30"/>
      <c r="AE176" s="30"/>
      <c r="AF176" s="30"/>
      <c r="AG176" s="30"/>
      <c r="AH176" s="2981" t="s">
        <v>4410</v>
      </c>
      <c r="AI176" s="30"/>
      <c r="AJ176" s="2981" t="str">
        <f>"("&amp;TaxYear&amp;")"</f>
        <v>(2023)</v>
      </c>
      <c r="AK176" s="461"/>
      <c r="AL176" s="808"/>
      <c r="AM176" s="808"/>
      <c r="AN176" s="808"/>
      <c r="AO176" s="2038"/>
      <c r="AP176" s="2038"/>
      <c r="AQ176" s="2038"/>
      <c r="AR176" s="2038"/>
      <c r="AS176" s="2038"/>
      <c r="AT176" s="2038"/>
      <c r="AU176" s="2038"/>
      <c r="AV176" s="2038"/>
      <c r="AW176" s="2038"/>
      <c r="AX176" s="2038"/>
      <c r="AY176" s="39"/>
      <c r="AZ176" s="39"/>
    </row>
    <row r="177" spans="1:52" s="2690" customFormat="1" ht="18" customHeight="1" thickBot="1">
      <c r="A177" s="461"/>
      <c r="B177" s="964" t="str">
        <f>"Form 8606 ("&amp;TaxYear&amp;")"</f>
        <v>Form 8606 (2023)</v>
      </c>
      <c r="C177" s="3600"/>
      <c r="D177" s="964"/>
      <c r="E177" s="964"/>
      <c r="F177" s="964"/>
      <c r="G177" s="964"/>
      <c r="H177" s="964"/>
      <c r="I177" s="964"/>
      <c r="J177" s="964"/>
      <c r="K177" s="964"/>
      <c r="L177" s="964"/>
      <c r="M177" s="964"/>
      <c r="N177" s="964"/>
      <c r="O177" s="964"/>
      <c r="P177" s="964"/>
      <c r="Q177" s="964"/>
      <c r="R177" s="964"/>
      <c r="S177" s="964"/>
      <c r="T177" s="964"/>
      <c r="U177" s="964"/>
      <c r="V177" s="964"/>
      <c r="W177" s="964"/>
      <c r="X177" s="964"/>
      <c r="Y177" s="964"/>
      <c r="Z177" s="964"/>
      <c r="AA177" s="964"/>
      <c r="AB177" s="964"/>
      <c r="AC177" s="964"/>
      <c r="AD177" s="964"/>
      <c r="AE177" s="964"/>
      <c r="AF177" s="964"/>
      <c r="AG177" s="964"/>
      <c r="AH177" s="964"/>
      <c r="AI177" s="1368" t="s">
        <v>2387</v>
      </c>
      <c r="AJ177" s="1369">
        <v>2</v>
      </c>
      <c r="AK177" s="461"/>
      <c r="AL177" s="808"/>
      <c r="AM177" s="808"/>
      <c r="AN177" s="808"/>
      <c r="AO177" s="2038"/>
      <c r="AP177" s="2038"/>
      <c r="AQ177" s="2038"/>
      <c r="AR177" s="2038"/>
      <c r="AS177" s="2038"/>
      <c r="AT177" s="2038"/>
      <c r="AU177" s="2038"/>
      <c r="AV177" s="2038"/>
      <c r="AW177" s="2038"/>
      <c r="AX177" s="2038"/>
      <c r="AY177" s="39"/>
      <c r="AZ177" s="39"/>
    </row>
    <row r="178" spans="1:52" s="2690" customFormat="1" ht="19.5" customHeight="1" thickTop="1">
      <c r="A178" s="461"/>
      <c r="B178" s="9590" t="s">
        <v>982</v>
      </c>
      <c r="C178" s="9590"/>
      <c r="D178" s="3611"/>
      <c r="E178" s="3612" t="str">
        <f>TaxYear&amp;" Conversions From Traditional, Traditional SEP, or Traditional SIMPLE IRAs to Roth, Roth SEP,"</f>
        <v>2023 Conversions From Traditional, Traditional SEP, or Traditional SIMPLE IRAs to Roth, Roth SEP,</v>
      </c>
      <c r="F178" s="963"/>
      <c r="G178" s="963"/>
      <c r="H178" s="963"/>
      <c r="I178" s="963"/>
      <c r="J178" s="963"/>
      <c r="K178" s="963"/>
      <c r="L178" s="963"/>
      <c r="M178" s="963"/>
      <c r="N178" s="963"/>
      <c r="O178" s="963"/>
      <c r="P178" s="963"/>
      <c r="Q178" s="963"/>
      <c r="R178" s="963"/>
      <c r="S178" s="963"/>
      <c r="T178" s="963"/>
      <c r="U178" s="963"/>
      <c r="V178" s="963"/>
      <c r="W178" s="963"/>
      <c r="X178" s="963"/>
      <c r="Y178" s="963"/>
      <c r="Z178" s="963"/>
      <c r="AA178" s="963"/>
      <c r="AB178" s="963"/>
      <c r="AC178" s="963"/>
      <c r="AD178" s="963"/>
      <c r="AE178" s="963"/>
      <c r="AF178" s="963"/>
      <c r="AG178" s="963"/>
      <c r="AH178" s="963"/>
      <c r="AI178" s="963"/>
      <c r="AJ178" s="963"/>
      <c r="AK178" s="461"/>
      <c r="AL178" s="808"/>
      <c r="AM178" s="23"/>
      <c r="AN178" s="808"/>
      <c r="AO178" s="2038"/>
      <c r="AP178" s="2038"/>
      <c r="AQ178" s="2038"/>
      <c r="AR178" s="2038"/>
      <c r="AS178" s="2038"/>
      <c r="AT178" s="2038"/>
      <c r="AU178" s="2038"/>
      <c r="AV178" s="2038"/>
      <c r="AW178" s="2038"/>
      <c r="AX178" s="2038"/>
      <c r="AY178" s="39"/>
      <c r="AZ178" s="39"/>
    </row>
    <row r="179" spans="1:52" s="2690" customFormat="1" ht="19.5" customHeight="1">
      <c r="A179" s="461"/>
      <c r="B179" s="2434"/>
      <c r="C179" s="2434"/>
      <c r="D179" s="2434"/>
      <c r="E179" s="2434" t="s">
        <v>5751</v>
      </c>
      <c r="F179" s="808"/>
      <c r="G179" s="808"/>
      <c r="H179" s="808"/>
      <c r="I179" s="808"/>
      <c r="J179" s="808"/>
      <c r="K179" s="808"/>
      <c r="L179" s="808"/>
      <c r="M179" s="808"/>
      <c r="N179" s="808"/>
      <c r="O179" s="808"/>
      <c r="P179" s="808"/>
      <c r="Q179" s="808"/>
      <c r="R179" s="808"/>
      <c r="S179" s="808"/>
      <c r="T179" s="808"/>
      <c r="U179" s="808"/>
      <c r="V179" s="808"/>
      <c r="W179" s="808"/>
      <c r="X179" s="808"/>
      <c r="Y179" s="808"/>
      <c r="Z179" s="808"/>
      <c r="AA179" s="808"/>
      <c r="AB179" s="808"/>
      <c r="AC179" s="808"/>
      <c r="AD179" s="808"/>
      <c r="AE179" s="808"/>
      <c r="AF179" s="808"/>
      <c r="AG179" s="808"/>
      <c r="AH179" s="808"/>
      <c r="AI179" s="808"/>
      <c r="AJ179" s="808"/>
      <c r="AK179" s="461"/>
      <c r="AL179" s="808"/>
      <c r="AM179" s="23"/>
      <c r="AN179" s="808"/>
      <c r="AO179" s="2038"/>
      <c r="AP179" s="2038"/>
      <c r="AQ179" s="2038"/>
      <c r="AR179" s="2038"/>
      <c r="AS179" s="2038"/>
      <c r="AT179" s="2038"/>
      <c r="AU179" s="2038"/>
      <c r="AV179" s="2038"/>
      <c r="AW179" s="2038"/>
      <c r="AX179" s="2038"/>
      <c r="AY179" s="39"/>
      <c r="AZ179" s="39"/>
    </row>
    <row r="180" spans="1:52" s="2690" customFormat="1" ht="19.5" customHeight="1">
      <c r="A180" s="461"/>
      <c r="B180" s="2434"/>
      <c r="C180" s="2434"/>
      <c r="D180" s="2434"/>
      <c r="E180" s="2645" t="s">
        <v>5752</v>
      </c>
      <c r="F180" s="808"/>
      <c r="G180" s="808"/>
      <c r="H180" s="808"/>
      <c r="I180" s="808"/>
      <c r="J180" s="808"/>
      <c r="K180" s="808"/>
      <c r="L180" s="808"/>
      <c r="M180" s="808"/>
      <c r="N180" s="808"/>
      <c r="O180" s="808"/>
      <c r="P180" s="808"/>
      <c r="Q180" s="808"/>
      <c r="R180" s="808"/>
      <c r="S180" s="808"/>
      <c r="T180" s="808"/>
      <c r="U180" s="808"/>
      <c r="V180" s="808"/>
      <c r="W180" s="808"/>
      <c r="X180" s="808"/>
      <c r="Y180" s="808"/>
      <c r="Z180" s="808"/>
      <c r="AA180" s="808"/>
      <c r="AB180" s="808"/>
      <c r="AC180" s="808"/>
      <c r="AD180" s="808"/>
      <c r="AE180" s="808"/>
      <c r="AF180" s="808"/>
      <c r="AG180" s="808"/>
      <c r="AH180" s="808"/>
      <c r="AI180" s="808"/>
      <c r="AJ180" s="808"/>
      <c r="AK180" s="461"/>
      <c r="AL180" s="808"/>
      <c r="AM180" s="23"/>
      <c r="AN180" s="808"/>
      <c r="AO180" s="2038"/>
      <c r="AP180" s="2038"/>
      <c r="AQ180" s="2038"/>
      <c r="AR180" s="2038"/>
      <c r="AS180" s="2038"/>
      <c r="AT180" s="2038"/>
      <c r="AU180" s="2038"/>
      <c r="AV180" s="2038"/>
      <c r="AW180" s="2038"/>
      <c r="AX180" s="2038"/>
      <c r="AY180" s="39"/>
      <c r="AZ180" s="39"/>
    </row>
    <row r="181" spans="1:52" s="2690" customFormat="1" ht="16.5" customHeight="1">
      <c r="A181" s="461"/>
      <c r="B181" s="3504"/>
      <c r="C181" s="3504"/>
      <c r="D181" s="3504"/>
      <c r="E181" s="3613" t="str">
        <f>"Roth SEP, or Roth SIMPLE IRA in "&amp;TaxYear&amp;"."</f>
        <v>Roth SEP, or Roth SIMPLE IRA in 2023.</v>
      </c>
      <c r="F181" s="3504"/>
      <c r="G181" s="3504"/>
      <c r="H181" s="3504"/>
      <c r="I181" s="3504"/>
      <c r="J181" s="3504"/>
      <c r="K181" s="3504"/>
      <c r="L181" s="3504"/>
      <c r="M181" s="3504"/>
      <c r="N181" s="3504"/>
      <c r="O181" s="3504"/>
      <c r="P181" s="3504"/>
      <c r="Q181" s="3504"/>
      <c r="R181" s="3504"/>
      <c r="S181" s="3504"/>
      <c r="T181" s="3504"/>
      <c r="U181" s="3504"/>
      <c r="V181" s="3504"/>
      <c r="W181" s="3504"/>
      <c r="X181" s="3504"/>
      <c r="Y181" s="3504"/>
      <c r="Z181" s="3504"/>
      <c r="AA181" s="3504"/>
      <c r="AB181" s="3504"/>
      <c r="AC181" s="3504"/>
      <c r="AD181" s="3504"/>
      <c r="AE181" s="3504"/>
      <c r="AF181" s="3504"/>
      <c r="AG181" s="3504"/>
      <c r="AH181" s="3504"/>
      <c r="AI181" s="3504"/>
      <c r="AJ181" s="3504"/>
      <c r="AK181" s="461"/>
      <c r="AL181" s="808"/>
      <c r="AM181" s="23" t="s">
        <v>1113</v>
      </c>
      <c r="AN181" s="808"/>
      <c r="AO181" s="2038"/>
      <c r="AP181" s="2038"/>
      <c r="AQ181" s="2038"/>
      <c r="AR181" s="2038"/>
      <c r="AS181" s="2038"/>
      <c r="AT181" s="2038"/>
      <c r="AU181" s="2038"/>
      <c r="AV181" s="2038"/>
      <c r="AW181" s="2038"/>
      <c r="AX181" s="2038"/>
      <c r="AY181" s="39"/>
      <c r="AZ181" s="39"/>
    </row>
    <row r="182" spans="1:52" ht="16.5" customHeight="1" thickBot="1">
      <c r="A182" s="461"/>
      <c r="B182" s="808"/>
      <c r="C182" s="3644">
        <v>16</v>
      </c>
      <c r="D182" s="2112" t="s">
        <v>5753</v>
      </c>
      <c r="E182" s="1461"/>
      <c r="F182" s="1461"/>
      <c r="G182" s="1461"/>
      <c r="H182" s="808"/>
      <c r="I182" s="808"/>
      <c r="J182" s="808"/>
      <c r="K182" s="808"/>
      <c r="L182" s="808"/>
      <c r="M182" s="808"/>
      <c r="N182" s="808"/>
      <c r="O182" s="808"/>
      <c r="P182" s="808"/>
      <c r="Q182" s="808"/>
      <c r="R182" s="808"/>
      <c r="S182" s="808"/>
      <c r="T182" s="808"/>
      <c r="U182" s="808"/>
      <c r="V182" s="808"/>
      <c r="W182" s="808"/>
      <c r="X182" s="808"/>
      <c r="Y182" s="808"/>
      <c r="Z182" s="808"/>
      <c r="AA182" s="808"/>
      <c r="AB182" s="808"/>
      <c r="AC182" s="808"/>
      <c r="AD182" s="1126"/>
      <c r="AE182" s="808"/>
      <c r="AF182" s="808"/>
      <c r="AG182" s="808"/>
      <c r="AH182" s="808"/>
      <c r="AI182" s="808"/>
      <c r="AJ182" s="808"/>
      <c r="AK182" s="461"/>
      <c r="AL182" s="808"/>
      <c r="AM182" s="23" t="s">
        <v>1062</v>
      </c>
      <c r="AN182" s="808"/>
    </row>
    <row r="183" spans="1:52" ht="16.5" customHeight="1" thickBot="1">
      <c r="A183" s="461"/>
      <c r="B183" s="808"/>
      <c r="C183" s="3045"/>
      <c r="D183" s="2112" t="str">
        <f>"traditional, traditional SEP, and traditional SIMPLE IRAs to Roth, Roth SEP, or Roth SIMPLE IRAs in "&amp;TaxYear</f>
        <v>traditional, traditional SEP, and traditional SIMPLE IRAs to Roth, Roth SEP, or Roth SIMPLE IRAs in 2023</v>
      </c>
      <c r="E183" s="1461"/>
      <c r="F183" s="1461"/>
      <c r="G183" s="1461"/>
      <c r="H183" s="1461"/>
      <c r="I183" s="808"/>
      <c r="J183" s="808"/>
      <c r="K183" s="808"/>
      <c r="L183" s="808"/>
      <c r="M183" s="808"/>
      <c r="N183" s="808"/>
      <c r="O183" s="808"/>
      <c r="P183" s="808"/>
      <c r="Q183" s="808"/>
      <c r="R183" s="808"/>
      <c r="S183" s="808"/>
      <c r="T183" s="808"/>
      <c r="U183" s="808"/>
      <c r="V183" s="808"/>
      <c r="W183" s="808"/>
      <c r="X183" s="808"/>
      <c r="Y183" s="808"/>
      <c r="Z183" s="808"/>
      <c r="AA183" s="808"/>
      <c r="AB183" s="808"/>
      <c r="AC183" s="1128" t="s">
        <v>934</v>
      </c>
      <c r="AD183" s="1726" t="s">
        <v>289</v>
      </c>
      <c r="AE183" s="9574">
        <f>IF(AM183&lt;&gt;"",ROUND(AM183,0),IF(X158&lt;&gt;"",X158,IF(AL119&lt;&gt;"",IRA_CONV_YOU,IF(AL120&lt;&gt;"",IRA_CONV_SPOUSE))))</f>
        <v>0</v>
      </c>
      <c r="AF183" s="9575"/>
      <c r="AG183" s="9575"/>
      <c r="AH183" s="9575"/>
      <c r="AI183" s="9575"/>
      <c r="AJ183" s="9575"/>
      <c r="AK183" s="461"/>
      <c r="AL183" s="1376"/>
      <c r="AM183" s="3521"/>
      <c r="AN183" s="808"/>
    </row>
    <row r="184" spans="1:52" ht="16.5" customHeight="1" thickBot="1">
      <c r="A184" s="461"/>
      <c r="B184" s="808"/>
      <c r="C184" s="3644">
        <v>17</v>
      </c>
      <c r="D184" s="2112" t="s">
        <v>4377</v>
      </c>
      <c r="E184" s="1461"/>
      <c r="F184" s="1461"/>
      <c r="G184" s="1461"/>
      <c r="H184" s="808"/>
      <c r="I184" s="808"/>
      <c r="J184" s="808"/>
      <c r="K184" s="808"/>
      <c r="L184" s="808"/>
      <c r="M184" s="808"/>
      <c r="N184" s="808"/>
      <c r="O184" s="808"/>
      <c r="P184" s="808"/>
      <c r="Q184" s="808"/>
      <c r="R184" s="808"/>
      <c r="S184" s="808"/>
      <c r="T184" s="808"/>
      <c r="U184" s="808"/>
      <c r="V184" s="808"/>
      <c r="W184" s="808"/>
      <c r="X184" s="808"/>
      <c r="Y184" s="808"/>
      <c r="Z184" s="808"/>
      <c r="AA184" s="808"/>
      <c r="AB184" s="808"/>
      <c r="AC184" s="808"/>
      <c r="AD184" s="1126"/>
      <c r="AE184" s="9660" t="str">
        <f>IF(AL120&lt;&gt;"",IRA_CONV_TAXABLE_SPOUSE,IRA_CONV_TAXABLE_YOU)</f>
        <v>- - - -</v>
      </c>
      <c r="AF184" s="9661"/>
      <c r="AG184" s="9661"/>
      <c r="AH184" s="9661"/>
      <c r="AI184" s="9661"/>
      <c r="AJ184" s="9661"/>
      <c r="AK184" s="461"/>
      <c r="AL184" s="808"/>
      <c r="AM184" s="23" t="str">
        <f>IF(NOT(AM139),"Bases in Line 16.","")</f>
        <v/>
      </c>
      <c r="AN184" s="808"/>
    </row>
    <row r="185" spans="1:52" ht="16.5" customHeight="1" thickBot="1">
      <c r="A185" s="461"/>
      <c r="B185" s="808"/>
      <c r="C185" s="3045"/>
      <c r="D185" s="2112" t="s">
        <v>4378</v>
      </c>
      <c r="E185" s="1461"/>
      <c r="F185" s="1461"/>
      <c r="G185" s="1461"/>
      <c r="H185" s="1461"/>
      <c r="I185" s="808"/>
      <c r="J185" s="808"/>
      <c r="K185" s="808"/>
      <c r="L185" s="808"/>
      <c r="M185" s="808"/>
      <c r="N185" s="808"/>
      <c r="O185" s="808"/>
      <c r="P185" s="808"/>
      <c r="Q185" s="808"/>
      <c r="R185" s="808"/>
      <c r="S185" s="808"/>
      <c r="T185" s="808"/>
      <c r="U185" s="808"/>
      <c r="V185" s="808"/>
      <c r="W185" s="808"/>
      <c r="X185" s="808"/>
      <c r="Y185" s="808"/>
      <c r="Z185" s="808"/>
      <c r="AA185" s="808"/>
      <c r="AB185" s="808"/>
      <c r="AC185" s="1128" t="s">
        <v>3013</v>
      </c>
      <c r="AD185" s="3516" t="s">
        <v>291</v>
      </c>
      <c r="AE185" s="9592">
        <f>IF(AM185&lt;&gt;"",ROUND(AM185,0),IF(AM140,X163,IF(AE184="- - - -",AE183,IF(OR(AE184="",ISERROR(AE184+1)),"",SUM(AE183,-AE184)))))</f>
        <v>0</v>
      </c>
      <c r="AF185" s="9652"/>
      <c r="AG185" s="9652"/>
      <c r="AH185" s="9652"/>
      <c r="AI185" s="9652"/>
      <c r="AJ185" s="9652"/>
      <c r="AK185" s="461"/>
      <c r="AL185" s="1376"/>
      <c r="AM185" s="3521"/>
      <c r="AN185" s="808"/>
    </row>
    <row r="186" spans="1:52" ht="16.5" customHeight="1">
      <c r="A186" s="461"/>
      <c r="B186" s="808"/>
      <c r="C186" s="3644">
        <v>18</v>
      </c>
      <c r="D186" s="1145" t="s">
        <v>4379</v>
      </c>
      <c r="E186" s="1461"/>
      <c r="F186" s="1461"/>
      <c r="G186" s="1461"/>
      <c r="H186" s="808"/>
      <c r="I186" s="2112" t="str">
        <f>"Subtract line 17 from line 16. If more than zero, also include this amount on "&amp;TaxYear</f>
        <v>Subtract line 17 from line 16. If more than zero, also include this amount on 2023</v>
      </c>
      <c r="J186" s="808"/>
      <c r="K186" s="808"/>
      <c r="L186" s="808"/>
      <c r="M186" s="808"/>
      <c r="N186" s="808"/>
      <c r="O186" s="808"/>
      <c r="P186" s="808"/>
      <c r="Q186" s="808"/>
      <c r="R186" s="808"/>
      <c r="S186" s="808"/>
      <c r="T186" s="808"/>
      <c r="U186" s="808"/>
      <c r="V186" s="808"/>
      <c r="W186" s="808"/>
      <c r="X186" s="808"/>
      <c r="Y186" s="808"/>
      <c r="Z186" s="808"/>
      <c r="AA186" s="808"/>
      <c r="AB186" s="808"/>
      <c r="AC186" s="808"/>
      <c r="AD186" s="1126"/>
      <c r="AE186" s="808"/>
      <c r="AF186" s="808"/>
      <c r="AG186" s="808"/>
      <c r="AH186" s="808"/>
      <c r="AI186" s="808"/>
      <c r="AJ186" s="808"/>
      <c r="AK186" s="461"/>
      <c r="AL186" s="3653"/>
      <c r="AM186" s="3653"/>
      <c r="AN186" s="3653"/>
    </row>
    <row r="187" spans="1:52" ht="16.5" customHeight="1" thickBot="1">
      <c r="A187" s="461"/>
      <c r="B187" s="896"/>
      <c r="C187" s="3595"/>
      <c r="D187" s="2122" t="s">
        <v>4380</v>
      </c>
      <c r="E187" s="3595"/>
      <c r="F187" s="3595"/>
      <c r="G187" s="3595"/>
      <c r="H187" s="3595"/>
      <c r="I187" s="896"/>
      <c r="J187" s="896"/>
      <c r="K187" s="896"/>
      <c r="L187" s="896"/>
      <c r="M187" s="896"/>
      <c r="N187" s="896"/>
      <c r="O187" s="896"/>
      <c r="P187" s="896"/>
      <c r="Q187" s="896"/>
      <c r="R187" s="896"/>
      <c r="S187" s="896"/>
      <c r="T187" s="896"/>
      <c r="U187" s="896"/>
      <c r="V187" s="896"/>
      <c r="W187" s="896"/>
      <c r="X187" s="896"/>
      <c r="Y187" s="896"/>
      <c r="Z187" s="896"/>
      <c r="AA187" s="896"/>
      <c r="AB187" s="896"/>
      <c r="AC187" s="3614" t="s">
        <v>3937</v>
      </c>
      <c r="AD187" s="3516" t="s">
        <v>293</v>
      </c>
      <c r="AE187" s="9592">
        <f>IF(AE183="","",IF(AE185="",AE183,SUM(AE183,-AE185)))</f>
        <v>0</v>
      </c>
      <c r="AF187" s="9593"/>
      <c r="AG187" s="9593"/>
      <c r="AH187" s="9593"/>
      <c r="AI187" s="9593"/>
      <c r="AJ187" s="9593"/>
      <c r="AK187" s="461"/>
      <c r="AL187" s="3653"/>
      <c r="AM187" s="4128">
        <f>MAX(0,AE187)</f>
        <v>0</v>
      </c>
      <c r="AN187" s="3653"/>
    </row>
    <row r="188" spans="1:52" s="2690" customFormat="1" ht="19.5" customHeight="1">
      <c r="A188" s="461"/>
      <c r="B188" s="9450" t="s">
        <v>2243</v>
      </c>
      <c r="C188" s="9450"/>
      <c r="D188" s="3615"/>
      <c r="E188" s="3633" t="s">
        <v>5754</v>
      </c>
      <c r="F188" s="890"/>
      <c r="G188" s="890"/>
      <c r="H188" s="890"/>
      <c r="I188" s="890"/>
      <c r="J188" s="890"/>
      <c r="K188" s="890"/>
      <c r="L188" s="890"/>
      <c r="M188" s="890"/>
      <c r="N188" s="890"/>
      <c r="O188" s="890"/>
      <c r="P188" s="890"/>
      <c r="Q188" s="890"/>
      <c r="R188" s="890"/>
      <c r="S188" s="890"/>
      <c r="T188" s="890"/>
      <c r="U188" s="890"/>
      <c r="V188" s="890"/>
      <c r="W188" s="890"/>
      <c r="X188" s="890"/>
      <c r="Y188" s="890"/>
      <c r="Z188" s="890"/>
      <c r="AA188" s="890"/>
      <c r="AB188" s="890"/>
      <c r="AC188" s="890"/>
      <c r="AD188" s="890"/>
      <c r="AE188" s="890"/>
      <c r="AF188" s="890"/>
      <c r="AG188" s="890"/>
      <c r="AH188" s="890"/>
      <c r="AI188" s="890"/>
      <c r="AJ188" s="890"/>
      <c r="AK188" s="461"/>
      <c r="AL188" s="3653"/>
      <c r="AM188" s="3653"/>
      <c r="AN188" s="3653"/>
      <c r="AO188" s="2038"/>
      <c r="AP188" s="2038"/>
      <c r="AQ188" s="2038"/>
      <c r="AR188" s="2038"/>
      <c r="AS188" s="2038"/>
      <c r="AT188" s="2038"/>
      <c r="AU188" s="2038"/>
      <c r="AV188" s="2038"/>
      <c r="AW188" s="2038"/>
      <c r="AX188" s="2038"/>
      <c r="AY188" s="39"/>
      <c r="AZ188" s="39"/>
    </row>
    <row r="189" spans="1:52" s="2690" customFormat="1" ht="15" customHeight="1">
      <c r="A189" s="461"/>
      <c r="B189" s="3518"/>
      <c r="C189" s="3601"/>
      <c r="D189" s="3518" t="s">
        <v>4449</v>
      </c>
      <c r="E189" s="3172" t="str">
        <f>"Complete this part only if you took a distribution from a Roth, Roth SEP, or Roth SIMPLE IRA in "&amp;TaxYear&amp;". For this purpose, a"</f>
        <v>Complete this part only if you took a distribution from a Roth, Roth SEP, or Roth SIMPLE IRA in 2023. For this purpose, a</v>
      </c>
      <c r="F189" s="3518"/>
      <c r="G189" s="3518"/>
      <c r="H189" s="3518"/>
      <c r="I189" s="3518"/>
      <c r="J189" s="3518"/>
      <c r="K189" s="3518"/>
      <c r="L189" s="3518"/>
      <c r="M189" s="3518"/>
      <c r="N189" s="3518"/>
      <c r="O189" s="3518"/>
      <c r="P189" s="3518"/>
      <c r="Q189" s="3518"/>
      <c r="R189" s="3518"/>
      <c r="S189" s="3518"/>
      <c r="T189" s="3518"/>
      <c r="U189" s="3518"/>
      <c r="V189" s="3518"/>
      <c r="W189" s="3518"/>
      <c r="X189" s="3518"/>
      <c r="Y189" s="3518"/>
      <c r="Z189" s="3518"/>
      <c r="AA189" s="3518"/>
      <c r="AB189" s="3518"/>
      <c r="AC189" s="3518"/>
      <c r="AD189" s="3518"/>
      <c r="AE189" s="3518"/>
      <c r="AF189" s="3518"/>
      <c r="AG189" s="3518"/>
      <c r="AH189" s="3518"/>
      <c r="AI189" s="3518"/>
      <c r="AJ189" s="3518"/>
      <c r="AK189" s="461"/>
      <c r="AL189" s="3653"/>
      <c r="AM189" s="3653"/>
      <c r="AN189" s="3653"/>
      <c r="AO189" s="2038"/>
      <c r="AP189" s="2038"/>
      <c r="AQ189" s="2038"/>
      <c r="AR189" s="2038"/>
      <c r="AS189" s="2038"/>
      <c r="AT189" s="2038"/>
      <c r="AU189" s="2038"/>
      <c r="AV189" s="2038"/>
      <c r="AW189" s="2038"/>
      <c r="AX189" s="2038"/>
      <c r="AY189" s="39"/>
      <c r="AZ189" s="39"/>
    </row>
    <row r="190" spans="1:52" s="3525" customFormat="1" ht="15.75" customHeight="1">
      <c r="A190" s="3497"/>
      <c r="B190" s="3518"/>
      <c r="C190" s="3601"/>
      <c r="D190" s="3537"/>
      <c r="E190" s="3172" t="str">
        <f>"distribution does not include a rollover (other than a repayment of a qualified disaster distribution from "&amp;TaxYear&amp;" Form(s)"</f>
        <v>distribution does not include a rollover (other than a repayment of a qualified disaster distribution from 2023 Form(s)</v>
      </c>
      <c r="F190" s="3518"/>
      <c r="G190" s="3518"/>
      <c r="H190" s="3518"/>
      <c r="I190" s="3518"/>
      <c r="J190" s="3518"/>
      <c r="K190" s="3518"/>
      <c r="L190" s="3518"/>
      <c r="M190" s="3518"/>
      <c r="N190" s="3518"/>
      <c r="O190" s="3518"/>
      <c r="P190" s="3518"/>
      <c r="Q190" s="3518"/>
      <c r="R190" s="3518"/>
      <c r="S190" s="3518"/>
      <c r="T190" s="3518"/>
      <c r="U190" s="3518"/>
      <c r="V190" s="3518"/>
      <c r="W190" s="3518"/>
      <c r="X190" s="3518"/>
      <c r="Y190" s="3518"/>
      <c r="Z190" s="3518"/>
      <c r="AA190" s="3518"/>
      <c r="AB190" s="3518"/>
      <c r="AC190" s="3518"/>
      <c r="AD190" s="3518"/>
      <c r="AE190" s="3518"/>
      <c r="AF190" s="3518"/>
      <c r="AG190" s="3518"/>
      <c r="AH190" s="3518"/>
      <c r="AI190" s="3518"/>
      <c r="AJ190" s="3518"/>
      <c r="AK190" s="3497"/>
      <c r="AL190" s="3653"/>
      <c r="AM190" s="3653"/>
      <c r="AN190" s="3653"/>
      <c r="AO190" s="3524"/>
      <c r="AP190" s="3524"/>
      <c r="AQ190" s="3524"/>
      <c r="AR190" s="3524"/>
      <c r="AS190" s="3524"/>
      <c r="AT190" s="3524"/>
      <c r="AU190" s="3524"/>
      <c r="AV190" s="3524"/>
      <c r="AW190" s="3524"/>
      <c r="AX190" s="3524"/>
      <c r="AY190" s="3499"/>
      <c r="AZ190" s="3499"/>
    </row>
    <row r="191" spans="1:52" s="3525" customFormat="1" ht="15.75" customHeight="1">
      <c r="A191" s="3497"/>
      <c r="B191" s="3518"/>
      <c r="C191" s="3601"/>
      <c r="D191" s="3537"/>
      <c r="E191" s="3172" t="s">
        <v>5755</v>
      </c>
      <c r="F191" s="3518"/>
      <c r="G191" s="3518"/>
      <c r="H191" s="3518"/>
      <c r="I191" s="3518"/>
      <c r="J191" s="3518"/>
      <c r="K191" s="3518"/>
      <c r="L191" s="3518"/>
      <c r="M191" s="3518"/>
      <c r="N191" s="3518"/>
      <c r="O191" s="3518"/>
      <c r="P191" s="3518"/>
      <c r="Q191" s="3518"/>
      <c r="R191" s="3518"/>
      <c r="S191" s="3518"/>
      <c r="T191" s="3518"/>
      <c r="U191" s="3518"/>
      <c r="V191" s="3518"/>
      <c r="W191" s="3518"/>
      <c r="X191" s="3518"/>
      <c r="Y191" s="3518"/>
      <c r="Z191" s="3518"/>
      <c r="AA191" s="3518"/>
      <c r="AB191" s="3518"/>
      <c r="AC191" s="3518"/>
      <c r="AD191" s="3518"/>
      <c r="AE191" s="3518"/>
      <c r="AF191" s="3518"/>
      <c r="AG191" s="3518"/>
      <c r="AH191" s="3518"/>
      <c r="AI191" s="3518"/>
      <c r="AJ191" s="3518"/>
      <c r="AK191" s="3497"/>
      <c r="AL191" s="3498"/>
      <c r="AM191" s="3498"/>
      <c r="AN191" s="1573"/>
      <c r="AO191" s="3524"/>
      <c r="AP191" s="3524"/>
      <c r="AQ191" s="3524"/>
      <c r="AR191" s="3524"/>
      <c r="AS191" s="3524"/>
      <c r="AT191" s="3524"/>
      <c r="AU191" s="3524"/>
      <c r="AV191" s="3524"/>
      <c r="AW191" s="3524"/>
      <c r="AX191" s="3524"/>
      <c r="AY191" s="3499"/>
      <c r="AZ191" s="3499"/>
    </row>
    <row r="192" spans="1:52" s="3525" customFormat="1" ht="17.25" customHeight="1" thickBot="1">
      <c r="A192" s="3497"/>
      <c r="B192" s="3626"/>
      <c r="C192" s="3627"/>
      <c r="D192" s="3628"/>
      <c r="E192" s="3629" t="s">
        <v>5756</v>
      </c>
      <c r="F192" s="3626"/>
      <c r="G192" s="3626"/>
      <c r="H192" s="3626"/>
      <c r="I192" s="3626"/>
      <c r="J192" s="3626"/>
      <c r="K192" s="3626"/>
      <c r="L192" s="3626"/>
      <c r="M192" s="3626"/>
      <c r="N192" s="3626"/>
      <c r="O192" s="3626"/>
      <c r="P192" s="3626"/>
      <c r="Q192" s="3626"/>
      <c r="R192" s="3626"/>
      <c r="S192" s="3626"/>
      <c r="T192" s="3626"/>
      <c r="U192" s="3626"/>
      <c r="V192" s="3626"/>
      <c r="W192" s="3626"/>
      <c r="X192" s="3626"/>
      <c r="Y192" s="3626"/>
      <c r="Z192" s="3626"/>
      <c r="AA192" s="3626"/>
      <c r="AB192" s="3626"/>
      <c r="AC192" s="3626"/>
      <c r="AD192" s="3626"/>
      <c r="AE192" s="3626"/>
      <c r="AF192" s="3626"/>
      <c r="AG192" s="3626"/>
      <c r="AH192" s="3626"/>
      <c r="AI192" s="3626"/>
      <c r="AJ192" s="3626"/>
      <c r="AK192" s="3497"/>
      <c r="AL192" s="3498"/>
      <c r="AM192" s="3498"/>
      <c r="AN192" s="1573"/>
      <c r="AO192" s="3524"/>
      <c r="AP192" s="3524"/>
      <c r="AQ192" s="3524"/>
      <c r="AR192" s="3524"/>
      <c r="AS192" s="3524"/>
      <c r="AT192" s="3524"/>
      <c r="AU192" s="3524"/>
      <c r="AV192" s="3524"/>
      <c r="AW192" s="3524"/>
      <c r="AX192" s="3524"/>
      <c r="AY192" s="3499"/>
      <c r="AZ192" s="3499"/>
    </row>
    <row r="193" spans="1:52" s="2690" customFormat="1" ht="16.5" customHeight="1">
      <c r="A193" s="461"/>
      <c r="B193" s="3630"/>
      <c r="C193" s="3646">
        <v>19</v>
      </c>
      <c r="D193" s="5068" t="str">
        <f>"Enter your total nonqualified distributions from Roth, Roth SEP, and Roth SIMPLE IRAs in "&amp;TaxYear&amp;","</f>
        <v>Enter your total nonqualified distributions from Roth, Roth SEP, and Roth SIMPLE IRAs in 2023,</v>
      </c>
      <c r="E193" s="3631"/>
      <c r="F193" s="1119"/>
      <c r="G193" s="1119"/>
      <c r="H193" s="1119"/>
      <c r="I193" s="1119"/>
      <c r="J193" s="1119"/>
      <c r="K193" s="1119"/>
      <c r="L193" s="1119"/>
      <c r="M193" s="1119"/>
      <c r="N193" s="1119"/>
      <c r="O193" s="1119"/>
      <c r="P193" s="1119"/>
      <c r="Q193" s="1119"/>
      <c r="R193" s="1119"/>
      <c r="S193" s="1119"/>
      <c r="T193" s="1119"/>
      <c r="U193" s="1119"/>
      <c r="V193" s="1119"/>
      <c r="W193" s="1119"/>
      <c r="X193" s="1119"/>
      <c r="Y193" s="1119"/>
      <c r="Z193" s="1119"/>
      <c r="AA193" s="1119"/>
      <c r="AB193" s="1119"/>
      <c r="AC193" s="1119"/>
      <c r="AD193" s="3632"/>
      <c r="AE193" s="1119"/>
      <c r="AF193" s="1119"/>
      <c r="AG193" s="1119"/>
      <c r="AH193" s="1119"/>
      <c r="AI193" s="1119"/>
      <c r="AJ193" s="1119"/>
      <c r="AK193" s="461"/>
      <c r="AL193" s="808"/>
      <c r="AM193" s="808"/>
      <c r="AN193" s="808"/>
      <c r="AO193" s="2038"/>
      <c r="AP193" s="2038"/>
      <c r="AQ193" s="2038"/>
      <c r="AR193" s="2038"/>
      <c r="AS193" s="2038"/>
      <c r="AT193" s="2038"/>
      <c r="AU193" s="2038"/>
      <c r="AV193" s="2038"/>
      <c r="AW193" s="2038"/>
      <c r="AX193" s="2038"/>
      <c r="AY193" s="39"/>
      <c r="AZ193" s="39"/>
    </row>
    <row r="194" spans="1:52" s="2690" customFormat="1" ht="16.5" customHeight="1">
      <c r="A194" s="461"/>
      <c r="B194" s="3620"/>
      <c r="C194" s="3045"/>
      <c r="D194" s="1108" t="s">
        <v>5757</v>
      </c>
      <c r="E194" s="2112"/>
      <c r="F194" s="892"/>
      <c r="G194" s="892"/>
      <c r="H194" s="892"/>
      <c r="I194" s="892"/>
      <c r="J194" s="892"/>
      <c r="K194" s="892"/>
      <c r="L194" s="892"/>
      <c r="M194" s="892"/>
      <c r="N194" s="3621"/>
      <c r="O194" s="892"/>
      <c r="P194" s="892"/>
      <c r="Q194" s="892"/>
      <c r="R194" s="892"/>
      <c r="S194" s="892"/>
      <c r="T194" s="3621"/>
      <c r="U194" s="2447"/>
      <c r="V194" s="892"/>
      <c r="W194" s="892"/>
      <c r="X194" s="892"/>
      <c r="Y194" s="892"/>
      <c r="Z194" s="892"/>
      <c r="AA194" s="892"/>
      <c r="AB194" s="3621"/>
      <c r="AC194" s="892"/>
      <c r="AD194" s="3625"/>
      <c r="AE194" s="892"/>
      <c r="AF194" s="892"/>
      <c r="AG194" s="892"/>
      <c r="AH194" s="892"/>
      <c r="AI194" s="892"/>
      <c r="AJ194" s="892"/>
      <c r="AK194" s="461"/>
      <c r="AL194" s="808"/>
      <c r="AM194" s="808"/>
      <c r="AN194" s="808"/>
      <c r="AO194" s="2038"/>
      <c r="AP194" s="2038"/>
      <c r="AQ194" s="2038"/>
      <c r="AR194" s="2038"/>
      <c r="AS194" s="2038"/>
      <c r="AT194" s="2038"/>
      <c r="AU194" s="2038"/>
      <c r="AV194" s="2038"/>
      <c r="AW194" s="2038"/>
      <c r="AX194" s="2038"/>
      <c r="AY194" s="39"/>
      <c r="AZ194" s="39"/>
    </row>
    <row r="195" spans="1:52" ht="16.5" customHeight="1">
      <c r="A195" s="461"/>
      <c r="B195" s="808"/>
      <c r="C195" s="3045"/>
      <c r="D195" s="1108" t="str">
        <f>TaxYear&amp;" Form(s) 8915-F (see instructions)"</f>
        <v>2023 Form(s) 8915-F (see instructions)</v>
      </c>
      <c r="E195" s="1461"/>
      <c r="F195" s="1461"/>
      <c r="G195" s="1461"/>
      <c r="H195" s="1461"/>
      <c r="I195" s="808"/>
      <c r="J195" s="808"/>
      <c r="K195" s="808"/>
      <c r="L195" s="808"/>
      <c r="M195" s="808"/>
      <c r="N195" s="808"/>
      <c r="O195" s="808"/>
      <c r="P195" s="808"/>
      <c r="Q195" s="808"/>
      <c r="R195" s="808"/>
      <c r="S195" s="808"/>
      <c r="T195" s="808"/>
      <c r="U195" s="808"/>
      <c r="V195" s="808"/>
      <c r="W195" s="808"/>
      <c r="X195" s="808"/>
      <c r="Y195" s="808"/>
      <c r="Z195" s="808"/>
      <c r="AA195" s="808"/>
      <c r="AB195" s="808"/>
      <c r="AC195" s="1128" t="s">
        <v>5758</v>
      </c>
      <c r="AD195" s="1726" t="s">
        <v>295</v>
      </c>
      <c r="AE195" s="9564"/>
      <c r="AF195" s="9565"/>
      <c r="AG195" s="9565"/>
      <c r="AH195" s="9565"/>
      <c r="AI195" s="9565"/>
      <c r="AJ195" s="9565"/>
      <c r="AK195" s="461"/>
      <c r="AL195" s="1376"/>
      <c r="AM195" s="1376"/>
      <c r="AN195" s="808"/>
    </row>
    <row r="196" spans="1:52" ht="16.5" customHeight="1">
      <c r="A196" s="461"/>
      <c r="B196" s="808"/>
      <c r="C196" s="3644" t="s">
        <v>297</v>
      </c>
      <c r="D196" s="2112" t="s">
        <v>4381</v>
      </c>
      <c r="E196" s="1461"/>
      <c r="F196" s="1461"/>
      <c r="G196" s="1461"/>
      <c r="H196" s="808"/>
      <c r="I196" s="808"/>
      <c r="J196" s="808"/>
      <c r="K196" s="808"/>
      <c r="L196" s="808"/>
      <c r="M196" s="808"/>
      <c r="N196" s="808"/>
      <c r="O196" s="808"/>
      <c r="P196" s="808"/>
      <c r="Q196" s="808"/>
      <c r="R196" s="2112" t="s">
        <v>4382</v>
      </c>
      <c r="S196" s="808"/>
      <c r="T196" s="808"/>
      <c r="U196" s="808"/>
      <c r="V196" s="808"/>
      <c r="W196" s="808"/>
      <c r="X196" s="2112" t="str">
        <f>TEXT(AE196,"$0,000")&amp;" reduced"</f>
        <v>$10,000 reduced</v>
      </c>
      <c r="Y196" s="808"/>
      <c r="Z196" s="808"/>
      <c r="AA196" s="808"/>
      <c r="AB196" s="808"/>
      <c r="AC196" s="808"/>
      <c r="AD196" s="1126"/>
      <c r="AE196" s="9595">
        <v>10000</v>
      </c>
      <c r="AF196" s="9596"/>
      <c r="AG196" s="9596"/>
      <c r="AH196" s="9596"/>
      <c r="AI196" s="9596"/>
      <c r="AJ196" s="9596"/>
      <c r="AK196" s="461"/>
      <c r="AL196" s="808"/>
      <c r="AM196" s="808"/>
      <c r="AN196" s="808"/>
    </row>
    <row r="197" spans="1:52" ht="16.5" customHeight="1">
      <c r="A197" s="461"/>
      <c r="B197" s="808"/>
      <c r="C197" s="3045"/>
      <c r="D197" s="2952" t="s">
        <v>4383</v>
      </c>
      <c r="E197" s="1461"/>
      <c r="F197" s="1461"/>
      <c r="G197" s="1461"/>
      <c r="H197" s="1461"/>
      <c r="I197" s="808"/>
      <c r="J197" s="808"/>
      <c r="K197" s="808"/>
      <c r="L197" s="808"/>
      <c r="M197" s="808"/>
      <c r="N197" s="808"/>
      <c r="O197" s="808"/>
      <c r="P197" s="808"/>
      <c r="Q197" s="808"/>
      <c r="R197" s="808"/>
      <c r="S197" s="808"/>
      <c r="T197" s="808"/>
      <c r="U197" s="808"/>
      <c r="V197" s="808"/>
      <c r="W197" s="808"/>
      <c r="X197" s="808"/>
      <c r="Y197" s="808"/>
      <c r="Z197" s="808"/>
      <c r="AA197" s="808"/>
      <c r="AB197" s="808"/>
      <c r="AC197" s="1128" t="s">
        <v>2835</v>
      </c>
      <c r="AD197" s="1726" t="s">
        <v>297</v>
      </c>
      <c r="AE197" s="9564"/>
      <c r="AF197" s="9565"/>
      <c r="AG197" s="9565"/>
      <c r="AH197" s="9565"/>
      <c r="AI197" s="9565"/>
      <c r="AJ197" s="9565"/>
      <c r="AK197" s="461"/>
      <c r="AL197" s="1376"/>
      <c r="AM197" s="1376"/>
      <c r="AN197" s="808"/>
    </row>
    <row r="198" spans="1:52" ht="16.5" customHeight="1">
      <c r="A198" s="461"/>
      <c r="B198" s="808"/>
      <c r="C198" s="3644" t="s">
        <v>4384</v>
      </c>
      <c r="D198" s="2112" t="s">
        <v>4200</v>
      </c>
      <c r="E198" s="2112"/>
      <c r="F198" s="808"/>
      <c r="G198" s="808"/>
      <c r="H198" s="808"/>
      <c r="I198" s="808"/>
      <c r="J198" s="808"/>
      <c r="K198" s="808"/>
      <c r="L198" s="3604"/>
      <c r="M198" s="2112"/>
      <c r="N198" s="808"/>
      <c r="O198" s="808"/>
      <c r="P198" s="808"/>
      <c r="Q198" s="808"/>
      <c r="R198" s="808"/>
      <c r="S198" s="808"/>
      <c r="T198" s="808"/>
      <c r="U198" s="808"/>
      <c r="V198" s="808"/>
      <c r="W198" s="808"/>
      <c r="X198" s="808"/>
      <c r="Y198" s="808"/>
      <c r="Z198" s="808"/>
      <c r="AA198" s="808"/>
      <c r="AB198" s="808"/>
      <c r="AC198" s="1128" t="s">
        <v>2832</v>
      </c>
      <c r="AD198" s="1727">
        <v>21</v>
      </c>
      <c r="AE198" s="9597" t="str">
        <f>IF(AE195="","",MAX(0,SUM(AE195,-AE197)))</f>
        <v/>
      </c>
      <c r="AF198" s="9653"/>
      <c r="AG198" s="9653"/>
      <c r="AH198" s="9653"/>
      <c r="AI198" s="9653"/>
      <c r="AJ198" s="9653"/>
      <c r="AK198" s="461"/>
      <c r="AL198" s="808"/>
      <c r="AM198" s="900" t="b">
        <f>AND(AE198&lt;&gt;"",AE198=0)</f>
        <v>0</v>
      </c>
      <c r="AN198" s="808"/>
      <c r="AY198" s="1281"/>
      <c r="AZ198" s="1281"/>
    </row>
    <row r="199" spans="1:52" ht="16.5" customHeight="1">
      <c r="A199" s="461"/>
      <c r="B199" s="808"/>
      <c r="C199" s="3644">
        <v>22</v>
      </c>
      <c r="D199" s="1108" t="s">
        <v>5759</v>
      </c>
      <c r="E199" s="1461"/>
      <c r="F199" s="1461"/>
      <c r="G199" s="1461"/>
      <c r="H199" s="808"/>
      <c r="I199" s="808"/>
      <c r="J199" s="808"/>
      <c r="K199" s="808"/>
      <c r="L199" s="808"/>
      <c r="M199" s="808"/>
      <c r="N199" s="808"/>
      <c r="O199" s="808"/>
      <c r="P199" s="808"/>
      <c r="Q199" s="808"/>
      <c r="R199" s="2112"/>
      <c r="S199" s="808"/>
      <c r="T199" s="808"/>
      <c r="U199" s="808"/>
      <c r="V199" s="808"/>
      <c r="W199" s="808"/>
      <c r="X199" s="2112"/>
      <c r="Y199" s="808"/>
      <c r="Z199" s="808"/>
      <c r="AA199" s="808"/>
      <c r="AB199" s="808"/>
      <c r="AC199" s="808"/>
      <c r="AD199" s="1123"/>
      <c r="AE199" s="9654"/>
      <c r="AF199" s="9655"/>
      <c r="AG199" s="9655"/>
      <c r="AH199" s="9655"/>
      <c r="AI199" s="9655"/>
      <c r="AJ199" s="9655"/>
      <c r="AK199" s="461"/>
      <c r="AL199" s="808"/>
      <c r="AM199" s="808"/>
      <c r="AN199" s="808"/>
    </row>
    <row r="200" spans="1:52" ht="16.5" customHeight="1">
      <c r="A200" s="461"/>
      <c r="B200" s="808"/>
      <c r="C200" s="3644"/>
      <c r="D200" s="1108" t="s">
        <v>5760</v>
      </c>
      <c r="E200" s="2112"/>
      <c r="F200" s="808"/>
      <c r="G200" s="808"/>
      <c r="H200" s="808"/>
      <c r="I200" s="1108" t="s">
        <v>5761</v>
      </c>
      <c r="J200" s="808"/>
      <c r="K200" s="808"/>
      <c r="L200" s="3604"/>
      <c r="M200" s="2112"/>
      <c r="N200" s="808"/>
      <c r="O200" s="808"/>
      <c r="P200" s="808"/>
      <c r="Q200" s="808"/>
      <c r="R200" s="808"/>
      <c r="S200" s="2112"/>
      <c r="T200" s="808"/>
      <c r="U200" s="808"/>
      <c r="V200" s="808"/>
      <c r="W200" s="808"/>
      <c r="X200" s="808"/>
      <c r="Y200" s="808"/>
      <c r="Z200" s="808"/>
      <c r="AA200" s="808"/>
      <c r="AB200" s="808"/>
      <c r="AC200" s="1128" t="s">
        <v>3013</v>
      </c>
      <c r="AD200" s="1726">
        <v>22</v>
      </c>
      <c r="AE200" s="9564"/>
      <c r="AF200" s="9565"/>
      <c r="AG200" s="9565"/>
      <c r="AH200" s="9565"/>
      <c r="AI200" s="9565"/>
      <c r="AJ200" s="9565"/>
      <c r="AK200" s="461"/>
      <c r="AL200" s="808"/>
      <c r="AM200" s="808"/>
      <c r="AN200" s="808"/>
      <c r="AY200" s="1281"/>
      <c r="AZ200" s="1281"/>
    </row>
    <row r="201" spans="1:52" ht="16.5" customHeight="1">
      <c r="A201" s="461"/>
      <c r="B201" s="808"/>
      <c r="C201" s="3644">
        <v>23</v>
      </c>
      <c r="D201" s="2112" t="s">
        <v>4387</v>
      </c>
      <c r="E201" s="1461"/>
      <c r="F201" s="1461"/>
      <c r="G201" s="1461"/>
      <c r="H201" s="808"/>
      <c r="I201" s="808"/>
      <c r="J201" s="808"/>
      <c r="K201" s="808"/>
      <c r="L201" s="808"/>
      <c r="M201" s="808"/>
      <c r="N201" s="808"/>
      <c r="O201" s="808"/>
      <c r="P201" s="808"/>
      <c r="Q201" s="808"/>
      <c r="R201" s="2112"/>
      <c r="S201" s="808"/>
      <c r="T201" s="808"/>
      <c r="U201" s="808"/>
      <c r="V201" s="808"/>
      <c r="W201" s="808"/>
      <c r="X201" s="2112"/>
      <c r="Y201" s="808"/>
      <c r="Z201" s="808"/>
      <c r="AA201" s="808"/>
      <c r="AB201" s="808"/>
      <c r="AC201" s="808"/>
      <c r="AD201" s="1126"/>
      <c r="AE201" s="9654"/>
      <c r="AF201" s="9655"/>
      <c r="AG201" s="9655"/>
      <c r="AH201" s="9655"/>
      <c r="AI201" s="9655"/>
      <c r="AJ201" s="9655"/>
      <c r="AK201" s="461"/>
      <c r="AL201" s="808"/>
      <c r="AM201" s="808"/>
      <c r="AN201" s="808"/>
    </row>
    <row r="202" spans="1:52" ht="16.5" customHeight="1">
      <c r="A202" s="461"/>
      <c r="B202" s="808"/>
      <c r="C202" s="3045"/>
      <c r="D202" s="2112" t="s">
        <v>4388</v>
      </c>
      <c r="E202" s="1461"/>
      <c r="F202" s="1461"/>
      <c r="G202" s="1461"/>
      <c r="H202" s="1461"/>
      <c r="I202" s="808"/>
      <c r="J202" s="808"/>
      <c r="K202" s="808"/>
      <c r="L202" s="808"/>
      <c r="M202" s="808"/>
      <c r="N202" s="808"/>
      <c r="O202" s="808"/>
      <c r="P202" s="808"/>
      <c r="Q202" s="808"/>
      <c r="R202" s="808"/>
      <c r="S202" s="808"/>
      <c r="T202" s="808"/>
      <c r="U202" s="808"/>
      <c r="V202" s="808"/>
      <c r="W202" s="808"/>
      <c r="X202" s="808"/>
      <c r="Y202" s="808"/>
      <c r="Z202" s="808"/>
      <c r="AA202" s="808"/>
      <c r="AB202" s="808"/>
      <c r="AC202" s="1128" t="s">
        <v>2832</v>
      </c>
      <c r="AD202" s="1726">
        <v>23</v>
      </c>
      <c r="AE202" s="9574" t="str">
        <f>IF(AE195="","",IF(NOT(AM198),MAX(0,SUM(AE198,-AE200)),""))</f>
        <v/>
      </c>
      <c r="AF202" s="9575"/>
      <c r="AG202" s="9575"/>
      <c r="AH202" s="9575"/>
      <c r="AI202" s="9575"/>
      <c r="AJ202" s="9575"/>
      <c r="AK202" s="461"/>
      <c r="AL202" s="1376"/>
      <c r="AM202" s="1376"/>
      <c r="AN202" s="808"/>
    </row>
    <row r="203" spans="1:52" ht="16.5" customHeight="1">
      <c r="A203" s="461"/>
      <c r="B203" s="808"/>
      <c r="C203" s="3644">
        <v>24</v>
      </c>
      <c r="D203" s="2112" t="s">
        <v>5762</v>
      </c>
      <c r="E203" s="1461"/>
      <c r="F203" s="1461"/>
      <c r="G203" s="1461"/>
      <c r="H203" s="808"/>
      <c r="I203" s="808"/>
      <c r="J203" s="808"/>
      <c r="K203" s="808"/>
      <c r="L203" s="808"/>
      <c r="M203" s="808"/>
      <c r="N203" s="808"/>
      <c r="O203" s="808"/>
      <c r="P203" s="808"/>
      <c r="Q203" s="808"/>
      <c r="R203" s="2112"/>
      <c r="S203" s="808"/>
      <c r="T203" s="808"/>
      <c r="U203" s="808"/>
      <c r="V203" s="808"/>
      <c r="W203" s="808"/>
      <c r="X203" s="2112"/>
      <c r="Y203" s="808"/>
      <c r="Z203" s="808"/>
      <c r="AA203" s="808"/>
      <c r="AB203" s="808"/>
      <c r="AC203" s="808"/>
      <c r="AD203" s="1126"/>
      <c r="AE203" s="9654"/>
      <c r="AF203" s="9655"/>
      <c r="AG203" s="9655"/>
      <c r="AH203" s="9655"/>
      <c r="AI203" s="9655"/>
      <c r="AJ203" s="9655"/>
      <c r="AK203" s="461"/>
      <c r="AL203" s="808"/>
      <c r="AM203" s="808"/>
      <c r="AN203" s="808"/>
    </row>
    <row r="204" spans="1:52" ht="16.5" customHeight="1">
      <c r="A204" s="461"/>
      <c r="B204" s="808"/>
      <c r="C204" s="3045"/>
      <c r="D204" s="2112" t="s">
        <v>5763</v>
      </c>
      <c r="E204" s="1461"/>
      <c r="F204" s="1461"/>
      <c r="G204" s="1461"/>
      <c r="H204" s="1461"/>
      <c r="I204" s="808"/>
      <c r="J204" s="808"/>
      <c r="K204" s="808"/>
      <c r="L204" s="808"/>
      <c r="M204" s="808"/>
      <c r="N204" s="808"/>
      <c r="O204" s="808"/>
      <c r="P204" s="808"/>
      <c r="Q204" s="808"/>
      <c r="R204" s="808"/>
      <c r="S204" s="808"/>
      <c r="T204" s="808"/>
      <c r="U204" s="808"/>
      <c r="V204" s="808"/>
      <c r="W204" s="808"/>
      <c r="X204" s="808"/>
      <c r="Y204" s="808"/>
      <c r="Z204" s="808"/>
      <c r="AA204" s="808"/>
      <c r="AB204" s="808"/>
      <c r="AC204" s="1128" t="s">
        <v>992</v>
      </c>
      <c r="AD204" s="1726">
        <v>24</v>
      </c>
      <c r="AE204" s="9564"/>
      <c r="AF204" s="9565"/>
      <c r="AG204" s="9565"/>
      <c r="AH204" s="9565"/>
      <c r="AI204" s="9565"/>
      <c r="AJ204" s="9565"/>
      <c r="AK204" s="461"/>
      <c r="AL204" s="1376"/>
      <c r="AM204" s="1376"/>
      <c r="AN204" s="808"/>
    </row>
    <row r="205" spans="1:52" ht="16.5" customHeight="1">
      <c r="A205" s="461"/>
      <c r="B205" s="808"/>
      <c r="C205" s="3644" t="s">
        <v>4389</v>
      </c>
      <c r="D205" s="2645" t="s">
        <v>4390</v>
      </c>
      <c r="E205" s="2112"/>
      <c r="F205" s="808"/>
      <c r="G205" s="808"/>
      <c r="H205" s="808"/>
      <c r="I205" s="808"/>
      <c r="J205" s="808"/>
      <c r="K205" s="808"/>
      <c r="L205" s="808"/>
      <c r="M205" s="808"/>
      <c r="N205" s="808"/>
      <c r="O205" s="808"/>
      <c r="P205" s="808"/>
      <c r="Q205" s="808"/>
      <c r="R205" s="808"/>
      <c r="S205" s="808"/>
      <c r="T205" s="808"/>
      <c r="U205" s="808"/>
      <c r="V205" s="808"/>
      <c r="W205" s="808"/>
      <c r="X205" s="808"/>
      <c r="Y205" s="808"/>
      <c r="Z205" s="808"/>
      <c r="AA205" s="808"/>
      <c r="AB205" s="808"/>
      <c r="AC205" s="2760" t="s">
        <v>930</v>
      </c>
      <c r="AD205" s="1726" t="s">
        <v>758</v>
      </c>
      <c r="AE205" s="9574" t="str">
        <f>IF(AE195="","",IF(NOT(AM198),MAX(0,SUM(AE202,-AE204)),""))</f>
        <v/>
      </c>
      <c r="AF205" s="9575"/>
      <c r="AG205" s="9575"/>
      <c r="AH205" s="9575"/>
      <c r="AI205" s="9575"/>
      <c r="AJ205" s="9575"/>
      <c r="AK205" s="461"/>
      <c r="AL205" s="808"/>
      <c r="AM205" s="808"/>
      <c r="AN205" s="808"/>
      <c r="AY205" s="1281"/>
      <c r="AZ205" s="1281"/>
    </row>
    <row r="206" spans="1:52" ht="16.5" customHeight="1">
      <c r="A206" s="461"/>
      <c r="B206" s="808"/>
      <c r="C206" s="3645" t="s">
        <v>644</v>
      </c>
      <c r="D206" s="2112" t="str">
        <f>"Enter the amount on line 25a attributable to qualified disaster distributions, if any, from "&amp;TaxYear&amp;" Form(s)"</f>
        <v>Enter the amount on line 25a attributable to qualified disaster distributions, if any, from 2023 Form(s)</v>
      </c>
      <c r="E206" s="2112"/>
      <c r="F206" s="808"/>
      <c r="G206" s="808"/>
      <c r="H206" s="808"/>
      <c r="I206" s="808"/>
      <c r="J206" s="808"/>
      <c r="K206" s="808"/>
      <c r="L206" s="808"/>
      <c r="M206" s="808"/>
      <c r="N206" s="808"/>
      <c r="O206" s="808"/>
      <c r="P206" s="808"/>
      <c r="Q206" s="808"/>
      <c r="R206" s="808"/>
      <c r="S206" s="808"/>
      <c r="T206" s="808"/>
      <c r="U206" s="808"/>
      <c r="V206" s="808"/>
      <c r="W206" s="808"/>
      <c r="X206" s="808"/>
      <c r="Y206" s="808"/>
      <c r="Z206" s="2112"/>
      <c r="AA206" s="808"/>
      <c r="AB206" s="808"/>
      <c r="AC206" s="1151"/>
      <c r="AD206" s="1126"/>
      <c r="AE206" s="808"/>
      <c r="AF206" s="808"/>
      <c r="AG206" s="808"/>
      <c r="AH206" s="808"/>
      <c r="AI206" s="808"/>
      <c r="AJ206" s="808"/>
      <c r="AK206" s="461"/>
      <c r="AL206" s="808"/>
      <c r="AM206" s="808"/>
      <c r="AN206" s="808"/>
    </row>
    <row r="207" spans="1:52" ht="16.5" customHeight="1">
      <c r="A207" s="461"/>
      <c r="B207" s="808"/>
      <c r="C207" s="3045"/>
      <c r="D207" s="2112" t="str">
        <f>"8915-F (see instructions).   Also, enter this amount on "&amp;TaxYear&amp;" Form(s) 8915-F, line 19, as applicable (see"</f>
        <v>8915-F (see instructions).   Also, enter this amount on 2023 Form(s) 8915-F, line 19, as applicable (see</v>
      </c>
      <c r="E207" s="1461"/>
      <c r="F207" s="1461"/>
      <c r="G207" s="1461"/>
      <c r="H207" s="808"/>
      <c r="I207" s="808"/>
      <c r="J207" s="808"/>
      <c r="K207" s="808"/>
      <c r="L207" s="808"/>
      <c r="M207" s="808"/>
      <c r="N207" s="808"/>
      <c r="O207" s="808"/>
      <c r="P207" s="808"/>
      <c r="Q207" s="808"/>
      <c r="R207" s="808"/>
      <c r="S207" s="808"/>
      <c r="T207" s="808"/>
      <c r="U207" s="808"/>
      <c r="V207" s="808"/>
      <c r="W207" s="808"/>
      <c r="X207" s="2448"/>
      <c r="Y207" s="2112"/>
      <c r="Z207" s="808"/>
      <c r="AA207" s="2112"/>
      <c r="AB207" s="2112"/>
      <c r="AC207" s="4566"/>
      <c r="AD207" s="1126"/>
      <c r="AE207" s="808"/>
      <c r="AF207" s="808"/>
      <c r="AG207" s="808"/>
      <c r="AH207" s="808"/>
      <c r="AI207" s="808"/>
      <c r="AJ207" s="808"/>
      <c r="AK207" s="461"/>
      <c r="AL207" s="808"/>
      <c r="AM207" s="808"/>
      <c r="AN207" s="808"/>
    </row>
    <row r="208" spans="1:52" ht="16.5" customHeight="1">
      <c r="A208" s="461"/>
      <c r="B208" s="808"/>
      <c r="C208" s="3045"/>
      <c r="D208" s="2112" t="s">
        <v>943</v>
      </c>
      <c r="E208" s="1461"/>
      <c r="F208" s="1461"/>
      <c r="G208" s="1461"/>
      <c r="H208" s="1461"/>
      <c r="I208" s="808"/>
      <c r="J208" s="808"/>
      <c r="K208" s="2112"/>
      <c r="L208" s="808"/>
      <c r="M208" s="808"/>
      <c r="N208" s="808"/>
      <c r="O208" s="808"/>
      <c r="P208" s="808"/>
      <c r="Q208" s="808"/>
      <c r="R208" s="808"/>
      <c r="S208" s="808"/>
      <c r="T208" s="808"/>
      <c r="U208" s="808"/>
      <c r="V208" s="808"/>
      <c r="W208" s="808"/>
      <c r="X208" s="808"/>
      <c r="Y208" s="808"/>
      <c r="Z208" s="808"/>
      <c r="AA208" s="808"/>
      <c r="AB208" s="808"/>
      <c r="AC208" s="1128" t="s">
        <v>1328</v>
      </c>
      <c r="AD208" s="1726" t="s">
        <v>760</v>
      </c>
      <c r="AE208" s="9564"/>
      <c r="AF208" s="9565"/>
      <c r="AG208" s="9565"/>
      <c r="AH208" s="9565"/>
      <c r="AI208" s="9565"/>
      <c r="AJ208" s="9565"/>
      <c r="AK208" s="461"/>
      <c r="AL208" s="1376"/>
      <c r="AM208" s="1376"/>
      <c r="AN208" s="808"/>
    </row>
    <row r="209" spans="1:52" ht="16.5" customHeight="1">
      <c r="A209" s="461"/>
      <c r="B209" s="808"/>
      <c r="C209" s="3645" t="s">
        <v>648</v>
      </c>
      <c r="D209" s="1145" t="s">
        <v>4379</v>
      </c>
      <c r="E209" s="1461"/>
      <c r="F209" s="1461"/>
      <c r="G209" s="1461"/>
      <c r="H209" s="808"/>
      <c r="I209" s="2112" t="str">
        <f>"Subtract line 25b from line 25a. If more than zero, also include this amount on "&amp;TaxYear</f>
        <v>Subtract line 25b from line 25a. If more than zero, also include this amount on 2023</v>
      </c>
      <c r="J209" s="808"/>
      <c r="K209" s="808"/>
      <c r="L209" s="808"/>
      <c r="M209" s="808"/>
      <c r="N209" s="808"/>
      <c r="O209" s="808"/>
      <c r="P209" s="808"/>
      <c r="Q209" s="808"/>
      <c r="R209" s="808"/>
      <c r="S209" s="808"/>
      <c r="T209" s="808"/>
      <c r="U209" s="808"/>
      <c r="V209" s="808"/>
      <c r="W209" s="808"/>
      <c r="X209" s="808"/>
      <c r="Y209" s="808"/>
      <c r="Z209" s="808"/>
      <c r="AA209" s="808"/>
      <c r="AB209" s="808"/>
      <c r="AC209" s="808"/>
      <c r="AD209" s="1126"/>
      <c r="AE209" s="808"/>
      <c r="AF209" s="808"/>
      <c r="AG209" s="808"/>
      <c r="AH209" s="808"/>
      <c r="AI209" s="808"/>
      <c r="AJ209" s="808"/>
      <c r="AK209" s="461"/>
      <c r="AL209" s="808"/>
      <c r="AM209" s="808"/>
      <c r="AN209" s="808"/>
    </row>
    <row r="210" spans="1:52" ht="16.5" customHeight="1" thickBot="1">
      <c r="A210" s="461"/>
      <c r="B210" s="896"/>
      <c r="C210" s="3647"/>
      <c r="D210" s="2122" t="s">
        <v>4391</v>
      </c>
      <c r="E210" s="3595"/>
      <c r="F210" s="3595"/>
      <c r="G210" s="3595"/>
      <c r="H210" s="3595"/>
      <c r="I210" s="896"/>
      <c r="J210" s="896"/>
      <c r="K210" s="896"/>
      <c r="L210" s="896"/>
      <c r="M210" s="896"/>
      <c r="N210" s="896"/>
      <c r="O210" s="896"/>
      <c r="P210" s="896"/>
      <c r="Q210" s="896"/>
      <c r="R210" s="896"/>
      <c r="S210" s="896"/>
      <c r="T210" s="896"/>
      <c r="U210" s="896"/>
      <c r="V210" s="896"/>
      <c r="W210" s="896"/>
      <c r="X210" s="896"/>
      <c r="Y210" s="896"/>
      <c r="Z210" s="896"/>
      <c r="AA210" s="896"/>
      <c r="AB210" s="896"/>
      <c r="AC210" s="3614" t="s">
        <v>1009</v>
      </c>
      <c r="AD210" s="3516" t="s">
        <v>765</v>
      </c>
      <c r="AE210" s="9592" t="str">
        <f>IF(AE195="","",IF(NOT(AM198),MAX(0,SUM(AE205,-AE208)),""))</f>
        <v/>
      </c>
      <c r="AF210" s="9652"/>
      <c r="AG210" s="9652"/>
      <c r="AH210" s="9652"/>
      <c r="AI210" s="9652"/>
      <c r="AJ210" s="9652"/>
      <c r="AK210" s="461"/>
      <c r="AL210" s="1376"/>
      <c r="AM210" s="1376"/>
      <c r="AN210" s="808"/>
    </row>
    <row r="211" spans="1:52" s="2690" customFormat="1" ht="12" customHeight="1">
      <c r="A211" s="461"/>
      <c r="B211" s="9603" t="s">
        <v>4392</v>
      </c>
      <c r="C211" s="9603"/>
      <c r="D211" s="9603"/>
      <c r="E211" s="9603"/>
      <c r="F211" s="9603"/>
      <c r="G211" s="9603"/>
      <c r="H211" s="9604"/>
      <c r="I211" s="1714" t="s">
        <v>4393</v>
      </c>
      <c r="J211" s="2449"/>
      <c r="K211" s="2449"/>
      <c r="L211" s="2449"/>
      <c r="M211" s="2449"/>
      <c r="N211" s="2449"/>
      <c r="O211" s="892"/>
      <c r="P211" s="892"/>
      <c r="Q211" s="892"/>
      <c r="R211" s="892"/>
      <c r="S211" s="892"/>
      <c r="T211" s="892"/>
      <c r="U211" s="3622"/>
      <c r="V211" s="2449"/>
      <c r="W211" s="2449"/>
      <c r="X211" s="2449"/>
      <c r="Y211" s="2449"/>
      <c r="Z211" s="2449"/>
      <c r="AA211" s="2449"/>
      <c r="AB211" s="2449"/>
      <c r="AC211" s="2449"/>
      <c r="AD211" s="2449"/>
      <c r="AE211" s="2449"/>
      <c r="AF211" s="892"/>
      <c r="AG211" s="892"/>
      <c r="AH211" s="892"/>
      <c r="AI211" s="892"/>
      <c r="AJ211" s="892"/>
      <c r="AK211" s="461"/>
      <c r="AL211" s="808"/>
      <c r="AM211" s="808"/>
      <c r="AN211" s="808"/>
      <c r="AO211" s="2038"/>
      <c r="AP211" s="2038"/>
      <c r="AQ211" s="2038"/>
      <c r="AR211" s="2038"/>
      <c r="AS211" s="2038"/>
      <c r="AT211" s="2038"/>
      <c r="AU211" s="2038"/>
      <c r="AV211" s="2038"/>
      <c r="AW211" s="2038"/>
      <c r="AX211" s="2038"/>
      <c r="AY211" s="39"/>
      <c r="AZ211" s="39"/>
    </row>
    <row r="212" spans="1:52" s="2690" customFormat="1" ht="14.25">
      <c r="A212" s="461"/>
      <c r="B212" s="9605"/>
      <c r="C212" s="9605"/>
      <c r="D212" s="9605"/>
      <c r="E212" s="9605"/>
      <c r="F212" s="9605"/>
      <c r="G212" s="9605"/>
      <c r="H212" s="9606"/>
      <c r="I212" s="4934" t="s">
        <v>4394</v>
      </c>
      <c r="J212" s="2449"/>
      <c r="K212" s="2449"/>
      <c r="L212" s="2449"/>
      <c r="M212" s="2449"/>
      <c r="N212" s="2449"/>
      <c r="O212" s="3623"/>
      <c r="P212" s="892"/>
      <c r="Q212" s="892"/>
      <c r="R212" s="3623"/>
      <c r="S212" s="892"/>
      <c r="T212" s="892"/>
      <c r="U212" s="892"/>
      <c r="V212" s="2449"/>
      <c r="W212" s="2449"/>
      <c r="X212" s="2449"/>
      <c r="Y212" s="2449"/>
      <c r="Z212" s="2449"/>
      <c r="AA212" s="2449"/>
      <c r="AB212" s="2449"/>
      <c r="AC212" s="2449"/>
      <c r="AD212" s="2449"/>
      <c r="AE212" s="2449"/>
      <c r="AF212" s="3623"/>
      <c r="AG212" s="892"/>
      <c r="AH212" s="892"/>
      <c r="AI212" s="3623"/>
      <c r="AJ212" s="892"/>
      <c r="AK212" s="461"/>
      <c r="AL212" s="808"/>
      <c r="AM212" s="808"/>
      <c r="AN212" s="808"/>
      <c r="AO212" s="2038"/>
      <c r="AP212" s="2038"/>
      <c r="AQ212" s="2038"/>
      <c r="AR212" s="2038"/>
      <c r="AS212" s="2038"/>
      <c r="AT212" s="2038"/>
      <c r="AU212" s="2038"/>
      <c r="AV212" s="2038"/>
      <c r="AW212" s="2038"/>
      <c r="AX212" s="2038"/>
      <c r="AY212" s="39"/>
      <c r="AZ212" s="39"/>
    </row>
    <row r="213" spans="1:52" s="2690" customFormat="1" ht="15.75" customHeight="1">
      <c r="A213" s="461"/>
      <c r="B213" s="3174" t="s">
        <v>4395</v>
      </c>
      <c r="C213" s="3045"/>
      <c r="D213" s="1108"/>
      <c r="E213" s="2450"/>
      <c r="F213" s="2450"/>
      <c r="G213" s="2450"/>
      <c r="H213" s="3648"/>
      <c r="I213" s="2449"/>
      <c r="J213" s="2449"/>
      <c r="K213" s="2449"/>
      <c r="L213" s="2449"/>
      <c r="M213" s="2449"/>
      <c r="N213" s="2449"/>
      <c r="O213" s="892"/>
      <c r="P213" s="892"/>
      <c r="Q213" s="892"/>
      <c r="R213" s="892"/>
      <c r="S213" s="892"/>
      <c r="T213" s="892"/>
      <c r="U213" s="892"/>
      <c r="V213" s="2449"/>
      <c r="W213" s="2449"/>
      <c r="X213" s="2449"/>
      <c r="Y213" s="2449"/>
      <c r="Z213" s="2449"/>
      <c r="AA213" s="2449"/>
      <c r="AB213" s="2449"/>
      <c r="AC213" s="2449"/>
      <c r="AD213" s="2449"/>
      <c r="AE213" s="2449"/>
      <c r="AF213" s="892"/>
      <c r="AG213" s="892"/>
      <c r="AH213" s="892"/>
      <c r="AI213" s="892"/>
      <c r="AJ213" s="892"/>
      <c r="AK213" s="461"/>
      <c r="AL213" s="808"/>
      <c r="AM213" s="808"/>
      <c r="AN213" s="808"/>
      <c r="AO213" s="2042"/>
      <c r="AP213" s="2042"/>
      <c r="AQ213" s="2042"/>
      <c r="AR213" s="2042"/>
      <c r="AS213" s="2042"/>
      <c r="AT213" s="2042"/>
      <c r="AU213" s="2042"/>
      <c r="AV213" s="2042"/>
      <c r="AW213" s="2042"/>
      <c r="AX213" s="2042"/>
      <c r="AY213" s="39"/>
      <c r="AZ213" s="39"/>
    </row>
    <row r="214" spans="1:52" s="2690" customFormat="1" ht="15.75" customHeight="1">
      <c r="A214" s="461"/>
      <c r="B214" s="3174" t="s">
        <v>4396</v>
      </c>
      <c r="C214" s="3045"/>
      <c r="D214" s="3619"/>
      <c r="E214" s="2450"/>
      <c r="F214" s="2450"/>
      <c r="G214" s="2450"/>
      <c r="H214" s="3648"/>
      <c r="I214" s="2449"/>
      <c r="J214" s="2449"/>
      <c r="K214" s="2449"/>
      <c r="L214" s="2449"/>
      <c r="M214" s="2449"/>
      <c r="N214" s="2449"/>
      <c r="O214" s="892"/>
      <c r="P214" s="892"/>
      <c r="Q214" s="892"/>
      <c r="R214" s="892"/>
      <c r="S214" s="892"/>
      <c r="T214" s="892"/>
      <c r="U214" s="3624"/>
      <c r="V214" s="2449"/>
      <c r="W214" s="2449"/>
      <c r="X214" s="2449"/>
      <c r="Y214" s="2449"/>
      <c r="Z214" s="2449"/>
      <c r="AA214" s="2449"/>
      <c r="AB214" s="2449"/>
      <c r="AC214" s="2449"/>
      <c r="AD214" s="9675"/>
      <c r="AE214" s="9675"/>
      <c r="AF214" s="9675"/>
      <c r="AG214" s="9675"/>
      <c r="AH214" s="9675"/>
      <c r="AI214" s="9675"/>
      <c r="AJ214" s="9675"/>
      <c r="AK214" s="461"/>
      <c r="AL214" s="808"/>
      <c r="AM214" s="808"/>
      <c r="AN214" s="808"/>
      <c r="AO214" s="2038"/>
      <c r="AP214" s="2038"/>
      <c r="AQ214" s="2038"/>
      <c r="AR214" s="2038"/>
      <c r="AS214" s="2038"/>
      <c r="AT214" s="2038"/>
      <c r="AU214" s="2038"/>
      <c r="AV214" s="2038"/>
      <c r="AW214" s="2038"/>
      <c r="AX214" s="2038"/>
      <c r="AY214" s="39"/>
      <c r="AZ214" s="39"/>
    </row>
    <row r="215" spans="1:52" s="2690" customFormat="1" ht="15.75" customHeight="1">
      <c r="A215" s="461"/>
      <c r="B215" s="3174" t="s">
        <v>4397</v>
      </c>
      <c r="C215" s="3045"/>
      <c r="D215" s="1108"/>
      <c r="E215" s="2450"/>
      <c r="F215" s="2450"/>
      <c r="G215" s="2450"/>
      <c r="H215" s="3648"/>
      <c r="I215" s="3635"/>
      <c r="J215" s="2488"/>
      <c r="K215" s="2488"/>
      <c r="L215" s="2488"/>
      <c r="M215" s="2488"/>
      <c r="N215" s="2488"/>
      <c r="O215" s="3637"/>
      <c r="P215" s="1260"/>
      <c r="Q215" s="1260"/>
      <c r="R215" s="3637"/>
      <c r="S215" s="1260"/>
      <c r="T215" s="1260"/>
      <c r="U215" s="1260"/>
      <c r="V215" s="2488"/>
      <c r="W215" s="2488"/>
      <c r="X215" s="2488"/>
      <c r="Y215" s="2488"/>
      <c r="Z215" s="2488"/>
      <c r="AA215" s="2488"/>
      <c r="AB215" s="2449"/>
      <c r="AC215" s="2449"/>
      <c r="AD215" s="9676"/>
      <c r="AE215" s="9676"/>
      <c r="AF215" s="9676"/>
      <c r="AG215" s="9676"/>
      <c r="AH215" s="9676"/>
      <c r="AI215" s="9676"/>
      <c r="AJ215" s="9676"/>
      <c r="AK215" s="461"/>
      <c r="AL215" s="808"/>
      <c r="AM215" s="808"/>
      <c r="AN215" s="808"/>
      <c r="AO215" s="2038"/>
      <c r="AP215" s="2038"/>
      <c r="AQ215" s="2038"/>
      <c r="AR215" s="2038"/>
      <c r="AS215" s="2038"/>
      <c r="AT215" s="2038"/>
      <c r="AU215" s="2038"/>
      <c r="AV215" s="2038"/>
      <c r="AW215" s="2038"/>
      <c r="AX215" s="2038"/>
      <c r="AY215" s="39"/>
      <c r="AZ215" s="39"/>
    </row>
    <row r="216" spans="1:52" s="2690" customFormat="1" ht="11.25" customHeight="1">
      <c r="A216" s="461"/>
      <c r="B216" s="1260"/>
      <c r="C216" s="3618"/>
      <c r="D216" s="1260"/>
      <c r="E216" s="2488"/>
      <c r="F216" s="2488"/>
      <c r="G216" s="2488"/>
      <c r="H216" s="3634"/>
      <c r="I216" s="3636"/>
      <c r="J216" s="1719" t="s">
        <v>828</v>
      </c>
      <c r="K216" s="2488"/>
      <c r="L216" s="2488"/>
      <c r="M216" s="2488"/>
      <c r="N216" s="2488"/>
      <c r="O216" s="1260"/>
      <c r="P216" s="1260"/>
      <c r="Q216" s="1260"/>
      <c r="R216" s="1260"/>
      <c r="S216" s="1260"/>
      <c r="T216" s="1260"/>
      <c r="U216" s="1260"/>
      <c r="V216" s="2488"/>
      <c r="W216" s="2488"/>
      <c r="X216" s="2488"/>
      <c r="Y216" s="2488"/>
      <c r="Z216" s="2488"/>
      <c r="AA216" s="2488"/>
      <c r="AB216" s="2488"/>
      <c r="AC216" s="2488"/>
      <c r="AD216" s="1719" t="s">
        <v>251</v>
      </c>
      <c r="AE216" s="2488"/>
      <c r="AF216" s="1260"/>
      <c r="AG216" s="1260"/>
      <c r="AH216" s="1260"/>
      <c r="AI216" s="1260"/>
      <c r="AJ216" s="1260"/>
      <c r="AK216" s="461"/>
      <c r="AL216" s="808"/>
      <c r="AM216" s="808"/>
      <c r="AN216" s="808"/>
      <c r="AO216" s="2038"/>
      <c r="AP216" s="2038"/>
      <c r="AQ216" s="2038"/>
      <c r="AR216" s="2038"/>
      <c r="AS216" s="2038"/>
      <c r="AT216" s="2038"/>
      <c r="AU216" s="2038"/>
      <c r="AV216" s="2038"/>
      <c r="AW216" s="2038"/>
      <c r="AX216" s="2038"/>
      <c r="AY216" s="39"/>
      <c r="AZ216" s="39"/>
    </row>
    <row r="217" spans="1:52" s="2690" customFormat="1" ht="12.75" customHeight="1">
      <c r="A217" s="461"/>
      <c r="B217" s="9628" t="s">
        <v>4398</v>
      </c>
      <c r="C217" s="9628"/>
      <c r="D217" s="9628"/>
      <c r="E217" s="9629"/>
      <c r="F217" s="2456" t="s">
        <v>4399</v>
      </c>
      <c r="G217" s="3616"/>
      <c r="H217" s="3616"/>
      <c r="I217" s="3616"/>
      <c r="J217" s="3616"/>
      <c r="K217" s="3616"/>
      <c r="L217" s="3616"/>
      <c r="M217" s="3616"/>
      <c r="N217" s="3616"/>
      <c r="O217" s="3617"/>
      <c r="P217" s="2456" t="s">
        <v>4400</v>
      </c>
      <c r="Q217" s="3616"/>
      <c r="R217" s="3616"/>
      <c r="S217" s="3616"/>
      <c r="T217" s="1259"/>
      <c r="U217" s="3638"/>
      <c r="V217" s="3616"/>
      <c r="W217" s="3616"/>
      <c r="X217" s="3616"/>
      <c r="Y217" s="3617"/>
      <c r="Z217" s="2456" t="s">
        <v>4401</v>
      </c>
      <c r="AA217" s="3616"/>
      <c r="AB217" s="3616"/>
      <c r="AC217" s="3617"/>
      <c r="AD217" s="2456" t="s">
        <v>4402</v>
      </c>
      <c r="AE217" s="3616"/>
      <c r="AF217" s="3616" t="s">
        <v>4403</v>
      </c>
      <c r="AG217" s="2456" t="s">
        <v>4404</v>
      </c>
      <c r="AH217" s="3616"/>
      <c r="AI217" s="3616"/>
      <c r="AJ217" s="3616"/>
      <c r="AK217" s="461"/>
      <c r="AL217" s="808"/>
      <c r="AM217" s="808"/>
      <c r="AN217" s="808"/>
      <c r="AO217" s="2038"/>
      <c r="AP217" s="2038"/>
      <c r="AQ217" s="2038"/>
      <c r="AR217" s="2038"/>
      <c r="AS217" s="2038"/>
      <c r="AT217" s="2038"/>
      <c r="AU217" s="2038"/>
      <c r="AV217" s="2038"/>
      <c r="AW217" s="2038"/>
      <c r="AX217" s="2038"/>
      <c r="AY217" s="39"/>
      <c r="AZ217" s="39"/>
    </row>
    <row r="218" spans="1:52" s="2690" customFormat="1" ht="13.5" customHeight="1">
      <c r="A218" s="461"/>
      <c r="B218" s="9630"/>
      <c r="C218" s="9630"/>
      <c r="D218" s="9630"/>
      <c r="E218" s="9631"/>
      <c r="F218" s="9634"/>
      <c r="G218" s="9635"/>
      <c r="H218" s="9635"/>
      <c r="I218" s="9635"/>
      <c r="J218" s="9635"/>
      <c r="K218" s="9635"/>
      <c r="L218" s="9635"/>
      <c r="M218" s="9635"/>
      <c r="N218" s="9635"/>
      <c r="O218" s="9636"/>
      <c r="P218" s="3635"/>
      <c r="Q218" s="2449"/>
      <c r="R218" s="2449"/>
      <c r="S218" s="2449"/>
      <c r="T218" s="892"/>
      <c r="U218" s="892"/>
      <c r="V218" s="2449"/>
      <c r="W218" s="2449"/>
      <c r="X218" s="2449"/>
      <c r="Y218" s="3596"/>
      <c r="Z218" s="9639"/>
      <c r="AA218" s="9640"/>
      <c r="AB218" s="9640"/>
      <c r="AC218" s="9641"/>
      <c r="AD218" s="2340"/>
      <c r="AE218" s="1114"/>
      <c r="AF218" s="2449"/>
      <c r="AG218" s="9645"/>
      <c r="AH218" s="9646"/>
      <c r="AI218" s="9646"/>
      <c r="AJ218" s="9646"/>
      <c r="AK218" s="461"/>
      <c r="AL218" s="808"/>
      <c r="AM218" s="808"/>
      <c r="AN218" s="808"/>
      <c r="AO218" s="2038"/>
      <c r="AP218" s="2038"/>
      <c r="AQ218" s="2038"/>
      <c r="AR218" s="2038"/>
      <c r="AS218" s="2038"/>
      <c r="AT218" s="2038"/>
      <c r="AU218" s="2038"/>
      <c r="AV218" s="2038"/>
      <c r="AW218" s="2038"/>
      <c r="AX218" s="2038"/>
      <c r="AY218" s="39"/>
      <c r="AZ218" s="39"/>
    </row>
    <row r="219" spans="1:52" s="2690" customFormat="1" ht="13.5" customHeight="1">
      <c r="A219" s="461"/>
      <c r="B219" s="9630"/>
      <c r="C219" s="9630"/>
      <c r="D219" s="9630"/>
      <c r="E219" s="9631"/>
      <c r="F219" s="9637"/>
      <c r="G219" s="6632"/>
      <c r="H219" s="6632"/>
      <c r="I219" s="6632"/>
      <c r="J219" s="6632"/>
      <c r="K219" s="6632"/>
      <c r="L219" s="6632"/>
      <c r="M219" s="6632"/>
      <c r="N219" s="6632"/>
      <c r="O219" s="9638"/>
      <c r="P219" s="3636"/>
      <c r="Q219" s="2488"/>
      <c r="R219" s="2488"/>
      <c r="S219" s="2488"/>
      <c r="T219" s="1260"/>
      <c r="U219" s="1260"/>
      <c r="V219" s="2488"/>
      <c r="W219" s="2488"/>
      <c r="X219" s="2488"/>
      <c r="Y219" s="3634"/>
      <c r="Z219" s="9642"/>
      <c r="AA219" s="9643"/>
      <c r="AB219" s="9643"/>
      <c r="AC219" s="9644"/>
      <c r="AD219" s="3023" t="s">
        <v>4405</v>
      </c>
      <c r="AE219" s="2488"/>
      <c r="AF219" s="2488"/>
      <c r="AG219" s="9647"/>
      <c r="AH219" s="9648"/>
      <c r="AI219" s="9648"/>
      <c r="AJ219" s="9648"/>
      <c r="AK219" s="461"/>
      <c r="AL219" s="808"/>
      <c r="AM219" s="808"/>
      <c r="AN219" s="808"/>
      <c r="AO219" s="2038"/>
      <c r="AP219" s="2038"/>
      <c r="AQ219" s="2038"/>
      <c r="AR219" s="2038"/>
      <c r="AS219" s="2038"/>
      <c r="AT219" s="2038"/>
      <c r="AU219" s="2038"/>
      <c r="AV219" s="2038"/>
      <c r="AW219" s="2038"/>
      <c r="AX219" s="2038"/>
      <c r="AY219" s="39"/>
      <c r="AZ219" s="39"/>
    </row>
    <row r="220" spans="1:52" s="2690" customFormat="1" ht="14.25" customHeight="1">
      <c r="A220" s="461"/>
      <c r="B220" s="9630"/>
      <c r="C220" s="9630"/>
      <c r="D220" s="9630"/>
      <c r="E220" s="9631"/>
      <c r="F220" s="3639" t="s">
        <v>4406</v>
      </c>
      <c r="G220" s="3640"/>
      <c r="H220" s="3641"/>
      <c r="I220" s="3641"/>
      <c r="J220" s="3641"/>
      <c r="K220" s="9649"/>
      <c r="L220" s="9649"/>
      <c r="M220" s="9649"/>
      <c r="N220" s="9649"/>
      <c r="O220" s="9649"/>
      <c r="P220" s="9649"/>
      <c r="Q220" s="9649"/>
      <c r="R220" s="9649"/>
      <c r="S220" s="9649"/>
      <c r="T220" s="9649"/>
      <c r="U220" s="9649"/>
      <c r="V220" s="9649"/>
      <c r="W220" s="9649"/>
      <c r="X220" s="9649"/>
      <c r="Y220" s="9649"/>
      <c r="Z220" s="9649"/>
      <c r="AA220" s="9649"/>
      <c r="AB220" s="9649"/>
      <c r="AC220" s="9649"/>
      <c r="AD220" s="3639" t="s">
        <v>4407</v>
      </c>
      <c r="AE220" s="3641"/>
      <c r="AF220" s="2188"/>
      <c r="AG220" s="7361"/>
      <c r="AH220" s="7361"/>
      <c r="AI220" s="7361"/>
      <c r="AJ220" s="7361"/>
      <c r="AK220" s="461"/>
      <c r="AL220" s="808"/>
      <c r="AM220" s="808"/>
      <c r="AN220" s="808"/>
      <c r="AO220" s="2038"/>
      <c r="AP220" s="2038"/>
      <c r="AQ220" s="2038"/>
      <c r="AR220" s="2038"/>
      <c r="AS220" s="2038"/>
      <c r="AT220" s="2038"/>
      <c r="AU220" s="2038"/>
      <c r="AV220" s="2038"/>
      <c r="AW220" s="2038"/>
      <c r="AX220" s="2038"/>
      <c r="AY220" s="39"/>
      <c r="AZ220" s="39"/>
    </row>
    <row r="221" spans="1:52" s="2690" customFormat="1" ht="14.25" customHeight="1" thickBot="1">
      <c r="A221" s="461"/>
      <c r="B221" s="9632"/>
      <c r="C221" s="9632"/>
      <c r="D221" s="9632"/>
      <c r="E221" s="9633"/>
      <c r="F221" s="3642" t="s">
        <v>4408</v>
      </c>
      <c r="G221" s="3643"/>
      <c r="H221" s="3643"/>
      <c r="I221" s="3643"/>
      <c r="J221" s="3643"/>
      <c r="K221" s="9650"/>
      <c r="L221" s="9650"/>
      <c r="M221" s="9650"/>
      <c r="N221" s="9650"/>
      <c r="O221" s="9650"/>
      <c r="P221" s="9650"/>
      <c r="Q221" s="9650"/>
      <c r="R221" s="9650"/>
      <c r="S221" s="9650"/>
      <c r="T221" s="9650"/>
      <c r="U221" s="9650"/>
      <c r="V221" s="9650"/>
      <c r="W221" s="9650"/>
      <c r="X221" s="9650"/>
      <c r="Y221" s="9650"/>
      <c r="Z221" s="9650"/>
      <c r="AA221" s="9650"/>
      <c r="AB221" s="9650"/>
      <c r="AC221" s="9650"/>
      <c r="AD221" s="3642" t="s">
        <v>4409</v>
      </c>
      <c r="AE221" s="3643"/>
      <c r="AF221" s="3643"/>
      <c r="AG221" s="9651"/>
      <c r="AH221" s="9651"/>
      <c r="AI221" s="9651"/>
      <c r="AJ221" s="9651"/>
      <c r="AK221" s="461"/>
      <c r="AL221" s="808"/>
      <c r="AM221" s="808"/>
      <c r="AN221" s="808"/>
      <c r="AO221" s="2038"/>
      <c r="AP221" s="2038"/>
      <c r="AQ221" s="2038"/>
      <c r="AR221" s="2038"/>
      <c r="AS221" s="2038"/>
      <c r="AT221" s="2038"/>
      <c r="AU221" s="2038"/>
      <c r="AV221" s="2038"/>
      <c r="AW221" s="2038"/>
      <c r="AX221" s="2038"/>
      <c r="AY221" s="39"/>
      <c r="AZ221" s="39"/>
    </row>
    <row r="222" spans="1:52" s="2690" customFormat="1" ht="16.5" thickTop="1">
      <c r="A222" s="461"/>
      <c r="B222" s="1262"/>
      <c r="C222" s="1325"/>
      <c r="D222" s="61"/>
      <c r="E222" s="61"/>
      <c r="F222" s="61"/>
      <c r="G222" s="61"/>
      <c r="H222" s="61"/>
      <c r="I222" s="61"/>
      <c r="J222" s="61"/>
      <c r="K222" s="61"/>
      <c r="L222" s="61"/>
      <c r="M222" s="61"/>
      <c r="N222" s="61"/>
      <c r="O222" s="61"/>
      <c r="P222" s="61"/>
      <c r="Q222" s="22"/>
      <c r="R222" s="22"/>
      <c r="S222" s="22"/>
      <c r="T222" s="22"/>
      <c r="U222" s="337"/>
      <c r="V222" s="22"/>
      <c r="W222" s="337"/>
      <c r="X222" s="22"/>
      <c r="Y222" s="22"/>
      <c r="Z222" s="22"/>
      <c r="AA222" s="22"/>
      <c r="AB222" s="22"/>
      <c r="AC222" s="22"/>
      <c r="AD222" s="22"/>
      <c r="AE222" s="22"/>
      <c r="AF222" s="22"/>
      <c r="AG222" s="22"/>
      <c r="AH222" s="705" t="s">
        <v>4410</v>
      </c>
      <c r="AI222" s="22"/>
      <c r="AJ222" s="705" t="str">
        <f>"("&amp;TaxYear&amp;")"</f>
        <v>(2023)</v>
      </c>
      <c r="AK222" s="461"/>
      <c r="AL222" s="1461"/>
      <c r="AM222" s="1461"/>
      <c r="AN222" s="808"/>
      <c r="AO222" s="2038"/>
      <c r="AP222" s="2038"/>
      <c r="AQ222" s="2038"/>
      <c r="AR222" s="2038"/>
      <c r="AS222" s="2038"/>
      <c r="AT222" s="2038"/>
      <c r="AU222" s="2038"/>
      <c r="AV222" s="2038"/>
      <c r="AW222" s="2038"/>
      <c r="AX222" s="2038"/>
      <c r="AY222" s="39"/>
      <c r="AZ222" s="39"/>
    </row>
  </sheetData>
  <sheetProtection password="F07E" sheet="1" objects="1" scenarios="1"/>
  <mergeCells count="169">
    <mergeCell ref="B211:H212"/>
    <mergeCell ref="AE187:AJ187"/>
    <mergeCell ref="B109:E113"/>
    <mergeCell ref="F110:O111"/>
    <mergeCell ref="AG110:AJ111"/>
    <mergeCell ref="AE91:AJ91"/>
    <mergeCell ref="AE199:AJ199"/>
    <mergeCell ref="AD106:AJ107"/>
    <mergeCell ref="AD214:AJ215"/>
    <mergeCell ref="AD122:AJ122"/>
    <mergeCell ref="AE93:AJ93"/>
    <mergeCell ref="AE140:AJ140"/>
    <mergeCell ref="B122:I127"/>
    <mergeCell ref="AE167:AJ167"/>
    <mergeCell ref="AE195:AJ195"/>
    <mergeCell ref="B188:C188"/>
    <mergeCell ref="AE184:AJ184"/>
    <mergeCell ref="Q159:V159"/>
    <mergeCell ref="Z160:AA160"/>
    <mergeCell ref="D115:G116"/>
    <mergeCell ref="B116:C116"/>
    <mergeCell ref="D142:M145"/>
    <mergeCell ref="AE183:AJ183"/>
    <mergeCell ref="AE185:AJ185"/>
    <mergeCell ref="AL124:AN124"/>
    <mergeCell ref="AL125:AN125"/>
    <mergeCell ref="AL126:AN126"/>
    <mergeCell ref="AL122:AN122"/>
    <mergeCell ref="AL123:AN123"/>
    <mergeCell ref="AE94:AJ94"/>
    <mergeCell ref="AE95:AJ95"/>
    <mergeCell ref="AE96:AJ96"/>
    <mergeCell ref="AE97:AJ97"/>
    <mergeCell ref="AE100:AJ100"/>
    <mergeCell ref="AE102:AJ102"/>
    <mergeCell ref="Y121:AJ121"/>
    <mergeCell ref="Z110:AC111"/>
    <mergeCell ref="K113:AC113"/>
    <mergeCell ref="K112:AC112"/>
    <mergeCell ref="AG112:AJ112"/>
    <mergeCell ref="AG113:AJ113"/>
    <mergeCell ref="I115:AB116"/>
    <mergeCell ref="AC115:AJ115"/>
    <mergeCell ref="AC116:AJ117"/>
    <mergeCell ref="AH118:AI119"/>
    <mergeCell ref="I119:AB119"/>
    <mergeCell ref="AD119:AG119"/>
    <mergeCell ref="B121:X121"/>
    <mergeCell ref="AE78:AJ78"/>
    <mergeCell ref="Z52:AA52"/>
    <mergeCell ref="AB52:AC52"/>
    <mergeCell ref="AE76:AJ76"/>
    <mergeCell ref="AL14:AN14"/>
    <mergeCell ref="AL15:AN15"/>
    <mergeCell ref="AL16:AN16"/>
    <mergeCell ref="AL17:AN17"/>
    <mergeCell ref="AL18:AN18"/>
    <mergeCell ref="AE63:AJ63"/>
    <mergeCell ref="AE53:AJ53"/>
    <mergeCell ref="AE65:AJ65"/>
    <mergeCell ref="E20:AJ20"/>
    <mergeCell ref="AE31:AJ31"/>
    <mergeCell ref="AE38:AJ38"/>
    <mergeCell ref="P34:Q35"/>
    <mergeCell ref="AE30:AJ30"/>
    <mergeCell ref="AE32:AJ32"/>
    <mergeCell ref="AE33:AJ33"/>
    <mergeCell ref="P36:Q37"/>
    <mergeCell ref="T36:AC37"/>
    <mergeCell ref="AE58:AJ58"/>
    <mergeCell ref="AE59:AJ59"/>
    <mergeCell ref="AE60:AJ60"/>
    <mergeCell ref="AE39:AJ39"/>
    <mergeCell ref="X48:AC48"/>
    <mergeCell ref="Q51:V51"/>
    <mergeCell ref="X50:AC50"/>
    <mergeCell ref="X57:AC57"/>
    <mergeCell ref="X56:AC56"/>
    <mergeCell ref="Z53:AC53"/>
    <mergeCell ref="X55:AC55"/>
    <mergeCell ref="X42:AC42"/>
    <mergeCell ref="D34:M37"/>
    <mergeCell ref="B217:E221"/>
    <mergeCell ref="F218:O219"/>
    <mergeCell ref="Z218:AC219"/>
    <mergeCell ref="AG218:AJ219"/>
    <mergeCell ref="K220:AC220"/>
    <mergeCell ref="AG220:AJ220"/>
    <mergeCell ref="K221:AC221"/>
    <mergeCell ref="AG221:AJ221"/>
    <mergeCell ref="B128:C128"/>
    <mergeCell ref="AE173:AJ173"/>
    <mergeCell ref="B178:C178"/>
    <mergeCell ref="AE210:AJ210"/>
    <mergeCell ref="AE197:AJ197"/>
    <mergeCell ref="AE198:AJ198"/>
    <mergeCell ref="AE200:AJ200"/>
    <mergeCell ref="AE201:AJ201"/>
    <mergeCell ref="AE202:AJ202"/>
    <mergeCell ref="AE203:AJ203"/>
    <mergeCell ref="AE204:AJ204"/>
    <mergeCell ref="AE205:AJ205"/>
    <mergeCell ref="AE208:AJ208"/>
    <mergeCell ref="AE196:AJ196"/>
    <mergeCell ref="AE166:AJ166"/>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B20:C20"/>
    <mergeCell ref="AE138:AJ138"/>
    <mergeCell ref="AE147:AJ147"/>
    <mergeCell ref="E128:AJ128"/>
    <mergeCell ref="I117:AB118"/>
    <mergeCell ref="B70:C70"/>
    <mergeCell ref="AE75:AJ75"/>
    <mergeCell ref="AE77:AJ77"/>
    <mergeCell ref="AE79:AJ79"/>
    <mergeCell ref="B80:C80"/>
    <mergeCell ref="AE87:AJ87"/>
    <mergeCell ref="AE89:AJ89"/>
    <mergeCell ref="AE88:AJ88"/>
    <mergeCell ref="AE90:AJ90"/>
    <mergeCell ref="J123:AC123"/>
    <mergeCell ref="AE141:AJ141"/>
    <mergeCell ref="P142:Q143"/>
    <mergeCell ref="P144:Q145"/>
    <mergeCell ref="T144:AC145"/>
    <mergeCell ref="AE146:AJ146"/>
    <mergeCell ref="AE92:AJ92"/>
    <mergeCell ref="AE139:AJ139"/>
    <mergeCell ref="B103:H104"/>
    <mergeCell ref="AD118:AG118"/>
    <mergeCell ref="AE171:AJ171"/>
    <mergeCell ref="AB160:AC160"/>
    <mergeCell ref="Z161:AC161"/>
    <mergeCell ref="AE161:AJ161"/>
    <mergeCell ref="X163:AC163"/>
    <mergeCell ref="X164:AC164"/>
    <mergeCell ref="X165:AC165"/>
    <mergeCell ref="X156:AC156"/>
    <mergeCell ref="X158:AC158"/>
    <mergeCell ref="X150:AC150"/>
    <mergeCell ref="J122:AC122"/>
    <mergeCell ref="AD123:AJ123"/>
    <mergeCell ref="J127:S127"/>
    <mergeCell ref="T127:AB127"/>
    <mergeCell ref="J124:AJ124"/>
    <mergeCell ref="J125:AJ125"/>
    <mergeCell ref="AC127:AJ127"/>
    <mergeCell ref="AE168:AJ168"/>
  </mergeCells>
  <conditionalFormatting sqref="B13">
    <cfRule type="expression" dxfId="827" priority="58">
      <formula>IF(NoColor,1,0)</formula>
    </cfRule>
  </conditionalFormatting>
  <conditionalFormatting sqref="B81">
    <cfRule type="expression" dxfId="826" priority="541">
      <formula>IF(AND(File_Marr_Sep&lt;&gt;"",#REF!=""),1,0)</formula>
    </cfRule>
  </conditionalFormatting>
  <conditionalFormatting sqref="B121">
    <cfRule type="expression" dxfId="825" priority="153">
      <formula>IF(NoColor,1,0)</formula>
    </cfRule>
  </conditionalFormatting>
  <conditionalFormatting sqref="B189">
    <cfRule type="expression" dxfId="824" priority="149">
      <formula>IF(AND(File_Marr_Sep&lt;&gt;"",#REF!=""),1,0)</formula>
    </cfRule>
  </conditionalFormatting>
  <conditionalFormatting sqref="D89">
    <cfRule type="expression" dxfId="823" priority="165">
      <formula>$AE$89&gt;$AE$88</formula>
    </cfRule>
  </conditionalFormatting>
  <conditionalFormatting sqref="D189">
    <cfRule type="expression" dxfId="822" priority="148">
      <formula>IF(AND(File_Marr_Sep&lt;&gt;"",#REF!=""),1,0)</formula>
    </cfRule>
  </conditionalFormatting>
  <conditionalFormatting sqref="D197">
    <cfRule type="expression" dxfId="821" priority="68">
      <formula>$AE$89&gt;$AE$88</formula>
    </cfRule>
  </conditionalFormatting>
  <conditionalFormatting sqref="F112">
    <cfRule type="expression" dxfId="820" priority="492">
      <formula>NoColor</formula>
    </cfRule>
  </conditionalFormatting>
  <conditionalFormatting sqref="F220">
    <cfRule type="expression" dxfId="819" priority="139">
      <formula>NoColor</formula>
    </cfRule>
  </conditionalFormatting>
  <conditionalFormatting sqref="F110:O111">
    <cfRule type="expression" dxfId="818" priority="174">
      <formula>NoColor</formula>
    </cfRule>
  </conditionalFormatting>
  <conditionalFormatting sqref="F218:O219">
    <cfRule type="expression" dxfId="817" priority="77">
      <formula>NoColor</formula>
    </cfRule>
  </conditionalFormatting>
  <conditionalFormatting sqref="H112:J112">
    <cfRule type="expression" dxfId="816" priority="489">
      <formula>NoColor</formula>
    </cfRule>
  </conditionalFormatting>
  <conditionalFormatting sqref="H220:J220">
    <cfRule type="expression" dxfId="815" priority="136">
      <formula>NoColor</formula>
    </cfRule>
  </conditionalFormatting>
  <conditionalFormatting sqref="I92">
    <cfRule type="expression" dxfId="814" priority="2">
      <formula>AND(AM90,NOT(NoColor))</formula>
    </cfRule>
  </conditionalFormatting>
  <conditionalFormatting sqref="I200">
    <cfRule type="expression" dxfId="813" priority="1">
      <formula>AND(AM198,NOT(NoColor))</formula>
    </cfRule>
  </conditionalFormatting>
  <conditionalFormatting sqref="J15:AJ15">
    <cfRule type="expression" dxfId="812" priority="163">
      <formula>NoColor</formula>
    </cfRule>
  </conditionalFormatting>
  <conditionalFormatting sqref="J17:AJ17">
    <cfRule type="expression" dxfId="811" priority="162">
      <formula>NoColor</formula>
    </cfRule>
  </conditionalFormatting>
  <conditionalFormatting sqref="J19:AJ19">
    <cfRule type="expression" dxfId="810" priority="159">
      <formula>NoColor</formula>
    </cfRule>
  </conditionalFormatting>
  <conditionalFormatting sqref="J123:AJ123">
    <cfRule type="expression" dxfId="809" priority="66">
      <formula>NoColor</formula>
    </cfRule>
  </conditionalFormatting>
  <conditionalFormatting sqref="J125:AJ125">
    <cfRule type="expression" dxfId="808" priority="65">
      <formula>NoColor</formula>
    </cfRule>
  </conditionalFormatting>
  <conditionalFormatting sqref="J127:AJ127">
    <cfRule type="expression" dxfId="807" priority="62">
      <formula>NoColor</formula>
    </cfRule>
  </conditionalFormatting>
  <conditionalFormatting sqref="K112:AC113">
    <cfRule type="expression" dxfId="806" priority="170">
      <formula>NoColor</formula>
    </cfRule>
  </conditionalFormatting>
  <conditionalFormatting sqref="K220:AC221">
    <cfRule type="expression" dxfId="805" priority="73">
      <formula>NoColor</formula>
    </cfRule>
  </conditionalFormatting>
  <conditionalFormatting sqref="O104">
    <cfRule type="expression" dxfId="804" priority="501">
      <formula>NoColor</formula>
    </cfRule>
  </conditionalFormatting>
  <conditionalFormatting sqref="O107">
    <cfRule type="expression" dxfId="803" priority="499">
      <formula>NoColor</formula>
    </cfRule>
  </conditionalFormatting>
  <conditionalFormatting sqref="O212">
    <cfRule type="expression" dxfId="802" priority="147">
      <formula>NoColor</formula>
    </cfRule>
  </conditionalFormatting>
  <conditionalFormatting sqref="O215">
    <cfRule type="expression" dxfId="801" priority="145">
      <formula>NoColor</formula>
    </cfRule>
  </conditionalFormatting>
  <conditionalFormatting sqref="Q51:V51">
    <cfRule type="expression" dxfId="800" priority="216">
      <formula>IF(NoColor,1,0)</formula>
    </cfRule>
  </conditionalFormatting>
  <conditionalFormatting sqref="Q159:V159">
    <cfRule type="expression" dxfId="799" priority="119">
      <formula>IF(NoColor,1,0)</formula>
    </cfRule>
  </conditionalFormatting>
  <conditionalFormatting sqref="R104">
    <cfRule type="expression" dxfId="798" priority="500">
      <formula>NoColor</formula>
    </cfRule>
  </conditionalFormatting>
  <conditionalFormatting sqref="R107">
    <cfRule type="expression" dxfId="797" priority="498">
      <formula>NoColor</formula>
    </cfRule>
  </conditionalFormatting>
  <conditionalFormatting sqref="R196">
    <cfRule type="expression" dxfId="796" priority="70">
      <formula>$AE$89&gt;$AE$88</formula>
    </cfRule>
  </conditionalFormatting>
  <conditionalFormatting sqref="R212">
    <cfRule type="expression" dxfId="795" priority="146">
      <formula>NoColor</formula>
    </cfRule>
  </conditionalFormatting>
  <conditionalFormatting sqref="R215">
    <cfRule type="expression" dxfId="794" priority="144">
      <formula>NoColor</formula>
    </cfRule>
  </conditionalFormatting>
  <conditionalFormatting sqref="R88:S88">
    <cfRule type="expression" dxfId="793" priority="167">
      <formula>$AE$89&gt;$AE$88</formula>
    </cfRule>
  </conditionalFormatting>
  <conditionalFormatting sqref="X196">
    <cfRule type="expression" dxfId="792" priority="69">
      <formula>$AE$89&gt;$AE$88</formula>
    </cfRule>
  </conditionalFormatting>
  <conditionalFormatting sqref="X53:Y53">
    <cfRule type="expression" dxfId="791" priority="168">
      <formula>IF(NoColor,1,0)</formula>
    </cfRule>
  </conditionalFormatting>
  <conditionalFormatting sqref="X88:Y88">
    <cfRule type="expression" dxfId="790" priority="166">
      <formula>$AE$89&gt;$AE$88</formula>
    </cfRule>
  </conditionalFormatting>
  <conditionalFormatting sqref="X161:Y161">
    <cfRule type="expression" dxfId="789" priority="71">
      <formula>IF(NoColor,1,0)</formula>
    </cfRule>
  </conditionalFormatting>
  <conditionalFormatting sqref="X42:AC42">
    <cfRule type="expression" dxfId="788" priority="11">
      <formula>IF(NoColor,1,0)</formula>
    </cfRule>
  </conditionalFormatting>
  <conditionalFormatting sqref="X48:AC48">
    <cfRule type="expression" dxfId="787" priority="218">
      <formula>IF(NoColor,1,0)</formula>
    </cfRule>
  </conditionalFormatting>
  <conditionalFormatting sqref="X50:AC50">
    <cfRule type="expression" dxfId="786" priority="214">
      <formula>IF(NoColor,1,0)</formula>
    </cfRule>
  </conditionalFormatting>
  <conditionalFormatting sqref="X55:AC55">
    <cfRule type="expression" dxfId="785" priority="212">
      <formula>IF(NoColor,1,0)</formula>
    </cfRule>
  </conditionalFormatting>
  <conditionalFormatting sqref="X57:AC57">
    <cfRule type="expression" dxfId="784" priority="210">
      <formula>IF(NoColor,1,0)</formula>
    </cfRule>
  </conditionalFormatting>
  <conditionalFormatting sqref="X150:AC150">
    <cfRule type="expression" dxfId="783" priority="13">
      <formula>IF(NoColor,1,0)</formula>
    </cfRule>
  </conditionalFormatting>
  <conditionalFormatting sqref="X156:AC156">
    <cfRule type="expression" dxfId="782" priority="121">
      <formula>IF(NoColor,1,0)</formula>
    </cfRule>
  </conditionalFormatting>
  <conditionalFormatting sqref="X158:AC158">
    <cfRule type="expression" dxfId="781" priority="49">
      <formula>IF(NoColor,1,0)</formula>
    </cfRule>
  </conditionalFormatting>
  <conditionalFormatting sqref="X163:AC163">
    <cfRule type="expression" dxfId="780" priority="115">
      <formula>IF(NoColor,1,0)</formula>
    </cfRule>
  </conditionalFormatting>
  <conditionalFormatting sqref="X165:AC165">
    <cfRule type="expression" dxfId="779" priority="113">
      <formula>IF(NoColor,1,0)</formula>
    </cfRule>
  </conditionalFormatting>
  <conditionalFormatting sqref="Y13">
    <cfRule type="expression" dxfId="778" priority="55">
      <formula>IF(NoColor,1,0)</formula>
    </cfRule>
  </conditionalFormatting>
  <conditionalFormatting sqref="Y121">
    <cfRule type="expression" dxfId="777" priority="56">
      <formula>IF(NoColor,1,0)</formula>
    </cfRule>
  </conditionalFormatting>
  <conditionalFormatting sqref="Z53:AC53">
    <cfRule type="expression" dxfId="776" priority="156">
      <formula>NoColor</formula>
    </cfRule>
  </conditionalFormatting>
  <conditionalFormatting sqref="Z110:AC111">
    <cfRule type="expression" dxfId="775" priority="173">
      <formula>NoColor</formula>
    </cfRule>
  </conditionalFormatting>
  <conditionalFormatting sqref="Z161:AC161">
    <cfRule type="expression" dxfId="774" priority="59">
      <formula>NoColor</formula>
    </cfRule>
  </conditionalFormatting>
  <conditionalFormatting sqref="Z218:AC219">
    <cfRule type="expression" dxfId="773" priority="76">
      <formula>NoColor</formula>
    </cfRule>
  </conditionalFormatting>
  <conditionalFormatting sqref="AD112:AE112">
    <cfRule type="expression" dxfId="772" priority="175">
      <formula>NoColor</formula>
    </cfRule>
  </conditionalFormatting>
  <conditionalFormatting sqref="AD220:AE220">
    <cfRule type="expression" dxfId="771" priority="78">
      <formula>NoColor</formula>
    </cfRule>
  </conditionalFormatting>
  <conditionalFormatting sqref="AD106:AJ107">
    <cfRule type="expression" dxfId="770" priority="6">
      <formula>NoColor</formula>
    </cfRule>
  </conditionalFormatting>
  <conditionalFormatting sqref="AD214:AJ215">
    <cfRule type="expression" dxfId="769" priority="5">
      <formula>NoColor</formula>
    </cfRule>
  </conditionalFormatting>
  <conditionalFormatting sqref="AE110">
    <cfRule type="expression" dxfId="768" priority="171">
      <formula>NoColor</formula>
    </cfRule>
  </conditionalFormatting>
  <conditionalFormatting sqref="AE218">
    <cfRule type="expression" dxfId="767" priority="74">
      <formula>NoColor</formula>
    </cfRule>
  </conditionalFormatting>
  <conditionalFormatting sqref="AE31:AJ33">
    <cfRule type="expression" dxfId="766" priority="226">
      <formula>IF(NoColor,1,0)</formula>
    </cfRule>
  </conditionalFormatting>
  <conditionalFormatting sqref="AE38:AJ39">
    <cfRule type="expression" dxfId="765" priority="220">
      <formula>IF(NoColor,1,0)</formula>
    </cfRule>
  </conditionalFormatting>
  <conditionalFormatting sqref="AE58:AJ60">
    <cfRule type="expression" dxfId="764" priority="204">
      <formula>IF(NoColor,1,0)</formula>
    </cfRule>
  </conditionalFormatting>
  <conditionalFormatting sqref="AE63:AJ63">
    <cfRule type="expression" dxfId="763" priority="202">
      <formula>IF(NoColor,1,0)</formula>
    </cfRule>
  </conditionalFormatting>
  <conditionalFormatting sqref="AE65:AJ65">
    <cfRule type="expression" dxfId="762" priority="200">
      <formula>IF(NoColor,1,0)</formula>
    </cfRule>
  </conditionalFormatting>
  <conditionalFormatting sqref="AE75:AJ75">
    <cfRule type="expression" dxfId="761" priority="198">
      <formula>IF(NoColor,1,0)</formula>
    </cfRule>
  </conditionalFormatting>
  <conditionalFormatting sqref="AE77:AJ77">
    <cfRule type="expression" dxfId="760" priority="196">
      <formula>IF(NoColor,1,0)</formula>
    </cfRule>
  </conditionalFormatting>
  <conditionalFormatting sqref="AE79:AJ79">
    <cfRule type="expression" dxfId="759" priority="194">
      <formula>IF(NoColor,1,0)</formula>
    </cfRule>
  </conditionalFormatting>
  <conditionalFormatting sqref="AE87:AJ87">
    <cfRule type="expression" dxfId="758" priority="192">
      <formula>IF(NoColor,1,0)</formula>
    </cfRule>
  </conditionalFormatting>
  <conditionalFormatting sqref="AE89:AJ90 AE92:AJ92">
    <cfRule type="expression" dxfId="757" priority="186">
      <formula>IF(NoColor,1,0)</formula>
    </cfRule>
  </conditionalFormatting>
  <conditionalFormatting sqref="AE94:AJ94">
    <cfRule type="expression" dxfId="756" priority="184">
      <formula>IF(NoColor,1,0)</formula>
    </cfRule>
  </conditionalFormatting>
  <conditionalFormatting sqref="AE96:AJ97">
    <cfRule type="expression" dxfId="755" priority="180">
      <formula>IF(NoColor,1,0)</formula>
    </cfRule>
  </conditionalFormatting>
  <conditionalFormatting sqref="AE100:AJ100">
    <cfRule type="expression" dxfId="754" priority="178">
      <formula>IF(NoColor,1,0)</formula>
    </cfRule>
  </conditionalFormatting>
  <conditionalFormatting sqref="AE102:AJ102">
    <cfRule type="expression" dxfId="753" priority="176">
      <formula>IF(NoColor,1,0)</formula>
    </cfRule>
  </conditionalFormatting>
  <conditionalFormatting sqref="AE139:AJ141">
    <cfRule type="expression" dxfId="752" priority="129">
      <formula>IF(NoColor,1,0)</formula>
    </cfRule>
  </conditionalFormatting>
  <conditionalFormatting sqref="AE146:AJ147">
    <cfRule type="expression" dxfId="751" priority="17">
      <formula>IF(NoColor,1,0)</formula>
    </cfRule>
  </conditionalFormatting>
  <conditionalFormatting sqref="AE166:AJ168">
    <cfRule type="expression" dxfId="750" priority="51">
      <formula>IF(NoColor,1,0)</formula>
    </cfRule>
  </conditionalFormatting>
  <conditionalFormatting sqref="AE171:AJ171">
    <cfRule type="expression" dxfId="749" priority="105">
      <formula>IF(NoColor,1,0)</formula>
    </cfRule>
  </conditionalFormatting>
  <conditionalFormatting sqref="AE173:AJ173">
    <cfRule type="expression" dxfId="748" priority="103">
      <formula>IF(NoColor,1,0)</formula>
    </cfRule>
  </conditionalFormatting>
  <conditionalFormatting sqref="AE183:AJ183">
    <cfRule type="expression" dxfId="747" priority="45">
      <formula>IF(NoColor,1,0)</formula>
    </cfRule>
  </conditionalFormatting>
  <conditionalFormatting sqref="AE185:AJ185">
    <cfRule type="expression" dxfId="746" priority="7">
      <formula>IF(NoColor,1,0)</formula>
    </cfRule>
  </conditionalFormatting>
  <conditionalFormatting sqref="AE187:AJ187">
    <cfRule type="expression" dxfId="745" priority="3">
      <formula>IF(NoColor,1,0)</formula>
    </cfRule>
  </conditionalFormatting>
  <conditionalFormatting sqref="AE195:AJ195">
    <cfRule type="expression" dxfId="744" priority="95">
      <formula>IF(NoColor,1,0)</formula>
    </cfRule>
  </conditionalFormatting>
  <conditionalFormatting sqref="AE197:AJ198 AE200:AJ200">
    <cfRule type="expression" dxfId="743" priority="89">
      <formula>IF(NoColor,1,0)</formula>
    </cfRule>
  </conditionalFormatting>
  <conditionalFormatting sqref="AE202:AJ202">
    <cfRule type="expression" dxfId="742" priority="87">
      <formula>IF(NoColor,1,0)</formula>
    </cfRule>
  </conditionalFormatting>
  <conditionalFormatting sqref="AE204:AJ205">
    <cfRule type="expression" dxfId="741" priority="83">
      <formula>IF(NoColor,1,0)</formula>
    </cfRule>
  </conditionalFormatting>
  <conditionalFormatting sqref="AE208:AJ208">
    <cfRule type="expression" dxfId="740" priority="81">
      <formula>IF(NoColor,1,0)</formula>
    </cfRule>
  </conditionalFormatting>
  <conditionalFormatting sqref="AE210:AJ210">
    <cfRule type="expression" dxfId="739" priority="79">
      <formula>IF(NoColor,1,0)</formula>
    </cfRule>
  </conditionalFormatting>
  <conditionalFormatting sqref="AF104">
    <cfRule type="expression" dxfId="738" priority="497">
      <formula>NoColor</formula>
    </cfRule>
  </conditionalFormatting>
  <conditionalFormatting sqref="AF212">
    <cfRule type="expression" dxfId="737" priority="143">
      <formula>NoColor</formula>
    </cfRule>
  </conditionalFormatting>
  <conditionalFormatting sqref="AG110:AJ113">
    <cfRule type="expression" dxfId="736" priority="169">
      <formula>NoColor</formula>
    </cfRule>
  </conditionalFormatting>
  <conditionalFormatting sqref="AG218:AJ221">
    <cfRule type="expression" dxfId="735" priority="72">
      <formula>NoColor</formula>
    </cfRule>
  </conditionalFormatting>
  <conditionalFormatting sqref="AI104">
    <cfRule type="expression" dxfId="734" priority="496">
      <formula>NoColor</formula>
    </cfRule>
  </conditionalFormatting>
  <conditionalFormatting sqref="AI212">
    <cfRule type="expression" dxfId="733" priority="142">
      <formula>NoColor</formula>
    </cfRule>
  </conditionalFormatting>
  <conditionalFormatting sqref="AL33">
    <cfRule type="expression" dxfId="732" priority="28">
      <formula>AND(AL33="",OR(AL37&lt;&gt;"",(AM35)))</formula>
    </cfRule>
  </conditionalFormatting>
  <conditionalFormatting sqref="AL34">
    <cfRule type="expression" dxfId="731" priority="30">
      <formula>NoColor</formula>
    </cfRule>
  </conditionalFormatting>
  <conditionalFormatting sqref="AL36">
    <cfRule type="expression" dxfId="730" priority="29">
      <formula>NoColor</formula>
    </cfRule>
  </conditionalFormatting>
  <conditionalFormatting sqref="AL37">
    <cfRule type="expression" dxfId="729" priority="27">
      <formula>OR(AL33&lt;&gt;"",AND(AL37="",NOT(AM35)))</formula>
    </cfRule>
  </conditionalFormatting>
  <conditionalFormatting sqref="AL67">
    <cfRule type="expression" dxfId="728" priority="42">
      <formula>$AM$66</formula>
    </cfRule>
  </conditionalFormatting>
  <conditionalFormatting sqref="AL141">
    <cfRule type="expression" dxfId="727" priority="24">
      <formula>AND(AL141="",OR(AL145&lt;&gt;"",(AM143)))</formula>
    </cfRule>
  </conditionalFormatting>
  <conditionalFormatting sqref="AL142">
    <cfRule type="expression" dxfId="726" priority="26">
      <formula>NoColor</formula>
    </cfRule>
  </conditionalFormatting>
  <conditionalFormatting sqref="AL144">
    <cfRule type="expression" dxfId="725" priority="25">
      <formula>NoColor</formula>
    </cfRule>
  </conditionalFormatting>
  <conditionalFormatting sqref="AL145">
    <cfRule type="expression" dxfId="724" priority="23">
      <formula>OR(AL141&lt;&gt;"",AND(AL145="",NOT(AM143)))</formula>
    </cfRule>
  </conditionalFormatting>
  <conditionalFormatting sqref="AL175">
    <cfRule type="expression" dxfId="723" priority="36">
      <formula>$AM$174</formula>
    </cfRule>
  </conditionalFormatting>
  <conditionalFormatting sqref="AL191:AM192">
    <cfRule type="expression" dxfId="722" priority="154">
      <formula>IF(AND(File_Marr_Sep&lt;&gt;"",#REF!&lt;&gt;""),TRUE,FALSE)</formula>
    </cfRule>
    <cfRule type="expression" dxfId="721" priority="155">
      <formula>OR(File_Marr_Sep&lt;&gt;"",AND(File_Marr_Sep="",AI191&lt;&gt;""))</formula>
    </cfRule>
  </conditionalFormatting>
  <conditionalFormatting sqref="AM67">
    <cfRule type="expression" dxfId="720" priority="40">
      <formula>AND($AM$66,$AL$67="")</formula>
    </cfRule>
  </conditionalFormatting>
  <conditionalFormatting sqref="AM175">
    <cfRule type="expression" dxfId="719" priority="35">
      <formula>AND($AM$174,$AL$175="")</formula>
    </cfRule>
  </conditionalFormatting>
  <pageMargins left="0.75" right="0.25" top="0.36" bottom="0.28999999999999998" header="0.36" footer="0.21"/>
  <pageSetup scale="69" fitToHeight="0" orientation="portrait" r:id="rId1"/>
  <rowBreaks count="3" manualBreakCount="3">
    <brk id="68" min="1" max="35" man="1"/>
    <brk id="114" min="1" max="35" man="1"/>
    <brk id="176" min="1" max="35"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232"/>
  <sheetViews>
    <sheetView zoomScale="120" zoomScaleNormal="120" zoomScaleSheetLayoutView="130" workbookViewId="0">
      <selection activeCell="AL88" sqref="AL88:AP88"/>
    </sheetView>
  </sheetViews>
  <sheetFormatPr defaultColWidth="3.42578125" defaultRowHeight="12.75"/>
  <cols>
    <col min="1" max="1" width="3.42578125" style="39" customWidth="1"/>
    <col min="2" max="2" width="4.28515625" style="39" customWidth="1"/>
    <col min="3" max="3" width="2.5703125" style="39" customWidth="1"/>
    <col min="4" max="4" width="2.85546875" style="39" customWidth="1"/>
    <col min="5" max="10" width="3" style="39" customWidth="1"/>
    <col min="11" max="11" width="4.28515625" style="39" customWidth="1"/>
    <col min="12" max="33" width="3" style="39" customWidth="1"/>
    <col min="34" max="34" width="3.140625" style="39" customWidth="1"/>
    <col min="35" max="35" width="3.42578125" style="39"/>
    <col min="36" max="36" width="3" style="39" customWidth="1"/>
    <col min="37" max="38" width="3.42578125" style="39" customWidth="1"/>
    <col min="39" max="39" width="3.85546875" style="39" customWidth="1"/>
    <col min="40" max="40" width="4.140625" style="39" customWidth="1"/>
    <col min="41" max="41" width="2.7109375" style="39" customWidth="1"/>
    <col min="42" max="42" width="2" style="39" customWidth="1"/>
    <col min="43" max="44" width="3.42578125" style="39"/>
    <col min="45" max="45" width="17.28515625" style="39" customWidth="1"/>
    <col min="46" max="46" width="6" style="39" customWidth="1"/>
    <col min="47" max="47" width="2.28515625" style="39" customWidth="1"/>
    <col min="48" max="48" width="10.28515625" style="39" customWidth="1"/>
    <col min="49" max="49" width="2.28515625" style="39" customWidth="1"/>
    <col min="50" max="60" width="10.7109375" style="2038" customWidth="1"/>
    <col min="61" max="16384" width="3.42578125" style="39"/>
  </cols>
  <sheetData>
    <row r="1" spans="1:60" ht="6.75" customHeight="1">
      <c r="A1" s="2162"/>
      <c r="B1" s="2162"/>
      <c r="C1" s="2162"/>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I1" s="2162"/>
      <c r="AJ1" s="2162"/>
      <c r="AK1" s="2162"/>
      <c r="AL1" s="2162"/>
      <c r="AM1" s="2162"/>
      <c r="AN1" s="2162"/>
      <c r="AO1" s="2162"/>
      <c r="AP1" s="2162"/>
      <c r="AQ1" s="2162"/>
      <c r="AR1" s="2162"/>
      <c r="AS1" s="2162"/>
      <c r="AT1" s="2162"/>
      <c r="AU1" s="2162"/>
    </row>
    <row r="2" spans="1:60" ht="15">
      <c r="A2" s="2162"/>
      <c r="B2" s="4936" t="str">
        <f>IF(AS2,"X","")</f>
        <v/>
      </c>
      <c r="C2" s="4938" t="str">
        <f>IF(AS2,"Check this box if you are a bona fide resident of Puerto Rico.  If not, clear this box by selecting it and pressing &lt; Delete &gt;.","")</f>
        <v/>
      </c>
      <c r="D2" s="2162"/>
      <c r="E2" s="2162"/>
      <c r="F2" s="2162"/>
      <c r="G2" s="2162"/>
      <c r="H2" s="2162"/>
      <c r="I2" s="2162"/>
      <c r="J2" s="2162"/>
      <c r="K2" s="2162"/>
      <c r="L2" s="2162"/>
      <c r="M2" s="2162"/>
      <c r="N2" s="2162"/>
      <c r="O2" s="2162"/>
      <c r="P2" s="2162"/>
      <c r="Q2" s="2162"/>
      <c r="R2" s="2162"/>
      <c r="S2" s="2162"/>
      <c r="T2" s="2162"/>
      <c r="U2" s="2162"/>
      <c r="V2" s="2162"/>
      <c r="W2" s="2162"/>
      <c r="X2" s="2162"/>
      <c r="Y2" s="2162"/>
      <c r="Z2" s="2162"/>
      <c r="AA2" s="2162"/>
      <c r="AB2" s="2162"/>
      <c r="AC2" s="2162"/>
      <c r="AD2" s="2162"/>
      <c r="AE2" s="2162"/>
      <c r="AF2" s="2162"/>
      <c r="AG2" s="2162"/>
      <c r="AH2" s="2162"/>
      <c r="AI2" s="2162"/>
      <c r="AJ2" s="2162"/>
      <c r="AK2" s="2162"/>
      <c r="AL2" s="2162"/>
      <c r="AM2" s="2162"/>
      <c r="AN2" s="2162"/>
      <c r="AO2" s="2162"/>
      <c r="AP2" s="2162"/>
      <c r="AQ2" s="2162"/>
      <c r="AR2" s="2162"/>
      <c r="AS2" s="3107" t="b">
        <f>OR(State="pr",State="PR")</f>
        <v>0</v>
      </c>
      <c r="AT2" s="2162"/>
      <c r="AU2" s="2162"/>
      <c r="AX2" s="2037" t="s">
        <v>241</v>
      </c>
    </row>
    <row r="3" spans="1:60" ht="9" customHeight="1">
      <c r="A3" s="2162"/>
      <c r="B3" s="2162"/>
      <c r="C3" s="2162"/>
      <c r="D3" s="2162"/>
      <c r="E3" s="2162"/>
      <c r="F3" s="2162"/>
      <c r="G3" s="2162"/>
      <c r="H3" s="2162"/>
      <c r="I3" s="2162"/>
      <c r="J3" s="2162"/>
      <c r="K3" s="2162"/>
      <c r="L3" s="2162"/>
      <c r="M3" s="2162"/>
      <c r="N3" s="2162"/>
      <c r="O3" s="2162"/>
      <c r="P3" s="2162"/>
      <c r="Q3" s="2162"/>
      <c r="R3" s="2162"/>
      <c r="S3" s="2162"/>
      <c r="T3" s="2162"/>
      <c r="U3" s="2162"/>
      <c r="V3" s="2162"/>
      <c r="W3" s="2162"/>
      <c r="X3" s="2162"/>
      <c r="Y3" s="2162"/>
      <c r="Z3" s="2162"/>
      <c r="AA3" s="2162"/>
      <c r="AB3" s="2162"/>
      <c r="AC3" s="2162"/>
      <c r="AD3" s="2162"/>
      <c r="AE3" s="2162"/>
      <c r="AF3" s="2162"/>
      <c r="AG3" s="2162"/>
      <c r="AH3" s="2162"/>
      <c r="AI3" s="2162"/>
      <c r="AJ3" s="2162"/>
      <c r="AK3" s="2162"/>
      <c r="AL3" s="2162"/>
      <c r="AM3" s="2162"/>
      <c r="AN3" s="2162"/>
      <c r="AO3" s="2162"/>
      <c r="AP3" s="2162"/>
      <c r="AQ3" s="2162"/>
      <c r="AR3" s="2338"/>
      <c r="AS3" s="3828" t="b">
        <f>B2&lt;&gt;""</f>
        <v>0</v>
      </c>
      <c r="AT3" s="2338"/>
      <c r="AU3" s="2162"/>
      <c r="AX3" s="2037"/>
    </row>
    <row r="4" spans="1:60" ht="15.75" customHeight="1">
      <c r="A4" s="2162"/>
      <c r="B4" s="9784" t="s">
        <v>4455</v>
      </c>
      <c r="C4" s="9785"/>
      <c r="D4" s="9785"/>
      <c r="E4" s="9785"/>
      <c r="F4" s="9785"/>
      <c r="G4" s="9785"/>
      <c r="H4" s="9786"/>
      <c r="I4" s="894"/>
      <c r="J4" s="808"/>
      <c r="K4" s="9794" t="s">
        <v>4456</v>
      </c>
      <c r="L4" s="9794"/>
      <c r="M4" s="9794"/>
      <c r="N4" s="9794"/>
      <c r="O4" s="9794"/>
      <c r="P4" s="9794"/>
      <c r="Q4" s="9794"/>
      <c r="R4" s="9794"/>
      <c r="S4" s="9794"/>
      <c r="T4" s="9794"/>
      <c r="U4" s="9794"/>
      <c r="V4" s="9794"/>
      <c r="W4" s="9794"/>
      <c r="X4" s="9794"/>
      <c r="Y4" s="9794"/>
      <c r="Z4" s="9794"/>
      <c r="AA4" s="9794"/>
      <c r="AB4" s="9794"/>
      <c r="AC4" s="9794"/>
      <c r="AD4" s="808"/>
      <c r="AE4" s="808"/>
      <c r="AF4" s="808"/>
      <c r="AG4" s="808"/>
      <c r="AH4" s="808"/>
      <c r="AI4" s="808"/>
      <c r="AJ4" s="7540" t="s">
        <v>576</v>
      </c>
      <c r="AK4" s="7541"/>
      <c r="AL4" s="7541"/>
      <c r="AM4" s="7541"/>
      <c r="AN4" s="7541"/>
      <c r="AO4" s="7541"/>
      <c r="AP4" s="7541"/>
      <c r="AQ4" s="2162"/>
      <c r="AR4" s="9756" t="str">
        <f>IF(AND(B2&lt;&gt;"",AS2),"Generally, you were a bona fide resident of Puerto Rico, if you:"&amp;CHAR(10)&amp;"- Met the presence test,"&amp;CHAR(10)&amp;"- No tax home outside of PR, and"&amp;CHAR(10)&amp;"- No closer connection to the US or "&amp;CHAR(10)&amp;"   foreign country.","")</f>
        <v/>
      </c>
      <c r="AS4" s="9756"/>
      <c r="AT4" s="9756"/>
      <c r="AU4" s="2162"/>
    </row>
    <row r="5" spans="1:60" ht="14.25" customHeight="1">
      <c r="A5" s="2162"/>
      <c r="B5" s="9787" t="s">
        <v>2088</v>
      </c>
      <c r="C5" s="9788"/>
      <c r="D5" s="9788"/>
      <c r="E5" s="9788"/>
      <c r="F5" s="9788"/>
      <c r="G5" s="9788"/>
      <c r="H5" s="9789"/>
      <c r="I5" s="894"/>
      <c r="J5" s="808"/>
      <c r="K5" s="9794"/>
      <c r="L5" s="9794"/>
      <c r="M5" s="9794"/>
      <c r="N5" s="9794"/>
      <c r="O5" s="9794"/>
      <c r="P5" s="9794"/>
      <c r="Q5" s="9794"/>
      <c r="R5" s="9794"/>
      <c r="S5" s="9794"/>
      <c r="T5" s="9794"/>
      <c r="U5" s="9794"/>
      <c r="V5" s="9794"/>
      <c r="W5" s="9794"/>
      <c r="X5" s="9794"/>
      <c r="Y5" s="9794"/>
      <c r="Z5" s="9794"/>
      <c r="AA5" s="9794"/>
      <c r="AB5" s="9794"/>
      <c r="AC5" s="9794"/>
      <c r="AD5" s="808"/>
      <c r="AE5" s="808"/>
      <c r="AF5" s="808"/>
      <c r="AG5" s="808"/>
      <c r="AH5" s="808"/>
      <c r="AI5" s="808"/>
      <c r="AJ5" s="7895">
        <f>TaxYear</f>
        <v>2023</v>
      </c>
      <c r="AK5" s="9800"/>
      <c r="AL5" s="9800"/>
      <c r="AM5" s="9800"/>
      <c r="AN5" s="9800"/>
      <c r="AO5" s="9800"/>
      <c r="AP5" s="9800"/>
      <c r="AQ5" s="2162"/>
      <c r="AR5" s="9756"/>
      <c r="AS5" s="9756"/>
      <c r="AT5" s="9756"/>
      <c r="AU5" s="2162"/>
    </row>
    <row r="6" spans="1:60" ht="9.75" customHeight="1">
      <c r="A6" s="2162"/>
      <c r="B6" s="9795"/>
      <c r="C6" s="9796"/>
      <c r="D6" s="9796"/>
      <c r="E6" s="9796"/>
      <c r="F6" s="9796"/>
      <c r="G6" s="9796"/>
      <c r="H6" s="9797"/>
      <c r="I6" s="894"/>
      <c r="J6" s="808"/>
      <c r="K6" s="9794"/>
      <c r="L6" s="9794"/>
      <c r="M6" s="9794"/>
      <c r="N6" s="9794"/>
      <c r="O6" s="9794"/>
      <c r="P6" s="9794"/>
      <c r="Q6" s="9794"/>
      <c r="R6" s="9794"/>
      <c r="S6" s="9794"/>
      <c r="T6" s="9794"/>
      <c r="U6" s="9794"/>
      <c r="V6" s="9794"/>
      <c r="W6" s="9794"/>
      <c r="X6" s="9794"/>
      <c r="Y6" s="9794"/>
      <c r="Z6" s="9794"/>
      <c r="AA6" s="9794"/>
      <c r="AB6" s="9794"/>
      <c r="AC6" s="9794"/>
      <c r="AD6" s="808"/>
      <c r="AE6" s="808"/>
      <c r="AF6" s="808"/>
      <c r="AG6" s="808"/>
      <c r="AH6" s="808"/>
      <c r="AI6" s="808"/>
      <c r="AJ6" s="9801"/>
      <c r="AK6" s="9802"/>
      <c r="AL6" s="9802"/>
      <c r="AM6" s="9802"/>
      <c r="AN6" s="9802"/>
      <c r="AO6" s="9802"/>
      <c r="AP6" s="9802"/>
      <c r="AQ6" s="2162"/>
      <c r="AR6" s="9756"/>
      <c r="AS6" s="9756"/>
      <c r="AT6" s="9756"/>
      <c r="AU6" s="2162"/>
    </row>
    <row r="7" spans="1:60" ht="13.5" customHeight="1">
      <c r="A7" s="2162"/>
      <c r="B7" s="9796"/>
      <c r="C7" s="9796"/>
      <c r="D7" s="9796"/>
      <c r="E7" s="9796"/>
      <c r="F7" s="9796"/>
      <c r="G7" s="9796"/>
      <c r="H7" s="9797"/>
      <c r="I7" s="894"/>
      <c r="J7" s="808"/>
      <c r="K7" s="808"/>
      <c r="L7" s="1145"/>
      <c r="M7" s="899" t="s">
        <v>2456</v>
      </c>
      <c r="N7" s="892"/>
      <c r="O7" s="808"/>
      <c r="P7" s="808"/>
      <c r="Q7" s="808"/>
      <c r="R7" s="808"/>
      <c r="S7" s="808"/>
      <c r="T7" s="808"/>
      <c r="U7" s="808"/>
      <c r="V7" s="808"/>
      <c r="W7" s="808"/>
      <c r="X7" s="808"/>
      <c r="Y7" s="808"/>
      <c r="Z7" s="808"/>
      <c r="AA7" s="808"/>
      <c r="AB7" s="808"/>
      <c r="AC7" s="808"/>
      <c r="AD7" s="808"/>
      <c r="AE7" s="808"/>
      <c r="AF7" s="808"/>
      <c r="AG7" s="808"/>
      <c r="AH7" s="808"/>
      <c r="AI7" s="808"/>
      <c r="AJ7" s="9801"/>
      <c r="AK7" s="9802"/>
      <c r="AL7" s="9802"/>
      <c r="AM7" s="9802"/>
      <c r="AN7" s="9802"/>
      <c r="AO7" s="9802"/>
      <c r="AP7" s="9802"/>
      <c r="AQ7" s="2162"/>
      <c r="AR7" s="9756"/>
      <c r="AS7" s="9756"/>
      <c r="AT7" s="9756"/>
      <c r="AU7" s="2162"/>
    </row>
    <row r="8" spans="1:60" ht="12" customHeight="1">
      <c r="A8" s="2162"/>
      <c r="B8" s="6763" t="s">
        <v>2661</v>
      </c>
      <c r="C8" s="6919"/>
      <c r="D8" s="6919"/>
      <c r="E8" s="6919"/>
      <c r="F8" s="6919"/>
      <c r="G8" s="6919"/>
      <c r="H8" s="7542"/>
      <c r="I8" s="894"/>
      <c r="J8" s="6761" t="s">
        <v>4457</v>
      </c>
      <c r="K8" s="6761"/>
      <c r="L8" s="6761"/>
      <c r="M8" s="6761"/>
      <c r="N8" s="6761"/>
      <c r="O8" s="6761"/>
      <c r="P8" s="6761"/>
      <c r="Q8" s="6761"/>
      <c r="R8" s="6761"/>
      <c r="S8" s="6761"/>
      <c r="T8" s="6761"/>
      <c r="U8" s="6761"/>
      <c r="V8" s="6761"/>
      <c r="W8" s="6761"/>
      <c r="X8" s="6761"/>
      <c r="Y8" s="6761"/>
      <c r="Z8" s="6761"/>
      <c r="AA8" s="6761"/>
      <c r="AB8" s="6761"/>
      <c r="AC8" s="6761"/>
      <c r="AD8" s="6761"/>
      <c r="AE8" s="808"/>
      <c r="AF8" s="808"/>
      <c r="AG8" s="808"/>
      <c r="AH8" s="808"/>
      <c r="AI8" s="808"/>
      <c r="AJ8" s="2330"/>
      <c r="AK8" s="6763" t="s">
        <v>2663</v>
      </c>
      <c r="AL8" s="7324"/>
      <c r="AM8" s="7324"/>
      <c r="AN8" s="9792">
        <v>47</v>
      </c>
      <c r="AO8" s="9790"/>
      <c r="AP8" s="4298"/>
      <c r="AQ8" s="2162"/>
      <c r="AR8" s="9756"/>
      <c r="AS8" s="9756"/>
      <c r="AT8" s="9756"/>
      <c r="AU8" s="2162"/>
    </row>
    <row r="9" spans="1:60" ht="12" customHeight="1" thickBot="1">
      <c r="A9" s="2162"/>
      <c r="B9" s="9778"/>
      <c r="C9" s="9778"/>
      <c r="D9" s="9778"/>
      <c r="E9" s="9778"/>
      <c r="F9" s="9778"/>
      <c r="G9" s="9778"/>
      <c r="H9" s="9779"/>
      <c r="I9" s="4299"/>
      <c r="J9" s="9799"/>
      <c r="K9" s="9799"/>
      <c r="L9" s="9799"/>
      <c r="M9" s="9799"/>
      <c r="N9" s="9799"/>
      <c r="O9" s="9799"/>
      <c r="P9" s="9799"/>
      <c r="Q9" s="9799"/>
      <c r="R9" s="9799"/>
      <c r="S9" s="9799"/>
      <c r="T9" s="9799"/>
      <c r="U9" s="9799"/>
      <c r="V9" s="9799"/>
      <c r="W9" s="9799"/>
      <c r="X9" s="9799"/>
      <c r="Y9" s="9799"/>
      <c r="Z9" s="9799"/>
      <c r="AA9" s="9799"/>
      <c r="AB9" s="9799"/>
      <c r="AC9" s="9799"/>
      <c r="AD9" s="9799"/>
      <c r="AE9" s="964"/>
      <c r="AF9" s="964"/>
      <c r="AG9" s="964"/>
      <c r="AH9" s="964"/>
      <c r="AI9" s="964"/>
      <c r="AJ9" s="4300"/>
      <c r="AK9" s="9791"/>
      <c r="AL9" s="9791"/>
      <c r="AM9" s="9791"/>
      <c r="AN9" s="9793"/>
      <c r="AO9" s="9791"/>
      <c r="AP9" s="4301"/>
      <c r="AQ9" s="2162"/>
      <c r="AR9" s="9756"/>
      <c r="AS9" s="9756"/>
      <c r="AT9" s="9756"/>
      <c r="AU9" s="2162"/>
    </row>
    <row r="10" spans="1:60" ht="13.5" thickTop="1">
      <c r="A10" s="2162"/>
      <c r="B10" s="878" t="s">
        <v>2208</v>
      </c>
      <c r="C10" s="808"/>
      <c r="D10" s="808"/>
      <c r="E10" s="808"/>
      <c r="F10" s="808"/>
      <c r="G10" s="808"/>
      <c r="H10" s="808"/>
      <c r="I10" s="808"/>
      <c r="J10" s="808"/>
      <c r="K10" s="808"/>
      <c r="L10" s="808"/>
      <c r="M10" s="808"/>
      <c r="N10" s="9798"/>
      <c r="O10" s="9798"/>
      <c r="P10" s="9798"/>
      <c r="Q10" s="9798"/>
      <c r="R10" s="9798"/>
      <c r="S10" s="9798"/>
      <c r="T10" s="9798"/>
      <c r="U10" s="9798"/>
      <c r="V10" s="9798"/>
      <c r="W10" s="9798"/>
      <c r="X10" s="9798"/>
      <c r="Y10" s="9798"/>
      <c r="Z10" s="9798"/>
      <c r="AA10" s="808"/>
      <c r="AB10" s="808"/>
      <c r="AC10" s="808"/>
      <c r="AD10" s="808"/>
      <c r="AE10" s="808"/>
      <c r="AF10" s="808"/>
      <c r="AG10" s="808"/>
      <c r="AH10" s="808"/>
      <c r="AI10" s="808"/>
      <c r="AJ10" s="2078" t="s">
        <v>586</v>
      </c>
      <c r="AK10" s="808"/>
      <c r="AL10" s="808"/>
      <c r="AM10" s="808"/>
      <c r="AN10" s="808"/>
      <c r="AO10" s="808"/>
      <c r="AP10" s="808"/>
      <c r="AQ10" s="2162"/>
      <c r="AR10" s="2162"/>
      <c r="AS10" s="4733" t="s">
        <v>867</v>
      </c>
      <c r="AT10" s="2162"/>
      <c r="AU10" s="2162"/>
    </row>
    <row r="11" spans="1:60" ht="9.75" customHeight="1">
      <c r="A11" s="2162"/>
      <c r="B11" s="6750" t="str">
        <f>Names</f>
        <v/>
      </c>
      <c r="C11" s="6750"/>
      <c r="D11" s="6750"/>
      <c r="E11" s="6750"/>
      <c r="F11" s="6750"/>
      <c r="G11" s="6750"/>
      <c r="H11" s="6750"/>
      <c r="I11" s="6750"/>
      <c r="J11" s="6750"/>
      <c r="K11" s="6750"/>
      <c r="L11" s="6750"/>
      <c r="M11" s="6750"/>
      <c r="N11" s="6750"/>
      <c r="O11" s="6750"/>
      <c r="P11" s="6750"/>
      <c r="Q11" s="6750"/>
      <c r="R11" s="6750"/>
      <c r="S11" s="6750"/>
      <c r="T11" s="6750"/>
      <c r="U11" s="6750"/>
      <c r="V11" s="6750"/>
      <c r="W11" s="6750"/>
      <c r="X11" s="6750"/>
      <c r="Y11" s="6750"/>
      <c r="Z11" s="6750"/>
      <c r="AA11" s="6750"/>
      <c r="AB11" s="6750"/>
      <c r="AC11" s="6750"/>
      <c r="AD11" s="6750"/>
      <c r="AE11" s="6750"/>
      <c r="AF11" s="6750"/>
      <c r="AG11" s="6750"/>
      <c r="AH11" s="6750"/>
      <c r="AI11" s="6750"/>
      <c r="AJ11" s="9780">
        <f>IF(NoSSN,"",SS_Yours)</f>
        <v>1010001</v>
      </c>
      <c r="AK11" s="9781"/>
      <c r="AL11" s="9781"/>
      <c r="AM11" s="9781"/>
      <c r="AN11" s="9781"/>
      <c r="AO11" s="9781"/>
      <c r="AP11" s="9781"/>
      <c r="AQ11" s="2162"/>
      <c r="AR11" s="2162"/>
      <c r="AS11" s="2162"/>
      <c r="AT11" s="2162"/>
      <c r="AU11" s="2162"/>
    </row>
    <row r="12" spans="1:60" ht="9.75" customHeight="1">
      <c r="A12" s="2162"/>
      <c r="B12" s="6750"/>
      <c r="C12" s="6750"/>
      <c r="D12" s="6750"/>
      <c r="E12" s="6750"/>
      <c r="F12" s="6750"/>
      <c r="G12" s="6750"/>
      <c r="H12" s="6750"/>
      <c r="I12" s="6750"/>
      <c r="J12" s="6750"/>
      <c r="K12" s="6750"/>
      <c r="L12" s="6750"/>
      <c r="M12" s="6750"/>
      <c r="N12" s="6750"/>
      <c r="O12" s="6750"/>
      <c r="P12" s="6750"/>
      <c r="Q12" s="6750"/>
      <c r="R12" s="6750"/>
      <c r="S12" s="6750"/>
      <c r="T12" s="6750"/>
      <c r="U12" s="6750"/>
      <c r="V12" s="6750"/>
      <c r="W12" s="6750"/>
      <c r="X12" s="6750"/>
      <c r="Y12" s="6750"/>
      <c r="Z12" s="6750"/>
      <c r="AA12" s="6750"/>
      <c r="AB12" s="6750"/>
      <c r="AC12" s="6750"/>
      <c r="AD12" s="6750"/>
      <c r="AE12" s="6750"/>
      <c r="AF12" s="6750"/>
      <c r="AG12" s="6750"/>
      <c r="AH12" s="6750"/>
      <c r="AI12" s="6750"/>
      <c r="AJ12" s="9782"/>
      <c r="AK12" s="9783"/>
      <c r="AL12" s="9783"/>
      <c r="AM12" s="9783"/>
      <c r="AN12" s="9783"/>
      <c r="AO12" s="9783"/>
      <c r="AP12" s="9783"/>
      <c r="AQ12" s="2162"/>
      <c r="AR12" s="2162"/>
      <c r="AS12" s="2162"/>
      <c r="AT12" s="2162"/>
      <c r="AU12" s="2162"/>
    </row>
    <row r="13" spans="1:60" s="2114" customFormat="1" ht="16.5" customHeight="1">
      <c r="A13" s="2163"/>
      <c r="B13" s="8099" t="s">
        <v>4458</v>
      </c>
      <c r="C13" s="8099"/>
      <c r="D13" s="8132"/>
      <c r="E13" s="2115"/>
      <c r="F13" s="2115"/>
      <c r="G13" s="2357" t="s">
        <v>4459</v>
      </c>
      <c r="H13" s="2115"/>
      <c r="I13" s="2115"/>
      <c r="J13" s="2115"/>
      <c r="K13" s="2115"/>
      <c r="L13" s="2115"/>
      <c r="M13" s="2115"/>
      <c r="N13" s="2115"/>
      <c r="O13" s="2115"/>
      <c r="P13" s="2115"/>
      <c r="Q13" s="2115"/>
      <c r="R13" s="2115"/>
      <c r="S13" s="2115"/>
      <c r="T13" s="2115"/>
      <c r="U13" s="2115"/>
      <c r="V13" s="2115"/>
      <c r="W13" s="2115"/>
      <c r="X13" s="2115"/>
      <c r="Y13" s="2115"/>
      <c r="Z13" s="2115"/>
      <c r="AA13" s="2115"/>
      <c r="AB13" s="2115"/>
      <c r="AC13" s="2115"/>
      <c r="AD13" s="2115"/>
      <c r="AE13" s="2115"/>
      <c r="AF13" s="2115"/>
      <c r="AG13" s="2115"/>
      <c r="AH13" s="2115"/>
      <c r="AI13" s="2115"/>
      <c r="AJ13" s="2115"/>
      <c r="AK13" s="2115"/>
      <c r="AL13" s="2115"/>
      <c r="AM13" s="2115"/>
      <c r="AN13" s="2115"/>
      <c r="AO13" s="2115"/>
      <c r="AP13" s="2115"/>
      <c r="AQ13" s="2162"/>
      <c r="AR13" s="2162"/>
      <c r="AS13" s="2162"/>
      <c r="AT13" s="2162"/>
      <c r="AU13" s="2162"/>
      <c r="AX13" s="2038"/>
      <c r="AY13" s="2038"/>
      <c r="AZ13" s="2038"/>
      <c r="BA13" s="2038"/>
      <c r="BB13" s="2038"/>
      <c r="BC13" s="2038"/>
      <c r="BD13" s="2038"/>
      <c r="BE13" s="2038"/>
      <c r="BF13" s="2038"/>
      <c r="BG13" s="2038"/>
      <c r="BH13" s="2038"/>
    </row>
    <row r="14" spans="1:60" ht="14.25" customHeight="1">
      <c r="A14" s="2162"/>
      <c r="B14" s="4386" t="s">
        <v>252</v>
      </c>
      <c r="C14" s="4431" t="s">
        <v>4460</v>
      </c>
      <c r="D14" s="2351"/>
      <c r="E14" s="2351"/>
      <c r="F14" s="2351"/>
      <c r="G14" s="2351"/>
      <c r="H14" s="2351"/>
      <c r="I14" s="2351"/>
      <c r="J14" s="2351"/>
      <c r="K14" s="2351"/>
      <c r="L14" s="2351"/>
      <c r="M14" s="2351"/>
      <c r="N14" s="2351"/>
      <c r="O14" s="2351"/>
      <c r="P14" s="2351"/>
      <c r="Q14" s="2351"/>
      <c r="R14" s="2351"/>
      <c r="S14" s="2351"/>
      <c r="T14" s="2351"/>
      <c r="U14" s="2351"/>
      <c r="V14" s="2351"/>
      <c r="W14" s="2351"/>
      <c r="X14" s="2351"/>
      <c r="Y14" s="2351"/>
      <c r="Z14" s="2351"/>
      <c r="AA14" s="2351"/>
      <c r="AB14" s="2351"/>
      <c r="AC14" s="2351"/>
      <c r="AD14" s="2351"/>
      <c r="AE14" s="2351"/>
      <c r="AF14" s="2351"/>
      <c r="AG14" s="2351"/>
      <c r="AH14" s="2351"/>
      <c r="AI14" s="1128" t="s">
        <v>917</v>
      </c>
      <c r="AJ14" s="9716" t="s">
        <v>252</v>
      </c>
      <c r="AK14" s="7453"/>
      <c r="AL14" s="9762">
        <f>IF(AS14&lt;&gt;"",ROUND(AS14,0),Adj_Gross_Inc)</f>
        <v>0</v>
      </c>
      <c r="AM14" s="9763"/>
      <c r="AN14" s="9763"/>
      <c r="AO14" s="9763"/>
      <c r="AP14" s="9763"/>
      <c r="AQ14" s="2162"/>
      <c r="AR14" s="1130"/>
      <c r="AS14" s="2603"/>
      <c r="AT14" s="1130"/>
      <c r="AU14" s="1130"/>
    </row>
    <row r="15" spans="1:60" ht="14.25">
      <c r="A15" s="2162"/>
      <c r="B15" s="1128" t="s">
        <v>367</v>
      </c>
      <c r="C15" s="4431" t="s">
        <v>4461</v>
      </c>
      <c r="D15" s="2352"/>
      <c r="E15" s="2352"/>
      <c r="F15" s="2352"/>
      <c r="G15" s="2352"/>
      <c r="H15" s="2352"/>
      <c r="I15" s="2352"/>
      <c r="J15" s="2352"/>
      <c r="K15" s="2352"/>
      <c r="L15" s="2352"/>
      <c r="M15" s="2352"/>
      <c r="N15" s="2352"/>
      <c r="O15" s="2352"/>
      <c r="P15" s="2352"/>
      <c r="Q15" s="2352"/>
      <c r="R15" s="2352"/>
      <c r="S15" s="2352"/>
      <c r="T15" s="2352"/>
      <c r="U15" s="2352"/>
      <c r="V15" s="2352"/>
      <c r="W15" s="2352"/>
      <c r="X15" s="2352"/>
      <c r="Y15" s="2352"/>
      <c r="Z15" s="2352"/>
      <c r="AA15" s="2352"/>
      <c r="AB15" s="1128" t="s">
        <v>1012</v>
      </c>
      <c r="AC15" s="9685" t="s">
        <v>367</v>
      </c>
      <c r="AD15" s="9748"/>
      <c r="AE15" s="9749"/>
      <c r="AF15" s="9750"/>
      <c r="AG15" s="9750"/>
      <c r="AH15" s="9750"/>
      <c r="AI15" s="9751"/>
      <c r="AJ15" s="9776"/>
      <c r="AK15" s="9777"/>
      <c r="AL15" s="1715"/>
      <c r="AM15" s="1715"/>
      <c r="AN15" s="1715"/>
      <c r="AO15" s="1715"/>
      <c r="AP15" s="1715"/>
      <c r="AQ15" s="2162"/>
      <c r="AR15" s="2162"/>
      <c r="AS15" s="2162"/>
      <c r="AT15" s="2162"/>
      <c r="AU15" s="2162"/>
    </row>
    <row r="16" spans="1:60" ht="14.25" customHeight="1">
      <c r="A16" s="2162"/>
      <c r="B16" s="1128" t="s">
        <v>644</v>
      </c>
      <c r="C16" s="4431" t="s">
        <v>4462</v>
      </c>
      <c r="D16" s="2353"/>
      <c r="E16" s="2353"/>
      <c r="F16" s="2353"/>
      <c r="G16" s="2353"/>
      <c r="H16" s="2353"/>
      <c r="I16" s="2353"/>
      <c r="J16" s="2353"/>
      <c r="K16" s="2353"/>
      <c r="L16" s="2353"/>
      <c r="M16" s="2353"/>
      <c r="N16" s="2353"/>
      <c r="O16" s="2353"/>
      <c r="P16" s="2353"/>
      <c r="Q16" s="2353"/>
      <c r="R16" s="2353"/>
      <c r="S16" s="2353"/>
      <c r="T16" s="2353"/>
      <c r="U16" s="2353"/>
      <c r="V16" s="2353"/>
      <c r="W16" s="2353"/>
      <c r="X16" s="2353"/>
      <c r="Y16" s="2353"/>
      <c r="Z16" s="2353"/>
      <c r="AA16" s="2353"/>
      <c r="AB16" s="1128" t="s">
        <v>1037</v>
      </c>
      <c r="AC16" s="9685" t="s">
        <v>369</v>
      </c>
      <c r="AD16" s="7453"/>
      <c r="AE16" s="9697">
        <f>IF(AS16&lt;&gt;"",ROUND(AS16,0),SUM(F2555_Line45_Total,ForeignHousingDeductionTotal))</f>
        <v>0</v>
      </c>
      <c r="AF16" s="9698"/>
      <c r="AG16" s="9698"/>
      <c r="AH16" s="9698"/>
      <c r="AI16" s="9698"/>
      <c r="AJ16" s="9774"/>
      <c r="AK16" s="9775"/>
      <c r="AL16" s="4304"/>
      <c r="AM16" s="4305"/>
      <c r="AN16" s="4305"/>
      <c r="AO16" s="4305"/>
      <c r="AP16" s="4305"/>
      <c r="AQ16" s="2162"/>
      <c r="AR16" s="2162"/>
      <c r="AS16" s="2603"/>
      <c r="AT16" s="2162"/>
      <c r="AU16" s="2162"/>
    </row>
    <row r="17" spans="1:60" ht="12.75" customHeight="1">
      <c r="A17" s="2162"/>
      <c r="B17" s="1128" t="s">
        <v>648</v>
      </c>
      <c r="C17" s="4431" t="s">
        <v>4463</v>
      </c>
      <c r="D17" s="2352"/>
      <c r="E17" s="2353"/>
      <c r="F17" s="2353"/>
      <c r="G17" s="2353"/>
      <c r="H17" s="1746"/>
      <c r="I17" s="2353"/>
      <c r="J17" s="2353"/>
      <c r="K17" s="2353"/>
      <c r="L17" s="2353"/>
      <c r="M17" s="2354"/>
      <c r="N17" s="2355"/>
      <c r="O17" s="2355"/>
      <c r="P17" s="2355"/>
      <c r="Q17" s="2355"/>
      <c r="R17" s="2355"/>
      <c r="S17" s="2355"/>
      <c r="T17" s="2355"/>
      <c r="U17" s="2355"/>
      <c r="V17" s="2355"/>
      <c r="W17" s="2355"/>
      <c r="X17" s="2355"/>
      <c r="Y17" s="2355"/>
      <c r="Z17" s="2355"/>
      <c r="AA17" s="2355"/>
      <c r="AB17" s="1128" t="s">
        <v>1012</v>
      </c>
      <c r="AC17" s="9685" t="s">
        <v>371</v>
      </c>
      <c r="AD17" s="7453"/>
      <c r="AE17" s="9752"/>
      <c r="AF17" s="9753"/>
      <c r="AG17" s="9753"/>
      <c r="AH17" s="9753"/>
      <c r="AI17" s="9753"/>
      <c r="AJ17" s="2339"/>
      <c r="AK17" s="1736"/>
      <c r="AL17" s="1244"/>
      <c r="AM17" s="1245"/>
      <c r="AN17" s="1245"/>
      <c r="AO17" s="1245"/>
      <c r="AP17" s="1245"/>
      <c r="AQ17" s="2162"/>
      <c r="AR17" s="2162"/>
      <c r="AS17" s="2162"/>
      <c r="AT17" s="2162"/>
      <c r="AU17" s="2162"/>
    </row>
    <row r="18" spans="1:60" ht="15.75" customHeight="1" thickBot="1">
      <c r="A18" s="2162"/>
      <c r="B18" s="4296" t="s">
        <v>652</v>
      </c>
      <c r="C18" s="4431" t="s">
        <v>4464</v>
      </c>
      <c r="D18" s="2352"/>
      <c r="E18" s="2353"/>
      <c r="F18" s="2353"/>
      <c r="G18" s="2353"/>
      <c r="H18" s="2353"/>
      <c r="I18" s="2353"/>
      <c r="J18" s="2353"/>
      <c r="K18" s="2353"/>
      <c r="L18" s="2353"/>
      <c r="M18" s="2354"/>
      <c r="N18" s="2355"/>
      <c r="O18" s="2355"/>
      <c r="P18" s="2355"/>
      <c r="Q18" s="2355"/>
      <c r="R18" s="2355"/>
      <c r="S18" s="2355"/>
      <c r="T18" s="2355"/>
      <c r="U18" s="2355"/>
      <c r="V18" s="2355"/>
      <c r="W18" s="2355"/>
      <c r="X18" s="2355"/>
      <c r="Y18" s="2355"/>
      <c r="Z18" s="2355"/>
      <c r="AA18" s="2355"/>
      <c r="AB18" s="2355"/>
      <c r="AC18" s="2355"/>
      <c r="AD18" s="2355"/>
      <c r="AE18" s="2356"/>
      <c r="AF18" s="2356"/>
      <c r="AG18" s="2356"/>
      <c r="AH18" s="2356"/>
      <c r="AI18" s="1128" t="s">
        <v>1293</v>
      </c>
      <c r="AJ18" s="9754" t="s">
        <v>373</v>
      </c>
      <c r="AK18" s="9755"/>
      <c r="AL18" s="9770">
        <f>SUM(ROUND(AE15,0),AE16,ROUND(AE17,0))</f>
        <v>0</v>
      </c>
      <c r="AM18" s="9771"/>
      <c r="AN18" s="9771"/>
      <c r="AO18" s="9771"/>
      <c r="AP18" s="9771"/>
      <c r="AQ18" s="2162"/>
      <c r="AR18" s="2162"/>
      <c r="AS18" s="4303"/>
      <c r="AT18" s="2162"/>
      <c r="AU18" s="2162"/>
    </row>
    <row r="19" spans="1:60" ht="15.75" customHeight="1">
      <c r="A19" s="2162"/>
      <c r="B19" s="4386" t="s">
        <v>256</v>
      </c>
      <c r="C19" s="4431" t="s">
        <v>4465</v>
      </c>
      <c r="D19" s="2353"/>
      <c r="E19" s="2353"/>
      <c r="F19" s="2353"/>
      <c r="G19" s="2353"/>
      <c r="H19" s="2353"/>
      <c r="I19" s="2353"/>
      <c r="J19" s="2353"/>
      <c r="K19" s="1746"/>
      <c r="L19" s="2353"/>
      <c r="M19" s="2354"/>
      <c r="N19" s="2354"/>
      <c r="O19" s="2354"/>
      <c r="P19" s="2354"/>
      <c r="Q19" s="2354"/>
      <c r="R19" s="2354"/>
      <c r="S19" s="2354"/>
      <c r="T19" s="2354"/>
      <c r="U19" s="2356"/>
      <c r="V19" s="2354"/>
      <c r="W19" s="2354"/>
      <c r="X19" s="2354"/>
      <c r="Y19" s="2354"/>
      <c r="Z19" s="2354"/>
      <c r="AA19" s="2354"/>
      <c r="AB19" s="2354"/>
      <c r="AC19" s="2354"/>
      <c r="AD19" s="2354"/>
      <c r="AE19" s="2356"/>
      <c r="AF19" s="2356"/>
      <c r="AG19" s="2356"/>
      <c r="AH19" s="2350"/>
      <c r="AI19" s="1128" t="s">
        <v>2296</v>
      </c>
      <c r="AJ19" s="9716" t="s">
        <v>256</v>
      </c>
      <c r="AK19" s="7453"/>
      <c r="AL19" s="9697">
        <f>SUM(AL14,AL18)</f>
        <v>0</v>
      </c>
      <c r="AM19" s="9698"/>
      <c r="AN19" s="9698"/>
      <c r="AO19" s="9698"/>
      <c r="AP19" s="9698"/>
      <c r="AQ19" s="2162"/>
      <c r="AR19" s="2162"/>
      <c r="AS19" s="4303"/>
      <c r="AT19" s="2162"/>
      <c r="AU19" s="2162"/>
      <c r="AV19" s="806" t="b">
        <f>(AL19=0)</f>
        <v>1</v>
      </c>
    </row>
    <row r="20" spans="1:60" ht="15.75" customHeight="1">
      <c r="A20" s="2162"/>
      <c r="B20" s="3809">
        <v>4</v>
      </c>
      <c r="C20" s="4432" t="str">
        <f>"Number of qualifying children under age "&amp;CTC_AgeLimit&amp;" with the required social security number"</f>
        <v>Number of qualifying children under age 17 with the required social security number</v>
      </c>
      <c r="D20" s="2332"/>
      <c r="E20" s="2332"/>
      <c r="F20" s="2332"/>
      <c r="G20" s="2332"/>
      <c r="H20" s="2332"/>
      <c r="I20" s="2332"/>
      <c r="J20" s="2332"/>
      <c r="K20" s="2332"/>
      <c r="L20" s="2332"/>
      <c r="M20" s="2332"/>
      <c r="N20" s="2332"/>
      <c r="O20" s="2332"/>
      <c r="P20" s="2332"/>
      <c r="Q20" s="2332"/>
      <c r="R20" s="2332"/>
      <c r="S20" s="2332"/>
      <c r="T20" s="2332"/>
      <c r="U20" s="2355"/>
      <c r="V20" s="2355"/>
      <c r="W20" s="2355"/>
      <c r="X20" s="2355"/>
      <c r="Y20" s="2355"/>
      <c r="Z20" s="2355"/>
      <c r="AA20" s="2355"/>
      <c r="AB20" s="1128"/>
      <c r="AC20" s="9685">
        <v>4</v>
      </c>
      <c r="AD20" s="9748"/>
      <c r="AE20" s="9745">
        <f>IF(AS20&lt;&gt;"",ROUND(AS20,0),Dependents!AQ36)</f>
        <v>0</v>
      </c>
      <c r="AF20" s="9746"/>
      <c r="AG20" s="9746"/>
      <c r="AH20" s="9746"/>
      <c r="AI20" s="9747"/>
      <c r="AJ20" s="2342"/>
      <c r="AK20" s="4302"/>
      <c r="AL20" s="9772">
        <v>2000</v>
      </c>
      <c r="AM20" s="9773"/>
      <c r="AN20" s="9773"/>
      <c r="AO20" s="9773"/>
      <c r="AP20" s="9773"/>
      <c r="AQ20" s="2162"/>
      <c r="AR20" s="2162"/>
      <c r="AS20" s="2603"/>
      <c r="AT20" s="2162"/>
      <c r="AU20" s="2162"/>
    </row>
    <row r="21" spans="1:60" ht="15.75" customHeight="1">
      <c r="A21" s="2162"/>
      <c r="B21" s="4387" t="s">
        <v>261</v>
      </c>
      <c r="C21" s="4431" t="str">
        <f>"Multiply line 4 by "&amp;TEXT(AL20,"$0,000")</f>
        <v>Multiply line 4 by $2,000</v>
      </c>
      <c r="D21" s="2352"/>
      <c r="E21" s="2353"/>
      <c r="F21" s="2353"/>
      <c r="G21" s="2353"/>
      <c r="H21" s="2353"/>
      <c r="I21" s="2353"/>
      <c r="J21" s="2353"/>
      <c r="K21" s="2353"/>
      <c r="L21" s="2353"/>
      <c r="M21" s="2354"/>
      <c r="N21" s="2355"/>
      <c r="O21" s="2355"/>
      <c r="P21" s="2355"/>
      <c r="Q21" s="2355"/>
      <c r="R21" s="2355"/>
      <c r="S21" s="2355"/>
      <c r="T21" s="2355"/>
      <c r="U21" s="2355"/>
      <c r="V21" s="2355"/>
      <c r="W21" s="2355"/>
      <c r="X21" s="2355"/>
      <c r="Y21" s="2355"/>
      <c r="Z21" s="2355"/>
      <c r="AA21" s="2355"/>
      <c r="AB21" s="2355"/>
      <c r="AC21" s="2355"/>
      <c r="AD21" s="2355"/>
      <c r="AE21" s="2356"/>
      <c r="AF21" s="2356"/>
      <c r="AG21" s="2356"/>
      <c r="AH21" s="2356"/>
      <c r="AI21" s="1128" t="s">
        <v>2398</v>
      </c>
      <c r="AJ21" s="9695" t="s">
        <v>261</v>
      </c>
      <c r="AK21" s="9696"/>
      <c r="AL21" s="9697">
        <f>ROUND(AL20*DependQualNumber,0)</f>
        <v>0</v>
      </c>
      <c r="AM21" s="9698"/>
      <c r="AN21" s="9698"/>
      <c r="AO21" s="9698"/>
      <c r="AP21" s="9698"/>
      <c r="AQ21" s="2162"/>
      <c r="AR21" s="2162"/>
      <c r="AS21" s="4303"/>
      <c r="AT21" s="2162"/>
      <c r="AU21" s="2162"/>
    </row>
    <row r="22" spans="1:60" ht="15.75" customHeight="1">
      <c r="A22" s="2162"/>
      <c r="B22" s="4387" t="s">
        <v>263</v>
      </c>
      <c r="C22" s="4431" t="s">
        <v>4466</v>
      </c>
      <c r="D22" s="2352"/>
      <c r="E22" s="2353"/>
      <c r="F22" s="2353"/>
      <c r="G22" s="2353"/>
      <c r="H22" s="2353"/>
      <c r="I22" s="2353"/>
      <c r="J22" s="2353"/>
      <c r="K22" s="2353"/>
      <c r="L22" s="2353"/>
      <c r="M22" s="2354"/>
      <c r="N22" s="2355"/>
      <c r="O22" s="2355"/>
      <c r="P22" s="2355"/>
      <c r="Q22" s="2355"/>
      <c r="R22" s="2355"/>
      <c r="S22" s="2355"/>
      <c r="T22" s="2355"/>
      <c r="U22" s="2355"/>
      <c r="V22" s="2355"/>
      <c r="W22" s="2355"/>
      <c r="X22" s="2355"/>
      <c r="Y22" s="2355"/>
      <c r="Z22" s="2355"/>
      <c r="AA22" s="2355"/>
      <c r="AB22" s="2355"/>
      <c r="AC22" s="2355"/>
      <c r="AD22" s="2355"/>
      <c r="AE22" s="2356"/>
      <c r="AF22" s="2356"/>
      <c r="AG22" s="2356"/>
      <c r="AH22" s="2356"/>
      <c r="AI22" s="2350"/>
      <c r="AJ22" s="2344"/>
      <c r="AK22" s="2347"/>
      <c r="AL22" s="2339"/>
      <c r="AM22" s="1735"/>
      <c r="AN22" s="1735"/>
      <c r="AO22" s="1735"/>
      <c r="AP22" s="1735"/>
      <c r="AQ22" s="2162"/>
      <c r="AR22" s="2162"/>
      <c r="AS22" s="4303"/>
      <c r="AT22" s="2162"/>
      <c r="AU22" s="2162"/>
    </row>
    <row r="23" spans="1:60" ht="15.75" customHeight="1">
      <c r="A23" s="2162"/>
      <c r="B23" s="2331"/>
      <c r="C23" s="4431" t="str">
        <f>CTC_AgeLimit&amp;" or who do not have the required social security number"</f>
        <v>17 or who do not have the required social security number</v>
      </c>
      <c r="D23" s="1746"/>
      <c r="E23" s="1746"/>
      <c r="F23" s="1746"/>
      <c r="G23" s="1746"/>
      <c r="H23" s="1746"/>
      <c r="I23" s="1746"/>
      <c r="J23" s="1746"/>
      <c r="K23" s="1746"/>
      <c r="L23" s="1746"/>
      <c r="M23" s="892"/>
      <c r="N23" s="1376"/>
      <c r="O23" s="1376"/>
      <c r="P23" s="1376"/>
      <c r="Q23" s="1376"/>
      <c r="R23" s="1376"/>
      <c r="S23" s="1376"/>
      <c r="T23" s="1376"/>
      <c r="U23" s="1376"/>
      <c r="V23" s="1376"/>
      <c r="W23" s="1376"/>
      <c r="X23" s="1376"/>
      <c r="Y23" s="1376"/>
      <c r="Z23" s="1376"/>
      <c r="AA23" s="1376"/>
      <c r="AB23" s="1128" t="s">
        <v>1037</v>
      </c>
      <c r="AC23" s="9716" t="s">
        <v>263</v>
      </c>
      <c r="AD23" s="7453"/>
      <c r="AE23" s="9745">
        <f>IF(AS23&lt;&gt;"",ROUND(AS23,0),DependOther)</f>
        <v>0</v>
      </c>
      <c r="AF23" s="9746"/>
      <c r="AG23" s="9746"/>
      <c r="AH23" s="9746"/>
      <c r="AI23" s="9747"/>
      <c r="AJ23" s="2345"/>
      <c r="AK23" s="2348"/>
      <c r="AL23" s="9764">
        <v>500</v>
      </c>
      <c r="AM23" s="9765"/>
      <c r="AN23" s="9765"/>
      <c r="AO23" s="9765"/>
      <c r="AP23" s="9765"/>
      <c r="AQ23" s="2162"/>
      <c r="AR23" s="2162"/>
      <c r="AS23" s="4297"/>
      <c r="AT23" s="2162"/>
      <c r="AU23" s="2162"/>
    </row>
    <row r="24" spans="1:60" ht="15.75" customHeight="1">
      <c r="A24" s="2162"/>
      <c r="B24" s="2331"/>
      <c r="C24" s="2352" t="s">
        <v>5525</v>
      </c>
      <c r="D24" s="1746"/>
      <c r="E24" s="1746"/>
      <c r="F24" s="1746"/>
      <c r="G24" s="1746"/>
      <c r="H24" s="1746"/>
      <c r="I24" s="1746"/>
      <c r="J24" s="1746"/>
      <c r="K24" s="1746"/>
      <c r="L24" s="1746"/>
      <c r="M24" s="892"/>
      <c r="N24" s="1376"/>
      <c r="O24" s="1376"/>
      <c r="P24" s="1376"/>
      <c r="Q24" s="1376"/>
      <c r="R24" s="1376"/>
      <c r="S24" s="1376"/>
      <c r="T24" s="1376"/>
      <c r="U24" s="1376"/>
      <c r="V24" s="1376"/>
      <c r="W24" s="1376"/>
      <c r="X24" s="1376"/>
      <c r="Y24" s="1376"/>
      <c r="Z24" s="1376"/>
      <c r="AA24" s="1376"/>
      <c r="AB24" s="1376"/>
      <c r="AC24" s="1376"/>
      <c r="AD24" s="1376"/>
      <c r="AE24" s="1376"/>
      <c r="AF24" s="1376"/>
      <c r="AG24" s="1376"/>
      <c r="AH24" s="1376"/>
      <c r="AI24" s="1376"/>
      <c r="AJ24" s="2345"/>
      <c r="AK24" s="2348"/>
      <c r="AL24" s="5882"/>
      <c r="AM24" s="5883"/>
      <c r="AN24" s="5883"/>
      <c r="AO24" s="5883"/>
      <c r="AP24" s="5883"/>
      <c r="AQ24" s="2162"/>
      <c r="AR24" s="2162"/>
      <c r="AS24" s="4303"/>
      <c r="AT24" s="2162"/>
      <c r="AU24" s="2162"/>
    </row>
    <row r="25" spans="1:60" ht="15.75" customHeight="1">
      <c r="A25" s="2162"/>
      <c r="B25" s="2331"/>
      <c r="C25" s="2352" t="s">
        <v>5524</v>
      </c>
      <c r="D25" s="1746"/>
      <c r="E25" s="1746"/>
      <c r="F25" s="1746"/>
      <c r="G25" s="1746"/>
      <c r="H25" s="1746"/>
      <c r="I25" s="1746"/>
      <c r="J25" s="1746"/>
      <c r="K25" s="1746"/>
      <c r="L25" s="1746"/>
      <c r="M25" s="892"/>
      <c r="N25" s="1376"/>
      <c r="O25" s="1376"/>
      <c r="P25" s="1376"/>
      <c r="Q25" s="1376"/>
      <c r="R25" s="1376"/>
      <c r="S25" s="1376"/>
      <c r="T25" s="1376"/>
      <c r="U25" s="1376"/>
      <c r="V25" s="1376"/>
      <c r="W25" s="1376"/>
      <c r="X25" s="1376"/>
      <c r="Y25" s="1376"/>
      <c r="Z25" s="1376"/>
      <c r="AA25" s="1376"/>
      <c r="AB25" s="1376"/>
      <c r="AC25" s="1376"/>
      <c r="AD25" s="1376"/>
      <c r="AE25" s="1376"/>
      <c r="AF25" s="1376"/>
      <c r="AG25" s="1376"/>
      <c r="AH25" s="1376"/>
      <c r="AI25" s="1376"/>
      <c r="AJ25" s="2345"/>
      <c r="AK25" s="2348"/>
      <c r="AL25" s="5882"/>
      <c r="AM25" s="5883"/>
      <c r="AN25" s="5883"/>
      <c r="AO25" s="5883"/>
      <c r="AP25" s="5883"/>
      <c r="AQ25" s="2162"/>
      <c r="AR25" s="2162"/>
      <c r="AS25" s="4303"/>
      <c r="AT25" s="2162"/>
      <c r="AU25" s="2162"/>
    </row>
    <row r="26" spans="1:60" ht="15.75" customHeight="1">
      <c r="A26" s="2162"/>
      <c r="B26" s="4387" t="s">
        <v>266</v>
      </c>
      <c r="C26" s="4431" t="str">
        <f>"Multiply line 6 by "&amp;TEXT(AL23,"$0")</f>
        <v>Multiply line 6 by $500</v>
      </c>
      <c r="D26" s="2333"/>
      <c r="E26" s="892"/>
      <c r="F26" s="892"/>
      <c r="G26" s="892"/>
      <c r="H26" s="892"/>
      <c r="I26" s="892"/>
      <c r="J26" s="892"/>
      <c r="K26" s="892"/>
      <c r="L26" s="892"/>
      <c r="M26" s="892"/>
      <c r="N26" s="2334"/>
      <c r="O26" s="2334"/>
      <c r="P26" s="2334"/>
      <c r="Q26" s="2334"/>
      <c r="R26" s="2334"/>
      <c r="S26" s="2354"/>
      <c r="T26" s="2354"/>
      <c r="U26" s="2356"/>
      <c r="V26" s="2354"/>
      <c r="W26" s="2354"/>
      <c r="X26" s="2354"/>
      <c r="Y26" s="2354"/>
      <c r="Z26" s="2354"/>
      <c r="AA26" s="2354"/>
      <c r="AB26" s="2354"/>
      <c r="AC26" s="2354"/>
      <c r="AD26" s="2354"/>
      <c r="AE26" s="2356"/>
      <c r="AF26" s="2356"/>
      <c r="AG26" s="2356"/>
      <c r="AH26" s="2350"/>
      <c r="AI26" s="1128" t="s">
        <v>1293</v>
      </c>
      <c r="AJ26" s="9695" t="s">
        <v>266</v>
      </c>
      <c r="AK26" s="9696"/>
      <c r="AL26" s="9697">
        <f>ROUND(AE23*AL23,0)</f>
        <v>0</v>
      </c>
      <c r="AM26" s="9698"/>
      <c r="AN26" s="9698"/>
      <c r="AO26" s="9698"/>
      <c r="AP26" s="9698"/>
      <c r="AQ26" s="2162"/>
      <c r="AR26" s="2162"/>
      <c r="AS26" s="2162"/>
      <c r="AT26" s="2162"/>
      <c r="AU26" s="2162"/>
    </row>
    <row r="27" spans="1:60" ht="15.75" customHeight="1">
      <c r="A27" s="2162"/>
      <c r="B27" s="4387" t="s">
        <v>268</v>
      </c>
      <c r="C27" s="4431" t="s">
        <v>4467</v>
      </c>
      <c r="D27" s="892"/>
      <c r="E27" s="892"/>
      <c r="F27" s="892"/>
      <c r="G27" s="892"/>
      <c r="H27" s="892"/>
      <c r="I27" s="892"/>
      <c r="J27" s="892"/>
      <c r="K27" s="892"/>
      <c r="L27" s="892"/>
      <c r="M27" s="892"/>
      <c r="N27" s="2334"/>
      <c r="O27" s="2334"/>
      <c r="P27" s="2334"/>
      <c r="Q27" s="2334"/>
      <c r="R27" s="2334"/>
      <c r="S27" s="2354"/>
      <c r="T27" s="2354"/>
      <c r="U27" s="2356"/>
      <c r="V27" s="2354"/>
      <c r="W27" s="2354"/>
      <c r="X27" s="2354"/>
      <c r="Y27" s="2354"/>
      <c r="Z27" s="2354"/>
      <c r="AA27" s="2354"/>
      <c r="AB27" s="2354"/>
      <c r="AC27" s="2354"/>
      <c r="AD27" s="2354"/>
      <c r="AE27" s="2356"/>
      <c r="AF27" s="2356"/>
      <c r="AG27" s="2356"/>
      <c r="AH27" s="2350"/>
      <c r="AI27" s="1128" t="s">
        <v>2296</v>
      </c>
      <c r="AJ27" s="9695" t="s">
        <v>268</v>
      </c>
      <c r="AK27" s="9696"/>
      <c r="AL27" s="9697">
        <f>IF(AS27&lt;&gt;"",ROUND(AS27,0),SUM(AL21,AL26))</f>
        <v>0</v>
      </c>
      <c r="AM27" s="9698"/>
      <c r="AN27" s="9698"/>
      <c r="AO27" s="9698"/>
      <c r="AP27" s="9698"/>
      <c r="AQ27" s="2162"/>
      <c r="AR27" s="2162"/>
      <c r="AS27" s="4297"/>
      <c r="AT27" s="2162"/>
      <c r="AU27" s="2162"/>
    </row>
    <row r="28" spans="1:60" s="1998" customFormat="1">
      <c r="A28" s="2338"/>
      <c r="B28" s="4387" t="s">
        <v>407</v>
      </c>
      <c r="C28" s="4431" t="s">
        <v>1183</v>
      </c>
      <c r="D28" s="2336"/>
      <c r="E28" s="2336"/>
      <c r="F28" s="2336"/>
      <c r="G28" s="2336"/>
      <c r="H28" s="2336"/>
      <c r="I28" s="2336"/>
      <c r="J28" s="2336"/>
      <c r="K28" s="2336"/>
      <c r="L28" s="2336"/>
      <c r="M28" s="2336"/>
      <c r="N28" s="2333"/>
      <c r="O28" s="2333"/>
      <c r="P28" s="2333"/>
      <c r="Q28" s="2333"/>
      <c r="R28" s="2333"/>
      <c r="S28" s="2333"/>
      <c r="T28" s="2333"/>
      <c r="U28" s="2333"/>
      <c r="V28" s="2333"/>
      <c r="W28" s="2333"/>
      <c r="X28" s="2333"/>
      <c r="Y28" s="2333"/>
      <c r="Z28" s="2333"/>
      <c r="AA28" s="2333"/>
      <c r="AB28" s="2333"/>
      <c r="AC28" s="2333"/>
      <c r="AD28" s="2333"/>
      <c r="AE28" s="2333"/>
      <c r="AF28" s="2333"/>
      <c r="AG28" s="2333"/>
      <c r="AH28" s="2333"/>
      <c r="AI28" s="2333"/>
      <c r="AJ28" s="2346"/>
      <c r="AK28" s="2349"/>
      <c r="AL28" s="1703"/>
      <c r="AM28" s="1703"/>
      <c r="AN28" s="1703"/>
      <c r="AO28" s="1703"/>
      <c r="AP28" s="1703"/>
      <c r="AQ28" s="2338"/>
      <c r="AR28" s="2162"/>
      <c r="AS28" s="4303"/>
      <c r="AT28" s="2162"/>
      <c r="AU28" s="2162"/>
      <c r="AX28" s="2045"/>
      <c r="AY28" s="2045"/>
      <c r="AZ28" s="2045"/>
      <c r="BA28" s="2045"/>
      <c r="BB28" s="2045"/>
      <c r="BC28" s="2045"/>
      <c r="BD28" s="2045"/>
      <c r="BE28" s="2045"/>
      <c r="BF28" s="2045"/>
      <c r="BG28" s="2045"/>
      <c r="BH28" s="2045"/>
    </row>
    <row r="29" spans="1:60" ht="11.25" customHeight="1">
      <c r="A29" s="2162"/>
      <c r="B29" s="2333"/>
      <c r="C29" s="4069" t="s">
        <v>691</v>
      </c>
      <c r="D29" s="4433" t="s">
        <v>4468</v>
      </c>
      <c r="E29" s="892"/>
      <c r="F29" s="892"/>
      <c r="G29" s="892"/>
      <c r="H29" s="892"/>
      <c r="I29" s="892"/>
      <c r="J29" s="4355"/>
      <c r="K29" s="9715">
        <v>400000</v>
      </c>
      <c r="L29" s="9715"/>
      <c r="M29" s="9715"/>
      <c r="N29" s="9715"/>
      <c r="O29" s="2334"/>
      <c r="P29" s="2334"/>
      <c r="Q29" s="2334"/>
      <c r="R29" s="2334"/>
      <c r="S29" s="2334"/>
      <c r="T29" s="2334"/>
      <c r="U29" s="2334"/>
      <c r="V29" s="2334"/>
      <c r="W29" s="2334"/>
      <c r="X29" s="2334"/>
      <c r="Y29" s="2334"/>
      <c r="Z29" s="2334"/>
      <c r="AA29" s="2334"/>
      <c r="AB29" s="2334"/>
      <c r="AC29" s="2334"/>
      <c r="AD29" s="2334"/>
      <c r="AE29" s="2334"/>
      <c r="AF29" s="2334"/>
      <c r="AG29" s="2334"/>
      <c r="AH29" s="2334"/>
      <c r="AI29" s="2334"/>
      <c r="AJ29" s="2346"/>
      <c r="AK29" s="2349"/>
      <c r="AL29" s="1703"/>
      <c r="AM29" s="1703"/>
      <c r="AN29" s="1703"/>
      <c r="AO29" s="1703"/>
      <c r="AP29" s="1703"/>
      <c r="AQ29" s="2162"/>
      <c r="AR29" s="2162"/>
      <c r="AS29" s="4303"/>
      <c r="AT29" s="2162"/>
      <c r="AU29" s="2162"/>
    </row>
    <row r="30" spans="1:60" ht="15">
      <c r="A30" s="2162"/>
      <c r="B30" s="2334"/>
      <c r="C30" s="4069" t="s">
        <v>691</v>
      </c>
      <c r="D30" s="4433" t="s">
        <v>4469</v>
      </c>
      <c r="E30" s="892"/>
      <c r="F30" s="892"/>
      <c r="G30" s="2354"/>
      <c r="H30" s="892"/>
      <c r="I30" s="892"/>
      <c r="J30" s="2716"/>
      <c r="K30" s="4355"/>
      <c r="L30" s="9714">
        <v>200000</v>
      </c>
      <c r="M30" s="9714"/>
      <c r="N30" s="9714"/>
      <c r="O30" s="9714"/>
      <c r="P30" s="892"/>
      <c r="Q30" s="892"/>
      <c r="R30" s="892"/>
      <c r="S30" s="892"/>
      <c r="T30" s="892"/>
      <c r="U30" s="2333"/>
      <c r="V30" s="892"/>
      <c r="W30" s="892"/>
      <c r="X30" s="892"/>
      <c r="Y30" s="892"/>
      <c r="Z30" s="892"/>
      <c r="AA30" s="892"/>
      <c r="AB30" s="892"/>
      <c r="AC30" s="892"/>
      <c r="AD30" s="892"/>
      <c r="AE30" s="892"/>
      <c r="AF30" s="892"/>
      <c r="AG30" s="892"/>
      <c r="AH30" s="892"/>
      <c r="AI30" s="1128" t="s">
        <v>985</v>
      </c>
      <c r="AJ30" s="9695" t="s">
        <v>407</v>
      </c>
      <c r="AK30" s="9696"/>
      <c r="AL30" s="9760" t="str">
        <f>IF(AV30,"&lt;Filing status?&gt;",IF(File_Marr_Joint&lt;&gt;"",K29,L30))</f>
        <v>&lt;Filing status?&gt;</v>
      </c>
      <c r="AM30" s="9761"/>
      <c r="AN30" s="9761"/>
      <c r="AO30" s="9761"/>
      <c r="AP30" s="9761"/>
      <c r="AQ30" s="2162"/>
      <c r="AR30" s="2162"/>
      <c r="AS30" s="4303"/>
      <c r="AT30" s="2162"/>
      <c r="AU30" s="2162"/>
      <c r="AV30" s="902" t="b">
        <f>NumFileStatusBoxes=0</f>
        <v>1</v>
      </c>
    </row>
    <row r="31" spans="1:60" ht="11.25" customHeight="1">
      <c r="A31" s="2162"/>
      <c r="B31" s="4387" t="s">
        <v>270</v>
      </c>
      <c r="C31" s="4431" t="s">
        <v>4470</v>
      </c>
      <c r="D31" s="2121"/>
      <c r="E31" s="892"/>
      <c r="F31" s="892"/>
      <c r="G31" s="892"/>
      <c r="H31" s="892"/>
      <c r="I31" s="892"/>
      <c r="J31" s="892"/>
      <c r="K31" s="892"/>
      <c r="L31" s="892"/>
      <c r="M31" s="892"/>
      <c r="N31" s="1376"/>
      <c r="O31" s="1376"/>
      <c r="P31" s="1376"/>
      <c r="Q31" s="1376"/>
      <c r="R31" s="1376"/>
      <c r="S31" s="1376"/>
      <c r="T31" s="1376"/>
      <c r="U31" s="1376"/>
      <c r="V31" s="1376"/>
      <c r="W31" s="1376"/>
      <c r="X31" s="1376"/>
      <c r="Y31" s="1376"/>
      <c r="Z31" s="1376"/>
      <c r="AA31" s="1376"/>
      <c r="AB31" s="1376"/>
      <c r="AC31" s="1376"/>
      <c r="AD31" s="1376"/>
      <c r="AE31" s="1376"/>
      <c r="AF31" s="1376"/>
      <c r="AG31" s="1376"/>
      <c r="AH31" s="1376"/>
      <c r="AI31" s="1376"/>
      <c r="AJ31" s="2346"/>
      <c r="AK31" s="2349"/>
      <c r="AL31" s="1703"/>
      <c r="AM31" s="1703"/>
      <c r="AN31" s="1703"/>
      <c r="AO31" s="1703"/>
      <c r="AP31" s="1703"/>
      <c r="AQ31" s="2162"/>
      <c r="AR31" s="2162"/>
      <c r="AS31" s="4303"/>
      <c r="AT31" s="2162"/>
      <c r="AU31" s="2162"/>
    </row>
    <row r="32" spans="1:60" ht="15">
      <c r="A32" s="2162"/>
      <c r="B32" s="899"/>
      <c r="C32" s="4069" t="s">
        <v>691</v>
      </c>
      <c r="D32" s="4433" t="s">
        <v>725</v>
      </c>
      <c r="E32" s="892"/>
      <c r="F32" s="892"/>
      <c r="G32" s="2354"/>
      <c r="H32" s="892"/>
      <c r="I32" s="892"/>
      <c r="J32" s="892"/>
      <c r="K32" s="892"/>
      <c r="L32" s="892"/>
      <c r="M32" s="892"/>
      <c r="N32" s="892"/>
      <c r="O32" s="892"/>
      <c r="P32" s="892"/>
      <c r="Q32" s="892"/>
      <c r="R32" s="892"/>
      <c r="S32" s="892"/>
      <c r="T32" s="892"/>
      <c r="U32" s="892"/>
      <c r="V32" s="892"/>
      <c r="W32" s="892"/>
      <c r="X32" s="892"/>
      <c r="Y32" s="892"/>
      <c r="Z32" s="892"/>
      <c r="AA32" s="892"/>
      <c r="AB32" s="892"/>
      <c r="AC32" s="892"/>
      <c r="AD32" s="892"/>
      <c r="AE32" s="892"/>
      <c r="AF32" s="892"/>
      <c r="AG32" s="892"/>
      <c r="AH32" s="892"/>
      <c r="AI32" s="892"/>
      <c r="AJ32" s="2346"/>
      <c r="AK32" s="2349"/>
      <c r="AL32" s="9768" t="e">
        <f>IF(SUM(AL19,-AL30)=ROUND(SUM(AL19,-AL30),-3),SUM(AL19,-AL30),ROUNDUP(SUM(AL19,-AL30),-3))</f>
        <v>#VALUE!</v>
      </c>
      <c r="AM32" s="9769"/>
      <c r="AN32" s="9769"/>
      <c r="AO32" s="9769"/>
      <c r="AP32" s="9769"/>
      <c r="AQ32" s="2162"/>
      <c r="AR32" s="2162"/>
      <c r="AS32" s="4303"/>
      <c r="AT32" s="2162"/>
      <c r="AU32" s="2162"/>
    </row>
    <row r="33" spans="1:60" ht="15">
      <c r="A33" s="2162"/>
      <c r="B33" s="899"/>
      <c r="C33" s="4069" t="s">
        <v>691</v>
      </c>
      <c r="D33" s="4433" t="s">
        <v>4471</v>
      </c>
      <c r="E33" s="892"/>
      <c r="F33" s="892"/>
      <c r="G33" s="2354"/>
      <c r="H33" s="892"/>
      <c r="I33" s="892"/>
      <c r="J33" s="892"/>
      <c r="K33" s="892"/>
      <c r="L33" s="892"/>
      <c r="M33" s="892"/>
      <c r="N33" s="892"/>
      <c r="O33" s="892"/>
      <c r="P33" s="892"/>
      <c r="Q33" s="892"/>
      <c r="R33" s="892"/>
      <c r="S33" s="892"/>
      <c r="T33" s="892"/>
      <c r="U33" s="892"/>
      <c r="V33" s="892"/>
      <c r="W33" s="892"/>
      <c r="X33" s="892"/>
      <c r="Y33" s="892"/>
      <c r="Z33" s="892"/>
      <c r="AA33" s="892"/>
      <c r="AB33" s="892"/>
      <c r="AC33" s="892"/>
      <c r="AD33" s="892"/>
      <c r="AE33" s="892"/>
      <c r="AF33" s="892"/>
      <c r="AG33" s="892"/>
      <c r="AH33" s="892"/>
      <c r="AI33" s="892"/>
      <c r="AJ33" s="2346"/>
      <c r="AK33" s="2349"/>
      <c r="AL33" s="9766">
        <v>0.05</v>
      </c>
      <c r="AM33" s="9767"/>
      <c r="AN33" s="9767"/>
      <c r="AO33" s="9767"/>
      <c r="AP33" s="9767"/>
      <c r="AQ33" s="2162"/>
      <c r="AR33" s="2162"/>
      <c r="AS33" s="4303"/>
      <c r="AT33" s="2162"/>
      <c r="AU33" s="2162"/>
    </row>
    <row r="34" spans="1:60" ht="14.25">
      <c r="A34" s="2584"/>
      <c r="B34" s="899"/>
      <c r="C34" s="4431" t="s">
        <v>4472</v>
      </c>
      <c r="D34" s="892"/>
      <c r="E34" s="892"/>
      <c r="F34" s="892"/>
      <c r="G34" s="2354"/>
      <c r="H34" s="892"/>
      <c r="I34" s="892"/>
      <c r="J34" s="892"/>
      <c r="K34" s="892"/>
      <c r="L34" s="892"/>
      <c r="M34" s="892"/>
      <c r="N34" s="892"/>
      <c r="O34" s="892"/>
      <c r="P34" s="892"/>
      <c r="Q34" s="892"/>
      <c r="R34" s="892"/>
      <c r="S34" s="892"/>
      <c r="T34" s="892"/>
      <c r="U34" s="892"/>
      <c r="V34" s="892"/>
      <c r="W34" s="892"/>
      <c r="X34" s="892"/>
      <c r="Y34" s="892"/>
      <c r="Z34" s="892"/>
      <c r="AA34" s="892"/>
      <c r="AB34" s="892"/>
      <c r="AC34" s="892"/>
      <c r="AD34" s="892"/>
      <c r="AE34" s="892"/>
      <c r="AF34" s="892"/>
      <c r="AG34" s="892"/>
      <c r="AH34" s="892"/>
      <c r="AI34" s="1128" t="s">
        <v>930</v>
      </c>
      <c r="AJ34" s="9716" t="s">
        <v>270</v>
      </c>
      <c r="AK34" s="7453"/>
      <c r="AL34" s="9697" t="str">
        <f>IF(AV30,"",IF(SUM(AL19,-AL30)&lt;=0,0,AL32))</f>
        <v/>
      </c>
      <c r="AM34" s="9698"/>
      <c r="AN34" s="9698"/>
      <c r="AO34" s="9698"/>
      <c r="AP34" s="9698"/>
      <c r="AQ34" s="2162"/>
      <c r="AR34" s="2162"/>
      <c r="AS34" s="4303"/>
      <c r="AT34" s="2162"/>
      <c r="AU34" s="2162"/>
    </row>
    <row r="35" spans="1:60" ht="14.25">
      <c r="A35" s="2162"/>
      <c r="B35" s="4388" t="s">
        <v>272</v>
      </c>
      <c r="C35" s="4431" t="str">
        <f>"Multiply line 10 by "&amp;TEXT(AL33,"0%")&amp;" ("&amp;TEXT(AL33,"0.00")&amp;")"</f>
        <v>Multiply line 10 by 5% (0.05)</v>
      </c>
      <c r="D35" s="892"/>
      <c r="E35" s="892"/>
      <c r="F35" s="892"/>
      <c r="G35" s="2354"/>
      <c r="H35" s="892"/>
      <c r="I35" s="892"/>
      <c r="J35" s="892"/>
      <c r="K35" s="899"/>
      <c r="L35" s="899"/>
      <c r="M35" s="899"/>
      <c r="N35" s="899"/>
      <c r="O35" s="899"/>
      <c r="P35" s="899"/>
      <c r="Q35" s="899"/>
      <c r="R35" s="899"/>
      <c r="S35" s="899"/>
      <c r="T35" s="899"/>
      <c r="U35" s="899"/>
      <c r="V35" s="899"/>
      <c r="W35" s="899"/>
      <c r="X35" s="899"/>
      <c r="Y35" s="899"/>
      <c r="Z35" s="899"/>
      <c r="AA35" s="899"/>
      <c r="AB35" s="899"/>
      <c r="AC35" s="899"/>
      <c r="AD35" s="899"/>
      <c r="AE35" s="899"/>
      <c r="AF35" s="899"/>
      <c r="AG35" s="899"/>
      <c r="AH35" s="899"/>
      <c r="AI35" s="1128" t="s">
        <v>2177</v>
      </c>
      <c r="AJ35" s="9716" t="s">
        <v>272</v>
      </c>
      <c r="AK35" s="7453"/>
      <c r="AL35" s="9697" t="str">
        <f>IF(AV30,"",ROUND(SUM(AL34*AL33),0))</f>
        <v/>
      </c>
      <c r="AM35" s="9698"/>
      <c r="AN35" s="9698"/>
      <c r="AO35" s="9698"/>
      <c r="AP35" s="9698"/>
      <c r="AQ35" s="2162"/>
      <c r="AR35" s="2162"/>
      <c r="AS35" s="4303"/>
      <c r="AT35" s="2162"/>
      <c r="AU35" s="2162"/>
    </row>
    <row r="36" spans="1:60" ht="15" customHeight="1">
      <c r="A36" s="2162"/>
      <c r="B36" s="4388" t="s">
        <v>1155</v>
      </c>
      <c r="C36" s="4431" t="s">
        <v>4473</v>
      </c>
      <c r="D36" s="2355"/>
      <c r="E36" s="2355"/>
      <c r="F36" s="2355"/>
      <c r="G36" s="2334"/>
      <c r="H36" s="2334"/>
      <c r="I36" s="2334"/>
      <c r="J36" s="2334"/>
      <c r="K36" s="2334"/>
      <c r="L36" s="2334"/>
      <c r="M36" s="892"/>
      <c r="N36" s="2334"/>
      <c r="O36" s="2334"/>
      <c r="P36" s="2334"/>
      <c r="Q36" s="2334"/>
      <c r="R36" s="2334"/>
      <c r="S36" s="2334"/>
      <c r="T36" s="2334"/>
      <c r="U36" s="2334"/>
      <c r="V36" s="2334"/>
      <c r="W36" s="2334"/>
      <c r="X36" s="2334"/>
      <c r="Y36" s="2334"/>
      <c r="Z36" s="2334"/>
      <c r="AA36" s="2334"/>
      <c r="AB36" s="2334"/>
      <c r="AC36" s="2334"/>
      <c r="AD36" s="2334"/>
      <c r="AE36" s="2334"/>
      <c r="AF36" s="2334"/>
      <c r="AG36" s="2334"/>
      <c r="AH36" s="2334"/>
      <c r="AI36" s="1128" t="s">
        <v>908</v>
      </c>
      <c r="AJ36" s="9716" t="s">
        <v>1155</v>
      </c>
      <c r="AK36" s="7453"/>
      <c r="AL36" s="9697" t="str">
        <f>IF(AV30,"",IF(SUM(AL27,-AL35)&lt;=0,0,SUM(AL27,-AL35)))</f>
        <v/>
      </c>
      <c r="AM36" s="9698"/>
      <c r="AN36" s="9698"/>
      <c r="AO36" s="9698"/>
      <c r="AP36" s="9698"/>
      <c r="AQ36" s="2162"/>
      <c r="AR36" s="2162"/>
      <c r="AS36" s="4941" t="b">
        <f>AL27&gt;AL35</f>
        <v>0</v>
      </c>
      <c r="AT36" s="2162"/>
      <c r="AU36" s="2162"/>
      <c r="AV36" s="806" t="b">
        <f>(AL36=0)</f>
        <v>0</v>
      </c>
    </row>
    <row r="37" spans="1:60" s="1998" customFormat="1" ht="14.25">
      <c r="A37" s="2338"/>
      <c r="B37" s="4386"/>
      <c r="C37" s="1665" t="str">
        <f>IF(AND(AL19&lt;&gt;0,AL19&lt;&gt;"",NOT(AS36)),"X","")</f>
        <v/>
      </c>
      <c r="D37" s="2355"/>
      <c r="E37" s="4437" t="s">
        <v>4474</v>
      </c>
      <c r="F37" s="2355"/>
      <c r="G37" s="2334"/>
      <c r="H37" s="4431" t="s">
        <v>4475</v>
      </c>
      <c r="I37" s="2334"/>
      <c r="J37" s="2334"/>
      <c r="K37" s="2334"/>
      <c r="L37" s="2334"/>
      <c r="M37" s="2336"/>
      <c r="N37" s="2334"/>
      <c r="O37" s="2334"/>
      <c r="P37" s="2334"/>
      <c r="Q37" s="2334"/>
      <c r="R37" s="2334"/>
      <c r="S37" s="2334"/>
      <c r="T37" s="2334"/>
      <c r="U37" s="2334"/>
      <c r="V37" s="2334"/>
      <c r="W37" s="2334"/>
      <c r="X37" s="2334"/>
      <c r="Y37" s="2334"/>
      <c r="Z37" s="2334"/>
      <c r="AA37" s="2334"/>
      <c r="AB37" s="2334"/>
      <c r="AC37" s="2334"/>
      <c r="AD37" s="3169"/>
      <c r="AE37" s="4930"/>
      <c r="AF37" s="2821"/>
      <c r="AG37" s="4931"/>
      <c r="AH37" s="2821"/>
      <c r="AI37" s="4911"/>
      <c r="AJ37" s="2342"/>
      <c r="AK37" s="2343"/>
      <c r="AL37" s="2343"/>
      <c r="AM37" s="2343"/>
      <c r="AN37" s="2343"/>
      <c r="AO37" s="2343"/>
      <c r="AP37" s="2343"/>
      <c r="AQ37" s="2338"/>
      <c r="AR37" s="2343"/>
      <c r="AS37" s="6224" t="b">
        <f>C37&lt;&gt;""</f>
        <v>0</v>
      </c>
      <c r="AT37" s="2162"/>
      <c r="AU37" s="2162"/>
      <c r="AX37" s="2045"/>
      <c r="AY37" s="2045"/>
      <c r="AZ37" s="2045"/>
      <c r="BA37" s="2045"/>
      <c r="BB37" s="2045"/>
      <c r="BC37" s="2045"/>
      <c r="BD37" s="2045"/>
      <c r="BE37" s="2045"/>
      <c r="BF37" s="2045"/>
      <c r="BG37" s="2045"/>
      <c r="BH37" s="2045"/>
    </row>
    <row r="38" spans="1:60" ht="12" customHeight="1">
      <c r="A38" s="2162"/>
      <c r="B38" s="2333"/>
      <c r="C38" s="2359"/>
      <c r="D38" s="4431"/>
      <c r="E38" s="4431" t="s">
        <v>4476</v>
      </c>
      <c r="F38" s="2354"/>
      <c r="G38" s="4433"/>
      <c r="H38" s="4433"/>
      <c r="I38" s="4433"/>
      <c r="J38" s="4433"/>
      <c r="K38" s="4433"/>
      <c r="L38" s="4433"/>
      <c r="M38" s="4433"/>
      <c r="N38" s="4434"/>
      <c r="O38" s="4434"/>
      <c r="P38" s="4434"/>
      <c r="Q38" s="4434"/>
      <c r="R38" s="4434"/>
      <c r="S38" s="4434"/>
      <c r="T38" s="4434"/>
      <c r="U38" s="4434"/>
      <c r="V38" s="4431"/>
      <c r="W38" s="4434"/>
      <c r="X38" s="4434"/>
      <c r="Y38" s="4434"/>
      <c r="Z38" s="4434"/>
      <c r="AA38" s="4434"/>
      <c r="AB38" s="4434"/>
      <c r="AC38" s="4434"/>
      <c r="AD38" s="4434"/>
      <c r="AE38" s="4435"/>
      <c r="AF38" s="4435"/>
      <c r="AG38" s="2333"/>
      <c r="AH38" s="2821"/>
      <c r="AI38" s="4912"/>
      <c r="AJ38" s="2342"/>
      <c r="AK38" s="2343"/>
      <c r="AL38" s="2343"/>
      <c r="AM38" s="2343"/>
      <c r="AN38" s="2343"/>
      <c r="AO38" s="2343"/>
      <c r="AP38" s="2343"/>
      <c r="AQ38" s="2338"/>
      <c r="AR38" s="2343"/>
      <c r="AS38" s="4303"/>
      <c r="AT38" s="2343"/>
      <c r="AU38" s="2343"/>
    </row>
    <row r="39" spans="1:60" ht="13.5" customHeight="1">
      <c r="A39" s="2162"/>
      <c r="B39" s="1715"/>
      <c r="C39" s="1665" t="str">
        <f>IF(AND(AL19&lt;&gt;0,AL19&lt;&gt;"",AS36),"X","")</f>
        <v/>
      </c>
      <c r="D39" s="4438"/>
      <c r="E39" s="4438" t="s">
        <v>4477</v>
      </c>
      <c r="F39" s="4438"/>
      <c r="G39" s="4438"/>
      <c r="H39" s="4438"/>
      <c r="I39" s="4438"/>
      <c r="J39" s="4438"/>
      <c r="K39" s="4438"/>
      <c r="L39" s="4438"/>
      <c r="M39" s="4438"/>
      <c r="N39" s="4438"/>
      <c r="O39" s="4438"/>
      <c r="P39" s="4438"/>
      <c r="Q39" s="4438"/>
      <c r="R39" s="4438"/>
      <c r="S39" s="4438"/>
      <c r="T39" s="4438"/>
      <c r="U39" s="4438"/>
      <c r="V39" s="4438"/>
      <c r="W39" s="4438"/>
      <c r="X39" s="4438"/>
      <c r="Y39" s="4438"/>
      <c r="Z39" s="4438"/>
      <c r="AA39" s="4438"/>
      <c r="AB39" s="4438"/>
      <c r="AC39" s="4438"/>
      <c r="AD39" s="4438"/>
      <c r="AE39" s="4438"/>
      <c r="AF39" s="4438"/>
      <c r="AG39" s="1715"/>
      <c r="AH39" s="2821"/>
      <c r="AI39" s="1715"/>
      <c r="AJ39" s="2342"/>
      <c r="AK39" s="2343"/>
      <c r="AL39" s="2343"/>
      <c r="AM39" s="2343"/>
      <c r="AN39" s="2343"/>
      <c r="AO39" s="2343"/>
      <c r="AP39" s="2343"/>
      <c r="AQ39" s="2343"/>
      <c r="AR39" s="2343"/>
      <c r="AS39" s="2343"/>
      <c r="AT39" s="2343"/>
      <c r="AU39" s="2343"/>
    </row>
    <row r="40" spans="1:60">
      <c r="A40" s="2162"/>
      <c r="B40" s="4388">
        <v>13</v>
      </c>
      <c r="C40" s="4431" t="s">
        <v>4478</v>
      </c>
      <c r="D40" s="4438"/>
      <c r="E40" s="4438"/>
      <c r="F40" s="4438"/>
      <c r="G40" s="4438"/>
      <c r="H40" s="4438"/>
      <c r="I40" s="4438"/>
      <c r="J40" s="4438"/>
      <c r="K40" s="4438"/>
      <c r="L40" s="4438"/>
      <c r="M40" s="4438"/>
      <c r="N40" s="4438"/>
      <c r="O40" s="4438"/>
      <c r="P40" s="4438"/>
      <c r="Q40" s="4438"/>
      <c r="R40" s="4438"/>
      <c r="S40" s="4438"/>
      <c r="T40" s="4438"/>
      <c r="U40" s="4438"/>
      <c r="V40" s="4438"/>
      <c r="W40" s="4438"/>
      <c r="X40" s="4438"/>
      <c r="Y40" s="4438"/>
      <c r="Z40" s="4438"/>
      <c r="AA40" s="4438"/>
      <c r="AB40" s="4438"/>
      <c r="AC40" s="4438"/>
      <c r="AD40" s="4438"/>
      <c r="AE40" s="4438"/>
      <c r="AF40" s="4438"/>
      <c r="AG40" s="1715"/>
      <c r="AH40" s="2821"/>
      <c r="AI40" s="1128" t="s">
        <v>908</v>
      </c>
      <c r="AJ40" s="9716">
        <v>13</v>
      </c>
      <c r="AK40" s="7453"/>
      <c r="AL40" s="9697" t="str">
        <f>IF(C39="X",AK122,"")</f>
        <v/>
      </c>
      <c r="AM40" s="9698"/>
      <c r="AN40" s="9698"/>
      <c r="AO40" s="9698"/>
      <c r="AP40" s="9698"/>
      <c r="AQ40" s="2343"/>
      <c r="AR40" s="2343"/>
      <c r="AS40" s="4303"/>
      <c r="AT40" s="2343"/>
      <c r="AU40" s="2343"/>
    </row>
    <row r="41" spans="1:60">
      <c r="A41" s="2162"/>
      <c r="B41" s="4388">
        <v>14</v>
      </c>
      <c r="C41" s="4431" t="s">
        <v>4479</v>
      </c>
      <c r="D41" s="4431"/>
      <c r="E41" s="4431"/>
      <c r="F41" s="4431"/>
      <c r="G41" s="4431"/>
      <c r="H41" s="4431"/>
      <c r="I41" s="4431"/>
      <c r="J41" s="4431"/>
      <c r="K41" s="4431"/>
      <c r="L41" s="4431"/>
      <c r="M41" s="4431"/>
      <c r="N41" s="4431"/>
      <c r="O41" s="4431"/>
      <c r="P41" s="4431"/>
      <c r="Q41" s="4431"/>
      <c r="R41" s="4431"/>
      <c r="S41" s="4431"/>
      <c r="T41" s="4431"/>
      <c r="U41" s="4431"/>
      <c r="V41" s="4431"/>
      <c r="W41" s="4431"/>
      <c r="X41" s="4431"/>
      <c r="Y41" s="4431"/>
      <c r="Z41" s="4431"/>
      <c r="AA41" s="4431"/>
      <c r="AB41" s="4431"/>
      <c r="AC41" s="4431"/>
      <c r="AD41" s="4431"/>
      <c r="AE41" s="4431"/>
      <c r="AF41" s="4431"/>
      <c r="AG41" s="1715"/>
      <c r="AH41" s="2821"/>
      <c r="AI41" s="1128" t="s">
        <v>950</v>
      </c>
      <c r="AJ41" s="9717">
        <v>14</v>
      </c>
      <c r="AK41" s="7366"/>
      <c r="AL41" s="9718">
        <f>IF(AS41&lt;&gt;"",ROUND(AS41,0),MIN(AL36,AL40))</f>
        <v>0</v>
      </c>
      <c r="AM41" s="9719"/>
      <c r="AN41" s="9719"/>
      <c r="AO41" s="9719"/>
      <c r="AP41" s="9719"/>
      <c r="AQ41" s="2162"/>
      <c r="AR41" s="2162"/>
      <c r="AS41" s="4297"/>
      <c r="AT41" s="2162"/>
      <c r="AU41" s="2162"/>
    </row>
    <row r="42" spans="1:60" ht="13.5" thickBot="1">
      <c r="A42" s="2162"/>
      <c r="B42" s="1715"/>
      <c r="C42" s="4437" t="s">
        <v>4480</v>
      </c>
      <c r="D42" s="4431"/>
      <c r="E42" s="4431"/>
      <c r="F42" s="4431"/>
      <c r="G42" s="4431"/>
      <c r="H42" s="4431"/>
      <c r="I42" s="4431"/>
      <c r="J42" s="4431"/>
      <c r="K42" s="4431"/>
      <c r="L42" s="4431"/>
      <c r="M42" s="4431"/>
      <c r="N42" s="4431"/>
      <c r="O42" s="4431"/>
      <c r="P42" s="4431"/>
      <c r="Q42" s="4431"/>
      <c r="R42" s="4431"/>
      <c r="S42" s="4431"/>
      <c r="T42" s="4431"/>
      <c r="U42" s="4431"/>
      <c r="V42" s="4431"/>
      <c r="W42" s="4431"/>
      <c r="X42" s="4431"/>
      <c r="Y42" s="4431"/>
      <c r="Z42" s="4431"/>
      <c r="AA42" s="4431"/>
      <c r="AB42" s="4431"/>
      <c r="AC42" s="4431"/>
      <c r="AD42" s="4431"/>
      <c r="AE42" s="4431"/>
      <c r="AF42" s="4431"/>
      <c r="AG42" s="1715"/>
      <c r="AH42" s="2821"/>
      <c r="AI42" s="1715"/>
      <c r="AJ42" s="2333"/>
      <c r="AK42" s="2333"/>
      <c r="AL42" s="2333"/>
      <c r="AM42" s="2333"/>
      <c r="AN42" s="2333"/>
      <c r="AO42" s="2333"/>
      <c r="AP42" s="2333"/>
      <c r="AQ42" s="2162"/>
      <c r="AR42" s="2162"/>
      <c r="AS42" s="4303"/>
      <c r="AT42" s="2162"/>
      <c r="AU42" s="2162"/>
    </row>
    <row r="43" spans="1:60" ht="14.25">
      <c r="A43" s="2162"/>
      <c r="B43" s="4442"/>
      <c r="C43" s="4914"/>
      <c r="D43" s="4915"/>
      <c r="E43" s="4915"/>
      <c r="F43" s="4915"/>
      <c r="G43" s="4915"/>
      <c r="H43" s="4915"/>
      <c r="I43" s="4915"/>
      <c r="J43" s="4915"/>
      <c r="K43" s="4915"/>
      <c r="L43" s="4915"/>
      <c r="M43" s="4915"/>
      <c r="N43" s="4915"/>
      <c r="O43" s="4915"/>
      <c r="P43" s="4915"/>
      <c r="Q43" s="4915"/>
      <c r="R43" s="4916"/>
      <c r="S43" s="4915"/>
      <c r="T43" s="4915"/>
      <c r="U43" s="4920" t="s">
        <v>4481</v>
      </c>
      <c r="V43" s="4915"/>
      <c r="W43" s="4915"/>
      <c r="X43" s="4915"/>
      <c r="Y43" s="4915"/>
      <c r="Z43" s="4915"/>
      <c r="AA43" s="4915"/>
      <c r="AB43" s="4915"/>
      <c r="AC43" s="4915"/>
      <c r="AD43" s="4915"/>
      <c r="AE43" s="4915"/>
      <c r="AF43" s="4915"/>
      <c r="AG43" s="4442"/>
      <c r="AH43" s="4917"/>
      <c r="AI43" s="4442"/>
      <c r="AJ43" s="4918"/>
      <c r="AK43" s="4918"/>
      <c r="AL43" s="4918"/>
      <c r="AM43" s="4918"/>
      <c r="AN43" s="4918"/>
      <c r="AO43" s="4918"/>
      <c r="AP43" s="4918"/>
      <c r="AQ43" s="2162"/>
      <c r="AR43" s="2162"/>
      <c r="AS43" s="4303"/>
      <c r="AT43" s="2162"/>
      <c r="AU43" s="2162"/>
    </row>
    <row r="44" spans="1:60" ht="14.25">
      <c r="A44" s="2162"/>
      <c r="B44" s="1715"/>
      <c r="C44" s="4437"/>
      <c r="D44" s="4431"/>
      <c r="E44" s="1715"/>
      <c r="F44" s="4437"/>
      <c r="G44" s="4431"/>
      <c r="H44" s="1715"/>
      <c r="I44" s="4437"/>
      <c r="J44" s="4431"/>
      <c r="K44" s="1715"/>
      <c r="L44" s="4437"/>
      <c r="M44" s="4431"/>
      <c r="N44" s="1715"/>
      <c r="O44" s="4437"/>
      <c r="P44" s="4431"/>
      <c r="Q44" s="1715"/>
      <c r="R44" s="4437"/>
      <c r="S44" s="4431"/>
      <c r="T44" s="1715"/>
      <c r="U44" s="2355" t="s">
        <v>4482</v>
      </c>
      <c r="V44" s="4431"/>
      <c r="W44" s="1715"/>
      <c r="X44" s="4437"/>
      <c r="Y44" s="4431"/>
      <c r="Z44" s="1715"/>
      <c r="AA44" s="4437"/>
      <c r="AB44" s="4431"/>
      <c r="AC44" s="1715"/>
      <c r="AD44" s="4437"/>
      <c r="AE44" s="4431"/>
      <c r="AF44" s="1715"/>
      <c r="AG44" s="4437"/>
      <c r="AH44" s="4431"/>
      <c r="AI44" s="1715"/>
      <c r="AJ44" s="1715"/>
      <c r="AK44" s="4437"/>
      <c r="AL44" s="4431"/>
      <c r="AM44" s="1715"/>
      <c r="AN44" s="4437"/>
      <c r="AO44" s="4431"/>
      <c r="AP44" s="1715"/>
      <c r="AQ44" s="2162"/>
      <c r="AR44" s="2162"/>
      <c r="AS44" s="4303"/>
      <c r="AT44" s="2162"/>
      <c r="AU44" s="2162"/>
    </row>
    <row r="45" spans="1:60" ht="16.5" customHeight="1" thickBot="1">
      <c r="A45" s="2162"/>
      <c r="B45" s="1715"/>
      <c r="C45" s="2359"/>
      <c r="D45" s="1715"/>
      <c r="E45" s="1715"/>
      <c r="F45" s="1715"/>
      <c r="G45" s="1715"/>
      <c r="H45" s="1715"/>
      <c r="I45" s="1715"/>
      <c r="J45" s="1715"/>
      <c r="K45" s="1715"/>
      <c r="L45" s="1715"/>
      <c r="M45" s="1715"/>
      <c r="N45" s="1715"/>
      <c r="O45" s="1715"/>
      <c r="P45" s="1715"/>
      <c r="Q45" s="1715"/>
      <c r="R45" s="1715"/>
      <c r="S45" s="1715"/>
      <c r="T45" s="1715"/>
      <c r="U45" s="2355" t="s">
        <v>4483</v>
      </c>
      <c r="V45" s="1715"/>
      <c r="W45" s="1715"/>
      <c r="X45" s="1715"/>
      <c r="Y45" s="1715"/>
      <c r="Z45" s="1715"/>
      <c r="AA45" s="1715"/>
      <c r="AB45" s="1715"/>
      <c r="AC45" s="1715"/>
      <c r="AD45" s="1715"/>
      <c r="AE45" s="1715"/>
      <c r="AF45" s="1715"/>
      <c r="AG45" s="1715"/>
      <c r="AH45" s="1715"/>
      <c r="AI45" s="1719"/>
      <c r="AJ45" s="4919"/>
      <c r="AK45" s="4919"/>
      <c r="AL45" s="4919"/>
      <c r="AM45" s="4919"/>
      <c r="AN45" s="4919"/>
      <c r="AO45" s="4919"/>
      <c r="AP45" s="4919"/>
      <c r="AQ45" s="2162"/>
      <c r="AR45" s="2162"/>
      <c r="AS45" s="4303"/>
      <c r="AT45" s="2162"/>
      <c r="AU45" s="2162"/>
    </row>
    <row r="46" spans="1:60" ht="17.25" customHeight="1">
      <c r="A46" s="2162"/>
      <c r="B46" s="2375" t="s">
        <v>979</v>
      </c>
      <c r="C46" s="2376"/>
      <c r="D46" s="2377"/>
      <c r="E46" s="2377"/>
      <c r="F46" s="2377"/>
      <c r="G46" s="2377"/>
      <c r="H46" s="2377"/>
      <c r="I46" s="2377"/>
      <c r="J46" s="2377"/>
      <c r="K46" s="2377"/>
      <c r="L46" s="2377"/>
      <c r="M46" s="2377"/>
      <c r="N46" s="2377"/>
      <c r="O46" s="2377"/>
      <c r="P46" s="2377"/>
      <c r="Q46" s="2377"/>
      <c r="R46" s="2377"/>
      <c r="S46" s="2377"/>
      <c r="T46" s="2377"/>
      <c r="U46" s="2377"/>
      <c r="V46" s="2377"/>
      <c r="W46" s="2377"/>
      <c r="X46" s="2377"/>
      <c r="Y46" s="2378"/>
      <c r="Z46" s="3424" t="s">
        <v>4484</v>
      </c>
      <c r="AA46" s="2378"/>
      <c r="AB46" s="2377"/>
      <c r="AC46" s="2377"/>
      <c r="AD46" s="2377"/>
      <c r="AE46" s="2377"/>
      <c r="AF46" s="2377"/>
      <c r="AG46" s="2377"/>
      <c r="AH46" s="2377"/>
      <c r="AI46" s="2377"/>
      <c r="AJ46" s="1382"/>
      <c r="AK46" s="1382"/>
      <c r="AL46" s="3874"/>
      <c r="AM46" s="1382"/>
      <c r="AN46" s="1382"/>
      <c r="AO46" s="1382"/>
      <c r="AP46" s="4312" t="str">
        <f>"Schedule 8812 (Form 1040) "&amp;TaxYear</f>
        <v>Schedule 8812 (Form 1040) 2023</v>
      </c>
      <c r="AQ46" s="2162"/>
      <c r="AR46" s="2162"/>
      <c r="AS46" s="4445" t="s">
        <v>4486</v>
      </c>
      <c r="AT46" s="2162"/>
      <c r="AU46" s="2162"/>
    </row>
    <row r="47" spans="1:60" ht="20.25" customHeight="1" thickBot="1">
      <c r="A47" s="2162"/>
      <c r="B47" s="4174" t="str">
        <f>"Schedule 8812 (Form 1040) "&amp;TaxYear</f>
        <v>Schedule 8812 (Form 1040) 2023</v>
      </c>
      <c r="C47" s="4334"/>
      <c r="D47" s="4335"/>
      <c r="E47" s="4335"/>
      <c r="F47" s="4335"/>
      <c r="G47" s="4335"/>
      <c r="H47" s="4335"/>
      <c r="I47" s="4335"/>
      <c r="J47" s="4335"/>
      <c r="K47" s="4335"/>
      <c r="L47" s="4335"/>
      <c r="M47" s="4335"/>
      <c r="N47" s="4335"/>
      <c r="O47" s="4335"/>
      <c r="P47" s="4335"/>
      <c r="Q47" s="4335"/>
      <c r="R47" s="4335"/>
      <c r="S47" s="4335"/>
      <c r="T47" s="4335"/>
      <c r="U47" s="4335"/>
      <c r="V47" s="4335"/>
      <c r="W47" s="4335"/>
      <c r="X47" s="4335"/>
      <c r="Y47" s="4336"/>
      <c r="Z47" s="4337"/>
      <c r="AA47" s="4336"/>
      <c r="AB47" s="4335"/>
      <c r="AC47" s="4335"/>
      <c r="AD47" s="4335"/>
      <c r="AE47" s="4335"/>
      <c r="AF47" s="4335"/>
      <c r="AG47" s="4335"/>
      <c r="AH47" s="4335"/>
      <c r="AI47" s="4335"/>
      <c r="AJ47" s="4335"/>
      <c r="AK47" s="4335"/>
      <c r="AL47" s="4338"/>
      <c r="AM47" s="4335"/>
      <c r="AN47" s="4335"/>
      <c r="AO47" s="4335"/>
      <c r="AP47" s="4339" t="s">
        <v>4485</v>
      </c>
      <c r="AQ47" s="2162"/>
      <c r="AR47" s="2162"/>
      <c r="AS47" s="4446" t="s">
        <v>4489</v>
      </c>
      <c r="AT47" s="2162"/>
      <c r="AU47" s="2162"/>
    </row>
    <row r="48" spans="1:60" s="2114" customFormat="1" ht="16.5" thickTop="1">
      <c r="A48" s="2163"/>
      <c r="B48" s="9723" t="s">
        <v>4487</v>
      </c>
      <c r="C48" s="9723"/>
      <c r="D48" s="9724"/>
      <c r="E48" s="4924" t="s">
        <v>4488</v>
      </c>
      <c r="F48" s="2763"/>
      <c r="G48" s="2763"/>
      <c r="H48" s="998"/>
      <c r="I48" s="998"/>
      <c r="J48" s="998"/>
      <c r="K48" s="998"/>
      <c r="L48" s="998"/>
      <c r="M48" s="998"/>
      <c r="N48" s="998"/>
      <c r="O48" s="998"/>
      <c r="P48" s="998"/>
      <c r="Q48" s="998"/>
      <c r="R48" s="998"/>
      <c r="S48" s="998"/>
      <c r="T48" s="998"/>
      <c r="U48" s="998"/>
      <c r="V48" s="998"/>
      <c r="W48" s="998"/>
      <c r="X48" s="998"/>
      <c r="Y48" s="998"/>
      <c r="Z48" s="998"/>
      <c r="AA48" s="998"/>
      <c r="AB48" s="998"/>
      <c r="AC48" s="998"/>
      <c r="AD48" s="998"/>
      <c r="AE48" s="998"/>
      <c r="AF48" s="998"/>
      <c r="AG48" s="998"/>
      <c r="AH48" s="998"/>
      <c r="AI48" s="4444"/>
      <c r="AJ48" s="998"/>
      <c r="AK48" s="998"/>
      <c r="AL48" s="9712"/>
      <c r="AM48" s="9712"/>
      <c r="AN48" s="9712"/>
      <c r="AO48" s="9712"/>
      <c r="AP48" s="9712"/>
      <c r="AQ48" s="2162"/>
      <c r="AR48" s="2162"/>
      <c r="AS48" s="6225" t="str">
        <f>IF(F8812_Skip_Part_II_A,"Skip Part II-A.","")</f>
        <v>Skip Part II-A.</v>
      </c>
      <c r="AT48" s="2162"/>
      <c r="AU48" s="2162"/>
      <c r="AV48" s="39"/>
      <c r="AW48" s="39"/>
      <c r="AX48" s="2038"/>
      <c r="AY48" s="2038"/>
      <c r="AZ48" s="2038"/>
      <c r="BA48" s="2038"/>
      <c r="BB48" s="2038"/>
      <c r="BC48" s="2038"/>
      <c r="BD48" s="2038"/>
      <c r="BE48" s="2038"/>
      <c r="BF48" s="2038"/>
      <c r="BG48" s="2038"/>
      <c r="BH48" s="2038"/>
    </row>
    <row r="49" spans="1:47" ht="17.25" customHeight="1">
      <c r="A49" s="2162"/>
      <c r="B49" s="4436" t="s">
        <v>4490</v>
      </c>
      <c r="C49" s="4313"/>
      <c r="D49" s="3875"/>
      <c r="E49" s="3875"/>
      <c r="F49" s="3875"/>
      <c r="G49" s="3875"/>
      <c r="H49" s="3875"/>
      <c r="I49" s="3875"/>
      <c r="J49" s="3875"/>
      <c r="K49" s="3875"/>
      <c r="L49" s="3875"/>
      <c r="M49" s="3875"/>
      <c r="N49" s="3875"/>
      <c r="O49" s="3875"/>
      <c r="P49" s="3875"/>
      <c r="Q49" s="3875"/>
      <c r="R49" s="3875"/>
      <c r="S49" s="3875"/>
      <c r="T49" s="3875"/>
      <c r="U49" s="3875"/>
      <c r="V49" s="3875"/>
      <c r="W49" s="3875"/>
      <c r="X49" s="3875"/>
      <c r="Y49" s="4314"/>
      <c r="Z49" s="4315"/>
      <c r="AA49" s="4314"/>
      <c r="AB49" s="3875"/>
      <c r="AC49" s="3875"/>
      <c r="AD49" s="3875"/>
      <c r="AE49" s="3875"/>
      <c r="AF49" s="3875"/>
      <c r="AG49" s="3875"/>
      <c r="AH49" s="3875"/>
      <c r="AI49" s="3875"/>
      <c r="AJ49" s="3875"/>
      <c r="AK49" s="3875"/>
      <c r="AL49" s="9700" t="b">
        <f>Form2555_Used</f>
        <v>0</v>
      </c>
      <c r="AM49" s="9700"/>
      <c r="AN49" s="9700"/>
      <c r="AO49" s="9700"/>
      <c r="AP49" s="9700"/>
      <c r="AQ49" s="2162"/>
      <c r="AR49" s="2162"/>
      <c r="AS49" s="4732" t="s">
        <v>867</v>
      </c>
      <c r="AT49" s="2162"/>
      <c r="AU49" s="2162"/>
    </row>
    <row r="50" spans="1:47" ht="3.75" customHeight="1" thickBot="1">
      <c r="A50" s="2162"/>
      <c r="B50" s="4437"/>
      <c r="C50" s="4922"/>
      <c r="D50" s="4923"/>
      <c r="E50" s="4923"/>
      <c r="F50" s="4923"/>
      <c r="G50" s="4923"/>
      <c r="H50" s="4923"/>
      <c r="I50" s="4923"/>
      <c r="J50" s="4923"/>
      <c r="K50" s="4923"/>
      <c r="L50" s="4923"/>
      <c r="M50" s="4923"/>
      <c r="N50" s="4923"/>
      <c r="O50" s="4923"/>
      <c r="P50" s="4923"/>
      <c r="Q50" s="4923"/>
      <c r="R50" s="4923"/>
      <c r="S50" s="4923"/>
      <c r="T50" s="4923"/>
      <c r="U50" s="4923"/>
      <c r="V50" s="4923"/>
      <c r="W50" s="4923"/>
      <c r="X50" s="4923"/>
      <c r="Y50" s="4582"/>
      <c r="Z50" s="1326"/>
      <c r="AA50" s="4582"/>
      <c r="AB50" s="4923"/>
      <c r="AC50" s="4923"/>
      <c r="AD50" s="4923"/>
      <c r="AE50" s="4923"/>
      <c r="AF50" s="4923"/>
      <c r="AG50" s="4923"/>
      <c r="AH50" s="4923"/>
      <c r="AI50" s="4923"/>
      <c r="AJ50" s="4923"/>
      <c r="AK50" s="4923"/>
      <c r="AL50" s="4910"/>
      <c r="AM50" s="4910"/>
      <c r="AN50" s="4910"/>
      <c r="AO50" s="4910"/>
      <c r="AP50" s="4910"/>
      <c r="AQ50" s="2162"/>
      <c r="AR50" s="2162"/>
      <c r="AS50" s="4732"/>
      <c r="AT50" s="2162"/>
      <c r="AU50" s="2162"/>
    </row>
    <row r="51" spans="1:47" ht="11.25" customHeight="1" thickBot="1">
      <c r="A51" s="2162"/>
      <c r="B51" s="2335">
        <v>15</v>
      </c>
      <c r="C51" s="3873"/>
      <c r="D51" s="4438" t="s">
        <v>4491</v>
      </c>
      <c r="E51" s="1382"/>
      <c r="F51" s="1382"/>
      <c r="G51" s="1382"/>
      <c r="H51" s="1382"/>
      <c r="I51" s="1382"/>
      <c r="J51" s="1382"/>
      <c r="K51" s="1382"/>
      <c r="L51" s="1382"/>
      <c r="M51" s="1382"/>
      <c r="N51" s="1382"/>
      <c r="O51" s="1382"/>
      <c r="P51" s="1382"/>
      <c r="Q51" s="1382"/>
      <c r="R51" s="1382"/>
      <c r="S51" s="1382"/>
      <c r="T51" s="1382"/>
      <c r="U51" s="1382"/>
      <c r="V51" s="1382"/>
      <c r="W51" s="1382"/>
      <c r="X51" s="1382"/>
      <c r="Y51" s="3250"/>
      <c r="Z51" s="1329"/>
      <c r="AA51" s="3250"/>
      <c r="AB51" s="1382"/>
      <c r="AC51" s="1382"/>
      <c r="AD51" s="1382"/>
      <c r="AE51" s="1382"/>
      <c r="AF51" s="1382"/>
      <c r="AG51" s="1382"/>
      <c r="AH51" s="1382"/>
      <c r="AI51" s="1382"/>
      <c r="AJ51" s="1382"/>
      <c r="AK51" s="1382"/>
      <c r="AL51" s="2821"/>
      <c r="AM51" s="2821"/>
      <c r="AN51" s="2760" t="s">
        <v>950</v>
      </c>
      <c r="AO51" s="6223" t="str">
        <f>IF(AND(AS67,AR51&lt;&gt;""),"X","")</f>
        <v/>
      </c>
      <c r="AP51" s="2821"/>
      <c r="AQ51" s="2162"/>
      <c r="AR51" s="5987"/>
      <c r="AS51" s="6224" t="b">
        <f>AO51&lt;&gt;""</f>
        <v>0</v>
      </c>
      <c r="AT51" s="2162"/>
      <c r="AU51" s="2162"/>
    </row>
    <row r="52" spans="1:47" ht="4.5" customHeight="1">
      <c r="A52" s="2162"/>
      <c r="B52" s="2335"/>
      <c r="C52" s="3873"/>
      <c r="D52" s="4438"/>
      <c r="E52" s="1382"/>
      <c r="F52" s="1382"/>
      <c r="G52" s="1382"/>
      <c r="H52" s="1382"/>
      <c r="I52" s="1382"/>
      <c r="J52" s="1382"/>
      <c r="K52" s="1382"/>
      <c r="L52" s="1382"/>
      <c r="M52" s="1382"/>
      <c r="N52" s="1382"/>
      <c r="O52" s="1382"/>
      <c r="P52" s="1382"/>
      <c r="Q52" s="1382"/>
      <c r="R52" s="1382"/>
      <c r="S52" s="1382"/>
      <c r="T52" s="1382"/>
      <c r="U52" s="1382"/>
      <c r="V52" s="1382"/>
      <c r="W52" s="1382"/>
      <c r="X52" s="1382"/>
      <c r="Y52" s="3250"/>
      <c r="Z52" s="1329"/>
      <c r="AA52" s="3250"/>
      <c r="AB52" s="1382"/>
      <c r="AC52" s="1382"/>
      <c r="AD52" s="1382"/>
      <c r="AE52" s="1382"/>
      <c r="AF52" s="1382"/>
      <c r="AG52" s="1382"/>
      <c r="AH52" s="1382"/>
      <c r="AI52" s="1382"/>
      <c r="AJ52" s="1382"/>
      <c r="AK52" s="1382"/>
      <c r="AL52" s="1880"/>
      <c r="AM52" s="1880"/>
      <c r="AN52" s="1880"/>
      <c r="AO52" s="1880"/>
      <c r="AP52" s="1880"/>
      <c r="AQ52" s="2162"/>
      <c r="AR52" s="2162"/>
      <c r="AS52" s="4732"/>
      <c r="AT52" s="2162"/>
      <c r="AU52" s="2162"/>
    </row>
    <row r="53" spans="1:47" ht="15.75" customHeight="1">
      <c r="A53" s="2162"/>
      <c r="B53" s="2335" t="s">
        <v>2335</v>
      </c>
      <c r="C53" s="1715"/>
      <c r="D53" s="4431" t="s">
        <v>4492</v>
      </c>
      <c r="E53" s="1382"/>
      <c r="F53" s="1382"/>
      <c r="G53" s="1382"/>
      <c r="H53" s="1382"/>
      <c r="I53" s="1382"/>
      <c r="J53" s="1382"/>
      <c r="K53" s="1382"/>
      <c r="L53" s="4431" t="s">
        <v>4493</v>
      </c>
      <c r="M53" s="2336"/>
      <c r="N53" s="1715" t="s">
        <v>4494</v>
      </c>
      <c r="O53" s="2334"/>
      <c r="P53" s="1382"/>
      <c r="Q53" s="4431"/>
      <c r="R53" s="4431" t="s">
        <v>4495</v>
      </c>
      <c r="S53" s="1382"/>
      <c r="T53" s="1382"/>
      <c r="U53" s="1382"/>
      <c r="V53" s="1382"/>
      <c r="W53" s="1382"/>
      <c r="X53" s="1382"/>
      <c r="Y53" s="3250"/>
      <c r="Z53" s="1329"/>
      <c r="AA53" s="4921"/>
      <c r="AB53" s="4921"/>
      <c r="AC53" s="4921"/>
      <c r="AD53" s="4925"/>
      <c r="AE53" s="4925"/>
      <c r="AF53" s="4925"/>
      <c r="AG53" s="4926"/>
      <c r="AH53" s="4926"/>
      <c r="AI53" s="4927"/>
      <c r="AJ53" s="9710"/>
      <c r="AK53" s="9711"/>
      <c r="AL53" s="9729" t="b">
        <f>AND(AS67,OR(AL49,AS37,AS51,AL55))</f>
        <v>1</v>
      </c>
      <c r="AM53" s="9730"/>
      <c r="AN53" s="9730"/>
      <c r="AO53" s="9730"/>
      <c r="AP53" s="9730"/>
      <c r="AQ53" s="2162"/>
      <c r="AR53" s="2162"/>
      <c r="AS53" s="6224" t="b">
        <f>AL54&lt;=0</f>
        <v>0</v>
      </c>
      <c r="AT53" s="2162"/>
      <c r="AU53" s="2162"/>
    </row>
    <row r="54" spans="1:47" ht="15.75" customHeight="1">
      <c r="A54" s="2162"/>
      <c r="B54" s="2335"/>
      <c r="C54" s="1715"/>
      <c r="D54" s="4431" t="s">
        <v>4496</v>
      </c>
      <c r="E54" s="1382"/>
      <c r="F54" s="1382"/>
      <c r="G54" s="1382"/>
      <c r="H54" s="1382"/>
      <c r="I54" s="1382"/>
      <c r="J54" s="1382"/>
      <c r="K54" s="1382"/>
      <c r="L54" s="4438"/>
      <c r="M54" s="2336"/>
      <c r="N54" s="1382"/>
      <c r="O54" s="1382"/>
      <c r="P54" s="1382"/>
      <c r="Q54" s="1382"/>
      <c r="R54" s="1382"/>
      <c r="S54" s="1382"/>
      <c r="T54" s="1382"/>
      <c r="U54" s="1382"/>
      <c r="V54" s="1382"/>
      <c r="W54" s="1382"/>
      <c r="X54" s="1382"/>
      <c r="Y54" s="3250"/>
      <c r="Z54" s="1329"/>
      <c r="AA54" s="4921"/>
      <c r="AB54" s="4921"/>
      <c r="AC54" s="4921"/>
      <c r="AD54" s="4925"/>
      <c r="AE54" s="4925"/>
      <c r="AF54" s="4925"/>
      <c r="AG54" s="4926"/>
      <c r="AH54" s="4926"/>
      <c r="AI54" s="2760" t="s">
        <v>3013</v>
      </c>
      <c r="AJ54" s="9704" t="s">
        <v>2335</v>
      </c>
      <c r="AK54" s="9690"/>
      <c r="AL54" s="9691" t="str">
        <f>IF(AS54&lt;&gt;"",ROUND(AS54,0),IF(AL53,"",SUM(AL36,-AL41)))</f>
        <v/>
      </c>
      <c r="AM54" s="9692"/>
      <c r="AN54" s="9692"/>
      <c r="AO54" s="9692"/>
      <c r="AP54" s="9693"/>
      <c r="AQ54" s="2162"/>
      <c r="AR54" s="2162"/>
      <c r="AS54" s="4868"/>
      <c r="AT54" s="2162"/>
      <c r="AU54" s="2162"/>
    </row>
    <row r="55" spans="1:47" ht="15.75" customHeight="1">
      <c r="A55" s="2162"/>
      <c r="B55" s="2335" t="s">
        <v>644</v>
      </c>
      <c r="C55" s="3874"/>
      <c r="D55" s="4438" t="s">
        <v>4497</v>
      </c>
      <c r="E55" s="1382"/>
      <c r="F55" s="1382"/>
      <c r="G55" s="1382"/>
      <c r="H55" s="1382"/>
      <c r="I55" s="1382"/>
      <c r="J55" s="1382"/>
      <c r="K55" s="1382"/>
      <c r="L55" s="1382"/>
      <c r="M55" s="1382"/>
      <c r="N55" s="1382"/>
      <c r="O55" s="1382"/>
      <c r="P55" s="1382"/>
      <c r="Q55" s="1382"/>
      <c r="R55" s="1382"/>
      <c r="S55" s="1382"/>
      <c r="T55" s="1382"/>
      <c r="U55" s="1382"/>
      <c r="V55" s="1382"/>
      <c r="W55" s="1382"/>
      <c r="X55" s="1382"/>
      <c r="Y55" s="3250"/>
      <c r="Z55" s="1329"/>
      <c r="AA55" s="3250"/>
      <c r="AB55" s="9725">
        <f>IF(AS55&lt;&gt;"",ROUND(AS55,0),IF(DependQualNumber&lt;&gt;"",DependQualNumber,""))</f>
        <v>0</v>
      </c>
      <c r="AC55" s="9725"/>
      <c r="AD55" s="9725"/>
      <c r="AE55" s="2334" t="s">
        <v>2268</v>
      </c>
      <c r="AF55" s="9708">
        <v>1600</v>
      </c>
      <c r="AG55" s="9709"/>
      <c r="AH55" s="9709"/>
      <c r="AI55" s="1382"/>
      <c r="AJ55" s="4340"/>
      <c r="AK55" s="4341"/>
      <c r="AL55" s="9680" t="b">
        <f>OR(AB55="",AB55=0)</f>
        <v>1</v>
      </c>
      <c r="AM55" s="9681"/>
      <c r="AN55" s="9681"/>
      <c r="AO55" s="9681"/>
      <c r="AP55" s="9681"/>
      <c r="AQ55" s="2162"/>
      <c r="AR55" s="2162"/>
      <c r="AS55" s="4868"/>
      <c r="AT55" s="2162"/>
      <c r="AU55" s="2162"/>
    </row>
    <row r="56" spans="1:47" ht="15.75" customHeight="1">
      <c r="A56" s="2162"/>
      <c r="B56" s="2335"/>
      <c r="C56" s="3874"/>
      <c r="D56" s="4438" t="s">
        <v>4498</v>
      </c>
      <c r="E56" s="1382"/>
      <c r="F56" s="1382"/>
      <c r="G56" s="1382"/>
      <c r="H56" s="1382"/>
      <c r="I56" s="1382"/>
      <c r="J56" s="5090" t="s">
        <v>4493</v>
      </c>
      <c r="K56" s="1715" t="s">
        <v>4499</v>
      </c>
      <c r="L56" s="1382"/>
      <c r="M56" s="1382"/>
      <c r="N56" s="4438" t="s">
        <v>4500</v>
      </c>
      <c r="O56" s="1382"/>
      <c r="P56" s="1382"/>
      <c r="Q56" s="1382"/>
      <c r="R56" s="1382"/>
      <c r="S56" s="1382"/>
      <c r="T56" s="1382"/>
      <c r="U56" s="1382"/>
      <c r="V56" s="1382"/>
      <c r="W56" s="1382"/>
      <c r="X56" s="1382"/>
      <c r="Y56" s="3250"/>
      <c r="Z56" s="3250"/>
      <c r="AA56" s="3250"/>
      <c r="AB56" s="3250"/>
      <c r="AC56" s="3250"/>
      <c r="AD56" s="3250"/>
      <c r="AE56" s="2334"/>
      <c r="AF56" s="5072"/>
      <c r="AG56" s="4434"/>
      <c r="AH56" s="4434"/>
      <c r="AI56" s="1382"/>
      <c r="AJ56" s="3829"/>
      <c r="AK56" s="3830"/>
      <c r="AL56" s="9729" t="b">
        <f>OR(AS53,AL53,AL55)</f>
        <v>1</v>
      </c>
      <c r="AM56" s="9730"/>
      <c r="AN56" s="9730"/>
      <c r="AO56" s="9730"/>
      <c r="AP56" s="9730"/>
      <c r="AQ56" s="2162"/>
      <c r="AR56" s="2162"/>
      <c r="AS56" s="2162"/>
      <c r="AT56" s="2162"/>
      <c r="AU56" s="2162"/>
    </row>
    <row r="57" spans="1:47" ht="15.75" customHeight="1">
      <c r="A57" s="2162"/>
      <c r="B57" s="2335"/>
      <c r="C57" s="3874"/>
      <c r="D57" s="4438" t="s">
        <v>4501</v>
      </c>
      <c r="E57" s="1382"/>
      <c r="F57" s="1382"/>
      <c r="G57" s="1382"/>
      <c r="H57" s="1382"/>
      <c r="I57" s="4438"/>
      <c r="J57" s="1382"/>
      <c r="K57" s="5090"/>
      <c r="L57" s="4439"/>
      <c r="M57" s="1382"/>
      <c r="N57" s="1382"/>
      <c r="O57" s="1382"/>
      <c r="P57" s="4438"/>
      <c r="Q57" s="1382"/>
      <c r="R57" s="1382"/>
      <c r="S57" s="1382"/>
      <c r="T57" s="1382"/>
      <c r="U57" s="1382"/>
      <c r="V57" s="1382"/>
      <c r="W57" s="1382"/>
      <c r="X57" s="1382"/>
      <c r="Y57" s="3250"/>
      <c r="Z57" s="1329"/>
      <c r="AA57" s="3250"/>
      <c r="AB57" s="1382"/>
      <c r="AC57" s="2336"/>
      <c r="AD57" s="2336"/>
      <c r="AE57" s="2336"/>
      <c r="AF57" s="2336"/>
      <c r="AG57" s="2336"/>
      <c r="AH57" s="2336"/>
      <c r="AI57" s="2760" t="s">
        <v>2298</v>
      </c>
      <c r="AJ57" s="9704" t="s">
        <v>2338</v>
      </c>
      <c r="AK57" s="9690"/>
      <c r="AL57" s="9691" t="str">
        <f>IF(AS57&lt;&gt;"",ROUND(AS57,0),IF(F8812_Skip_Part_II_A,"",ROUND(AB55*AF55,0)))</f>
        <v/>
      </c>
      <c r="AM57" s="9692"/>
      <c r="AN57" s="9692"/>
      <c r="AO57" s="9692"/>
      <c r="AP57" s="9693"/>
      <c r="AQ57" s="2162"/>
      <c r="AR57" s="2162"/>
      <c r="AS57" s="4868"/>
      <c r="AT57" s="2162"/>
      <c r="AU57" s="2162"/>
    </row>
    <row r="58" spans="1:47" ht="15.75" customHeight="1">
      <c r="A58" s="2162"/>
      <c r="B58" s="2335"/>
      <c r="C58" s="3874"/>
      <c r="D58" s="4438" t="s">
        <v>4502</v>
      </c>
      <c r="E58" s="1382"/>
      <c r="F58" s="1382"/>
      <c r="G58" s="1382"/>
      <c r="H58" s="1382"/>
      <c r="I58" s="1382"/>
      <c r="J58" s="1382"/>
      <c r="K58" s="1382"/>
      <c r="L58" s="1382"/>
      <c r="M58" s="1382"/>
      <c r="N58" s="1382"/>
      <c r="O58" s="1382"/>
      <c r="P58" s="1382"/>
      <c r="Q58" s="1382"/>
      <c r="R58" s="1382"/>
      <c r="S58" s="1382"/>
      <c r="T58" s="1382"/>
      <c r="U58" s="1382"/>
      <c r="V58" s="1382"/>
      <c r="W58" s="1382"/>
      <c r="X58" s="1382"/>
      <c r="Y58" s="3250"/>
      <c r="Z58" s="1329"/>
      <c r="AA58" s="3250"/>
      <c r="AB58" s="1382"/>
      <c r="AC58" s="1382"/>
      <c r="AD58" s="1382"/>
      <c r="AE58" s="1382"/>
      <c r="AF58" s="1382"/>
      <c r="AG58" s="9678" t="b">
        <f>OR(AL49,AL53,AL56)</f>
        <v>1</v>
      </c>
      <c r="AH58" s="9678"/>
      <c r="AI58" s="9679"/>
      <c r="AJ58" s="4319"/>
      <c r="AK58" s="4320"/>
      <c r="AL58" s="9680" t="b">
        <f>AL57&lt;=0</f>
        <v>0</v>
      </c>
      <c r="AM58" s="9681"/>
      <c r="AN58" s="9681"/>
      <c r="AO58" s="9681"/>
      <c r="AP58" s="9681"/>
      <c r="AQ58" s="2162"/>
      <c r="AR58" s="2162"/>
      <c r="AS58" s="2162"/>
      <c r="AT58" s="2162"/>
      <c r="AU58" s="2162"/>
    </row>
    <row r="59" spans="1:47" ht="15.75" customHeight="1">
      <c r="A59" s="2162"/>
      <c r="B59" s="4383" t="s">
        <v>291</v>
      </c>
      <c r="C59" s="3874"/>
      <c r="D59" s="4438" t="s">
        <v>4503</v>
      </c>
      <c r="E59" s="1382"/>
      <c r="F59" s="1382"/>
      <c r="G59" s="1382"/>
      <c r="H59" s="1382"/>
      <c r="I59" s="1382"/>
      <c r="J59" s="1382"/>
      <c r="K59" s="1382"/>
      <c r="L59" s="1382"/>
      <c r="M59" s="1382"/>
      <c r="N59" s="1382"/>
      <c r="O59" s="1382"/>
      <c r="P59" s="1382"/>
      <c r="Q59" s="1382"/>
      <c r="R59" s="1382"/>
      <c r="S59" s="1382"/>
      <c r="T59" s="1382"/>
      <c r="U59" s="1382"/>
      <c r="V59" s="1382"/>
      <c r="W59" s="1382"/>
      <c r="X59" s="1382"/>
      <c r="Y59" s="3250"/>
      <c r="Z59" s="1329"/>
      <c r="AA59" s="3250"/>
      <c r="AB59" s="1382"/>
      <c r="AC59" s="1382"/>
      <c r="AD59" s="1382"/>
      <c r="AE59" s="1382"/>
      <c r="AF59" s="1382"/>
      <c r="AG59" s="1382"/>
      <c r="AH59" s="1382"/>
      <c r="AI59" s="2760" t="s">
        <v>985</v>
      </c>
      <c r="AJ59" s="9689" t="s">
        <v>291</v>
      </c>
      <c r="AK59" s="9690"/>
      <c r="AL59" s="9691" t="str">
        <f>IF(AG58,"",MIN(AL54,AL57))</f>
        <v/>
      </c>
      <c r="AM59" s="9692"/>
      <c r="AN59" s="9692"/>
      <c r="AO59" s="9692"/>
      <c r="AP59" s="9693"/>
      <c r="AQ59" s="2162"/>
      <c r="AR59" s="2162"/>
      <c r="AS59" s="2162"/>
      <c r="AT59" s="2162"/>
      <c r="AU59" s="2162"/>
    </row>
    <row r="60" spans="1:47" ht="15.75" customHeight="1">
      <c r="A60" s="2162"/>
      <c r="B60" s="2335" t="s">
        <v>4504</v>
      </c>
      <c r="C60" s="3874"/>
      <c r="D60" s="4438" t="s">
        <v>4505</v>
      </c>
      <c r="E60" s="1382"/>
      <c r="F60" s="1382"/>
      <c r="G60" s="1382"/>
      <c r="H60" s="1382"/>
      <c r="I60" s="1382"/>
      <c r="J60" s="1382"/>
      <c r="K60" s="1382"/>
      <c r="L60" s="1382"/>
      <c r="M60" s="1382"/>
      <c r="N60" s="1382"/>
      <c r="O60" s="1382"/>
      <c r="P60" s="1382"/>
      <c r="Q60" s="1382"/>
      <c r="R60" s="1382"/>
      <c r="S60" s="1382"/>
      <c r="T60" s="1382"/>
      <c r="U60" s="1382"/>
      <c r="V60" s="1382"/>
      <c r="W60" s="1382"/>
      <c r="X60" s="1382"/>
      <c r="Y60" s="3250"/>
      <c r="Z60" s="1329"/>
      <c r="AA60" s="3250"/>
      <c r="AB60" s="2760" t="s">
        <v>1005</v>
      </c>
      <c r="AC60" s="9685" t="s">
        <v>4504</v>
      </c>
      <c r="AD60" s="7453"/>
      <c r="AE60" s="9757" t="str">
        <f>IF(AS60&lt;&gt;"",ROUND(AS60,0),IF(AG58,"",IF(AL48,"",Earned_Income)))</f>
        <v/>
      </c>
      <c r="AF60" s="9758"/>
      <c r="AG60" s="9758"/>
      <c r="AH60" s="9758"/>
      <c r="AI60" s="9759"/>
      <c r="AJ60" s="4317"/>
      <c r="AK60" s="4318"/>
      <c r="AL60" s="3874"/>
      <c r="AM60" s="1382"/>
      <c r="AN60" s="1382"/>
      <c r="AO60" s="1382"/>
      <c r="AP60" s="4312"/>
      <c r="AQ60" s="2162"/>
      <c r="AR60" s="2162"/>
      <c r="AS60" s="4868"/>
      <c r="AT60" s="2162"/>
      <c r="AU60" s="2162"/>
    </row>
    <row r="61" spans="1:47" ht="15.75" customHeight="1">
      <c r="A61" s="2162"/>
      <c r="B61" s="2335" t="s">
        <v>644</v>
      </c>
      <c r="C61" s="3874"/>
      <c r="D61" s="4438" t="s">
        <v>4506</v>
      </c>
      <c r="E61" s="1382"/>
      <c r="F61" s="1382"/>
      <c r="G61" s="1382"/>
      <c r="H61" s="1382"/>
      <c r="I61" s="1382"/>
      <c r="J61" s="1382"/>
      <c r="K61" s="1382"/>
      <c r="L61" s="1382"/>
      <c r="M61" s="1382"/>
      <c r="N61" s="1382"/>
      <c r="O61" s="1382"/>
      <c r="P61" s="1382"/>
      <c r="Q61" s="1382"/>
      <c r="R61" s="1382"/>
      <c r="S61" s="1382"/>
      <c r="T61" s="1382"/>
      <c r="U61" s="2760" t="s">
        <v>1026</v>
      </c>
      <c r="V61" s="9685" t="s">
        <v>4507</v>
      </c>
      <c r="W61" s="7453"/>
      <c r="X61" s="9757" t="str">
        <f>IF(AG58,"",IF(AS61&lt;&gt;"",ROUND(AS61,0),CombatPayNoTax))</f>
        <v/>
      </c>
      <c r="Y61" s="9758"/>
      <c r="Z61" s="9758"/>
      <c r="AA61" s="9758"/>
      <c r="AB61" s="9759"/>
      <c r="AC61" s="4319"/>
      <c r="AD61" s="4320"/>
      <c r="AE61" s="3874"/>
      <c r="AF61" s="1382"/>
      <c r="AG61" s="1382"/>
      <c r="AH61" s="1382"/>
      <c r="AI61" s="4312"/>
      <c r="AJ61" s="4319"/>
      <c r="AK61" s="4320"/>
      <c r="AL61" s="3874"/>
      <c r="AM61" s="1382"/>
      <c r="AN61" s="1382"/>
      <c r="AO61" s="1382"/>
      <c r="AP61" s="4312"/>
      <c r="AQ61" s="2162"/>
      <c r="AR61" s="2162"/>
      <c r="AS61" s="4868"/>
      <c r="AT61" s="2162"/>
      <c r="AU61" s="2162"/>
    </row>
    <row r="62" spans="1:47" ht="15.75" customHeight="1">
      <c r="A62" s="2162"/>
      <c r="B62" s="4383" t="s">
        <v>295</v>
      </c>
      <c r="C62" s="3874"/>
      <c r="D62" s="4438" t="str">
        <f>"Is the amount on line 18a more than "&amp;TEXT(AE63,"$0,000")&amp;"?"</f>
        <v>Is the amount on line 18a more than $2,500?</v>
      </c>
      <c r="E62" s="1382"/>
      <c r="F62" s="1382"/>
      <c r="G62" s="1382"/>
      <c r="H62" s="1382"/>
      <c r="I62" s="1382"/>
      <c r="J62" s="1382"/>
      <c r="K62" s="1382"/>
      <c r="L62" s="1382"/>
      <c r="M62" s="1382"/>
      <c r="N62" s="1382"/>
      <c r="O62" s="1382"/>
      <c r="P62" s="1382"/>
      <c r="Q62" s="1382"/>
      <c r="R62" s="1382"/>
      <c r="S62" s="1382"/>
      <c r="T62" s="1382"/>
      <c r="U62" s="1382"/>
      <c r="V62" s="1382"/>
      <c r="W62" s="1382"/>
      <c r="X62" s="1382"/>
      <c r="Y62" s="3250"/>
      <c r="Z62" s="1329"/>
      <c r="AA62" s="3250"/>
      <c r="AB62" s="1382"/>
      <c r="AC62" s="4319"/>
      <c r="AD62" s="4320"/>
      <c r="AE62" s="3874"/>
      <c r="AF62" s="1382"/>
      <c r="AG62" s="1382"/>
      <c r="AH62" s="1382"/>
      <c r="AI62" s="4312"/>
      <c r="AJ62" s="4319"/>
      <c r="AK62" s="4320"/>
      <c r="AL62" s="3874"/>
      <c r="AM62" s="1382"/>
      <c r="AN62" s="1382"/>
      <c r="AO62" s="1382"/>
      <c r="AP62" s="4312"/>
      <c r="AQ62" s="2162"/>
      <c r="AR62" s="2162"/>
      <c r="AS62" s="2162"/>
      <c r="AT62" s="2162"/>
      <c r="AU62" s="2162"/>
    </row>
    <row r="63" spans="1:47" ht="12.75" customHeight="1">
      <c r="A63" s="2162"/>
      <c r="B63" s="2335"/>
      <c r="C63" s="3874"/>
      <c r="D63" s="809" t="str">
        <f>IF(F8812_Skip_Part_II_A,"",IF(AE60="","X",IF(AE60&gt;AE63,"","X")))</f>
        <v/>
      </c>
      <c r="E63" s="4431" t="s">
        <v>4508</v>
      </c>
      <c r="F63" s="1382"/>
      <c r="G63" s="4438" t="s">
        <v>4509</v>
      </c>
      <c r="H63" s="1382"/>
      <c r="I63" s="1382"/>
      <c r="J63" s="1382"/>
      <c r="K63" s="1382"/>
      <c r="L63" s="1382"/>
      <c r="M63" s="1382"/>
      <c r="N63" s="1382"/>
      <c r="O63" s="1382"/>
      <c r="P63" s="1382"/>
      <c r="Q63" s="1382"/>
      <c r="R63" s="1382"/>
      <c r="S63" s="1382"/>
      <c r="T63" s="1382"/>
      <c r="U63" s="1382"/>
      <c r="V63" s="1382"/>
      <c r="W63" s="1382"/>
      <c r="X63" s="1382"/>
      <c r="Y63" s="3250"/>
      <c r="Z63" s="1329"/>
      <c r="AA63" s="3250"/>
      <c r="AB63" s="1382"/>
      <c r="AC63" s="4319"/>
      <c r="AD63" s="4320"/>
      <c r="AE63" s="9701">
        <v>2500</v>
      </c>
      <c r="AF63" s="9702"/>
      <c r="AG63" s="9702"/>
      <c r="AH63" s="9702"/>
      <c r="AI63" s="9703"/>
      <c r="AJ63" s="4319"/>
      <c r="AK63" s="4320"/>
      <c r="AL63" s="9713">
        <v>0.15</v>
      </c>
      <c r="AM63" s="9678"/>
      <c r="AN63" s="9678"/>
      <c r="AO63" s="9678"/>
      <c r="AP63" s="9678"/>
      <c r="AQ63" s="2162"/>
      <c r="AR63" s="2162"/>
      <c r="AS63" s="2162"/>
      <c r="AT63" s="2162"/>
      <c r="AU63" s="2162"/>
    </row>
    <row r="64" spans="1:47" ht="6.75" customHeight="1">
      <c r="A64" s="2162"/>
      <c r="B64" s="2335"/>
      <c r="C64" s="3874"/>
      <c r="D64" s="1382"/>
      <c r="E64" s="4438"/>
      <c r="F64" s="1382"/>
      <c r="G64" s="4438"/>
      <c r="H64" s="1382"/>
      <c r="I64" s="1382"/>
      <c r="J64" s="1382"/>
      <c r="K64" s="1382"/>
      <c r="L64" s="1382"/>
      <c r="M64" s="1382"/>
      <c r="N64" s="1382"/>
      <c r="O64" s="1382"/>
      <c r="P64" s="1382"/>
      <c r="Q64" s="1382"/>
      <c r="R64" s="1382"/>
      <c r="S64" s="1382"/>
      <c r="T64" s="1382"/>
      <c r="U64" s="1382"/>
      <c r="V64" s="1382"/>
      <c r="W64" s="1382"/>
      <c r="X64" s="1382"/>
      <c r="Y64" s="3250"/>
      <c r="Z64" s="1329"/>
      <c r="AA64" s="3250"/>
      <c r="AB64" s="1382"/>
      <c r="AC64" s="4319"/>
      <c r="AD64" s="4320"/>
      <c r="AE64" s="1382"/>
      <c r="AF64" s="1382"/>
      <c r="AG64" s="1382"/>
      <c r="AH64" s="1382"/>
      <c r="AI64" s="1382"/>
      <c r="AJ64" s="4319"/>
      <c r="AK64" s="4320"/>
      <c r="AL64" s="3874"/>
      <c r="AM64" s="1382"/>
      <c r="AN64" s="1382"/>
      <c r="AO64" s="1382"/>
      <c r="AP64" s="4312"/>
      <c r="AQ64" s="2162"/>
      <c r="AR64" s="2162"/>
      <c r="AS64" s="2162"/>
      <c r="AT64" s="2162"/>
      <c r="AU64" s="2162"/>
    </row>
    <row r="65" spans="1:60" ht="12.75" customHeight="1">
      <c r="A65" s="2162"/>
      <c r="B65" s="2335"/>
      <c r="C65" s="3874"/>
      <c r="D65" s="809" t="str">
        <f>IF(F8812_Skip_Part_II_A,"",IF(AE60="","",IF(AE60&gt;AE63,"X","")))</f>
        <v/>
      </c>
      <c r="E65" s="4437" t="s">
        <v>1076</v>
      </c>
      <c r="F65" s="1382"/>
      <c r="G65" s="4438" t="str">
        <f>"Subtract "&amp;TEXT(AE63,"$0,000")&amp;" from the amount on line 18a. Enter the result"</f>
        <v>Subtract $2,500 from the amount on line 18a. Enter the result</v>
      </c>
      <c r="H65" s="1382"/>
      <c r="I65" s="1382"/>
      <c r="J65" s="1382"/>
      <c r="K65" s="1382"/>
      <c r="L65" s="1382"/>
      <c r="M65" s="1382"/>
      <c r="N65" s="1382"/>
      <c r="O65" s="1382"/>
      <c r="P65" s="1382"/>
      <c r="Q65" s="1382"/>
      <c r="R65" s="1382"/>
      <c r="S65" s="1382"/>
      <c r="T65" s="1382"/>
      <c r="U65" s="1382"/>
      <c r="V65" s="1382"/>
      <c r="W65" s="1382"/>
      <c r="X65" s="1382"/>
      <c r="Y65" s="5091"/>
      <c r="Z65" s="5091"/>
      <c r="AA65" s="5091"/>
      <c r="AB65" s="2760" t="s">
        <v>2114</v>
      </c>
      <c r="AC65" s="9689" t="s">
        <v>295</v>
      </c>
      <c r="AD65" s="9690"/>
      <c r="AE65" s="9705" t="str">
        <f>IF(AG58,"",IF(D63&lt;&gt;"","",SUM(AE60,-AE63)))</f>
        <v/>
      </c>
      <c r="AF65" s="9706"/>
      <c r="AG65" s="9706"/>
      <c r="AH65" s="9706"/>
      <c r="AI65" s="9707"/>
      <c r="AJ65" s="4319"/>
      <c r="AK65" s="4320"/>
      <c r="AL65" s="808"/>
      <c r="AM65" s="808"/>
      <c r="AN65" s="808"/>
      <c r="AO65" s="808"/>
      <c r="AP65" s="808"/>
      <c r="AQ65" s="2162"/>
      <c r="AR65" s="2162"/>
      <c r="AS65" s="2162"/>
      <c r="AT65" s="2162"/>
      <c r="AU65" s="2162"/>
    </row>
    <row r="66" spans="1:60" ht="17.25" customHeight="1">
      <c r="A66" s="2162"/>
      <c r="B66" s="4383" t="s">
        <v>297</v>
      </c>
      <c r="C66" s="3874"/>
      <c r="D66" s="4438" t="str">
        <f>"Multiply the amount on line 19 by "&amp;TEXT(AL63,"0%")&amp;" ("&amp;TEXT(AL63,"0.00")&amp;") and enter the result"</f>
        <v>Multiply the amount on line 19 by 15% (0.15) and enter the result</v>
      </c>
      <c r="E66" s="1382"/>
      <c r="F66" s="1382"/>
      <c r="G66" s="1382"/>
      <c r="H66" s="1382"/>
      <c r="I66" s="1382"/>
      <c r="J66" s="1382"/>
      <c r="K66" s="1382"/>
      <c r="L66" s="1382"/>
      <c r="M66" s="1382"/>
      <c r="N66" s="1382"/>
      <c r="O66" s="1382"/>
      <c r="P66" s="1382"/>
      <c r="Q66" s="1382"/>
      <c r="R66" s="1382"/>
      <c r="S66" s="1382"/>
      <c r="T66" s="1382"/>
      <c r="U66" s="1382"/>
      <c r="V66" s="1382"/>
      <c r="W66" s="1382"/>
      <c r="X66" s="1382"/>
      <c r="Y66" s="3250"/>
      <c r="Z66" s="1329"/>
      <c r="AA66" s="3250"/>
      <c r="AB66" s="1382"/>
      <c r="AC66" s="1382"/>
      <c r="AD66" s="1382"/>
      <c r="AE66" s="4382"/>
      <c r="AF66" s="4382"/>
      <c r="AG66" s="4382"/>
      <c r="AH66" s="4382"/>
      <c r="AI66" s="2760" t="s">
        <v>911</v>
      </c>
      <c r="AJ66" s="9689" t="s">
        <v>297</v>
      </c>
      <c r="AK66" s="9690"/>
      <c r="AL66" s="9691" t="str">
        <f>IF(AG58,"",IF(AS66&lt;&gt;"",ROUND(AS66,0),IF(D63&lt;&gt;"",0,ROUND(AL63*AE65,0))))</f>
        <v/>
      </c>
      <c r="AM66" s="9692"/>
      <c r="AN66" s="9692"/>
      <c r="AO66" s="9692"/>
      <c r="AP66" s="9693"/>
      <c r="AQ66" s="2162"/>
      <c r="AR66" s="2162"/>
      <c r="AS66" s="4297"/>
      <c r="AT66" s="2162"/>
      <c r="AU66" s="2162"/>
    </row>
    <row r="67" spans="1:60" ht="13.5" customHeight="1">
      <c r="A67" s="2162"/>
      <c r="B67" s="2335"/>
      <c r="C67" s="3874"/>
      <c r="D67" s="4439" t="s">
        <v>4510</v>
      </c>
      <c r="E67" s="4438"/>
      <c r="F67" s="4438" t="str">
        <f>"On line 16b, is the amount "&amp;TEXT(AG67,"$0,000")&amp;" or more?"</f>
        <v>On line 16b, is the amount $4,800 or more?</v>
      </c>
      <c r="G67" s="1382"/>
      <c r="H67" s="1382"/>
      <c r="I67" s="1382"/>
      <c r="J67" s="1382"/>
      <c r="K67" s="1382"/>
      <c r="L67" s="1382"/>
      <c r="M67" s="1382"/>
      <c r="N67" s="1382"/>
      <c r="O67" s="1382"/>
      <c r="P67" s="1382"/>
      <c r="Q67" s="1382"/>
      <c r="R67" s="1382"/>
      <c r="S67" s="1382"/>
      <c r="T67" s="1382"/>
      <c r="U67" s="1382"/>
      <c r="V67" s="1382"/>
      <c r="W67" s="1382"/>
      <c r="X67" s="9677"/>
      <c r="Y67" s="9677"/>
      <c r="Z67" s="9677"/>
      <c r="AA67" s="9677"/>
      <c r="AB67" s="9677"/>
      <c r="AC67" s="1382"/>
      <c r="AD67" s="1382"/>
      <c r="AE67" s="4926"/>
      <c r="AF67" s="4926"/>
      <c r="AG67" s="9678">
        <v>4800</v>
      </c>
      <c r="AH67" s="9678"/>
      <c r="AI67" s="9679"/>
      <c r="AJ67" s="4342"/>
      <c r="AK67" s="4343"/>
      <c r="AL67" s="4344"/>
      <c r="AM67" s="4343"/>
      <c r="AN67" s="4343"/>
      <c r="AO67" s="4343"/>
      <c r="AP67" s="4345"/>
      <c r="AQ67" s="2162"/>
      <c r="AR67" s="2162"/>
      <c r="AS67" s="3107" t="b">
        <f>AND(AS54="",AS55="",AS57="",AS60="",AS61="",AS66="")</f>
        <v>1</v>
      </c>
      <c r="AT67" s="2162"/>
      <c r="AU67" s="2162"/>
    </row>
    <row r="68" spans="1:60" ht="13.5" customHeight="1">
      <c r="A68" s="2162"/>
      <c r="B68" s="9678" t="b">
        <f>NOT(B70)</f>
        <v>0</v>
      </c>
      <c r="C68" s="9679"/>
      <c r="D68" s="809" t="str">
        <f>IF(F8812_Skip_Part_II_A,"",IF(B68,"X",""))</f>
        <v/>
      </c>
      <c r="E68" s="4441" t="s">
        <v>1067</v>
      </c>
      <c r="F68" s="1382"/>
      <c r="G68" s="4438" t="s">
        <v>4511</v>
      </c>
      <c r="H68" s="1382"/>
      <c r="I68" s="1382"/>
      <c r="J68" s="1382"/>
      <c r="K68" s="1382"/>
      <c r="L68" s="1382"/>
      <c r="M68" s="1382"/>
      <c r="N68" s="1382"/>
      <c r="O68" s="1382"/>
      <c r="P68" s="1382"/>
      <c r="Q68" s="1382"/>
      <c r="R68" s="1382"/>
      <c r="S68" s="1382"/>
      <c r="T68" s="1382"/>
      <c r="U68" s="1382"/>
      <c r="V68" s="1382"/>
      <c r="W68" s="1382"/>
      <c r="X68" s="1382"/>
      <c r="Y68" s="3250"/>
      <c r="Z68" s="1329"/>
      <c r="AA68" s="3250"/>
      <c r="AB68" s="1382"/>
      <c r="AC68" s="1382"/>
      <c r="AD68" s="1382"/>
      <c r="AE68" s="1382"/>
      <c r="AF68" s="1382"/>
      <c r="AG68" s="1382"/>
      <c r="AH68" s="1382"/>
      <c r="AI68" s="1382"/>
      <c r="AJ68" s="4346"/>
      <c r="AK68" s="4347"/>
      <c r="AL68" s="4348"/>
      <c r="AM68" s="4347"/>
      <c r="AN68" s="4347"/>
      <c r="AO68" s="4347"/>
      <c r="AP68" s="2880"/>
      <c r="AQ68" s="2162"/>
      <c r="AR68" s="2162"/>
      <c r="AS68" s="2162"/>
      <c r="AT68" s="2162"/>
      <c r="AU68" s="2162"/>
    </row>
    <row r="69" spans="1:60" ht="13.5" customHeight="1">
      <c r="A69" s="2162"/>
      <c r="B69" s="2335"/>
      <c r="C69" s="3874"/>
      <c r="D69" s="1382"/>
      <c r="E69" s="4438"/>
      <c r="F69" s="1382"/>
      <c r="G69" s="4438" t="s">
        <v>4512</v>
      </c>
      <c r="H69" s="1382"/>
      <c r="I69" s="1382"/>
      <c r="J69" s="1382"/>
      <c r="K69" s="1382"/>
      <c r="L69" s="1382"/>
      <c r="M69" s="1382"/>
      <c r="N69" s="1382"/>
      <c r="O69" s="1382"/>
      <c r="P69" s="1382"/>
      <c r="Q69" s="1382"/>
      <c r="R69" s="1382"/>
      <c r="S69" s="1382"/>
      <c r="T69" s="1382"/>
      <c r="U69" s="1382"/>
      <c r="V69" s="1382"/>
      <c r="W69" s="1382"/>
      <c r="X69" s="1382"/>
      <c r="Y69" s="3250"/>
      <c r="Z69" s="1329"/>
      <c r="AA69" s="3250"/>
      <c r="AB69" s="1382"/>
      <c r="AC69" s="1382"/>
      <c r="AD69" s="9678" t="b">
        <f>AND(D68&lt;&gt;"",PuertoRicoResident)</f>
        <v>0</v>
      </c>
      <c r="AE69" s="9678"/>
      <c r="AF69" s="9678"/>
      <c r="AG69" s="9678" t="b">
        <f>AND(D68&lt;&gt;"",NOT(PuertoRicoResident))</f>
        <v>0</v>
      </c>
      <c r="AH69" s="9678"/>
      <c r="AI69" s="9679"/>
      <c r="AJ69" s="4346"/>
      <c r="AK69" s="4347"/>
      <c r="AL69" s="4348"/>
      <c r="AM69" s="4347"/>
      <c r="AN69" s="4347"/>
      <c r="AO69" s="4347"/>
      <c r="AP69" s="2880"/>
      <c r="AQ69" s="2162"/>
      <c r="AR69" s="2162"/>
      <c r="AS69" s="4443"/>
      <c r="AT69" s="2162"/>
      <c r="AU69" s="2162"/>
    </row>
    <row r="70" spans="1:60" ht="13.5" customHeight="1">
      <c r="A70" s="2162"/>
      <c r="B70" s="9678" t="b">
        <f>(AL57&gt;=AG67)</f>
        <v>1</v>
      </c>
      <c r="C70" s="9679"/>
      <c r="D70" s="809" t="str">
        <f>IF(F8812_Skip_Part_II_A,"",IF(B70,"X",""))</f>
        <v/>
      </c>
      <c r="E70" s="4441" t="s">
        <v>1069</v>
      </c>
      <c r="F70" s="1382"/>
      <c r="G70" s="4438" t="s">
        <v>4513</v>
      </c>
      <c r="H70" s="1382"/>
      <c r="I70" s="1382"/>
      <c r="J70" s="1382"/>
      <c r="K70" s="1382"/>
      <c r="L70" s="1382"/>
      <c r="M70" s="1382"/>
      <c r="N70" s="1382"/>
      <c r="O70" s="1382"/>
      <c r="P70" s="1382"/>
      <c r="Q70" s="1382"/>
      <c r="R70" s="1382"/>
      <c r="S70" s="1382"/>
      <c r="T70" s="1382"/>
      <c r="U70" s="1382"/>
      <c r="V70" s="1382"/>
      <c r="W70" s="1382"/>
      <c r="X70" s="1382"/>
      <c r="Y70" s="3250"/>
      <c r="Z70" s="1329"/>
      <c r="AA70" s="3250"/>
      <c r="AB70" s="1382"/>
      <c r="AC70" s="1382"/>
      <c r="AD70" s="1382"/>
      <c r="AE70" s="1382"/>
      <c r="AF70" s="1382"/>
      <c r="AG70" s="1382"/>
      <c r="AH70" s="1382"/>
      <c r="AI70" s="1382"/>
      <c r="AJ70" s="4346"/>
      <c r="AK70" s="4347"/>
      <c r="AL70" s="4348"/>
      <c r="AM70" s="4347"/>
      <c r="AN70" s="4347"/>
      <c r="AO70" s="4347"/>
      <c r="AP70" s="2880"/>
      <c r="AQ70" s="2162"/>
      <c r="AR70" s="2162"/>
      <c r="AS70" s="2162"/>
      <c r="AT70" s="2162"/>
      <c r="AU70" s="2162"/>
    </row>
    <row r="71" spans="1:60" ht="13.5" customHeight="1" thickBot="1">
      <c r="A71" s="2162"/>
      <c r="B71" s="3423"/>
      <c r="C71" s="4321"/>
      <c r="D71" s="4322"/>
      <c r="E71" s="4322"/>
      <c r="F71" s="4322"/>
      <c r="G71" s="4440" t="s">
        <v>4514</v>
      </c>
      <c r="H71" s="4322"/>
      <c r="I71" s="4322"/>
      <c r="J71" s="4322"/>
      <c r="K71" s="4322"/>
      <c r="L71" s="4322"/>
      <c r="M71" s="4322"/>
      <c r="N71" s="4322"/>
      <c r="O71" s="4322"/>
      <c r="P71" s="4322"/>
      <c r="Q71" s="4322"/>
      <c r="R71" s="4322"/>
      <c r="S71" s="4322"/>
      <c r="T71" s="4322"/>
      <c r="U71" s="4322"/>
      <c r="V71" s="4322"/>
      <c r="W71" s="4322"/>
      <c r="X71" s="4322"/>
      <c r="Y71" s="4323"/>
      <c r="Z71" s="4324"/>
      <c r="AA71" s="4323"/>
      <c r="AB71" s="4322"/>
      <c r="AC71" s="4322"/>
      <c r="AD71" s="9694" t="b">
        <f>AND(D70&lt;&gt;"",AL66&gt;=AL59)</f>
        <v>0</v>
      </c>
      <c r="AE71" s="9694"/>
      <c r="AF71" s="9694"/>
      <c r="AG71" s="9694" t="b">
        <f>AND(D70&lt;&gt;"",AL66&lt;AL59)</f>
        <v>0</v>
      </c>
      <c r="AH71" s="9694"/>
      <c r="AI71" s="9726"/>
      <c r="AJ71" s="4349"/>
      <c r="AK71" s="4350"/>
      <c r="AL71" s="4351"/>
      <c r="AM71" s="4350"/>
      <c r="AN71" s="4350"/>
      <c r="AO71" s="4350"/>
      <c r="AP71" s="4352"/>
      <c r="AQ71" s="2162"/>
      <c r="AR71" s="2162"/>
      <c r="AS71" s="2162"/>
      <c r="AT71" s="2162"/>
      <c r="AU71" s="2162"/>
    </row>
    <row r="72" spans="1:60" s="2114" customFormat="1" ht="15.75">
      <c r="A72" s="2163"/>
      <c r="B72" s="9683" t="s">
        <v>4515</v>
      </c>
      <c r="C72" s="9683"/>
      <c r="D72" s="9684"/>
      <c r="E72" s="4939" t="s">
        <v>4516</v>
      </c>
      <c r="F72" s="998"/>
      <c r="G72" s="2763"/>
      <c r="H72" s="998"/>
      <c r="I72" s="998"/>
      <c r="J72" s="998"/>
      <c r="K72" s="998"/>
      <c r="L72" s="998"/>
      <c r="M72" s="998"/>
      <c r="N72" s="998"/>
      <c r="O72" s="998"/>
      <c r="P72" s="998"/>
      <c r="Q72" s="998"/>
      <c r="R72" s="998"/>
      <c r="S72" s="998"/>
      <c r="T72" s="998"/>
      <c r="U72" s="998"/>
      <c r="V72" s="998"/>
      <c r="W72" s="998"/>
      <c r="X72" s="998"/>
      <c r="Y72" s="998"/>
      <c r="Z72" s="998"/>
      <c r="AA72" s="998"/>
      <c r="AB72" s="998"/>
      <c r="AC72" s="1108"/>
      <c r="AD72" s="1108"/>
      <c r="AE72" s="998"/>
      <c r="AF72" s="998"/>
      <c r="AG72" s="998"/>
      <c r="AH72" s="998"/>
      <c r="AI72" s="998"/>
      <c r="AJ72" s="998"/>
      <c r="AK72" s="998"/>
      <c r="AL72" s="4928"/>
      <c r="AM72" s="4928"/>
      <c r="AN72" s="4928"/>
      <c r="AO72" s="4928"/>
      <c r="AP72" s="4928"/>
      <c r="AQ72" s="2162"/>
      <c r="AR72" s="2162"/>
      <c r="AS72" s="6225" t="str">
        <f>IF(F8812_Skip_Part_II_B,"Skip Part II-B.","")</f>
        <v/>
      </c>
      <c r="AT72" s="2162"/>
      <c r="AU72" s="2162"/>
      <c r="AV72" s="39"/>
      <c r="AW72" s="39"/>
      <c r="AX72" s="2038"/>
      <c r="AY72" s="2038"/>
      <c r="AZ72" s="2038"/>
      <c r="BA72" s="2038"/>
      <c r="BB72" s="2038"/>
      <c r="BC72" s="2038"/>
      <c r="BD72" s="2038"/>
      <c r="BE72" s="2038"/>
      <c r="BF72" s="2038"/>
      <c r="BG72" s="2038"/>
      <c r="BH72" s="2038"/>
    </row>
    <row r="73" spans="1:60" ht="15" customHeight="1">
      <c r="A73" s="2162"/>
      <c r="B73" s="4383" t="s">
        <v>4384</v>
      </c>
      <c r="C73" s="3874"/>
      <c r="D73" s="4438" t="s">
        <v>4517</v>
      </c>
      <c r="E73" s="1382"/>
      <c r="F73" s="1382"/>
      <c r="G73" s="1382"/>
      <c r="H73" s="1382"/>
      <c r="I73" s="1382"/>
      <c r="J73" s="1382"/>
      <c r="K73" s="1382"/>
      <c r="L73" s="1382"/>
      <c r="M73" s="1382"/>
      <c r="N73" s="1382"/>
      <c r="O73" s="1382"/>
      <c r="P73" s="1382"/>
      <c r="Q73" s="1382"/>
      <c r="R73" s="1382"/>
      <c r="S73" s="1382"/>
      <c r="T73" s="1382"/>
      <c r="U73" s="1382"/>
      <c r="V73" s="1382"/>
      <c r="W73" s="1382"/>
      <c r="X73" s="1382"/>
      <c r="Y73" s="3250"/>
      <c r="Z73" s="1329"/>
      <c r="AA73" s="3250"/>
      <c r="AB73" s="1382"/>
      <c r="AC73" s="4340"/>
      <c r="AD73" s="4341"/>
      <c r="AE73" s="3874"/>
      <c r="AF73" s="1382"/>
      <c r="AG73" s="1382"/>
      <c r="AH73" s="1382"/>
      <c r="AI73" s="4312"/>
      <c r="AJ73" s="4319"/>
      <c r="AK73" s="4320"/>
      <c r="AL73" s="9680" t="b">
        <f>AND(AS86,OR(AS53,AL58,AG69,AD71))</f>
        <v>0</v>
      </c>
      <c r="AM73" s="9681"/>
      <c r="AN73" s="9681"/>
      <c r="AO73" s="9681"/>
      <c r="AP73" s="9681"/>
      <c r="AQ73" s="2162"/>
      <c r="AR73" s="2162"/>
      <c r="AS73" s="2162"/>
      <c r="AT73" s="2162"/>
      <c r="AU73" s="2162"/>
    </row>
    <row r="74" spans="1:60" ht="15" customHeight="1">
      <c r="A74" s="2162"/>
      <c r="B74" s="2335"/>
      <c r="C74" s="3874"/>
      <c r="D74" s="4438" t="s">
        <v>4518</v>
      </c>
      <c r="E74" s="1382"/>
      <c r="F74" s="1382"/>
      <c r="G74" s="1382"/>
      <c r="H74" s="1382"/>
      <c r="I74" s="1382"/>
      <c r="J74" s="1382"/>
      <c r="K74" s="1382"/>
      <c r="L74" s="1382"/>
      <c r="M74" s="1382"/>
      <c r="N74" s="1382"/>
      <c r="O74" s="1382"/>
      <c r="P74" s="1382"/>
      <c r="Q74" s="1382"/>
      <c r="R74" s="1382"/>
      <c r="S74" s="1382"/>
      <c r="T74" s="1382"/>
      <c r="U74" s="1382"/>
      <c r="V74" s="1382"/>
      <c r="W74" s="1382"/>
      <c r="X74" s="1382"/>
      <c r="Y74" s="3250"/>
      <c r="Z74" s="1329"/>
      <c r="AA74" s="3250"/>
      <c r="AB74" s="1382"/>
      <c r="AC74" s="3829"/>
      <c r="AD74" s="3830"/>
      <c r="AE74" s="3874"/>
      <c r="AF74" s="1382"/>
      <c r="AG74" s="1382"/>
      <c r="AH74" s="1382"/>
      <c r="AI74" s="4312"/>
      <c r="AJ74" s="4319"/>
      <c r="AK74" s="4320"/>
      <c r="AL74" s="3874"/>
      <c r="AM74" s="1382"/>
      <c r="AN74" s="1382"/>
      <c r="AO74" s="1382"/>
      <c r="AP74" s="4312"/>
      <c r="AQ74" s="2162"/>
      <c r="AR74" s="2162"/>
      <c r="AS74" s="2162"/>
      <c r="AT74" s="2162"/>
      <c r="AU74" s="2162"/>
    </row>
    <row r="75" spans="1:60" ht="15" customHeight="1">
      <c r="A75" s="2162"/>
      <c r="B75" s="2335"/>
      <c r="C75" s="3874"/>
      <c r="D75" s="4438" t="s">
        <v>5549</v>
      </c>
      <c r="E75" s="1382"/>
      <c r="F75" s="1382"/>
      <c r="G75" s="1382"/>
      <c r="H75" s="1382"/>
      <c r="I75" s="1382"/>
      <c r="J75" s="1382"/>
      <c r="K75" s="1382"/>
      <c r="L75" s="1382"/>
      <c r="M75" s="1382"/>
      <c r="N75" s="1382"/>
      <c r="O75" s="1382"/>
      <c r="P75" s="1382"/>
      <c r="Q75" s="1382"/>
      <c r="R75" s="1382"/>
      <c r="S75" s="1382"/>
      <c r="T75" s="1382"/>
      <c r="U75" s="1382"/>
      <c r="V75" s="1382"/>
      <c r="W75" s="1382"/>
      <c r="X75" s="1382"/>
      <c r="Y75" s="3250"/>
      <c r="Z75" s="1329"/>
      <c r="AA75" s="3250"/>
      <c r="AB75" s="1382"/>
      <c r="AC75" s="3829"/>
      <c r="AD75" s="3830"/>
      <c r="AE75" s="3874"/>
      <c r="AF75" s="1382"/>
      <c r="AG75" s="1382"/>
      <c r="AH75" s="1382"/>
      <c r="AI75" s="4312"/>
      <c r="AJ75" s="4319"/>
      <c r="AK75" s="4320"/>
      <c r="AL75" s="3874"/>
      <c r="AM75" s="1382"/>
      <c r="AN75" s="1382"/>
      <c r="AO75" s="1382"/>
      <c r="AP75" s="4312"/>
      <c r="AQ75" s="2162"/>
      <c r="AR75" s="2162"/>
      <c r="AS75" s="2162"/>
      <c r="AT75" s="2162"/>
      <c r="AU75" s="2162"/>
    </row>
    <row r="76" spans="1:60" ht="15" customHeight="1">
      <c r="A76" s="2162"/>
      <c r="B76" s="2335"/>
      <c r="C76" s="3874"/>
      <c r="D76" s="4438" t="s">
        <v>5550</v>
      </c>
      <c r="E76" s="1382"/>
      <c r="F76" s="1382"/>
      <c r="G76" s="1382"/>
      <c r="H76" s="1382"/>
      <c r="I76" s="1382"/>
      <c r="J76" s="1382"/>
      <c r="K76" s="1382"/>
      <c r="L76" s="1382"/>
      <c r="M76" s="1382"/>
      <c r="N76" s="1382"/>
      <c r="O76" s="1382"/>
      <c r="P76" s="1382"/>
      <c r="Q76" s="1382"/>
      <c r="R76" s="1382"/>
      <c r="S76" s="1382"/>
      <c r="T76" s="1382"/>
      <c r="U76" s="1382"/>
      <c r="V76" s="1382"/>
      <c r="W76" s="1382"/>
      <c r="X76" s="1382"/>
      <c r="Y76" s="3250"/>
      <c r="Z76" s="1329"/>
      <c r="AA76" s="3250"/>
      <c r="AB76" s="2760" t="s">
        <v>990</v>
      </c>
      <c r="AC76" s="9689" t="s">
        <v>4384</v>
      </c>
      <c r="AD76" s="9690"/>
      <c r="AE76" s="9691">
        <f>IF(AS76&lt;&gt;"",ROUND(AS76,0),IF(F8812_Skip_Part_II_B,"",SUM('W-2s'!C67,'W-2s'!C69)))</f>
        <v>0</v>
      </c>
      <c r="AF76" s="9692"/>
      <c r="AG76" s="9692"/>
      <c r="AH76" s="9692"/>
      <c r="AI76" s="9693"/>
      <c r="AJ76" s="4319"/>
      <c r="AK76" s="4320"/>
      <c r="AL76" s="3874"/>
      <c r="AM76" s="1382"/>
      <c r="AN76" s="1382"/>
      <c r="AO76" s="1382"/>
      <c r="AP76" s="4312"/>
      <c r="AQ76" s="2162"/>
      <c r="AR76" s="2162"/>
      <c r="AS76" s="4297"/>
      <c r="AT76" s="2162"/>
      <c r="AU76" s="2162"/>
    </row>
    <row r="77" spans="1:60" ht="15" customHeight="1">
      <c r="A77" s="2162"/>
      <c r="B77" s="4383" t="s">
        <v>4386</v>
      </c>
      <c r="C77" s="3874"/>
      <c r="D77" s="4438" t="s">
        <v>4519</v>
      </c>
      <c r="E77" s="1382"/>
      <c r="F77" s="1382"/>
      <c r="G77" s="1382"/>
      <c r="H77" s="1382"/>
      <c r="I77" s="1382"/>
      <c r="J77" s="1382"/>
      <c r="K77" s="1382"/>
      <c r="L77" s="1382"/>
      <c r="M77" s="1382"/>
      <c r="N77" s="1382"/>
      <c r="O77" s="1382"/>
      <c r="P77" s="1382"/>
      <c r="Q77" s="1382"/>
      <c r="R77" s="1382"/>
      <c r="S77" s="1382"/>
      <c r="T77" s="1382"/>
      <c r="U77" s="1382"/>
      <c r="V77" s="1382"/>
      <c r="W77" s="1382"/>
      <c r="X77" s="1382"/>
      <c r="Y77" s="3250"/>
      <c r="Z77" s="1329"/>
      <c r="AA77" s="3250"/>
      <c r="AB77" s="1382"/>
      <c r="AC77" s="3829"/>
      <c r="AD77" s="3830"/>
      <c r="AE77" s="3874"/>
      <c r="AF77" s="1382"/>
      <c r="AG77" s="1382"/>
      <c r="AH77" s="1382"/>
      <c r="AI77" s="4312"/>
      <c r="AJ77" s="4319"/>
      <c r="AK77" s="4320"/>
      <c r="AL77" s="3874"/>
      <c r="AM77" s="1382"/>
      <c r="AN77" s="1382"/>
      <c r="AO77" s="1382"/>
      <c r="AP77" s="4312"/>
      <c r="AQ77" s="2162"/>
      <c r="AR77" s="2162"/>
      <c r="AS77" s="2162"/>
      <c r="AT77" s="2162"/>
      <c r="AU77" s="2162"/>
    </row>
    <row r="78" spans="1:60" ht="15" customHeight="1">
      <c r="A78" s="2162"/>
      <c r="B78" s="2335"/>
      <c r="C78" s="3874"/>
      <c r="D78" s="4438" t="s">
        <v>4520</v>
      </c>
      <c r="E78" s="1382"/>
      <c r="F78" s="1382"/>
      <c r="G78" s="1382"/>
      <c r="H78" s="1382"/>
      <c r="I78" s="1382"/>
      <c r="J78" s="1382"/>
      <c r="K78" s="1382"/>
      <c r="L78" s="1382"/>
      <c r="M78" s="1382"/>
      <c r="N78" s="1382"/>
      <c r="O78" s="1382"/>
      <c r="P78" s="1382"/>
      <c r="Q78" s="1382"/>
      <c r="R78" s="1382"/>
      <c r="S78" s="1382"/>
      <c r="T78" s="1382"/>
      <c r="U78" s="1382"/>
      <c r="V78" s="1382"/>
      <c r="W78" s="1382"/>
      <c r="X78" s="1382"/>
      <c r="Y78" s="3250"/>
      <c r="Z78" s="1329"/>
      <c r="AA78" s="3250"/>
      <c r="AB78" s="2760" t="s">
        <v>934</v>
      </c>
      <c r="AC78" s="9689" t="s">
        <v>4386</v>
      </c>
      <c r="AD78" s="9690"/>
      <c r="AE78" s="9691">
        <f>IF(AS78&lt;&gt;"",ROUND(AS78,0),IF(F8812_Skip_Part_II_B,"",SUM('Sch. 1'!AC58,'Sch. 2'!W17,'Sch. 2'!W19,'Sch. 2'!AC28)))</f>
        <v>0</v>
      </c>
      <c r="AF78" s="9692"/>
      <c r="AG78" s="9692"/>
      <c r="AH78" s="9692"/>
      <c r="AI78" s="9693"/>
      <c r="AJ78" s="4319"/>
      <c r="AK78" s="4320"/>
      <c r="AL78" s="3874"/>
      <c r="AM78" s="1382"/>
      <c r="AN78" s="1382"/>
      <c r="AO78" s="1382"/>
      <c r="AP78" s="4312"/>
      <c r="AQ78" s="2162"/>
      <c r="AR78" s="2162"/>
      <c r="AS78" s="4297"/>
      <c r="AT78" s="2162"/>
      <c r="AU78" s="2162"/>
    </row>
    <row r="79" spans="1:60" ht="15" customHeight="1">
      <c r="A79" s="2162"/>
      <c r="B79" s="4383" t="s">
        <v>4521</v>
      </c>
      <c r="C79" s="3874"/>
      <c r="D79" s="4438" t="s">
        <v>1764</v>
      </c>
      <c r="E79" s="1382"/>
      <c r="F79" s="1382"/>
      <c r="G79" s="1382"/>
      <c r="H79" s="1382"/>
      <c r="I79" s="1382"/>
      <c r="J79" s="1382"/>
      <c r="K79" s="1382"/>
      <c r="L79" s="1382"/>
      <c r="M79" s="1382"/>
      <c r="N79" s="1382"/>
      <c r="O79" s="1382"/>
      <c r="P79" s="1382"/>
      <c r="Q79" s="1382"/>
      <c r="R79" s="1382"/>
      <c r="S79" s="1382"/>
      <c r="T79" s="1382"/>
      <c r="U79" s="1382"/>
      <c r="V79" s="1382"/>
      <c r="W79" s="1382"/>
      <c r="X79" s="1382"/>
      <c r="Y79" s="3250"/>
      <c r="Z79" s="1329"/>
      <c r="AA79" s="3250"/>
      <c r="AB79" s="2760" t="s">
        <v>3937</v>
      </c>
      <c r="AC79" s="9689" t="s">
        <v>4521</v>
      </c>
      <c r="AD79" s="9690"/>
      <c r="AE79" s="9691">
        <f>IF(AS76&lt;&gt;"",ROUND(AS76,0),IF(F8812_Skip_Part_II_B,"",SUM(AE76,AE78)))</f>
        <v>0</v>
      </c>
      <c r="AF79" s="9692"/>
      <c r="AG79" s="9692"/>
      <c r="AH79" s="9692"/>
      <c r="AI79" s="9693"/>
      <c r="AJ79" s="4319"/>
      <c r="AK79" s="4320"/>
      <c r="AL79" s="3874"/>
      <c r="AM79" s="1382"/>
      <c r="AN79" s="1382"/>
      <c r="AO79" s="1382"/>
      <c r="AP79" s="4312"/>
      <c r="AQ79" s="2162"/>
      <c r="AR79" s="2162"/>
      <c r="AS79" s="2162"/>
      <c r="AT79" s="2162"/>
      <c r="AU79" s="2162"/>
    </row>
    <row r="80" spans="1:60" ht="15" customHeight="1">
      <c r="A80" s="2162"/>
      <c r="B80" s="4383" t="s">
        <v>4522</v>
      </c>
      <c r="C80" s="3874"/>
      <c r="D80" s="4439" t="s">
        <v>4523</v>
      </c>
      <c r="E80" s="1382"/>
      <c r="F80" s="1382"/>
      <c r="G80" s="1382"/>
      <c r="H80" s="1382"/>
      <c r="I80" s="1382"/>
      <c r="J80" s="1382"/>
      <c r="K80" s="1382"/>
      <c r="L80" s="1382"/>
      <c r="M80" s="1382"/>
      <c r="N80" s="1382"/>
      <c r="O80" s="1382"/>
      <c r="P80" s="1382"/>
      <c r="Q80" s="1382"/>
      <c r="R80" s="1382"/>
      <c r="S80" s="1382"/>
      <c r="T80" s="1382"/>
      <c r="U80" s="1382"/>
      <c r="V80" s="1382"/>
      <c r="W80" s="1382"/>
      <c r="X80" s="1382"/>
      <c r="Y80" s="3250"/>
      <c r="Z80" s="1329"/>
      <c r="AA80" s="3250"/>
      <c r="AB80" s="1382"/>
      <c r="AC80" s="4340"/>
      <c r="AD80" s="4341"/>
      <c r="AE80" s="3874"/>
      <c r="AF80" s="1382"/>
      <c r="AG80" s="1382"/>
      <c r="AH80" s="1382"/>
      <c r="AI80" s="4312"/>
      <c r="AJ80" s="4319"/>
      <c r="AK80" s="4320"/>
      <c r="AL80" s="3874"/>
      <c r="AM80" s="1382"/>
      <c r="AN80" s="1382"/>
      <c r="AO80" s="1382"/>
      <c r="AP80" s="4312"/>
      <c r="AQ80" s="2162"/>
      <c r="AR80" s="2162"/>
      <c r="AS80" s="2162"/>
      <c r="AT80" s="2162"/>
      <c r="AU80" s="2162"/>
    </row>
    <row r="81" spans="1:60" ht="15" customHeight="1">
      <c r="A81" s="2162"/>
      <c r="B81" s="2335"/>
      <c r="C81" s="3874"/>
      <c r="D81" s="4439" t="s">
        <v>4524</v>
      </c>
      <c r="E81" s="1382"/>
      <c r="F81" s="1382"/>
      <c r="G81" s="1382"/>
      <c r="H81" s="1382"/>
      <c r="I81" s="4438" t="s">
        <v>4525</v>
      </c>
      <c r="J81" s="1382"/>
      <c r="K81" s="1382"/>
      <c r="L81" s="1382"/>
      <c r="M81" s="1382"/>
      <c r="N81" s="1382"/>
      <c r="O81" s="1382"/>
      <c r="P81" s="1382"/>
      <c r="Q81" s="1382"/>
      <c r="R81" s="1382"/>
      <c r="S81" s="1382"/>
      <c r="T81" s="1382"/>
      <c r="U81" s="1382"/>
      <c r="V81" s="1382"/>
      <c r="W81" s="1382"/>
      <c r="X81" s="1382"/>
      <c r="Y81" s="3250"/>
      <c r="Z81" s="1329"/>
      <c r="AA81" s="3250"/>
      <c r="AB81" s="1382"/>
      <c r="AC81" s="3829"/>
      <c r="AD81" s="3830"/>
      <c r="AE81" s="3874"/>
      <c r="AF81" s="1382"/>
      <c r="AG81" s="1382"/>
      <c r="AH81" s="1382"/>
      <c r="AI81" s="4312"/>
      <c r="AJ81" s="4319"/>
      <c r="AK81" s="4320"/>
      <c r="AL81" s="3874"/>
      <c r="AM81" s="1382"/>
      <c r="AN81" s="1382"/>
      <c r="AO81" s="1382"/>
      <c r="AP81" s="4312"/>
      <c r="AQ81" s="2162"/>
      <c r="AR81" s="2162"/>
      <c r="AS81" s="2162"/>
      <c r="AT81" s="2162"/>
      <c r="AU81" s="2162"/>
    </row>
    <row r="82" spans="1:60" ht="15" customHeight="1">
      <c r="A82" s="2162"/>
      <c r="B82" s="2335"/>
      <c r="C82" s="3874"/>
      <c r="D82" s="4438"/>
      <c r="E82" s="1382"/>
      <c r="F82" s="1382"/>
      <c r="G82" s="1382"/>
      <c r="H82" s="1382"/>
      <c r="I82" s="4438" t="s">
        <v>4526</v>
      </c>
      <c r="J82" s="1382"/>
      <c r="K82" s="1382"/>
      <c r="L82" s="1382"/>
      <c r="M82" s="1382"/>
      <c r="N82" s="1382"/>
      <c r="O82" s="1382"/>
      <c r="P82" s="1382"/>
      <c r="Q82" s="1382"/>
      <c r="R82" s="1382"/>
      <c r="S82" s="1382"/>
      <c r="T82" s="1382"/>
      <c r="U82" s="1382"/>
      <c r="V82" s="1382"/>
      <c r="W82" s="1382"/>
      <c r="X82" s="1382"/>
      <c r="Y82" s="3250"/>
      <c r="Z82" s="1329"/>
      <c r="AA82" s="3250"/>
      <c r="AB82" s="1382"/>
      <c r="AC82" s="3829"/>
      <c r="AD82" s="3830"/>
      <c r="AE82" s="3874"/>
      <c r="AF82" s="1382"/>
      <c r="AG82" s="1382"/>
      <c r="AH82" s="1382"/>
      <c r="AI82" s="4312"/>
      <c r="AJ82" s="4319"/>
      <c r="AK82" s="4320"/>
      <c r="AL82" s="3874"/>
      <c r="AM82" s="1382"/>
      <c r="AN82" s="1382"/>
      <c r="AO82" s="1382"/>
      <c r="AP82" s="4312"/>
      <c r="AQ82" s="2162"/>
      <c r="AR82" s="2162"/>
      <c r="AS82" s="2162"/>
      <c r="AT82" s="2162"/>
      <c r="AU82" s="2162"/>
    </row>
    <row r="83" spans="1:60" ht="15" customHeight="1">
      <c r="A83" s="2162"/>
      <c r="B83" s="2335"/>
      <c r="C83" s="3874"/>
      <c r="D83" s="4439" t="s">
        <v>4527</v>
      </c>
      <c r="E83" s="1382"/>
      <c r="F83" s="1382"/>
      <c r="G83" s="1382"/>
      <c r="H83" s="1382"/>
      <c r="I83" s="4438" t="s">
        <v>4528</v>
      </c>
      <c r="J83" s="1382"/>
      <c r="K83" s="1382"/>
      <c r="L83" s="1382"/>
      <c r="M83" s="1382"/>
      <c r="N83" s="1382"/>
      <c r="O83" s="1382"/>
      <c r="P83" s="1382"/>
      <c r="Q83" s="1382"/>
      <c r="R83" s="1382"/>
      <c r="S83" s="1382"/>
      <c r="T83" s="1382"/>
      <c r="U83" s="1382"/>
      <c r="V83" s="1382"/>
      <c r="W83" s="1382"/>
      <c r="X83" s="1382"/>
      <c r="Y83" s="3250"/>
      <c r="Z83" s="1329"/>
      <c r="AA83" s="3250"/>
      <c r="AB83" s="1382"/>
      <c r="AC83" s="9689" t="s">
        <v>4522</v>
      </c>
      <c r="AD83" s="9690"/>
      <c r="AE83" s="9691">
        <f>IF(F8812_Skip_Part_II_B,"",SUM('1040'!Z87,'Sch. 3'!AC43))</f>
        <v>0</v>
      </c>
      <c r="AF83" s="9692"/>
      <c r="AG83" s="9692"/>
      <c r="AH83" s="9692"/>
      <c r="AI83" s="9693"/>
      <c r="AJ83" s="4319"/>
      <c r="AK83" s="4320"/>
      <c r="AL83" s="3874"/>
      <c r="AM83" s="1382"/>
      <c r="AN83" s="1382"/>
      <c r="AO83" s="1382"/>
      <c r="AP83" s="4312"/>
      <c r="AQ83" s="2162"/>
      <c r="AR83" s="2162"/>
      <c r="AS83" s="2162"/>
      <c r="AT83" s="2162"/>
      <c r="AU83" s="2162"/>
    </row>
    <row r="84" spans="1:60" ht="17.25" customHeight="1">
      <c r="A84" s="2162"/>
      <c r="B84" s="4383" t="s">
        <v>4529</v>
      </c>
      <c r="C84" s="3874"/>
      <c r="D84" s="4438" t="s">
        <v>2628</v>
      </c>
      <c r="E84" s="1382"/>
      <c r="F84" s="1382"/>
      <c r="G84" s="1382"/>
      <c r="H84" s="1382"/>
      <c r="I84" s="1382"/>
      <c r="J84" s="1382"/>
      <c r="K84" s="1382"/>
      <c r="L84" s="1382"/>
      <c r="M84" s="1382"/>
      <c r="N84" s="1382"/>
      <c r="O84" s="1382"/>
      <c r="P84" s="1382"/>
      <c r="Q84" s="1382"/>
      <c r="R84" s="1382"/>
      <c r="S84" s="1382"/>
      <c r="T84" s="1382"/>
      <c r="U84" s="1382"/>
      <c r="V84" s="1382"/>
      <c r="W84" s="1382"/>
      <c r="X84" s="1382"/>
      <c r="Y84" s="3250"/>
      <c r="Z84" s="1329"/>
      <c r="AA84" s="3250"/>
      <c r="AB84" s="1382"/>
      <c r="AC84" s="1382"/>
      <c r="AD84" s="1382"/>
      <c r="AE84" s="1382"/>
      <c r="AF84" s="1382"/>
      <c r="AG84" s="1382"/>
      <c r="AH84" s="1382"/>
      <c r="AI84" s="2760" t="s">
        <v>2143</v>
      </c>
      <c r="AJ84" s="9689" t="s">
        <v>4529</v>
      </c>
      <c r="AK84" s="9690"/>
      <c r="AL84" s="9691">
        <f>IF(F8812_Skip_Part_II_B,"",IF(SUM(AE79,-AE83)&lt;=0,0,SUM(AE79,-AE83)))</f>
        <v>0</v>
      </c>
      <c r="AM84" s="9692"/>
      <c r="AN84" s="9692"/>
      <c r="AO84" s="9692"/>
      <c r="AP84" s="9693"/>
      <c r="AQ84" s="2162"/>
      <c r="AR84" s="2162"/>
      <c r="AS84" s="2162"/>
      <c r="AT84" s="2162"/>
      <c r="AU84" s="2162"/>
    </row>
    <row r="85" spans="1:60" ht="17.25" customHeight="1">
      <c r="A85" s="2162"/>
      <c r="B85" s="4383" t="s">
        <v>4530</v>
      </c>
      <c r="C85" s="3874"/>
      <c r="D85" s="4438" t="s">
        <v>4531</v>
      </c>
      <c r="E85" s="1382"/>
      <c r="F85" s="1382"/>
      <c r="G85" s="1382"/>
      <c r="H85" s="1382"/>
      <c r="I85" s="1382"/>
      <c r="J85" s="1382"/>
      <c r="K85" s="1382"/>
      <c r="L85" s="1382"/>
      <c r="M85" s="1382"/>
      <c r="N85" s="1382"/>
      <c r="O85" s="1382"/>
      <c r="P85" s="1382"/>
      <c r="Q85" s="1382"/>
      <c r="R85" s="1382"/>
      <c r="S85" s="1382"/>
      <c r="T85" s="1382"/>
      <c r="U85" s="1382"/>
      <c r="V85" s="1382"/>
      <c r="W85" s="1382"/>
      <c r="X85" s="1382"/>
      <c r="Y85" s="3250"/>
      <c r="Z85" s="1329"/>
      <c r="AA85" s="3250"/>
      <c r="AB85" s="1382"/>
      <c r="AC85" s="1382"/>
      <c r="AD85" s="1382"/>
      <c r="AE85" s="1382"/>
      <c r="AF85" s="1382"/>
      <c r="AG85" s="1382"/>
      <c r="AH85" s="1382"/>
      <c r="AI85" s="2760" t="s">
        <v>891</v>
      </c>
      <c r="AJ85" s="9689" t="s">
        <v>4530</v>
      </c>
      <c r="AK85" s="9690"/>
      <c r="AL85" s="9691">
        <f>IF(AS85&lt;&gt;"",ROUND(AS85,0),IF(F8812_Skip_Part_II_B,"",MAX(AL66,AL84)))</f>
        <v>0</v>
      </c>
      <c r="AM85" s="9692"/>
      <c r="AN85" s="9692"/>
      <c r="AO85" s="9692"/>
      <c r="AP85" s="9693"/>
      <c r="AQ85" s="2162"/>
      <c r="AR85" s="2162"/>
      <c r="AS85" s="4297"/>
      <c r="AT85" s="2162"/>
      <c r="AU85" s="2162"/>
    </row>
    <row r="86" spans="1:60" ht="17.25" customHeight="1" thickBot="1">
      <c r="A86" s="2162"/>
      <c r="B86" s="3423"/>
      <c r="C86" s="4321"/>
      <c r="D86" s="4440" t="s">
        <v>4532</v>
      </c>
      <c r="E86" s="4322"/>
      <c r="F86" s="4322"/>
      <c r="G86" s="4322"/>
      <c r="H86" s="4322"/>
      <c r="I86" s="4322"/>
      <c r="J86" s="4322"/>
      <c r="K86" s="4322"/>
      <c r="L86" s="4322"/>
      <c r="M86" s="4322"/>
      <c r="N86" s="4322"/>
      <c r="O86" s="4322"/>
      <c r="P86" s="4322"/>
      <c r="Q86" s="4322"/>
      <c r="R86" s="4322"/>
      <c r="S86" s="4322"/>
      <c r="T86" s="4322"/>
      <c r="U86" s="4322"/>
      <c r="V86" s="4322"/>
      <c r="W86" s="4322"/>
      <c r="X86" s="4322"/>
      <c r="Y86" s="4323"/>
      <c r="Z86" s="4324"/>
      <c r="AA86" s="4323"/>
      <c r="AB86" s="4322"/>
      <c r="AC86" s="4322"/>
      <c r="AD86" s="4322"/>
      <c r="AE86" s="4322"/>
      <c r="AF86" s="4322"/>
      <c r="AG86" s="4322"/>
      <c r="AH86" s="4322"/>
      <c r="AI86" s="4322"/>
      <c r="AJ86" s="4353"/>
      <c r="AK86" s="4354"/>
      <c r="AL86" s="4344"/>
      <c r="AM86" s="4343"/>
      <c r="AN86" s="4343"/>
      <c r="AO86" s="4343"/>
      <c r="AP86" s="4345"/>
      <c r="AQ86" s="2162"/>
      <c r="AR86" s="2162"/>
      <c r="AS86" s="3107" t="b">
        <f>AND(AS76="",AS78="",AS85="")</f>
        <v>1</v>
      </c>
      <c r="AT86" s="2162"/>
      <c r="AU86" s="2162"/>
    </row>
    <row r="87" spans="1:60" s="2114" customFormat="1" ht="15.75">
      <c r="A87" s="2163"/>
      <c r="B87" s="9723" t="s">
        <v>4533</v>
      </c>
      <c r="C87" s="9723"/>
      <c r="D87" s="9724"/>
      <c r="E87" s="998"/>
      <c r="F87" s="998"/>
      <c r="G87" s="2763" t="s">
        <v>4486</v>
      </c>
      <c r="H87" s="998"/>
      <c r="I87" s="998"/>
      <c r="J87" s="998"/>
      <c r="K87" s="998"/>
      <c r="L87" s="998"/>
      <c r="M87" s="998"/>
      <c r="N87" s="998"/>
      <c r="O87" s="998"/>
      <c r="P87" s="998"/>
      <c r="Q87" s="998"/>
      <c r="R87" s="998"/>
      <c r="S87" s="998"/>
      <c r="T87" s="998"/>
      <c r="U87" s="998"/>
      <c r="V87" s="998"/>
      <c r="W87" s="998"/>
      <c r="X87" s="998"/>
      <c r="Y87" s="998"/>
      <c r="Z87" s="998"/>
      <c r="AA87" s="998"/>
      <c r="AB87" s="998"/>
      <c r="AC87" s="998"/>
      <c r="AD87" s="998"/>
      <c r="AE87" s="998"/>
      <c r="AF87" s="998"/>
      <c r="AG87" s="998"/>
      <c r="AH87" s="998"/>
      <c r="AI87" s="998"/>
      <c r="AJ87" s="998"/>
      <c r="AK87" s="998"/>
      <c r="AL87" s="9727" t="b">
        <f>OR(AS37,AL49,AS51,AS53,AL55)</f>
        <v>1</v>
      </c>
      <c r="AM87" s="9727"/>
      <c r="AN87" s="9727"/>
      <c r="AO87" s="9727"/>
      <c r="AP87" s="9727"/>
      <c r="AQ87" s="2162"/>
      <c r="AR87" s="2162"/>
      <c r="AS87" s="4732" t="s">
        <v>867</v>
      </c>
      <c r="AT87" s="2162"/>
      <c r="AU87" s="2162"/>
      <c r="AV87" s="39"/>
      <c r="AW87" s="39"/>
      <c r="AX87" s="2038"/>
      <c r="AY87" s="2038"/>
      <c r="AZ87" s="2038"/>
      <c r="BA87" s="2038"/>
      <c r="BB87" s="2038"/>
      <c r="BC87" s="2038"/>
      <c r="BD87" s="2038"/>
      <c r="BE87" s="2038"/>
      <c r="BF87" s="2038"/>
      <c r="BG87" s="2038"/>
      <c r="BH87" s="2038"/>
    </row>
    <row r="88" spans="1:60" ht="17.25" customHeight="1" thickBot="1">
      <c r="A88" s="2162"/>
      <c r="B88" s="4384" t="s">
        <v>775</v>
      </c>
      <c r="C88" s="4325"/>
      <c r="D88" s="4929" t="s">
        <v>4534</v>
      </c>
      <c r="E88" s="4326"/>
      <c r="F88" s="4326"/>
      <c r="G88" s="4326"/>
      <c r="H88" s="4326"/>
      <c r="I88" s="4326"/>
      <c r="J88" s="4326"/>
      <c r="K88" s="4326"/>
      <c r="L88" s="4326"/>
      <c r="M88" s="4326"/>
      <c r="N88" s="4326"/>
      <c r="O88" s="4326"/>
      <c r="P88" s="4326"/>
      <c r="Q88" s="4326"/>
      <c r="R88" s="4326"/>
      <c r="S88" s="4326"/>
      <c r="T88" s="4326"/>
      <c r="U88" s="4326"/>
      <c r="V88" s="4326"/>
      <c r="W88" s="4326"/>
      <c r="X88" s="4326"/>
      <c r="Y88" s="4327"/>
      <c r="Z88" s="4328"/>
      <c r="AA88" s="4327"/>
      <c r="AB88" s="4326"/>
      <c r="AC88" s="4326"/>
      <c r="AD88" s="4326"/>
      <c r="AE88" s="4326"/>
      <c r="AF88" s="4326"/>
      <c r="AG88" s="4326"/>
      <c r="AH88" s="4326"/>
      <c r="AI88" s="2760" t="s">
        <v>934</v>
      </c>
      <c r="AJ88" s="9689" t="s">
        <v>775</v>
      </c>
      <c r="AK88" s="9690"/>
      <c r="AL88" s="9691">
        <f>IF(AS88&lt;&gt;"",ROUND(AS88,0),IF(F8812_NoAdditionalCTC,0,IF(AD71,AL59,IF(AG69,MIN(AL59,AL66),MIN(AL59,AL85)))))</f>
        <v>0</v>
      </c>
      <c r="AM88" s="9692"/>
      <c r="AN88" s="9692"/>
      <c r="AO88" s="9692"/>
      <c r="AP88" s="9693"/>
      <c r="AQ88" s="2162"/>
      <c r="AR88" s="2162"/>
      <c r="AS88" s="4297"/>
      <c r="AT88" s="2162"/>
      <c r="AU88" s="2162"/>
    </row>
    <row r="89" spans="1:60" ht="17.25" customHeight="1" thickTop="1">
      <c r="A89" s="2162"/>
      <c r="B89" s="4329"/>
      <c r="C89" s="3409"/>
      <c r="D89" s="4330"/>
      <c r="E89" s="4330"/>
      <c r="F89" s="4330"/>
      <c r="G89" s="4330"/>
      <c r="H89" s="4330"/>
      <c r="I89" s="4330"/>
      <c r="J89" s="4330"/>
      <c r="K89" s="4330"/>
      <c r="L89" s="4330"/>
      <c r="M89" s="4330"/>
      <c r="N89" s="4330"/>
      <c r="O89" s="4330"/>
      <c r="P89" s="4330"/>
      <c r="Q89" s="4330"/>
      <c r="R89" s="4330"/>
      <c r="S89" s="4330"/>
      <c r="T89" s="4330"/>
      <c r="U89" s="4330"/>
      <c r="V89" s="4330"/>
      <c r="W89" s="4330"/>
      <c r="X89" s="4330"/>
      <c r="Y89" s="4331"/>
      <c r="Z89" s="4332"/>
      <c r="AA89" s="4331"/>
      <c r="AB89" s="4330"/>
      <c r="AC89" s="4330"/>
      <c r="AD89" s="4330"/>
      <c r="AE89" s="4330"/>
      <c r="AF89" s="4330"/>
      <c r="AG89" s="4330"/>
      <c r="AH89" s="4330"/>
      <c r="AI89" s="4330"/>
      <c r="AJ89" s="4330"/>
      <c r="AK89" s="4330"/>
      <c r="AL89" s="3409"/>
      <c r="AM89" s="4330"/>
      <c r="AN89" s="4333" t="s">
        <v>4535</v>
      </c>
      <c r="AO89" s="9721">
        <f>TaxYear</f>
        <v>2023</v>
      </c>
      <c r="AP89" s="9721"/>
      <c r="AQ89" s="2162"/>
      <c r="AR89" s="2162"/>
      <c r="AS89" s="2162"/>
      <c r="AT89" s="2162"/>
      <c r="AU89" s="2162"/>
    </row>
    <row r="90" spans="1:60" ht="12" customHeight="1">
      <c r="A90" s="2162"/>
      <c r="B90" s="878"/>
      <c r="C90" s="878"/>
      <c r="D90" s="878"/>
      <c r="E90" s="878"/>
      <c r="F90" s="878"/>
      <c r="G90" s="878"/>
      <c r="H90" s="878"/>
      <c r="I90" s="878"/>
      <c r="J90" s="878"/>
      <c r="K90" s="878"/>
      <c r="L90" s="878"/>
      <c r="M90" s="878"/>
      <c r="N90" s="878"/>
      <c r="O90" s="878"/>
      <c r="P90" s="878"/>
      <c r="Q90" s="878"/>
      <c r="R90" s="878"/>
      <c r="S90" s="878"/>
      <c r="T90" s="878"/>
      <c r="U90" s="878"/>
      <c r="V90" s="878"/>
      <c r="W90" s="878"/>
      <c r="X90" s="878"/>
      <c r="Y90" s="878"/>
      <c r="Z90" s="878"/>
      <c r="AA90" s="878"/>
      <c r="AB90" s="878"/>
      <c r="AC90" s="878"/>
      <c r="AD90" s="878"/>
      <c r="AE90" s="878"/>
      <c r="AF90" s="878"/>
      <c r="AG90" s="878"/>
      <c r="AH90" s="878"/>
      <c r="AI90" s="878"/>
      <c r="AJ90" s="878"/>
      <c r="AK90" s="878"/>
      <c r="AL90" s="878"/>
      <c r="AM90" s="878"/>
      <c r="AN90" s="878"/>
      <c r="AO90" s="878"/>
      <c r="AP90" s="878"/>
      <c r="AQ90" s="2162"/>
      <c r="AR90" s="2162"/>
      <c r="AS90" s="2162"/>
      <c r="AT90" s="2162"/>
      <c r="AU90" s="2162"/>
    </row>
    <row r="91" spans="1:60" ht="12" customHeight="1">
      <c r="A91" s="2162"/>
      <c r="B91" s="878"/>
      <c r="C91" s="1145" t="s">
        <v>4536</v>
      </c>
      <c r="D91" s="878"/>
      <c r="E91" s="878"/>
      <c r="F91" s="878"/>
      <c r="G91" s="878"/>
      <c r="H91" s="878"/>
      <c r="I91" s="878"/>
      <c r="J91" s="878"/>
      <c r="K91" s="878"/>
      <c r="L91" s="878"/>
      <c r="M91" s="878"/>
      <c r="N91" s="878"/>
      <c r="O91" s="878"/>
      <c r="P91" s="878"/>
      <c r="Q91" s="878"/>
      <c r="R91" s="878"/>
      <c r="S91" s="878"/>
      <c r="T91" s="878"/>
      <c r="U91" s="878"/>
      <c r="V91" s="878"/>
      <c r="W91" s="878"/>
      <c r="X91" s="878"/>
      <c r="Y91" s="878"/>
      <c r="Z91" s="878"/>
      <c r="AA91" s="878"/>
      <c r="AB91" s="878"/>
      <c r="AC91" s="878"/>
      <c r="AD91" s="878"/>
      <c r="AE91" s="878"/>
      <c r="AF91" s="878"/>
      <c r="AG91" s="878"/>
      <c r="AH91" s="878"/>
      <c r="AI91" s="878"/>
      <c r="AJ91" s="878"/>
      <c r="AK91" s="878"/>
      <c r="AL91" s="878"/>
      <c r="AM91" s="878"/>
      <c r="AN91" s="878"/>
      <c r="AO91" s="878"/>
      <c r="AP91" s="878"/>
      <c r="AQ91" s="2162"/>
      <c r="AR91" s="2162"/>
      <c r="AS91" s="2162"/>
      <c r="AT91" s="2162"/>
      <c r="AU91" s="2162"/>
    </row>
    <row r="92" spans="1:60" ht="12" customHeight="1" thickBot="1">
      <c r="A92" s="2162"/>
      <c r="B92" s="878"/>
      <c r="C92" s="2957"/>
      <c r="D92" s="2957"/>
      <c r="E92" s="2957"/>
      <c r="F92" s="2957"/>
      <c r="G92" s="2957"/>
      <c r="H92" s="2957"/>
      <c r="I92" s="2957"/>
      <c r="J92" s="2957"/>
      <c r="K92" s="2957"/>
      <c r="L92" s="2957"/>
      <c r="M92" s="2957"/>
      <c r="N92" s="2957"/>
      <c r="O92" s="2957"/>
      <c r="P92" s="2957"/>
      <c r="Q92" s="2957"/>
      <c r="R92" s="2957"/>
      <c r="S92" s="2957"/>
      <c r="T92" s="2957"/>
      <c r="U92" s="2957"/>
      <c r="V92" s="2957"/>
      <c r="W92" s="2957"/>
      <c r="X92" s="2957"/>
      <c r="Y92" s="2957"/>
      <c r="Z92" s="2957"/>
      <c r="AA92" s="2957"/>
      <c r="AB92" s="2957"/>
      <c r="AC92" s="2957"/>
      <c r="AD92" s="2957"/>
      <c r="AE92" s="2957"/>
      <c r="AF92" s="2957"/>
      <c r="AG92" s="2957"/>
      <c r="AH92" s="2957"/>
      <c r="AI92" s="2957"/>
      <c r="AJ92" s="2957"/>
      <c r="AK92" s="2957"/>
      <c r="AL92" s="2957"/>
      <c r="AM92" s="2957"/>
      <c r="AN92" s="2957"/>
      <c r="AO92" s="2957"/>
      <c r="AP92" s="878"/>
      <c r="AQ92" s="2162"/>
      <c r="AR92" s="2162"/>
      <c r="AS92" s="2162"/>
      <c r="AT92" s="2162"/>
      <c r="AU92" s="2162"/>
    </row>
    <row r="93" spans="1:60" ht="6" customHeight="1" thickTop="1">
      <c r="A93" s="2162"/>
      <c r="B93" s="878"/>
      <c r="C93" s="878"/>
      <c r="D93" s="878"/>
      <c r="E93" s="878"/>
      <c r="F93" s="878"/>
      <c r="G93" s="878"/>
      <c r="H93" s="878"/>
      <c r="I93" s="878"/>
      <c r="J93" s="878"/>
      <c r="K93" s="878"/>
      <c r="L93" s="878"/>
      <c r="M93" s="878"/>
      <c r="N93" s="878"/>
      <c r="O93" s="878"/>
      <c r="P93" s="878"/>
      <c r="Q93" s="878"/>
      <c r="R93" s="878"/>
      <c r="S93" s="878"/>
      <c r="T93" s="878"/>
      <c r="U93" s="878"/>
      <c r="V93" s="878"/>
      <c r="W93" s="878"/>
      <c r="X93" s="878"/>
      <c r="Y93" s="878"/>
      <c r="Z93" s="878"/>
      <c r="AA93" s="878"/>
      <c r="AB93" s="878"/>
      <c r="AC93" s="878"/>
      <c r="AD93" s="878"/>
      <c r="AE93" s="878"/>
      <c r="AF93" s="878"/>
      <c r="AG93" s="878"/>
      <c r="AH93" s="878"/>
      <c r="AI93" s="878"/>
      <c r="AJ93" s="878"/>
      <c r="AK93" s="878"/>
      <c r="AL93" s="878"/>
      <c r="AM93" s="878"/>
      <c r="AN93" s="878"/>
      <c r="AO93" s="878"/>
      <c r="AP93" s="878"/>
      <c r="AQ93" s="2162"/>
      <c r="AR93" s="2162"/>
      <c r="AS93" s="2162"/>
      <c r="AT93" s="2162"/>
      <c r="AU93" s="2162"/>
    </row>
    <row r="94" spans="1:60" ht="20.25" customHeight="1">
      <c r="A94" s="2162"/>
      <c r="B94" s="878"/>
      <c r="C94" s="878"/>
      <c r="D94" s="878"/>
      <c r="E94" s="878"/>
      <c r="F94" s="4306" t="s">
        <v>167</v>
      </c>
      <c r="G94" s="878" t="s">
        <v>4537</v>
      </c>
      <c r="H94" s="878"/>
      <c r="I94" s="878"/>
      <c r="J94" s="878"/>
      <c r="K94" s="878"/>
      <c r="L94" s="878"/>
      <c r="M94" s="878"/>
      <c r="N94" s="878"/>
      <c r="O94" s="878"/>
      <c r="P94" s="878"/>
      <c r="Q94" s="878"/>
      <c r="R94" s="878"/>
      <c r="S94" s="878"/>
      <c r="T94" s="878"/>
      <c r="U94" s="878"/>
      <c r="V94" s="878"/>
      <c r="W94" s="878"/>
      <c r="X94" s="878"/>
      <c r="Y94" s="878"/>
      <c r="Z94" s="878"/>
      <c r="AA94" s="878"/>
      <c r="AB94" s="878"/>
      <c r="AC94" s="878"/>
      <c r="AD94" s="878"/>
      <c r="AE94" s="878"/>
      <c r="AF94" s="878"/>
      <c r="AG94" s="878"/>
      <c r="AH94" s="878"/>
      <c r="AI94" s="4430" t="s">
        <v>646</v>
      </c>
      <c r="AJ94" s="4308" t="s">
        <v>252</v>
      </c>
      <c r="AK94" s="9739">
        <f>'1040'!AD74</f>
        <v>0</v>
      </c>
      <c r="AL94" s="9739"/>
      <c r="AM94" s="9739"/>
      <c r="AN94" s="9739"/>
      <c r="AO94" s="9739"/>
      <c r="AP94" s="878"/>
      <c r="AQ94" s="2162"/>
      <c r="AR94" s="2162"/>
      <c r="AS94" s="2162"/>
      <c r="AT94" s="2162"/>
      <c r="AU94" s="2162"/>
    </row>
    <row r="95" spans="1:60" ht="12" customHeight="1">
      <c r="A95" s="2162"/>
      <c r="B95" s="878"/>
      <c r="C95" s="878"/>
      <c r="D95" s="878"/>
      <c r="E95" s="878"/>
      <c r="F95" s="878"/>
      <c r="G95" s="878"/>
      <c r="H95" s="878"/>
      <c r="I95" s="878"/>
      <c r="J95" s="878"/>
      <c r="K95" s="878"/>
      <c r="L95" s="878"/>
      <c r="M95" s="878"/>
      <c r="N95" s="878"/>
      <c r="O95" s="878"/>
      <c r="P95" s="878"/>
      <c r="Q95" s="878"/>
      <c r="R95" s="878"/>
      <c r="S95" s="878"/>
      <c r="T95" s="878"/>
      <c r="U95" s="878"/>
      <c r="V95" s="878"/>
      <c r="W95" s="878"/>
      <c r="X95" s="878"/>
      <c r="Y95" s="878"/>
      <c r="Z95" s="878"/>
      <c r="AA95" s="878"/>
      <c r="AB95" s="878"/>
      <c r="AC95" s="878"/>
      <c r="AD95" s="878"/>
      <c r="AE95" s="878"/>
      <c r="AF95" s="878"/>
      <c r="AG95" s="878"/>
      <c r="AH95" s="878"/>
      <c r="AI95" s="878"/>
      <c r="AJ95" s="878"/>
      <c r="AK95" s="878"/>
      <c r="AL95" s="878"/>
      <c r="AM95" s="878"/>
      <c r="AN95" s="878"/>
      <c r="AO95" s="878"/>
      <c r="AP95" s="878"/>
      <c r="AQ95" s="2162"/>
      <c r="AR95" s="2162"/>
      <c r="AS95" s="4732" t="s">
        <v>867</v>
      </c>
      <c r="AT95" s="2162"/>
      <c r="AU95" s="2162"/>
    </row>
    <row r="96" spans="1:60" ht="12" customHeight="1">
      <c r="A96" s="2162"/>
      <c r="B96" s="878"/>
      <c r="C96" s="878"/>
      <c r="D96" s="878"/>
      <c r="E96" s="878"/>
      <c r="F96" s="4306" t="s">
        <v>171</v>
      </c>
      <c r="G96" s="878" t="s">
        <v>4538</v>
      </c>
      <c r="H96" s="878"/>
      <c r="I96" s="878"/>
      <c r="J96" s="878"/>
      <c r="K96" s="878"/>
      <c r="L96" s="878"/>
      <c r="M96" s="878"/>
      <c r="N96" s="878"/>
      <c r="O96" s="878"/>
      <c r="P96" s="878"/>
      <c r="Q96" s="878"/>
      <c r="R96" s="878"/>
      <c r="S96" s="878"/>
      <c r="T96" s="878"/>
      <c r="U96" s="878"/>
      <c r="V96" s="878"/>
      <c r="W96" s="878"/>
      <c r="X96" s="878"/>
      <c r="Y96" s="878"/>
      <c r="Z96" s="878"/>
      <c r="AA96" s="878"/>
      <c r="AB96" s="878"/>
      <c r="AC96" s="878"/>
      <c r="AD96" s="878"/>
      <c r="AE96" s="878"/>
      <c r="AF96" s="878"/>
      <c r="AG96" s="878"/>
      <c r="AH96" s="878"/>
      <c r="AI96" s="878"/>
      <c r="AJ96" s="878"/>
      <c r="AK96" s="878"/>
      <c r="AL96" s="878"/>
      <c r="AM96" s="878"/>
      <c r="AN96" s="878"/>
      <c r="AO96" s="878"/>
      <c r="AP96" s="878"/>
      <c r="AQ96" s="2162"/>
      <c r="AR96" s="2162"/>
      <c r="AS96" s="2162"/>
      <c r="AT96" s="2162"/>
      <c r="AU96" s="2162"/>
    </row>
    <row r="97" spans="1:47" ht="16.5" customHeight="1">
      <c r="A97" s="2162"/>
      <c r="B97" s="878"/>
      <c r="C97" s="878"/>
      <c r="D97" s="878"/>
      <c r="E97" s="878"/>
      <c r="F97" s="4306"/>
      <c r="G97" s="878"/>
      <c r="H97" s="878" t="s">
        <v>4539</v>
      </c>
      <c r="I97" s="878"/>
      <c r="J97" s="878"/>
      <c r="K97" s="878"/>
      <c r="L97" s="878"/>
      <c r="M97" s="878"/>
      <c r="N97" s="878"/>
      <c r="O97" s="878"/>
      <c r="P97" s="878"/>
      <c r="Q97" s="878"/>
      <c r="R97" s="878"/>
      <c r="S97" s="878"/>
      <c r="T97" s="878"/>
      <c r="U97" s="878"/>
      <c r="V97" s="878"/>
      <c r="W97" s="878"/>
      <c r="X97" s="878"/>
      <c r="Y97" s="878"/>
      <c r="Z97" s="878"/>
      <c r="AA97" s="878"/>
      <c r="AB97" s="4430" t="s">
        <v>670</v>
      </c>
      <c r="AC97" s="9728" t="s">
        <v>4540</v>
      </c>
      <c r="AD97" s="6733"/>
      <c r="AE97" s="9699" t="str">
        <f>IF(AS97&lt;&gt;"",ROUND(AS97,0),IF(Foreign_Tax_Credit=0,"",Foreign_Tax_Credit))</f>
        <v/>
      </c>
      <c r="AF97" s="9699"/>
      <c r="AG97" s="9699"/>
      <c r="AH97" s="9699"/>
      <c r="AI97" s="9699"/>
      <c r="AJ97" s="878"/>
      <c r="AK97" s="878"/>
      <c r="AL97" s="878"/>
      <c r="AM97" s="878"/>
      <c r="AN97" s="878"/>
      <c r="AO97" s="878"/>
      <c r="AP97" s="878"/>
      <c r="AQ97" s="2162"/>
      <c r="AR97" s="2162"/>
      <c r="AS97" s="4297"/>
      <c r="AT97" s="2162"/>
      <c r="AU97" s="2162"/>
    </row>
    <row r="98" spans="1:47" ht="16.5" customHeight="1">
      <c r="A98" s="2162"/>
      <c r="B98" s="878"/>
      <c r="C98" s="878"/>
      <c r="D98" s="878"/>
      <c r="E98" s="878"/>
      <c r="F98" s="4306"/>
      <c r="G98" s="878"/>
      <c r="H98" s="878" t="s">
        <v>4541</v>
      </c>
      <c r="I98" s="878"/>
      <c r="J98" s="878"/>
      <c r="K98" s="878"/>
      <c r="L98" s="878"/>
      <c r="M98" s="878"/>
      <c r="N98" s="878"/>
      <c r="O98" s="878"/>
      <c r="P98" s="878"/>
      <c r="Q98" s="878"/>
      <c r="R98" s="878"/>
      <c r="S98" s="878"/>
      <c r="T98" s="878"/>
      <c r="U98" s="878"/>
      <c r="V98" s="878"/>
      <c r="W98" s="878"/>
      <c r="X98" s="878"/>
      <c r="Y98" s="878"/>
      <c r="Z98" s="878"/>
      <c r="AA98" s="878"/>
      <c r="AB98" s="4430" t="s">
        <v>670</v>
      </c>
      <c r="AC98" s="9728" t="s">
        <v>4540</v>
      </c>
      <c r="AD98" s="6733"/>
      <c r="AE98" s="9699" t="str">
        <f>IF(AS98&lt;&gt;"",ROUND(AS98,0),IF(OR(Care_Expenses="",Care_Expenses=0),"",Care_Expenses))</f>
        <v/>
      </c>
      <c r="AF98" s="9699"/>
      <c r="AG98" s="9699"/>
      <c r="AH98" s="9699"/>
      <c r="AI98" s="9699"/>
      <c r="AJ98" s="878"/>
      <c r="AK98" s="878"/>
      <c r="AL98" s="878"/>
      <c r="AM98" s="878"/>
      <c r="AN98" s="878"/>
      <c r="AO98" s="878"/>
      <c r="AP98" s="878"/>
      <c r="AQ98" s="2162"/>
      <c r="AR98" s="2162"/>
      <c r="AS98" s="4297"/>
      <c r="AT98" s="2162"/>
      <c r="AU98" s="2162"/>
    </row>
    <row r="99" spans="1:47" ht="16.5" customHeight="1">
      <c r="A99" s="2162"/>
      <c r="B99" s="878"/>
      <c r="C99" s="878"/>
      <c r="D99" s="878"/>
      <c r="E99" s="878"/>
      <c r="F99" s="4306"/>
      <c r="G99" s="878"/>
      <c r="H99" s="878" t="s">
        <v>4542</v>
      </c>
      <c r="I99" s="878"/>
      <c r="J99" s="878"/>
      <c r="K99" s="878"/>
      <c r="L99" s="878"/>
      <c r="M99" s="878"/>
      <c r="N99" s="878"/>
      <c r="O99" s="878"/>
      <c r="P99" s="878"/>
      <c r="Q99" s="878"/>
      <c r="R99" s="878"/>
      <c r="S99" s="878"/>
      <c r="T99" s="878"/>
      <c r="U99" s="878"/>
      <c r="V99" s="878"/>
      <c r="W99" s="878"/>
      <c r="X99" s="878"/>
      <c r="Y99" s="878"/>
      <c r="Z99" s="878"/>
      <c r="AA99" s="878"/>
      <c r="AB99" s="4430" t="s">
        <v>670</v>
      </c>
      <c r="AC99" s="9728" t="s">
        <v>4540</v>
      </c>
      <c r="AD99" s="6733"/>
      <c r="AE99" s="9699" t="str">
        <f>IF(AS99&lt;&gt;"",ROUND(AS99,0),IF(OR(Education="",Education=0),"",Education))</f>
        <v/>
      </c>
      <c r="AF99" s="9699"/>
      <c r="AG99" s="9699"/>
      <c r="AH99" s="9699"/>
      <c r="AI99" s="9699"/>
      <c r="AJ99" s="878"/>
      <c r="AK99" s="878"/>
      <c r="AL99" s="878"/>
      <c r="AM99" s="878"/>
      <c r="AN99" s="878"/>
      <c r="AO99" s="878"/>
      <c r="AP99" s="878"/>
      <c r="AQ99" s="2162"/>
      <c r="AR99" s="2162"/>
      <c r="AS99" s="4297"/>
      <c r="AT99" s="2162"/>
      <c r="AU99" s="2162"/>
    </row>
    <row r="100" spans="1:47" ht="16.5" customHeight="1">
      <c r="A100" s="2162"/>
      <c r="B100" s="878"/>
      <c r="C100" s="878"/>
      <c r="D100" s="878"/>
      <c r="E100" s="878"/>
      <c r="F100" s="4306"/>
      <c r="G100" s="878"/>
      <c r="H100" s="878" t="s">
        <v>4543</v>
      </c>
      <c r="I100" s="878"/>
      <c r="J100" s="878"/>
      <c r="K100" s="878"/>
      <c r="L100" s="878"/>
      <c r="M100" s="878"/>
      <c r="N100" s="878"/>
      <c r="O100" s="878"/>
      <c r="P100" s="878"/>
      <c r="Q100" s="878"/>
      <c r="R100" s="878"/>
      <c r="S100" s="878"/>
      <c r="T100" s="878"/>
      <c r="U100" s="878"/>
      <c r="V100" s="878"/>
      <c r="W100" s="878"/>
      <c r="X100" s="878"/>
      <c r="Y100" s="878"/>
      <c r="Z100" s="878"/>
      <c r="AA100" s="878"/>
      <c r="AB100" s="4430" t="s">
        <v>670</v>
      </c>
      <c r="AC100" s="9728" t="s">
        <v>4540</v>
      </c>
      <c r="AD100" s="6733"/>
      <c r="AE100" s="9699" t="str">
        <f>IF(AS100&lt;&gt;"",ROUND(AS100,0),IF(OR(Retirement_Savings="",Retirement_Savings=0),"",Retirement_Savings))</f>
        <v/>
      </c>
      <c r="AF100" s="9699"/>
      <c r="AG100" s="9699"/>
      <c r="AH100" s="9699"/>
      <c r="AI100" s="9699"/>
      <c r="AJ100" s="878"/>
      <c r="AK100" s="878"/>
      <c r="AL100" s="878"/>
      <c r="AM100" s="878"/>
      <c r="AN100" s="878"/>
      <c r="AO100" s="878"/>
      <c r="AP100" s="878"/>
      <c r="AQ100" s="2162"/>
      <c r="AR100" s="2162"/>
      <c r="AS100" s="4297"/>
      <c r="AT100" s="2162"/>
      <c r="AU100" s="2162"/>
    </row>
    <row r="101" spans="1:47" ht="16.5" customHeight="1">
      <c r="A101" s="2162"/>
      <c r="B101" s="878"/>
      <c r="C101" s="878"/>
      <c r="D101" s="878"/>
      <c r="E101" s="878"/>
      <c r="F101" s="4306"/>
      <c r="G101" s="878"/>
      <c r="H101" s="878" t="s">
        <v>5551</v>
      </c>
      <c r="I101" s="878"/>
      <c r="J101" s="878"/>
      <c r="K101" s="878"/>
      <c r="L101" s="878"/>
      <c r="M101" s="878"/>
      <c r="N101" s="878"/>
      <c r="O101" s="878"/>
      <c r="P101" s="878"/>
      <c r="Q101" s="878"/>
      <c r="R101" s="878"/>
      <c r="S101" s="878"/>
      <c r="T101" s="878"/>
      <c r="U101" s="878"/>
      <c r="V101" s="878"/>
      <c r="W101" s="878"/>
      <c r="X101" s="878"/>
      <c r="Y101" s="878"/>
      <c r="Z101" s="878"/>
      <c r="AA101" s="878"/>
      <c r="AB101" s="4430" t="s">
        <v>670</v>
      </c>
      <c r="AC101" s="9728" t="s">
        <v>4540</v>
      </c>
      <c r="AD101" s="6733"/>
      <c r="AE101" s="9699" t="str">
        <f>IF(AS101&lt;&gt;"",ROUND(AS101,0),IF(EEHI_Credit=0,"",EEHI_Credit))</f>
        <v/>
      </c>
      <c r="AF101" s="9699"/>
      <c r="AG101" s="9699"/>
      <c r="AH101" s="9699"/>
      <c r="AI101" s="9699"/>
      <c r="AJ101" s="878"/>
      <c r="AK101" s="878"/>
      <c r="AL101" s="878"/>
      <c r="AM101" s="878"/>
      <c r="AN101" s="878"/>
      <c r="AO101" s="878"/>
      <c r="AP101" s="878"/>
      <c r="AQ101" s="2162"/>
      <c r="AR101" s="2162"/>
      <c r="AS101" s="4297"/>
      <c r="AT101" s="2162"/>
      <c r="AU101" s="2162"/>
    </row>
    <row r="102" spans="1:47" ht="16.5" customHeight="1">
      <c r="A102" s="2162"/>
      <c r="B102" s="878"/>
      <c r="C102" s="878"/>
      <c r="D102" s="878"/>
      <c r="E102" s="878"/>
      <c r="F102" s="4306"/>
      <c r="G102" s="878"/>
      <c r="H102" s="878" t="s">
        <v>4544</v>
      </c>
      <c r="I102" s="878"/>
      <c r="J102" s="878"/>
      <c r="K102" s="878"/>
      <c r="L102" s="878"/>
      <c r="M102" s="878"/>
      <c r="N102" s="878"/>
      <c r="O102" s="878"/>
      <c r="P102" s="878"/>
      <c r="Q102" s="878"/>
      <c r="R102" s="878"/>
      <c r="S102" s="878"/>
      <c r="T102" s="878"/>
      <c r="U102" s="878"/>
      <c r="V102" s="878"/>
      <c r="W102" s="878"/>
      <c r="X102" s="878"/>
      <c r="Y102" s="878"/>
      <c r="Z102" s="878"/>
      <c r="AA102" s="878"/>
      <c r="AB102" s="4430" t="s">
        <v>670</v>
      </c>
      <c r="AC102" s="9728" t="s">
        <v>4540</v>
      </c>
      <c r="AD102" s="6733"/>
      <c r="AE102" s="9699" t="str">
        <f>IF(AS102&lt;&gt;"",ROUND(AS102,0),IF(OR(Elderly_Credit="",Elderly_Credit=0),"",Elderly_Credit))</f>
        <v/>
      </c>
      <c r="AF102" s="9699"/>
      <c r="AG102" s="9699"/>
      <c r="AH102" s="9699"/>
      <c r="AI102" s="9699"/>
      <c r="AJ102" s="878"/>
      <c r="AK102" s="878"/>
      <c r="AL102" s="878"/>
      <c r="AM102" s="878"/>
      <c r="AN102" s="878"/>
      <c r="AO102" s="878"/>
      <c r="AP102" s="878"/>
      <c r="AQ102" s="2162"/>
      <c r="AR102" s="2162"/>
      <c r="AS102" s="4297"/>
      <c r="AT102" s="2162"/>
      <c r="AU102" s="2162"/>
    </row>
    <row r="103" spans="1:47" ht="16.5" customHeight="1">
      <c r="A103" s="2162"/>
      <c r="B103" s="878"/>
      <c r="C103" s="878"/>
      <c r="D103" s="878"/>
      <c r="E103" s="878"/>
      <c r="F103" s="4306"/>
      <c r="G103" s="878"/>
      <c r="H103" s="878" t="s">
        <v>4545</v>
      </c>
      <c r="I103" s="878"/>
      <c r="J103" s="878"/>
      <c r="K103" s="878"/>
      <c r="L103" s="878"/>
      <c r="M103" s="878"/>
      <c r="N103" s="878"/>
      <c r="O103" s="878"/>
      <c r="P103" s="878"/>
      <c r="Q103" s="878"/>
      <c r="R103" s="878"/>
      <c r="S103" s="878"/>
      <c r="T103" s="878"/>
      <c r="U103" s="878"/>
      <c r="V103" s="878"/>
      <c r="W103" s="878"/>
      <c r="X103" s="878"/>
      <c r="Y103" s="878"/>
      <c r="Z103" s="878"/>
      <c r="AA103" s="878"/>
      <c r="AB103" s="4430" t="s">
        <v>670</v>
      </c>
      <c r="AC103" s="9728" t="s">
        <v>4540</v>
      </c>
      <c r="AD103" s="6733"/>
      <c r="AE103" s="9699" t="str">
        <f>IF(AS103&lt;&gt;"",ROUND(AS103,0),IF(OR(QPIMV_Credit="",QPIMV_Credit=0),"",QPIMV_Credit))</f>
        <v/>
      </c>
      <c r="AF103" s="9699"/>
      <c r="AG103" s="9699"/>
      <c r="AH103" s="9699"/>
      <c r="AI103" s="9699"/>
      <c r="AJ103" s="878"/>
      <c r="AK103" s="878"/>
      <c r="AL103" s="878"/>
      <c r="AM103" s="878"/>
      <c r="AN103" s="878"/>
      <c r="AO103" s="878"/>
      <c r="AP103" s="878"/>
      <c r="AQ103" s="2162"/>
      <c r="AR103" s="2162"/>
      <c r="AS103" s="4297"/>
      <c r="AT103" s="2162"/>
      <c r="AU103" s="2162"/>
    </row>
    <row r="104" spans="1:47" ht="16.5" customHeight="1">
      <c r="A104" s="2162"/>
      <c r="B104" s="878"/>
      <c r="C104" s="878"/>
      <c r="D104" s="878"/>
      <c r="E104" s="878"/>
      <c r="F104" s="4306"/>
      <c r="G104" s="878"/>
      <c r="H104" s="878" t="s">
        <v>4546</v>
      </c>
      <c r="I104" s="878"/>
      <c r="J104" s="878"/>
      <c r="K104" s="878"/>
      <c r="L104" s="878"/>
      <c r="M104" s="878"/>
      <c r="N104" s="878"/>
      <c r="O104" s="878"/>
      <c r="P104" s="878"/>
      <c r="Q104" s="878"/>
      <c r="R104" s="878"/>
      <c r="S104" s="878"/>
      <c r="T104" s="878"/>
      <c r="U104" s="878"/>
      <c r="V104" s="878"/>
      <c r="W104" s="878"/>
      <c r="X104" s="878"/>
      <c r="Y104" s="878"/>
      <c r="Z104" s="878"/>
      <c r="AA104" s="878"/>
      <c r="AB104" s="4430" t="s">
        <v>4547</v>
      </c>
      <c r="AC104" s="9728" t="s">
        <v>4540</v>
      </c>
      <c r="AD104" s="6733"/>
      <c r="AE104" s="9699" t="str">
        <f>IF(AS104&lt;&gt;"",ROUND(AS104,0),IF(OR(F8978_Credit="",F8978_Credit=0),"",F8978_Credit))</f>
        <v/>
      </c>
      <c r="AF104" s="9699"/>
      <c r="AG104" s="9699"/>
      <c r="AH104" s="9699"/>
      <c r="AI104" s="9699"/>
      <c r="AJ104" s="878"/>
      <c r="AK104" s="878"/>
      <c r="AL104" s="878"/>
      <c r="AM104" s="878"/>
      <c r="AN104" s="878"/>
      <c r="AO104" s="878"/>
      <c r="AP104" s="878"/>
      <c r="AQ104" s="2162"/>
      <c r="AR104" s="2162"/>
      <c r="AS104" s="4297"/>
      <c r="AT104" s="2162"/>
      <c r="AU104" s="2162"/>
    </row>
    <row r="105" spans="1:47" ht="16.5" customHeight="1">
      <c r="A105" s="2162"/>
      <c r="B105" s="878"/>
      <c r="C105" s="878"/>
      <c r="D105" s="878"/>
      <c r="E105" s="878"/>
      <c r="F105" s="4306"/>
      <c r="G105" s="878"/>
      <c r="H105" s="878" t="s">
        <v>5552</v>
      </c>
      <c r="I105" s="878"/>
      <c r="J105" s="878"/>
      <c r="K105" s="878"/>
      <c r="L105" s="878"/>
      <c r="M105" s="878"/>
      <c r="N105" s="878"/>
      <c r="O105" s="878"/>
      <c r="P105" s="878"/>
      <c r="Q105" s="878"/>
      <c r="R105" s="878"/>
      <c r="S105" s="878"/>
      <c r="T105" s="878"/>
      <c r="U105" s="878"/>
      <c r="V105" s="878"/>
      <c r="W105" s="878"/>
      <c r="X105" s="878"/>
      <c r="Y105" s="878"/>
      <c r="Z105" s="878"/>
      <c r="AA105" s="878"/>
      <c r="AB105" s="4430" t="s">
        <v>670</v>
      </c>
      <c r="AC105" s="9728" t="s">
        <v>4540</v>
      </c>
      <c r="AD105" s="6733"/>
      <c r="AE105" s="9699" t="str">
        <f>IF(AS105&lt;&gt;"",ROUND(AS105,0),IF(OR(POCV_Credit="",POCV_Credit=0),"",POCV_Credit))</f>
        <v/>
      </c>
      <c r="AF105" s="9699"/>
      <c r="AG105" s="9699"/>
      <c r="AH105" s="9699"/>
      <c r="AI105" s="9699"/>
      <c r="AJ105" s="878"/>
      <c r="AK105" s="878"/>
      <c r="AL105" s="878"/>
      <c r="AM105" s="878"/>
      <c r="AN105" s="878"/>
      <c r="AO105" s="878"/>
      <c r="AP105" s="878"/>
      <c r="AQ105" s="2162"/>
      <c r="AR105" s="2162"/>
      <c r="AS105" s="4297"/>
      <c r="AT105" s="2162"/>
      <c r="AU105" s="2162"/>
    </row>
    <row r="106" spans="1:47" ht="12" customHeight="1">
      <c r="A106" s="2162"/>
      <c r="B106" s="878"/>
      <c r="C106" s="878"/>
      <c r="D106" s="878"/>
      <c r="E106" s="878"/>
      <c r="F106" s="4306"/>
      <c r="G106" s="878"/>
      <c r="H106" s="878"/>
      <c r="I106" s="878"/>
      <c r="J106" s="878"/>
      <c r="K106" s="878"/>
      <c r="L106" s="878"/>
      <c r="M106" s="878"/>
      <c r="N106" s="878"/>
      <c r="O106" s="878"/>
      <c r="P106" s="878"/>
      <c r="Q106" s="878"/>
      <c r="R106" s="878"/>
      <c r="S106" s="878"/>
      <c r="T106" s="878"/>
      <c r="U106" s="878"/>
      <c r="V106" s="878"/>
      <c r="W106" s="878"/>
      <c r="X106" s="878"/>
      <c r="Y106" s="878"/>
      <c r="Z106" s="878"/>
      <c r="AA106" s="878"/>
      <c r="AB106" s="878"/>
      <c r="AC106" s="878"/>
      <c r="AD106" s="878"/>
      <c r="AE106" s="878"/>
      <c r="AF106" s="878"/>
      <c r="AG106" s="878"/>
      <c r="AH106" s="878"/>
      <c r="AI106" s="878"/>
      <c r="AJ106" s="878"/>
      <c r="AK106" s="878"/>
      <c r="AL106" s="878"/>
      <c r="AM106" s="878"/>
      <c r="AN106" s="878"/>
      <c r="AO106" s="878"/>
      <c r="AP106" s="878"/>
      <c r="AQ106" s="2162"/>
      <c r="AR106" s="2162"/>
      <c r="AS106" s="4297"/>
      <c r="AT106" s="2162"/>
      <c r="AU106" s="2162"/>
    </row>
    <row r="107" spans="1:47" ht="25.5" customHeight="1">
      <c r="A107" s="2162"/>
      <c r="B107" s="878"/>
      <c r="C107" s="878"/>
      <c r="D107" s="878"/>
      <c r="E107" s="878"/>
      <c r="F107" s="4306"/>
      <c r="G107" s="878"/>
      <c r="H107" s="878"/>
      <c r="I107" s="878"/>
      <c r="J107" s="878"/>
      <c r="K107" s="878"/>
      <c r="L107" s="878"/>
      <c r="M107" s="878"/>
      <c r="N107" s="878"/>
      <c r="O107" s="878"/>
      <c r="P107" s="878"/>
      <c r="Q107" s="878"/>
      <c r="R107" s="878"/>
      <c r="S107" s="878"/>
      <c r="T107" s="878"/>
      <c r="U107" s="878"/>
      <c r="V107" s="878"/>
      <c r="W107" s="878"/>
      <c r="X107" s="878"/>
      <c r="Y107" s="878"/>
      <c r="Z107" s="878"/>
      <c r="AA107" s="4307" t="s">
        <v>4548</v>
      </c>
      <c r="AB107" s="878"/>
      <c r="AC107" s="878"/>
      <c r="AD107" s="4385" t="s">
        <v>254</v>
      </c>
      <c r="AE107" s="9815">
        <f>IF(AS106&lt;&gt;"",ROUND(AS106,0),SUM(AE97:AI105))</f>
        <v>0</v>
      </c>
      <c r="AF107" s="9815"/>
      <c r="AG107" s="9815"/>
      <c r="AH107" s="9815"/>
      <c r="AI107" s="9815"/>
      <c r="AJ107" s="878"/>
      <c r="AK107" s="878"/>
      <c r="AL107" s="878"/>
      <c r="AM107" s="878"/>
      <c r="AN107" s="878"/>
      <c r="AO107" s="878"/>
      <c r="AP107" s="878"/>
      <c r="AQ107" s="2162"/>
      <c r="AR107" s="2162"/>
      <c r="AS107" s="9737" t="s">
        <v>4549</v>
      </c>
      <c r="AT107" s="2162"/>
      <c r="AU107" s="2162"/>
    </row>
    <row r="108" spans="1:47" ht="7.5" customHeight="1">
      <c r="A108" s="2162"/>
      <c r="B108" s="878"/>
      <c r="C108" s="878"/>
      <c r="D108" s="878"/>
      <c r="E108" s="878"/>
      <c r="F108" s="4306"/>
      <c r="G108" s="878"/>
      <c r="H108" s="878"/>
      <c r="I108" s="878"/>
      <c r="J108" s="878"/>
      <c r="K108" s="878"/>
      <c r="L108" s="878"/>
      <c r="M108" s="878"/>
      <c r="N108" s="878"/>
      <c r="O108" s="878"/>
      <c r="P108" s="878"/>
      <c r="Q108" s="878"/>
      <c r="R108" s="878"/>
      <c r="S108" s="878"/>
      <c r="T108" s="878"/>
      <c r="U108" s="878"/>
      <c r="V108" s="878"/>
      <c r="W108" s="878"/>
      <c r="X108" s="878"/>
      <c r="Y108" s="878"/>
      <c r="Z108" s="878"/>
      <c r="AA108" s="878"/>
      <c r="AB108" s="878"/>
      <c r="AC108" s="878"/>
      <c r="AD108" s="878"/>
      <c r="AE108" s="878"/>
      <c r="AF108" s="878"/>
      <c r="AG108" s="878"/>
      <c r="AH108" s="878"/>
      <c r="AI108" s="878"/>
      <c r="AJ108" s="878"/>
      <c r="AK108" s="878"/>
      <c r="AL108" s="878"/>
      <c r="AM108" s="878"/>
      <c r="AN108" s="878"/>
      <c r="AO108" s="878"/>
      <c r="AP108" s="878"/>
      <c r="AQ108" s="2162"/>
      <c r="AR108" s="2162"/>
      <c r="AS108" s="9737"/>
      <c r="AT108" s="2162"/>
      <c r="AU108" s="2162"/>
    </row>
    <row r="109" spans="1:47" ht="21.75" customHeight="1" thickBot="1">
      <c r="A109" s="2162"/>
      <c r="B109" s="878"/>
      <c r="C109" s="878"/>
      <c r="D109" s="878"/>
      <c r="E109" s="878"/>
      <c r="F109" s="4306" t="s">
        <v>177</v>
      </c>
      <c r="G109" s="878" t="s">
        <v>1077</v>
      </c>
      <c r="H109" s="878"/>
      <c r="I109" s="878"/>
      <c r="J109" s="878"/>
      <c r="K109" s="878"/>
      <c r="L109" s="878"/>
      <c r="M109" s="878"/>
      <c r="N109" s="878"/>
      <c r="O109" s="878"/>
      <c r="P109" s="878"/>
      <c r="Q109" s="878"/>
      <c r="R109" s="878"/>
      <c r="S109" s="878"/>
      <c r="T109" s="878"/>
      <c r="U109" s="878"/>
      <c r="V109" s="878"/>
      <c r="W109" s="878"/>
      <c r="X109" s="878"/>
      <c r="Y109" s="878"/>
      <c r="Z109" s="878"/>
      <c r="AA109" s="878"/>
      <c r="AB109" s="878"/>
      <c r="AC109" s="878"/>
      <c r="AD109" s="878"/>
      <c r="AE109" s="878"/>
      <c r="AF109" s="878"/>
      <c r="AG109" s="878"/>
      <c r="AH109" s="878"/>
      <c r="AI109" s="878"/>
      <c r="AJ109" s="4308" t="s">
        <v>256</v>
      </c>
      <c r="AK109" s="9812">
        <f>SUM(AK94,-AE107)</f>
        <v>0</v>
      </c>
      <c r="AL109" s="9813"/>
      <c r="AM109" s="9813"/>
      <c r="AN109" s="9813"/>
      <c r="AO109" s="9814"/>
      <c r="AP109" s="878"/>
      <c r="AQ109" s="2162"/>
      <c r="AR109" s="2162"/>
      <c r="AS109" s="9737"/>
      <c r="AT109" s="2162"/>
      <c r="AU109" s="2162"/>
    </row>
    <row r="110" spans="1:47" ht="17.25" customHeight="1" thickBot="1">
      <c r="A110" s="2162"/>
      <c r="B110" s="878"/>
      <c r="C110" s="9722" t="b">
        <f>AND(C111,C116,C117)</f>
        <v>0</v>
      </c>
      <c r="D110" s="9722"/>
      <c r="E110" s="9722"/>
      <c r="F110" s="878"/>
      <c r="G110" s="5932" t="s">
        <v>5554</v>
      </c>
      <c r="H110" s="878"/>
      <c r="I110" s="878"/>
      <c r="J110" s="878"/>
      <c r="K110" s="878"/>
      <c r="L110" s="878"/>
      <c r="M110" s="878"/>
      <c r="N110" s="878"/>
      <c r="O110" s="878"/>
      <c r="P110" s="878"/>
      <c r="Q110" s="2206"/>
      <c r="R110" s="2206"/>
      <c r="S110" s="878"/>
      <c r="T110" s="878"/>
      <c r="U110" s="878"/>
      <c r="V110" s="878"/>
      <c r="W110" s="878"/>
      <c r="X110" s="878"/>
      <c r="Y110" s="878"/>
      <c r="Z110" s="878"/>
      <c r="AA110" s="878"/>
      <c r="AB110" s="878"/>
      <c r="AC110" s="878"/>
      <c r="AD110" s="878"/>
      <c r="AE110" s="878"/>
      <c r="AF110" s="878"/>
      <c r="AG110" s="878"/>
      <c r="AH110" s="878"/>
      <c r="AI110" s="878"/>
      <c r="AJ110" s="878"/>
      <c r="AK110" s="878"/>
      <c r="AL110" s="878"/>
      <c r="AM110" s="878"/>
      <c r="AN110" s="878"/>
      <c r="AO110" s="878"/>
      <c r="AP110" s="878"/>
      <c r="AQ110" s="2162"/>
      <c r="AR110" s="2162"/>
      <c r="AS110" s="4463" t="str">
        <f>IF(C110,"Yes","No")</f>
        <v>No</v>
      </c>
      <c r="AT110" s="2162"/>
      <c r="AU110" s="2162"/>
    </row>
    <row r="111" spans="1:47" ht="15" customHeight="1">
      <c r="A111" s="2162"/>
      <c r="B111" s="878"/>
      <c r="C111" s="9688" t="b">
        <f>OR(F112&lt;&gt;"",F113&lt;&gt;"",F114&lt;&gt;"",F115&lt;&gt;"")</f>
        <v>0</v>
      </c>
      <c r="D111" s="9688"/>
      <c r="E111" s="9688"/>
      <c r="F111" s="878"/>
      <c r="G111" s="4310" t="s">
        <v>167</v>
      </c>
      <c r="H111" s="878" t="s">
        <v>4550</v>
      </c>
      <c r="I111" s="878"/>
      <c r="J111" s="878"/>
      <c r="K111" s="878"/>
      <c r="L111" s="878"/>
      <c r="M111" s="878"/>
      <c r="N111" s="878"/>
      <c r="O111" s="878"/>
      <c r="P111" s="878"/>
      <c r="Q111" s="878"/>
      <c r="R111" s="878"/>
      <c r="S111" s="878"/>
      <c r="T111" s="878"/>
      <c r="U111" s="878"/>
      <c r="V111" s="878"/>
      <c r="W111" s="878"/>
      <c r="X111" s="878"/>
      <c r="Y111" s="878"/>
      <c r="Z111" s="878"/>
      <c r="AA111" s="878"/>
      <c r="AB111" s="878"/>
      <c r="AC111" s="878"/>
      <c r="AD111" s="878"/>
      <c r="AE111" s="878"/>
      <c r="AF111" s="878"/>
      <c r="AG111" s="878"/>
      <c r="AH111" s="878"/>
      <c r="AI111" s="878"/>
      <c r="AJ111" s="878"/>
      <c r="AK111" s="878"/>
      <c r="AL111" s="878"/>
      <c r="AM111" s="878"/>
      <c r="AN111" s="878"/>
      <c r="AO111" s="878"/>
      <c r="AP111" s="878"/>
      <c r="AQ111" s="2162"/>
      <c r="AR111" s="4461" t="s">
        <v>4551</v>
      </c>
      <c r="AS111" s="4462" t="str">
        <f>IF(C111,"Yes","No")</f>
        <v>No</v>
      </c>
      <c r="AT111" s="2162"/>
      <c r="AU111" s="2162"/>
    </row>
    <row r="112" spans="1:47" ht="12" customHeight="1">
      <c r="A112" s="2162"/>
      <c r="B112" s="878"/>
      <c r="C112" s="4937"/>
      <c r="D112" s="4460"/>
      <c r="E112" s="4460"/>
      <c r="F112" s="811"/>
      <c r="G112" s="4310"/>
      <c r="H112" s="878" t="s">
        <v>1404</v>
      </c>
      <c r="I112" s="878" t="s">
        <v>4552</v>
      </c>
      <c r="J112" s="878"/>
      <c r="K112" s="878"/>
      <c r="L112" s="878"/>
      <c r="M112" s="878"/>
      <c r="N112" s="878"/>
      <c r="O112" s="878"/>
      <c r="P112" s="878"/>
      <c r="Q112" s="878"/>
      <c r="R112" s="878"/>
      <c r="S112" s="878"/>
      <c r="T112" s="878"/>
      <c r="U112" s="878"/>
      <c r="V112" s="878"/>
      <c r="W112" s="878"/>
      <c r="X112" s="878"/>
      <c r="Y112" s="878"/>
      <c r="Z112" s="878"/>
      <c r="AA112" s="878"/>
      <c r="AB112" s="878"/>
      <c r="AC112" s="878"/>
      <c r="AD112" s="878"/>
      <c r="AE112" s="878"/>
      <c r="AF112" s="878"/>
      <c r="AG112" s="878"/>
      <c r="AH112" s="878"/>
      <c r="AI112" s="878"/>
      <c r="AJ112" s="878"/>
      <c r="AK112" s="878"/>
      <c r="AL112" s="878"/>
      <c r="AM112" s="878"/>
      <c r="AN112" s="878"/>
      <c r="AO112" s="878"/>
      <c r="AP112" s="878"/>
      <c r="AQ112" s="2162"/>
      <c r="AR112" s="2162"/>
      <c r="AS112" s="2162"/>
      <c r="AT112" s="2162"/>
      <c r="AU112" s="2162"/>
    </row>
    <row r="113" spans="1:47" ht="12" customHeight="1">
      <c r="A113" s="2162"/>
      <c r="B113" s="878"/>
      <c r="C113" s="4937"/>
      <c r="D113" s="4460"/>
      <c r="E113" s="4460"/>
      <c r="F113" s="811"/>
      <c r="G113" s="2084"/>
      <c r="H113" s="4309" t="s">
        <v>1363</v>
      </c>
      <c r="I113" s="878" t="s">
        <v>4553</v>
      </c>
      <c r="J113" s="878"/>
      <c r="K113" s="878"/>
      <c r="L113" s="878"/>
      <c r="M113" s="878"/>
      <c r="N113" s="878"/>
      <c r="O113" s="878"/>
      <c r="P113" s="878"/>
      <c r="Q113" s="878"/>
      <c r="R113" s="878"/>
      <c r="S113" s="878"/>
      <c r="T113" s="878"/>
      <c r="U113" s="878"/>
      <c r="V113" s="878"/>
      <c r="W113" s="878"/>
      <c r="X113" s="878"/>
      <c r="Y113" s="878"/>
      <c r="Z113" s="878"/>
      <c r="AA113" s="878"/>
      <c r="AB113" s="878"/>
      <c r="AC113" s="878"/>
      <c r="AD113" s="878"/>
      <c r="AE113" s="878"/>
      <c r="AF113" s="878"/>
      <c r="AG113" s="878"/>
      <c r="AH113" s="878"/>
      <c r="AI113" s="878"/>
      <c r="AJ113" s="878"/>
      <c r="AK113" s="878"/>
      <c r="AL113" s="878"/>
      <c r="AM113" s="878"/>
      <c r="AN113" s="878"/>
      <c r="AO113" s="878"/>
      <c r="AP113" s="878"/>
      <c r="AQ113" s="2162"/>
      <c r="AR113" s="2162"/>
      <c r="AS113" s="2162"/>
      <c r="AT113" s="2162"/>
      <c r="AU113" s="2162"/>
    </row>
    <row r="114" spans="1:47" ht="12" customHeight="1">
      <c r="A114" s="2162"/>
      <c r="B114" s="878"/>
      <c r="C114" s="4937"/>
      <c r="D114" s="4460"/>
      <c r="E114" s="4460"/>
      <c r="F114" s="811"/>
      <c r="G114" s="2084"/>
      <c r="H114" s="878" t="s">
        <v>1381</v>
      </c>
      <c r="I114" s="878" t="s">
        <v>4554</v>
      </c>
      <c r="J114" s="878"/>
      <c r="K114" s="878"/>
      <c r="L114" s="878"/>
      <c r="M114" s="878"/>
      <c r="N114" s="878"/>
      <c r="O114" s="878"/>
      <c r="P114" s="878"/>
      <c r="Q114" s="878"/>
      <c r="R114" s="878"/>
      <c r="S114" s="878"/>
      <c r="T114" s="878"/>
      <c r="U114" s="878"/>
      <c r="V114" s="878"/>
      <c r="W114" s="878"/>
      <c r="X114" s="878"/>
      <c r="Y114" s="878"/>
      <c r="Z114" s="878"/>
      <c r="AA114" s="878"/>
      <c r="AB114" s="878"/>
      <c r="AC114" s="878"/>
      <c r="AD114" s="878"/>
      <c r="AE114" s="878"/>
      <c r="AF114" s="878"/>
      <c r="AG114" s="878"/>
      <c r="AH114" s="878"/>
      <c r="AI114" s="878"/>
      <c r="AJ114" s="878"/>
      <c r="AK114" s="878"/>
      <c r="AL114" s="878"/>
      <c r="AM114" s="878"/>
      <c r="AN114" s="878"/>
      <c r="AO114" s="878"/>
      <c r="AP114" s="878"/>
      <c r="AQ114" s="2162"/>
      <c r="AR114" s="2162"/>
      <c r="AS114" s="4940"/>
      <c r="AT114" s="3103" t="s">
        <v>4555</v>
      </c>
      <c r="AU114" s="3103"/>
    </row>
    <row r="115" spans="1:47" ht="12" customHeight="1">
      <c r="A115" s="2162"/>
      <c r="B115" s="878"/>
      <c r="C115" s="4937"/>
      <c r="D115" s="4460"/>
      <c r="E115" s="4460"/>
      <c r="F115" s="811"/>
      <c r="G115" s="878"/>
      <c r="H115" s="878" t="s">
        <v>1389</v>
      </c>
      <c r="I115" s="878" t="s">
        <v>4556</v>
      </c>
      <c r="J115" s="878"/>
      <c r="K115" s="878"/>
      <c r="L115" s="878"/>
      <c r="M115" s="878"/>
      <c r="N115" s="878"/>
      <c r="O115" s="878"/>
      <c r="P115" s="878"/>
      <c r="Q115" s="878"/>
      <c r="R115" s="878"/>
      <c r="S115" s="878"/>
      <c r="T115" s="878"/>
      <c r="U115" s="878"/>
      <c r="V115" s="878"/>
      <c r="W115" s="878"/>
      <c r="X115" s="878"/>
      <c r="Y115" s="878"/>
      <c r="Z115" s="878"/>
      <c r="AA115" s="878"/>
      <c r="AB115" s="878"/>
      <c r="AC115" s="878"/>
      <c r="AD115" s="878"/>
      <c r="AE115" s="878"/>
      <c r="AF115" s="878"/>
      <c r="AG115" s="878"/>
      <c r="AH115" s="878"/>
      <c r="AI115" s="878"/>
      <c r="AJ115" s="878"/>
      <c r="AK115" s="878"/>
      <c r="AL115" s="878"/>
      <c r="AM115" s="878"/>
      <c r="AN115" s="878"/>
      <c r="AO115" s="878"/>
      <c r="AP115" s="878"/>
      <c r="AQ115" s="2162"/>
      <c r="AR115" s="2162"/>
      <c r="AS115" s="2162"/>
      <c r="AT115" s="2162"/>
      <c r="AU115" s="2162"/>
    </row>
    <row r="116" spans="1:47" ht="15" customHeight="1">
      <c r="A116" s="2162"/>
      <c r="B116" s="878"/>
      <c r="C116" s="9688" t="b">
        <f>NOT(Form2555_Used)</f>
        <v>1</v>
      </c>
      <c r="D116" s="9688"/>
      <c r="E116" s="9688"/>
      <c r="F116" s="878"/>
      <c r="G116" s="4309" t="s">
        <v>171</v>
      </c>
      <c r="H116" s="878" t="s">
        <v>4557</v>
      </c>
      <c r="I116" s="878"/>
      <c r="J116" s="878"/>
      <c r="K116" s="878"/>
      <c r="L116" s="878"/>
      <c r="M116" s="878"/>
      <c r="N116" s="878"/>
      <c r="O116" s="878"/>
      <c r="P116" s="878"/>
      <c r="Q116" s="878"/>
      <c r="R116" s="878"/>
      <c r="S116" s="878"/>
      <c r="T116" s="878"/>
      <c r="U116" s="878"/>
      <c r="V116" s="878"/>
      <c r="W116" s="878"/>
      <c r="X116" s="878"/>
      <c r="Y116" s="878"/>
      <c r="Z116" s="878"/>
      <c r="AA116" s="878"/>
      <c r="AB116" s="878"/>
      <c r="AC116" s="878"/>
      <c r="AD116" s="878"/>
      <c r="AE116" s="878"/>
      <c r="AF116" s="878"/>
      <c r="AG116" s="878"/>
      <c r="AH116" s="878"/>
      <c r="AI116" s="878"/>
      <c r="AJ116" s="878"/>
      <c r="AK116" s="878"/>
      <c r="AL116" s="878"/>
      <c r="AM116" s="878"/>
      <c r="AN116" s="878"/>
      <c r="AO116" s="878"/>
      <c r="AP116" s="878"/>
      <c r="AQ116" s="2162"/>
      <c r="AR116" s="4461" t="s">
        <v>4558</v>
      </c>
      <c r="AS116" s="4462" t="str">
        <f>IF(C116,"Yes","No")</f>
        <v>Yes</v>
      </c>
      <c r="AT116" s="2162"/>
      <c r="AU116" s="2162"/>
    </row>
    <row r="117" spans="1:47" ht="15" customHeight="1">
      <c r="A117" s="2162"/>
      <c r="B117" s="878"/>
      <c r="C117" s="9688" t="b">
        <f>(DependQualNumber&gt;0)</f>
        <v>0</v>
      </c>
      <c r="D117" s="9688"/>
      <c r="E117" s="9688"/>
      <c r="F117" s="878"/>
      <c r="G117" s="4309" t="s">
        <v>177</v>
      </c>
      <c r="H117" s="878" t="s">
        <v>4559</v>
      </c>
      <c r="I117" s="878"/>
      <c r="J117" s="878"/>
      <c r="K117" s="878"/>
      <c r="L117" s="878"/>
      <c r="M117" s="878"/>
      <c r="N117" s="878"/>
      <c r="O117" s="878"/>
      <c r="P117" s="878"/>
      <c r="Q117" s="878"/>
      <c r="R117" s="878"/>
      <c r="S117" s="878"/>
      <c r="T117" s="878"/>
      <c r="U117" s="878"/>
      <c r="V117" s="878"/>
      <c r="W117" s="878"/>
      <c r="X117" s="878"/>
      <c r="Y117" s="878"/>
      <c r="Z117" s="878"/>
      <c r="AA117" s="878"/>
      <c r="AB117" s="878"/>
      <c r="AC117" s="878"/>
      <c r="AD117" s="878"/>
      <c r="AE117" s="878"/>
      <c r="AF117" s="878"/>
      <c r="AG117" s="878"/>
      <c r="AH117" s="878"/>
      <c r="AI117" s="878"/>
      <c r="AJ117" s="878"/>
      <c r="AK117" s="878"/>
      <c r="AL117" s="878"/>
      <c r="AM117" s="878"/>
      <c r="AN117" s="878"/>
      <c r="AO117" s="878"/>
      <c r="AP117" s="878"/>
      <c r="AQ117" s="2162"/>
      <c r="AR117" s="4461" t="s">
        <v>4560</v>
      </c>
      <c r="AS117" s="4462" t="str">
        <f>IF(C117,"Yes","No")</f>
        <v>No</v>
      </c>
      <c r="AT117" s="2162"/>
      <c r="AU117" s="2162"/>
    </row>
    <row r="118" spans="1:47" ht="6.75" customHeight="1">
      <c r="A118" s="2162"/>
      <c r="B118" s="878"/>
      <c r="C118" s="4932"/>
      <c r="D118" s="4932"/>
      <c r="E118" s="4932"/>
      <c r="F118" s="878"/>
      <c r="G118" s="4309"/>
      <c r="H118" s="878"/>
      <c r="I118" s="878"/>
      <c r="J118" s="878"/>
      <c r="K118" s="878"/>
      <c r="L118" s="878"/>
      <c r="M118" s="878"/>
      <c r="N118" s="878"/>
      <c r="O118" s="878"/>
      <c r="P118" s="878"/>
      <c r="Q118" s="878"/>
      <c r="R118" s="878"/>
      <c r="S118" s="878"/>
      <c r="T118" s="878"/>
      <c r="U118" s="878"/>
      <c r="V118" s="878"/>
      <c r="W118" s="878"/>
      <c r="X118" s="878"/>
      <c r="Y118" s="878"/>
      <c r="Z118" s="878"/>
      <c r="AA118" s="878"/>
      <c r="AB118" s="878"/>
      <c r="AC118" s="878"/>
      <c r="AD118" s="878"/>
      <c r="AE118" s="878"/>
      <c r="AF118" s="878"/>
      <c r="AG118" s="878"/>
      <c r="AH118" s="878"/>
      <c r="AI118" s="878"/>
      <c r="AJ118" s="878"/>
      <c r="AK118" s="878"/>
      <c r="AL118" s="878"/>
      <c r="AM118" s="878"/>
      <c r="AN118" s="878"/>
      <c r="AO118" s="878"/>
      <c r="AP118" s="878"/>
      <c r="AQ118" s="2162"/>
      <c r="AR118" s="4461"/>
      <c r="AS118" s="4462"/>
      <c r="AT118" s="2162"/>
      <c r="AU118" s="2162"/>
    </row>
    <row r="119" spans="1:47" ht="16.5" customHeight="1">
      <c r="A119" s="2162"/>
      <c r="B119" s="878"/>
      <c r="C119" s="4932"/>
      <c r="D119" s="4932"/>
      <c r="E119" s="4932"/>
      <c r="F119" s="4306" t="s">
        <v>182</v>
      </c>
      <c r="G119" s="878" t="s">
        <v>4561</v>
      </c>
      <c r="H119" s="878"/>
      <c r="I119" s="878"/>
      <c r="J119" s="878"/>
      <c r="K119" s="878"/>
      <c r="L119" s="878"/>
      <c r="M119" s="878"/>
      <c r="N119" s="878"/>
      <c r="O119" s="878"/>
      <c r="P119" s="878"/>
      <c r="Q119" s="878"/>
      <c r="R119" s="878"/>
      <c r="S119" s="878"/>
      <c r="T119" s="878"/>
      <c r="U119" s="878"/>
      <c r="V119" s="878"/>
      <c r="W119" s="878"/>
      <c r="X119" s="878"/>
      <c r="Y119" s="878"/>
      <c r="Z119" s="878"/>
      <c r="AA119" s="878"/>
      <c r="AB119" s="878"/>
      <c r="AC119" s="878"/>
      <c r="AD119" s="878"/>
      <c r="AE119" s="878"/>
      <c r="AF119" s="878"/>
      <c r="AG119" s="878"/>
      <c r="AH119" s="878"/>
      <c r="AI119" s="878"/>
      <c r="AJ119" s="9733">
        <v>4</v>
      </c>
      <c r="AK119" s="9803">
        <f>IF(NOT(C110),0,CredLimitWS_Line15)</f>
        <v>0</v>
      </c>
      <c r="AL119" s="9804"/>
      <c r="AM119" s="9804"/>
      <c r="AN119" s="9804"/>
      <c r="AO119" s="9805"/>
      <c r="AP119" s="878"/>
      <c r="AQ119" s="2162"/>
      <c r="AR119" s="4461"/>
      <c r="AS119" s="4462"/>
      <c r="AT119" s="2162"/>
      <c r="AU119" s="2162"/>
    </row>
    <row r="120" spans="1:47" ht="16.5" customHeight="1">
      <c r="A120" s="2162"/>
      <c r="B120" s="878"/>
      <c r="C120" s="4932"/>
      <c r="D120" s="4932"/>
      <c r="E120" s="4932"/>
      <c r="F120" s="878"/>
      <c r="G120" s="5937" t="s">
        <v>4562</v>
      </c>
      <c r="H120" s="878"/>
      <c r="I120" s="878"/>
      <c r="J120" s="878"/>
      <c r="K120" s="878"/>
      <c r="L120" s="878"/>
      <c r="M120" s="878"/>
      <c r="N120" s="878"/>
      <c r="O120" s="878"/>
      <c r="P120" s="878"/>
      <c r="Q120" s="878"/>
      <c r="R120" s="878"/>
      <c r="S120" s="878"/>
      <c r="T120" s="878"/>
      <c r="U120" s="878"/>
      <c r="V120" s="878"/>
      <c r="W120" s="878"/>
      <c r="X120" s="878"/>
      <c r="Y120" s="878"/>
      <c r="Z120" s="878"/>
      <c r="AA120" s="878"/>
      <c r="AB120" s="878"/>
      <c r="AC120" s="878"/>
      <c r="AD120" s="878"/>
      <c r="AE120" s="878"/>
      <c r="AF120" s="878"/>
      <c r="AG120" s="878"/>
      <c r="AH120" s="878"/>
      <c r="AI120" s="878"/>
      <c r="AJ120" s="9734"/>
      <c r="AK120" s="7193"/>
      <c r="AL120" s="7194"/>
      <c r="AM120" s="7194"/>
      <c r="AN120" s="7194"/>
      <c r="AO120" s="9806"/>
      <c r="AP120" s="878"/>
      <c r="AQ120" s="2162"/>
      <c r="AR120" s="4461"/>
      <c r="AS120" s="4462"/>
      <c r="AT120" s="2162"/>
      <c r="AU120" s="2162"/>
    </row>
    <row r="121" spans="1:47" ht="15" customHeight="1">
      <c r="A121" s="2162"/>
      <c r="B121" s="878"/>
      <c r="C121" s="4932"/>
      <c r="D121" s="4932"/>
      <c r="E121" s="4932"/>
      <c r="F121" s="878"/>
      <c r="G121" s="4309"/>
      <c r="H121" s="878"/>
      <c r="I121" s="878"/>
      <c r="J121" s="878"/>
      <c r="K121" s="878"/>
      <c r="L121" s="878"/>
      <c r="M121" s="878"/>
      <c r="N121" s="878"/>
      <c r="O121" s="878"/>
      <c r="P121" s="878"/>
      <c r="Q121" s="878"/>
      <c r="R121" s="878"/>
      <c r="S121" s="878"/>
      <c r="T121" s="878"/>
      <c r="U121" s="878"/>
      <c r="V121" s="878"/>
      <c r="W121" s="878"/>
      <c r="X121" s="878"/>
      <c r="Y121" s="878"/>
      <c r="Z121" s="878"/>
      <c r="AA121" s="878"/>
      <c r="AB121" s="878"/>
      <c r="AC121" s="878"/>
      <c r="AD121" s="878"/>
      <c r="AE121" s="878"/>
      <c r="AF121" s="878"/>
      <c r="AG121" s="878"/>
      <c r="AH121" s="878"/>
      <c r="AI121" s="878"/>
      <c r="AJ121" s="878"/>
      <c r="AK121" s="878"/>
      <c r="AL121" s="878"/>
      <c r="AM121" s="878"/>
      <c r="AN121" s="878"/>
      <c r="AO121" s="878"/>
      <c r="AP121" s="878"/>
      <c r="AQ121" s="2162"/>
      <c r="AR121" s="4461"/>
      <c r="AS121" s="4462"/>
      <c r="AT121" s="2162"/>
      <c r="AU121" s="2162"/>
    </row>
    <row r="122" spans="1:47" ht="15" customHeight="1">
      <c r="A122" s="2162"/>
      <c r="B122" s="878"/>
      <c r="C122" s="4932"/>
      <c r="D122" s="4932"/>
      <c r="E122" s="4932"/>
      <c r="F122" s="4306" t="s">
        <v>198</v>
      </c>
      <c r="G122" s="878" t="s">
        <v>4563</v>
      </c>
      <c r="H122" s="878"/>
      <c r="I122" s="878"/>
      <c r="J122" s="878"/>
      <c r="K122" s="878"/>
      <c r="L122" s="878"/>
      <c r="M122" s="878"/>
      <c r="N122" s="878"/>
      <c r="O122" s="878"/>
      <c r="P122" s="878"/>
      <c r="Q122" s="878"/>
      <c r="R122" s="878"/>
      <c r="S122" s="878"/>
      <c r="T122" s="878"/>
      <c r="U122" s="878"/>
      <c r="V122" s="878"/>
      <c r="W122" s="878"/>
      <c r="X122" s="878"/>
      <c r="Y122" s="878"/>
      <c r="Z122" s="878"/>
      <c r="AA122" s="878"/>
      <c r="AB122" s="878"/>
      <c r="AC122" s="878"/>
      <c r="AD122" s="878"/>
      <c r="AE122" s="878"/>
      <c r="AF122" s="878"/>
      <c r="AG122" s="878"/>
      <c r="AH122" s="878"/>
      <c r="AI122" s="878"/>
      <c r="AJ122" s="9733">
        <v>5</v>
      </c>
      <c r="AK122" s="9803">
        <f>SUM(AK109,-AK119)</f>
        <v>0</v>
      </c>
      <c r="AL122" s="9804"/>
      <c r="AM122" s="9804"/>
      <c r="AN122" s="9804"/>
      <c r="AO122" s="9805"/>
      <c r="AP122" s="878"/>
      <c r="AQ122" s="2162"/>
      <c r="AR122" s="4461"/>
      <c r="AS122" s="4462"/>
      <c r="AT122" s="2162"/>
      <c r="AU122" s="2162"/>
    </row>
    <row r="123" spans="1:47" ht="15" customHeight="1">
      <c r="A123" s="2162"/>
      <c r="B123" s="878"/>
      <c r="C123" s="4932"/>
      <c r="D123" s="4932"/>
      <c r="E123" s="4932"/>
      <c r="F123" s="878"/>
      <c r="G123" s="4309"/>
      <c r="H123" s="878"/>
      <c r="I123" s="878"/>
      <c r="J123" s="878"/>
      <c r="K123" s="878"/>
      <c r="L123" s="878"/>
      <c r="M123" s="878"/>
      <c r="N123" s="878"/>
      <c r="O123" s="878"/>
      <c r="P123" s="878"/>
      <c r="Q123" s="878"/>
      <c r="R123" s="878"/>
      <c r="S123" s="878"/>
      <c r="T123" s="878"/>
      <c r="U123" s="878"/>
      <c r="V123" s="878"/>
      <c r="W123" s="878"/>
      <c r="X123" s="878"/>
      <c r="Y123" s="878"/>
      <c r="Z123" s="878"/>
      <c r="AA123" s="878"/>
      <c r="AB123" s="878"/>
      <c r="AC123" s="878"/>
      <c r="AD123" s="878"/>
      <c r="AE123" s="878"/>
      <c r="AF123" s="878"/>
      <c r="AG123" s="878"/>
      <c r="AH123" s="878"/>
      <c r="AI123" s="878"/>
      <c r="AJ123" s="9734"/>
      <c r="AK123" s="7193"/>
      <c r="AL123" s="7194"/>
      <c r="AM123" s="7194"/>
      <c r="AN123" s="7194"/>
      <c r="AO123" s="9806"/>
      <c r="AP123" s="878"/>
      <c r="AQ123" s="2162"/>
      <c r="AR123" s="4461"/>
      <c r="AS123" s="4462"/>
      <c r="AT123" s="2162"/>
      <c r="AU123" s="2162"/>
    </row>
    <row r="124" spans="1:47" ht="12" customHeight="1" thickBot="1">
      <c r="A124" s="2162"/>
      <c r="B124" s="878"/>
      <c r="C124" s="4311"/>
      <c r="D124" s="2957"/>
      <c r="E124" s="2957"/>
      <c r="F124" s="2957"/>
      <c r="G124" s="2957"/>
      <c r="H124" s="2957"/>
      <c r="I124" s="2957"/>
      <c r="J124" s="2957"/>
      <c r="K124" s="2957"/>
      <c r="L124" s="2957"/>
      <c r="M124" s="2957"/>
      <c r="N124" s="2957"/>
      <c r="O124" s="2957"/>
      <c r="P124" s="2957"/>
      <c r="Q124" s="2957"/>
      <c r="R124" s="2957"/>
      <c r="S124" s="2957"/>
      <c r="T124" s="2957"/>
      <c r="U124" s="2957"/>
      <c r="V124" s="2957"/>
      <c r="W124" s="2957"/>
      <c r="X124" s="2957"/>
      <c r="Y124" s="2957"/>
      <c r="Z124" s="2957"/>
      <c r="AA124" s="2957"/>
      <c r="AB124" s="2957"/>
      <c r="AC124" s="2957"/>
      <c r="AD124" s="2957"/>
      <c r="AE124" s="2957"/>
      <c r="AF124" s="2957"/>
      <c r="AG124" s="2957"/>
      <c r="AH124" s="2957"/>
      <c r="AI124" s="2957"/>
      <c r="AJ124" s="2957"/>
      <c r="AK124" s="2957"/>
      <c r="AL124" s="2957"/>
      <c r="AM124" s="2957"/>
      <c r="AN124" s="2957"/>
      <c r="AO124" s="2957"/>
      <c r="AP124" s="878"/>
      <c r="AQ124" s="2162"/>
      <c r="AR124" s="2162"/>
      <c r="AS124" s="2162"/>
      <c r="AT124" s="2162"/>
      <c r="AU124" s="2162"/>
    </row>
    <row r="125" spans="1:47" ht="6.75" customHeight="1" thickTop="1">
      <c r="A125" s="2162"/>
      <c r="B125" s="878"/>
      <c r="C125" s="2145"/>
      <c r="D125" s="2145"/>
      <c r="E125" s="2145"/>
      <c r="F125" s="2145"/>
      <c r="G125" s="2145"/>
      <c r="H125" s="2145"/>
      <c r="I125" s="2145"/>
      <c r="J125" s="2145"/>
      <c r="K125" s="2145"/>
      <c r="L125" s="2145"/>
      <c r="M125" s="2145"/>
      <c r="N125" s="2145"/>
      <c r="O125" s="2145"/>
      <c r="P125" s="2145"/>
      <c r="Q125" s="2145"/>
      <c r="R125" s="2145"/>
      <c r="S125" s="2145"/>
      <c r="T125" s="2145"/>
      <c r="U125" s="2145"/>
      <c r="V125" s="2145"/>
      <c r="W125" s="2145"/>
      <c r="X125" s="2145"/>
      <c r="Y125" s="2145"/>
      <c r="Z125" s="2145"/>
      <c r="AA125" s="2145"/>
      <c r="AB125" s="2145"/>
      <c r="AC125" s="2145"/>
      <c r="AD125" s="2145"/>
      <c r="AE125" s="2145"/>
      <c r="AF125" s="2145"/>
      <c r="AG125" s="2145"/>
      <c r="AH125" s="2145"/>
      <c r="AI125" s="2145"/>
      <c r="AJ125" s="2145"/>
      <c r="AK125" s="2145"/>
      <c r="AL125" s="2145"/>
      <c r="AM125" s="2145"/>
      <c r="AN125" s="2145"/>
      <c r="AO125" s="2145"/>
      <c r="AP125" s="878"/>
      <c r="AQ125" s="2162"/>
      <c r="AR125" s="2162"/>
      <c r="AS125" s="2162"/>
      <c r="AT125" s="2162"/>
      <c r="AU125" s="2162"/>
    </row>
    <row r="126" spans="1:47" ht="14.25" customHeight="1">
      <c r="A126" s="2162"/>
      <c r="B126" s="878"/>
      <c r="C126" s="878"/>
      <c r="D126" s="878"/>
      <c r="E126" s="878"/>
      <c r="F126" s="878"/>
      <c r="G126" s="878"/>
      <c r="H126" s="878"/>
      <c r="I126" s="878"/>
      <c r="J126" s="878"/>
      <c r="K126" s="878"/>
      <c r="L126" s="878"/>
      <c r="M126" s="878"/>
      <c r="N126" s="878"/>
      <c r="O126" s="878"/>
      <c r="P126" s="878"/>
      <c r="Q126" s="878"/>
      <c r="R126" s="878"/>
      <c r="S126" s="878"/>
      <c r="T126" s="878"/>
      <c r="U126" s="878"/>
      <c r="V126" s="878"/>
      <c r="W126" s="878"/>
      <c r="X126" s="878"/>
      <c r="Y126" s="878"/>
      <c r="Z126" s="878"/>
      <c r="AA126" s="878"/>
      <c r="AB126" s="878"/>
      <c r="AC126" s="878"/>
      <c r="AD126" s="878"/>
      <c r="AE126" s="878"/>
      <c r="AF126" s="878"/>
      <c r="AG126" s="878"/>
      <c r="AH126" s="878"/>
      <c r="AI126" s="878"/>
      <c r="AJ126" s="878"/>
      <c r="AK126" s="878"/>
      <c r="AL126" s="878"/>
      <c r="AM126" s="878"/>
      <c r="AN126" s="878"/>
      <c r="AO126" s="878"/>
      <c r="AP126" s="878"/>
      <c r="AQ126" s="2162"/>
      <c r="AR126" s="2162"/>
      <c r="AS126" s="2162"/>
      <c r="AT126" s="2162"/>
      <c r="AU126" s="2162"/>
    </row>
    <row r="127" spans="1:47" ht="12" customHeight="1">
      <c r="A127" s="2162"/>
      <c r="B127" s="878"/>
      <c r="C127" s="878"/>
      <c r="D127" s="878"/>
      <c r="E127" s="878"/>
      <c r="F127" s="878"/>
      <c r="G127" s="878"/>
      <c r="H127" s="878"/>
      <c r="I127" s="878"/>
      <c r="J127" s="878"/>
      <c r="K127" s="878"/>
      <c r="L127" s="878"/>
      <c r="M127" s="878"/>
      <c r="N127" s="878"/>
      <c r="O127" s="878"/>
      <c r="P127" s="878"/>
      <c r="Q127" s="878"/>
      <c r="R127" s="878"/>
      <c r="S127" s="878"/>
      <c r="T127" s="878"/>
      <c r="U127" s="878"/>
      <c r="V127" s="4452" t="s">
        <v>4564</v>
      </c>
      <c r="W127" s="878"/>
      <c r="X127" s="878"/>
      <c r="Y127" s="878"/>
      <c r="Z127" s="878"/>
      <c r="AA127" s="878"/>
      <c r="AB127" s="878"/>
      <c r="AC127" s="878"/>
      <c r="AD127" s="878"/>
      <c r="AE127" s="878"/>
      <c r="AF127" s="878"/>
      <c r="AG127" s="878"/>
      <c r="AH127" s="878"/>
      <c r="AI127" s="878"/>
      <c r="AJ127" s="878"/>
      <c r="AK127" s="878"/>
      <c r="AL127" s="878"/>
      <c r="AM127" s="878"/>
      <c r="AN127" s="878"/>
      <c r="AO127" s="878"/>
      <c r="AP127" s="878"/>
      <c r="AQ127" s="2162"/>
      <c r="AR127" s="2162"/>
      <c r="AS127" s="2162"/>
      <c r="AT127" s="2162"/>
      <c r="AU127" s="2162"/>
    </row>
    <row r="128" spans="1:47" ht="21.75" customHeight="1" thickBot="1">
      <c r="A128" s="2162"/>
      <c r="B128" s="878"/>
      <c r="C128" s="4464" t="s">
        <v>4565</v>
      </c>
      <c r="D128" s="1463"/>
      <c r="E128" s="1463"/>
      <c r="F128" s="1463"/>
      <c r="G128" s="1463"/>
      <c r="H128" s="1463"/>
      <c r="I128" s="1463"/>
      <c r="J128" s="1463"/>
      <c r="K128" s="1463"/>
      <c r="L128" s="1463"/>
      <c r="M128" s="1463"/>
      <c r="N128" s="1463"/>
      <c r="O128" s="1463"/>
      <c r="P128" s="1463"/>
      <c r="Q128" s="1463"/>
      <c r="R128" s="1463"/>
      <c r="S128" s="1463"/>
      <c r="T128" s="1463"/>
      <c r="U128" s="1463"/>
      <c r="V128" s="1463"/>
      <c r="W128" s="1463"/>
      <c r="X128" s="1463"/>
      <c r="Y128" s="1463"/>
      <c r="Z128" s="1463"/>
      <c r="AA128" s="1463"/>
      <c r="AB128" s="1463"/>
      <c r="AC128" s="1463"/>
      <c r="AD128" s="1463"/>
      <c r="AE128" s="1463"/>
      <c r="AF128" s="1463"/>
      <c r="AG128" s="1463"/>
      <c r="AH128" s="1463"/>
      <c r="AI128" s="1463"/>
      <c r="AJ128" s="1463"/>
      <c r="AK128" s="1463"/>
      <c r="AL128" s="1463"/>
      <c r="AM128" s="1463"/>
      <c r="AN128" s="1463"/>
      <c r="AO128" s="1463"/>
      <c r="AP128" s="878"/>
      <c r="AQ128" s="2162"/>
      <c r="AR128" s="2162"/>
      <c r="AS128" s="2162"/>
      <c r="AT128" s="2162"/>
      <c r="AU128" s="2162"/>
    </row>
    <row r="129" spans="1:47" ht="12" customHeight="1">
      <c r="A129" s="2162"/>
      <c r="B129" s="878"/>
      <c r="C129" s="2381"/>
      <c r="D129" s="2381"/>
      <c r="E129" s="2381"/>
      <c r="F129" s="2381"/>
      <c r="G129" s="2381"/>
      <c r="H129" s="2381"/>
      <c r="I129" s="2381"/>
      <c r="J129" s="2381"/>
      <c r="K129" s="2381"/>
      <c r="L129" s="2381"/>
      <c r="M129" s="2381"/>
      <c r="N129" s="2381"/>
      <c r="O129" s="2381"/>
      <c r="P129" s="2381"/>
      <c r="Q129" s="2381"/>
      <c r="R129" s="2381"/>
      <c r="S129" s="2381"/>
      <c r="T129" s="2381"/>
      <c r="U129" s="2381"/>
      <c r="V129" s="2381"/>
      <c r="W129" s="2381"/>
      <c r="X129" s="2381"/>
      <c r="Y129" s="2381"/>
      <c r="Z129" s="2381"/>
      <c r="AA129" s="2381"/>
      <c r="AB129" s="2381"/>
      <c r="AC129" s="2381"/>
      <c r="AD129" s="2381"/>
      <c r="AE129" s="2381"/>
      <c r="AF129" s="2381"/>
      <c r="AG129" s="2381"/>
      <c r="AH129" s="2381"/>
      <c r="AI129" s="2381"/>
      <c r="AJ129" s="2381"/>
      <c r="AK129" s="2381"/>
      <c r="AL129" s="2381"/>
      <c r="AM129" s="2381"/>
      <c r="AN129" s="2381"/>
      <c r="AO129" s="2381"/>
      <c r="AP129" s="878"/>
      <c r="AQ129" s="2162"/>
      <c r="AR129" s="2162"/>
      <c r="AS129" s="2162"/>
      <c r="AT129" s="2162"/>
      <c r="AU129" s="2162"/>
    </row>
    <row r="130" spans="1:47" ht="6" customHeight="1">
      <c r="A130" s="2162"/>
      <c r="B130" s="878"/>
      <c r="C130" s="878"/>
      <c r="D130" s="878"/>
      <c r="E130" s="878"/>
      <c r="F130" s="878"/>
      <c r="G130" s="878"/>
      <c r="H130" s="878"/>
      <c r="I130" s="878"/>
      <c r="J130" s="878"/>
      <c r="K130" s="878"/>
      <c r="L130" s="878"/>
      <c r="M130" s="878"/>
      <c r="N130" s="878"/>
      <c r="O130" s="878"/>
      <c r="P130" s="878"/>
      <c r="Q130" s="878"/>
      <c r="R130" s="878"/>
      <c r="S130" s="878"/>
      <c r="T130" s="878"/>
      <c r="U130" s="878"/>
      <c r="V130" s="878"/>
      <c r="W130" s="878"/>
      <c r="X130" s="878"/>
      <c r="Y130" s="878"/>
      <c r="Z130" s="878"/>
      <c r="AA130" s="878"/>
      <c r="AB130" s="878"/>
      <c r="AC130" s="878"/>
      <c r="AD130" s="878"/>
      <c r="AE130" s="878"/>
      <c r="AF130" s="878"/>
      <c r="AG130" s="878"/>
      <c r="AH130" s="878"/>
      <c r="AI130" s="878"/>
      <c r="AJ130" s="878"/>
      <c r="AK130" s="878"/>
      <c r="AL130" s="878"/>
      <c r="AM130" s="878"/>
      <c r="AN130" s="878"/>
      <c r="AO130" s="878"/>
      <c r="AP130" s="878"/>
      <c r="AQ130" s="2162"/>
      <c r="AR130" s="2162"/>
      <c r="AS130" s="2162"/>
      <c r="AT130" s="2162"/>
      <c r="AU130" s="2162"/>
    </row>
    <row r="131" spans="1:47" ht="12.75" customHeight="1">
      <c r="A131" s="2162"/>
      <c r="B131" s="878"/>
      <c r="C131" s="3174" t="s">
        <v>1058</v>
      </c>
      <c r="D131" s="878"/>
      <c r="E131" s="878"/>
      <c r="F131" s="878"/>
      <c r="G131" s="878"/>
      <c r="H131" s="878"/>
      <c r="I131" s="878"/>
      <c r="J131" s="878"/>
      <c r="K131" s="4933" t="s">
        <v>4566</v>
      </c>
      <c r="L131" s="878" t="s">
        <v>4567</v>
      </c>
      <c r="M131" s="878"/>
      <c r="N131" s="878"/>
      <c r="O131" s="878"/>
      <c r="P131" s="878"/>
      <c r="Q131" s="878"/>
      <c r="R131" s="878"/>
      <c r="S131" s="878"/>
      <c r="T131" s="878"/>
      <c r="U131" s="878"/>
      <c r="V131" s="878"/>
      <c r="W131" s="878"/>
      <c r="X131" s="878"/>
      <c r="Y131" s="878"/>
      <c r="Z131" s="878"/>
      <c r="AA131" s="878"/>
      <c r="AB131" s="878"/>
      <c r="AC131" s="878"/>
      <c r="AD131" s="878"/>
      <c r="AE131" s="878"/>
      <c r="AF131" s="878"/>
      <c r="AG131" s="878"/>
      <c r="AH131" s="878"/>
      <c r="AI131" s="878"/>
      <c r="AJ131" s="878"/>
      <c r="AK131" s="878"/>
      <c r="AL131" s="878"/>
      <c r="AM131" s="878"/>
      <c r="AN131" s="878"/>
      <c r="AO131" s="878"/>
      <c r="AP131" s="878"/>
      <c r="AQ131" s="2162"/>
      <c r="AR131" s="2162"/>
      <c r="AS131" s="2162"/>
      <c r="AT131" s="2162"/>
      <c r="AU131" s="2162"/>
    </row>
    <row r="132" spans="1:47" ht="12.75" customHeight="1">
      <c r="A132" s="2162"/>
      <c r="B132" s="878"/>
      <c r="C132" s="878"/>
      <c r="D132" s="878"/>
      <c r="E132" s="878"/>
      <c r="F132" s="878"/>
      <c r="G132" s="878"/>
      <c r="H132" s="878"/>
      <c r="I132" s="878"/>
      <c r="J132" s="878"/>
      <c r="K132" s="878"/>
      <c r="L132" s="878"/>
      <c r="M132" s="878"/>
      <c r="N132" s="878"/>
      <c r="O132" s="878"/>
      <c r="P132" s="878"/>
      <c r="Q132" s="878"/>
      <c r="R132" s="878"/>
      <c r="S132" s="878"/>
      <c r="T132" s="878"/>
      <c r="U132" s="878"/>
      <c r="V132" s="878"/>
      <c r="W132" s="878"/>
      <c r="X132" s="878"/>
      <c r="Y132" s="878"/>
      <c r="Z132" s="878"/>
      <c r="AA132" s="878"/>
      <c r="AB132" s="878"/>
      <c r="AC132" s="878"/>
      <c r="AD132" s="878"/>
      <c r="AE132" s="878"/>
      <c r="AF132" s="878"/>
      <c r="AG132" s="878"/>
      <c r="AH132" s="878"/>
      <c r="AI132" s="878"/>
      <c r="AJ132" s="878"/>
      <c r="AK132" s="878"/>
      <c r="AL132" s="878"/>
      <c r="AM132" s="878"/>
      <c r="AN132" s="878"/>
      <c r="AO132" s="878"/>
      <c r="AP132" s="878"/>
      <c r="AQ132" s="2162"/>
      <c r="AR132" s="2162"/>
      <c r="AS132" s="2162"/>
      <c r="AT132" s="2162"/>
      <c r="AU132" s="2162"/>
    </row>
    <row r="133" spans="1:47" ht="12.75" customHeight="1">
      <c r="A133" s="2162"/>
      <c r="B133" s="878"/>
      <c r="C133" s="878"/>
      <c r="D133" s="878"/>
      <c r="E133" s="878"/>
      <c r="F133" s="878"/>
      <c r="G133" s="878"/>
      <c r="H133" s="878"/>
      <c r="I133" s="878"/>
      <c r="J133" s="878"/>
      <c r="K133" s="4933" t="s">
        <v>4566</v>
      </c>
      <c r="L133" s="878" t="s">
        <v>5555</v>
      </c>
      <c r="M133" s="878"/>
      <c r="N133" s="878"/>
      <c r="O133" s="878"/>
      <c r="P133" s="878"/>
      <c r="Q133" s="878"/>
      <c r="R133" s="878"/>
      <c r="S133" s="878"/>
      <c r="T133" s="878"/>
      <c r="U133" s="878"/>
      <c r="V133" s="878"/>
      <c r="W133" s="878"/>
      <c r="X133" s="878"/>
      <c r="Y133" s="878"/>
      <c r="Z133" s="878"/>
      <c r="AA133" s="878"/>
      <c r="AB133" s="878"/>
      <c r="AC133" s="878"/>
      <c r="AD133" s="878"/>
      <c r="AE133" s="878"/>
      <c r="AF133" s="878"/>
      <c r="AG133" s="878"/>
      <c r="AH133" s="878"/>
      <c r="AI133" s="878"/>
      <c r="AJ133" s="878"/>
      <c r="AK133" s="878"/>
      <c r="AL133" s="878"/>
      <c r="AM133" s="878"/>
      <c r="AN133" s="878"/>
      <c r="AO133" s="878"/>
      <c r="AP133" s="878"/>
      <c r="AQ133" s="2162"/>
      <c r="AR133" s="2162"/>
      <c r="AS133" s="2162"/>
      <c r="AT133" s="2162"/>
      <c r="AU133" s="2162"/>
    </row>
    <row r="134" spans="1:47">
      <c r="A134" s="2162"/>
      <c r="B134" s="878"/>
      <c r="C134" s="878"/>
      <c r="D134" s="878"/>
      <c r="E134" s="878"/>
      <c r="F134" s="878"/>
      <c r="G134" s="878"/>
      <c r="H134" s="878"/>
      <c r="I134" s="878"/>
      <c r="J134" s="878"/>
      <c r="K134" s="878"/>
      <c r="L134" s="878" t="s">
        <v>4568</v>
      </c>
      <c r="M134" s="878"/>
      <c r="N134" s="878"/>
      <c r="O134" s="878"/>
      <c r="P134" s="878"/>
      <c r="Q134" s="878"/>
      <c r="R134" s="878"/>
      <c r="S134" s="878"/>
      <c r="T134" s="878"/>
      <c r="U134" s="878"/>
      <c r="V134" s="878"/>
      <c r="W134" s="878"/>
      <c r="X134" s="878"/>
      <c r="Y134" s="878"/>
      <c r="Z134" s="878"/>
      <c r="AA134" s="878"/>
      <c r="AB134" s="878"/>
      <c r="AC134" s="878"/>
      <c r="AD134" s="878"/>
      <c r="AE134" s="878"/>
      <c r="AF134" s="878"/>
      <c r="AG134" s="878"/>
      <c r="AH134" s="878"/>
      <c r="AI134" s="878"/>
      <c r="AJ134" s="878"/>
      <c r="AK134" s="878"/>
      <c r="AL134" s="878"/>
      <c r="AM134" s="878"/>
      <c r="AN134" s="878"/>
      <c r="AO134" s="878"/>
      <c r="AP134" s="878"/>
      <c r="AQ134" s="2162"/>
      <c r="AR134" s="2162"/>
      <c r="AS134" s="2162"/>
      <c r="AT134" s="2162"/>
      <c r="AU134" s="2162"/>
    </row>
    <row r="135" spans="1:47">
      <c r="A135" s="2162"/>
      <c r="B135" s="878"/>
      <c r="C135" s="878"/>
      <c r="D135" s="878"/>
      <c r="E135" s="878"/>
      <c r="F135" s="878"/>
      <c r="G135" s="878"/>
      <c r="H135" s="878"/>
      <c r="I135" s="878"/>
      <c r="J135" s="878"/>
      <c r="K135" s="878"/>
      <c r="L135" s="878"/>
      <c r="M135" s="878"/>
      <c r="N135" s="878"/>
      <c r="O135" s="878"/>
      <c r="P135" s="878"/>
      <c r="Q135" s="878"/>
      <c r="R135" s="878"/>
      <c r="S135" s="878"/>
      <c r="T135" s="878"/>
      <c r="U135" s="878"/>
      <c r="V135" s="878"/>
      <c r="W135" s="878"/>
      <c r="X135" s="878"/>
      <c r="Y135" s="878"/>
      <c r="Z135" s="878"/>
      <c r="AA135" s="878"/>
      <c r="AB135" s="878"/>
      <c r="AC135" s="878"/>
      <c r="AD135" s="878"/>
      <c r="AE135" s="878"/>
      <c r="AF135" s="878"/>
      <c r="AG135" s="878"/>
      <c r="AH135" s="878"/>
      <c r="AI135" s="878"/>
      <c r="AJ135" s="878"/>
      <c r="AK135" s="878"/>
      <c r="AL135" s="878"/>
      <c r="AM135" s="878"/>
      <c r="AN135" s="878"/>
      <c r="AO135" s="878"/>
      <c r="AP135" s="878"/>
      <c r="AQ135" s="2162"/>
      <c r="AR135" s="2162"/>
      <c r="AS135" s="2162"/>
      <c r="AT135" s="2162"/>
      <c r="AU135" s="2162"/>
    </row>
    <row r="136" spans="1:47" ht="12.75" customHeight="1">
      <c r="A136" s="2162"/>
      <c r="B136" s="878"/>
      <c r="C136" s="878"/>
      <c r="D136" s="878"/>
      <c r="E136" s="878"/>
      <c r="F136" s="878"/>
      <c r="G136" s="878"/>
      <c r="H136" s="878"/>
      <c r="I136" s="878"/>
      <c r="J136" s="878"/>
      <c r="K136" s="4933" t="s">
        <v>4566</v>
      </c>
      <c r="L136" s="878" t="s">
        <v>5556</v>
      </c>
      <c r="M136" s="878"/>
      <c r="N136" s="878"/>
      <c r="O136" s="878"/>
      <c r="P136" s="878"/>
      <c r="Q136" s="878"/>
      <c r="R136" s="878"/>
      <c r="S136" s="878"/>
      <c r="T136" s="878"/>
      <c r="U136" s="878"/>
      <c r="V136" s="878"/>
      <c r="W136" s="878"/>
      <c r="X136" s="878"/>
      <c r="Y136" s="878"/>
      <c r="Z136" s="878"/>
      <c r="AA136" s="878"/>
      <c r="AB136" s="878"/>
      <c r="AC136" s="878"/>
      <c r="AD136" s="878"/>
      <c r="AE136" s="878"/>
      <c r="AF136" s="878"/>
      <c r="AG136" s="878"/>
      <c r="AH136" s="878"/>
      <c r="AI136" s="878"/>
      <c r="AJ136" s="878"/>
      <c r="AK136" s="878"/>
      <c r="AL136" s="878"/>
      <c r="AM136" s="878"/>
      <c r="AN136" s="878"/>
      <c r="AO136" s="878"/>
      <c r="AP136" s="878"/>
      <c r="AQ136" s="2162"/>
      <c r="AR136" s="2162"/>
      <c r="AS136" s="2162"/>
      <c r="AT136" s="2162"/>
      <c r="AU136" s="2162"/>
    </row>
    <row r="137" spans="1:47" ht="12.75" customHeight="1">
      <c r="A137" s="2162"/>
      <c r="B137" s="878"/>
      <c r="C137" s="878"/>
      <c r="D137" s="878"/>
      <c r="E137" s="878"/>
      <c r="F137" s="878"/>
      <c r="G137" s="878"/>
      <c r="H137" s="878"/>
      <c r="I137" s="878"/>
      <c r="J137" s="878"/>
      <c r="K137" s="878"/>
      <c r="L137" s="878" t="s">
        <v>4569</v>
      </c>
      <c r="M137" s="878"/>
      <c r="N137" s="878"/>
      <c r="O137" s="878"/>
      <c r="P137" s="878"/>
      <c r="Q137" s="878"/>
      <c r="R137" s="878"/>
      <c r="S137" s="878"/>
      <c r="T137" s="878"/>
      <c r="U137" s="878"/>
      <c r="V137" s="878"/>
      <c r="W137" s="878"/>
      <c r="X137" s="878"/>
      <c r="Y137" s="878"/>
      <c r="Z137" s="878"/>
      <c r="AA137" s="878"/>
      <c r="AB137" s="878"/>
      <c r="AC137" s="878"/>
      <c r="AD137" s="878"/>
      <c r="AE137" s="878"/>
      <c r="AF137" s="878"/>
      <c r="AG137" s="878"/>
      <c r="AH137" s="878"/>
      <c r="AI137" s="878"/>
      <c r="AJ137" s="878"/>
      <c r="AK137" s="878"/>
      <c r="AL137" s="878"/>
      <c r="AM137" s="878"/>
      <c r="AN137" s="878"/>
      <c r="AO137" s="878"/>
      <c r="AP137" s="878"/>
      <c r="AQ137" s="2162"/>
      <c r="AR137" s="2162"/>
      <c r="AS137" s="2162"/>
      <c r="AT137" s="2162"/>
      <c r="AU137" s="2162"/>
    </row>
    <row r="138" spans="1:47">
      <c r="A138" s="2162"/>
      <c r="B138" s="878"/>
      <c r="C138" s="878"/>
      <c r="D138" s="878"/>
      <c r="E138" s="878"/>
      <c r="F138" s="878"/>
      <c r="G138" s="878"/>
      <c r="H138" s="878"/>
      <c r="I138" s="878"/>
      <c r="J138" s="878"/>
      <c r="K138" s="878"/>
      <c r="L138" s="878"/>
      <c r="M138" s="878"/>
      <c r="N138" s="878"/>
      <c r="O138" s="878"/>
      <c r="P138" s="878"/>
      <c r="Q138" s="878"/>
      <c r="R138" s="878"/>
      <c r="S138" s="878"/>
      <c r="T138" s="878"/>
      <c r="U138" s="878"/>
      <c r="V138" s="878"/>
      <c r="W138" s="878"/>
      <c r="X138" s="878"/>
      <c r="Y138" s="878"/>
      <c r="Z138" s="878"/>
      <c r="AA138" s="878"/>
      <c r="AB138" s="878"/>
      <c r="AC138" s="878"/>
      <c r="AD138" s="878"/>
      <c r="AE138" s="878"/>
      <c r="AF138" s="878"/>
      <c r="AG138" s="878"/>
      <c r="AH138" s="878"/>
      <c r="AI138" s="878"/>
      <c r="AJ138" s="878"/>
      <c r="AK138" s="878"/>
      <c r="AL138" s="878"/>
      <c r="AM138" s="878"/>
      <c r="AN138" s="878"/>
      <c r="AO138" s="878"/>
      <c r="AP138" s="878"/>
      <c r="AQ138" s="2162"/>
      <c r="AR138" s="2162"/>
      <c r="AS138" s="2162"/>
      <c r="AT138" s="2162"/>
      <c r="AU138" s="2162"/>
    </row>
    <row r="139" spans="1:47" ht="12.75" customHeight="1">
      <c r="A139" s="2162"/>
      <c r="B139" s="878"/>
      <c r="C139" s="878"/>
      <c r="D139" s="878"/>
      <c r="E139" s="1040"/>
      <c r="F139" s="4447"/>
      <c r="G139" s="4447" t="s">
        <v>5557</v>
      </c>
      <c r="H139" s="878"/>
      <c r="I139" s="878"/>
      <c r="J139" s="878"/>
      <c r="K139" s="878"/>
      <c r="L139" s="878"/>
      <c r="M139" s="878"/>
      <c r="N139" s="878"/>
      <c r="O139" s="878"/>
      <c r="P139" s="878"/>
      <c r="Q139" s="878"/>
      <c r="R139" s="878"/>
      <c r="S139" s="878"/>
      <c r="T139" s="878"/>
      <c r="U139" s="878"/>
      <c r="V139" s="878"/>
      <c r="W139" s="878"/>
      <c r="X139" s="878"/>
      <c r="Y139" s="878"/>
      <c r="Z139" s="878"/>
      <c r="AA139" s="878"/>
      <c r="AB139" s="878"/>
      <c r="AC139" s="878"/>
      <c r="AD139" s="878"/>
      <c r="AE139" s="878"/>
      <c r="AF139" s="878"/>
      <c r="AG139" s="878"/>
      <c r="AH139" s="878"/>
      <c r="AI139" s="878"/>
      <c r="AJ139" s="878"/>
      <c r="AK139" s="878"/>
      <c r="AL139" s="9682" t="b">
        <f>C110</f>
        <v>0</v>
      </c>
      <c r="AM139" s="9682"/>
      <c r="AN139" s="9682"/>
      <c r="AO139" s="878"/>
      <c r="AP139" s="878"/>
      <c r="AQ139" s="2162"/>
      <c r="AR139" s="2162"/>
      <c r="AS139" s="2162"/>
      <c r="AT139" s="2162"/>
      <c r="AU139" s="2162"/>
    </row>
    <row r="140" spans="1:47" ht="12.75" customHeight="1">
      <c r="A140" s="2162"/>
      <c r="B140" s="878"/>
      <c r="C140" s="878"/>
      <c r="D140" s="878"/>
      <c r="E140" s="878"/>
      <c r="F140" s="4447"/>
      <c r="G140" s="4447" t="s">
        <v>5577</v>
      </c>
      <c r="H140" s="878"/>
      <c r="I140" s="878"/>
      <c r="J140" s="878"/>
      <c r="K140" s="878"/>
      <c r="L140" s="878"/>
      <c r="M140" s="878"/>
      <c r="N140" s="878"/>
      <c r="O140" s="878"/>
      <c r="P140" s="878"/>
      <c r="Q140" s="878"/>
      <c r="R140" s="878"/>
      <c r="S140" s="878"/>
      <c r="T140" s="878"/>
      <c r="U140" s="878"/>
      <c r="V140" s="878"/>
      <c r="W140" s="878"/>
      <c r="X140" s="878"/>
      <c r="Y140" s="878"/>
      <c r="Z140" s="878"/>
      <c r="AA140" s="878"/>
      <c r="AB140" s="878"/>
      <c r="AC140" s="878"/>
      <c r="AD140" s="878"/>
      <c r="AE140" s="878"/>
      <c r="AF140" s="878"/>
      <c r="AG140" s="878"/>
      <c r="AH140" s="878"/>
      <c r="AI140" s="878"/>
      <c r="AJ140" s="878"/>
      <c r="AK140" s="878"/>
      <c r="AL140" s="878"/>
      <c r="AM140" s="878"/>
      <c r="AN140" s="878"/>
      <c r="AO140" s="878"/>
      <c r="AP140" s="878"/>
      <c r="AQ140" s="2162"/>
      <c r="AR140" s="2162"/>
      <c r="AS140" s="2162"/>
      <c r="AT140" s="2162"/>
      <c r="AU140" s="2162"/>
    </row>
    <row r="141" spans="1:47" ht="9" customHeight="1" thickBot="1">
      <c r="A141" s="2162"/>
      <c r="B141" s="878"/>
      <c r="C141" s="2957"/>
      <c r="D141" s="2957"/>
      <c r="E141" s="2957"/>
      <c r="F141" s="2957"/>
      <c r="G141" s="2957"/>
      <c r="H141" s="2957"/>
      <c r="I141" s="2957"/>
      <c r="J141" s="2957"/>
      <c r="K141" s="2957"/>
      <c r="L141" s="2957"/>
      <c r="M141" s="2957"/>
      <c r="N141" s="2957"/>
      <c r="O141" s="2957"/>
      <c r="P141" s="2957"/>
      <c r="Q141" s="2957"/>
      <c r="R141" s="2957"/>
      <c r="S141" s="2957"/>
      <c r="T141" s="2957"/>
      <c r="U141" s="2957"/>
      <c r="V141" s="2957"/>
      <c r="W141" s="2957"/>
      <c r="X141" s="2957"/>
      <c r="Y141" s="2957"/>
      <c r="Z141" s="2957"/>
      <c r="AA141" s="2957"/>
      <c r="AB141" s="2957"/>
      <c r="AC141" s="2957"/>
      <c r="AD141" s="2957"/>
      <c r="AE141" s="2957"/>
      <c r="AF141" s="2957"/>
      <c r="AG141" s="2957"/>
      <c r="AH141" s="2957"/>
      <c r="AI141" s="2957"/>
      <c r="AJ141" s="2957"/>
      <c r="AK141" s="2957"/>
      <c r="AL141" s="2957"/>
      <c r="AM141" s="2957"/>
      <c r="AN141" s="2957"/>
      <c r="AO141" s="2957"/>
      <c r="AP141" s="878"/>
      <c r="AQ141" s="2162"/>
      <c r="AR141" s="2162"/>
      <c r="AS141" s="2162"/>
      <c r="AT141" s="2162"/>
      <c r="AU141" s="2162"/>
    </row>
    <row r="142" spans="1:47" ht="7.5" customHeight="1" thickTop="1">
      <c r="A142" s="2162"/>
      <c r="B142" s="878"/>
      <c r="C142" s="878"/>
      <c r="D142" s="878"/>
      <c r="E142" s="878"/>
      <c r="F142" s="878"/>
      <c r="G142" s="878"/>
      <c r="H142" s="878"/>
      <c r="I142" s="878"/>
      <c r="J142" s="878"/>
      <c r="K142" s="878"/>
      <c r="L142" s="878"/>
      <c r="M142" s="878"/>
      <c r="N142" s="878"/>
      <c r="O142" s="878"/>
      <c r="P142" s="878"/>
      <c r="Q142" s="878"/>
      <c r="R142" s="878"/>
      <c r="S142" s="878"/>
      <c r="T142" s="878"/>
      <c r="U142" s="878"/>
      <c r="V142" s="878"/>
      <c r="W142" s="878"/>
      <c r="X142" s="878"/>
      <c r="Y142" s="878"/>
      <c r="Z142" s="878"/>
      <c r="AA142" s="878"/>
      <c r="AB142" s="878"/>
      <c r="AC142" s="878"/>
      <c r="AD142" s="878"/>
      <c r="AE142" s="878"/>
      <c r="AF142" s="878"/>
      <c r="AG142" s="878"/>
      <c r="AH142" s="878"/>
      <c r="AI142" s="878"/>
      <c r="AJ142" s="878"/>
      <c r="AK142" s="878"/>
      <c r="AL142" s="878"/>
      <c r="AM142" s="878"/>
      <c r="AN142" s="878"/>
      <c r="AO142" s="878"/>
      <c r="AP142" s="878"/>
      <c r="AQ142" s="2162"/>
      <c r="AR142" s="2162"/>
      <c r="AS142" s="2162"/>
      <c r="AT142" s="2162"/>
      <c r="AU142" s="2162"/>
    </row>
    <row r="143" spans="1:47" ht="20.25" customHeight="1">
      <c r="A143" s="2162"/>
      <c r="B143" s="878"/>
      <c r="C143" s="878"/>
      <c r="D143" s="878"/>
      <c r="E143" s="878"/>
      <c r="F143" s="4306" t="s">
        <v>167</v>
      </c>
      <c r="G143" s="878" t="s">
        <v>4570</v>
      </c>
      <c r="H143" s="878"/>
      <c r="I143" s="878"/>
      <c r="J143" s="878"/>
      <c r="K143" s="878"/>
      <c r="L143" s="878"/>
      <c r="M143" s="878"/>
      <c r="N143" s="878"/>
      <c r="O143" s="878"/>
      <c r="P143" s="878"/>
      <c r="Q143" s="878"/>
      <c r="R143" s="878"/>
      <c r="S143" s="878"/>
      <c r="T143" s="878"/>
      <c r="U143" s="878"/>
      <c r="V143" s="878"/>
      <c r="W143" s="878"/>
      <c r="X143" s="878"/>
      <c r="Y143" s="878"/>
      <c r="Z143" s="878"/>
      <c r="AA143" s="878"/>
      <c r="AB143" s="878"/>
      <c r="AC143" s="878"/>
      <c r="AD143" s="878"/>
      <c r="AE143" s="878"/>
      <c r="AF143" s="878"/>
      <c r="AG143" s="878"/>
      <c r="AH143" s="2468" t="s">
        <v>1537</v>
      </c>
      <c r="AI143" s="4430"/>
      <c r="AJ143" s="4448" t="s">
        <v>252</v>
      </c>
      <c r="AK143" s="6354" t="str">
        <f>IF(AL139,AL36,"")</f>
        <v/>
      </c>
      <c r="AL143" s="6354"/>
      <c r="AM143" s="6354"/>
      <c r="AN143" s="6354"/>
      <c r="AO143" s="6354"/>
      <c r="AP143" s="878"/>
      <c r="AQ143" s="2162"/>
      <c r="AR143" s="2162"/>
      <c r="AS143" s="2162"/>
      <c r="AT143" s="2162"/>
      <c r="AU143" s="2162"/>
    </row>
    <row r="144" spans="1:47" ht="20.25" customHeight="1">
      <c r="A144" s="2162"/>
      <c r="B144" s="878"/>
      <c r="C144" s="878"/>
      <c r="D144" s="878"/>
      <c r="E144" s="878"/>
      <c r="F144" s="4306" t="s">
        <v>171</v>
      </c>
      <c r="G144" s="878" t="str">
        <f>"Number of qualifying children under "&amp;CTC_AgeLimit&amp;" with the required social security"</f>
        <v>Number of qualifying children under 17 with the required social security</v>
      </c>
      <c r="H144" s="878"/>
      <c r="I144" s="878"/>
      <c r="J144" s="878"/>
      <c r="K144" s="878"/>
      <c r="L144" s="878"/>
      <c r="M144" s="878"/>
      <c r="N144" s="878"/>
      <c r="O144" s="878"/>
      <c r="P144" s="878"/>
      <c r="Q144" s="878"/>
      <c r="R144" s="878"/>
      <c r="S144" s="878"/>
      <c r="T144" s="878"/>
      <c r="U144" s="878"/>
      <c r="V144" s="878"/>
      <c r="W144" s="878"/>
      <c r="X144" s="878"/>
      <c r="Y144" s="878"/>
      <c r="Z144" s="878"/>
      <c r="AA144" s="878"/>
      <c r="AB144" s="878"/>
      <c r="AC144" s="878"/>
      <c r="AD144" s="878"/>
      <c r="AE144" s="878"/>
      <c r="AF144" s="878"/>
      <c r="AG144" s="878"/>
      <c r="AH144" s="878"/>
      <c r="AI144" s="4430"/>
      <c r="AJ144" s="878"/>
      <c r="AK144" s="878"/>
      <c r="AL144" s="878"/>
      <c r="AM144" s="878"/>
      <c r="AN144" s="878"/>
      <c r="AO144" s="878"/>
      <c r="AP144" s="878"/>
      <c r="AQ144" s="2162"/>
      <c r="AR144" s="2162"/>
      <c r="AS144" s="2162"/>
      <c r="AT144" s="2162"/>
      <c r="AU144" s="2162"/>
    </row>
    <row r="145" spans="1:47" ht="17.25" customHeight="1">
      <c r="A145" s="2162"/>
      <c r="B145" s="878"/>
      <c r="C145" s="878"/>
      <c r="D145" s="878"/>
      <c r="E145" s="878"/>
      <c r="F145" s="878"/>
      <c r="G145" s="878" t="s">
        <v>4571</v>
      </c>
      <c r="H145" s="878"/>
      <c r="I145" s="878"/>
      <c r="J145" s="9687" t="str">
        <f>IF(AL139,DependQualNumber,"")</f>
        <v/>
      </c>
      <c r="K145" s="9687"/>
      <c r="L145" s="2084" t="s">
        <v>2268</v>
      </c>
      <c r="M145" s="9686">
        <f>AF55</f>
        <v>1600</v>
      </c>
      <c r="N145" s="9686"/>
      <c r="O145" s="9686"/>
      <c r="P145" s="878" t="s">
        <v>4498</v>
      </c>
      <c r="Q145" s="878"/>
      <c r="R145" s="878"/>
      <c r="S145" s="878"/>
      <c r="T145" s="878"/>
      <c r="U145" s="878"/>
      <c r="V145" s="878"/>
      <c r="W145" s="878"/>
      <c r="X145" s="878"/>
      <c r="Y145" s="878"/>
      <c r="Z145" s="878"/>
      <c r="AA145" s="878"/>
      <c r="AB145" s="878"/>
      <c r="AC145" s="878"/>
      <c r="AD145" s="878"/>
      <c r="AE145" s="878"/>
      <c r="AF145" s="878"/>
      <c r="AG145" s="878"/>
      <c r="AH145" s="2468" t="s">
        <v>1491</v>
      </c>
      <c r="AI145" s="878"/>
      <c r="AJ145" s="4448" t="s">
        <v>254</v>
      </c>
      <c r="AK145" s="6353" t="str">
        <f>IF(AL139,ROUND(J145*M145,0),"")</f>
        <v/>
      </c>
      <c r="AL145" s="6354"/>
      <c r="AM145" s="6354"/>
      <c r="AN145" s="6354"/>
      <c r="AO145" s="6354"/>
      <c r="AP145" s="878"/>
      <c r="AQ145" s="2162"/>
      <c r="AR145" s="2162"/>
      <c r="AS145" s="2162"/>
      <c r="AT145" s="2162"/>
      <c r="AU145" s="2162"/>
    </row>
    <row r="146" spans="1:47" ht="12" customHeight="1">
      <c r="A146" s="2162"/>
      <c r="B146" s="878"/>
      <c r="C146" s="878"/>
      <c r="D146" s="878"/>
      <c r="E146" s="878"/>
      <c r="F146" s="878"/>
      <c r="G146" s="878"/>
      <c r="H146" s="878"/>
      <c r="I146" s="878"/>
      <c r="J146" s="878"/>
      <c r="K146" s="878"/>
      <c r="L146" s="878"/>
      <c r="M146" s="878"/>
      <c r="N146" s="878"/>
      <c r="O146" s="878"/>
      <c r="P146" s="878"/>
      <c r="Q146" s="878"/>
      <c r="R146" s="878"/>
      <c r="S146" s="878"/>
      <c r="T146" s="878"/>
      <c r="U146" s="878"/>
      <c r="V146" s="878"/>
      <c r="W146" s="878"/>
      <c r="X146" s="878"/>
      <c r="Y146" s="878"/>
      <c r="Z146" s="878"/>
      <c r="AA146" s="878"/>
      <c r="AB146" s="878"/>
      <c r="AC146" s="878"/>
      <c r="AD146" s="878"/>
      <c r="AE146" s="878"/>
      <c r="AF146" s="878"/>
      <c r="AG146" s="878"/>
      <c r="AH146" s="878"/>
      <c r="AI146" s="878"/>
      <c r="AJ146" s="878"/>
      <c r="AK146" s="878"/>
      <c r="AL146" s="878"/>
      <c r="AM146" s="878"/>
      <c r="AN146" s="878"/>
      <c r="AO146" s="878"/>
      <c r="AP146" s="878"/>
      <c r="AQ146" s="2162"/>
      <c r="AR146" s="2162"/>
      <c r="AS146" s="2162"/>
      <c r="AT146" s="2162"/>
      <c r="AU146" s="2162"/>
    </row>
    <row r="147" spans="1:47" ht="12" customHeight="1">
      <c r="A147" s="2162"/>
      <c r="B147" s="878"/>
      <c r="C147" s="878"/>
      <c r="D147" s="878"/>
      <c r="E147" s="878"/>
      <c r="F147" s="878"/>
      <c r="G147" s="878" t="s">
        <v>4572</v>
      </c>
      <c r="H147" s="878"/>
      <c r="I147" s="878"/>
      <c r="J147" s="878"/>
      <c r="K147" s="878"/>
      <c r="L147" s="878"/>
      <c r="M147" s="878"/>
      <c r="N147" s="878"/>
      <c r="O147" s="878"/>
      <c r="P147" s="878"/>
      <c r="Q147" s="878"/>
      <c r="R147" s="878"/>
      <c r="S147" s="878"/>
      <c r="T147" s="878"/>
      <c r="U147" s="878"/>
      <c r="V147" s="878"/>
      <c r="W147" s="878"/>
      <c r="X147" s="878"/>
      <c r="Y147" s="878"/>
      <c r="Z147" s="878"/>
      <c r="AA147" s="878"/>
      <c r="AB147" s="878"/>
      <c r="AC147" s="878"/>
      <c r="AD147" s="878"/>
      <c r="AE147" s="878"/>
      <c r="AF147" s="878"/>
      <c r="AG147" s="878"/>
      <c r="AH147" s="878"/>
      <c r="AI147" s="878"/>
      <c r="AJ147" s="878"/>
      <c r="AK147" s="878"/>
      <c r="AL147" s="878"/>
      <c r="AM147" s="878"/>
      <c r="AN147" s="878"/>
      <c r="AO147" s="878"/>
      <c r="AP147" s="878"/>
      <c r="AQ147" s="2162"/>
      <c r="AR147" s="2162"/>
      <c r="AS147" s="2162"/>
      <c r="AT147" s="2162"/>
      <c r="AU147" s="2162"/>
    </row>
    <row r="148" spans="1:47" ht="12" customHeight="1">
      <c r="A148" s="2162"/>
      <c r="B148" s="878"/>
      <c r="C148" s="878"/>
      <c r="D148" s="878"/>
      <c r="E148" s="878"/>
      <c r="F148" s="878"/>
      <c r="G148" s="878" t="s">
        <v>4573</v>
      </c>
      <c r="H148" s="878"/>
      <c r="I148" s="878"/>
      <c r="J148" s="878"/>
      <c r="K148" s="878"/>
      <c r="L148" s="878"/>
      <c r="M148" s="878"/>
      <c r="N148" s="878"/>
      <c r="O148" s="878"/>
      <c r="P148" s="878"/>
      <c r="Q148" s="878"/>
      <c r="R148" s="878"/>
      <c r="S148" s="878"/>
      <c r="T148" s="878"/>
      <c r="U148" s="878"/>
      <c r="V148" s="878"/>
      <c r="W148" s="878"/>
      <c r="X148" s="878"/>
      <c r="Y148" s="878"/>
      <c r="Z148" s="878"/>
      <c r="AA148" s="878"/>
      <c r="AB148" s="878"/>
      <c r="AC148" s="878"/>
      <c r="AD148" s="878"/>
      <c r="AE148" s="878"/>
      <c r="AF148" s="878"/>
      <c r="AG148" s="878"/>
      <c r="AH148" s="878"/>
      <c r="AI148" s="878"/>
      <c r="AJ148" s="878"/>
      <c r="AK148" s="878"/>
      <c r="AL148" s="878"/>
      <c r="AM148" s="878"/>
      <c r="AN148" s="878"/>
      <c r="AO148" s="878"/>
      <c r="AP148" s="878"/>
      <c r="AQ148" s="2162"/>
      <c r="AR148" s="2162"/>
      <c r="AS148" s="4732" t="s">
        <v>867</v>
      </c>
      <c r="AT148" s="2162"/>
      <c r="AU148" s="2162"/>
    </row>
    <row r="149" spans="1:47" ht="6.75" customHeight="1">
      <c r="A149" s="2162"/>
      <c r="B149" s="878"/>
      <c r="C149" s="878"/>
      <c r="D149" s="878"/>
      <c r="E149" s="878"/>
      <c r="F149" s="878"/>
      <c r="G149" s="878"/>
      <c r="H149" s="878"/>
      <c r="I149" s="878"/>
      <c r="J149" s="878"/>
      <c r="K149" s="878"/>
      <c r="L149" s="878"/>
      <c r="M149" s="878"/>
      <c r="N149" s="878"/>
      <c r="O149" s="878"/>
      <c r="P149" s="878"/>
      <c r="Q149" s="878"/>
      <c r="R149" s="878"/>
      <c r="S149" s="878"/>
      <c r="T149" s="878"/>
      <c r="U149" s="878"/>
      <c r="V149" s="878"/>
      <c r="W149" s="878"/>
      <c r="X149" s="878"/>
      <c r="Y149" s="878"/>
      <c r="Z149" s="878"/>
      <c r="AA149" s="878"/>
      <c r="AB149" s="878"/>
      <c r="AC149" s="878"/>
      <c r="AD149" s="1138"/>
      <c r="AE149" s="878"/>
      <c r="AF149" s="878"/>
      <c r="AG149" s="878"/>
      <c r="AH149" s="878"/>
      <c r="AI149" s="878"/>
      <c r="AJ149" s="878"/>
      <c r="AK149" s="878"/>
      <c r="AL149" s="878"/>
      <c r="AM149" s="878"/>
      <c r="AN149" s="878"/>
      <c r="AO149" s="878"/>
      <c r="AP149" s="878"/>
      <c r="AQ149" s="2162"/>
      <c r="AR149" s="2162"/>
      <c r="AS149" s="2162"/>
      <c r="AT149" s="2162"/>
      <c r="AU149" s="2162"/>
    </row>
    <row r="150" spans="1:47" ht="18" customHeight="1">
      <c r="A150" s="2162"/>
      <c r="B150" s="878"/>
      <c r="C150" s="878"/>
      <c r="D150" s="878"/>
      <c r="E150" s="878"/>
      <c r="F150" s="4449" t="s">
        <v>177</v>
      </c>
      <c r="G150" s="1714" t="s">
        <v>4574</v>
      </c>
      <c r="H150" s="878"/>
      <c r="I150" s="878"/>
      <c r="J150" s="878"/>
      <c r="K150" s="878"/>
      <c r="L150" s="878"/>
      <c r="M150" s="878"/>
      <c r="N150" s="878"/>
      <c r="O150" s="878"/>
      <c r="P150" s="878"/>
      <c r="Q150" s="878"/>
      <c r="R150" s="878"/>
      <c r="S150" s="878"/>
      <c r="T150" s="878"/>
      <c r="U150" s="878"/>
      <c r="V150" s="878"/>
      <c r="W150" s="878"/>
      <c r="X150" s="878"/>
      <c r="Y150" s="878"/>
      <c r="Z150" s="878"/>
      <c r="AA150" s="878"/>
      <c r="AB150" s="2468" t="s">
        <v>1543</v>
      </c>
      <c r="AC150" s="878"/>
      <c r="AD150" s="4448" t="s">
        <v>256</v>
      </c>
      <c r="AE150" s="6353" t="str">
        <f>IF(AS150&lt;&gt;"",ROUND(AS150,0),IF(AL139,Earned_Income,""))</f>
        <v/>
      </c>
      <c r="AF150" s="6354"/>
      <c r="AG150" s="6354"/>
      <c r="AH150" s="6354"/>
      <c r="AI150" s="6354"/>
      <c r="AJ150" s="878"/>
      <c r="AK150" s="878"/>
      <c r="AL150" s="878"/>
      <c r="AM150" s="878"/>
      <c r="AN150" s="878"/>
      <c r="AO150" s="878"/>
      <c r="AP150" s="878"/>
      <c r="AQ150" s="2162"/>
      <c r="AR150" s="2162"/>
      <c r="AS150" s="4457"/>
      <c r="AT150" s="2162"/>
      <c r="AU150" s="2162"/>
    </row>
    <row r="151" spans="1:47" ht="12" customHeight="1">
      <c r="A151" s="2162"/>
      <c r="B151" s="878"/>
      <c r="C151" s="878"/>
      <c r="D151" s="878"/>
      <c r="E151" s="878"/>
      <c r="F151" s="878"/>
      <c r="G151" s="878" t="s">
        <v>4575</v>
      </c>
      <c r="H151" s="878"/>
      <c r="I151" s="878"/>
      <c r="J151" s="878"/>
      <c r="K151" s="878"/>
      <c r="L151" s="878"/>
      <c r="M151" s="878"/>
      <c r="N151" s="878"/>
      <c r="O151" s="878"/>
      <c r="P151" s="878"/>
      <c r="Q151" s="878"/>
      <c r="R151" s="878"/>
      <c r="S151" s="878"/>
      <c r="T151" s="878"/>
      <c r="U151" s="878"/>
      <c r="V151" s="878"/>
      <c r="W151" s="878"/>
      <c r="X151" s="878"/>
      <c r="Y151" s="878"/>
      <c r="Z151" s="878"/>
      <c r="AA151" s="878"/>
      <c r="AB151" s="878"/>
      <c r="AC151" s="878"/>
      <c r="AD151" s="878"/>
      <c r="AE151" s="878"/>
      <c r="AF151" s="878"/>
      <c r="AG151" s="878"/>
      <c r="AH151" s="878"/>
      <c r="AI151" s="878"/>
      <c r="AJ151" s="878"/>
      <c r="AK151" s="878"/>
      <c r="AL151" s="878"/>
      <c r="AM151" s="878"/>
      <c r="AN151" s="878"/>
      <c r="AO151" s="878"/>
      <c r="AP151" s="878"/>
      <c r="AQ151" s="2162"/>
      <c r="AR151" s="2162"/>
      <c r="AS151" s="2162"/>
      <c r="AT151" s="2162"/>
      <c r="AU151" s="2162"/>
    </row>
    <row r="152" spans="1:47" ht="6" customHeight="1">
      <c r="A152" s="2162"/>
      <c r="B152" s="878"/>
      <c r="C152" s="878"/>
      <c r="D152" s="878"/>
      <c r="E152" s="878"/>
      <c r="F152" s="878"/>
      <c r="G152" s="878"/>
      <c r="H152" s="878"/>
      <c r="I152" s="878"/>
      <c r="J152" s="878"/>
      <c r="K152" s="878"/>
      <c r="L152" s="878"/>
      <c r="M152" s="878"/>
      <c r="N152" s="878"/>
      <c r="O152" s="878"/>
      <c r="P152" s="878"/>
      <c r="Q152" s="878"/>
      <c r="R152" s="878"/>
      <c r="S152" s="878"/>
      <c r="T152" s="878"/>
      <c r="U152" s="878"/>
      <c r="V152" s="878"/>
      <c r="W152" s="878"/>
      <c r="X152" s="878"/>
      <c r="Y152" s="878"/>
      <c r="Z152" s="878"/>
      <c r="AA152" s="878"/>
      <c r="AB152" s="878"/>
      <c r="AC152" s="878"/>
      <c r="AD152" s="878"/>
      <c r="AE152" s="878"/>
      <c r="AF152" s="878"/>
      <c r="AG152" s="878"/>
      <c r="AH152" s="878"/>
      <c r="AI152" s="878"/>
      <c r="AJ152" s="878"/>
      <c r="AK152" s="878"/>
      <c r="AL152" s="878"/>
      <c r="AM152" s="878"/>
      <c r="AN152" s="878"/>
      <c r="AO152" s="878"/>
      <c r="AP152" s="878"/>
      <c r="AQ152" s="2162"/>
      <c r="AR152" s="2162"/>
      <c r="AS152" s="2162"/>
      <c r="AT152" s="2162"/>
      <c r="AU152" s="2162"/>
    </row>
    <row r="153" spans="1:47" ht="20.25" customHeight="1">
      <c r="A153" s="2162"/>
      <c r="B153" s="878"/>
      <c r="C153" s="878"/>
      <c r="D153" s="878"/>
      <c r="E153" s="878"/>
      <c r="F153" s="4306" t="s">
        <v>182</v>
      </c>
      <c r="G153" s="878" t="str">
        <f>"Is the amount on line 3 more than "&amp;TEXT(AK153,"$0,000")&amp;"?"</f>
        <v>Is the amount on line 3 more than $2,500?</v>
      </c>
      <c r="H153" s="878"/>
      <c r="I153" s="878"/>
      <c r="J153" s="878"/>
      <c r="K153" s="878"/>
      <c r="L153" s="878"/>
      <c r="M153" s="878"/>
      <c r="N153" s="878"/>
      <c r="O153" s="878"/>
      <c r="P153" s="878"/>
      <c r="Q153" s="878"/>
      <c r="R153" s="878"/>
      <c r="S153" s="878"/>
      <c r="T153" s="878"/>
      <c r="U153" s="878"/>
      <c r="V153" s="878"/>
      <c r="W153" s="878"/>
      <c r="X153" s="878"/>
      <c r="Y153" s="878"/>
      <c r="Z153" s="5933"/>
      <c r="AA153" s="5933"/>
      <c r="AB153" s="2468" t="s">
        <v>1489</v>
      </c>
      <c r="AC153" s="878"/>
      <c r="AD153" s="4448" t="s">
        <v>259</v>
      </c>
      <c r="AE153" s="6353" t="str">
        <f>IF(AND(AL139,G158&lt;&gt;""),SUM(AE150,-AK153),"")</f>
        <v/>
      </c>
      <c r="AF153" s="6354"/>
      <c r="AG153" s="6354"/>
      <c r="AH153" s="6354"/>
      <c r="AI153" s="6354"/>
      <c r="AJ153" s="878"/>
      <c r="AK153" s="9682">
        <v>2500</v>
      </c>
      <c r="AL153" s="9682"/>
      <c r="AM153" s="9682"/>
      <c r="AN153" s="9682"/>
      <c r="AO153" s="9682"/>
      <c r="AP153" s="878"/>
      <c r="AQ153" s="2162"/>
      <c r="AR153" s="2162"/>
      <c r="AS153" s="2162"/>
      <c r="AT153" s="2162"/>
      <c r="AU153" s="2162"/>
    </row>
    <row r="154" spans="1:47" ht="6.75" customHeight="1" thickBot="1">
      <c r="A154" s="2162"/>
      <c r="B154" s="878"/>
      <c r="C154" s="878"/>
      <c r="D154" s="878"/>
      <c r="E154" s="878"/>
      <c r="F154" s="878"/>
      <c r="G154" s="878"/>
      <c r="H154" s="878"/>
      <c r="I154" s="878"/>
      <c r="J154" s="878"/>
      <c r="K154" s="878"/>
      <c r="L154" s="878"/>
      <c r="M154" s="878"/>
      <c r="N154" s="878"/>
      <c r="O154" s="878"/>
      <c r="P154" s="878"/>
      <c r="Q154" s="878"/>
      <c r="R154" s="878"/>
      <c r="S154" s="878"/>
      <c r="T154" s="878"/>
      <c r="U154" s="878"/>
      <c r="V154" s="878"/>
      <c r="W154" s="878"/>
      <c r="X154" s="878"/>
      <c r="Y154" s="878"/>
      <c r="Z154" s="878"/>
      <c r="AA154" s="878"/>
      <c r="AB154" s="878"/>
      <c r="AC154" s="878"/>
      <c r="AD154" s="878"/>
      <c r="AE154" s="878"/>
      <c r="AF154" s="878"/>
      <c r="AG154" s="878"/>
      <c r="AH154" s="878"/>
      <c r="AI154" s="878"/>
      <c r="AJ154" s="878"/>
      <c r="AK154" s="878"/>
      <c r="AL154" s="878"/>
      <c r="AM154" s="878"/>
      <c r="AN154" s="878"/>
      <c r="AO154" s="878"/>
      <c r="AP154" s="878"/>
      <c r="AQ154" s="2162"/>
      <c r="AR154" s="2162"/>
      <c r="AS154" s="2162"/>
      <c r="AT154" s="2162"/>
      <c r="AU154" s="2162"/>
    </row>
    <row r="155" spans="1:47" ht="12" customHeight="1" thickBot="1">
      <c r="A155" s="2162"/>
      <c r="B155" s="878"/>
      <c r="C155" s="878"/>
      <c r="D155" s="6985"/>
      <c r="E155" s="6985"/>
      <c r="F155" s="878"/>
      <c r="G155" s="4459" t="str">
        <f>IF(NOT(AL139),"",IF(AE150&gt;AK153,"","X"))</f>
        <v/>
      </c>
      <c r="H155" s="878"/>
      <c r="I155" s="2206" t="s">
        <v>1067</v>
      </c>
      <c r="J155" s="878"/>
      <c r="K155" s="878" t="s">
        <v>4576</v>
      </c>
      <c r="L155" s="878"/>
      <c r="M155" s="878"/>
      <c r="N155" s="878"/>
      <c r="O155" s="878"/>
      <c r="P155" s="878"/>
      <c r="Q155" s="878"/>
      <c r="R155" s="878"/>
      <c r="S155" s="878"/>
      <c r="T155" s="878"/>
      <c r="U155" s="878"/>
      <c r="V155" s="878"/>
      <c r="W155" s="878"/>
      <c r="X155" s="878"/>
      <c r="Y155" s="878"/>
      <c r="Z155" s="878"/>
      <c r="AA155" s="878"/>
      <c r="AB155" s="878"/>
      <c r="AC155" s="878"/>
      <c r="AD155" s="878"/>
      <c r="AE155" s="878"/>
      <c r="AF155" s="878"/>
      <c r="AG155" s="878"/>
      <c r="AH155" s="878"/>
      <c r="AI155" s="878"/>
      <c r="AJ155" s="878"/>
      <c r="AK155" s="878"/>
      <c r="AL155" s="878"/>
      <c r="AM155" s="878"/>
      <c r="AN155" s="878"/>
      <c r="AO155" s="878"/>
      <c r="AP155" s="878"/>
      <c r="AQ155" s="2162"/>
      <c r="AR155" s="2162"/>
      <c r="AS155" s="2162"/>
      <c r="AT155" s="2162"/>
      <c r="AU155" s="2162"/>
    </row>
    <row r="156" spans="1:47" ht="12" customHeight="1">
      <c r="A156" s="2162"/>
      <c r="B156" s="878"/>
      <c r="C156" s="878"/>
      <c r="D156" s="878"/>
      <c r="E156" s="878"/>
      <c r="F156" s="878"/>
      <c r="G156" s="878"/>
      <c r="H156" s="878"/>
      <c r="I156" s="878"/>
      <c r="J156" s="878"/>
      <c r="K156" s="878" t="s">
        <v>4577</v>
      </c>
      <c r="L156" s="878"/>
      <c r="M156" s="878"/>
      <c r="N156" s="878"/>
      <c r="O156" s="878"/>
      <c r="P156" s="878"/>
      <c r="Q156" s="878"/>
      <c r="R156" s="878"/>
      <c r="S156" s="878"/>
      <c r="T156" s="878"/>
      <c r="U156" s="878"/>
      <c r="V156" s="878"/>
      <c r="W156" s="878"/>
      <c r="X156" s="878"/>
      <c r="Y156" s="878"/>
      <c r="Z156" s="878"/>
      <c r="AA156" s="878"/>
      <c r="AB156" s="878"/>
      <c r="AC156" s="878"/>
      <c r="AD156" s="878"/>
      <c r="AE156" s="878"/>
      <c r="AF156" s="878"/>
      <c r="AG156" s="878"/>
      <c r="AH156" s="878"/>
      <c r="AI156" s="878"/>
      <c r="AJ156" s="878"/>
      <c r="AK156" s="878"/>
      <c r="AL156" s="878"/>
      <c r="AM156" s="878"/>
      <c r="AN156" s="878"/>
      <c r="AO156" s="878"/>
      <c r="AP156" s="878"/>
      <c r="AQ156" s="2162"/>
      <c r="AR156" s="2162"/>
      <c r="AS156" s="2162"/>
      <c r="AT156" s="2162"/>
      <c r="AU156" s="2162"/>
    </row>
    <row r="157" spans="1:47" ht="6.75" customHeight="1" thickBot="1">
      <c r="A157" s="2162"/>
      <c r="B157" s="878"/>
      <c r="C157" s="878"/>
      <c r="D157" s="878"/>
      <c r="E157" s="878"/>
      <c r="F157" s="878"/>
      <c r="G157" s="878"/>
      <c r="H157" s="878"/>
      <c r="I157" s="878"/>
      <c r="J157" s="878"/>
      <c r="K157" s="878"/>
      <c r="L157" s="878"/>
      <c r="M157" s="878"/>
      <c r="N157" s="878"/>
      <c r="O157" s="878"/>
      <c r="P157" s="878"/>
      <c r="Q157" s="878"/>
      <c r="R157" s="878"/>
      <c r="S157" s="878"/>
      <c r="T157" s="878"/>
      <c r="U157" s="878"/>
      <c r="V157" s="878"/>
      <c r="W157" s="878"/>
      <c r="X157" s="878"/>
      <c r="Y157" s="878"/>
      <c r="Z157" s="878"/>
      <c r="AA157" s="878"/>
      <c r="AB157" s="878"/>
      <c r="AC157" s="878"/>
      <c r="AD157" s="878"/>
      <c r="AE157" s="878"/>
      <c r="AF157" s="878"/>
      <c r="AG157" s="878"/>
      <c r="AH157" s="878"/>
      <c r="AI157" s="878"/>
      <c r="AJ157" s="878"/>
      <c r="AK157" s="878"/>
      <c r="AL157" s="878"/>
      <c r="AM157" s="878"/>
      <c r="AN157" s="878"/>
      <c r="AO157" s="878"/>
      <c r="AP157" s="878"/>
      <c r="AQ157" s="2162"/>
      <c r="AR157" s="2162"/>
      <c r="AS157" s="2162"/>
      <c r="AT157" s="2162"/>
      <c r="AU157" s="2162"/>
    </row>
    <row r="158" spans="1:47" ht="12" customHeight="1" thickBot="1">
      <c r="A158" s="2162"/>
      <c r="B158" s="878"/>
      <c r="C158" s="878"/>
      <c r="D158" s="6985"/>
      <c r="E158" s="6985"/>
      <c r="F158" s="878"/>
      <c r="G158" s="4459" t="str">
        <f>IF(NOT(AL139),"",IF(AE150&gt;AK153,"X",""))</f>
        <v/>
      </c>
      <c r="H158" s="878"/>
      <c r="I158" s="2206" t="s">
        <v>1069</v>
      </c>
      <c r="J158" s="878"/>
      <c r="K158" s="878" t="str">
        <f>"Subtract "&amp;TEXT(AK153,"$0,000")&amp;" from the amount on line 3."</f>
        <v>Subtract $2,500 from the amount on line 3.</v>
      </c>
      <c r="L158" s="878"/>
      <c r="M158" s="878"/>
      <c r="N158" s="878"/>
      <c r="O158" s="878"/>
      <c r="P158" s="878"/>
      <c r="Q158" s="878"/>
      <c r="R158" s="878"/>
      <c r="S158" s="878"/>
      <c r="T158" s="878"/>
      <c r="U158" s="878"/>
      <c r="V158" s="878"/>
      <c r="W158" s="878"/>
      <c r="X158" s="878"/>
      <c r="Y158" s="878"/>
      <c r="Z158" s="878"/>
      <c r="AA158" s="878"/>
      <c r="AB158" s="878"/>
      <c r="AC158" s="878"/>
      <c r="AD158" s="878"/>
      <c r="AE158" s="878"/>
      <c r="AF158" s="878"/>
      <c r="AG158" s="878"/>
      <c r="AH158" s="878"/>
      <c r="AI158" s="878"/>
      <c r="AJ158" s="878"/>
      <c r="AK158" s="878"/>
      <c r="AL158" s="878"/>
      <c r="AM158" s="878"/>
      <c r="AN158" s="878"/>
      <c r="AO158" s="878"/>
      <c r="AP158" s="878"/>
      <c r="AQ158" s="2162"/>
      <c r="AR158" s="2162"/>
      <c r="AS158" s="2162"/>
      <c r="AT158" s="2162"/>
      <c r="AU158" s="2162"/>
    </row>
    <row r="159" spans="1:47" ht="12" customHeight="1">
      <c r="A159" s="2162"/>
      <c r="B159" s="878"/>
      <c r="C159" s="878"/>
      <c r="D159" s="878"/>
      <c r="E159" s="878"/>
      <c r="F159" s="878"/>
      <c r="G159" s="878"/>
      <c r="H159" s="878"/>
      <c r="I159" s="878"/>
      <c r="J159" s="878"/>
      <c r="K159" s="878" t="s">
        <v>4498</v>
      </c>
      <c r="L159" s="878"/>
      <c r="M159" s="878"/>
      <c r="N159" s="878"/>
      <c r="O159" s="878"/>
      <c r="P159" s="878"/>
      <c r="Q159" s="878"/>
      <c r="R159" s="878"/>
      <c r="S159" s="878"/>
      <c r="T159" s="878"/>
      <c r="U159" s="878"/>
      <c r="V159" s="878"/>
      <c r="W159" s="878"/>
      <c r="X159" s="878"/>
      <c r="Y159" s="878"/>
      <c r="Z159" s="878"/>
      <c r="AA159" s="878"/>
      <c r="AB159" s="878"/>
      <c r="AC159" s="878"/>
      <c r="AD159" s="878"/>
      <c r="AE159" s="878"/>
      <c r="AF159" s="878"/>
      <c r="AG159" s="878"/>
      <c r="AH159" s="878"/>
      <c r="AI159" s="878"/>
      <c r="AJ159" s="878"/>
      <c r="AK159" s="878"/>
      <c r="AL159" s="878"/>
      <c r="AM159" s="878"/>
      <c r="AN159" s="878"/>
      <c r="AO159" s="878"/>
      <c r="AP159" s="878"/>
      <c r="AQ159" s="2162"/>
      <c r="AR159" s="2162"/>
      <c r="AS159" s="2162"/>
      <c r="AT159" s="2162"/>
      <c r="AU159" s="2162"/>
    </row>
    <row r="160" spans="1:47" ht="6" customHeight="1">
      <c r="A160" s="2162"/>
      <c r="B160" s="878"/>
      <c r="C160" s="878"/>
      <c r="D160" s="878"/>
      <c r="E160" s="878"/>
      <c r="F160" s="878"/>
      <c r="G160" s="878"/>
      <c r="H160" s="878"/>
      <c r="I160" s="878"/>
      <c r="J160" s="878"/>
      <c r="K160" s="878"/>
      <c r="L160" s="878"/>
      <c r="M160" s="878"/>
      <c r="N160" s="878"/>
      <c r="O160" s="878"/>
      <c r="P160" s="878"/>
      <c r="Q160" s="878"/>
      <c r="R160" s="878"/>
      <c r="S160" s="878"/>
      <c r="T160" s="878"/>
      <c r="U160" s="878"/>
      <c r="V160" s="878"/>
      <c r="W160" s="878"/>
      <c r="X160" s="878"/>
      <c r="Y160" s="878"/>
      <c r="Z160" s="878"/>
      <c r="AA160" s="878"/>
      <c r="AB160" s="878"/>
      <c r="AC160" s="878"/>
      <c r="AD160" s="878"/>
      <c r="AE160" s="878"/>
      <c r="AF160" s="878"/>
      <c r="AG160" s="878"/>
      <c r="AH160" s="878"/>
      <c r="AI160" s="878"/>
      <c r="AJ160" s="878"/>
      <c r="AK160" s="878"/>
      <c r="AL160" s="878"/>
      <c r="AM160" s="878"/>
      <c r="AN160" s="878"/>
      <c r="AO160" s="878"/>
      <c r="AP160" s="878"/>
      <c r="AQ160" s="2162"/>
      <c r="AR160" s="2162"/>
      <c r="AS160" s="2162"/>
      <c r="AT160" s="2162"/>
      <c r="AU160" s="2162"/>
    </row>
    <row r="161" spans="1:47" ht="20.25" customHeight="1">
      <c r="A161" s="2162"/>
      <c r="B161" s="878"/>
      <c r="C161" s="9682">
        <v>0.15</v>
      </c>
      <c r="D161" s="9682"/>
      <c r="E161" s="878"/>
      <c r="F161" s="4306" t="s">
        <v>198</v>
      </c>
      <c r="G161" s="878" t="str">
        <f>"Multiply the amount on line 4 by "&amp;TEXT(C161,"0%")&amp;" ("&amp;TEXT(C161,"0.00")&amp;") and enter the result"</f>
        <v>Multiply the amount on line 4 by 15% (0.15) and enter the result</v>
      </c>
      <c r="H161" s="878"/>
      <c r="I161" s="878"/>
      <c r="J161" s="878"/>
      <c r="K161" s="878"/>
      <c r="L161" s="878"/>
      <c r="M161" s="878"/>
      <c r="N161" s="878"/>
      <c r="O161" s="878"/>
      <c r="P161" s="878"/>
      <c r="Q161" s="878"/>
      <c r="R161" s="878"/>
      <c r="S161" s="878"/>
      <c r="T161" s="878"/>
      <c r="U161" s="878"/>
      <c r="V161" s="878"/>
      <c r="W161" s="878"/>
      <c r="X161" s="878"/>
      <c r="Y161" s="878"/>
      <c r="Z161" s="878"/>
      <c r="AA161" s="4460"/>
      <c r="AB161" s="4460"/>
      <c r="AC161" s="878"/>
      <c r="AD161" s="878"/>
      <c r="AE161" s="878"/>
      <c r="AF161" s="878"/>
      <c r="AG161" s="878"/>
      <c r="AH161" s="2468" t="s">
        <v>555</v>
      </c>
      <c r="AI161" s="4430"/>
      <c r="AJ161" s="4448" t="s">
        <v>261</v>
      </c>
      <c r="AK161" s="6353" t="str">
        <f>IF(G155&lt;&gt;"",0,IF(AND(AL139,G158&lt;&gt;""),ROUND(C161*AE153,0),""))</f>
        <v/>
      </c>
      <c r="AL161" s="6354"/>
      <c r="AM161" s="6354"/>
      <c r="AN161" s="6354"/>
      <c r="AO161" s="6354"/>
      <c r="AP161" s="878"/>
      <c r="AQ161" s="2162"/>
      <c r="AR161" s="2162"/>
      <c r="AS161" s="2162"/>
      <c r="AT161" s="2162"/>
      <c r="AU161" s="2162"/>
    </row>
    <row r="162" spans="1:47" ht="6" customHeight="1">
      <c r="A162" s="2162"/>
      <c r="B162" s="878"/>
      <c r="C162" s="878"/>
      <c r="D162" s="878"/>
      <c r="E162" s="878"/>
      <c r="F162" s="878"/>
      <c r="G162" s="878"/>
      <c r="H162" s="878"/>
      <c r="I162" s="878"/>
      <c r="J162" s="878"/>
      <c r="K162" s="878"/>
      <c r="L162" s="878"/>
      <c r="M162" s="878"/>
      <c r="N162" s="878"/>
      <c r="O162" s="878"/>
      <c r="P162" s="878"/>
      <c r="Q162" s="878"/>
      <c r="R162" s="878"/>
      <c r="S162" s="878"/>
      <c r="T162" s="878"/>
      <c r="U162" s="878"/>
      <c r="V162" s="878"/>
      <c r="W162" s="878"/>
      <c r="X162" s="878"/>
      <c r="Y162" s="878"/>
      <c r="Z162" s="878"/>
      <c r="AA162" s="878"/>
      <c r="AB162" s="878"/>
      <c r="AC162" s="878"/>
      <c r="AD162" s="878"/>
      <c r="AE162" s="878"/>
      <c r="AF162" s="878"/>
      <c r="AG162" s="878"/>
      <c r="AH162" s="878"/>
      <c r="AI162" s="878"/>
      <c r="AJ162" s="878"/>
      <c r="AK162" s="878"/>
      <c r="AL162" s="878"/>
      <c r="AM162" s="878"/>
      <c r="AN162" s="878"/>
      <c r="AO162" s="878"/>
      <c r="AP162" s="878"/>
      <c r="AQ162" s="2162"/>
      <c r="AR162" s="2162"/>
      <c r="AS162" s="2162"/>
      <c r="AT162" s="2162"/>
      <c r="AU162" s="2162"/>
    </row>
    <row r="163" spans="1:47" ht="12" customHeight="1">
      <c r="A163" s="2162"/>
      <c r="B163" s="878"/>
      <c r="C163" s="878"/>
      <c r="D163" s="878"/>
      <c r="E163" s="878"/>
      <c r="F163" s="4306" t="s">
        <v>202</v>
      </c>
      <c r="G163" s="878" t="str">
        <f>"On line 2 of this worksheet, is the amount "&amp;TEXT(AA163,"$0,000")&amp;" or more?"</f>
        <v>On line 2 of this worksheet, is the amount $4,800 or more?</v>
      </c>
      <c r="H163" s="878"/>
      <c r="I163" s="878"/>
      <c r="J163" s="878"/>
      <c r="K163" s="878"/>
      <c r="L163" s="878"/>
      <c r="M163" s="878"/>
      <c r="N163" s="878"/>
      <c r="O163" s="878"/>
      <c r="P163" s="878"/>
      <c r="Q163" s="878"/>
      <c r="R163" s="878"/>
      <c r="S163" s="878"/>
      <c r="T163" s="878"/>
      <c r="U163" s="878"/>
      <c r="V163" s="878"/>
      <c r="W163" s="878"/>
      <c r="X163" s="878"/>
      <c r="Y163" s="878"/>
      <c r="Z163" s="878"/>
      <c r="AA163" s="9682">
        <f>AG67</f>
        <v>4800</v>
      </c>
      <c r="AB163" s="9682"/>
      <c r="AC163" s="878"/>
      <c r="AD163" s="878"/>
      <c r="AE163" s="878"/>
      <c r="AF163" s="878"/>
      <c r="AG163" s="878"/>
      <c r="AH163" s="878"/>
      <c r="AI163" s="878"/>
      <c r="AJ163" s="878"/>
      <c r="AK163" s="878"/>
      <c r="AL163" s="878"/>
      <c r="AM163" s="878"/>
      <c r="AN163" s="878"/>
      <c r="AO163" s="878"/>
      <c r="AP163" s="878"/>
      <c r="AQ163" s="2162"/>
      <c r="AR163" s="2162"/>
      <c r="AS163" s="2162"/>
      <c r="AT163" s="2162"/>
      <c r="AU163" s="2162"/>
    </row>
    <row r="164" spans="1:47" ht="12" customHeight="1" thickBot="1">
      <c r="A164" s="2162"/>
      <c r="B164" s="878"/>
      <c r="C164" s="878"/>
      <c r="D164" s="878"/>
      <c r="E164" s="878"/>
      <c r="F164" s="878"/>
      <c r="G164" s="878"/>
      <c r="H164" s="878"/>
      <c r="I164" s="878"/>
      <c r="J164" s="878"/>
      <c r="K164" s="878"/>
      <c r="L164" s="878"/>
      <c r="M164" s="878"/>
      <c r="N164" s="878"/>
      <c r="O164" s="878"/>
      <c r="P164" s="878"/>
      <c r="Q164" s="878"/>
      <c r="R164" s="878"/>
      <c r="S164" s="878"/>
      <c r="T164" s="878"/>
      <c r="U164" s="878"/>
      <c r="V164" s="878"/>
      <c r="W164" s="878"/>
      <c r="X164" s="878"/>
      <c r="Y164" s="878"/>
      <c r="Z164" s="878"/>
      <c r="AA164" s="878"/>
      <c r="AB164" s="878"/>
      <c r="AC164" s="878"/>
      <c r="AD164" s="878"/>
      <c r="AE164" s="878"/>
      <c r="AF164" s="878"/>
      <c r="AG164" s="878"/>
      <c r="AH164" s="878"/>
      <c r="AI164" s="878"/>
      <c r="AJ164" s="878"/>
      <c r="AK164" s="878"/>
      <c r="AL164" s="878"/>
      <c r="AM164" s="878"/>
      <c r="AN164" s="878"/>
      <c r="AO164" s="878"/>
      <c r="AP164" s="878"/>
      <c r="AQ164" s="2162"/>
      <c r="AR164" s="2162"/>
      <c r="AS164" s="2162"/>
      <c r="AT164" s="2162"/>
      <c r="AU164" s="2162"/>
    </row>
    <row r="165" spans="1:47" ht="13.5" thickBot="1">
      <c r="A165" s="2162"/>
      <c r="B165" s="878"/>
      <c r="C165" s="9682" t="b">
        <f>(G165&lt;&gt;"")</f>
        <v>0</v>
      </c>
      <c r="D165" s="9682"/>
      <c r="E165" s="9682"/>
      <c r="F165" s="4306"/>
      <c r="G165" s="4459" t="str">
        <f>IF(NOT(AL139),"",IF(AK145&gt;=AA163,"","X"))</f>
        <v/>
      </c>
      <c r="H165" s="878"/>
      <c r="I165" s="2206" t="s">
        <v>1067</v>
      </c>
      <c r="J165" s="878"/>
      <c r="K165" s="878"/>
      <c r="L165" s="878"/>
      <c r="M165" s="878"/>
      <c r="N165" s="878"/>
      <c r="O165" s="878"/>
      <c r="P165" s="878"/>
      <c r="Q165" s="878"/>
      <c r="R165" s="878"/>
      <c r="S165" s="878"/>
      <c r="T165" s="878"/>
      <c r="U165" s="878"/>
      <c r="V165" s="878"/>
      <c r="W165" s="878"/>
      <c r="X165" s="878"/>
      <c r="Y165" s="878"/>
      <c r="Z165" s="878"/>
      <c r="AA165" s="878"/>
      <c r="AB165" s="878"/>
      <c r="AC165" s="878"/>
      <c r="AD165" s="878"/>
      <c r="AE165" s="878"/>
      <c r="AF165" s="878"/>
      <c r="AG165" s="878"/>
      <c r="AH165" s="878"/>
      <c r="AI165" s="878"/>
      <c r="AJ165" s="878"/>
      <c r="AK165" s="878"/>
      <c r="AL165" s="878"/>
      <c r="AM165" s="878"/>
      <c r="AN165" s="878"/>
      <c r="AO165" s="878"/>
      <c r="AP165" s="878"/>
      <c r="AQ165" s="2162"/>
      <c r="AR165" s="2162"/>
      <c r="AS165" s="2162"/>
      <c r="AT165" s="2162"/>
      <c r="AU165" s="2162"/>
    </row>
    <row r="166" spans="1:47" ht="12" customHeight="1">
      <c r="A166" s="2162"/>
      <c r="B166" s="878"/>
      <c r="C166" s="9682" t="b">
        <f>AND(C165,PuertoRicoResident,AK161&lt;AK143)</f>
        <v>0</v>
      </c>
      <c r="D166" s="9682"/>
      <c r="E166" s="9682"/>
      <c r="F166" s="878"/>
      <c r="G166" s="878"/>
      <c r="H166" s="878"/>
      <c r="I166" s="878" t="s">
        <v>4578</v>
      </c>
      <c r="J166" s="878"/>
      <c r="K166" s="878"/>
      <c r="L166" s="878"/>
      <c r="M166" s="878"/>
      <c r="N166" s="878"/>
      <c r="O166" s="878"/>
      <c r="P166" s="878"/>
      <c r="Q166" s="878"/>
      <c r="R166" s="878"/>
      <c r="S166" s="878"/>
      <c r="T166" s="878"/>
      <c r="U166" s="878"/>
      <c r="V166" s="878"/>
      <c r="W166" s="878"/>
      <c r="X166" s="878"/>
      <c r="Y166" s="878"/>
      <c r="Z166" s="878"/>
      <c r="AA166" s="878"/>
      <c r="AB166" s="878"/>
      <c r="AC166" s="878"/>
      <c r="AD166" s="878"/>
      <c r="AE166" s="878"/>
      <c r="AF166" s="878"/>
      <c r="AG166" s="878"/>
      <c r="AH166" s="878"/>
      <c r="AI166" s="878"/>
      <c r="AJ166" s="878"/>
      <c r="AK166" s="878"/>
      <c r="AL166" s="878"/>
      <c r="AM166" s="878"/>
      <c r="AN166" s="878"/>
      <c r="AO166" s="878"/>
      <c r="AP166" s="878"/>
      <c r="AQ166" s="2162"/>
      <c r="AR166" s="2162"/>
      <c r="AS166" s="2584"/>
      <c r="AT166" s="2162"/>
      <c r="AU166" s="2162"/>
    </row>
    <row r="167" spans="1:47" ht="12" customHeight="1">
      <c r="A167" s="2162"/>
      <c r="B167" s="878"/>
      <c r="C167" s="4460"/>
      <c r="D167" s="4460"/>
      <c r="E167" s="4460"/>
      <c r="F167" s="878"/>
      <c r="G167" s="878"/>
      <c r="H167" s="878"/>
      <c r="I167" s="878" t="s">
        <v>4579</v>
      </c>
      <c r="J167" s="878"/>
      <c r="K167" s="878"/>
      <c r="L167" s="878"/>
      <c r="M167" s="878"/>
      <c r="N167" s="878"/>
      <c r="O167" s="878"/>
      <c r="P167" s="878" t="s">
        <v>5559</v>
      </c>
      <c r="Q167" s="878"/>
      <c r="R167" s="878"/>
      <c r="S167" s="878"/>
      <c r="T167" s="878"/>
      <c r="U167" s="878"/>
      <c r="V167" s="878"/>
      <c r="W167" s="878"/>
      <c r="X167" s="878"/>
      <c r="Y167" s="878"/>
      <c r="Z167" s="878"/>
      <c r="AA167" s="878"/>
      <c r="AB167" s="878"/>
      <c r="AC167" s="878"/>
      <c r="AD167" s="878"/>
      <c r="AE167" s="878"/>
      <c r="AF167" s="878"/>
      <c r="AG167" s="878"/>
      <c r="AH167" s="878"/>
      <c r="AI167" s="878"/>
      <c r="AJ167" s="878"/>
      <c r="AK167" s="878"/>
      <c r="AL167" s="878"/>
      <c r="AM167" s="878"/>
      <c r="AN167" s="878"/>
      <c r="AO167" s="878"/>
      <c r="AP167" s="878"/>
      <c r="AQ167" s="2162"/>
      <c r="AR167" s="2162"/>
      <c r="AS167" s="2162"/>
      <c r="AT167" s="2162"/>
      <c r="AU167" s="2162"/>
    </row>
    <row r="168" spans="1:47">
      <c r="A168" s="2162"/>
      <c r="B168" s="878"/>
      <c r="C168" s="4460"/>
      <c r="D168" s="4460"/>
      <c r="E168" s="4460"/>
      <c r="F168" s="4306"/>
      <c r="G168" s="878"/>
      <c r="H168" s="878"/>
      <c r="I168" s="4309" t="s">
        <v>5558</v>
      </c>
      <c r="J168" s="878"/>
      <c r="K168" s="878"/>
      <c r="L168" s="878"/>
      <c r="M168" s="878"/>
      <c r="N168" s="878"/>
      <c r="O168" s="878"/>
      <c r="P168" s="878"/>
      <c r="Q168" s="878"/>
      <c r="R168" s="878"/>
      <c r="S168" s="878"/>
      <c r="T168" s="878"/>
      <c r="U168" s="878"/>
      <c r="V168" s="878"/>
      <c r="W168" s="878"/>
      <c r="X168" s="878"/>
      <c r="Y168" s="878"/>
      <c r="Z168" s="878"/>
      <c r="AA168" s="878"/>
      <c r="AB168" s="878"/>
      <c r="AC168" s="878"/>
      <c r="AD168" s="878"/>
      <c r="AE168" s="878"/>
      <c r="AF168" s="878"/>
      <c r="AG168" s="878"/>
      <c r="AH168" s="878"/>
      <c r="AI168" s="878"/>
      <c r="AJ168" s="878"/>
      <c r="AK168" s="878"/>
      <c r="AL168" s="878"/>
      <c r="AM168" s="878"/>
      <c r="AN168" s="878"/>
      <c r="AO168" s="878"/>
      <c r="AP168" s="878"/>
      <c r="AQ168" s="2162"/>
      <c r="AR168" s="2162"/>
      <c r="AS168" s="2162"/>
      <c r="AT168" s="2162"/>
      <c r="AU168" s="2162"/>
    </row>
    <row r="169" spans="1:47" ht="12" customHeight="1" thickBot="1">
      <c r="A169" s="2162"/>
      <c r="B169" s="878"/>
      <c r="C169" s="4460"/>
      <c r="D169" s="4460"/>
      <c r="E169" s="4460"/>
      <c r="F169" s="878"/>
      <c r="G169" s="878"/>
      <c r="H169" s="878"/>
      <c r="I169" s="878"/>
      <c r="J169" s="878"/>
      <c r="K169" s="878"/>
      <c r="L169" s="878"/>
      <c r="M169" s="878"/>
      <c r="N169" s="878"/>
      <c r="O169" s="878"/>
      <c r="P169" s="878"/>
      <c r="Q169" s="878"/>
      <c r="R169" s="878"/>
      <c r="S169" s="878"/>
      <c r="T169" s="878"/>
      <c r="U169" s="878"/>
      <c r="V169" s="878"/>
      <c r="W169" s="878"/>
      <c r="X169" s="878"/>
      <c r="Y169" s="878"/>
      <c r="Z169" s="878"/>
      <c r="AA169" s="878"/>
      <c r="AB169" s="878"/>
      <c r="AC169" s="878"/>
      <c r="AD169" s="878"/>
      <c r="AE169" s="878"/>
      <c r="AF169" s="878"/>
      <c r="AG169" s="878"/>
      <c r="AH169" s="878"/>
      <c r="AI169" s="878"/>
      <c r="AJ169" s="878"/>
      <c r="AK169" s="878"/>
      <c r="AL169" s="878"/>
      <c r="AM169" s="878"/>
      <c r="AN169" s="878"/>
      <c r="AO169" s="878"/>
      <c r="AP169" s="878"/>
      <c r="AQ169" s="2162"/>
      <c r="AR169" s="2162"/>
      <c r="AS169" s="2162"/>
      <c r="AT169" s="2162"/>
      <c r="AU169" s="2162"/>
    </row>
    <row r="170" spans="1:47" ht="13.5" thickBot="1">
      <c r="A170" s="2162"/>
      <c r="B170" s="878"/>
      <c r="C170" s="9682" t="b">
        <f>(G170&lt;&gt;"")</f>
        <v>0</v>
      </c>
      <c r="D170" s="9682"/>
      <c r="E170" s="9682"/>
      <c r="F170" s="4306"/>
      <c r="G170" s="4459" t="str">
        <f>IF(NOT(AL139),"",IF(AK145&gt;=AA163,"X",""))</f>
        <v/>
      </c>
      <c r="H170" s="878"/>
      <c r="I170" s="2206" t="s">
        <v>1069</v>
      </c>
      <c r="J170" s="878"/>
      <c r="K170" s="878" t="s">
        <v>4580</v>
      </c>
      <c r="L170" s="878"/>
      <c r="M170" s="878"/>
      <c r="N170" s="878"/>
      <c r="O170" s="878"/>
      <c r="P170" s="878"/>
      <c r="Q170" s="878"/>
      <c r="R170" s="878"/>
      <c r="S170" s="878"/>
      <c r="T170" s="878"/>
      <c r="U170" s="878"/>
      <c r="V170" s="878"/>
      <c r="W170" s="878"/>
      <c r="X170" s="878"/>
      <c r="Y170" s="878"/>
      <c r="Z170" s="878"/>
      <c r="AA170" s="878"/>
      <c r="AB170" s="878"/>
      <c r="AC170" s="878"/>
      <c r="AD170" s="878"/>
      <c r="AE170" s="878"/>
      <c r="AF170" s="878"/>
      <c r="AG170" s="878"/>
      <c r="AH170" s="878"/>
      <c r="AI170" s="878"/>
      <c r="AJ170" s="878"/>
      <c r="AK170" s="878"/>
      <c r="AL170" s="878"/>
      <c r="AM170" s="878"/>
      <c r="AN170" s="878"/>
      <c r="AO170" s="878"/>
      <c r="AP170" s="878"/>
      <c r="AQ170" s="2162"/>
      <c r="AR170" s="2162"/>
      <c r="AS170" s="2162"/>
      <c r="AT170" s="2162"/>
      <c r="AU170" s="2162"/>
    </row>
    <row r="171" spans="1:47" ht="12" customHeight="1">
      <c r="A171" s="2162"/>
      <c r="B171" s="878"/>
      <c r="C171" s="9682" t="b">
        <f>AND(C170,AK161&gt;=AK143)</f>
        <v>0</v>
      </c>
      <c r="D171" s="9682"/>
      <c r="E171" s="9682"/>
      <c r="F171" s="878"/>
      <c r="G171" s="878"/>
      <c r="H171" s="878"/>
      <c r="I171" s="878"/>
      <c r="J171" s="878" t="s">
        <v>4581</v>
      </c>
      <c r="K171" s="878"/>
      <c r="L171" s="878"/>
      <c r="M171" s="878"/>
      <c r="N171" s="878"/>
      <c r="O171" s="878"/>
      <c r="P171" s="878"/>
      <c r="Q171" s="878"/>
      <c r="R171" s="878"/>
      <c r="S171" s="878"/>
      <c r="T171" s="878"/>
      <c r="U171" s="878"/>
      <c r="V171" s="878"/>
      <c r="W171" s="878"/>
      <c r="X171" s="878"/>
      <c r="Y171" s="878"/>
      <c r="Z171" s="878"/>
      <c r="AA171" s="878"/>
      <c r="AB171" s="878"/>
      <c r="AC171" s="878"/>
      <c r="AD171" s="878"/>
      <c r="AE171" s="878"/>
      <c r="AF171" s="878"/>
      <c r="AG171" s="878"/>
      <c r="AH171" s="878"/>
      <c r="AI171" s="878"/>
      <c r="AJ171" s="878"/>
      <c r="AK171" s="878"/>
      <c r="AL171" s="878"/>
      <c r="AM171" s="878"/>
      <c r="AN171" s="878"/>
      <c r="AO171" s="878"/>
      <c r="AP171" s="878"/>
      <c r="AQ171" s="2162"/>
      <c r="AR171" s="2162"/>
      <c r="AS171" s="4732"/>
      <c r="AT171" s="2162"/>
      <c r="AU171" s="2162"/>
    </row>
    <row r="172" spans="1:47" ht="6.75" customHeight="1">
      <c r="A172" s="2162"/>
      <c r="B172" s="878"/>
      <c r="C172" s="878"/>
      <c r="D172" s="878"/>
      <c r="E172" s="878"/>
      <c r="F172" s="878"/>
      <c r="G172" s="878"/>
      <c r="H172" s="878"/>
      <c r="I172" s="878"/>
      <c r="J172" s="878"/>
      <c r="K172" s="878"/>
      <c r="L172" s="878"/>
      <c r="M172" s="878"/>
      <c r="N172" s="878"/>
      <c r="O172" s="878"/>
      <c r="P172" s="878"/>
      <c r="Q172" s="878"/>
      <c r="R172" s="878"/>
      <c r="S172" s="878"/>
      <c r="T172" s="878"/>
      <c r="U172" s="878"/>
      <c r="V172" s="878"/>
      <c r="W172" s="878"/>
      <c r="X172" s="878"/>
      <c r="Y172" s="878"/>
      <c r="Z172" s="878"/>
      <c r="AA172" s="878"/>
      <c r="AB172" s="878"/>
      <c r="AC172" s="878"/>
      <c r="AD172" s="878"/>
      <c r="AE172" s="878"/>
      <c r="AF172" s="878"/>
      <c r="AG172" s="878"/>
      <c r="AH172" s="878"/>
      <c r="AI172" s="878"/>
      <c r="AJ172" s="878"/>
      <c r="AK172" s="878"/>
      <c r="AL172" s="878"/>
      <c r="AM172" s="878"/>
      <c r="AN172" s="878"/>
      <c r="AO172" s="878"/>
      <c r="AP172" s="878"/>
      <c r="AQ172" s="2162"/>
      <c r="AR172" s="2162"/>
      <c r="AS172" s="2162"/>
      <c r="AT172" s="2162"/>
      <c r="AU172" s="2162"/>
    </row>
    <row r="173" spans="1:47" ht="18" customHeight="1">
      <c r="A173" s="2162"/>
      <c r="B173" s="5934"/>
      <c r="C173" s="5934"/>
      <c r="D173" s="5934"/>
      <c r="E173" s="5934"/>
      <c r="F173" s="4449" t="s">
        <v>215</v>
      </c>
      <c r="G173" s="1714" t="s">
        <v>5560</v>
      </c>
      <c r="H173" s="878"/>
      <c r="I173" s="878"/>
      <c r="J173" s="878"/>
      <c r="K173" s="878"/>
      <c r="L173" s="878"/>
      <c r="M173" s="878"/>
      <c r="N173" s="878"/>
      <c r="O173" s="878"/>
      <c r="P173" s="878"/>
      <c r="Q173" s="878"/>
      <c r="R173" s="878"/>
      <c r="S173" s="878"/>
      <c r="T173" s="878"/>
      <c r="U173" s="878"/>
      <c r="V173" s="878"/>
      <c r="W173" s="878"/>
      <c r="X173" s="878"/>
      <c r="Y173" s="878"/>
      <c r="Z173" s="878"/>
      <c r="AA173" s="878"/>
      <c r="AB173" s="878"/>
      <c r="AC173" s="878"/>
      <c r="AD173" s="878"/>
      <c r="AE173" s="878"/>
      <c r="AF173" s="878"/>
      <c r="AG173" s="878"/>
      <c r="AH173" s="878"/>
      <c r="AI173" s="878"/>
      <c r="AJ173" s="878"/>
      <c r="AK173" s="878"/>
      <c r="AL173" s="9682" t="b">
        <f>OR(C166,NOT(C171))</f>
        <v>1</v>
      </c>
      <c r="AM173" s="9682"/>
      <c r="AN173" s="9682"/>
      <c r="AO173" s="878"/>
      <c r="AP173" s="878"/>
      <c r="AQ173" s="2162"/>
      <c r="AR173" s="2162"/>
      <c r="AS173" s="2162"/>
      <c r="AT173" s="2162"/>
      <c r="AU173" s="2162"/>
    </row>
    <row r="174" spans="1:47" ht="15">
      <c r="A174" s="2162"/>
      <c r="B174" s="5934"/>
      <c r="C174" s="5934"/>
      <c r="D174" s="5934"/>
      <c r="E174" s="5934"/>
      <c r="F174" s="4449"/>
      <c r="G174" s="4934" t="s">
        <v>4582</v>
      </c>
      <c r="H174" s="878"/>
      <c r="I174" s="878"/>
      <c r="J174" s="878"/>
      <c r="K174" s="878"/>
      <c r="L174" s="878"/>
      <c r="M174" s="878"/>
      <c r="N174" s="878"/>
      <c r="O174" s="878"/>
      <c r="P174" s="878"/>
      <c r="Q174" s="878"/>
      <c r="R174" s="878"/>
      <c r="S174" s="878"/>
      <c r="T174" s="878"/>
      <c r="U174" s="878"/>
      <c r="V174" s="878"/>
      <c r="W174" s="878"/>
      <c r="X174" s="878"/>
      <c r="Y174" s="878"/>
      <c r="Z174" s="878"/>
      <c r="AA174" s="878"/>
      <c r="AB174" s="878"/>
      <c r="AC174" s="878"/>
      <c r="AD174" s="878"/>
      <c r="AE174" s="878"/>
      <c r="AF174" s="878"/>
      <c r="AG174" s="878"/>
      <c r="AH174" s="878"/>
      <c r="AI174" s="878"/>
      <c r="AJ174" s="878"/>
      <c r="AK174" s="878"/>
      <c r="AL174" s="878"/>
      <c r="AM174" s="878"/>
      <c r="AN174" s="878"/>
      <c r="AO174" s="878"/>
      <c r="AP174" s="878"/>
      <c r="AQ174" s="2162"/>
      <c r="AR174" s="2162"/>
      <c r="AS174" s="4732" t="s">
        <v>867</v>
      </c>
      <c r="AT174" s="2162"/>
      <c r="AU174" s="2162"/>
    </row>
    <row r="175" spans="1:47" ht="12" customHeight="1">
      <c r="A175" s="2162"/>
      <c r="B175" s="5934"/>
      <c r="C175" s="5934"/>
      <c r="D175" s="5934"/>
      <c r="E175" s="5934"/>
      <c r="F175" s="878"/>
      <c r="G175" s="878" t="s">
        <v>5561</v>
      </c>
      <c r="H175" s="878"/>
      <c r="I175" s="878"/>
      <c r="J175" s="878"/>
      <c r="K175" s="878"/>
      <c r="L175" s="878"/>
      <c r="M175" s="878"/>
      <c r="N175" s="878"/>
      <c r="O175" s="878"/>
      <c r="P175" s="878"/>
      <c r="Q175" s="878"/>
      <c r="R175" s="878"/>
      <c r="S175" s="878"/>
      <c r="T175" s="878"/>
      <c r="U175" s="878"/>
      <c r="V175" s="878"/>
      <c r="W175" s="878"/>
      <c r="X175" s="878"/>
      <c r="Y175" s="878"/>
      <c r="Z175" s="878"/>
      <c r="AA175" s="878"/>
      <c r="AB175" s="2468"/>
      <c r="AC175" s="878"/>
      <c r="AD175" s="9733" t="s">
        <v>266</v>
      </c>
      <c r="AE175" s="9742">
        <f>IF(NOT(AL173),"",IF(NOT(AL176),ROUND(AS175,0),SUM(ROUND(AS177,0),ROUND(AS179,0))))</f>
        <v>0</v>
      </c>
      <c r="AF175" s="9743"/>
      <c r="AG175" s="9743"/>
      <c r="AH175" s="9743"/>
      <c r="AI175" s="9743"/>
      <c r="AJ175" s="878"/>
      <c r="AK175" s="878"/>
      <c r="AL175" s="878"/>
      <c r="AM175" s="878"/>
      <c r="AN175" s="878"/>
      <c r="AO175" s="878"/>
      <c r="AP175" s="878"/>
      <c r="AQ175" s="2162"/>
      <c r="AR175" s="2162"/>
      <c r="AS175" s="4457"/>
      <c r="AT175" s="2162"/>
      <c r="AU175" s="2162"/>
    </row>
    <row r="176" spans="1:47" ht="12" customHeight="1">
      <c r="A176" s="2162"/>
      <c r="B176" s="5934"/>
      <c r="C176" s="5934"/>
      <c r="D176" s="5934"/>
      <c r="E176" s="5934"/>
      <c r="F176" s="878"/>
      <c r="G176" s="878" t="s">
        <v>5562</v>
      </c>
      <c r="H176" s="878"/>
      <c r="I176" s="878"/>
      <c r="J176" s="878"/>
      <c r="K176" s="878"/>
      <c r="L176" s="878"/>
      <c r="M176" s="878"/>
      <c r="N176" s="878"/>
      <c r="O176" s="878"/>
      <c r="P176" s="878"/>
      <c r="Q176" s="878"/>
      <c r="R176" s="878"/>
      <c r="S176" s="878"/>
      <c r="T176" s="878"/>
      <c r="U176" s="878"/>
      <c r="V176" s="878"/>
      <c r="W176" s="878"/>
      <c r="X176" s="878"/>
      <c r="Y176" s="878"/>
      <c r="Z176" s="878"/>
      <c r="AA176" s="878"/>
      <c r="AB176" s="2468" t="s">
        <v>1543</v>
      </c>
      <c r="AC176" s="878"/>
      <c r="AD176" s="9734"/>
      <c r="AE176" s="6382"/>
      <c r="AF176" s="9744"/>
      <c r="AG176" s="9744"/>
      <c r="AH176" s="9744"/>
      <c r="AI176" s="9744"/>
      <c r="AJ176" s="878"/>
      <c r="AK176" s="878"/>
      <c r="AL176" s="9682" t="b">
        <f>AND(AL139,C171,AL173,PuertoRicoResident)</f>
        <v>0</v>
      </c>
      <c r="AM176" s="9682"/>
      <c r="AN176" s="9682"/>
      <c r="AO176" s="878"/>
      <c r="AP176" s="878"/>
      <c r="AQ176" s="2162"/>
      <c r="AR176" s="2162"/>
      <c r="AS176" s="4446" t="str">
        <f>IF($AL$176,"PR From 499-R2/W-2PR, box 21","")</f>
        <v/>
      </c>
      <c r="AT176" s="2162"/>
      <c r="AU176" s="2162"/>
    </row>
    <row r="177" spans="1:47" ht="12" customHeight="1">
      <c r="A177" s="2162"/>
      <c r="B177" s="5934"/>
      <c r="C177" s="5934"/>
      <c r="D177" s="5934"/>
      <c r="E177" s="5934"/>
      <c r="F177" s="878"/>
      <c r="G177" s="4069" t="s">
        <v>691</v>
      </c>
      <c r="H177" s="878" t="s">
        <v>5563</v>
      </c>
      <c r="I177" s="878"/>
      <c r="J177" s="878"/>
      <c r="K177" s="878"/>
      <c r="L177" s="878"/>
      <c r="M177" s="878"/>
      <c r="N177" s="878"/>
      <c r="O177" s="878"/>
      <c r="P177" s="878"/>
      <c r="Q177" s="878"/>
      <c r="R177" s="878"/>
      <c r="S177" s="878"/>
      <c r="T177" s="878"/>
      <c r="U177" s="878"/>
      <c r="V177" s="878"/>
      <c r="W177" s="878"/>
      <c r="X177" s="878"/>
      <c r="Y177" s="878"/>
      <c r="Z177" s="878"/>
      <c r="AA177" s="878"/>
      <c r="AB177" s="878"/>
      <c r="AC177" s="878"/>
      <c r="AD177" s="878"/>
      <c r="AE177" s="878"/>
      <c r="AF177" s="878"/>
      <c r="AG177" s="878"/>
      <c r="AH177" s="878"/>
      <c r="AI177" s="878"/>
      <c r="AJ177" s="878"/>
      <c r="AK177" s="878"/>
      <c r="AL177" s="878"/>
      <c r="AM177" s="878"/>
      <c r="AN177" s="878"/>
      <c r="AO177" s="878"/>
      <c r="AP177" s="878"/>
      <c r="AQ177" s="2162"/>
      <c r="AR177" s="2162"/>
      <c r="AS177" s="5938"/>
      <c r="AT177" s="2162"/>
      <c r="AU177" s="2162"/>
    </row>
    <row r="178" spans="1:47" ht="12" customHeight="1">
      <c r="A178" s="2162"/>
      <c r="B178" s="5934"/>
      <c r="C178" s="5934"/>
      <c r="D178" s="5934"/>
      <c r="E178" s="5934"/>
      <c r="F178" s="878"/>
      <c r="G178" s="4069"/>
      <c r="H178" s="878" t="s">
        <v>5564</v>
      </c>
      <c r="I178" s="878"/>
      <c r="J178" s="878"/>
      <c r="K178" s="878"/>
      <c r="L178" s="878"/>
      <c r="M178" s="878"/>
      <c r="N178" s="878"/>
      <c r="O178" s="878"/>
      <c r="P178" s="878"/>
      <c r="Q178" s="878"/>
      <c r="R178" s="878"/>
      <c r="S178" s="878"/>
      <c r="T178" s="878"/>
      <c r="U178" s="878"/>
      <c r="V178" s="878"/>
      <c r="W178" s="878"/>
      <c r="X178" s="878"/>
      <c r="Y178" s="878"/>
      <c r="Z178" s="878"/>
      <c r="AA178" s="878"/>
      <c r="AB178" s="878"/>
      <c r="AC178" s="878"/>
      <c r="AD178" s="878"/>
      <c r="AE178" s="878"/>
      <c r="AF178" s="878"/>
      <c r="AG178" s="878"/>
      <c r="AH178" s="878"/>
      <c r="AI178" s="878"/>
      <c r="AJ178" s="878"/>
      <c r="AK178" s="878"/>
      <c r="AL178" s="878"/>
      <c r="AM178" s="878"/>
      <c r="AN178" s="878"/>
      <c r="AO178" s="878"/>
      <c r="AP178" s="878"/>
      <c r="AQ178" s="2162"/>
      <c r="AR178" s="2162"/>
      <c r="AS178" s="4446" t="str">
        <f>IF($AL$176,"PR From 499-R2/W-2PR, box 23","")</f>
        <v/>
      </c>
      <c r="AT178" s="2162"/>
      <c r="AU178" s="2162"/>
    </row>
    <row r="179" spans="1:47" ht="12" customHeight="1">
      <c r="A179" s="2162"/>
      <c r="B179" s="5934"/>
      <c r="C179" s="5934"/>
      <c r="D179" s="5934"/>
      <c r="E179" s="5934"/>
      <c r="F179" s="878"/>
      <c r="G179" s="4069" t="s">
        <v>691</v>
      </c>
      <c r="H179" s="878" t="s">
        <v>5566</v>
      </c>
      <c r="I179" s="878"/>
      <c r="J179" s="878"/>
      <c r="K179" s="878"/>
      <c r="L179" s="878"/>
      <c r="M179" s="878"/>
      <c r="N179" s="878"/>
      <c r="O179" s="878"/>
      <c r="P179" s="878"/>
      <c r="Q179" s="878"/>
      <c r="R179" s="878"/>
      <c r="S179" s="878"/>
      <c r="T179" s="878"/>
      <c r="U179" s="878"/>
      <c r="V179" s="878"/>
      <c r="W179" s="878"/>
      <c r="X179" s="878"/>
      <c r="Y179" s="878"/>
      <c r="Z179" s="878"/>
      <c r="AA179" s="878"/>
      <c r="AB179" s="878"/>
      <c r="AC179" s="878"/>
      <c r="AD179" s="878"/>
      <c r="AE179" s="878"/>
      <c r="AF179" s="878"/>
      <c r="AG179" s="878"/>
      <c r="AH179" s="878"/>
      <c r="AI179" s="878"/>
      <c r="AJ179" s="878"/>
      <c r="AK179" s="878"/>
      <c r="AL179" s="878"/>
      <c r="AM179" s="878"/>
      <c r="AN179" s="878"/>
      <c r="AO179" s="878"/>
      <c r="AP179" s="878"/>
      <c r="AQ179" s="2162"/>
      <c r="AR179" s="2162"/>
      <c r="AS179" s="5938"/>
      <c r="AT179" s="2162"/>
      <c r="AU179" s="2162"/>
    </row>
    <row r="180" spans="1:47" ht="12" customHeight="1">
      <c r="A180" s="2162"/>
      <c r="B180" s="5934"/>
      <c r="C180" s="5934"/>
      <c r="D180" s="5934"/>
      <c r="E180" s="5934"/>
      <c r="F180" s="878"/>
      <c r="G180" s="4069"/>
      <c r="H180" s="878" t="s">
        <v>5565</v>
      </c>
      <c r="I180" s="878"/>
      <c r="J180" s="878"/>
      <c r="K180" s="878"/>
      <c r="L180" s="878"/>
      <c r="M180" s="878"/>
      <c r="N180" s="878"/>
      <c r="O180" s="878"/>
      <c r="P180" s="878"/>
      <c r="Q180" s="878"/>
      <c r="R180" s="878"/>
      <c r="S180" s="878"/>
      <c r="T180" s="878"/>
      <c r="U180" s="878"/>
      <c r="V180" s="878"/>
      <c r="W180" s="878"/>
      <c r="X180" s="878"/>
      <c r="Y180" s="878"/>
      <c r="Z180" s="878"/>
      <c r="AA180" s="878"/>
      <c r="AB180" s="878"/>
      <c r="AC180" s="878"/>
      <c r="AD180" s="878"/>
      <c r="AE180" s="878"/>
      <c r="AF180" s="878"/>
      <c r="AG180" s="878"/>
      <c r="AH180" s="878"/>
      <c r="AI180" s="878"/>
      <c r="AJ180" s="878"/>
      <c r="AK180" s="878"/>
      <c r="AL180" s="878"/>
      <c r="AM180" s="878"/>
      <c r="AN180" s="878"/>
      <c r="AO180" s="878"/>
      <c r="AP180" s="878"/>
      <c r="AQ180" s="2162"/>
      <c r="AR180" s="2162"/>
      <c r="AS180" s="2162"/>
      <c r="AT180" s="2162"/>
      <c r="AU180" s="2162"/>
    </row>
    <row r="181" spans="1:47" ht="13.5" customHeight="1">
      <c r="A181" s="2162"/>
      <c r="B181" s="5934"/>
      <c r="C181" s="5934"/>
      <c r="D181" s="5934"/>
      <c r="E181" s="5934"/>
      <c r="F181" s="878"/>
      <c r="G181" s="878"/>
      <c r="H181" s="878"/>
      <c r="I181" s="878"/>
      <c r="J181" s="878"/>
      <c r="K181" s="878"/>
      <c r="L181" s="878"/>
      <c r="M181" s="878"/>
      <c r="N181" s="878"/>
      <c r="O181" s="878"/>
      <c r="P181" s="878"/>
      <c r="Q181" s="878"/>
      <c r="R181" s="878"/>
      <c r="S181" s="878"/>
      <c r="T181" s="878"/>
      <c r="U181" s="878"/>
      <c r="V181" s="878"/>
      <c r="W181" s="878"/>
      <c r="X181" s="878"/>
      <c r="Y181" s="878"/>
      <c r="Z181" s="878"/>
      <c r="AA181" s="878"/>
      <c r="AB181" s="878"/>
      <c r="AC181" s="878"/>
      <c r="AD181" s="878"/>
      <c r="AE181" s="878"/>
      <c r="AF181" s="878"/>
      <c r="AG181" s="878"/>
      <c r="AH181" s="878"/>
      <c r="AI181" s="878"/>
      <c r="AJ181" s="878"/>
      <c r="AK181" s="878"/>
      <c r="AL181" s="878"/>
      <c r="AM181" s="878"/>
      <c r="AN181" s="878"/>
      <c r="AO181" s="878"/>
      <c r="AP181" s="878"/>
      <c r="AQ181" s="2162"/>
      <c r="AR181" s="2162"/>
      <c r="AS181" s="2162"/>
      <c r="AT181" s="2162"/>
      <c r="AU181" s="2162"/>
    </row>
    <row r="182" spans="1:47" ht="6" customHeight="1">
      <c r="A182" s="2162"/>
      <c r="B182" s="5934"/>
      <c r="C182" s="5934"/>
      <c r="D182" s="5934"/>
      <c r="E182" s="5934"/>
      <c r="F182" s="878"/>
      <c r="G182" s="878"/>
      <c r="H182" s="878"/>
      <c r="I182" s="878"/>
      <c r="J182" s="878"/>
      <c r="K182" s="878"/>
      <c r="L182" s="878"/>
      <c r="M182" s="878"/>
      <c r="N182" s="878"/>
      <c r="O182" s="878"/>
      <c r="P182" s="878"/>
      <c r="Q182" s="878"/>
      <c r="R182" s="878"/>
      <c r="S182" s="878"/>
      <c r="T182" s="878"/>
      <c r="U182" s="878"/>
      <c r="V182" s="878"/>
      <c r="W182" s="878"/>
      <c r="X182" s="878"/>
      <c r="Y182" s="878"/>
      <c r="Z182" s="878"/>
      <c r="AA182" s="878"/>
      <c r="AB182" s="878"/>
      <c r="AC182" s="878"/>
      <c r="AD182" s="878"/>
      <c r="AE182" s="878"/>
      <c r="AF182" s="878"/>
      <c r="AG182" s="878"/>
      <c r="AH182" s="878"/>
      <c r="AI182" s="878"/>
      <c r="AJ182" s="878"/>
      <c r="AK182" s="878"/>
      <c r="AL182" s="878"/>
      <c r="AM182" s="878"/>
      <c r="AN182" s="878"/>
      <c r="AO182" s="878"/>
      <c r="AP182" s="878"/>
      <c r="AQ182" s="2162"/>
      <c r="AR182" s="2162"/>
      <c r="AS182" s="2162"/>
      <c r="AT182" s="2162"/>
      <c r="AU182" s="2162"/>
    </row>
    <row r="183" spans="1:47" ht="12" customHeight="1">
      <c r="A183" s="2162"/>
      <c r="B183" s="878"/>
      <c r="C183" s="878"/>
      <c r="D183" s="878"/>
      <c r="E183" s="878"/>
      <c r="F183" s="4449" t="s">
        <v>217</v>
      </c>
      <c r="G183" s="1714" t="s">
        <v>5568</v>
      </c>
      <c r="H183" s="878"/>
      <c r="I183" s="878"/>
      <c r="J183" s="878"/>
      <c r="K183" s="878"/>
      <c r="L183" s="878"/>
      <c r="M183" s="878"/>
      <c r="N183" s="878"/>
      <c r="O183" s="878"/>
      <c r="P183" s="878"/>
      <c r="Q183" s="878"/>
      <c r="R183" s="878"/>
      <c r="S183" s="878"/>
      <c r="T183" s="878"/>
      <c r="U183" s="878"/>
      <c r="V183" s="878"/>
      <c r="W183" s="878"/>
      <c r="X183" s="878"/>
      <c r="Y183" s="878"/>
      <c r="Z183" s="878"/>
      <c r="AA183" s="878"/>
      <c r="AB183" s="878"/>
      <c r="AC183" s="878"/>
      <c r="AD183" s="878"/>
      <c r="AE183" s="878"/>
      <c r="AF183" s="878"/>
      <c r="AG183" s="878"/>
      <c r="AH183" s="878"/>
      <c r="AI183" s="878"/>
      <c r="AJ183" s="878"/>
      <c r="AK183" s="878"/>
      <c r="AL183" s="878"/>
      <c r="AM183" s="878"/>
      <c r="AN183" s="878"/>
      <c r="AO183" s="878"/>
      <c r="AP183" s="878"/>
      <c r="AQ183" s="2162"/>
      <c r="AR183" s="2162"/>
      <c r="AS183" s="2162"/>
      <c r="AT183" s="2162"/>
      <c r="AU183" s="2162"/>
    </row>
    <row r="184" spans="1:47" ht="12" customHeight="1">
      <c r="A184" s="2162"/>
      <c r="B184" s="878"/>
      <c r="C184" s="878"/>
      <c r="D184" s="878"/>
      <c r="E184" s="878"/>
      <c r="F184" s="878"/>
      <c r="G184" s="4069" t="s">
        <v>691</v>
      </c>
      <c r="H184" s="878" t="s">
        <v>4583</v>
      </c>
      <c r="I184" s="878"/>
      <c r="J184" s="878"/>
      <c r="K184" s="878"/>
      <c r="L184" s="878"/>
      <c r="M184" s="878"/>
      <c r="N184" s="878"/>
      <c r="O184" s="878"/>
      <c r="P184" s="7194">
        <f>IF(NOT(AL173),"",ROUND('Sch. 1'!AC58,0))</f>
        <v>0</v>
      </c>
      <c r="Q184" s="7194"/>
      <c r="R184" s="7194"/>
      <c r="S184" s="7194"/>
      <c r="T184" s="878"/>
      <c r="U184" s="878"/>
      <c r="V184" s="878"/>
      <c r="W184" s="878"/>
      <c r="X184" s="878"/>
      <c r="Y184" s="878"/>
      <c r="Z184" s="878"/>
      <c r="AA184" s="878"/>
      <c r="AB184" s="878"/>
      <c r="AC184" s="878"/>
      <c r="AD184" s="878"/>
      <c r="AE184" s="878"/>
      <c r="AF184" s="878"/>
      <c r="AG184" s="878"/>
      <c r="AH184" s="878"/>
      <c r="AI184" s="878"/>
      <c r="AJ184" s="878"/>
      <c r="AK184" s="878"/>
      <c r="AL184" s="878"/>
      <c r="AM184" s="878"/>
      <c r="AN184" s="878"/>
      <c r="AO184" s="878"/>
      <c r="AP184" s="878"/>
      <c r="AQ184" s="2162"/>
      <c r="AR184" s="2162"/>
      <c r="AS184" s="2162"/>
      <c r="AT184" s="2162"/>
      <c r="AU184" s="2162"/>
    </row>
    <row r="185" spans="1:47" ht="12" customHeight="1">
      <c r="A185" s="2162"/>
      <c r="B185" s="878"/>
      <c r="C185" s="878"/>
      <c r="D185" s="878"/>
      <c r="E185" s="878"/>
      <c r="F185" s="878"/>
      <c r="G185" s="4069" t="s">
        <v>691</v>
      </c>
      <c r="H185" s="878" t="s">
        <v>4584</v>
      </c>
      <c r="I185" s="878"/>
      <c r="J185" s="878"/>
      <c r="K185" s="878"/>
      <c r="L185" s="878"/>
      <c r="M185" s="878"/>
      <c r="N185" s="878"/>
      <c r="O185" s="878"/>
      <c r="P185" s="7194">
        <f>IF(NOT(AL173),"",'Sch. 2'!AN17)</f>
        <v>0</v>
      </c>
      <c r="Q185" s="7194"/>
      <c r="R185" s="7194"/>
      <c r="S185" s="7194"/>
      <c r="T185" s="878"/>
      <c r="U185" s="878"/>
      <c r="V185" s="878"/>
      <c r="W185" s="878"/>
      <c r="X185" s="878"/>
      <c r="Y185" s="878"/>
      <c r="Z185" s="878"/>
      <c r="AA185" s="878"/>
      <c r="AB185" s="2468"/>
      <c r="AC185" s="878"/>
      <c r="AD185" s="9733" t="s">
        <v>268</v>
      </c>
      <c r="AE185" s="9735">
        <f>IF(NOT(AL173),"",SUM(P184:S187))</f>
        <v>0</v>
      </c>
      <c r="AF185" s="9736"/>
      <c r="AG185" s="9736"/>
      <c r="AH185" s="9736"/>
      <c r="AI185" s="9736"/>
      <c r="AJ185" s="878"/>
      <c r="AK185" s="878"/>
      <c r="AL185" s="878"/>
      <c r="AM185" s="878"/>
      <c r="AN185" s="878"/>
      <c r="AO185" s="878"/>
      <c r="AP185" s="878"/>
      <c r="AQ185" s="2162"/>
      <c r="AR185" s="2162"/>
      <c r="AS185" s="2162"/>
      <c r="AT185" s="2162"/>
      <c r="AU185" s="2162"/>
    </row>
    <row r="186" spans="1:47" ht="12" customHeight="1">
      <c r="A186" s="2162"/>
      <c r="B186" s="878"/>
      <c r="C186" s="878"/>
      <c r="D186" s="878"/>
      <c r="E186" s="878"/>
      <c r="F186" s="878"/>
      <c r="G186" s="4069" t="s">
        <v>691</v>
      </c>
      <c r="H186" s="878" t="s">
        <v>4585</v>
      </c>
      <c r="I186" s="878"/>
      <c r="J186" s="878"/>
      <c r="K186" s="878"/>
      <c r="L186" s="878"/>
      <c r="M186" s="878"/>
      <c r="N186" s="878"/>
      <c r="O186" s="878"/>
      <c r="P186" s="7194">
        <f>IF(NOT(AL173),"",'Sch. 2'!AN19)</f>
        <v>0</v>
      </c>
      <c r="Q186" s="7194"/>
      <c r="R186" s="7194"/>
      <c r="S186" s="7194"/>
      <c r="T186" s="878"/>
      <c r="U186" s="878"/>
      <c r="V186" s="878"/>
      <c r="W186" s="878"/>
      <c r="X186" s="878"/>
      <c r="Y186" s="878"/>
      <c r="Z186" s="878"/>
      <c r="AA186" s="878"/>
      <c r="AB186" s="2468" t="s">
        <v>1171</v>
      </c>
      <c r="AC186" s="878"/>
      <c r="AD186" s="9734"/>
      <c r="AE186" s="7193"/>
      <c r="AF186" s="7194"/>
      <c r="AG186" s="7194"/>
      <c r="AH186" s="7194"/>
      <c r="AI186" s="7194"/>
      <c r="AJ186" s="878"/>
      <c r="AK186" s="878"/>
      <c r="AL186" s="878"/>
      <c r="AM186" s="878"/>
      <c r="AN186" s="878"/>
      <c r="AO186" s="878"/>
      <c r="AP186" s="878"/>
      <c r="AQ186" s="2162"/>
      <c r="AR186" s="2162"/>
      <c r="AS186" s="2162"/>
      <c r="AT186" s="2162"/>
      <c r="AU186" s="2162"/>
    </row>
    <row r="187" spans="1:47" ht="12" customHeight="1">
      <c r="A187" s="2162"/>
      <c r="B187" s="878"/>
      <c r="C187" s="878"/>
      <c r="D187" s="878"/>
      <c r="E187" s="878"/>
      <c r="F187" s="4306"/>
      <c r="G187" s="4069" t="s">
        <v>691</v>
      </c>
      <c r="H187" s="878" t="s">
        <v>4586</v>
      </c>
      <c r="I187" s="878"/>
      <c r="J187" s="878"/>
      <c r="K187" s="878"/>
      <c r="L187" s="878"/>
      <c r="M187" s="878"/>
      <c r="N187" s="878"/>
      <c r="O187" s="878"/>
      <c r="P187" s="7194">
        <f>IF(NOT(AL173),"",'Sch. 2'!AN28)</f>
        <v>0</v>
      </c>
      <c r="Q187" s="7194"/>
      <c r="R187" s="7194"/>
      <c r="S187" s="7194"/>
      <c r="T187" s="878"/>
      <c r="U187" s="878"/>
      <c r="V187" s="878"/>
      <c r="W187" s="878"/>
      <c r="X187" s="878"/>
      <c r="Y187" s="878"/>
      <c r="Z187" s="878"/>
      <c r="AA187" s="878"/>
      <c r="AB187" s="878"/>
      <c r="AC187" s="878"/>
      <c r="AD187" s="878"/>
      <c r="AE187" s="878"/>
      <c r="AF187" s="878"/>
      <c r="AG187" s="878"/>
      <c r="AH187" s="878"/>
      <c r="AI187" s="878"/>
      <c r="AJ187" s="878"/>
      <c r="AK187" s="878"/>
      <c r="AL187" s="878"/>
      <c r="AM187" s="878"/>
      <c r="AN187" s="878"/>
      <c r="AO187" s="878"/>
      <c r="AP187" s="878"/>
      <c r="AQ187" s="2162"/>
      <c r="AR187" s="2162"/>
      <c r="AS187" s="2162"/>
      <c r="AT187" s="2162"/>
      <c r="AU187" s="2162"/>
    </row>
    <row r="188" spans="1:47" ht="6" customHeight="1">
      <c r="A188" s="2162"/>
      <c r="B188" s="878"/>
      <c r="C188" s="878"/>
      <c r="D188" s="878"/>
      <c r="E188" s="878"/>
      <c r="F188" s="878"/>
      <c r="G188" s="878"/>
      <c r="H188" s="878"/>
      <c r="I188" s="878"/>
      <c r="J188" s="878"/>
      <c r="K188" s="878"/>
      <c r="L188" s="878"/>
      <c r="M188" s="878"/>
      <c r="N188" s="878"/>
      <c r="O188" s="878"/>
      <c r="P188" s="878"/>
      <c r="Q188" s="878"/>
      <c r="R188" s="878"/>
      <c r="S188" s="878"/>
      <c r="T188" s="878"/>
      <c r="U188" s="878"/>
      <c r="V188" s="878"/>
      <c r="W188" s="878"/>
      <c r="X188" s="878"/>
      <c r="Y188" s="878"/>
      <c r="Z188" s="878"/>
      <c r="AA188" s="878"/>
      <c r="AB188" s="878"/>
      <c r="AC188" s="878"/>
      <c r="AD188" s="878"/>
      <c r="AE188" s="878"/>
      <c r="AF188" s="878"/>
      <c r="AG188" s="878"/>
      <c r="AH188" s="878"/>
      <c r="AI188" s="878"/>
      <c r="AJ188" s="878"/>
      <c r="AK188" s="878"/>
      <c r="AL188" s="878"/>
      <c r="AM188" s="878"/>
      <c r="AN188" s="878"/>
      <c r="AO188" s="878"/>
      <c r="AP188" s="878"/>
      <c r="AQ188" s="2162"/>
      <c r="AR188" s="2162"/>
      <c r="AS188" s="2162"/>
      <c r="AT188" s="2162"/>
      <c r="AU188" s="2162"/>
    </row>
    <row r="189" spans="1:47" ht="20.25" customHeight="1">
      <c r="A189" s="2162"/>
      <c r="B189" s="878"/>
      <c r="C189" s="878"/>
      <c r="D189" s="878"/>
      <c r="E189" s="878"/>
      <c r="F189" s="4306" t="s">
        <v>222</v>
      </c>
      <c r="G189" s="878" t="s">
        <v>5569</v>
      </c>
      <c r="H189" s="878"/>
      <c r="I189" s="878"/>
      <c r="J189" s="878"/>
      <c r="K189" s="878"/>
      <c r="L189" s="878"/>
      <c r="M189" s="878"/>
      <c r="N189" s="878"/>
      <c r="O189" s="878"/>
      <c r="P189" s="878"/>
      <c r="Q189" s="878"/>
      <c r="R189" s="878"/>
      <c r="S189" s="878"/>
      <c r="T189" s="878"/>
      <c r="U189" s="878"/>
      <c r="V189" s="878"/>
      <c r="W189" s="878"/>
      <c r="X189" s="878"/>
      <c r="Y189" s="878"/>
      <c r="Z189" s="878"/>
      <c r="AA189" s="878"/>
      <c r="AB189" s="878"/>
      <c r="AC189" s="878"/>
      <c r="AD189" s="878"/>
      <c r="AE189" s="878"/>
      <c r="AF189" s="878"/>
      <c r="AG189" s="878"/>
      <c r="AH189" s="2468" t="s">
        <v>1554</v>
      </c>
      <c r="AI189" s="4430"/>
      <c r="AJ189" s="4448" t="s">
        <v>407</v>
      </c>
      <c r="AK189" s="9738">
        <f>IF(NOT(AL173),"",SUM(AE175,AE185))</f>
        <v>0</v>
      </c>
      <c r="AL189" s="9739"/>
      <c r="AM189" s="9739"/>
      <c r="AN189" s="9739"/>
      <c r="AO189" s="9739"/>
      <c r="AP189" s="878"/>
      <c r="AQ189" s="2162"/>
      <c r="AR189" s="2162"/>
      <c r="AS189" s="2162"/>
      <c r="AT189" s="2162"/>
      <c r="AU189" s="2162"/>
    </row>
    <row r="190" spans="1:47" ht="6" customHeight="1">
      <c r="A190" s="2162"/>
      <c r="B190" s="878"/>
      <c r="C190" s="878"/>
      <c r="D190" s="878"/>
      <c r="E190" s="878"/>
      <c r="F190" s="878"/>
      <c r="G190" s="878"/>
      <c r="H190" s="878"/>
      <c r="I190" s="878"/>
      <c r="J190" s="878"/>
      <c r="K190" s="878"/>
      <c r="L190" s="878"/>
      <c r="M190" s="878"/>
      <c r="N190" s="878"/>
      <c r="O190" s="878"/>
      <c r="P190" s="878"/>
      <c r="Q190" s="878"/>
      <c r="R190" s="878"/>
      <c r="S190" s="878"/>
      <c r="T190" s="878"/>
      <c r="U190" s="878"/>
      <c r="V190" s="878"/>
      <c r="W190" s="878"/>
      <c r="X190" s="878"/>
      <c r="Y190" s="878"/>
      <c r="Z190" s="878"/>
      <c r="AA190" s="878"/>
      <c r="AB190" s="878"/>
      <c r="AC190" s="878"/>
      <c r="AD190" s="878"/>
      <c r="AE190" s="878"/>
      <c r="AF190" s="878"/>
      <c r="AG190" s="878"/>
      <c r="AH190" s="878"/>
      <c r="AI190" s="878"/>
      <c r="AJ190" s="878"/>
      <c r="AK190" s="878"/>
      <c r="AL190" s="878"/>
      <c r="AM190" s="878"/>
      <c r="AN190" s="878"/>
      <c r="AO190" s="878"/>
      <c r="AP190" s="878"/>
      <c r="AQ190" s="2162"/>
      <c r="AR190" s="2162"/>
      <c r="AS190" s="2162"/>
      <c r="AT190" s="2162"/>
      <c r="AU190" s="2162"/>
    </row>
    <row r="191" spans="1:47" ht="21" customHeight="1">
      <c r="A191" s="2162"/>
      <c r="B191" s="878"/>
      <c r="C191" s="878"/>
      <c r="D191" s="878"/>
      <c r="E191" s="878"/>
      <c r="F191" s="2206" t="s">
        <v>5567</v>
      </c>
      <c r="G191" s="878"/>
      <c r="H191" s="878"/>
      <c r="I191" s="878"/>
      <c r="J191" s="878"/>
      <c r="K191" s="878"/>
      <c r="L191" s="878"/>
      <c r="M191" s="878"/>
      <c r="N191" s="878"/>
      <c r="O191" s="878"/>
      <c r="P191" s="878"/>
      <c r="Q191" s="878"/>
      <c r="R191" s="878"/>
      <c r="S191" s="878"/>
      <c r="T191" s="878"/>
      <c r="U191" s="878"/>
      <c r="V191" s="4452"/>
      <c r="W191" s="878"/>
      <c r="X191" s="878"/>
      <c r="Y191" s="878"/>
      <c r="Z191" s="878"/>
      <c r="AA191" s="878"/>
      <c r="AB191" s="878"/>
      <c r="AC191" s="878"/>
      <c r="AD191" s="878"/>
      <c r="AE191" s="878"/>
      <c r="AF191" s="878"/>
      <c r="AG191" s="878"/>
      <c r="AH191" s="878"/>
      <c r="AI191" s="878"/>
      <c r="AJ191" s="878"/>
      <c r="AK191" s="878"/>
      <c r="AL191" s="878"/>
      <c r="AM191" s="878"/>
      <c r="AN191" s="878"/>
      <c r="AO191" s="878"/>
      <c r="AP191" s="878"/>
      <c r="AQ191" s="2162"/>
      <c r="AR191" s="2162"/>
      <c r="AS191" s="2162"/>
      <c r="AT191" s="2162"/>
      <c r="AU191" s="2162"/>
    </row>
    <row r="192" spans="1:47" ht="18.75" customHeight="1">
      <c r="A192" s="2162"/>
      <c r="B192" s="878"/>
      <c r="C192" s="878"/>
      <c r="D192" s="878"/>
      <c r="E192" s="878"/>
      <c r="F192" s="878"/>
      <c r="G192" s="878"/>
      <c r="H192" s="878"/>
      <c r="I192" s="878"/>
      <c r="J192" s="878"/>
      <c r="K192" s="878"/>
      <c r="L192" s="878"/>
      <c r="M192" s="878"/>
      <c r="N192" s="878"/>
      <c r="O192" s="878"/>
      <c r="P192" s="878"/>
      <c r="Q192" s="878"/>
      <c r="R192" s="878"/>
      <c r="S192" s="878"/>
      <c r="T192" s="878"/>
      <c r="U192" s="878"/>
      <c r="V192" s="4452" t="s">
        <v>4587</v>
      </c>
      <c r="W192" s="878"/>
      <c r="X192" s="878"/>
      <c r="Y192" s="878"/>
      <c r="Z192" s="878"/>
      <c r="AA192" s="878"/>
      <c r="AB192" s="878"/>
      <c r="AC192" s="878"/>
      <c r="AD192" s="878"/>
      <c r="AE192" s="878"/>
      <c r="AF192" s="878"/>
      <c r="AG192" s="878"/>
      <c r="AH192" s="878"/>
      <c r="AI192" s="878"/>
      <c r="AJ192" s="878"/>
      <c r="AK192" s="878"/>
      <c r="AL192" s="878"/>
      <c r="AM192" s="878"/>
      <c r="AN192" s="878"/>
      <c r="AO192" s="878"/>
      <c r="AP192" s="878"/>
      <c r="AQ192" s="2162"/>
      <c r="AR192" s="2162"/>
      <c r="AS192" s="2162"/>
      <c r="AT192" s="2162"/>
      <c r="AU192" s="2162"/>
    </row>
    <row r="193" spans="1:47" ht="12" customHeight="1">
      <c r="A193" s="2162"/>
      <c r="B193" s="1138"/>
      <c r="C193" s="1138"/>
      <c r="D193" s="1138"/>
      <c r="E193" s="1138"/>
      <c r="F193" s="1138"/>
      <c r="G193" s="1138"/>
      <c r="H193" s="1138"/>
      <c r="I193" s="1138"/>
      <c r="J193" s="1138"/>
      <c r="K193" s="1138"/>
      <c r="L193" s="1138"/>
      <c r="M193" s="1138"/>
      <c r="N193" s="1138"/>
      <c r="O193" s="1138"/>
      <c r="P193" s="1138"/>
      <c r="Q193" s="1138"/>
      <c r="R193" s="1138"/>
      <c r="S193" s="1138"/>
      <c r="T193" s="1138"/>
      <c r="U193" s="1138"/>
      <c r="V193" s="1138"/>
      <c r="W193" s="1138"/>
      <c r="X193" s="1138"/>
      <c r="Y193" s="1138"/>
      <c r="Z193" s="1138"/>
      <c r="AA193" s="1138"/>
      <c r="AB193" s="1138"/>
      <c r="AC193" s="1138"/>
      <c r="AD193" s="1138"/>
      <c r="AE193" s="1138"/>
      <c r="AF193" s="1138"/>
      <c r="AG193" s="1138"/>
      <c r="AH193" s="1138"/>
      <c r="AI193" s="1138"/>
      <c r="AJ193" s="1138"/>
      <c r="AK193" s="1138"/>
      <c r="AL193" s="1138"/>
      <c r="AM193" s="1138"/>
      <c r="AN193" s="1138"/>
      <c r="AO193" s="1138"/>
      <c r="AP193" s="1138"/>
      <c r="AQ193" s="2162"/>
      <c r="AR193" s="2162"/>
      <c r="AS193" s="2162"/>
      <c r="AT193" s="2162"/>
      <c r="AU193" s="2162"/>
    </row>
    <row r="194" spans="1:47" ht="6.75" customHeight="1">
      <c r="A194" s="2162"/>
      <c r="B194" s="2145"/>
      <c r="C194" s="2145"/>
      <c r="D194" s="2145"/>
      <c r="E194" s="2145"/>
      <c r="F194" s="2145"/>
      <c r="G194" s="2145"/>
      <c r="H194" s="2145"/>
      <c r="I194" s="2145"/>
      <c r="J194" s="2145"/>
      <c r="K194" s="2145"/>
      <c r="L194" s="2145"/>
      <c r="M194" s="2145"/>
      <c r="N194" s="2145"/>
      <c r="O194" s="2145"/>
      <c r="P194" s="2145"/>
      <c r="Q194" s="2145"/>
      <c r="R194" s="2145"/>
      <c r="S194" s="2145"/>
      <c r="T194" s="2145"/>
      <c r="U194" s="2145"/>
      <c r="V194" s="2145"/>
      <c r="W194" s="2145"/>
      <c r="X194" s="2145"/>
      <c r="Y194" s="2145"/>
      <c r="Z194" s="2145"/>
      <c r="AA194" s="2145"/>
      <c r="AB194" s="2145"/>
      <c r="AC194" s="2145"/>
      <c r="AD194" s="2145"/>
      <c r="AE194" s="2145"/>
      <c r="AF194" s="2145"/>
      <c r="AG194" s="2145"/>
      <c r="AH194" s="2145"/>
      <c r="AI194" s="2145"/>
      <c r="AJ194" s="2145"/>
      <c r="AK194" s="2145"/>
      <c r="AL194" s="2145"/>
      <c r="AM194" s="2145"/>
      <c r="AN194" s="2145"/>
      <c r="AO194" s="2145"/>
      <c r="AP194" s="2145"/>
      <c r="AQ194" s="2162"/>
      <c r="AR194" s="2162"/>
      <c r="AS194" s="2162"/>
      <c r="AT194" s="2162"/>
      <c r="AU194" s="2162"/>
    </row>
    <row r="195" spans="1:47" ht="21.75" customHeight="1" thickBot="1">
      <c r="A195" s="2162"/>
      <c r="B195" s="878"/>
      <c r="C195" s="4450" t="s">
        <v>5570</v>
      </c>
      <c r="D195" s="878"/>
      <c r="E195" s="878"/>
      <c r="F195" s="878"/>
      <c r="G195" s="878"/>
      <c r="H195" s="878"/>
      <c r="I195" s="878"/>
      <c r="J195" s="878"/>
      <c r="K195" s="878"/>
      <c r="L195" s="878"/>
      <c r="M195" s="878"/>
      <c r="N195" s="878"/>
      <c r="O195" s="878"/>
      <c r="P195" s="878"/>
      <c r="Q195" s="878"/>
      <c r="R195" s="878"/>
      <c r="S195" s="878"/>
      <c r="T195" s="878"/>
      <c r="U195" s="878"/>
      <c r="V195" s="878"/>
      <c r="W195" s="878"/>
      <c r="X195" s="878"/>
      <c r="Y195" s="878"/>
      <c r="Z195" s="878"/>
      <c r="AA195" s="878"/>
      <c r="AB195" s="878"/>
      <c r="AC195" s="878"/>
      <c r="AD195" s="878"/>
      <c r="AE195" s="878"/>
      <c r="AF195" s="878"/>
      <c r="AG195" s="878"/>
      <c r="AH195" s="878"/>
      <c r="AI195" s="878"/>
      <c r="AJ195" s="878"/>
      <c r="AK195" s="878"/>
      <c r="AL195" s="878"/>
      <c r="AM195" s="878"/>
      <c r="AN195" s="878"/>
      <c r="AO195" s="878"/>
      <c r="AP195" s="878"/>
      <c r="AQ195" s="2162"/>
      <c r="AR195" s="2162"/>
      <c r="AS195" s="2162"/>
      <c r="AT195" s="2162"/>
      <c r="AU195" s="2162"/>
    </row>
    <row r="196" spans="1:47" ht="10.5" customHeight="1" thickTop="1">
      <c r="A196" s="2162"/>
      <c r="B196" s="878"/>
      <c r="C196" s="4451"/>
      <c r="D196" s="4413"/>
      <c r="E196" s="4413"/>
      <c r="F196" s="4413"/>
      <c r="G196" s="4413"/>
      <c r="H196" s="4413"/>
      <c r="I196" s="4413"/>
      <c r="J196" s="4413"/>
      <c r="K196" s="4413"/>
      <c r="L196" s="4413"/>
      <c r="M196" s="4413"/>
      <c r="N196" s="4413"/>
      <c r="O196" s="4413"/>
      <c r="P196" s="4413"/>
      <c r="Q196" s="4413"/>
      <c r="R196" s="4413"/>
      <c r="S196" s="4413"/>
      <c r="T196" s="4413"/>
      <c r="U196" s="4413"/>
      <c r="V196" s="4413"/>
      <c r="W196" s="4413"/>
      <c r="X196" s="4413"/>
      <c r="Y196" s="4413"/>
      <c r="Z196" s="4413"/>
      <c r="AA196" s="4413"/>
      <c r="AB196" s="4413"/>
      <c r="AC196" s="4413"/>
      <c r="AD196" s="4413"/>
      <c r="AE196" s="4413"/>
      <c r="AF196" s="4413"/>
      <c r="AG196" s="4413"/>
      <c r="AH196" s="4413"/>
      <c r="AI196" s="4413"/>
      <c r="AJ196" s="4413"/>
      <c r="AK196" s="4413"/>
      <c r="AL196" s="4413"/>
      <c r="AM196" s="4413"/>
      <c r="AN196" s="4413"/>
      <c r="AO196" s="4413"/>
      <c r="AP196" s="878"/>
      <c r="AQ196" s="2162"/>
      <c r="AR196" s="2162"/>
      <c r="AS196" s="2162"/>
      <c r="AT196" s="2162"/>
      <c r="AU196" s="2162"/>
    </row>
    <row r="197" spans="1:47">
      <c r="A197" s="2162"/>
      <c r="B197" s="878"/>
      <c r="C197" s="878"/>
      <c r="D197" s="878"/>
      <c r="E197" s="878"/>
      <c r="F197" s="4449" t="s">
        <v>227</v>
      </c>
      <c r="G197" s="1714" t="s">
        <v>4588</v>
      </c>
      <c r="H197" s="878"/>
      <c r="I197" s="878"/>
      <c r="J197" s="878"/>
      <c r="K197" s="878"/>
      <c r="L197" s="878"/>
      <c r="M197" s="878"/>
      <c r="N197" s="878"/>
      <c r="O197" s="878"/>
      <c r="P197" s="878"/>
      <c r="Q197" s="878"/>
      <c r="R197" s="878"/>
      <c r="S197" s="878"/>
      <c r="T197" s="878"/>
      <c r="U197" s="878"/>
      <c r="V197" s="878"/>
      <c r="W197" s="878"/>
      <c r="X197" s="878"/>
      <c r="Y197" s="878"/>
      <c r="Z197" s="878"/>
      <c r="AA197" s="878"/>
      <c r="AB197" s="878"/>
      <c r="AC197" s="878"/>
      <c r="AD197" s="878"/>
      <c r="AE197" s="878"/>
      <c r="AF197" s="878"/>
      <c r="AG197" s="878"/>
      <c r="AH197" s="878"/>
      <c r="AI197" s="878"/>
      <c r="AJ197" s="878"/>
      <c r="AK197" s="878"/>
      <c r="AL197" s="878"/>
      <c r="AM197" s="878"/>
      <c r="AN197" s="878"/>
      <c r="AO197" s="878"/>
      <c r="AP197" s="878"/>
      <c r="AQ197" s="2162"/>
      <c r="AR197" s="2162"/>
      <c r="AS197" s="2162"/>
      <c r="AT197" s="2162"/>
      <c r="AU197" s="2162"/>
    </row>
    <row r="198" spans="1:47">
      <c r="A198" s="2162"/>
      <c r="B198" s="878"/>
      <c r="C198" s="878"/>
      <c r="D198" s="878"/>
      <c r="E198" s="878"/>
      <c r="F198" s="4449"/>
      <c r="G198" s="1714" t="s">
        <v>4589</v>
      </c>
      <c r="H198" s="878"/>
      <c r="I198" s="878"/>
      <c r="J198" s="878"/>
      <c r="K198" s="878"/>
      <c r="L198" s="878"/>
      <c r="M198" s="878"/>
      <c r="N198" s="878"/>
      <c r="O198" s="878"/>
      <c r="P198" s="878"/>
      <c r="Q198" s="878"/>
      <c r="R198" s="878"/>
      <c r="S198" s="878"/>
      <c r="T198" s="878"/>
      <c r="U198" s="878"/>
      <c r="V198" s="878"/>
      <c r="W198" s="878"/>
      <c r="X198" s="878"/>
      <c r="Y198" s="878"/>
      <c r="Z198" s="878"/>
      <c r="AA198" s="878"/>
      <c r="AB198" s="878"/>
      <c r="AC198" s="878"/>
      <c r="AD198" s="9740" t="s">
        <v>270</v>
      </c>
      <c r="AE198" s="9742">
        <f>IF(NOT(AL173),"",SUM('1040'!Z87,'Sch. 3'!AC43))</f>
        <v>0</v>
      </c>
      <c r="AF198" s="9743"/>
      <c r="AG198" s="9743"/>
      <c r="AH198" s="9743"/>
      <c r="AI198" s="9743"/>
      <c r="AJ198" s="878"/>
      <c r="AK198" s="878"/>
      <c r="AL198" s="878"/>
      <c r="AM198" s="878"/>
      <c r="AN198" s="878"/>
      <c r="AO198" s="878"/>
      <c r="AP198" s="878"/>
      <c r="AQ198" s="2162"/>
      <c r="AR198" s="2162"/>
      <c r="AS198" s="2162"/>
      <c r="AT198" s="2162"/>
      <c r="AU198" s="2162"/>
    </row>
    <row r="199" spans="1:47">
      <c r="A199" s="2162"/>
      <c r="B199" s="878"/>
      <c r="C199" s="878"/>
      <c r="D199" s="878"/>
      <c r="E199" s="878"/>
      <c r="F199" s="4449"/>
      <c r="G199" s="1714" t="s">
        <v>4590</v>
      </c>
      <c r="H199" s="878"/>
      <c r="I199" s="878"/>
      <c r="J199" s="878"/>
      <c r="K199" s="878"/>
      <c r="L199" s="878"/>
      <c r="M199" s="878"/>
      <c r="N199" s="878"/>
      <c r="O199" s="878"/>
      <c r="P199" s="878"/>
      <c r="Q199" s="878"/>
      <c r="R199" s="878"/>
      <c r="S199" s="878"/>
      <c r="T199" s="878"/>
      <c r="U199" s="878"/>
      <c r="V199" s="878"/>
      <c r="W199" s="878"/>
      <c r="X199" s="878"/>
      <c r="Y199" s="878"/>
      <c r="Z199" s="878"/>
      <c r="AA199" s="878"/>
      <c r="AB199" s="2468" t="s">
        <v>4134</v>
      </c>
      <c r="AC199" s="878"/>
      <c r="AD199" s="9741"/>
      <c r="AE199" s="6382"/>
      <c r="AF199" s="9744"/>
      <c r="AG199" s="9744"/>
      <c r="AH199" s="9744"/>
      <c r="AI199" s="9744"/>
      <c r="AJ199" s="878"/>
      <c r="AK199" s="878"/>
      <c r="AL199" s="878"/>
      <c r="AM199" s="878"/>
      <c r="AN199" s="878"/>
      <c r="AO199" s="878"/>
      <c r="AP199" s="878"/>
      <c r="AQ199" s="2162"/>
      <c r="AR199" s="2162"/>
      <c r="AS199" s="2162"/>
      <c r="AT199" s="2162"/>
      <c r="AU199" s="2162"/>
    </row>
    <row r="200" spans="1:47">
      <c r="A200" s="2162"/>
      <c r="B200" s="878"/>
      <c r="C200" s="878"/>
      <c r="D200" s="878"/>
      <c r="E200" s="878"/>
      <c r="F200" s="4449"/>
      <c r="G200" s="1714" t="s">
        <v>4591</v>
      </c>
      <c r="H200" s="878"/>
      <c r="I200" s="878"/>
      <c r="J200" s="878"/>
      <c r="K200" s="878"/>
      <c r="L200" s="878"/>
      <c r="M200" s="878"/>
      <c r="N200" s="878"/>
      <c r="O200" s="878"/>
      <c r="P200" s="878"/>
      <c r="Q200" s="878"/>
      <c r="R200" s="878"/>
      <c r="S200" s="878"/>
      <c r="T200" s="878"/>
      <c r="U200" s="878"/>
      <c r="V200" s="878"/>
      <c r="W200" s="878"/>
      <c r="X200" s="878"/>
      <c r="Y200" s="878"/>
      <c r="Z200" s="878"/>
      <c r="AA200" s="878"/>
      <c r="AB200" s="878"/>
      <c r="AC200" s="878"/>
      <c r="AD200" s="878"/>
      <c r="AE200" s="878"/>
      <c r="AF200" s="878"/>
      <c r="AG200" s="878"/>
      <c r="AH200" s="878"/>
      <c r="AI200" s="878"/>
      <c r="AJ200" s="878"/>
      <c r="AK200" s="878"/>
      <c r="AL200" s="878"/>
      <c r="AM200" s="878"/>
      <c r="AN200" s="878"/>
      <c r="AO200" s="878"/>
      <c r="AP200" s="878"/>
      <c r="AQ200" s="2162"/>
      <c r="AR200" s="2162"/>
      <c r="AS200" s="2162"/>
      <c r="AT200" s="2162"/>
      <c r="AU200" s="2162"/>
    </row>
    <row r="201" spans="1:47">
      <c r="A201" s="2162"/>
      <c r="B201" s="878"/>
      <c r="C201" s="878"/>
      <c r="D201" s="878"/>
      <c r="E201" s="878"/>
      <c r="F201" s="4449"/>
      <c r="G201" s="1714" t="s">
        <v>4590</v>
      </c>
      <c r="H201" s="878"/>
      <c r="I201" s="878"/>
      <c r="J201" s="878"/>
      <c r="K201" s="878"/>
      <c r="L201" s="878"/>
      <c r="M201" s="878"/>
      <c r="N201" s="878"/>
      <c r="O201" s="878"/>
      <c r="P201" s="878"/>
      <c r="Q201" s="878"/>
      <c r="R201" s="878"/>
      <c r="S201" s="878"/>
      <c r="T201" s="878"/>
      <c r="U201" s="878"/>
      <c r="V201" s="878"/>
      <c r="W201" s="5936"/>
      <c r="X201" s="5936"/>
      <c r="Y201" s="5936"/>
      <c r="Z201" s="5936"/>
      <c r="AA201" s="5936"/>
      <c r="AB201" s="5936"/>
      <c r="AC201" s="5936"/>
      <c r="AD201" s="5936"/>
      <c r="AE201" s="5936"/>
      <c r="AF201" s="5936"/>
      <c r="AG201" s="5936"/>
      <c r="AH201" s="5936"/>
      <c r="AI201" s="878"/>
      <c r="AJ201" s="878"/>
      <c r="AK201" s="878"/>
      <c r="AL201" s="878"/>
      <c r="AM201" s="878"/>
      <c r="AN201" s="878"/>
      <c r="AO201" s="878"/>
      <c r="AP201" s="878"/>
      <c r="AQ201" s="2162"/>
      <c r="AR201" s="2162"/>
      <c r="AS201" s="2162"/>
      <c r="AT201" s="2162"/>
      <c r="AU201" s="2162"/>
    </row>
    <row r="202" spans="1:47" ht="6" customHeight="1">
      <c r="A202" s="2162"/>
      <c r="B202" s="878"/>
      <c r="C202" s="878"/>
      <c r="D202" s="878"/>
      <c r="E202" s="878"/>
      <c r="F202" s="878"/>
      <c r="G202" s="878"/>
      <c r="H202" s="878"/>
      <c r="I202" s="878"/>
      <c r="J202" s="878"/>
      <c r="K202" s="878"/>
      <c r="L202" s="878"/>
      <c r="M202" s="878"/>
      <c r="N202" s="878"/>
      <c r="O202" s="878"/>
      <c r="P202" s="878"/>
      <c r="Q202" s="878"/>
      <c r="R202" s="878"/>
      <c r="S202" s="878"/>
      <c r="T202" s="878"/>
      <c r="U202" s="878"/>
      <c r="V202" s="878"/>
      <c r="W202" s="5936"/>
      <c r="X202" s="5936"/>
      <c r="Y202" s="5936"/>
      <c r="Z202" s="5936"/>
      <c r="AA202" s="5936"/>
      <c r="AB202" s="5936"/>
      <c r="AC202" s="5936"/>
      <c r="AD202" s="5936"/>
      <c r="AE202" s="5936"/>
      <c r="AF202" s="5936"/>
      <c r="AG202" s="5936"/>
      <c r="AH202" s="5936"/>
      <c r="AI202" s="878"/>
      <c r="AJ202" s="878"/>
      <c r="AK202" s="878"/>
      <c r="AL202" s="878"/>
      <c r="AM202" s="878"/>
      <c r="AN202" s="878"/>
      <c r="AO202" s="878"/>
      <c r="AP202" s="878"/>
      <c r="AQ202" s="2162"/>
      <c r="AR202" s="2162"/>
      <c r="AS202" s="2162"/>
      <c r="AT202" s="2162"/>
      <c r="AU202" s="2162"/>
    </row>
    <row r="203" spans="1:47" ht="15.75" customHeight="1">
      <c r="A203" s="2162"/>
      <c r="B203" s="878"/>
      <c r="C203" s="878"/>
      <c r="D203" s="878"/>
      <c r="E203" s="878"/>
      <c r="F203" s="4306" t="s">
        <v>229</v>
      </c>
      <c r="G203" s="878" t="s">
        <v>5571</v>
      </c>
      <c r="H203" s="878"/>
      <c r="I203" s="878"/>
      <c r="J203" s="878"/>
      <c r="K203" s="878"/>
      <c r="L203" s="878"/>
      <c r="M203" s="878"/>
      <c r="N203" s="878"/>
      <c r="O203" s="878"/>
      <c r="P203" s="878"/>
      <c r="Q203" s="878"/>
      <c r="R203" s="878"/>
      <c r="S203" s="878"/>
      <c r="T203" s="878"/>
      <c r="U203" s="878"/>
      <c r="V203" s="878"/>
      <c r="W203" s="5936"/>
      <c r="X203" s="5936"/>
      <c r="Y203" s="5936"/>
      <c r="Z203" s="5936"/>
      <c r="AA203" s="5936"/>
      <c r="AB203" s="5936"/>
      <c r="AC203" s="5936"/>
      <c r="AD203" s="5936"/>
      <c r="AE203" s="5936"/>
      <c r="AF203" s="5936"/>
      <c r="AG203" s="5936"/>
      <c r="AH203" s="5935" t="s">
        <v>1489</v>
      </c>
      <c r="AI203" s="878"/>
      <c r="AJ203" s="4448" t="s">
        <v>272</v>
      </c>
      <c r="AK203" s="6353" t="str">
        <f>IF(NOT(C110),"",IF(C166,0,IF(C171,0,SUM(AK189,-AE198))))</f>
        <v/>
      </c>
      <c r="AL203" s="6354"/>
      <c r="AM203" s="6354"/>
      <c r="AN203" s="6354"/>
      <c r="AO203" s="6354"/>
      <c r="AP203" s="878"/>
      <c r="AQ203" s="2162"/>
      <c r="AR203" s="2162"/>
      <c r="AS203" s="2162"/>
      <c r="AT203" s="2162"/>
      <c r="AU203" s="2162"/>
    </row>
    <row r="204" spans="1:47" ht="8.25" customHeight="1">
      <c r="A204" s="2162"/>
      <c r="B204" s="878"/>
      <c r="C204" s="878"/>
      <c r="D204" s="878"/>
      <c r="E204" s="878"/>
      <c r="F204" s="878"/>
      <c r="G204" s="878"/>
      <c r="H204" s="878"/>
      <c r="I204" s="878"/>
      <c r="J204" s="878"/>
      <c r="K204" s="878"/>
      <c r="L204" s="878"/>
      <c r="M204" s="878"/>
      <c r="N204" s="878"/>
      <c r="O204" s="878"/>
      <c r="P204" s="878"/>
      <c r="Q204" s="878"/>
      <c r="R204" s="878"/>
      <c r="S204" s="878"/>
      <c r="T204" s="878"/>
      <c r="U204" s="878"/>
      <c r="V204" s="878"/>
      <c r="W204" s="5936"/>
      <c r="X204" s="5936"/>
      <c r="Y204" s="5936"/>
      <c r="Z204" s="5936"/>
      <c r="AA204" s="5936"/>
      <c r="AB204" s="5936"/>
      <c r="AC204" s="5936"/>
      <c r="AD204" s="5936"/>
      <c r="AE204" s="5936"/>
      <c r="AF204" s="5936"/>
      <c r="AG204" s="5936"/>
      <c r="AH204" s="5936"/>
      <c r="AI204" s="878"/>
      <c r="AJ204" s="878"/>
      <c r="AK204" s="878"/>
      <c r="AL204" s="878"/>
      <c r="AM204" s="878"/>
      <c r="AN204" s="878"/>
      <c r="AO204" s="878"/>
      <c r="AP204" s="878"/>
      <c r="AQ204" s="2162"/>
      <c r="AR204" s="2162"/>
      <c r="AS204" s="2162"/>
      <c r="AT204" s="2162"/>
      <c r="AU204" s="2162"/>
    </row>
    <row r="205" spans="1:47" ht="15.75" customHeight="1">
      <c r="A205" s="2162"/>
      <c r="B205" s="878"/>
      <c r="C205" s="878"/>
      <c r="D205" s="878"/>
      <c r="E205" s="878"/>
      <c r="F205" s="4306" t="s">
        <v>1605</v>
      </c>
      <c r="G205" s="878" t="s">
        <v>5572</v>
      </c>
      <c r="H205" s="878"/>
      <c r="I205" s="878"/>
      <c r="J205" s="878"/>
      <c r="K205" s="878"/>
      <c r="L205" s="878"/>
      <c r="M205" s="878"/>
      <c r="N205" s="878"/>
      <c r="O205" s="878"/>
      <c r="P205" s="878"/>
      <c r="Q205" s="878"/>
      <c r="R205" s="878"/>
      <c r="S205" s="878"/>
      <c r="T205" s="878"/>
      <c r="U205" s="878"/>
      <c r="V205" s="878"/>
      <c r="W205" s="5936"/>
      <c r="X205" s="5936"/>
      <c r="Y205" s="5936"/>
      <c r="Z205" s="5936"/>
      <c r="AA205" s="5936"/>
      <c r="AB205" s="5936"/>
      <c r="AC205" s="5936"/>
      <c r="AD205" s="5936"/>
      <c r="AE205" s="5936"/>
      <c r="AF205" s="5936"/>
      <c r="AG205" s="5936"/>
      <c r="AH205" s="2468" t="s">
        <v>1554</v>
      </c>
      <c r="AI205" s="878"/>
      <c r="AJ205" s="4448" t="s">
        <v>1155</v>
      </c>
      <c r="AK205" s="6353" t="str">
        <f>IF(NOT(C110),"",MAX(AK161,AK203))</f>
        <v/>
      </c>
      <c r="AL205" s="6354"/>
      <c r="AM205" s="6354"/>
      <c r="AN205" s="6354"/>
      <c r="AO205" s="6354"/>
      <c r="AP205" s="878"/>
      <c r="AQ205" s="2162"/>
      <c r="AR205" s="2162"/>
      <c r="AS205" s="2162"/>
      <c r="AT205" s="2162"/>
      <c r="AU205" s="2162"/>
    </row>
    <row r="206" spans="1:47" ht="8.25" customHeight="1">
      <c r="A206" s="2162"/>
      <c r="B206" s="878"/>
      <c r="C206" s="878"/>
      <c r="D206" s="878"/>
      <c r="E206" s="878"/>
      <c r="F206" s="878"/>
      <c r="G206" s="878"/>
      <c r="H206" s="878"/>
      <c r="I206" s="878"/>
      <c r="J206" s="878"/>
      <c r="K206" s="878"/>
      <c r="L206" s="878"/>
      <c r="M206" s="878"/>
      <c r="N206" s="878"/>
      <c r="O206" s="878"/>
      <c r="P206" s="4921"/>
      <c r="Q206" s="4921"/>
      <c r="R206" s="4921"/>
      <c r="S206" s="4921"/>
      <c r="T206" s="4921"/>
      <c r="U206" s="4921"/>
      <c r="V206" s="4921"/>
      <c r="W206" s="4921"/>
      <c r="X206" s="4921"/>
      <c r="Y206" s="4921"/>
      <c r="Z206" s="4921"/>
      <c r="AA206" s="4921"/>
      <c r="AB206" s="4921"/>
      <c r="AC206" s="4921"/>
      <c r="AD206" s="4921"/>
      <c r="AE206" s="4921"/>
      <c r="AF206" s="4921"/>
      <c r="AG206" s="4921"/>
      <c r="AH206" s="4921"/>
      <c r="AI206" s="878"/>
      <c r="AJ206" s="878"/>
      <c r="AK206" s="878"/>
      <c r="AL206" s="878"/>
      <c r="AM206" s="878"/>
      <c r="AN206" s="878"/>
      <c r="AO206" s="878"/>
      <c r="AP206" s="878"/>
      <c r="AQ206" s="2162"/>
      <c r="AR206" s="2162"/>
      <c r="AS206" s="2162"/>
      <c r="AT206" s="2162"/>
      <c r="AU206" s="2162"/>
    </row>
    <row r="207" spans="1:47">
      <c r="A207" s="2162"/>
      <c r="B207" s="878"/>
      <c r="C207" s="878"/>
      <c r="D207" s="878"/>
      <c r="E207" s="878"/>
      <c r="F207" s="4306" t="s">
        <v>1607</v>
      </c>
      <c r="G207" s="878" t="s">
        <v>5573</v>
      </c>
      <c r="H207" s="878"/>
      <c r="I207" s="878"/>
      <c r="J207" s="878"/>
      <c r="K207" s="878"/>
      <c r="L207" s="878"/>
      <c r="M207" s="878"/>
      <c r="N207" s="878"/>
      <c r="O207" s="878"/>
      <c r="P207" s="4921"/>
      <c r="Q207" s="4921"/>
      <c r="R207" s="4921"/>
      <c r="S207" s="4921"/>
      <c r="T207" s="4921"/>
      <c r="U207" s="4921"/>
      <c r="V207" s="4921"/>
      <c r="W207" s="4921"/>
      <c r="X207" s="4921"/>
      <c r="Y207" s="4921"/>
      <c r="Z207" s="4921"/>
      <c r="AA207" s="4921"/>
      <c r="AB207" s="4921"/>
      <c r="AC207" s="4921"/>
      <c r="AD207" s="4921"/>
      <c r="AE207" s="4921"/>
      <c r="AF207" s="4921"/>
      <c r="AG207" s="4921"/>
      <c r="AH207" s="2468" t="s">
        <v>1554</v>
      </c>
      <c r="AI207" s="878"/>
      <c r="AJ207" s="4448" t="s">
        <v>280</v>
      </c>
      <c r="AK207" s="6353" t="str">
        <f>IF(NOT(C110),"",MIN(AK145,AK205))</f>
        <v/>
      </c>
      <c r="AL207" s="6354"/>
      <c r="AM207" s="6354"/>
      <c r="AN207" s="6354"/>
      <c r="AO207" s="6354"/>
      <c r="AP207" s="878"/>
      <c r="AQ207" s="2162"/>
      <c r="AR207" s="2162"/>
      <c r="AS207" s="2162"/>
      <c r="AT207" s="2162"/>
      <c r="AU207" s="2162"/>
    </row>
    <row r="208" spans="1:47" ht="8.25" customHeight="1">
      <c r="A208" s="2162"/>
      <c r="B208" s="878"/>
      <c r="C208" s="878"/>
      <c r="D208" s="878"/>
      <c r="E208" s="878"/>
      <c r="F208" s="878"/>
      <c r="G208" s="878"/>
      <c r="H208" s="878"/>
      <c r="I208" s="878"/>
      <c r="J208" s="878"/>
      <c r="K208" s="878"/>
      <c r="L208" s="878"/>
      <c r="M208" s="878"/>
      <c r="N208" s="878"/>
      <c r="O208" s="878"/>
      <c r="P208" s="4921"/>
      <c r="Q208" s="4921"/>
      <c r="R208" s="4921"/>
      <c r="S208" s="4921"/>
      <c r="T208" s="4921"/>
      <c r="U208" s="4921"/>
      <c r="V208" s="4921"/>
      <c r="W208" s="4921"/>
      <c r="X208" s="4921"/>
      <c r="Y208" s="4921"/>
      <c r="Z208" s="4921"/>
      <c r="AA208" s="4921"/>
      <c r="AB208" s="4921"/>
      <c r="AC208" s="4921"/>
      <c r="AD208" s="4921"/>
      <c r="AE208" s="4921"/>
      <c r="AF208" s="4921"/>
      <c r="AG208" s="4921"/>
      <c r="AH208" s="4921"/>
      <c r="AI208" s="878"/>
      <c r="AJ208" s="878"/>
      <c r="AK208" s="878"/>
      <c r="AL208" s="878"/>
      <c r="AM208" s="878"/>
      <c r="AN208" s="878"/>
      <c r="AO208" s="878"/>
      <c r="AP208" s="878"/>
      <c r="AQ208" s="2162"/>
      <c r="AR208" s="2162"/>
      <c r="AS208" s="2162"/>
      <c r="AT208" s="2162"/>
      <c r="AU208" s="2162"/>
    </row>
    <row r="209" spans="1:47" ht="15.75" customHeight="1">
      <c r="A209" s="2162"/>
      <c r="B209" s="878"/>
      <c r="C209" s="878"/>
      <c r="D209" s="878"/>
      <c r="E209" s="878"/>
      <c r="F209" s="4306" t="s">
        <v>1608</v>
      </c>
      <c r="G209" s="878" t="s">
        <v>4592</v>
      </c>
      <c r="H209" s="878"/>
      <c r="I209" s="878"/>
      <c r="J209" s="878"/>
      <c r="K209" s="878"/>
      <c r="L209" s="878"/>
      <c r="M209" s="878"/>
      <c r="N209" s="878"/>
      <c r="O209" s="878"/>
      <c r="P209" s="878"/>
      <c r="Q209" s="878"/>
      <c r="R209" s="878"/>
      <c r="S209" s="878"/>
      <c r="T209" s="878"/>
      <c r="U209" s="878"/>
      <c r="V209" s="878"/>
      <c r="W209" s="878"/>
      <c r="X209" s="878"/>
      <c r="Y209" s="878"/>
      <c r="Z209" s="878"/>
      <c r="AA209" s="878"/>
      <c r="AB209" s="878"/>
      <c r="AC209" s="878"/>
      <c r="AD209" s="878"/>
      <c r="AE209" s="878"/>
      <c r="AF209" s="4921"/>
      <c r="AG209" s="4921"/>
      <c r="AH209" s="2468"/>
      <c r="AI209" s="878"/>
      <c r="AJ209" s="878"/>
      <c r="AK209" s="878"/>
      <c r="AL209" s="878"/>
      <c r="AM209" s="878"/>
      <c r="AN209" s="878"/>
      <c r="AO209" s="878"/>
      <c r="AP209" s="878"/>
      <c r="AQ209" s="2162"/>
      <c r="AR209" s="2162"/>
      <c r="AS209" s="2162"/>
      <c r="AT209" s="2162"/>
      <c r="AU209" s="2162"/>
    </row>
    <row r="210" spans="1:47" ht="6.75" customHeight="1" thickBot="1">
      <c r="A210" s="2162"/>
      <c r="B210" s="878"/>
      <c r="C210" s="878"/>
      <c r="D210" s="878"/>
      <c r="E210" s="878"/>
      <c r="F210" s="878"/>
      <c r="G210" s="878"/>
      <c r="H210" s="878"/>
      <c r="I210" s="878"/>
      <c r="J210" s="878"/>
      <c r="K210" s="878"/>
      <c r="L210" s="878"/>
      <c r="M210" s="878"/>
      <c r="N210" s="878"/>
      <c r="O210" s="878"/>
      <c r="P210" s="878"/>
      <c r="Q210" s="878"/>
      <c r="R210" s="878"/>
      <c r="S210" s="878"/>
      <c r="T210" s="878"/>
      <c r="U210" s="878"/>
      <c r="V210" s="878"/>
      <c r="W210" s="878"/>
      <c r="X210" s="878"/>
      <c r="Y210" s="878"/>
      <c r="Z210" s="878"/>
      <c r="AA210" s="878"/>
      <c r="AB210" s="878"/>
      <c r="AC210" s="878"/>
      <c r="AD210" s="878"/>
      <c r="AE210" s="878"/>
      <c r="AF210" s="878"/>
      <c r="AG210" s="878"/>
      <c r="AH210" s="878"/>
      <c r="AI210" s="878"/>
      <c r="AJ210" s="878"/>
      <c r="AK210" s="878"/>
      <c r="AL210" s="878"/>
      <c r="AM210" s="878"/>
      <c r="AN210" s="878"/>
      <c r="AO210" s="878"/>
      <c r="AP210" s="878"/>
      <c r="AQ210" s="2162"/>
      <c r="AR210" s="2162"/>
      <c r="AS210" s="2162"/>
      <c r="AT210" s="2162"/>
      <c r="AU210" s="2162"/>
    </row>
    <row r="211" spans="1:47" ht="12" customHeight="1" thickBot="1">
      <c r="A211" s="2162"/>
      <c r="B211" s="878"/>
      <c r="C211" s="9682" t="b">
        <f>(G211&lt;&gt;"")</f>
        <v>0</v>
      </c>
      <c r="D211" s="9682"/>
      <c r="E211" s="9682"/>
      <c r="F211" s="878"/>
      <c r="G211" s="4458" t="str">
        <f>IF(OR(NOT(AL139),C166),"",IF(AK207&gt;AK143,"","X"))</f>
        <v/>
      </c>
      <c r="H211" s="878"/>
      <c r="I211" s="2206" t="s">
        <v>1067</v>
      </c>
      <c r="J211" s="878"/>
      <c r="K211" s="878" t="s">
        <v>4593</v>
      </c>
      <c r="L211" s="878"/>
      <c r="M211" s="878"/>
      <c r="N211" s="878"/>
      <c r="O211" s="878"/>
      <c r="P211" s="878"/>
      <c r="Q211" s="878"/>
      <c r="R211" s="878"/>
      <c r="S211" s="878"/>
      <c r="T211" s="878"/>
      <c r="U211" s="878"/>
      <c r="V211" s="878"/>
      <c r="W211" s="878"/>
      <c r="X211" s="878"/>
      <c r="Y211" s="878"/>
      <c r="Z211" s="878"/>
      <c r="AA211" s="878"/>
      <c r="AB211" s="878"/>
      <c r="AC211" s="878"/>
      <c r="AD211" s="878"/>
      <c r="AE211" s="878"/>
      <c r="AF211" s="878"/>
      <c r="AG211" s="878"/>
      <c r="AH211" s="2468" t="s">
        <v>1543</v>
      </c>
      <c r="AI211" s="878"/>
      <c r="AJ211" s="9733" t="s">
        <v>282</v>
      </c>
      <c r="AK211" s="9735" t="str">
        <f>IF(NOT(C110),"",IF(C166,AK143,IF(C211,SUM(AK143,-AK207),0)))</f>
        <v/>
      </c>
      <c r="AL211" s="9736"/>
      <c r="AM211" s="9736"/>
      <c r="AN211" s="9736"/>
      <c r="AO211" s="9736"/>
      <c r="AP211" s="878"/>
      <c r="AQ211" s="2162"/>
      <c r="AR211" s="2162"/>
      <c r="AS211" s="2162"/>
      <c r="AT211" s="2162"/>
      <c r="AU211" s="2162"/>
    </row>
    <row r="212" spans="1:47" ht="6.75" customHeight="1" thickBot="1">
      <c r="A212" s="2162"/>
      <c r="B212" s="878"/>
      <c r="C212" s="878"/>
      <c r="D212" s="878"/>
      <c r="E212" s="878"/>
      <c r="F212" s="878"/>
      <c r="G212" s="878"/>
      <c r="H212" s="878"/>
      <c r="I212" s="878"/>
      <c r="J212" s="878"/>
      <c r="K212" s="878"/>
      <c r="L212" s="878"/>
      <c r="M212" s="878"/>
      <c r="N212" s="878"/>
      <c r="O212" s="878"/>
      <c r="P212" s="878"/>
      <c r="Q212" s="878"/>
      <c r="R212" s="878"/>
      <c r="S212" s="878"/>
      <c r="T212" s="878"/>
      <c r="U212" s="878"/>
      <c r="V212" s="878"/>
      <c r="W212" s="878"/>
      <c r="X212" s="878"/>
      <c r="Y212" s="878"/>
      <c r="Z212" s="878"/>
      <c r="AA212" s="878"/>
      <c r="AB212" s="878"/>
      <c r="AC212" s="878"/>
      <c r="AD212" s="878"/>
      <c r="AE212" s="878"/>
      <c r="AF212" s="878"/>
      <c r="AG212" s="878"/>
      <c r="AH212" s="878"/>
      <c r="AI212" s="878"/>
      <c r="AJ212" s="9734"/>
      <c r="AK212" s="7193"/>
      <c r="AL212" s="7194"/>
      <c r="AM212" s="7194"/>
      <c r="AN212" s="7194"/>
      <c r="AO212" s="7194"/>
      <c r="AP212" s="878"/>
      <c r="AQ212" s="2162"/>
      <c r="AR212" s="2162"/>
      <c r="AS212" s="2162"/>
      <c r="AT212" s="2162"/>
      <c r="AU212" s="2162"/>
    </row>
    <row r="213" spans="1:47" ht="12" customHeight="1" thickBot="1">
      <c r="A213" s="2162"/>
      <c r="B213" s="878"/>
      <c r="C213" s="9682" t="b">
        <f>(G213&lt;&gt;"")</f>
        <v>0</v>
      </c>
      <c r="D213" s="9682"/>
      <c r="E213" s="9682"/>
      <c r="F213" s="878"/>
      <c r="G213" s="4458" t="str">
        <f>IF(OR(NOT(AL139),C166),"",IF(AK207&gt;AK143,"X",""))</f>
        <v/>
      </c>
      <c r="H213" s="878"/>
      <c r="I213" s="2206" t="s">
        <v>1069</v>
      </c>
      <c r="J213" s="878"/>
      <c r="K213" s="878" t="s">
        <v>4594</v>
      </c>
      <c r="L213" s="878"/>
      <c r="M213" s="878"/>
      <c r="N213" s="878"/>
      <c r="O213" s="878"/>
      <c r="P213" s="878"/>
      <c r="Q213" s="878"/>
      <c r="R213" s="878"/>
      <c r="S213" s="878"/>
      <c r="T213" s="878"/>
      <c r="U213" s="878"/>
      <c r="V213" s="878"/>
      <c r="W213" s="878"/>
      <c r="X213" s="878"/>
      <c r="Y213" s="878"/>
      <c r="Z213" s="878"/>
      <c r="AA213" s="878"/>
      <c r="AB213" s="878"/>
      <c r="AC213" s="878"/>
      <c r="AD213" s="878"/>
      <c r="AE213" s="878"/>
      <c r="AF213" s="878"/>
      <c r="AG213" s="878"/>
      <c r="AH213" s="878"/>
      <c r="AI213" s="878"/>
      <c r="AJ213" s="878"/>
      <c r="AK213" s="878"/>
      <c r="AL213" s="878"/>
      <c r="AM213" s="878"/>
      <c r="AN213" s="878"/>
      <c r="AO213" s="878"/>
      <c r="AP213" s="878"/>
      <c r="AQ213" s="2162"/>
      <c r="AR213" s="2162"/>
      <c r="AS213" s="2162"/>
      <c r="AT213" s="2162"/>
      <c r="AU213" s="2162"/>
    </row>
    <row r="214" spans="1:47" ht="6" customHeight="1">
      <c r="A214" s="2162"/>
      <c r="B214" s="878"/>
      <c r="C214" s="878"/>
      <c r="D214" s="878"/>
      <c r="E214" s="878"/>
      <c r="F214" s="878"/>
      <c r="G214" s="1138"/>
      <c r="H214" s="1138"/>
      <c r="I214" s="1138"/>
      <c r="J214" s="1138"/>
      <c r="K214" s="1138"/>
      <c r="L214" s="1138"/>
      <c r="M214" s="1138"/>
      <c r="N214" s="1138"/>
      <c r="O214" s="1138"/>
      <c r="P214" s="1138"/>
      <c r="Q214" s="1138"/>
      <c r="R214" s="1138"/>
      <c r="S214" s="1138"/>
      <c r="T214" s="1138"/>
      <c r="U214" s="1138"/>
      <c r="V214" s="1138"/>
      <c r="W214" s="1138"/>
      <c r="X214" s="1138"/>
      <c r="Y214" s="1138"/>
      <c r="Z214" s="1138"/>
      <c r="AA214" s="1138"/>
      <c r="AB214" s="1138"/>
      <c r="AC214" s="1138"/>
      <c r="AD214" s="1138"/>
      <c r="AE214" s="1138"/>
      <c r="AF214" s="1138"/>
      <c r="AG214" s="1138"/>
      <c r="AH214" s="1138"/>
      <c r="AI214" s="1138"/>
      <c r="AJ214" s="878"/>
      <c r="AK214" s="878"/>
      <c r="AL214" s="878"/>
      <c r="AM214" s="878"/>
      <c r="AN214" s="878"/>
      <c r="AO214" s="878"/>
      <c r="AP214" s="878"/>
      <c r="AQ214" s="2162"/>
      <c r="AR214" s="2162"/>
      <c r="AS214" s="2162"/>
      <c r="AT214" s="2162"/>
      <c r="AU214" s="2162"/>
    </row>
    <row r="215" spans="1:47" ht="6" customHeight="1">
      <c r="A215" s="2162"/>
      <c r="B215" s="878"/>
      <c r="C215" s="878"/>
      <c r="D215" s="878"/>
      <c r="E215" s="878"/>
      <c r="F215" s="878"/>
      <c r="G215" s="878"/>
      <c r="H215" s="878"/>
      <c r="I215" s="878"/>
      <c r="J215" s="878"/>
      <c r="K215" s="878"/>
      <c r="L215" s="878"/>
      <c r="M215" s="878"/>
      <c r="N215" s="878"/>
      <c r="O215" s="878"/>
      <c r="P215" s="878"/>
      <c r="Q215" s="878"/>
      <c r="R215" s="878"/>
      <c r="S215" s="878"/>
      <c r="T215" s="878"/>
      <c r="U215" s="878"/>
      <c r="V215" s="878"/>
      <c r="W215" s="878"/>
      <c r="X215" s="878"/>
      <c r="Y215" s="878"/>
      <c r="Z215" s="878"/>
      <c r="AA215" s="878"/>
      <c r="AB215" s="878"/>
      <c r="AC215" s="878"/>
      <c r="AD215" s="878"/>
      <c r="AE215" s="878"/>
      <c r="AF215" s="878"/>
      <c r="AG215" s="878"/>
      <c r="AH215" s="878"/>
      <c r="AI215" s="878"/>
      <c r="AJ215" s="878"/>
      <c r="AK215" s="878"/>
      <c r="AL215" s="878"/>
      <c r="AM215" s="878"/>
      <c r="AN215" s="878"/>
      <c r="AO215" s="878"/>
      <c r="AP215" s="878"/>
      <c r="AQ215" s="2162"/>
      <c r="AR215" s="2162"/>
      <c r="AS215" s="2162"/>
      <c r="AT215" s="2162"/>
      <c r="AU215" s="2162"/>
    </row>
    <row r="216" spans="1:47">
      <c r="A216" s="2162"/>
      <c r="B216" s="878"/>
      <c r="C216" s="878"/>
      <c r="D216" s="878"/>
      <c r="E216" s="878"/>
      <c r="F216" s="4306"/>
      <c r="G216" s="878" t="s">
        <v>4595</v>
      </c>
      <c r="H216" s="878"/>
      <c r="I216" s="878"/>
      <c r="J216" s="878"/>
      <c r="K216" s="878"/>
      <c r="L216" s="878"/>
      <c r="M216" s="878"/>
      <c r="N216" s="878"/>
      <c r="O216" s="878"/>
      <c r="P216" s="878"/>
      <c r="Q216" s="878"/>
      <c r="R216" s="878"/>
      <c r="S216" s="878"/>
      <c r="T216" s="878"/>
      <c r="U216" s="878"/>
      <c r="V216" s="878"/>
      <c r="W216" s="878"/>
      <c r="X216" s="878"/>
      <c r="Y216" s="878"/>
      <c r="Z216" s="878"/>
      <c r="AA216" s="878"/>
      <c r="AB216" s="878"/>
      <c r="AC216" s="878"/>
      <c r="AD216" s="878"/>
      <c r="AE216" s="878"/>
      <c r="AF216" s="878"/>
      <c r="AG216" s="878"/>
      <c r="AH216" s="878"/>
      <c r="AI216" s="878"/>
      <c r="AJ216" s="878"/>
      <c r="AK216" s="878"/>
      <c r="AL216" s="878"/>
      <c r="AM216" s="878"/>
      <c r="AN216" s="878"/>
      <c r="AO216" s="878"/>
      <c r="AP216" s="878"/>
      <c r="AQ216" s="2162"/>
      <c r="AR216" s="2162"/>
      <c r="AS216" s="2162"/>
      <c r="AT216" s="2162"/>
      <c r="AU216" s="2162"/>
    </row>
    <row r="217" spans="1:47" ht="12.75" customHeight="1">
      <c r="A217" s="2162"/>
      <c r="B217" s="878"/>
      <c r="C217" s="878"/>
      <c r="D217" s="878"/>
      <c r="E217" s="878"/>
      <c r="F217" s="4306"/>
      <c r="G217" s="4069" t="s">
        <v>691</v>
      </c>
      <c r="H217" s="878" t="s">
        <v>4552</v>
      </c>
      <c r="I217" s="878"/>
      <c r="J217" s="878"/>
      <c r="K217" s="878"/>
      <c r="L217" s="878"/>
      <c r="M217" s="878"/>
      <c r="N217" s="878"/>
      <c r="O217" s="878"/>
      <c r="P217" s="878"/>
      <c r="Q217" s="878"/>
      <c r="R217" s="878"/>
      <c r="S217" s="878"/>
      <c r="T217" s="878"/>
      <c r="U217" s="878"/>
      <c r="V217" s="878"/>
      <c r="W217" s="878"/>
      <c r="X217" s="878"/>
      <c r="Y217" s="878"/>
      <c r="Z217" s="878"/>
      <c r="AA217" s="878"/>
      <c r="AB217" s="878"/>
      <c r="AC217" s="878"/>
      <c r="AD217" s="878"/>
      <c r="AE217" s="878"/>
      <c r="AF217" s="878"/>
      <c r="AG217" s="878"/>
      <c r="AH217" s="878"/>
      <c r="AI217" s="878"/>
      <c r="AJ217" s="878"/>
      <c r="AK217" s="878"/>
      <c r="AL217" s="878"/>
      <c r="AM217" s="878"/>
      <c r="AN217" s="878"/>
      <c r="AO217" s="878"/>
      <c r="AP217" s="878"/>
      <c r="AQ217" s="2162"/>
      <c r="AR217" s="2162"/>
      <c r="AS217" s="2162"/>
      <c r="AT217" s="2162"/>
      <c r="AU217" s="2162"/>
    </row>
    <row r="218" spans="1:47" ht="12.75" customHeight="1">
      <c r="A218" s="2162"/>
      <c r="B218" s="878"/>
      <c r="C218" s="878"/>
      <c r="D218" s="878"/>
      <c r="E218" s="878"/>
      <c r="F218" s="4306"/>
      <c r="G218" s="4069" t="s">
        <v>691</v>
      </c>
      <c r="H218" s="878" t="s">
        <v>4553</v>
      </c>
      <c r="I218" s="878"/>
      <c r="J218" s="878"/>
      <c r="K218" s="878"/>
      <c r="L218" s="878"/>
      <c r="M218" s="878"/>
      <c r="N218" s="878"/>
      <c r="O218" s="878"/>
      <c r="P218" s="878"/>
      <c r="Q218" s="878"/>
      <c r="R218" s="878"/>
      <c r="S218" s="878"/>
      <c r="T218" s="878"/>
      <c r="U218" s="878"/>
      <c r="V218" s="878"/>
      <c r="W218" s="878"/>
      <c r="X218" s="878"/>
      <c r="Y218" s="878"/>
      <c r="Z218" s="878"/>
      <c r="AA218" s="878"/>
      <c r="AB218" s="878"/>
      <c r="AC218" s="878"/>
      <c r="AD218" s="878"/>
      <c r="AE218" s="878"/>
      <c r="AF218" s="878"/>
      <c r="AG218" s="878"/>
      <c r="AH218" s="878"/>
      <c r="AI218" s="878"/>
      <c r="AJ218" s="878"/>
      <c r="AK218" s="878"/>
      <c r="AL218" s="878"/>
      <c r="AM218" s="878"/>
      <c r="AN218" s="878"/>
      <c r="AO218" s="878"/>
      <c r="AP218" s="878"/>
      <c r="AQ218" s="2162"/>
      <c r="AR218" s="2162"/>
      <c r="AS218" s="2162"/>
      <c r="AT218" s="2162"/>
      <c r="AU218" s="2162"/>
    </row>
    <row r="219" spans="1:47" ht="12.75" customHeight="1">
      <c r="A219" s="2162"/>
      <c r="B219" s="878"/>
      <c r="C219" s="878"/>
      <c r="D219" s="878"/>
      <c r="E219" s="878"/>
      <c r="F219" s="4306"/>
      <c r="G219" s="4069" t="s">
        <v>691</v>
      </c>
      <c r="H219" s="878" t="s">
        <v>4596</v>
      </c>
      <c r="I219" s="878"/>
      <c r="J219" s="878"/>
      <c r="K219" s="878"/>
      <c r="L219" s="878"/>
      <c r="M219" s="878"/>
      <c r="N219" s="878"/>
      <c r="O219" s="878"/>
      <c r="P219" s="878"/>
      <c r="Q219" s="878"/>
      <c r="R219" s="878"/>
      <c r="S219" s="878"/>
      <c r="T219" s="878"/>
      <c r="U219" s="878"/>
      <c r="V219" s="878"/>
      <c r="W219" s="878"/>
      <c r="X219" s="878"/>
      <c r="Y219" s="878"/>
      <c r="Z219" s="878"/>
      <c r="AA219" s="878"/>
      <c r="AB219" s="878"/>
      <c r="AC219" s="878"/>
      <c r="AD219" s="878"/>
      <c r="AE219" s="878"/>
      <c r="AF219" s="878"/>
      <c r="AG219" s="878"/>
      <c r="AH219" s="878"/>
      <c r="AI219" s="878"/>
      <c r="AJ219" s="878"/>
      <c r="AK219" s="878"/>
      <c r="AL219" s="878"/>
      <c r="AM219" s="878"/>
      <c r="AN219" s="878"/>
      <c r="AO219" s="878"/>
      <c r="AP219" s="878"/>
      <c r="AQ219" s="2162"/>
      <c r="AR219" s="2162"/>
      <c r="AS219" s="2162"/>
      <c r="AT219" s="2162"/>
      <c r="AU219" s="2162"/>
    </row>
    <row r="220" spans="1:47" ht="12.75" customHeight="1">
      <c r="A220" s="2162"/>
      <c r="B220" s="878"/>
      <c r="C220" s="878"/>
      <c r="D220" s="878"/>
      <c r="E220" s="878"/>
      <c r="F220" s="4306"/>
      <c r="G220" s="4069" t="s">
        <v>691</v>
      </c>
      <c r="H220" s="878" t="s">
        <v>4597</v>
      </c>
      <c r="I220" s="878"/>
      <c r="J220" s="878"/>
      <c r="K220" s="878"/>
      <c r="L220" s="878"/>
      <c r="M220" s="878"/>
      <c r="N220" s="878"/>
      <c r="O220" s="878"/>
      <c r="P220" s="878"/>
      <c r="Q220" s="878"/>
      <c r="R220" s="878"/>
      <c r="S220" s="878"/>
      <c r="T220" s="878"/>
      <c r="U220" s="878"/>
      <c r="V220" s="878"/>
      <c r="W220" s="878"/>
      <c r="X220" s="878"/>
      <c r="Y220" s="878"/>
      <c r="Z220" s="878"/>
      <c r="AA220" s="878"/>
      <c r="AB220" s="878"/>
      <c r="AC220" s="878"/>
      <c r="AD220" s="878"/>
      <c r="AE220" s="878"/>
      <c r="AF220" s="878"/>
      <c r="AG220" s="878"/>
      <c r="AH220" s="878"/>
      <c r="AI220" s="878"/>
      <c r="AJ220" s="878"/>
      <c r="AK220" s="878"/>
      <c r="AL220" s="878"/>
      <c r="AM220" s="878"/>
      <c r="AN220" s="878"/>
      <c r="AO220" s="878"/>
      <c r="AP220" s="878"/>
      <c r="AQ220" s="2162"/>
      <c r="AR220" s="2162"/>
      <c r="AS220" s="2162"/>
      <c r="AT220" s="2162"/>
      <c r="AU220" s="2162"/>
    </row>
    <row r="221" spans="1:47" ht="15.75" customHeight="1">
      <c r="A221" s="2162"/>
      <c r="B221" s="878"/>
      <c r="C221" s="878"/>
      <c r="D221" s="878"/>
      <c r="E221" s="878"/>
      <c r="F221" s="4306"/>
      <c r="G221" s="4447" t="s">
        <v>4598</v>
      </c>
      <c r="H221" s="878"/>
      <c r="I221" s="878"/>
      <c r="J221" s="878"/>
      <c r="K221" s="878"/>
      <c r="L221" s="878"/>
      <c r="M221" s="878"/>
      <c r="N221" s="878"/>
      <c r="O221" s="878"/>
      <c r="P221" s="878"/>
      <c r="Q221" s="878"/>
      <c r="R221" s="878"/>
      <c r="S221" s="878"/>
      <c r="T221" s="878"/>
      <c r="U221" s="878"/>
      <c r="V221" s="878"/>
      <c r="W221" s="878"/>
      <c r="X221" s="878"/>
      <c r="Y221" s="878"/>
      <c r="Z221" s="878"/>
      <c r="AA221" s="878"/>
      <c r="AB221" s="878"/>
      <c r="AC221" s="878"/>
      <c r="AD221" s="878"/>
      <c r="AE221" s="878"/>
      <c r="AF221" s="878"/>
      <c r="AG221" s="878"/>
      <c r="AH221" s="878"/>
      <c r="AI221" s="878"/>
      <c r="AJ221" s="878"/>
      <c r="AK221" s="878"/>
      <c r="AL221" s="878"/>
      <c r="AM221" s="878"/>
      <c r="AN221" s="878"/>
      <c r="AO221" s="878"/>
      <c r="AP221" s="878"/>
      <c r="AQ221" s="2162"/>
      <c r="AR221" s="2162"/>
      <c r="AS221" s="2162"/>
      <c r="AT221" s="2162"/>
      <c r="AU221" s="2162"/>
    </row>
    <row r="222" spans="1:47" ht="6" customHeight="1">
      <c r="A222" s="2162"/>
      <c r="B222" s="878"/>
      <c r="C222" s="878"/>
      <c r="D222" s="878"/>
      <c r="E222" s="878"/>
      <c r="F222" s="878"/>
      <c r="G222" s="1138"/>
      <c r="H222" s="1138"/>
      <c r="I222" s="1138"/>
      <c r="J222" s="1138"/>
      <c r="K222" s="1138"/>
      <c r="L222" s="1138"/>
      <c r="M222" s="1138"/>
      <c r="N222" s="1138"/>
      <c r="O222" s="1138"/>
      <c r="P222" s="1138"/>
      <c r="Q222" s="1138"/>
      <c r="R222" s="1138"/>
      <c r="S222" s="1138"/>
      <c r="T222" s="1138"/>
      <c r="U222" s="1138"/>
      <c r="V222" s="1138"/>
      <c r="W222" s="1138"/>
      <c r="X222" s="1138"/>
      <c r="Y222" s="1138"/>
      <c r="Z222" s="1138"/>
      <c r="AA222" s="1138"/>
      <c r="AB222" s="1138"/>
      <c r="AC222" s="1138"/>
      <c r="AD222" s="1138"/>
      <c r="AE222" s="1138"/>
      <c r="AF222" s="1138"/>
      <c r="AG222" s="1138"/>
      <c r="AH222" s="1138"/>
      <c r="AI222" s="1138"/>
      <c r="AJ222" s="878"/>
      <c r="AK222" s="878"/>
      <c r="AL222" s="878"/>
      <c r="AM222" s="878"/>
      <c r="AN222" s="878"/>
      <c r="AO222" s="878"/>
      <c r="AP222" s="878"/>
      <c r="AQ222" s="2162"/>
      <c r="AR222" s="2162"/>
      <c r="AS222" s="2162"/>
      <c r="AT222" s="2162"/>
      <c r="AU222" s="2162"/>
    </row>
    <row r="223" spans="1:47" ht="6" customHeight="1">
      <c r="A223" s="2162"/>
      <c r="B223" s="878"/>
      <c r="C223" s="878"/>
      <c r="D223" s="878"/>
      <c r="E223" s="878"/>
      <c r="F223" s="878"/>
      <c r="G223" s="878"/>
      <c r="H223" s="878"/>
      <c r="I223" s="878"/>
      <c r="J223" s="878"/>
      <c r="K223" s="878"/>
      <c r="L223" s="878"/>
      <c r="M223" s="878"/>
      <c r="N223" s="878"/>
      <c r="O223" s="878"/>
      <c r="P223" s="878"/>
      <c r="Q223" s="878"/>
      <c r="R223" s="878"/>
      <c r="S223" s="878"/>
      <c r="T223" s="878"/>
      <c r="U223" s="878"/>
      <c r="V223" s="878"/>
      <c r="W223" s="878"/>
      <c r="X223" s="878"/>
      <c r="Y223" s="878"/>
      <c r="Z223" s="878"/>
      <c r="AA223" s="878"/>
      <c r="AB223" s="878"/>
      <c r="AC223" s="878"/>
      <c r="AD223" s="878"/>
      <c r="AE223" s="878"/>
      <c r="AF223" s="878"/>
      <c r="AG223" s="878"/>
      <c r="AH223" s="878"/>
      <c r="AI223" s="878"/>
      <c r="AJ223" s="878"/>
      <c r="AK223" s="878"/>
      <c r="AL223" s="878"/>
      <c r="AM223" s="878"/>
      <c r="AN223" s="878"/>
      <c r="AO223" s="878"/>
      <c r="AP223" s="878"/>
      <c r="AQ223" s="2162"/>
      <c r="AR223" s="2162"/>
      <c r="AS223" s="2162"/>
      <c r="AT223" s="2162"/>
      <c r="AU223" s="2162"/>
    </row>
    <row r="224" spans="1:47" ht="15.75" customHeight="1">
      <c r="A224" s="2162"/>
      <c r="B224" s="878"/>
      <c r="C224" s="878"/>
      <c r="D224" s="878"/>
      <c r="E224" s="878"/>
      <c r="F224" s="4306" t="s">
        <v>1610</v>
      </c>
      <c r="G224" s="878" t="s">
        <v>4599</v>
      </c>
      <c r="H224" s="878"/>
      <c r="I224" s="878"/>
      <c r="J224" s="878"/>
      <c r="K224" s="878"/>
      <c r="L224" s="878"/>
      <c r="M224" s="878"/>
      <c r="N224" s="878"/>
      <c r="O224" s="878"/>
      <c r="P224" s="878"/>
      <c r="Q224" s="878"/>
      <c r="R224" s="878"/>
      <c r="S224" s="878"/>
      <c r="T224" s="878"/>
      <c r="U224" s="878"/>
      <c r="V224" s="878"/>
      <c r="W224" s="878"/>
      <c r="X224" s="878"/>
      <c r="Y224" s="878"/>
      <c r="Z224" s="878"/>
      <c r="AA224" s="878"/>
      <c r="AB224" s="878"/>
      <c r="AC224" s="878"/>
      <c r="AD224" s="878"/>
      <c r="AE224" s="878"/>
      <c r="AF224" s="878"/>
      <c r="AG224" s="878"/>
      <c r="AH224" s="878"/>
      <c r="AI224" s="878"/>
      <c r="AJ224" s="878"/>
      <c r="AK224" s="878"/>
      <c r="AL224" s="878"/>
      <c r="AM224" s="878"/>
      <c r="AN224" s="878"/>
      <c r="AO224" s="878"/>
      <c r="AP224" s="878"/>
      <c r="AQ224" s="2162"/>
      <c r="AR224" s="2162"/>
      <c r="AS224" s="4732" t="s">
        <v>867</v>
      </c>
      <c r="AT224" s="2162"/>
      <c r="AU224" s="2162"/>
    </row>
    <row r="225" spans="1:47" ht="13.5" customHeight="1" thickBot="1">
      <c r="A225" s="2162"/>
      <c r="B225" s="878"/>
      <c r="C225" s="878"/>
      <c r="D225" s="878"/>
      <c r="E225" s="9720" t="str">
        <f>IF(F112&lt;&gt;"","→","")</f>
        <v/>
      </c>
      <c r="F225" s="9720"/>
      <c r="G225" s="4069" t="s">
        <v>691</v>
      </c>
      <c r="H225" s="2652" t="s">
        <v>5576</v>
      </c>
      <c r="I225" s="878"/>
      <c r="J225" s="878"/>
      <c r="K225" s="878"/>
      <c r="L225" s="878"/>
      <c r="M225" s="878"/>
      <c r="N225" s="878"/>
      <c r="O225" s="878"/>
      <c r="P225" s="878"/>
      <c r="Q225" s="9811" t="str">
        <f>IF(OR(NOT(C110),'Sch. 3'!AC16=0),"",'Sch. 3'!AC16)</f>
        <v/>
      </c>
      <c r="R225" s="9811"/>
      <c r="S225" s="9811"/>
      <c r="T225" s="9811"/>
      <c r="U225" s="878"/>
      <c r="V225" s="878"/>
      <c r="W225" s="878"/>
      <c r="X225" s="878"/>
      <c r="Y225" s="878"/>
      <c r="Z225" s="878"/>
      <c r="AA225" s="878"/>
      <c r="AB225" s="878"/>
      <c r="AC225" s="878"/>
      <c r="AD225" s="878"/>
      <c r="AE225" s="878"/>
      <c r="AF225" s="878"/>
      <c r="AG225" s="878"/>
      <c r="AH225" s="878"/>
      <c r="AI225" s="878"/>
      <c r="AJ225" s="878"/>
      <c r="AK225" s="878"/>
      <c r="AL225" s="878"/>
      <c r="AM225" s="878"/>
      <c r="AN225" s="878"/>
      <c r="AO225" s="878"/>
      <c r="AP225" s="878"/>
      <c r="AQ225" s="2162"/>
      <c r="AR225" s="2162"/>
      <c r="AS225" s="2162"/>
      <c r="AT225" s="2162"/>
      <c r="AU225" s="2162"/>
    </row>
    <row r="226" spans="1:47" ht="13.5" customHeight="1" thickTop="1">
      <c r="A226" s="2162"/>
      <c r="B226" s="878"/>
      <c r="C226" s="878"/>
      <c r="D226" s="878"/>
      <c r="E226" s="9720" t="str">
        <f>IF(F113&lt;&gt;"","→","")</f>
        <v/>
      </c>
      <c r="F226" s="9720"/>
      <c r="G226" s="4069" t="s">
        <v>691</v>
      </c>
      <c r="H226" s="3250" t="s">
        <v>4600</v>
      </c>
      <c r="I226" s="878"/>
      <c r="J226" s="878"/>
      <c r="K226" s="878"/>
      <c r="L226" s="878"/>
      <c r="M226" s="878"/>
      <c r="N226" s="878"/>
      <c r="O226" s="878"/>
      <c r="P226" s="878"/>
      <c r="Q226" s="9811" t="str">
        <f>IF(OR(NOT(C110),'Sch. 3'!AC21=0),"",'Sch. 3'!AC21)</f>
        <v/>
      </c>
      <c r="R226" s="9811"/>
      <c r="S226" s="9811"/>
      <c r="T226" s="9811"/>
      <c r="U226" s="878"/>
      <c r="V226" s="878"/>
      <c r="W226" s="878"/>
      <c r="X226" s="878"/>
      <c r="Y226" s="878"/>
      <c r="Z226" s="878"/>
      <c r="AA226" s="878"/>
      <c r="AB226" s="878"/>
      <c r="AC226" s="878"/>
      <c r="AD226" s="878"/>
      <c r="AE226" s="878"/>
      <c r="AF226" s="878"/>
      <c r="AG226" s="878"/>
      <c r="AH226" s="2468" t="s">
        <v>1543</v>
      </c>
      <c r="AI226" s="878"/>
      <c r="AJ226" s="9807" t="s">
        <v>286</v>
      </c>
      <c r="AK226" s="9809" t="str">
        <f>IF(AS226&lt;&gt;"",ROUND(AS226,0),IF(NOT(C110),"",SUM(Q225,Q226,Q227,Q228,0)))</f>
        <v/>
      </c>
      <c r="AL226" s="9809"/>
      <c r="AM226" s="9809"/>
      <c r="AN226" s="9809"/>
      <c r="AO226" s="9809"/>
      <c r="AP226" s="878"/>
      <c r="AQ226" s="2162"/>
      <c r="AR226" s="2162"/>
      <c r="AS226" s="9731"/>
      <c r="AT226" s="2162"/>
      <c r="AU226" s="2162"/>
    </row>
    <row r="227" spans="1:47" ht="13.5" customHeight="1" thickBot="1">
      <c r="A227" s="2162"/>
      <c r="B227" s="878"/>
      <c r="C227" s="878"/>
      <c r="D227" s="878"/>
      <c r="E227" s="9720" t="str">
        <f>IF(F114&lt;&gt;"","→","")</f>
        <v/>
      </c>
      <c r="F227" s="9720"/>
      <c r="G227" s="4069" t="s">
        <v>691</v>
      </c>
      <c r="H227" s="3250" t="s">
        <v>5575</v>
      </c>
      <c r="I227" s="878"/>
      <c r="J227" s="878"/>
      <c r="K227" s="878"/>
      <c r="L227" s="878"/>
      <c r="M227" s="878"/>
      <c r="N227" s="878"/>
      <c r="O227" s="878"/>
      <c r="P227" s="878"/>
      <c r="Q227" s="9811" t="str">
        <f>IF(OR(NOT(C110),'Sch. 3'!AC25=0),"",'Sch. 3'!AC25)</f>
        <v/>
      </c>
      <c r="R227" s="9811"/>
      <c r="S227" s="9811"/>
      <c r="T227" s="9811"/>
      <c r="U227" s="878"/>
      <c r="V227" s="878"/>
      <c r="W227" s="878"/>
      <c r="X227" s="878"/>
      <c r="Y227" s="878"/>
      <c r="Z227" s="878"/>
      <c r="AA227" s="878"/>
      <c r="AB227" s="878"/>
      <c r="AC227" s="878"/>
      <c r="AD227" s="878"/>
      <c r="AE227" s="878"/>
      <c r="AF227" s="878"/>
      <c r="AG227" s="878"/>
      <c r="AH227" s="878"/>
      <c r="AI227" s="878"/>
      <c r="AJ227" s="9808"/>
      <c r="AK227" s="9810"/>
      <c r="AL227" s="9810"/>
      <c r="AM227" s="9810"/>
      <c r="AN227" s="9810"/>
      <c r="AO227" s="9810"/>
      <c r="AP227" s="878"/>
      <c r="AQ227" s="2162"/>
      <c r="AR227" s="2162"/>
      <c r="AS227" s="9732"/>
      <c r="AT227" s="2162"/>
      <c r="AU227" s="2162"/>
    </row>
    <row r="228" spans="1:47" ht="13.5" customHeight="1" thickTop="1">
      <c r="A228" s="2162"/>
      <c r="B228" s="878"/>
      <c r="C228" s="878"/>
      <c r="D228" s="878"/>
      <c r="E228" s="9720" t="str">
        <f>IF(F115&lt;&gt;"","→","")</f>
        <v/>
      </c>
      <c r="F228" s="9720"/>
      <c r="G228" s="4935" t="s">
        <v>691</v>
      </c>
      <c r="H228" s="3250" t="s">
        <v>5574</v>
      </c>
      <c r="I228" s="878"/>
      <c r="J228" s="878"/>
      <c r="K228" s="878"/>
      <c r="L228" s="878"/>
      <c r="M228" s="878"/>
      <c r="N228" s="878"/>
      <c r="O228" s="878"/>
      <c r="P228" s="878"/>
      <c r="Q228" s="9811" t="str">
        <f>IF(OR(NOT(C110),'Sch. 3'!AC26=0),"",'Sch. 3'!AC26)</f>
        <v/>
      </c>
      <c r="R228" s="9811"/>
      <c r="S228" s="9811"/>
      <c r="T228" s="9811"/>
      <c r="U228" s="878"/>
      <c r="V228" s="878"/>
      <c r="W228" s="878"/>
      <c r="X228" s="878"/>
      <c r="Y228" s="878"/>
      <c r="Z228" s="878"/>
      <c r="AA228" s="878"/>
      <c r="AB228" s="878"/>
      <c r="AC228" s="878"/>
      <c r="AD228" s="878"/>
      <c r="AE228" s="878"/>
      <c r="AF228" s="878"/>
      <c r="AG228" s="878"/>
      <c r="AH228" s="878"/>
      <c r="AI228" s="878"/>
      <c r="AJ228" s="4447" t="s">
        <v>4601</v>
      </c>
      <c r="AK228" s="878"/>
      <c r="AL228" s="878"/>
      <c r="AM228" s="878"/>
      <c r="AN228" s="878"/>
      <c r="AO228" s="878"/>
      <c r="AP228" s="878"/>
      <c r="AQ228" s="2162"/>
      <c r="AR228" s="2162"/>
      <c r="AS228" s="2162"/>
      <c r="AT228" s="2162"/>
      <c r="AU228" s="2162"/>
    </row>
    <row r="229" spans="1:47">
      <c r="A229" s="2162"/>
      <c r="B229" s="878"/>
      <c r="C229" s="878"/>
      <c r="D229" s="878"/>
      <c r="E229" s="878"/>
      <c r="F229" s="4306"/>
      <c r="G229" s="878"/>
      <c r="H229" s="878"/>
      <c r="I229" s="878"/>
      <c r="J229" s="878"/>
      <c r="K229" s="878"/>
      <c r="L229" s="878"/>
      <c r="M229" s="878"/>
      <c r="N229" s="878"/>
      <c r="O229" s="878"/>
      <c r="P229" s="878"/>
      <c r="Q229" s="878"/>
      <c r="R229" s="878"/>
      <c r="S229" s="878"/>
      <c r="T229" s="878"/>
      <c r="U229" s="878"/>
      <c r="V229" s="878"/>
      <c r="W229" s="878"/>
      <c r="X229" s="878"/>
      <c r="Y229" s="878"/>
      <c r="Z229" s="878"/>
      <c r="AA229" s="878"/>
      <c r="AB229" s="878"/>
      <c r="AC229" s="878"/>
      <c r="AD229" s="878"/>
      <c r="AE229" s="878"/>
      <c r="AF229" s="878"/>
      <c r="AG229" s="878"/>
      <c r="AH229" s="878"/>
      <c r="AI229" s="878"/>
      <c r="AJ229" s="4453" t="s">
        <v>4602</v>
      </c>
      <c r="AK229" s="878"/>
      <c r="AL229" s="878"/>
      <c r="AM229" s="878"/>
      <c r="AN229" s="878"/>
      <c r="AO229" s="878"/>
      <c r="AP229" s="878"/>
      <c r="AQ229" s="2162"/>
      <c r="AR229" s="2162"/>
      <c r="AS229" s="2162"/>
      <c r="AT229" s="2162"/>
      <c r="AU229" s="2162"/>
    </row>
    <row r="230" spans="1:47" ht="21.75" customHeight="1">
      <c r="A230" s="2162"/>
      <c r="B230" s="878"/>
      <c r="C230" s="878"/>
      <c r="D230" s="878"/>
      <c r="E230" s="878"/>
      <c r="F230" s="4306"/>
      <c r="G230" s="878"/>
      <c r="H230" s="878"/>
      <c r="I230" s="878"/>
      <c r="J230" s="878"/>
      <c r="K230" s="878"/>
      <c r="L230" s="878"/>
      <c r="M230" s="878"/>
      <c r="N230" s="878"/>
      <c r="O230" s="878"/>
      <c r="P230" s="878"/>
      <c r="Q230" s="878"/>
      <c r="R230" s="878"/>
      <c r="S230" s="878"/>
      <c r="T230" s="878"/>
      <c r="U230" s="878"/>
      <c r="V230" s="878"/>
      <c r="W230" s="878"/>
      <c r="X230" s="878"/>
      <c r="Y230" s="878"/>
      <c r="Z230" s="878"/>
      <c r="AA230" s="878"/>
      <c r="AB230" s="878"/>
      <c r="AC230" s="878"/>
      <c r="AD230" s="878"/>
      <c r="AE230" s="878"/>
      <c r="AF230" s="878"/>
      <c r="AG230" s="878"/>
      <c r="AH230" s="878"/>
      <c r="AI230" s="878"/>
      <c r="AJ230" s="4453" t="s">
        <v>3638</v>
      </c>
      <c r="AK230" s="878"/>
      <c r="AL230" s="878"/>
      <c r="AM230" s="878"/>
      <c r="AN230" s="878"/>
      <c r="AO230" s="878"/>
      <c r="AP230" s="878"/>
      <c r="AQ230" s="2162"/>
      <c r="AR230" s="2162"/>
      <c r="AS230" s="2162"/>
      <c r="AT230" s="2162"/>
      <c r="AU230" s="2162"/>
    </row>
    <row r="231" spans="1:47" ht="10.5" customHeight="1">
      <c r="A231" s="2162"/>
      <c r="B231" s="878"/>
      <c r="C231" s="4450"/>
      <c r="D231" s="878"/>
      <c r="E231" s="878"/>
      <c r="F231" s="878"/>
      <c r="G231" s="878"/>
      <c r="H231" s="878"/>
      <c r="I231" s="878"/>
      <c r="J231" s="878"/>
      <c r="K231" s="878"/>
      <c r="L231" s="878"/>
      <c r="M231" s="878"/>
      <c r="N231" s="878"/>
      <c r="O231" s="878"/>
      <c r="P231" s="878"/>
      <c r="Q231" s="878"/>
      <c r="R231" s="878"/>
      <c r="S231" s="878"/>
      <c r="T231" s="878"/>
      <c r="U231" s="878"/>
      <c r="V231" s="878"/>
      <c r="W231" s="878"/>
      <c r="X231" s="878"/>
      <c r="Y231" s="878"/>
      <c r="Z231" s="878"/>
      <c r="AA231" s="878"/>
      <c r="AB231" s="878"/>
      <c r="AC231" s="878"/>
      <c r="AD231" s="878"/>
      <c r="AE231" s="878"/>
      <c r="AF231" s="878"/>
      <c r="AG231" s="878"/>
      <c r="AH231" s="878"/>
      <c r="AI231" s="878"/>
      <c r="AJ231" s="878"/>
      <c r="AK231" s="878"/>
      <c r="AL231" s="878"/>
      <c r="AM231" s="878"/>
      <c r="AN231" s="878"/>
      <c r="AO231" s="878"/>
      <c r="AP231" s="878"/>
      <c r="AQ231" s="2162"/>
      <c r="AR231" s="2162"/>
      <c r="AS231" s="2162"/>
      <c r="AT231" s="2162"/>
      <c r="AU231" s="2162"/>
    </row>
    <row r="232" spans="1:47" ht="27" customHeight="1">
      <c r="A232" s="2162"/>
      <c r="B232" s="2162"/>
      <c r="C232" s="2162"/>
      <c r="D232" s="2162"/>
      <c r="E232" s="2162"/>
      <c r="F232" s="2162"/>
      <c r="G232" s="2162"/>
      <c r="H232" s="2162"/>
      <c r="I232" s="2162"/>
      <c r="J232" s="2162"/>
      <c r="K232" s="2162"/>
      <c r="L232" s="2162"/>
      <c r="M232" s="2162"/>
      <c r="N232" s="2162"/>
      <c r="O232" s="2162"/>
      <c r="P232" s="2162"/>
      <c r="Q232" s="2162"/>
      <c r="R232" s="2162"/>
      <c r="S232" s="2162"/>
      <c r="T232" s="2162"/>
      <c r="U232" s="2162"/>
      <c r="V232" s="2162"/>
      <c r="W232" s="2162"/>
      <c r="X232" s="2162"/>
      <c r="Y232" s="2162"/>
      <c r="Z232" s="2162"/>
      <c r="AA232" s="2162"/>
      <c r="AB232" s="2162"/>
      <c r="AC232" s="2162"/>
      <c r="AD232" s="2162"/>
      <c r="AE232" s="2162"/>
      <c r="AF232" s="2162"/>
      <c r="AG232" s="2162"/>
      <c r="AH232" s="2162"/>
      <c r="AI232" s="2162"/>
      <c r="AJ232" s="2162"/>
      <c r="AK232" s="2162"/>
      <c r="AL232" s="2162"/>
      <c r="AM232" s="2162"/>
      <c r="AN232" s="2162"/>
      <c r="AO232" s="2162"/>
      <c r="AP232" s="2162"/>
      <c r="AQ232" s="2162"/>
      <c r="AR232" s="2162"/>
      <c r="AS232" s="2162"/>
      <c r="AT232" s="2162"/>
      <c r="AU232" s="2162"/>
    </row>
  </sheetData>
  <sheetProtection algorithmName="SHA-512" hashValue="0AoRRIm+Yd4SPd+6mqwEtOvLn0ljXx3BPMzZniV4sR4gu3OEi68H709APQ+L1D6ZEX2Ulbnvy36oK2uvx6++qA==" saltValue="DIAcKr8rfNyO+ekXDaEAEA==" spinCount="100000" sheet="1"/>
  <mergeCells count="190">
    <mergeCell ref="D158:E158"/>
    <mergeCell ref="C166:E166"/>
    <mergeCell ref="C171:E171"/>
    <mergeCell ref="C213:E213"/>
    <mergeCell ref="C211:E211"/>
    <mergeCell ref="AK145:AO145"/>
    <mergeCell ref="AC78:AD78"/>
    <mergeCell ref="AC99:AD99"/>
    <mergeCell ref="AL176:AN176"/>
    <mergeCell ref="AL173:AN173"/>
    <mergeCell ref="AL139:AN139"/>
    <mergeCell ref="AL84:AP84"/>
    <mergeCell ref="AK109:AO109"/>
    <mergeCell ref="AE107:AI107"/>
    <mergeCell ref="AK94:AO94"/>
    <mergeCell ref="AE100:AI100"/>
    <mergeCell ref="AE103:AI103"/>
    <mergeCell ref="AE99:AI99"/>
    <mergeCell ref="AC100:AD100"/>
    <mergeCell ref="E228:F228"/>
    <mergeCell ref="AK203:AO203"/>
    <mergeCell ref="AK119:AO120"/>
    <mergeCell ref="AJ119:AJ120"/>
    <mergeCell ref="AJ122:AJ123"/>
    <mergeCell ref="AK122:AO123"/>
    <mergeCell ref="AE185:AI186"/>
    <mergeCell ref="AE175:AI176"/>
    <mergeCell ref="AJ226:AJ227"/>
    <mergeCell ref="AK226:AO227"/>
    <mergeCell ref="Q225:T225"/>
    <mergeCell ref="Q226:T226"/>
    <mergeCell ref="Q227:T227"/>
    <mergeCell ref="Q228:T228"/>
    <mergeCell ref="AK205:AO205"/>
    <mergeCell ref="AK207:AO207"/>
    <mergeCell ref="E227:F227"/>
    <mergeCell ref="D155:E155"/>
    <mergeCell ref="P186:S186"/>
    <mergeCell ref="P187:S187"/>
    <mergeCell ref="AD185:AD186"/>
    <mergeCell ref="AD175:AD176"/>
    <mergeCell ref="AE153:AI153"/>
    <mergeCell ref="AK161:AO161"/>
    <mergeCell ref="AJ4:AP4"/>
    <mergeCell ref="B8:H9"/>
    <mergeCell ref="B11:AI12"/>
    <mergeCell ref="AJ11:AP12"/>
    <mergeCell ref="B4:H4"/>
    <mergeCell ref="B5:H5"/>
    <mergeCell ref="AO8:AO9"/>
    <mergeCell ref="AK8:AM9"/>
    <mergeCell ref="AN8:AN9"/>
    <mergeCell ref="K4:AC6"/>
    <mergeCell ref="B6:H7"/>
    <mergeCell ref="N10:Z10"/>
    <mergeCell ref="J8:AD9"/>
    <mergeCell ref="AJ5:AP7"/>
    <mergeCell ref="AL18:AP18"/>
    <mergeCell ref="AJ19:AK19"/>
    <mergeCell ref="AC20:AD20"/>
    <mergeCell ref="AL19:AP19"/>
    <mergeCell ref="AE20:AI20"/>
    <mergeCell ref="AL21:AP21"/>
    <mergeCell ref="AL20:AP20"/>
    <mergeCell ref="AJ21:AK21"/>
    <mergeCell ref="B13:D13"/>
    <mergeCell ref="AJ16:AK16"/>
    <mergeCell ref="AC16:AD16"/>
    <mergeCell ref="AE16:AI16"/>
    <mergeCell ref="AC17:AD17"/>
    <mergeCell ref="AJ14:AK14"/>
    <mergeCell ref="AJ15:AK15"/>
    <mergeCell ref="AE23:AI23"/>
    <mergeCell ref="AC23:AD23"/>
    <mergeCell ref="AC15:AD15"/>
    <mergeCell ref="AE15:AI15"/>
    <mergeCell ref="AE17:AI17"/>
    <mergeCell ref="AJ18:AK18"/>
    <mergeCell ref="AR4:AT9"/>
    <mergeCell ref="X61:AB61"/>
    <mergeCell ref="AL55:AP55"/>
    <mergeCell ref="AL59:AP59"/>
    <mergeCell ref="AC60:AD60"/>
    <mergeCell ref="AE60:AI60"/>
    <mergeCell ref="AL30:AP30"/>
    <mergeCell ref="AJ35:AK35"/>
    <mergeCell ref="AL35:AP35"/>
    <mergeCell ref="AL34:AP34"/>
    <mergeCell ref="AL14:AP14"/>
    <mergeCell ref="AL23:AP23"/>
    <mergeCell ref="AL27:AP27"/>
    <mergeCell ref="AL33:AP33"/>
    <mergeCell ref="AL32:AP32"/>
    <mergeCell ref="AL53:AP53"/>
    <mergeCell ref="AJ57:AK57"/>
    <mergeCell ref="AL57:AP57"/>
    <mergeCell ref="AS226:AS227"/>
    <mergeCell ref="AK153:AO153"/>
    <mergeCell ref="AJ211:AJ212"/>
    <mergeCell ref="AK211:AO212"/>
    <mergeCell ref="AS107:AS109"/>
    <mergeCell ref="AC104:AD104"/>
    <mergeCell ref="AE104:AI104"/>
    <mergeCell ref="AC105:AD105"/>
    <mergeCell ref="AE105:AI105"/>
    <mergeCell ref="AK189:AO189"/>
    <mergeCell ref="AD198:AD199"/>
    <mergeCell ref="AE198:AI199"/>
    <mergeCell ref="E226:F226"/>
    <mergeCell ref="AO89:AP89"/>
    <mergeCell ref="C110:E110"/>
    <mergeCell ref="C111:E111"/>
    <mergeCell ref="C116:E116"/>
    <mergeCell ref="E225:F225"/>
    <mergeCell ref="B48:D48"/>
    <mergeCell ref="AB55:AD55"/>
    <mergeCell ref="AG71:AI71"/>
    <mergeCell ref="B87:D87"/>
    <mergeCell ref="AL88:AP88"/>
    <mergeCell ref="AL87:AP87"/>
    <mergeCell ref="AC83:AD83"/>
    <mergeCell ref="AE83:AI83"/>
    <mergeCell ref="AC101:AD101"/>
    <mergeCell ref="AL56:AP56"/>
    <mergeCell ref="AL54:AP54"/>
    <mergeCell ref="AC97:AD97"/>
    <mergeCell ref="AE97:AI97"/>
    <mergeCell ref="AC98:AD98"/>
    <mergeCell ref="AE98:AI98"/>
    <mergeCell ref="AC103:AD103"/>
    <mergeCell ref="AC102:AD102"/>
    <mergeCell ref="AE101:AI101"/>
    <mergeCell ref="L30:O30"/>
    <mergeCell ref="K29:N29"/>
    <mergeCell ref="AJ34:AK34"/>
    <mergeCell ref="AJ40:AK40"/>
    <mergeCell ref="AL40:AP40"/>
    <mergeCell ref="AJ41:AK41"/>
    <mergeCell ref="AL36:AP36"/>
    <mergeCell ref="AJ30:AK30"/>
    <mergeCell ref="AJ36:AK36"/>
    <mergeCell ref="AL41:AP41"/>
    <mergeCell ref="AJ26:AK26"/>
    <mergeCell ref="AL26:AP26"/>
    <mergeCell ref="AJ27:AK27"/>
    <mergeCell ref="AE102:AI102"/>
    <mergeCell ref="AE150:AI150"/>
    <mergeCell ref="AK143:AO143"/>
    <mergeCell ref="AL49:AP49"/>
    <mergeCell ref="AJ59:AK59"/>
    <mergeCell ref="AC65:AD65"/>
    <mergeCell ref="AE63:AI63"/>
    <mergeCell ref="AE79:AI79"/>
    <mergeCell ref="AJ54:AK54"/>
    <mergeCell ref="AG58:AI58"/>
    <mergeCell ref="AG69:AI69"/>
    <mergeCell ref="AE76:AI76"/>
    <mergeCell ref="AE65:AI65"/>
    <mergeCell ref="AE78:AI78"/>
    <mergeCell ref="AC79:AD79"/>
    <mergeCell ref="AL66:AP66"/>
    <mergeCell ref="AF55:AH55"/>
    <mergeCell ref="AJ53:AK53"/>
    <mergeCell ref="AL48:AP48"/>
    <mergeCell ref="AJ66:AK66"/>
    <mergeCell ref="AL63:AP63"/>
    <mergeCell ref="X67:AB67"/>
    <mergeCell ref="B68:C68"/>
    <mergeCell ref="AL73:AP73"/>
    <mergeCell ref="AG67:AI67"/>
    <mergeCell ref="B70:C70"/>
    <mergeCell ref="AL58:AP58"/>
    <mergeCell ref="P184:S184"/>
    <mergeCell ref="P185:S185"/>
    <mergeCell ref="AA163:AB163"/>
    <mergeCell ref="C165:E165"/>
    <mergeCell ref="B72:D72"/>
    <mergeCell ref="V61:W61"/>
    <mergeCell ref="M145:O145"/>
    <mergeCell ref="J145:K145"/>
    <mergeCell ref="C170:E170"/>
    <mergeCell ref="C117:E117"/>
    <mergeCell ref="AJ85:AK85"/>
    <mergeCell ref="AL85:AP85"/>
    <mergeCell ref="AJ88:AK88"/>
    <mergeCell ref="C161:D161"/>
    <mergeCell ref="AD69:AF69"/>
    <mergeCell ref="AD71:AF71"/>
    <mergeCell ref="AC76:AD76"/>
    <mergeCell ref="AJ84:AK84"/>
  </mergeCells>
  <conditionalFormatting sqref="B2">
    <cfRule type="expression" dxfId="718" priority="23">
      <formula>$AS$2</formula>
    </cfRule>
  </conditionalFormatting>
  <conditionalFormatting sqref="B11:AP12 AC97:AC105 AE97:AE105">
    <cfRule type="expression" dxfId="717" priority="434">
      <formula>NoColor</formula>
    </cfRule>
  </conditionalFormatting>
  <conditionalFormatting sqref="D29:K30">
    <cfRule type="expression" dxfId="716" priority="129">
      <formula>NoColor</formula>
    </cfRule>
  </conditionalFormatting>
  <conditionalFormatting sqref="D21:M27">
    <cfRule type="expression" dxfId="715" priority="259">
      <formula>NoColor</formula>
    </cfRule>
  </conditionalFormatting>
  <conditionalFormatting sqref="D16:AA16 D17:M19">
    <cfRule type="expression" dxfId="714" priority="502">
      <formula>NoColor</formula>
    </cfRule>
  </conditionalFormatting>
  <conditionalFormatting sqref="D28:AI28">
    <cfRule type="expression" dxfId="713" priority="498">
      <formula>NoColor</formula>
    </cfRule>
  </conditionalFormatting>
  <conditionalFormatting sqref="D31:AI31">
    <cfRule type="expression" dxfId="712" priority="497">
      <formula>NoColor</formula>
    </cfRule>
  </conditionalFormatting>
  <conditionalFormatting sqref="E37">
    <cfRule type="expression" dxfId="711" priority="27">
      <formula>$C$37&lt;&gt;""</formula>
    </cfRule>
  </conditionalFormatting>
  <conditionalFormatting sqref="F112:F115">
    <cfRule type="expression" dxfId="710" priority="17">
      <formula>NoColor</formula>
    </cfRule>
  </conditionalFormatting>
  <conditionalFormatting sqref="F38:M38">
    <cfRule type="expression" dxfId="709" priority="426">
      <formula>NoColor</formula>
    </cfRule>
  </conditionalFormatting>
  <conditionalFormatting sqref="G38">
    <cfRule type="expression" dxfId="708" priority="288">
      <formula>AND(NOT(NoColor),$AV$36)</formula>
    </cfRule>
  </conditionalFormatting>
  <conditionalFormatting sqref="I166:I167">
    <cfRule type="expression" dxfId="707" priority="18">
      <formula>AND(NOT(NoColor),$C$166)</formula>
    </cfRule>
  </conditionalFormatting>
  <conditionalFormatting sqref="J145:K145">
    <cfRule type="expression" dxfId="706" priority="53">
      <formula>NoColor</formula>
    </cfRule>
  </conditionalFormatting>
  <conditionalFormatting sqref="K19">
    <cfRule type="expression" dxfId="705" priority="308">
      <formula>AND($AV$19,NOT(NoColor))</formula>
    </cfRule>
  </conditionalFormatting>
  <conditionalFormatting sqref="K56">
    <cfRule type="expression" dxfId="704" priority="3">
      <formula>AND($AL$55,$AS$54="")</formula>
    </cfRule>
  </conditionalFormatting>
  <conditionalFormatting sqref="L30">
    <cfRule type="expression" dxfId="703" priority="130">
      <formula>NoColor</formula>
    </cfRule>
  </conditionalFormatting>
  <conditionalFormatting sqref="L57">
    <cfRule type="expression" dxfId="702" priority="29">
      <formula>$AG$57</formula>
    </cfRule>
  </conditionalFormatting>
  <conditionalFormatting sqref="L53:M54">
    <cfRule type="expression" dxfId="701" priority="30">
      <formula>$AG$53</formula>
    </cfRule>
  </conditionalFormatting>
  <conditionalFormatting sqref="N53">
    <cfRule type="expression" dxfId="700" priority="24">
      <formula>$AS$53</formula>
    </cfRule>
  </conditionalFormatting>
  <conditionalFormatting sqref="N23:AA23 N24:AI25">
    <cfRule type="expression" dxfId="699" priority="499">
      <formula>NoColor</formula>
    </cfRule>
  </conditionalFormatting>
  <conditionalFormatting sqref="Q110:R110">
    <cfRule type="expression" dxfId="698" priority="22">
      <formula>$C$110</formula>
    </cfRule>
  </conditionalFormatting>
  <conditionalFormatting sqref="S110">
    <cfRule type="expression" dxfId="697" priority="21">
      <formula>$C$110</formula>
    </cfRule>
  </conditionalFormatting>
  <conditionalFormatting sqref="U19">
    <cfRule type="expression" dxfId="696" priority="494">
      <formula>NoColor</formula>
    </cfRule>
  </conditionalFormatting>
  <conditionalFormatting sqref="U26:U27">
    <cfRule type="expression" dxfId="695" priority="258">
      <formula>NoColor</formula>
    </cfRule>
  </conditionalFormatting>
  <conditionalFormatting sqref="U30">
    <cfRule type="expression" dxfId="694" priority="492">
      <formula>NoColor</formula>
    </cfRule>
  </conditionalFormatting>
  <conditionalFormatting sqref="V61">
    <cfRule type="expression" dxfId="693" priority="156">
      <formula>NoColor</formula>
    </cfRule>
  </conditionalFormatting>
  <conditionalFormatting sqref="X61">
    <cfRule type="expression" dxfId="692" priority="133">
      <formula>NoColor</formula>
    </cfRule>
  </conditionalFormatting>
  <conditionalFormatting sqref="AC15:AC17">
    <cfRule type="expression" dxfId="691" priority="272">
      <formula>NoColor</formula>
    </cfRule>
  </conditionalFormatting>
  <conditionalFormatting sqref="AC20">
    <cfRule type="expression" dxfId="690" priority="264">
      <formula>NoColor</formula>
    </cfRule>
  </conditionalFormatting>
  <conditionalFormatting sqref="AC23">
    <cfRule type="expression" dxfId="689" priority="410">
      <formula>NoColor</formula>
    </cfRule>
  </conditionalFormatting>
  <conditionalFormatting sqref="AC60">
    <cfRule type="expression" dxfId="688" priority="158">
      <formula>NoColor</formula>
    </cfRule>
  </conditionalFormatting>
  <conditionalFormatting sqref="AC65">
    <cfRule type="expression" dxfId="687" priority="153">
      <formula>NoColor</formula>
    </cfRule>
  </conditionalFormatting>
  <conditionalFormatting sqref="AC76">
    <cfRule type="expression" dxfId="686" priority="147">
      <formula>NoColor</formula>
    </cfRule>
  </conditionalFormatting>
  <conditionalFormatting sqref="AC78:AC79">
    <cfRule type="expression" dxfId="685" priority="141">
      <formula>NoColor</formula>
    </cfRule>
  </conditionalFormatting>
  <conditionalFormatting sqref="AC83">
    <cfRule type="expression" dxfId="684" priority="139">
      <formula>NoColor</formula>
    </cfRule>
  </conditionalFormatting>
  <conditionalFormatting sqref="AD107:AE107">
    <cfRule type="expression" dxfId="683" priority="186">
      <formula>NoColor</formula>
    </cfRule>
  </conditionalFormatting>
  <conditionalFormatting sqref="AE15">
    <cfRule type="expression" dxfId="682" priority="275">
      <formula>NoColor</formula>
    </cfRule>
  </conditionalFormatting>
  <conditionalFormatting sqref="AE20">
    <cfRule type="expression" dxfId="681" priority="265">
      <formula>NoColor</formula>
    </cfRule>
  </conditionalFormatting>
  <conditionalFormatting sqref="AE23">
    <cfRule type="expression" dxfId="680" priority="263">
      <formula>NoColor</formula>
    </cfRule>
  </conditionalFormatting>
  <conditionalFormatting sqref="AE60">
    <cfRule type="expression" dxfId="679" priority="154">
      <formula>NoColor</formula>
    </cfRule>
  </conditionalFormatting>
  <conditionalFormatting sqref="AE175">
    <cfRule type="expression" dxfId="678" priority="10">
      <formula>NoColor</formula>
    </cfRule>
  </conditionalFormatting>
  <conditionalFormatting sqref="AE185">
    <cfRule type="expression" dxfId="677" priority="66">
      <formula>NoColor</formula>
    </cfRule>
  </conditionalFormatting>
  <conditionalFormatting sqref="AE198">
    <cfRule type="expression" dxfId="676" priority="64">
      <formula>NoColor</formula>
    </cfRule>
  </conditionalFormatting>
  <conditionalFormatting sqref="AE38:AG38">
    <cfRule type="expression" dxfId="675" priority="423">
      <formula>NoColor</formula>
    </cfRule>
  </conditionalFormatting>
  <conditionalFormatting sqref="AE16:AI17">
    <cfRule type="expression" dxfId="674" priority="271">
      <formula>NoColor</formula>
    </cfRule>
  </conditionalFormatting>
  <conditionalFormatting sqref="AE65:AI65">
    <cfRule type="expression" dxfId="673" priority="152">
      <formula>NoColor</formula>
    </cfRule>
  </conditionalFormatting>
  <conditionalFormatting sqref="AE76:AI76">
    <cfRule type="expression" dxfId="672" priority="146">
      <formula>NoColor</formula>
    </cfRule>
  </conditionalFormatting>
  <conditionalFormatting sqref="AE78:AI79">
    <cfRule type="expression" dxfId="671" priority="140">
      <formula>NoColor</formula>
    </cfRule>
  </conditionalFormatting>
  <conditionalFormatting sqref="AE83:AI83">
    <cfRule type="expression" dxfId="670" priority="138">
      <formula>NoColor</formula>
    </cfRule>
  </conditionalFormatting>
  <conditionalFormatting sqref="AE150:AI150">
    <cfRule type="expression" dxfId="669" priority="57">
      <formula>NoColor</formula>
    </cfRule>
  </conditionalFormatting>
  <conditionalFormatting sqref="AE153:AI153">
    <cfRule type="expression" dxfId="668" priority="12">
      <formula>NoColor</formula>
    </cfRule>
  </conditionalFormatting>
  <conditionalFormatting sqref="AJ18:AJ19">
    <cfRule type="expression" dxfId="667" priority="412">
      <formula>NoColor</formula>
    </cfRule>
  </conditionalFormatting>
  <conditionalFormatting sqref="AJ34:AJ36">
    <cfRule type="expression" dxfId="666" priority="128">
      <formula>NoColor</formula>
    </cfRule>
  </conditionalFormatting>
  <conditionalFormatting sqref="AJ40:AJ41">
    <cfRule type="expression" dxfId="665" priority="35">
      <formula>NoColor</formula>
    </cfRule>
  </conditionalFormatting>
  <conditionalFormatting sqref="AJ53:AJ54">
    <cfRule type="expression" dxfId="664" priority="32">
      <formula>NoColor</formula>
    </cfRule>
  </conditionalFormatting>
  <conditionalFormatting sqref="AJ57">
    <cfRule type="expression" dxfId="663" priority="162">
      <formula>NoColor</formula>
    </cfRule>
  </conditionalFormatting>
  <conditionalFormatting sqref="AJ59">
    <cfRule type="expression" dxfId="662" priority="160">
      <formula>NoColor</formula>
    </cfRule>
  </conditionalFormatting>
  <conditionalFormatting sqref="AJ66">
    <cfRule type="expression" dxfId="661" priority="151">
      <formula>NoColor</formula>
    </cfRule>
  </conditionalFormatting>
  <conditionalFormatting sqref="AJ84:AJ85">
    <cfRule type="expression" dxfId="660" priority="135">
      <formula>NoColor</formula>
    </cfRule>
  </conditionalFormatting>
  <conditionalFormatting sqref="AJ88">
    <cfRule type="expression" dxfId="659" priority="132">
      <formula>NoColor</formula>
    </cfRule>
  </conditionalFormatting>
  <conditionalFormatting sqref="AK119">
    <cfRule type="expression" dxfId="658" priority="26">
      <formula>NoColor</formula>
    </cfRule>
  </conditionalFormatting>
  <conditionalFormatting sqref="AK122">
    <cfRule type="expression" dxfId="657" priority="25">
      <formula>NoColor</formula>
    </cfRule>
  </conditionalFormatting>
  <conditionalFormatting sqref="AK211">
    <cfRule type="expression" dxfId="656" priority="60">
      <formula>NoColor</formula>
    </cfRule>
  </conditionalFormatting>
  <conditionalFormatting sqref="AK226">
    <cfRule type="expression" dxfId="655" priority="58">
      <formula>NoColor</formula>
    </cfRule>
  </conditionalFormatting>
  <conditionalFormatting sqref="AK94:AO94">
    <cfRule type="expression" dxfId="654" priority="217">
      <formula>NoColor</formula>
    </cfRule>
  </conditionalFormatting>
  <conditionalFormatting sqref="AK109:AO109">
    <cfRule type="expression" dxfId="653" priority="185">
      <formula>NoColor</formula>
    </cfRule>
  </conditionalFormatting>
  <conditionalFormatting sqref="AK143:AO143">
    <cfRule type="expression" dxfId="652" priority="75">
      <formula>NoColor</formula>
    </cfRule>
  </conditionalFormatting>
  <conditionalFormatting sqref="AK145:AO145">
    <cfRule type="expression" dxfId="651" priority="54">
      <formula>NoColor</formula>
    </cfRule>
  </conditionalFormatting>
  <conditionalFormatting sqref="AK161:AO161">
    <cfRule type="expression" dxfId="650" priority="11">
      <formula>NoColor</formula>
    </cfRule>
  </conditionalFormatting>
  <conditionalFormatting sqref="AK189:AO189">
    <cfRule type="expression" dxfId="649" priority="65">
      <formula>NoColor</formula>
    </cfRule>
  </conditionalFormatting>
  <conditionalFormatting sqref="AK203:AO203">
    <cfRule type="expression" dxfId="648" priority="63">
      <formula>NoColor</formula>
    </cfRule>
  </conditionalFormatting>
  <conditionalFormatting sqref="AK205:AO205">
    <cfRule type="expression" dxfId="647" priority="9">
      <formula>NoColor</formula>
    </cfRule>
  </conditionalFormatting>
  <conditionalFormatting sqref="AK207:AO207">
    <cfRule type="expression" dxfId="646" priority="8">
      <formula>NoColor</formula>
    </cfRule>
  </conditionalFormatting>
  <conditionalFormatting sqref="AL20">
    <cfRule type="expression" dxfId="645" priority="329">
      <formula>NoColor</formula>
    </cfRule>
  </conditionalFormatting>
  <conditionalFormatting sqref="AL14:AP14">
    <cfRule type="expression" dxfId="644" priority="230">
      <formula>NoColor</formula>
    </cfRule>
  </conditionalFormatting>
  <conditionalFormatting sqref="AL16:AP16">
    <cfRule type="expression" dxfId="643" priority="330">
      <formula>NoColor</formula>
    </cfRule>
  </conditionalFormatting>
  <conditionalFormatting sqref="AL18:AP19">
    <cfRule type="expression" dxfId="642" priority="328">
      <formula>NoColor</formula>
    </cfRule>
  </conditionalFormatting>
  <conditionalFormatting sqref="AL21:AP21">
    <cfRule type="expression" dxfId="641" priority="293">
      <formula>NoColor</formula>
    </cfRule>
  </conditionalFormatting>
  <conditionalFormatting sqref="AL26:AP27">
    <cfRule type="expression" dxfId="640" priority="257">
      <formula>NoColor</formula>
    </cfRule>
  </conditionalFormatting>
  <conditionalFormatting sqref="AL30:AP30">
    <cfRule type="expression" dxfId="639" priority="28">
      <formula>NoColor</formula>
    </cfRule>
  </conditionalFormatting>
  <conditionalFormatting sqref="AL34:AP36">
    <cfRule type="expression" dxfId="638" priority="127">
      <formula>NoColor</formula>
    </cfRule>
  </conditionalFormatting>
  <conditionalFormatting sqref="AL40:AP41">
    <cfRule type="expression" dxfId="637" priority="33">
      <formula>NoColor</formula>
    </cfRule>
  </conditionalFormatting>
  <conditionalFormatting sqref="AL54:AP54">
    <cfRule type="expression" dxfId="636" priority="31">
      <formula>NoColor</formula>
    </cfRule>
  </conditionalFormatting>
  <conditionalFormatting sqref="AL57:AP57">
    <cfRule type="expression" dxfId="635" priority="161">
      <formula>NoColor</formula>
    </cfRule>
  </conditionalFormatting>
  <conditionalFormatting sqref="AL59:AP59">
    <cfRule type="expression" dxfId="634" priority="159">
      <formula>NoColor</formula>
    </cfRule>
  </conditionalFormatting>
  <conditionalFormatting sqref="AL66:AP66">
    <cfRule type="expression" dxfId="633" priority="150">
      <formula>NoColor</formula>
    </cfRule>
  </conditionalFormatting>
  <conditionalFormatting sqref="AL84:AP85">
    <cfRule type="expression" dxfId="632" priority="134">
      <formula>NoColor</formula>
    </cfRule>
  </conditionalFormatting>
  <conditionalFormatting sqref="AL88:AP88">
    <cfRule type="expression" dxfId="631" priority="131">
      <formula>NoColor</formula>
    </cfRule>
  </conditionalFormatting>
  <conditionalFormatting sqref="AR51">
    <cfRule type="expression" dxfId="630" priority="4">
      <formula>NoColor</formula>
    </cfRule>
  </conditionalFormatting>
  <conditionalFormatting sqref="AS18">
    <cfRule type="expression" dxfId="629" priority="226">
      <formula>(#REF!&lt;&gt;"")</formula>
    </cfRule>
  </conditionalFormatting>
  <conditionalFormatting sqref="AS19">
    <cfRule type="expression" dxfId="628" priority="225">
      <formula>(#REF!&lt;&gt;"")</formula>
    </cfRule>
  </conditionalFormatting>
  <conditionalFormatting sqref="AS21:AS22">
    <cfRule type="expression" dxfId="627" priority="125">
      <formula>(#REF!&lt;&gt;"")</formula>
    </cfRule>
  </conditionalFormatting>
  <conditionalFormatting sqref="AS24:AS25">
    <cfRule type="expression" dxfId="626" priority="14">
      <formula>(#REF!&lt;&gt;"")</formula>
    </cfRule>
  </conditionalFormatting>
  <conditionalFormatting sqref="AS28:AS38 AS40 AS42:AS45">
    <cfRule type="expression" dxfId="625" priority="4395">
      <formula>(#REF!&lt;&gt;"")</formula>
    </cfRule>
  </conditionalFormatting>
  <conditionalFormatting sqref="AS51">
    <cfRule type="expression" dxfId="624" priority="2">
      <formula>(#REF!&lt;&gt;"")</formula>
    </cfRule>
  </conditionalFormatting>
  <conditionalFormatting sqref="AS53">
    <cfRule type="expression" dxfId="623" priority="1">
      <formula>(#REF!&lt;&gt;"")</formula>
    </cfRule>
  </conditionalFormatting>
  <conditionalFormatting sqref="AS177">
    <cfRule type="expression" dxfId="622" priority="7">
      <formula>$AL$176</formula>
    </cfRule>
  </conditionalFormatting>
  <conditionalFormatting sqref="AS179">
    <cfRule type="expression" dxfId="621" priority="5">
      <formula>$AL$176</formula>
    </cfRule>
  </conditionalFormatting>
  <pageMargins left="0.75" right="0.25" top="0.36" bottom="0.28999999999999998" header="0.36" footer="0.21"/>
  <pageSetup scale="76" fitToHeight="0" orientation="portrait" r:id="rId1"/>
  <rowBreaks count="4" manualBreakCount="4">
    <brk id="46" min="1" max="41" man="1"/>
    <brk id="89" min="1" max="41" man="1"/>
    <brk id="127" max="16383" man="1"/>
    <brk id="193" min="1" max="41" man="1"/>
  </rowBreaks>
  <ignoredErrors>
    <ignoredError sqref="AJ30 AJ27" numberStoredAsText="1"/>
  </ignoredError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CC85"/>
  <sheetViews>
    <sheetView zoomScaleNormal="100" zoomScaleSheetLayoutView="100" workbookViewId="0"/>
  </sheetViews>
  <sheetFormatPr defaultColWidth="9.140625" defaultRowHeight="12.75"/>
  <cols>
    <col min="1" max="1" width="3.7109375" style="39" customWidth="1"/>
    <col min="2" max="2" width="5.140625" style="39" customWidth="1"/>
    <col min="3" max="3" width="5.5703125" style="39" customWidth="1"/>
    <col min="4" max="8" width="3.7109375" style="39" customWidth="1"/>
    <col min="9" max="9" width="4.7109375" style="39" customWidth="1"/>
    <col min="10" max="10" width="3.7109375" style="39" customWidth="1"/>
    <col min="11" max="11" width="4.85546875" style="39" customWidth="1"/>
    <col min="12" max="12" width="3.7109375" style="39" customWidth="1"/>
    <col min="13" max="13" width="4.7109375" style="39" customWidth="1"/>
    <col min="14" max="14" width="4.42578125" style="39" customWidth="1"/>
    <col min="15" max="16" width="3.7109375" style="39" customWidth="1"/>
    <col min="17" max="17" width="5.140625" style="39" customWidth="1"/>
    <col min="18" max="29" width="3.7109375" style="39" customWidth="1"/>
    <col min="30" max="30" width="5.5703125" style="39" customWidth="1"/>
    <col min="31" max="32" width="3.7109375" style="39" customWidth="1"/>
    <col min="33" max="33" width="4.42578125" style="39" customWidth="1"/>
    <col min="34" max="36" width="3.7109375" style="39" customWidth="1"/>
    <col min="37" max="37" width="4.5703125" style="39" customWidth="1"/>
    <col min="38" max="38" width="4.42578125" style="39" customWidth="1"/>
    <col min="39" max="39" width="12.5703125" style="39" customWidth="1"/>
    <col min="40" max="40" width="2" style="39" customWidth="1"/>
    <col min="41" max="41" width="5.140625" style="39" customWidth="1"/>
    <col min="42" max="42" width="7.28515625" style="39" customWidth="1"/>
    <col min="43" max="43" width="37.5703125" style="39" customWidth="1"/>
    <col min="44" max="44" width="4.5703125" style="39" customWidth="1"/>
    <col min="45" max="45" width="9" style="39" customWidth="1"/>
    <col min="46" max="46" width="6.85546875" style="39" customWidth="1"/>
    <col min="47" max="47" width="6.42578125" style="39" customWidth="1"/>
    <col min="48" max="48" width="13.140625" style="4749" customWidth="1"/>
    <col min="49" max="56" width="10.7109375" style="2690" customWidth="1"/>
    <col min="57" max="16384" width="9.140625" style="39"/>
  </cols>
  <sheetData>
    <row r="1" spans="1:81" ht="16.5" customHeight="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08"/>
      <c r="AM1" s="808"/>
      <c r="AN1" s="808"/>
      <c r="AO1" s="808"/>
      <c r="AP1" s="808"/>
      <c r="AQ1" s="808"/>
      <c r="AR1" s="808"/>
      <c r="AS1" s="808"/>
      <c r="AT1" s="808"/>
      <c r="AU1" s="808"/>
      <c r="AV1" s="4697"/>
      <c r="AW1" s="2038"/>
      <c r="AX1" s="2038"/>
      <c r="AY1" s="2038"/>
      <c r="AZ1" s="2038"/>
      <c r="BA1" s="2038"/>
      <c r="BB1" s="2038"/>
      <c r="BC1" s="2038"/>
      <c r="BD1" s="2038"/>
    </row>
    <row r="2" spans="1:81" ht="18" customHeight="1">
      <c r="A2" s="461"/>
      <c r="B2" s="808"/>
      <c r="C2" s="808"/>
      <c r="D2" s="8768" t="s">
        <v>4603</v>
      </c>
      <c r="E2" s="8769"/>
      <c r="F2" s="8769"/>
      <c r="G2" s="8769"/>
      <c r="H2" s="860"/>
      <c r="I2" s="2633"/>
      <c r="J2" s="808"/>
      <c r="K2" s="808"/>
      <c r="L2" s="808"/>
      <c r="M2" s="808"/>
      <c r="N2" s="808"/>
      <c r="O2" s="808"/>
      <c r="P2" s="808"/>
      <c r="Q2" s="808"/>
      <c r="R2" s="808"/>
      <c r="S2" s="808"/>
      <c r="T2" s="808"/>
      <c r="U2" s="808"/>
      <c r="V2" s="808"/>
      <c r="W2" s="808"/>
      <c r="X2" s="808"/>
      <c r="Y2" s="808"/>
      <c r="Z2" s="808"/>
      <c r="AA2" s="808"/>
      <c r="AB2" s="2577"/>
      <c r="AC2" s="9862" t="s">
        <v>576</v>
      </c>
      <c r="AD2" s="8773"/>
      <c r="AE2" s="8773"/>
      <c r="AF2" s="8773"/>
      <c r="AG2" s="8773"/>
      <c r="AH2" s="8773"/>
      <c r="AI2" s="8773"/>
      <c r="AJ2" s="8773"/>
      <c r="AK2" s="461"/>
      <c r="AL2" s="808"/>
      <c r="AM2" s="808"/>
      <c r="AN2" s="808"/>
      <c r="AO2" s="808"/>
      <c r="AP2" s="808"/>
      <c r="AQ2" s="808"/>
      <c r="AR2" s="808"/>
      <c r="AS2" s="808"/>
      <c r="AT2" s="808"/>
      <c r="AU2" s="808"/>
      <c r="AV2" s="4697" t="s">
        <v>241</v>
      </c>
      <c r="AW2" s="2038"/>
      <c r="AX2" s="2038"/>
      <c r="AY2" s="2038"/>
      <c r="AZ2" s="2038"/>
      <c r="BA2" s="2038"/>
      <c r="BB2" s="2038"/>
      <c r="BC2" s="2038"/>
      <c r="BD2" s="2038"/>
    </row>
    <row r="3" spans="1:81" ht="24" customHeight="1">
      <c r="A3" s="461"/>
      <c r="B3" s="8774" t="s">
        <v>50</v>
      </c>
      <c r="C3" s="7256"/>
      <c r="D3" s="8769"/>
      <c r="E3" s="8769"/>
      <c r="F3" s="8769"/>
      <c r="G3" s="8769"/>
      <c r="H3" s="860"/>
      <c r="I3" s="8770" t="s">
        <v>4604</v>
      </c>
      <c r="J3" s="8097"/>
      <c r="K3" s="8097"/>
      <c r="L3" s="8097"/>
      <c r="M3" s="8097"/>
      <c r="N3" s="8097"/>
      <c r="O3" s="8097"/>
      <c r="P3" s="8097"/>
      <c r="Q3" s="8097"/>
      <c r="R3" s="8097"/>
      <c r="S3" s="8097"/>
      <c r="T3" s="8097"/>
      <c r="U3" s="8097"/>
      <c r="V3" s="8097"/>
      <c r="W3" s="8097"/>
      <c r="X3" s="8097"/>
      <c r="Y3" s="8097"/>
      <c r="Z3" s="8097"/>
      <c r="AA3" s="8097"/>
      <c r="AB3" s="9841"/>
      <c r="AC3" s="8775">
        <f>TaxYear</f>
        <v>2023</v>
      </c>
      <c r="AD3" s="8776"/>
      <c r="AE3" s="8776"/>
      <c r="AF3" s="8776"/>
      <c r="AG3" s="8776"/>
      <c r="AH3" s="8776"/>
      <c r="AI3" s="8776"/>
      <c r="AJ3" s="8776"/>
      <c r="AK3" s="461"/>
      <c r="AL3" s="808"/>
      <c r="AM3" s="808"/>
      <c r="AN3" s="808"/>
      <c r="AO3" s="808"/>
      <c r="AP3" s="808"/>
      <c r="AQ3" s="808"/>
      <c r="AR3" s="808"/>
      <c r="AS3" s="808"/>
      <c r="AT3" s="808"/>
      <c r="AU3" s="808"/>
      <c r="AV3" s="4748" t="s">
        <v>251</v>
      </c>
      <c r="AW3" s="2038"/>
      <c r="AX3" s="2038"/>
      <c r="AY3" s="2038"/>
      <c r="AZ3" s="2038"/>
      <c r="BA3" s="2038"/>
      <c r="BB3" s="2038"/>
      <c r="BC3" s="2038"/>
      <c r="BD3" s="2038"/>
    </row>
    <row r="4" spans="1:81" ht="12.75" customHeight="1">
      <c r="A4" s="461"/>
      <c r="B4" s="808"/>
      <c r="C4" s="808"/>
      <c r="D4" s="808"/>
      <c r="E4" s="808"/>
      <c r="F4" s="808"/>
      <c r="G4" s="808"/>
      <c r="H4" s="860"/>
      <c r="I4" s="9865" t="s">
        <v>4605</v>
      </c>
      <c r="J4" s="6942"/>
      <c r="K4" s="6942"/>
      <c r="L4" s="6942"/>
      <c r="M4" s="6942"/>
      <c r="N4" s="6942"/>
      <c r="O4" s="6942"/>
      <c r="P4" s="6942"/>
      <c r="Q4" s="6942"/>
      <c r="R4" s="6942"/>
      <c r="S4" s="6942"/>
      <c r="T4" s="6942"/>
      <c r="U4" s="6942"/>
      <c r="V4" s="6942"/>
      <c r="W4" s="6942"/>
      <c r="X4" s="6942"/>
      <c r="Y4" s="6942"/>
      <c r="Z4" s="6942"/>
      <c r="AA4" s="6942"/>
      <c r="AB4" s="9866"/>
      <c r="AC4" s="8777"/>
      <c r="AD4" s="8778"/>
      <c r="AE4" s="8778"/>
      <c r="AF4" s="8778"/>
      <c r="AG4" s="8778"/>
      <c r="AH4" s="8778"/>
      <c r="AI4" s="8778"/>
      <c r="AJ4" s="8778"/>
      <c r="AK4" s="461"/>
      <c r="AL4" s="808"/>
      <c r="AM4" s="808"/>
      <c r="AN4" s="808"/>
      <c r="AO4" s="808"/>
      <c r="AP4" s="808"/>
      <c r="AQ4" s="808"/>
      <c r="AR4" s="808"/>
      <c r="AS4" s="808"/>
      <c r="AT4" s="808"/>
      <c r="AU4" s="808"/>
      <c r="AV4" s="4698"/>
      <c r="AW4" s="2038"/>
      <c r="AX4" s="2038"/>
      <c r="AY4" s="2038"/>
      <c r="AZ4" s="2038"/>
      <c r="BA4" s="2038"/>
      <c r="BB4" s="2038"/>
      <c r="BC4" s="2038"/>
      <c r="BD4" s="2038"/>
    </row>
    <row r="5" spans="1:81" ht="12.75" customHeight="1">
      <c r="A5" s="461"/>
      <c r="B5" s="808" t="s">
        <v>535</v>
      </c>
      <c r="C5" s="808"/>
      <c r="D5" s="808"/>
      <c r="E5" s="808"/>
      <c r="F5" s="808"/>
      <c r="G5" s="808"/>
      <c r="H5" s="860"/>
      <c r="I5" s="9869" t="s">
        <v>4606</v>
      </c>
      <c r="J5" s="9870"/>
      <c r="K5" s="9870"/>
      <c r="L5" s="9870"/>
      <c r="M5" s="9870"/>
      <c r="N5" s="9870"/>
      <c r="O5" s="9870"/>
      <c r="P5" s="9870"/>
      <c r="Q5" s="9870"/>
      <c r="R5" s="9870"/>
      <c r="S5" s="9870"/>
      <c r="T5" s="9870"/>
      <c r="U5" s="9870"/>
      <c r="V5" s="9870"/>
      <c r="W5" s="9870"/>
      <c r="X5" s="9870"/>
      <c r="Y5" s="9870"/>
      <c r="Z5" s="9870"/>
      <c r="AA5" s="9870"/>
      <c r="AB5" s="9871"/>
      <c r="AC5" s="894"/>
      <c r="AD5" s="8472" t="s">
        <v>3899</v>
      </c>
      <c r="AE5" s="6848"/>
      <c r="AF5" s="6848"/>
      <c r="AG5" s="6848"/>
      <c r="AH5" s="8160">
        <v>176</v>
      </c>
      <c r="AI5" s="8160"/>
      <c r="AJ5" s="808"/>
      <c r="AK5" s="461"/>
      <c r="AL5" s="808"/>
      <c r="AM5" s="808"/>
      <c r="AN5" s="808"/>
      <c r="AO5" s="808"/>
      <c r="AP5" s="808"/>
      <c r="AQ5" s="808"/>
      <c r="AR5" s="808"/>
      <c r="AS5" s="808"/>
      <c r="AT5" s="808"/>
      <c r="AU5" s="808"/>
      <c r="AV5" s="4698"/>
      <c r="AW5" s="2038"/>
      <c r="AX5" s="2038"/>
      <c r="AY5" s="2038"/>
      <c r="AZ5" s="2038"/>
      <c r="BA5" s="2038"/>
      <c r="BB5" s="2038"/>
      <c r="BC5" s="2038"/>
      <c r="BD5" s="2038"/>
    </row>
    <row r="6" spans="1:81" ht="13.5" customHeight="1" thickBot="1">
      <c r="A6" s="461"/>
      <c r="B6" s="896" t="s">
        <v>537</v>
      </c>
      <c r="C6" s="896"/>
      <c r="D6" s="896"/>
      <c r="E6" s="896"/>
      <c r="F6" s="896"/>
      <c r="G6" s="896"/>
      <c r="H6" s="897"/>
      <c r="I6" s="9842" t="s">
        <v>4607</v>
      </c>
      <c r="J6" s="9843"/>
      <c r="K6" s="9843"/>
      <c r="L6" s="9843"/>
      <c r="M6" s="9843"/>
      <c r="N6" s="9843"/>
      <c r="O6" s="9843"/>
      <c r="P6" s="9843"/>
      <c r="Q6" s="9843"/>
      <c r="R6" s="9843"/>
      <c r="S6" s="9843"/>
      <c r="T6" s="9843"/>
      <c r="U6" s="9843"/>
      <c r="V6" s="9843"/>
      <c r="W6" s="9843"/>
      <c r="X6" s="9843"/>
      <c r="Y6" s="9843"/>
      <c r="Z6" s="9843"/>
      <c r="AA6" s="9843"/>
      <c r="AB6" s="9844"/>
      <c r="AC6" s="1118"/>
      <c r="AD6" s="8860" t="s">
        <v>3912</v>
      </c>
      <c r="AE6" s="8861"/>
      <c r="AF6" s="8861"/>
      <c r="AG6" s="8861"/>
      <c r="AH6" s="8848"/>
      <c r="AI6" s="8848"/>
      <c r="AJ6" s="896"/>
      <c r="AK6" s="461"/>
      <c r="AL6" s="808"/>
      <c r="AM6" s="808"/>
      <c r="AN6" s="808"/>
      <c r="AO6" s="808"/>
      <c r="AP6" s="808"/>
      <c r="AQ6" s="808"/>
      <c r="AR6" s="808"/>
      <c r="AS6" s="808"/>
      <c r="AT6" s="808"/>
      <c r="AU6" s="808"/>
      <c r="AV6" s="4698"/>
      <c r="AW6" s="2038"/>
      <c r="AX6" s="2038"/>
      <c r="AY6" s="2038"/>
      <c r="AZ6" s="2038"/>
      <c r="BA6" s="2038"/>
      <c r="BB6" s="2038"/>
      <c r="BC6" s="2038"/>
      <c r="BD6" s="2038"/>
    </row>
    <row r="7" spans="1:81">
      <c r="A7" s="461"/>
      <c r="B7" s="1119" t="s">
        <v>4608</v>
      </c>
      <c r="C7" s="1119"/>
      <c r="D7" s="1119"/>
      <c r="E7" s="1119"/>
      <c r="F7" s="1119"/>
      <c r="G7" s="1119"/>
      <c r="H7" s="1119"/>
      <c r="I7" s="1119"/>
      <c r="J7" s="1119"/>
      <c r="K7" s="1119"/>
      <c r="L7" s="1119"/>
      <c r="M7" s="1119"/>
      <c r="N7" s="1119"/>
      <c r="O7" s="1119"/>
      <c r="P7" s="1119"/>
      <c r="Q7" s="1119"/>
      <c r="R7" s="1119"/>
      <c r="S7" s="1119"/>
      <c r="T7" s="1119"/>
      <c r="U7" s="1119"/>
      <c r="V7" s="1119"/>
      <c r="W7" s="1119"/>
      <c r="X7" s="1119"/>
      <c r="Y7" s="3592" t="s">
        <v>586</v>
      </c>
      <c r="Z7" s="890"/>
      <c r="AA7" s="890"/>
      <c r="AB7" s="890"/>
      <c r="AC7" s="1150"/>
      <c r="AD7" s="1255"/>
      <c r="AE7" s="1255"/>
      <c r="AF7" s="1255"/>
      <c r="AG7" s="1255"/>
      <c r="AH7" s="1255"/>
      <c r="AI7" s="1255"/>
      <c r="AJ7" s="1255"/>
      <c r="AK7" s="461"/>
      <c r="AL7" s="808"/>
      <c r="AM7" s="808"/>
      <c r="AN7" s="808"/>
      <c r="AO7" s="808"/>
      <c r="AP7" s="808"/>
      <c r="AQ7" s="808"/>
      <c r="AR7" s="808"/>
      <c r="AS7" s="808"/>
      <c r="AT7" s="808"/>
      <c r="AU7" s="808"/>
      <c r="AV7" s="4698"/>
      <c r="AW7" s="2038"/>
      <c r="AX7" s="2038"/>
      <c r="AY7" s="2038"/>
      <c r="AZ7" s="2038"/>
      <c r="BA7" s="2038"/>
      <c r="BB7" s="2038"/>
      <c r="BC7" s="2038"/>
      <c r="BD7" s="2038"/>
    </row>
    <row r="8" spans="1:81" ht="13.5" customHeight="1">
      <c r="A8" s="461"/>
      <c r="B8" s="9845" t="str">
        <f>IF(Names="","",Names)</f>
        <v/>
      </c>
      <c r="C8" s="9846"/>
      <c r="D8" s="9846"/>
      <c r="E8" s="9846"/>
      <c r="F8" s="9846"/>
      <c r="G8" s="9846"/>
      <c r="H8" s="9846"/>
      <c r="I8" s="9846"/>
      <c r="J8" s="9846"/>
      <c r="K8" s="9846"/>
      <c r="L8" s="9847"/>
      <c r="M8" s="9847"/>
      <c r="N8" s="9847"/>
      <c r="O8" s="9847"/>
      <c r="P8" s="9847"/>
      <c r="Q8" s="9847"/>
      <c r="R8" s="9847"/>
      <c r="S8" s="9847"/>
      <c r="T8" s="9848"/>
      <c r="U8" s="9848"/>
      <c r="V8" s="9848"/>
      <c r="W8" s="9848"/>
      <c r="X8" s="9849"/>
      <c r="Y8" s="9853">
        <f>IF(OR(NoSSN,SS_Yours=""),"",SS_Yours)</f>
        <v>1010001</v>
      </c>
      <c r="Z8" s="9854"/>
      <c r="AA8" s="9854"/>
      <c r="AB8" s="9854"/>
      <c r="AC8" s="9854"/>
      <c r="AD8" s="9854"/>
      <c r="AE8" s="9854"/>
      <c r="AF8" s="9854"/>
      <c r="AG8" s="9854"/>
      <c r="AH8" s="9854"/>
      <c r="AI8" s="9854"/>
      <c r="AJ8" s="9854"/>
      <c r="AK8" s="461"/>
      <c r="AL8" s="808"/>
      <c r="AM8" s="808"/>
      <c r="AN8" s="808"/>
      <c r="AO8" s="808"/>
      <c r="AP8" s="808"/>
      <c r="AQ8" s="808"/>
      <c r="AR8" s="808"/>
      <c r="AS8" s="808"/>
      <c r="AT8" s="808"/>
      <c r="AU8" s="808"/>
      <c r="AV8" s="4698"/>
      <c r="AW8" s="2038"/>
      <c r="AX8" s="2038"/>
      <c r="AY8" s="2038"/>
      <c r="AZ8" s="2038"/>
      <c r="BA8" s="2038"/>
      <c r="BB8" s="2038"/>
      <c r="BC8" s="2038"/>
      <c r="BD8" s="2038"/>
    </row>
    <row r="9" spans="1:81" ht="5.25" customHeight="1">
      <c r="A9" s="461"/>
      <c r="B9" s="9850"/>
      <c r="C9" s="9850"/>
      <c r="D9" s="9850"/>
      <c r="E9" s="9850"/>
      <c r="F9" s="9850"/>
      <c r="G9" s="9850"/>
      <c r="H9" s="9850"/>
      <c r="I9" s="9850"/>
      <c r="J9" s="9850"/>
      <c r="K9" s="9850"/>
      <c r="L9" s="9850"/>
      <c r="M9" s="9850"/>
      <c r="N9" s="9850"/>
      <c r="O9" s="9850"/>
      <c r="P9" s="9850"/>
      <c r="Q9" s="9850"/>
      <c r="R9" s="9850"/>
      <c r="S9" s="9850"/>
      <c r="T9" s="9851"/>
      <c r="U9" s="9851"/>
      <c r="V9" s="9851"/>
      <c r="W9" s="9851"/>
      <c r="X9" s="9852"/>
      <c r="Y9" s="9855"/>
      <c r="Z9" s="9856"/>
      <c r="AA9" s="9856"/>
      <c r="AB9" s="9856"/>
      <c r="AC9" s="9856"/>
      <c r="AD9" s="9856"/>
      <c r="AE9" s="9856"/>
      <c r="AF9" s="9856"/>
      <c r="AG9" s="9856"/>
      <c r="AH9" s="9856"/>
      <c r="AI9" s="9856"/>
      <c r="AJ9" s="9856"/>
      <c r="AK9" s="461"/>
      <c r="AL9" s="808"/>
      <c r="AM9" s="808"/>
      <c r="AN9" s="808"/>
      <c r="AO9" s="808"/>
      <c r="AP9" s="808"/>
      <c r="AQ9" s="808"/>
      <c r="AR9" s="808"/>
      <c r="AS9" s="808"/>
      <c r="AT9" s="808"/>
      <c r="AU9" s="808"/>
      <c r="AV9" s="4698"/>
      <c r="AW9" s="2038"/>
      <c r="AX9" s="2038"/>
      <c r="AY9" s="2038"/>
      <c r="AZ9" s="2038"/>
      <c r="BA9" s="2038"/>
      <c r="BB9" s="2038"/>
      <c r="BC9" s="2038"/>
      <c r="BD9" s="2038"/>
    </row>
    <row r="10" spans="1:81" ht="5.25" customHeight="1">
      <c r="A10" s="461"/>
      <c r="B10" s="4582"/>
      <c r="C10" s="4583"/>
      <c r="D10" s="4583"/>
      <c r="E10" s="4583"/>
      <c r="F10" s="4583"/>
      <c r="G10" s="4583"/>
      <c r="H10" s="4583"/>
      <c r="I10" s="4583"/>
      <c r="J10" s="4583"/>
      <c r="K10" s="4583"/>
      <c r="L10" s="4583"/>
      <c r="M10" s="4583"/>
      <c r="N10" s="4583"/>
      <c r="O10" s="4583"/>
      <c r="P10" s="4583"/>
      <c r="Q10" s="4583"/>
      <c r="R10" s="4583"/>
      <c r="S10" s="4583"/>
      <c r="T10" s="4583"/>
      <c r="U10" s="4583"/>
      <c r="V10" s="4583"/>
      <c r="W10" s="4583"/>
      <c r="X10" s="4583"/>
      <c r="Y10" s="4583"/>
      <c r="Z10" s="4583"/>
      <c r="AA10" s="4583"/>
      <c r="AB10" s="4583"/>
      <c r="AC10" s="4583"/>
      <c r="AD10" s="4583"/>
      <c r="AE10" s="4583"/>
      <c r="AF10" s="4583"/>
      <c r="AG10" s="4583"/>
      <c r="AH10" s="4583"/>
      <c r="AI10" s="808"/>
      <c r="AJ10" s="808"/>
      <c r="AK10" s="461"/>
      <c r="AL10" s="808"/>
      <c r="AM10" s="808"/>
      <c r="AN10" s="808"/>
      <c r="AO10" s="808"/>
      <c r="AP10" s="808"/>
      <c r="AQ10" s="808"/>
      <c r="AR10" s="808"/>
      <c r="AS10" s="808"/>
      <c r="AT10" s="808"/>
      <c r="AU10" s="808"/>
      <c r="AV10" s="4698"/>
      <c r="AW10" s="2038"/>
      <c r="AX10" s="2038"/>
      <c r="AY10" s="2038"/>
      <c r="AZ10" s="2038"/>
      <c r="BA10" s="2038"/>
      <c r="BB10" s="2038"/>
      <c r="BC10" s="2038"/>
      <c r="BD10" s="2038"/>
    </row>
    <row r="11" spans="1:81" s="2038" customFormat="1" ht="18" customHeight="1">
      <c r="A11" s="461"/>
      <c r="B11" s="6909" t="s">
        <v>884</v>
      </c>
      <c r="C11" s="6909"/>
      <c r="D11" s="1258"/>
      <c r="E11" s="3728" t="s">
        <v>4609</v>
      </c>
      <c r="F11" s="1122"/>
      <c r="G11" s="1122"/>
      <c r="H11" s="1122"/>
      <c r="I11" s="3728"/>
      <c r="J11" s="1122"/>
      <c r="K11" s="1122"/>
      <c r="L11" s="1122"/>
      <c r="M11" s="1122"/>
      <c r="N11" s="1122"/>
      <c r="O11" s="1122"/>
      <c r="P11" s="1122"/>
      <c r="Q11" s="1122"/>
      <c r="R11" s="1122"/>
      <c r="S11" s="1122"/>
      <c r="T11" s="1122"/>
      <c r="U11" s="1122"/>
      <c r="V11" s="1122"/>
      <c r="W11" s="1122"/>
      <c r="X11" s="1122"/>
      <c r="Y11" s="1122"/>
      <c r="Z11" s="1122"/>
      <c r="AA11" s="1122"/>
      <c r="AB11" s="1122"/>
      <c r="AC11" s="1122"/>
      <c r="AD11" s="1122"/>
      <c r="AE11" s="1122"/>
      <c r="AF11" s="1122"/>
      <c r="AG11" s="1122"/>
      <c r="AH11" s="1122"/>
      <c r="AI11" s="1122"/>
      <c r="AJ11" s="1122"/>
      <c r="AK11" s="461"/>
      <c r="AL11" s="2175"/>
      <c r="AM11" s="808"/>
      <c r="AN11" s="808"/>
      <c r="AO11" s="808"/>
      <c r="AP11" s="808"/>
      <c r="AQ11" s="808"/>
      <c r="AR11" s="808"/>
      <c r="AS11" s="808"/>
      <c r="AT11" s="808"/>
      <c r="AU11" s="808"/>
      <c r="AV11" s="4698"/>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row>
    <row r="12" spans="1:81" s="2038" customFormat="1" ht="18" customHeight="1">
      <c r="A12" s="461"/>
      <c r="B12" s="808"/>
      <c r="C12" s="1124" t="s">
        <v>252</v>
      </c>
      <c r="D12" s="2112" t="s">
        <v>4610</v>
      </c>
      <c r="E12" s="808"/>
      <c r="F12" s="808"/>
      <c r="G12" s="808"/>
      <c r="H12" s="808"/>
      <c r="I12" s="808"/>
      <c r="J12" s="808"/>
      <c r="K12" s="808"/>
      <c r="L12" s="808"/>
      <c r="M12" s="808"/>
      <c r="N12" s="808"/>
      <c r="O12" s="808"/>
      <c r="P12" s="808"/>
      <c r="Q12" s="808"/>
      <c r="R12" s="808"/>
      <c r="S12" s="808"/>
      <c r="T12" s="808"/>
      <c r="U12" s="808"/>
      <c r="V12" s="808"/>
      <c r="W12" s="808"/>
      <c r="X12" s="808"/>
      <c r="Y12" s="808"/>
      <c r="Z12" s="808"/>
      <c r="AA12" s="808"/>
      <c r="AB12" s="808"/>
      <c r="AC12" s="808"/>
      <c r="AD12" s="1123"/>
      <c r="AE12" s="808"/>
      <c r="AF12" s="808"/>
      <c r="AG12" s="808"/>
      <c r="AH12" s="808"/>
      <c r="AI12" s="808"/>
      <c r="AJ12" s="808"/>
      <c r="AK12" s="461"/>
      <c r="AL12" s="2175"/>
      <c r="AM12" s="808"/>
      <c r="AN12" s="808"/>
      <c r="AO12" s="808"/>
      <c r="AP12" s="808"/>
      <c r="AQ12" s="808"/>
      <c r="AR12" s="808"/>
      <c r="AS12" s="808"/>
      <c r="AT12" s="808"/>
      <c r="AU12" s="808"/>
      <c r="AV12" s="4698"/>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row>
    <row r="13" spans="1:81" s="2038" customFormat="1" ht="15" customHeight="1">
      <c r="A13" s="461"/>
      <c r="B13" s="808"/>
      <c r="C13" s="1124"/>
      <c r="D13" s="2112" t="s">
        <v>4611</v>
      </c>
      <c r="E13" s="808"/>
      <c r="F13" s="808"/>
      <c r="G13" s="808"/>
      <c r="H13" s="808"/>
      <c r="I13" s="808"/>
      <c r="J13" s="808"/>
      <c r="K13" s="808"/>
      <c r="L13" s="808"/>
      <c r="M13" s="808"/>
      <c r="N13" s="808"/>
      <c r="O13" s="808"/>
      <c r="P13" s="808"/>
      <c r="Q13" s="808"/>
      <c r="R13" s="808"/>
      <c r="S13" s="808"/>
      <c r="T13" s="808"/>
      <c r="U13" s="808"/>
      <c r="V13" s="808"/>
      <c r="W13" s="808"/>
      <c r="X13" s="808"/>
      <c r="Y13" s="808"/>
      <c r="Z13" s="808"/>
      <c r="AA13" s="808"/>
      <c r="AB13" s="808"/>
      <c r="AC13" s="1128" t="s">
        <v>2163</v>
      </c>
      <c r="AD13" s="1125">
        <v>1</v>
      </c>
      <c r="AE13" s="9594"/>
      <c r="AF13" s="9832"/>
      <c r="AG13" s="9832"/>
      <c r="AH13" s="9832"/>
      <c r="AI13" s="9832"/>
      <c r="AJ13" s="9832"/>
      <c r="AK13" s="461"/>
      <c r="AL13" s="2175"/>
      <c r="AM13" s="808"/>
      <c r="AN13" s="808"/>
      <c r="AO13" s="808"/>
      <c r="AP13" s="808"/>
      <c r="AQ13" s="808"/>
      <c r="AR13" s="808"/>
      <c r="AS13" s="808"/>
      <c r="AT13" s="808"/>
      <c r="AU13" s="808"/>
      <c r="AV13" s="4698"/>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row>
    <row r="14" spans="1:81" s="2038" customFormat="1" ht="15" customHeight="1">
      <c r="A14" s="461"/>
      <c r="B14" s="808"/>
      <c r="C14" s="1124">
        <v>2</v>
      </c>
      <c r="D14" s="2112" t="s">
        <v>4612</v>
      </c>
      <c r="E14" s="808"/>
      <c r="F14" s="808"/>
      <c r="G14" s="808"/>
      <c r="H14" s="808"/>
      <c r="I14" s="808"/>
      <c r="J14" s="808"/>
      <c r="K14" s="808"/>
      <c r="L14" s="808"/>
      <c r="M14" s="808"/>
      <c r="N14" s="808"/>
      <c r="O14" s="808"/>
      <c r="P14" s="808"/>
      <c r="Q14" s="808"/>
      <c r="R14" s="808"/>
      <c r="S14" s="808"/>
      <c r="T14" s="808"/>
      <c r="U14" s="808"/>
      <c r="V14" s="808"/>
      <c r="W14" s="808"/>
      <c r="X14" s="808"/>
      <c r="Y14" s="808"/>
      <c r="Z14" s="808"/>
      <c r="AA14" s="808"/>
      <c r="AB14" s="808"/>
      <c r="AC14" s="1128" t="s">
        <v>4613</v>
      </c>
      <c r="AD14" s="1125">
        <v>2</v>
      </c>
      <c r="AE14" s="9594"/>
      <c r="AF14" s="9832"/>
      <c r="AG14" s="9832"/>
      <c r="AH14" s="9832"/>
      <c r="AI14" s="9832"/>
      <c r="AJ14" s="9832"/>
      <c r="AK14" s="461"/>
      <c r="AL14" s="2175"/>
      <c r="AM14" s="808"/>
      <c r="AN14" s="808"/>
      <c r="AO14" s="808"/>
      <c r="AP14" s="808"/>
      <c r="AQ14" s="808"/>
      <c r="AR14" s="808"/>
      <c r="AS14" s="808"/>
      <c r="AT14" s="808"/>
      <c r="AU14" s="808"/>
      <c r="AV14" s="4698"/>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row>
    <row r="15" spans="1:81" s="2038" customFormat="1" ht="15" customHeight="1">
      <c r="A15" s="461"/>
      <c r="B15" s="808"/>
      <c r="C15" s="1124">
        <v>3</v>
      </c>
      <c r="D15" s="2112" t="s">
        <v>4614</v>
      </c>
      <c r="E15" s="808"/>
      <c r="F15" s="808"/>
      <c r="G15" s="808"/>
      <c r="H15" s="808"/>
      <c r="I15" s="808"/>
      <c r="J15" s="808"/>
      <c r="K15" s="808"/>
      <c r="L15" s="808"/>
      <c r="M15" s="808"/>
      <c r="N15" s="808"/>
      <c r="O15" s="808"/>
      <c r="P15" s="808"/>
      <c r="Q15" s="808"/>
      <c r="R15" s="808"/>
      <c r="S15" s="808"/>
      <c r="T15" s="808"/>
      <c r="U15" s="808"/>
      <c r="V15" s="808"/>
      <c r="W15" s="808"/>
      <c r="X15" s="808"/>
      <c r="Y15" s="808"/>
      <c r="Z15" s="808"/>
      <c r="AA15" s="808"/>
      <c r="AB15" s="808"/>
      <c r="AC15" s="1128" t="s">
        <v>670</v>
      </c>
      <c r="AD15" s="1125">
        <v>3</v>
      </c>
      <c r="AE15" s="9833" t="str">
        <f>IF(NOT(AM15),"",IF(AE13&gt;AE14,1,ROUND(AE13/AE14*100,2)))</f>
        <v/>
      </c>
      <c r="AF15" s="9834"/>
      <c r="AG15" s="9834"/>
      <c r="AH15" s="9834"/>
      <c r="AI15" s="9834"/>
      <c r="AJ15" s="4751" t="str">
        <f>"%"</f>
        <v>%</v>
      </c>
      <c r="AK15" s="461"/>
      <c r="AL15" s="2175"/>
      <c r="AM15" s="900" t="b">
        <f>AND(AE13&lt;&gt;"",AE14&lt;&gt;"",AE14&lt;&gt;0)</f>
        <v>0</v>
      </c>
      <c r="AN15" s="808"/>
      <c r="AO15" s="808"/>
      <c r="AP15" s="808"/>
      <c r="AQ15" s="808"/>
      <c r="AR15" s="808"/>
      <c r="AS15" s="808"/>
      <c r="AT15" s="808"/>
      <c r="AU15" s="808"/>
      <c r="AV15" s="4698"/>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row>
    <row r="16" spans="1:81" s="2038" customFormat="1" ht="16.5" thickBot="1">
      <c r="A16" s="461"/>
      <c r="B16" s="808"/>
      <c r="C16" s="808"/>
      <c r="D16" s="3174" t="s">
        <v>4615</v>
      </c>
      <c r="E16" s="808"/>
      <c r="F16" s="808"/>
      <c r="G16" s="808"/>
      <c r="H16" s="808"/>
      <c r="I16" s="808"/>
      <c r="J16" s="808"/>
      <c r="K16" s="808"/>
      <c r="L16" s="808"/>
      <c r="M16" s="808"/>
      <c r="N16" s="808"/>
      <c r="O16" s="808"/>
      <c r="P16" s="808"/>
      <c r="Q16" s="808"/>
      <c r="R16" s="808"/>
      <c r="S16" s="808"/>
      <c r="T16" s="808"/>
      <c r="U16" s="808"/>
      <c r="V16" s="808"/>
      <c r="W16" s="808"/>
      <c r="X16" s="808"/>
      <c r="Y16" s="808"/>
      <c r="Z16" s="808"/>
      <c r="AA16" s="808"/>
      <c r="AB16" s="808"/>
      <c r="AC16" s="1151"/>
      <c r="AD16" s="1129"/>
      <c r="AE16" s="2112"/>
      <c r="AF16" s="2112"/>
      <c r="AG16" s="2112"/>
      <c r="AH16" s="2112"/>
      <c r="AI16" s="2112"/>
      <c r="AJ16" s="2112"/>
      <c r="AK16" s="461"/>
      <c r="AL16" s="2175"/>
      <c r="AM16" s="808"/>
      <c r="AN16" s="808"/>
      <c r="AO16" s="808"/>
      <c r="AP16" s="808"/>
      <c r="AQ16" s="808"/>
      <c r="AR16" s="808"/>
      <c r="AS16" s="808"/>
      <c r="AT16" s="808"/>
      <c r="AU16" s="808"/>
      <c r="AV16" s="4698"/>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row>
    <row r="17" spans="1:81" s="2038" customFormat="1" ht="15.75" thickBot="1">
      <c r="A17" s="461"/>
      <c r="B17" s="808"/>
      <c r="C17" s="1124">
        <v>4</v>
      </c>
      <c r="D17" s="2112" t="s">
        <v>4616</v>
      </c>
      <c r="E17" s="808"/>
      <c r="F17" s="808"/>
      <c r="G17" s="808"/>
      <c r="H17" s="808"/>
      <c r="I17" s="808"/>
      <c r="J17" s="808"/>
      <c r="K17" s="808"/>
      <c r="L17" s="808"/>
      <c r="M17" s="808"/>
      <c r="N17" s="808"/>
      <c r="O17" s="808"/>
      <c r="P17" s="808"/>
      <c r="Q17" s="808"/>
      <c r="R17" s="808"/>
      <c r="S17" s="1124"/>
      <c r="T17" s="808"/>
      <c r="U17" s="808"/>
      <c r="V17" s="1128" t="s">
        <v>699</v>
      </c>
      <c r="W17" s="1125">
        <v>4</v>
      </c>
      <c r="X17" s="9564"/>
      <c r="Y17" s="9594"/>
      <c r="Z17" s="9594"/>
      <c r="AA17" s="9594"/>
      <c r="AB17" s="9594"/>
      <c r="AC17" s="5058" t="s">
        <v>4617</v>
      </c>
      <c r="AD17" s="1129"/>
      <c r="AE17" s="2112"/>
      <c r="AF17" s="2112"/>
      <c r="AG17" s="2112"/>
      <c r="AH17" s="2112"/>
      <c r="AI17" s="2112"/>
      <c r="AJ17" s="2112"/>
      <c r="AK17" s="461"/>
      <c r="AL17" s="810"/>
      <c r="AM17" s="2112" t="s">
        <v>4618</v>
      </c>
      <c r="AN17" s="808"/>
      <c r="AO17" s="808"/>
      <c r="AP17" s="808"/>
      <c r="AQ17" s="808"/>
      <c r="AR17" s="808"/>
      <c r="AS17" s="808"/>
      <c r="AT17" s="808"/>
      <c r="AU17" s="808"/>
      <c r="AV17" s="4698"/>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row>
    <row r="18" spans="1:81" s="2038" customFormat="1" ht="15">
      <c r="A18" s="461"/>
      <c r="B18" s="808"/>
      <c r="C18" s="1124">
        <v>5</v>
      </c>
      <c r="D18" s="2112" t="s">
        <v>4619</v>
      </c>
      <c r="E18" s="808"/>
      <c r="F18" s="808"/>
      <c r="G18" s="808"/>
      <c r="H18" s="808"/>
      <c r="I18" s="808"/>
      <c r="J18" s="808"/>
      <c r="K18" s="808"/>
      <c r="L18" s="808"/>
      <c r="M18" s="808"/>
      <c r="N18" s="808"/>
      <c r="O18" s="808"/>
      <c r="P18" s="808"/>
      <c r="Q18" s="1128"/>
      <c r="R18" s="1128"/>
      <c r="S18" s="808"/>
      <c r="T18" s="808"/>
      <c r="U18" s="808"/>
      <c r="V18" s="808"/>
      <c r="W18" s="2389"/>
      <c r="X18" s="4753"/>
      <c r="Y18" s="4754"/>
      <c r="Z18" s="4754"/>
      <c r="AA18" s="4754"/>
      <c r="AB18" s="9835">
        <v>8760</v>
      </c>
      <c r="AC18" s="9836"/>
      <c r="AD18" s="1129"/>
      <c r="AE18" s="2112"/>
      <c r="AF18" s="2112"/>
      <c r="AG18" s="2112"/>
      <c r="AH18" s="2112"/>
      <c r="AI18" s="2112"/>
      <c r="AJ18" s="2112"/>
      <c r="AK18" s="461"/>
      <c r="AL18" s="2175"/>
      <c r="AM18" s="900" t="b">
        <f>AL17&lt;&gt;""</f>
        <v>0</v>
      </c>
      <c r="AN18" s="808"/>
      <c r="AO18" s="808"/>
      <c r="AP18" s="808"/>
      <c r="AQ18" s="808"/>
      <c r="AR18" s="808"/>
      <c r="AS18" s="808"/>
      <c r="AT18" s="808"/>
      <c r="AU18" s="808"/>
      <c r="AV18" s="4698"/>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row>
    <row r="19" spans="1:81" s="2038" customFormat="1" ht="15.75" thickBot="1">
      <c r="A19" s="461" t="s">
        <v>2181</v>
      </c>
      <c r="B19" s="808"/>
      <c r="C19" s="1127"/>
      <c r="D19" s="2112" t="str">
        <f>"see instructions; otherwise, enter "&amp;TEXT(AB18,"0,000")</f>
        <v>see instructions; otherwise, enter 8,760</v>
      </c>
      <c r="E19" s="808"/>
      <c r="F19" s="808"/>
      <c r="G19" s="808"/>
      <c r="H19" s="808"/>
      <c r="I19" s="808"/>
      <c r="J19" s="808"/>
      <c r="K19" s="808"/>
      <c r="L19" s="808"/>
      <c r="M19" s="808"/>
      <c r="N19" s="808"/>
      <c r="O19" s="808"/>
      <c r="P19" s="808"/>
      <c r="Q19" s="1128"/>
      <c r="R19" s="1128"/>
      <c r="S19" s="808"/>
      <c r="T19" s="808"/>
      <c r="U19" s="808"/>
      <c r="V19" s="1128" t="s">
        <v>642</v>
      </c>
      <c r="W19" s="1132">
        <v>5</v>
      </c>
      <c r="X19" s="9867"/>
      <c r="Y19" s="9868"/>
      <c r="Z19" s="9868"/>
      <c r="AA19" s="9868"/>
      <c r="AB19" s="9868"/>
      <c r="AC19" s="5058" t="s">
        <v>4617</v>
      </c>
      <c r="AD19" s="1129"/>
      <c r="AE19" s="2112"/>
      <c r="AF19" s="2112"/>
      <c r="AG19" s="2112"/>
      <c r="AH19" s="2112"/>
      <c r="AI19" s="2112"/>
      <c r="AJ19" s="2112"/>
      <c r="AK19" s="461"/>
      <c r="AL19" s="2175"/>
      <c r="AM19" s="900" t="b">
        <f>OR(AND(AM15,NOT(AM18)),AND(AM15,AM18,X17&lt;&gt;"",X19&lt;&gt;""))</f>
        <v>0</v>
      </c>
      <c r="AN19" s="808"/>
      <c r="AO19" s="808"/>
      <c r="AP19" s="808"/>
      <c r="AQ19" s="808"/>
      <c r="AR19" s="808"/>
      <c r="AS19" s="808"/>
      <c r="AT19" s="808"/>
      <c r="AU19" s="808"/>
      <c r="AV19" s="4698"/>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row>
    <row r="20" spans="1:81" s="2038" customFormat="1" ht="15.75" customHeight="1">
      <c r="A20" s="461"/>
      <c r="B20" s="808"/>
      <c r="C20" s="1124">
        <v>6</v>
      </c>
      <c r="D20" s="2112" t="s">
        <v>4620</v>
      </c>
      <c r="E20" s="808"/>
      <c r="F20" s="808"/>
      <c r="G20" s="808"/>
      <c r="H20" s="808"/>
      <c r="I20" s="808"/>
      <c r="J20" s="808"/>
      <c r="K20" s="808"/>
      <c r="L20" s="808"/>
      <c r="M20" s="808"/>
      <c r="N20" s="808"/>
      <c r="O20" s="808"/>
      <c r="P20" s="808"/>
      <c r="Q20" s="808"/>
      <c r="R20" s="808"/>
      <c r="S20" s="1124"/>
      <c r="T20" s="808"/>
      <c r="U20" s="808"/>
      <c r="V20" s="1128" t="s">
        <v>677</v>
      </c>
      <c r="W20" s="1125">
        <v>6</v>
      </c>
      <c r="X20" s="9837" t="str">
        <f>IF(OR(NOT(AM19),AE13="",AE14="",X19=""),"",ROUND(X17/X19,3))</f>
        <v/>
      </c>
      <c r="Y20" s="9838"/>
      <c r="Z20" s="9838"/>
      <c r="AA20" s="9838"/>
      <c r="AB20" s="9838"/>
      <c r="AC20" s="9839"/>
      <c r="AD20" s="1129"/>
      <c r="AE20" s="2112"/>
      <c r="AF20" s="2112"/>
      <c r="AG20" s="2112"/>
      <c r="AH20" s="2112"/>
      <c r="AI20" s="2112"/>
      <c r="AJ20" s="2112"/>
      <c r="AK20" s="461"/>
      <c r="AL20" s="2175"/>
      <c r="AM20" s="808"/>
      <c r="AN20" s="808"/>
      <c r="AO20" s="808"/>
      <c r="AP20" s="808"/>
      <c r="AQ20" s="808"/>
      <c r="AR20" s="808"/>
      <c r="AS20" s="808"/>
      <c r="AT20" s="808"/>
      <c r="AU20" s="808"/>
      <c r="AV20" s="4698"/>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row>
    <row r="21" spans="1:81" s="2038" customFormat="1" ht="15">
      <c r="A21" s="461"/>
      <c r="B21" s="808"/>
      <c r="C21" s="1124">
        <v>7</v>
      </c>
      <c r="D21" s="2112" t="s">
        <v>4621</v>
      </c>
      <c r="E21" s="808"/>
      <c r="F21" s="808"/>
      <c r="G21" s="808"/>
      <c r="H21" s="808"/>
      <c r="I21" s="808"/>
      <c r="J21" s="808"/>
      <c r="K21" s="808"/>
      <c r="L21" s="808"/>
      <c r="M21" s="808"/>
      <c r="N21" s="808"/>
      <c r="O21" s="808"/>
      <c r="P21" s="808"/>
      <c r="Q21" s="808"/>
      <c r="R21" s="808"/>
      <c r="S21" s="808"/>
      <c r="T21" s="808"/>
      <c r="U21" s="808"/>
      <c r="V21" s="808"/>
      <c r="W21" s="808"/>
      <c r="X21" s="808"/>
      <c r="Y21" s="808"/>
      <c r="Z21" s="808"/>
      <c r="AA21" s="808"/>
      <c r="AB21" s="808"/>
      <c r="AC21" s="808"/>
      <c r="AD21" s="1129"/>
      <c r="AE21" s="2112"/>
      <c r="AF21" s="2112"/>
      <c r="AG21" s="2112"/>
      <c r="AH21" s="2112"/>
      <c r="AI21" s="2112"/>
      <c r="AJ21" s="2112"/>
      <c r="AK21" s="461"/>
      <c r="AL21" s="2175"/>
      <c r="AM21" s="808"/>
      <c r="AN21" s="808"/>
      <c r="AO21" s="808"/>
      <c r="AP21" s="808"/>
      <c r="AQ21" s="808"/>
      <c r="AR21" s="808"/>
      <c r="AS21" s="808"/>
      <c r="AT21" s="808"/>
      <c r="AU21" s="808"/>
      <c r="AV21" s="4698"/>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row>
    <row r="22" spans="1:81" s="2038" customFormat="1" ht="15" customHeight="1" thickBot="1">
      <c r="A22" s="461"/>
      <c r="B22" s="896"/>
      <c r="C22" s="4737"/>
      <c r="D22" s="2122" t="s">
        <v>4622</v>
      </c>
      <c r="E22" s="896"/>
      <c r="F22" s="896"/>
      <c r="G22" s="896"/>
      <c r="H22" s="896"/>
      <c r="I22" s="896"/>
      <c r="J22" s="896"/>
      <c r="K22" s="896"/>
      <c r="L22" s="896"/>
      <c r="M22" s="896"/>
      <c r="N22" s="896"/>
      <c r="O22" s="896"/>
      <c r="P22" s="896"/>
      <c r="Q22" s="896"/>
      <c r="R22" s="896"/>
      <c r="S22" s="896"/>
      <c r="T22" s="896"/>
      <c r="U22" s="896"/>
      <c r="V22" s="896"/>
      <c r="W22" s="896"/>
      <c r="X22" s="896"/>
      <c r="Y22" s="896"/>
      <c r="Z22" s="896"/>
      <c r="AA22" s="896"/>
      <c r="AB22" s="896"/>
      <c r="AC22" s="3614" t="s">
        <v>752</v>
      </c>
      <c r="AD22" s="1132">
        <v>7</v>
      </c>
      <c r="AE22" s="9863" t="str">
        <f>IF(NOT(AM19),"",IF(AM18,ROUND(X20*AE15,3),AE15))</f>
        <v/>
      </c>
      <c r="AF22" s="9864"/>
      <c r="AG22" s="9864"/>
      <c r="AH22" s="9864"/>
      <c r="AI22" s="9864"/>
      <c r="AJ22" s="4752" t="str">
        <f>"%"</f>
        <v>%</v>
      </c>
      <c r="AK22" s="461"/>
      <c r="AL22" s="2175"/>
      <c r="AM22" s="808"/>
      <c r="AN22" s="808"/>
      <c r="AO22" s="892"/>
      <c r="AP22" s="808"/>
      <c r="AQ22" s="808"/>
      <c r="AR22" s="808"/>
      <c r="AS22" s="808"/>
      <c r="AT22" s="808"/>
      <c r="AU22" s="808"/>
      <c r="AV22" s="4698"/>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row>
    <row r="23" spans="1:81" s="2038" customFormat="1" ht="18">
      <c r="A23" s="461"/>
      <c r="B23" s="7833" t="s">
        <v>982</v>
      </c>
      <c r="C23" s="7833"/>
      <c r="D23" s="3502"/>
      <c r="E23" s="3727" t="s">
        <v>4623</v>
      </c>
      <c r="F23" s="1121"/>
      <c r="G23" s="1121"/>
      <c r="H23" s="1121"/>
      <c r="I23" s="3727"/>
      <c r="J23" s="1121"/>
      <c r="K23" s="1121"/>
      <c r="L23" s="1121"/>
      <c r="M23" s="1121"/>
      <c r="N23" s="1121"/>
      <c r="O23" s="1121"/>
      <c r="P23" s="1121"/>
      <c r="Q23" s="1121"/>
      <c r="R23" s="1121"/>
      <c r="S23" s="1121"/>
      <c r="T23" s="1121"/>
      <c r="U23" s="1121"/>
      <c r="V23" s="1121"/>
      <c r="W23" s="1121"/>
      <c r="X23" s="1121"/>
      <c r="Y23" s="1121"/>
      <c r="Z23" s="1121"/>
      <c r="AA23" s="1121"/>
      <c r="AB23" s="1121"/>
      <c r="AC23" s="1121"/>
      <c r="AD23" s="1121"/>
      <c r="AE23" s="1121"/>
      <c r="AF23" s="1121"/>
      <c r="AG23" s="1121"/>
      <c r="AH23" s="1121"/>
      <c r="AI23" s="1121"/>
      <c r="AJ23" s="1121"/>
      <c r="AK23" s="461"/>
      <c r="AL23" s="2175"/>
      <c r="AM23" s="899" t="s">
        <v>4624</v>
      </c>
      <c r="AN23" s="808"/>
      <c r="AO23" s="892" t="s">
        <v>4625</v>
      </c>
      <c r="AP23" s="892"/>
      <c r="AQ23" s="892"/>
      <c r="AR23" s="892"/>
      <c r="AS23" s="892"/>
      <c r="AT23" s="892"/>
      <c r="AU23" s="892"/>
      <c r="AV23" s="4698"/>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row>
    <row r="24" spans="1:81" s="2038" customFormat="1" ht="15">
      <c r="A24" s="461"/>
      <c r="B24" s="808"/>
      <c r="C24" s="1124">
        <v>8</v>
      </c>
      <c r="D24" s="2112" t="s">
        <v>4626</v>
      </c>
      <c r="E24" s="808"/>
      <c r="F24" s="808"/>
      <c r="G24" s="808"/>
      <c r="H24" s="808"/>
      <c r="I24" s="808"/>
      <c r="J24" s="808"/>
      <c r="K24" s="808"/>
      <c r="L24" s="808"/>
      <c r="M24" s="808"/>
      <c r="N24" s="808"/>
      <c r="O24" s="808"/>
      <c r="P24" s="808"/>
      <c r="Q24" s="808"/>
      <c r="R24" s="808"/>
      <c r="S24" s="808"/>
      <c r="T24" s="808"/>
      <c r="U24" s="808"/>
      <c r="V24" s="808"/>
      <c r="W24" s="808"/>
      <c r="X24" s="808"/>
      <c r="Y24" s="808"/>
      <c r="Z24" s="808"/>
      <c r="AA24" s="808"/>
      <c r="AB24" s="808"/>
      <c r="AC24" s="808"/>
      <c r="AD24" s="1126"/>
      <c r="AE24" s="808"/>
      <c r="AF24" s="808"/>
      <c r="AG24" s="808"/>
      <c r="AH24" s="808"/>
      <c r="AI24" s="808"/>
      <c r="AJ24" s="808"/>
      <c r="AK24" s="461"/>
      <c r="AL24" s="1665" t="str">
        <f>IF(AL25="","X","")</f>
        <v>X</v>
      </c>
      <c r="AM24" s="4771">
        <f>SchC_TentativeProfit1</f>
        <v>0</v>
      </c>
      <c r="AN24" s="808"/>
      <c r="AO24" s="4755">
        <v>1</v>
      </c>
      <c r="AP24" s="1461"/>
      <c r="AQ24" s="1461"/>
      <c r="AR24" s="1461"/>
      <c r="AS24" s="874" t="b">
        <f>AE22&lt;&gt;""</f>
        <v>0</v>
      </c>
      <c r="AT24" s="1461"/>
      <c r="AU24" s="1461"/>
      <c r="AV24" s="4698"/>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row>
    <row r="25" spans="1:81" s="2038" customFormat="1" ht="14.25" customHeight="1">
      <c r="A25" s="461"/>
      <c r="B25" s="2112"/>
      <c r="C25" s="2112"/>
      <c r="D25" s="2112" t="s">
        <v>4627</v>
      </c>
      <c r="E25" s="2112"/>
      <c r="F25" s="2112"/>
      <c r="G25" s="2112"/>
      <c r="H25" s="2112"/>
      <c r="I25" s="2112"/>
      <c r="J25" s="2112"/>
      <c r="K25" s="2112"/>
      <c r="L25" s="2112"/>
      <c r="M25" s="2112"/>
      <c r="N25" s="2112"/>
      <c r="O25" s="2112"/>
      <c r="P25" s="2112"/>
      <c r="Q25" s="2112"/>
      <c r="R25" s="2112"/>
      <c r="S25" s="2112"/>
      <c r="T25" s="2112"/>
      <c r="U25" s="2112"/>
      <c r="V25" s="2112"/>
      <c r="W25" s="2112"/>
      <c r="X25" s="2112"/>
      <c r="Y25" s="2112"/>
      <c r="Z25" s="2112"/>
      <c r="AA25" s="2112"/>
      <c r="AB25" s="2112"/>
      <c r="AC25" s="2112"/>
      <c r="AD25" s="1125">
        <v>8</v>
      </c>
      <c r="AE25" s="9823" t="str">
        <f>IF(AM26&lt;&gt;"",ROUND(AM26,0),IF(AND($AM$19,AL24&lt;&gt;""),ROUND(AM24,0),IF(AND($AM$19,AL25&lt;&gt;""),ROUND(AM25,0),"")))</f>
        <v/>
      </c>
      <c r="AF25" s="9824"/>
      <c r="AG25" s="9824"/>
      <c r="AH25" s="9824"/>
      <c r="AI25" s="9824"/>
      <c r="AJ25" s="9824"/>
      <c r="AK25" s="461"/>
      <c r="AL25" s="809"/>
      <c r="AM25" s="4771">
        <f>SchC_TentativeProfit2</f>
        <v>0</v>
      </c>
      <c r="AN25" s="808"/>
      <c r="AO25" s="4755">
        <v>2</v>
      </c>
      <c r="AP25" s="1746" t="s">
        <v>4628</v>
      </c>
      <c r="AQ25" s="1461"/>
      <c r="AR25" s="1461"/>
      <c r="AS25" s="874" t="b">
        <f>AL25&lt;&gt;""</f>
        <v>0</v>
      </c>
      <c r="AT25" s="1461"/>
      <c r="AU25" s="1461"/>
      <c r="AV25" s="4698"/>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row>
    <row r="26" spans="1:81" s="2038" customFormat="1" ht="15">
      <c r="A26" s="461"/>
      <c r="B26" s="1127"/>
      <c r="C26" s="1124"/>
      <c r="D26" s="4736" t="s">
        <v>4629</v>
      </c>
      <c r="E26" s="2112"/>
      <c r="F26" s="2112"/>
      <c r="G26" s="2112"/>
      <c r="H26" s="2112"/>
      <c r="I26" s="2112"/>
      <c r="J26" s="2112"/>
      <c r="K26" s="2112"/>
      <c r="L26" s="2112"/>
      <c r="M26" s="2112"/>
      <c r="N26" s="2112"/>
      <c r="O26" s="2112"/>
      <c r="P26" s="2112"/>
      <c r="Q26" s="2112"/>
      <c r="R26" s="9857" t="s">
        <v>4630</v>
      </c>
      <c r="S26" s="9858"/>
      <c r="T26" s="9858"/>
      <c r="U26" s="9858"/>
      <c r="V26" s="9858"/>
      <c r="W26" s="9859"/>
      <c r="X26" s="9857" t="s">
        <v>4631</v>
      </c>
      <c r="Y26" s="9858"/>
      <c r="Z26" s="9858"/>
      <c r="AA26" s="9858"/>
      <c r="AB26" s="9858"/>
      <c r="AC26" s="9859"/>
      <c r="AD26" s="1129"/>
      <c r="AE26" s="808"/>
      <c r="AF26" s="808"/>
      <c r="AG26" s="808"/>
      <c r="AH26" s="808"/>
      <c r="AI26" s="808"/>
      <c r="AJ26" s="808"/>
      <c r="AK26" s="461"/>
      <c r="AL26" s="4769"/>
      <c r="AM26" s="4771"/>
      <c r="AN26" s="4769"/>
      <c r="AO26" s="4769"/>
      <c r="AP26" s="808"/>
      <c r="AQ26" s="808"/>
      <c r="AR26" s="808"/>
      <c r="AS26" s="808"/>
      <c r="AT26" s="808"/>
      <c r="AU26" s="808"/>
      <c r="AV26" s="4698"/>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row>
    <row r="27" spans="1:81" s="2038" customFormat="1" ht="15">
      <c r="A27" s="461"/>
      <c r="B27" s="2112"/>
      <c r="C27" s="1124">
        <v>9</v>
      </c>
      <c r="D27" s="2112" t="s">
        <v>4632</v>
      </c>
      <c r="E27" s="2112"/>
      <c r="F27" s="2112"/>
      <c r="G27" s="2112"/>
      <c r="H27" s="2112"/>
      <c r="I27" s="2112"/>
      <c r="J27" s="2112"/>
      <c r="K27" s="2112"/>
      <c r="L27" s="2112"/>
      <c r="M27" s="2112"/>
      <c r="N27" s="2112"/>
      <c r="O27" s="2112"/>
      <c r="P27" s="1128" t="s">
        <v>950</v>
      </c>
      <c r="Q27" s="1706">
        <v>9</v>
      </c>
      <c r="R27" s="9825"/>
      <c r="S27" s="9826"/>
      <c r="T27" s="9826"/>
      <c r="U27" s="9826"/>
      <c r="V27" s="9826"/>
      <c r="W27" s="9826"/>
      <c r="X27" s="9825"/>
      <c r="Y27" s="9826"/>
      <c r="Z27" s="9826"/>
      <c r="AA27" s="9826"/>
      <c r="AB27" s="9826"/>
      <c r="AC27" s="9826"/>
      <c r="AD27" s="1129"/>
      <c r="AE27" s="808"/>
      <c r="AF27" s="808"/>
      <c r="AG27" s="808"/>
      <c r="AH27" s="808"/>
      <c r="AI27" s="808"/>
      <c r="AJ27" s="808"/>
      <c r="AK27" s="461"/>
      <c r="AL27" s="2175"/>
      <c r="AM27" s="4770" t="s">
        <v>867</v>
      </c>
      <c r="AN27" s="808"/>
      <c r="AO27" s="808"/>
      <c r="AP27" s="2184" t="s">
        <v>4633</v>
      </c>
      <c r="AQ27" s="4760"/>
      <c r="AR27" s="4760"/>
      <c r="AS27" s="4760"/>
      <c r="AT27" s="4761"/>
      <c r="AU27" s="1461"/>
      <c r="AV27" s="4698"/>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row>
    <row r="28" spans="1:81" s="2038" customFormat="1" ht="15">
      <c r="A28" s="461"/>
      <c r="B28" s="2112"/>
      <c r="C28" s="1124">
        <v>10</v>
      </c>
      <c r="D28" s="2112" t="s">
        <v>4634</v>
      </c>
      <c r="E28" s="2112"/>
      <c r="F28" s="2112"/>
      <c r="G28" s="2112"/>
      <c r="H28" s="2112"/>
      <c r="I28" s="2112"/>
      <c r="J28" s="2112"/>
      <c r="K28" s="2112"/>
      <c r="L28" s="2112"/>
      <c r="M28" s="2112"/>
      <c r="N28" s="2112"/>
      <c r="O28" s="2112"/>
      <c r="P28" s="1128" t="s">
        <v>939</v>
      </c>
      <c r="Q28" s="1125">
        <v>10</v>
      </c>
      <c r="R28" s="9825"/>
      <c r="S28" s="9826"/>
      <c r="T28" s="9826"/>
      <c r="U28" s="9826"/>
      <c r="V28" s="9826"/>
      <c r="W28" s="9826"/>
      <c r="X28" s="9825"/>
      <c r="Y28" s="9826"/>
      <c r="Z28" s="9826"/>
      <c r="AA28" s="9826"/>
      <c r="AB28" s="9826"/>
      <c r="AC28" s="9826"/>
      <c r="AD28" s="1129"/>
      <c r="AE28" s="808"/>
      <c r="AF28" s="808"/>
      <c r="AG28" s="808"/>
      <c r="AH28" s="808"/>
      <c r="AI28" s="808"/>
      <c r="AJ28" s="808"/>
      <c r="AK28" s="461"/>
      <c r="AL28" s="2175"/>
      <c r="AM28" s="808"/>
      <c r="AN28" s="808"/>
      <c r="AO28" s="808"/>
      <c r="AP28" s="2220" t="str">
        <f>"  local taxes are more than "&amp;TEXT(AM45,"$0,000")&amp;" ("&amp;TEXT(AM46,"$0,000")&amp;" if married filing separately)."</f>
        <v xml:space="preserve">  local taxes are more than $10,000 ($5,000 if married filing separately).</v>
      </c>
      <c r="AQ28" s="892"/>
      <c r="AR28" s="808"/>
      <c r="AS28" s="808"/>
      <c r="AT28" s="1151"/>
      <c r="AU28" s="4756"/>
      <c r="AV28" s="4698"/>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row>
    <row r="29" spans="1:81" s="2038" customFormat="1" ht="15">
      <c r="A29" s="461"/>
      <c r="B29" s="2112"/>
      <c r="C29" s="1124">
        <v>11</v>
      </c>
      <c r="D29" s="2112" t="s">
        <v>4635</v>
      </c>
      <c r="E29" s="2112"/>
      <c r="F29" s="2112"/>
      <c r="G29" s="2112"/>
      <c r="H29" s="2112"/>
      <c r="I29" s="2112"/>
      <c r="J29" s="2112"/>
      <c r="K29" s="2112"/>
      <c r="L29" s="2112"/>
      <c r="M29" s="2112"/>
      <c r="N29" s="2112"/>
      <c r="O29" s="2112"/>
      <c r="P29" s="1128" t="s">
        <v>914</v>
      </c>
      <c r="Q29" s="1125">
        <v>11</v>
      </c>
      <c r="R29" s="9827" t="str">
        <f>IF(AM29&lt;&gt;"",ROUND(AM29,0),AS51)</f>
        <v/>
      </c>
      <c r="S29" s="9828"/>
      <c r="T29" s="9828"/>
      <c r="U29" s="9828"/>
      <c r="V29" s="9828"/>
      <c r="W29" s="9828"/>
      <c r="X29" s="9825"/>
      <c r="Y29" s="9826"/>
      <c r="Z29" s="9826"/>
      <c r="AA29" s="9826"/>
      <c r="AB29" s="9826"/>
      <c r="AC29" s="9826"/>
      <c r="AD29" s="1129"/>
      <c r="AE29" s="9816">
        <f>IF(R29="",0,R29)</f>
        <v>0</v>
      </c>
      <c r="AF29" s="9817"/>
      <c r="AG29" s="9817"/>
      <c r="AH29" s="808"/>
      <c r="AI29" s="808"/>
      <c r="AJ29" s="808"/>
      <c r="AK29" s="461"/>
      <c r="AL29" s="2175"/>
      <c r="AM29" s="4771"/>
      <c r="AN29" s="808"/>
      <c r="AO29" s="808"/>
      <c r="AP29" s="2220"/>
      <c r="AQ29" s="892"/>
      <c r="AR29" s="808"/>
      <c r="AS29" s="808"/>
      <c r="AT29" s="1151"/>
      <c r="AU29" s="808"/>
      <c r="AV29" s="4698"/>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row>
    <row r="30" spans="1:81" s="2038" customFormat="1" ht="15.75">
      <c r="A30" s="461"/>
      <c r="B30" s="2112"/>
      <c r="C30" s="1124">
        <v>12</v>
      </c>
      <c r="D30" s="2112" t="s">
        <v>4636</v>
      </c>
      <c r="E30" s="2112"/>
      <c r="F30" s="2112"/>
      <c r="G30" s="2112"/>
      <c r="H30" s="2112"/>
      <c r="I30" s="2112"/>
      <c r="J30" s="2112"/>
      <c r="K30" s="2112"/>
      <c r="L30" s="2112"/>
      <c r="M30" s="2112"/>
      <c r="N30" s="2112"/>
      <c r="O30" s="2112"/>
      <c r="P30" s="1128" t="s">
        <v>990</v>
      </c>
      <c r="Q30" s="1125">
        <v>12</v>
      </c>
      <c r="R30" s="9827" t="str">
        <f>IF(OR(NOT($AM$19),AND(R27="",R28="",R29="")),"",SUM(ROUND(R27,0),ROUND(R28,0),AE29))</f>
        <v/>
      </c>
      <c r="S30" s="9828"/>
      <c r="T30" s="9828"/>
      <c r="U30" s="9828"/>
      <c r="V30" s="9828"/>
      <c r="W30" s="9828"/>
      <c r="X30" s="9827" t="str">
        <f>IF(OR(NOT($AM$19),AND(X27="",X28="",X29="")),"",SUM(ROUND(X27,0),ROUND(X28,0),ROUND(X29,0)))</f>
        <v/>
      </c>
      <c r="Y30" s="9828"/>
      <c r="Z30" s="9828"/>
      <c r="AA30" s="9828"/>
      <c r="AB30" s="9828"/>
      <c r="AC30" s="9828"/>
      <c r="AD30" s="1129"/>
      <c r="AE30" s="808"/>
      <c r="AF30" s="808"/>
      <c r="AG30" s="808"/>
      <c r="AH30" s="808"/>
      <c r="AI30" s="808"/>
      <c r="AJ30" s="808"/>
      <c r="AK30" s="461"/>
      <c r="AL30" s="2175"/>
      <c r="AM30" s="4770" t="s">
        <v>867</v>
      </c>
      <c r="AN30" s="808"/>
      <c r="AO30" s="808"/>
      <c r="AP30" s="1150"/>
      <c r="AQ30" s="3174" t="s">
        <v>4637</v>
      </c>
      <c r="AR30" s="808"/>
      <c r="AS30" s="808"/>
      <c r="AT30" s="1151"/>
      <c r="AU30" s="808"/>
      <c r="AV30" s="4698"/>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row>
    <row r="31" spans="1:81" s="2038" customFormat="1" ht="15">
      <c r="A31" s="461"/>
      <c r="B31" s="2112"/>
      <c r="C31" s="1124">
        <v>13</v>
      </c>
      <c r="D31" s="2112" t="s">
        <v>4638</v>
      </c>
      <c r="E31" s="2112"/>
      <c r="F31" s="2112"/>
      <c r="G31" s="2112"/>
      <c r="H31" s="2112"/>
      <c r="I31" s="2112"/>
      <c r="J31" s="2112"/>
      <c r="K31" s="2112"/>
      <c r="L31" s="2112"/>
      <c r="M31" s="2112"/>
      <c r="N31" s="2112"/>
      <c r="O31" s="2112"/>
      <c r="P31" s="2112"/>
      <c r="Q31" s="2112"/>
      <c r="R31" s="2112"/>
      <c r="S31" s="2112"/>
      <c r="T31" s="2112"/>
      <c r="U31" s="2112"/>
      <c r="V31" s="1128" t="s">
        <v>896</v>
      </c>
      <c r="W31" s="1125">
        <v>13</v>
      </c>
      <c r="X31" s="9827" t="str">
        <f>IF(OR(NOT($AM$19),X30=""),"",ROUND(X30*$AE$22/100,0))</f>
        <v/>
      </c>
      <c r="Y31" s="9828"/>
      <c r="Z31" s="9828"/>
      <c r="AA31" s="9828"/>
      <c r="AB31" s="9828"/>
      <c r="AC31" s="9828"/>
      <c r="AD31" s="1129"/>
      <c r="AE31" s="808"/>
      <c r="AF31" s="808"/>
      <c r="AG31" s="808"/>
      <c r="AH31" s="808"/>
      <c r="AI31" s="808"/>
      <c r="AJ31" s="808"/>
      <c r="AK31" s="461"/>
      <c r="AL31" s="2175"/>
      <c r="AM31" s="808"/>
      <c r="AN31" s="808"/>
      <c r="AO31" s="808"/>
      <c r="AP31" s="4762" t="s">
        <v>167</v>
      </c>
      <c r="AQ31" s="892" t="s">
        <v>4639</v>
      </c>
      <c r="AR31" s="808"/>
      <c r="AS31" s="808"/>
      <c r="AT31" s="1151"/>
      <c r="AU31" s="808"/>
      <c r="AV31" s="4698"/>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row>
    <row r="32" spans="1:81" s="2038" customFormat="1" ht="14.25" customHeight="1">
      <c r="A32" s="461"/>
      <c r="B32" s="808"/>
      <c r="C32" s="1124">
        <v>14</v>
      </c>
      <c r="D32" s="2112" t="s">
        <v>4640</v>
      </c>
      <c r="E32" s="808"/>
      <c r="F32" s="808"/>
      <c r="G32" s="808"/>
      <c r="H32" s="808"/>
      <c r="I32" s="808"/>
      <c r="J32" s="808"/>
      <c r="K32" s="808"/>
      <c r="L32" s="808"/>
      <c r="M32" s="808"/>
      <c r="N32" s="808"/>
      <c r="O32" s="808"/>
      <c r="P32" s="808"/>
      <c r="Q32" s="808"/>
      <c r="R32" s="808"/>
      <c r="S32" s="808"/>
      <c r="T32" s="808"/>
      <c r="U32" s="808"/>
      <c r="V32" s="808"/>
      <c r="W32" s="808"/>
      <c r="X32" s="808"/>
      <c r="Y32" s="808"/>
      <c r="Z32" s="808"/>
      <c r="AA32" s="808"/>
      <c r="AB32" s="808"/>
      <c r="AC32" s="1128" t="s">
        <v>744</v>
      </c>
      <c r="AD32" s="1125">
        <v>14</v>
      </c>
      <c r="AE32" s="9823" t="str">
        <f>IF(OR(NOT($AM$19),AND(R30="",X31="")),"",SUM(R30,X31))</f>
        <v/>
      </c>
      <c r="AF32" s="9824"/>
      <c r="AG32" s="9824"/>
      <c r="AH32" s="9824"/>
      <c r="AI32" s="9824"/>
      <c r="AJ32" s="9824"/>
      <c r="AK32" s="461"/>
      <c r="AL32" s="2175"/>
      <c r="AM32" s="808"/>
      <c r="AN32" s="808"/>
      <c r="AO32" s="808"/>
      <c r="AP32" s="4763"/>
      <c r="AQ32" s="892" t="s">
        <v>4641</v>
      </c>
      <c r="AR32" s="808"/>
      <c r="AS32" s="808"/>
      <c r="AT32" s="1151"/>
      <c r="AU32" s="808"/>
      <c r="AV32" s="4698"/>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row>
    <row r="33" spans="1:81" s="2038" customFormat="1" ht="14.25" customHeight="1">
      <c r="A33" s="461"/>
      <c r="B33" s="808"/>
      <c r="C33" s="1124">
        <v>15</v>
      </c>
      <c r="D33" s="2112" t="s">
        <v>4642</v>
      </c>
      <c r="E33" s="808"/>
      <c r="F33" s="808"/>
      <c r="G33" s="808"/>
      <c r="H33" s="808"/>
      <c r="I33" s="808"/>
      <c r="J33" s="808"/>
      <c r="K33" s="808"/>
      <c r="L33" s="808"/>
      <c r="M33" s="808"/>
      <c r="N33" s="808"/>
      <c r="O33" s="808"/>
      <c r="P33" s="808"/>
      <c r="Q33" s="808"/>
      <c r="R33" s="808"/>
      <c r="S33" s="808"/>
      <c r="T33" s="808"/>
      <c r="U33" s="808"/>
      <c r="V33" s="808"/>
      <c r="W33" s="808"/>
      <c r="X33" s="808"/>
      <c r="Y33" s="808"/>
      <c r="Z33" s="808"/>
      <c r="AA33" s="808"/>
      <c r="AB33" s="808"/>
      <c r="AC33" s="1128" t="s">
        <v>740</v>
      </c>
      <c r="AD33" s="1125">
        <v>15</v>
      </c>
      <c r="AE33" s="9823" t="str">
        <f>IF(OR(NOT($AM$19),AND(AE25="",AE32="")),"",IF(AE32="",MAX(0,AE25),MAX(0,SUM(AE25,-AE32))))</f>
        <v/>
      </c>
      <c r="AF33" s="9824"/>
      <c r="AG33" s="9824"/>
      <c r="AH33" s="9824"/>
      <c r="AI33" s="9824"/>
      <c r="AJ33" s="9824"/>
      <c r="AK33" s="461"/>
      <c r="AL33" s="2175"/>
      <c r="AM33" s="808"/>
      <c r="AN33" s="808"/>
      <c r="AO33" s="808"/>
      <c r="AP33" s="4763"/>
      <c r="AQ33" s="892" t="s">
        <v>4643</v>
      </c>
      <c r="AR33" s="808"/>
      <c r="AS33" s="808"/>
      <c r="AT33" s="1151"/>
      <c r="AU33" s="808"/>
      <c r="AV33" s="4698"/>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row>
    <row r="34" spans="1:81" s="2038" customFormat="1" ht="15">
      <c r="A34" s="461"/>
      <c r="B34" s="2112"/>
      <c r="C34" s="1124">
        <v>16</v>
      </c>
      <c r="D34" s="2112" t="s">
        <v>4644</v>
      </c>
      <c r="E34" s="2112"/>
      <c r="F34" s="2112"/>
      <c r="G34" s="2112"/>
      <c r="H34" s="2112"/>
      <c r="I34" s="2112"/>
      <c r="J34" s="2112"/>
      <c r="K34" s="2112"/>
      <c r="L34" s="2112"/>
      <c r="M34" s="2112"/>
      <c r="N34" s="2112"/>
      <c r="O34" s="2112"/>
      <c r="P34" s="1128" t="s">
        <v>2114</v>
      </c>
      <c r="Q34" s="1706">
        <v>16</v>
      </c>
      <c r="R34" s="9825"/>
      <c r="S34" s="9826"/>
      <c r="T34" s="9826"/>
      <c r="U34" s="9826"/>
      <c r="V34" s="9826"/>
      <c r="W34" s="9826"/>
      <c r="X34" s="9825"/>
      <c r="Y34" s="9826"/>
      <c r="Z34" s="9826"/>
      <c r="AA34" s="9826"/>
      <c r="AB34" s="9826"/>
      <c r="AC34" s="9826"/>
      <c r="AD34" s="1129"/>
      <c r="AE34" s="808"/>
      <c r="AF34" s="808"/>
      <c r="AG34" s="808"/>
      <c r="AH34" s="808"/>
      <c r="AI34" s="808"/>
      <c r="AJ34" s="808"/>
      <c r="AK34" s="461"/>
      <c r="AL34" s="2175"/>
      <c r="AM34" s="808"/>
      <c r="AN34" s="808"/>
      <c r="AO34" s="808"/>
      <c r="AP34" s="4763"/>
      <c r="AQ34" s="892" t="s">
        <v>4645</v>
      </c>
      <c r="AR34" s="808"/>
      <c r="AS34" s="1401"/>
      <c r="AT34" s="4764">
        <f>IF(AS34&lt;&gt;"",ROUND(AS34,0),0)</f>
        <v>0</v>
      </c>
      <c r="AU34" s="808"/>
      <c r="AV34" s="4698"/>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row>
    <row r="35" spans="1:81" s="2038" customFormat="1" ht="15">
      <c r="A35" s="461"/>
      <c r="B35" s="2112"/>
      <c r="C35" s="1124">
        <v>17</v>
      </c>
      <c r="D35" s="2112" t="s">
        <v>4646</v>
      </c>
      <c r="E35" s="2112"/>
      <c r="F35" s="2112"/>
      <c r="G35" s="2112"/>
      <c r="H35" s="2112"/>
      <c r="I35" s="2112"/>
      <c r="J35" s="2112"/>
      <c r="K35" s="2112"/>
      <c r="L35" s="2112"/>
      <c r="M35" s="2112"/>
      <c r="N35" s="2112"/>
      <c r="O35" s="2112"/>
      <c r="P35" s="1128" t="s">
        <v>1026</v>
      </c>
      <c r="Q35" s="1125">
        <v>17</v>
      </c>
      <c r="R35" s="9825">
        <f>IF(AT43,AS53,0)</f>
        <v>0</v>
      </c>
      <c r="S35" s="9826"/>
      <c r="T35" s="9826"/>
      <c r="U35" s="9826"/>
      <c r="V35" s="9826"/>
      <c r="W35" s="9826"/>
      <c r="X35" s="9825"/>
      <c r="Y35" s="9826"/>
      <c r="Z35" s="9826"/>
      <c r="AA35" s="9826"/>
      <c r="AB35" s="9826"/>
      <c r="AC35" s="9826"/>
      <c r="AD35" s="1129"/>
      <c r="AE35" s="808"/>
      <c r="AF35" s="808"/>
      <c r="AG35" s="808"/>
      <c r="AH35" s="808"/>
      <c r="AI35" s="808"/>
      <c r="AJ35" s="808"/>
      <c r="AK35" s="461"/>
      <c r="AL35" s="2175"/>
      <c r="AM35" s="808"/>
      <c r="AN35" s="808"/>
      <c r="AO35" s="808"/>
      <c r="AP35" s="4762" t="s">
        <v>171</v>
      </c>
      <c r="AQ35" s="892" t="s">
        <v>4647</v>
      </c>
      <c r="AR35" s="808"/>
      <c r="AS35" s="808"/>
      <c r="AT35" s="1274"/>
      <c r="AU35" s="808"/>
      <c r="AV35" s="4698"/>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row>
    <row r="36" spans="1:81" s="2038" customFormat="1" ht="15">
      <c r="A36" s="461"/>
      <c r="B36" s="2112"/>
      <c r="C36" s="1124">
        <v>18</v>
      </c>
      <c r="D36" s="2112" t="s">
        <v>2696</v>
      </c>
      <c r="E36" s="2112"/>
      <c r="F36" s="2112"/>
      <c r="G36" s="2112"/>
      <c r="H36" s="2112"/>
      <c r="I36" s="2112"/>
      <c r="J36" s="2112"/>
      <c r="K36" s="2112"/>
      <c r="L36" s="2112"/>
      <c r="M36" s="2112"/>
      <c r="N36" s="2112"/>
      <c r="O36" s="2112"/>
      <c r="P36" s="1128" t="s">
        <v>896</v>
      </c>
      <c r="Q36" s="1125">
        <v>18</v>
      </c>
      <c r="R36" s="9825"/>
      <c r="S36" s="9826"/>
      <c r="T36" s="9826"/>
      <c r="U36" s="9826"/>
      <c r="V36" s="9826"/>
      <c r="W36" s="9826"/>
      <c r="X36" s="9825"/>
      <c r="Y36" s="9826"/>
      <c r="Z36" s="9826"/>
      <c r="AA36" s="9826"/>
      <c r="AB36" s="9826"/>
      <c r="AC36" s="9826"/>
      <c r="AD36" s="1129"/>
      <c r="AE36" s="808"/>
      <c r="AF36" s="808"/>
      <c r="AG36" s="808"/>
      <c r="AH36" s="808"/>
      <c r="AI36" s="808"/>
      <c r="AJ36" s="808"/>
      <c r="AK36" s="461"/>
      <c r="AL36" s="2175"/>
      <c r="AM36" s="808"/>
      <c r="AN36" s="808"/>
      <c r="AO36" s="808"/>
      <c r="AP36" s="4763"/>
      <c r="AQ36" s="892" t="s">
        <v>4648</v>
      </c>
      <c r="AR36" s="808"/>
      <c r="AS36" s="808"/>
      <c r="AT36" s="1274"/>
      <c r="AU36" s="808"/>
      <c r="AV36" s="4698"/>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row>
    <row r="37" spans="1:81" s="2038" customFormat="1" ht="15">
      <c r="A37" s="461"/>
      <c r="B37" s="2112"/>
      <c r="C37" s="1124">
        <v>19</v>
      </c>
      <c r="D37" s="2112" t="s">
        <v>4649</v>
      </c>
      <c r="E37" s="2112"/>
      <c r="F37" s="2112"/>
      <c r="G37" s="2112"/>
      <c r="H37" s="2112"/>
      <c r="I37" s="2112"/>
      <c r="J37" s="2112"/>
      <c r="K37" s="2112"/>
      <c r="L37" s="2112"/>
      <c r="M37" s="2112"/>
      <c r="N37" s="2112"/>
      <c r="O37" s="2112"/>
      <c r="P37" s="1128" t="s">
        <v>898</v>
      </c>
      <c r="Q37" s="1125">
        <v>19</v>
      </c>
      <c r="R37" s="9825"/>
      <c r="S37" s="9826"/>
      <c r="T37" s="9826"/>
      <c r="U37" s="9826"/>
      <c r="V37" s="9826"/>
      <c r="W37" s="9826"/>
      <c r="X37" s="9825"/>
      <c r="Y37" s="9826"/>
      <c r="Z37" s="9826"/>
      <c r="AA37" s="9826"/>
      <c r="AB37" s="9826"/>
      <c r="AC37" s="9826"/>
      <c r="AD37" s="1129"/>
      <c r="AE37" s="808"/>
      <c r="AF37" s="808"/>
      <c r="AG37" s="808"/>
      <c r="AH37" s="808"/>
      <c r="AI37" s="808"/>
      <c r="AJ37" s="808"/>
      <c r="AK37" s="461"/>
      <c r="AL37" s="2175"/>
      <c r="AM37" s="808"/>
      <c r="AN37" s="808"/>
      <c r="AO37" s="808"/>
      <c r="AP37" s="4763"/>
      <c r="AQ37" s="892" t="s">
        <v>4650</v>
      </c>
      <c r="AR37" s="808"/>
      <c r="AS37" s="1401"/>
      <c r="AT37" s="4764">
        <f>IF(AS37&lt;&gt;"",ROUND(AS37,0),0)</f>
        <v>0</v>
      </c>
      <c r="AU37" s="808"/>
      <c r="AV37" s="4698"/>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row>
    <row r="38" spans="1:81" s="2038" customFormat="1" ht="15">
      <c r="A38" s="461"/>
      <c r="B38" s="2112"/>
      <c r="C38" s="1124">
        <v>20</v>
      </c>
      <c r="D38" s="2112" t="s">
        <v>2320</v>
      </c>
      <c r="E38" s="2112"/>
      <c r="F38" s="2112"/>
      <c r="G38" s="2112"/>
      <c r="H38" s="2112"/>
      <c r="I38" s="2112"/>
      <c r="J38" s="2112"/>
      <c r="K38" s="2112"/>
      <c r="L38" s="2112"/>
      <c r="M38" s="2112"/>
      <c r="N38" s="2112"/>
      <c r="O38" s="2112"/>
      <c r="P38" s="1128" t="s">
        <v>930</v>
      </c>
      <c r="Q38" s="1706">
        <v>20</v>
      </c>
      <c r="R38" s="9825"/>
      <c r="S38" s="9826"/>
      <c r="T38" s="9826"/>
      <c r="U38" s="9826"/>
      <c r="V38" s="9826"/>
      <c r="W38" s="9826"/>
      <c r="X38" s="9825"/>
      <c r="Y38" s="9826"/>
      <c r="Z38" s="9826"/>
      <c r="AA38" s="9826"/>
      <c r="AB38" s="9826"/>
      <c r="AC38" s="9826"/>
      <c r="AD38" s="1129"/>
      <c r="AE38" s="808"/>
      <c r="AF38" s="808"/>
      <c r="AG38" s="808"/>
      <c r="AH38" s="808"/>
      <c r="AI38" s="808"/>
      <c r="AJ38" s="808"/>
      <c r="AK38" s="461"/>
      <c r="AL38" s="2175"/>
      <c r="AM38" s="808"/>
      <c r="AN38" s="808"/>
      <c r="AO38" s="808"/>
      <c r="AP38" s="4762" t="s">
        <v>177</v>
      </c>
      <c r="AQ38" s="892" t="s">
        <v>4651</v>
      </c>
      <c r="AR38" s="808"/>
      <c r="AS38" s="808"/>
      <c r="AT38" s="1274"/>
      <c r="AU38" s="808"/>
      <c r="AV38" s="4698"/>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row>
    <row r="39" spans="1:81" s="2038" customFormat="1" ht="15">
      <c r="A39" s="461"/>
      <c r="B39" s="2112"/>
      <c r="C39" s="1124">
        <v>21</v>
      </c>
      <c r="D39" s="2112" t="s">
        <v>2333</v>
      </c>
      <c r="E39" s="2112"/>
      <c r="F39" s="2112"/>
      <c r="G39" s="2112"/>
      <c r="H39" s="2112"/>
      <c r="I39" s="2112"/>
      <c r="J39" s="2112"/>
      <c r="K39" s="2112"/>
      <c r="L39" s="2112"/>
      <c r="M39" s="2112"/>
      <c r="N39" s="2112"/>
      <c r="O39" s="2112"/>
      <c r="P39" s="1128" t="s">
        <v>911</v>
      </c>
      <c r="Q39" s="1125">
        <v>21</v>
      </c>
      <c r="R39" s="9825"/>
      <c r="S39" s="9826"/>
      <c r="T39" s="9826"/>
      <c r="U39" s="9826"/>
      <c r="V39" s="9826"/>
      <c r="W39" s="9826"/>
      <c r="X39" s="9825"/>
      <c r="Y39" s="9826"/>
      <c r="Z39" s="9826"/>
      <c r="AA39" s="9826"/>
      <c r="AB39" s="9826"/>
      <c r="AC39" s="9826"/>
      <c r="AD39" s="1129"/>
      <c r="AE39" s="808"/>
      <c r="AF39" s="808"/>
      <c r="AG39" s="808"/>
      <c r="AH39" s="808"/>
      <c r="AI39" s="808"/>
      <c r="AJ39" s="808"/>
      <c r="AK39" s="461"/>
      <c r="AL39" s="2175"/>
      <c r="AM39" s="808"/>
      <c r="AN39" s="808"/>
      <c r="AO39" s="808"/>
      <c r="AP39" s="4763"/>
      <c r="AQ39" s="892" t="s">
        <v>4652</v>
      </c>
      <c r="AR39" s="808"/>
      <c r="AS39" s="808"/>
      <c r="AT39" s="1274"/>
      <c r="AU39" s="808"/>
      <c r="AV39" s="4698"/>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row>
    <row r="40" spans="1:81" s="2038" customFormat="1" ht="15">
      <c r="A40" s="461"/>
      <c r="B40" s="2112"/>
      <c r="C40" s="1124">
        <v>22</v>
      </c>
      <c r="D40" s="2112" t="s">
        <v>4653</v>
      </c>
      <c r="E40" s="2112"/>
      <c r="F40" s="2112"/>
      <c r="G40" s="2112"/>
      <c r="H40" s="2112"/>
      <c r="I40" s="2112"/>
      <c r="J40" s="2112"/>
      <c r="K40" s="2112"/>
      <c r="L40" s="2112"/>
      <c r="M40" s="2112"/>
      <c r="N40" s="2112"/>
      <c r="O40" s="2112"/>
      <c r="P40" s="1128" t="s">
        <v>914</v>
      </c>
      <c r="Q40" s="1125">
        <v>22</v>
      </c>
      <c r="R40" s="9825"/>
      <c r="S40" s="9826"/>
      <c r="T40" s="9826"/>
      <c r="U40" s="9826"/>
      <c r="V40" s="9826"/>
      <c r="W40" s="9826"/>
      <c r="X40" s="9825"/>
      <c r="Y40" s="9826"/>
      <c r="Z40" s="9826"/>
      <c r="AA40" s="9826"/>
      <c r="AB40" s="9826"/>
      <c r="AC40" s="9826"/>
      <c r="AD40" s="1129"/>
      <c r="AE40" s="808"/>
      <c r="AF40" s="808"/>
      <c r="AG40" s="808"/>
      <c r="AH40" s="808"/>
      <c r="AI40" s="808"/>
      <c r="AJ40" s="808"/>
      <c r="AK40" s="461"/>
      <c r="AL40" s="2175"/>
      <c r="AM40" s="808"/>
      <c r="AN40" s="808"/>
      <c r="AO40" s="808"/>
      <c r="AP40" s="4763"/>
      <c r="AQ40" s="892" t="s">
        <v>4654</v>
      </c>
      <c r="AR40" s="808"/>
      <c r="AS40" s="1401"/>
      <c r="AT40" s="4764">
        <f>IF(AS40&lt;&gt;"",ROUND(AS40,0),0)</f>
        <v>0</v>
      </c>
      <c r="AU40" s="808"/>
      <c r="AV40" s="4698"/>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row>
    <row r="41" spans="1:81" s="2038" customFormat="1" ht="15">
      <c r="A41" s="461"/>
      <c r="B41" s="2112"/>
      <c r="C41" s="1124">
        <v>23</v>
      </c>
      <c r="D41" s="2112" t="s">
        <v>4655</v>
      </c>
      <c r="E41" s="2112"/>
      <c r="F41" s="2112"/>
      <c r="G41" s="2112"/>
      <c r="H41" s="2112"/>
      <c r="I41" s="2112"/>
      <c r="J41" s="2112"/>
      <c r="K41" s="2112"/>
      <c r="L41" s="2112"/>
      <c r="M41" s="2112"/>
      <c r="N41" s="2112"/>
      <c r="O41" s="2112"/>
      <c r="P41" s="1128" t="s">
        <v>990</v>
      </c>
      <c r="Q41" s="1125">
        <v>23</v>
      </c>
      <c r="R41" s="9827" t="str">
        <f>IF(OR(NOT($AM$19),AND(R34="",R35="",R36="",R37="",R38="",R39="",R40="")),"",SUM(ROUND(R34,0),ROUND(R35,0),ROUND(R36,0),ROUND(R37,0),ROUND(R38,0),ROUND(R39,0),ROUND(R40,0)))</f>
        <v/>
      </c>
      <c r="S41" s="9828"/>
      <c r="T41" s="9828"/>
      <c r="U41" s="9828"/>
      <c r="V41" s="9828"/>
      <c r="W41" s="9828"/>
      <c r="X41" s="9827" t="str">
        <f>IF(OR(NOT($AM$19),AND(X34="",X35="",X36="",X37="",X38="",X39="",X40="")),"",SUM(ROUND(X34,0),ROUND(X35,0),ROUND(X36,0),ROUND(X37,0),ROUND(X38,0),ROUND(X39,0),ROUND(X40,0)))</f>
        <v/>
      </c>
      <c r="Y41" s="9828"/>
      <c r="Z41" s="9828"/>
      <c r="AA41" s="9828"/>
      <c r="AB41" s="9828"/>
      <c r="AC41" s="9828"/>
      <c r="AD41" s="1129"/>
      <c r="AE41" s="808"/>
      <c r="AF41" s="808"/>
      <c r="AG41" s="808"/>
      <c r="AH41" s="808"/>
      <c r="AI41" s="808"/>
      <c r="AJ41" s="808"/>
      <c r="AK41" s="461"/>
      <c r="AL41" s="2175"/>
      <c r="AM41" s="808"/>
      <c r="AN41" s="808"/>
      <c r="AO41" s="808"/>
      <c r="AP41" s="4762" t="s">
        <v>182</v>
      </c>
      <c r="AQ41" s="892" t="s">
        <v>4656</v>
      </c>
      <c r="AR41" s="808"/>
      <c r="AS41" s="808"/>
      <c r="AT41" s="1274"/>
      <c r="AU41" s="808"/>
      <c r="AV41" s="4698"/>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row>
    <row r="42" spans="1:81" s="2038" customFormat="1" ht="15">
      <c r="A42" s="461"/>
      <c r="B42" s="2112"/>
      <c r="C42" s="1124">
        <v>24</v>
      </c>
      <c r="D42" s="2112" t="s">
        <v>4657</v>
      </c>
      <c r="E42" s="2112"/>
      <c r="F42" s="2112"/>
      <c r="G42" s="2112"/>
      <c r="H42" s="2112"/>
      <c r="I42" s="2112"/>
      <c r="J42" s="2112"/>
      <c r="K42" s="2112"/>
      <c r="L42" s="2112"/>
      <c r="M42" s="2112"/>
      <c r="N42" s="2112"/>
      <c r="O42" s="2112"/>
      <c r="P42" s="2112"/>
      <c r="Q42" s="2112"/>
      <c r="R42" s="2112"/>
      <c r="S42" s="2112"/>
      <c r="T42" s="2112"/>
      <c r="U42" s="2112"/>
      <c r="V42" s="1128" t="s">
        <v>896</v>
      </c>
      <c r="W42" s="1125">
        <v>24</v>
      </c>
      <c r="X42" s="9827" t="str">
        <f>IF(OR(NOT($AM$19),X41=""),"",ROUND(X41*$AE$22/100,0))</f>
        <v/>
      </c>
      <c r="Y42" s="9828"/>
      <c r="Z42" s="9828"/>
      <c r="AA42" s="9828"/>
      <c r="AB42" s="9828"/>
      <c r="AC42" s="9828"/>
      <c r="AD42" s="1129"/>
      <c r="AE42" s="808"/>
      <c r="AF42" s="808"/>
      <c r="AG42" s="808"/>
      <c r="AH42" s="808"/>
      <c r="AI42" s="808"/>
      <c r="AJ42" s="808"/>
      <c r="AK42" s="461"/>
      <c r="AL42" s="2175"/>
      <c r="AM42" s="808"/>
      <c r="AN42" s="808"/>
      <c r="AO42" s="808"/>
      <c r="AP42" s="4763"/>
      <c r="AQ42" s="892" t="s">
        <v>4658</v>
      </c>
      <c r="AR42" s="808"/>
      <c r="AS42" s="1401"/>
      <c r="AT42" s="4764">
        <f>IF(AS42&lt;&gt;"",ROUND(AS42,0),0)</f>
        <v>0</v>
      </c>
      <c r="AU42" s="808"/>
      <c r="AV42" s="4698"/>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row>
    <row r="43" spans="1:81" s="2038" customFormat="1" ht="15">
      <c r="A43" s="461"/>
      <c r="B43" s="2112"/>
      <c r="C43" s="1124">
        <v>25</v>
      </c>
      <c r="D43" s="2112" t="s">
        <v>4659</v>
      </c>
      <c r="E43" s="2112"/>
      <c r="F43" s="2112"/>
      <c r="G43" s="2112"/>
      <c r="H43" s="2112"/>
      <c r="I43" s="2112"/>
      <c r="J43" s="2112"/>
      <c r="K43" s="2112"/>
      <c r="L43" s="2112"/>
      <c r="M43" s="2112"/>
      <c r="N43" s="2112"/>
      <c r="O43" s="2112"/>
      <c r="P43" s="2112"/>
      <c r="Q43" s="2112"/>
      <c r="R43" s="2112"/>
      <c r="S43" s="2112"/>
      <c r="T43" s="2112"/>
      <c r="U43" s="2112"/>
      <c r="V43" s="1128" t="s">
        <v>4660</v>
      </c>
      <c r="W43" s="1125">
        <v>25</v>
      </c>
      <c r="X43" s="9825"/>
      <c r="Y43" s="9826"/>
      <c r="Z43" s="9826"/>
      <c r="AA43" s="9826"/>
      <c r="AB43" s="9826"/>
      <c r="AC43" s="9826"/>
      <c r="AD43" s="1129"/>
      <c r="AE43" s="808"/>
      <c r="AF43" s="808"/>
      <c r="AG43" s="808"/>
      <c r="AH43" s="808"/>
      <c r="AI43" s="808"/>
      <c r="AJ43" s="808"/>
      <c r="AK43" s="461"/>
      <c r="AL43" s="2175"/>
      <c r="AM43" s="808"/>
      <c r="AN43" s="808"/>
      <c r="AO43" s="808"/>
      <c r="AP43" s="4762" t="s">
        <v>198</v>
      </c>
      <c r="AQ43" s="808" t="s">
        <v>4661</v>
      </c>
      <c r="AR43" s="808"/>
      <c r="AS43" s="1568" t="str">
        <f>IF(AT43,AU43,"")</f>
        <v/>
      </c>
      <c r="AT43" s="4764" t="b">
        <f>OR(AS34&lt;&gt;"",AS37&lt;&gt;"",AS40&lt;&gt;"",AS42&lt;&gt;"")</f>
        <v>0</v>
      </c>
      <c r="AU43" s="3166">
        <f>SUM(AS34,AS37,AS40,AS42)</f>
        <v>0</v>
      </c>
      <c r="AV43" s="4698"/>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row>
    <row r="44" spans="1:81" s="2038" customFormat="1" ht="14.25" customHeight="1">
      <c r="A44" s="461"/>
      <c r="B44" s="808"/>
      <c r="C44" s="1124">
        <v>26</v>
      </c>
      <c r="D44" s="2112" t="s">
        <v>4662</v>
      </c>
      <c r="E44" s="808"/>
      <c r="F44" s="808"/>
      <c r="G44" s="808"/>
      <c r="H44" s="808"/>
      <c r="I44" s="808"/>
      <c r="J44" s="808"/>
      <c r="K44" s="808"/>
      <c r="L44" s="808"/>
      <c r="M44" s="808"/>
      <c r="N44" s="808"/>
      <c r="O44" s="808"/>
      <c r="P44" s="808"/>
      <c r="Q44" s="808"/>
      <c r="R44" s="808"/>
      <c r="S44" s="808"/>
      <c r="T44" s="808"/>
      <c r="U44" s="808"/>
      <c r="V44" s="808"/>
      <c r="W44" s="808"/>
      <c r="X44" s="808"/>
      <c r="Y44" s="808"/>
      <c r="Z44" s="808"/>
      <c r="AA44" s="808"/>
      <c r="AB44" s="808"/>
      <c r="AC44" s="1128" t="s">
        <v>754</v>
      </c>
      <c r="AD44" s="1125">
        <v>26</v>
      </c>
      <c r="AE44" s="9823" t="str">
        <f>IF($AM$19,SUM(R41,X42,X43),"")</f>
        <v/>
      </c>
      <c r="AF44" s="9824"/>
      <c r="AG44" s="9824"/>
      <c r="AH44" s="9824"/>
      <c r="AI44" s="9824"/>
      <c r="AJ44" s="9824"/>
      <c r="AK44" s="461"/>
      <c r="AL44" s="2175"/>
      <c r="AM44" s="808"/>
      <c r="AN44" s="808"/>
      <c r="AO44" s="808"/>
      <c r="AP44" s="4762" t="s">
        <v>202</v>
      </c>
      <c r="AQ44" s="892" t="s">
        <v>4663</v>
      </c>
      <c r="AR44" s="808"/>
      <c r="AS44" s="4768" t="str">
        <f>IF(AND(AT43,AT45),"Must be &gt;" &amp;TEXT(AM47,"$0,000")&amp;".","")</f>
        <v/>
      </c>
      <c r="AT44" s="5294"/>
      <c r="AU44" s="808"/>
      <c r="AV44" s="4698"/>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row>
    <row r="45" spans="1:81" s="2038" customFormat="1" ht="14.25" customHeight="1">
      <c r="A45" s="461"/>
      <c r="B45" s="808"/>
      <c r="C45" s="1124">
        <v>27</v>
      </c>
      <c r="D45" s="2112" t="s">
        <v>4664</v>
      </c>
      <c r="E45" s="808"/>
      <c r="F45" s="808"/>
      <c r="G45" s="808"/>
      <c r="H45" s="808"/>
      <c r="I45" s="808"/>
      <c r="J45" s="808"/>
      <c r="K45" s="808"/>
      <c r="L45" s="808"/>
      <c r="M45" s="808"/>
      <c r="N45" s="808"/>
      <c r="O45" s="808"/>
      <c r="P45" s="808"/>
      <c r="Q45" s="808"/>
      <c r="R45" s="808"/>
      <c r="S45" s="808"/>
      <c r="T45" s="808"/>
      <c r="U45" s="808"/>
      <c r="V45" s="808"/>
      <c r="W45" s="808"/>
      <c r="X45" s="808"/>
      <c r="Y45" s="808"/>
      <c r="Z45" s="808"/>
      <c r="AA45" s="808"/>
      <c r="AB45" s="808"/>
      <c r="AC45" s="1128" t="s">
        <v>646</v>
      </c>
      <c r="AD45" s="1125">
        <v>27</v>
      </c>
      <c r="AE45" s="9823" t="str">
        <f>IF($AM$19,MIN(AE33,AE44),"")</f>
        <v/>
      </c>
      <c r="AF45" s="9824"/>
      <c r="AG45" s="9824"/>
      <c r="AH45" s="9824"/>
      <c r="AI45" s="9824"/>
      <c r="AJ45" s="9824"/>
      <c r="AK45" s="461"/>
      <c r="AL45" s="2175"/>
      <c r="AM45" s="900">
        <v>10000</v>
      </c>
      <c r="AN45" s="808"/>
      <c r="AO45" s="808"/>
      <c r="AP45" s="4763"/>
      <c r="AQ45" s="892" t="s">
        <v>4665</v>
      </c>
      <c r="AR45" s="808"/>
      <c r="AS45" s="1568" t="str">
        <f>IF(OR(NOT(AT43),AT45,AE22=""),"",IF(AS37="",0,ROUND(ROUND(AS37,0)*AE22/100,0)))</f>
        <v/>
      </c>
      <c r="AT45" s="4764" t="b">
        <f>AS43&lt;AM47</f>
        <v>0</v>
      </c>
      <c r="AU45" s="808"/>
      <c r="AV45" s="4698"/>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row>
    <row r="46" spans="1:81" s="2038" customFormat="1" ht="14.25" customHeight="1">
      <c r="A46" s="461"/>
      <c r="B46" s="808"/>
      <c r="C46" s="1124">
        <v>28</v>
      </c>
      <c r="D46" s="2112" t="s">
        <v>4666</v>
      </c>
      <c r="E46" s="808"/>
      <c r="F46" s="808"/>
      <c r="G46" s="808"/>
      <c r="H46" s="808"/>
      <c r="I46" s="808"/>
      <c r="J46" s="808"/>
      <c r="K46" s="808"/>
      <c r="L46" s="808"/>
      <c r="M46" s="808"/>
      <c r="N46" s="808"/>
      <c r="O46" s="808"/>
      <c r="P46" s="808"/>
      <c r="Q46" s="808"/>
      <c r="R46" s="808"/>
      <c r="S46" s="808"/>
      <c r="T46" s="808"/>
      <c r="U46" s="808"/>
      <c r="V46" s="808"/>
      <c r="W46" s="808"/>
      <c r="X46" s="808"/>
      <c r="Y46" s="808"/>
      <c r="Z46" s="808"/>
      <c r="AA46" s="808"/>
      <c r="AB46" s="808"/>
      <c r="AC46" s="1128" t="s">
        <v>782</v>
      </c>
      <c r="AD46" s="1125">
        <v>28</v>
      </c>
      <c r="AE46" s="9823" t="str">
        <f>IF(AND($AM$19,AE45=""),AE33,IF($AM$19,SUM(AE33,-AE45),""))</f>
        <v/>
      </c>
      <c r="AF46" s="9824"/>
      <c r="AG46" s="9824"/>
      <c r="AH46" s="9824"/>
      <c r="AI46" s="9824"/>
      <c r="AJ46" s="9824"/>
      <c r="AK46" s="461"/>
      <c r="AL46" s="2175"/>
      <c r="AM46" s="900">
        <v>5000</v>
      </c>
      <c r="AN46" s="808"/>
      <c r="AO46" s="808"/>
      <c r="AP46" s="4762" t="s">
        <v>215</v>
      </c>
      <c r="AQ46" s="892" t="s">
        <v>4120</v>
      </c>
      <c r="AR46" s="808"/>
      <c r="AS46" s="1568" t="str">
        <f>IF(OR(NOT(AT43),AND(AS43="",AS45=""),AT45),"",IF(AS45="",AS43,SUM(AS43,-AS45)))</f>
        <v/>
      </c>
      <c r="AT46" s="1151"/>
      <c r="AU46" s="808"/>
      <c r="AV46" s="4698"/>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row>
    <row r="47" spans="1:81" s="2038" customFormat="1" ht="15">
      <c r="A47" s="461"/>
      <c r="B47" s="2112"/>
      <c r="C47" s="1124">
        <v>29</v>
      </c>
      <c r="D47" s="2112" t="s">
        <v>4667</v>
      </c>
      <c r="E47" s="2112"/>
      <c r="F47" s="2112"/>
      <c r="G47" s="2112"/>
      <c r="H47" s="2112"/>
      <c r="I47" s="2112"/>
      <c r="J47" s="2112"/>
      <c r="K47" s="2112"/>
      <c r="L47" s="2112"/>
      <c r="M47" s="2112"/>
      <c r="N47" s="2112"/>
      <c r="O47" s="2112"/>
      <c r="P47" s="2112"/>
      <c r="Q47" s="2112"/>
      <c r="R47" s="2112"/>
      <c r="S47" s="2112"/>
      <c r="T47" s="2112"/>
      <c r="U47" s="2112"/>
      <c r="V47" s="1128" t="s">
        <v>1012</v>
      </c>
      <c r="W47" s="1125">
        <v>29</v>
      </c>
      <c r="X47" s="9825"/>
      <c r="Y47" s="9826"/>
      <c r="Z47" s="9826"/>
      <c r="AA47" s="9826"/>
      <c r="AB47" s="9826"/>
      <c r="AC47" s="9826"/>
      <c r="AD47" s="1129"/>
      <c r="AE47" s="808"/>
      <c r="AF47" s="808"/>
      <c r="AG47" s="808"/>
      <c r="AH47" s="808"/>
      <c r="AI47" s="808"/>
      <c r="AJ47" s="808"/>
      <c r="AK47" s="461"/>
      <c r="AL47" s="2175"/>
      <c r="AM47" s="900">
        <f>IF(File_Marr_Sep&lt;&gt;"",AM46,AM45)</f>
        <v>10000</v>
      </c>
      <c r="AN47" s="808"/>
      <c r="AO47" s="808"/>
      <c r="AP47" s="4762" t="s">
        <v>217</v>
      </c>
      <c r="AQ47" s="892" t="str">
        <f>"Subtract line 7 from "&amp;TEXT(AM45,"$0,000")&amp;" ("&amp;TEXT(AM46,"$0,000")&amp;" if married"</f>
        <v>Subtract line 7 from $10,000 ($5,000 if married</v>
      </c>
      <c r="AR47" s="808"/>
      <c r="AS47" s="808"/>
      <c r="AT47" s="1151"/>
      <c r="AU47" s="808"/>
      <c r="AV47" s="4698"/>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row>
    <row r="48" spans="1:81" s="2038" customFormat="1" ht="15">
      <c r="A48" s="461"/>
      <c r="B48" s="2112"/>
      <c r="C48" s="1124">
        <v>30</v>
      </c>
      <c r="D48" s="2112" t="s">
        <v>4668</v>
      </c>
      <c r="E48" s="2112"/>
      <c r="F48" s="2112"/>
      <c r="G48" s="2112"/>
      <c r="H48" s="2112"/>
      <c r="I48" s="2112"/>
      <c r="J48" s="2112"/>
      <c r="K48" s="2112"/>
      <c r="L48" s="2112"/>
      <c r="M48" s="2112"/>
      <c r="N48" s="2112"/>
      <c r="O48" s="2112"/>
      <c r="P48" s="2112"/>
      <c r="Q48" s="2112"/>
      <c r="R48" s="2112"/>
      <c r="S48" s="2112"/>
      <c r="T48" s="2112"/>
      <c r="U48" s="2112"/>
      <c r="V48" s="1128" t="s">
        <v>922</v>
      </c>
      <c r="W48" s="1125">
        <v>30</v>
      </c>
      <c r="X48" s="9827" t="str">
        <f>IF(AND($AM$19,AE57&lt;&gt;"",AE61&lt;&gt;""),AE62,"")</f>
        <v/>
      </c>
      <c r="Y48" s="9828"/>
      <c r="Z48" s="9828"/>
      <c r="AA48" s="9828"/>
      <c r="AB48" s="9828"/>
      <c r="AC48" s="9828"/>
      <c r="AD48" s="1129"/>
      <c r="AE48" s="808"/>
      <c r="AF48" s="808"/>
      <c r="AG48" s="808"/>
      <c r="AH48" s="808"/>
      <c r="AI48" s="808"/>
      <c r="AJ48" s="808"/>
      <c r="AK48" s="461"/>
      <c r="AL48" s="2175"/>
      <c r="AM48" s="808"/>
      <c r="AN48" s="808"/>
      <c r="AO48" s="808"/>
      <c r="AP48" s="4763"/>
      <c r="AQ48" s="892" t="s">
        <v>4669</v>
      </c>
      <c r="AR48" s="808"/>
      <c r="AS48" s="1568" t="str">
        <f>IF(OR(NOT(AT43),AT45),"",MAX(0,SUM(AM47,-AS46)))</f>
        <v/>
      </c>
      <c r="AT48" s="1151"/>
      <c r="AU48" s="808"/>
      <c r="AV48" s="4698"/>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row>
    <row r="49" spans="1:81" s="2038" customFormat="1" ht="15">
      <c r="A49" s="461"/>
      <c r="B49" s="2112"/>
      <c r="C49" s="1124">
        <v>31</v>
      </c>
      <c r="D49" s="892" t="s">
        <v>4670</v>
      </c>
      <c r="E49" s="2112"/>
      <c r="F49" s="2112"/>
      <c r="G49" s="2112"/>
      <c r="H49" s="2112"/>
      <c r="I49" s="2112"/>
      <c r="J49" s="2112"/>
      <c r="K49" s="2112"/>
      <c r="L49" s="2112"/>
      <c r="M49" s="2112"/>
      <c r="N49" s="2112"/>
      <c r="O49" s="2112"/>
      <c r="P49" s="2112"/>
      <c r="Q49" s="2112"/>
      <c r="R49" s="2112"/>
      <c r="S49" s="2112"/>
      <c r="T49" s="2112"/>
      <c r="U49" s="2112"/>
      <c r="V49" s="1128" t="s">
        <v>1203</v>
      </c>
      <c r="W49" s="1125">
        <v>31</v>
      </c>
      <c r="X49" s="9825"/>
      <c r="Y49" s="9826"/>
      <c r="Z49" s="9826"/>
      <c r="AA49" s="9826"/>
      <c r="AB49" s="9826"/>
      <c r="AC49" s="9826"/>
      <c r="AD49" s="1129"/>
      <c r="AE49" s="808"/>
      <c r="AF49" s="808"/>
      <c r="AG49" s="808"/>
      <c r="AH49" s="808"/>
      <c r="AI49" s="808"/>
      <c r="AJ49" s="808"/>
      <c r="AK49" s="461"/>
      <c r="AL49" s="2175"/>
      <c r="AM49" s="808"/>
      <c r="AN49" s="808"/>
      <c r="AO49" s="808"/>
      <c r="AP49" s="4762" t="s">
        <v>222</v>
      </c>
      <c r="AQ49" s="899" t="s">
        <v>4671</v>
      </c>
      <c r="AR49" s="808"/>
      <c r="AS49" s="808"/>
      <c r="AT49" s="1151"/>
      <c r="AU49" s="808"/>
      <c r="AV49" s="4698"/>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row>
    <row r="50" spans="1:81" s="2038" customFormat="1" ht="14.25" customHeight="1">
      <c r="A50" s="461"/>
      <c r="B50" s="808"/>
      <c r="C50" s="1124">
        <v>32</v>
      </c>
      <c r="D50" s="2112" t="s">
        <v>4672</v>
      </c>
      <c r="E50" s="808"/>
      <c r="F50" s="808"/>
      <c r="G50" s="808"/>
      <c r="H50" s="808"/>
      <c r="I50" s="808"/>
      <c r="J50" s="808"/>
      <c r="K50" s="808"/>
      <c r="L50" s="808"/>
      <c r="M50" s="808"/>
      <c r="N50" s="808"/>
      <c r="O50" s="808"/>
      <c r="P50" s="808"/>
      <c r="Q50" s="808"/>
      <c r="R50" s="808"/>
      <c r="S50" s="808"/>
      <c r="T50" s="808"/>
      <c r="U50" s="808"/>
      <c r="V50" s="808"/>
      <c r="W50" s="808"/>
      <c r="X50" s="808"/>
      <c r="Y50" s="808"/>
      <c r="Z50" s="808"/>
      <c r="AA50" s="808"/>
      <c r="AB50" s="808"/>
      <c r="AC50" s="1128" t="s">
        <v>3763</v>
      </c>
      <c r="AD50" s="1125">
        <v>32</v>
      </c>
      <c r="AE50" s="9823" t="str">
        <f>IF(NOT($AM$19),"",IF(X48="",SUM(ROUND(X47,0),ROUND(X49,0)),SUM(ROUND(X47,0),ROUND(X48,0),ROUND(X49,0))))</f>
        <v/>
      </c>
      <c r="AF50" s="9824"/>
      <c r="AG50" s="9824"/>
      <c r="AH50" s="9824"/>
      <c r="AI50" s="9824"/>
      <c r="AJ50" s="9824"/>
      <c r="AK50" s="461"/>
      <c r="AL50" s="2175"/>
      <c r="AM50" s="808"/>
      <c r="AN50" s="808"/>
      <c r="AO50" s="808"/>
      <c r="AP50" s="4763"/>
      <c r="AQ50" s="892" t="s">
        <v>4673</v>
      </c>
      <c r="AR50" s="808"/>
      <c r="AS50" s="808"/>
      <c r="AT50" s="1151"/>
      <c r="AU50" s="808"/>
      <c r="AV50" s="4698"/>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row>
    <row r="51" spans="1:81" s="2038" customFormat="1" ht="14.25" customHeight="1">
      <c r="A51" s="461"/>
      <c r="B51" s="808"/>
      <c r="C51" s="1124">
        <v>33</v>
      </c>
      <c r="D51" s="2112" t="s">
        <v>4674</v>
      </c>
      <c r="E51" s="808"/>
      <c r="F51" s="808"/>
      <c r="G51" s="808"/>
      <c r="H51" s="808"/>
      <c r="I51" s="808"/>
      <c r="J51" s="808"/>
      <c r="K51" s="808"/>
      <c r="L51" s="808"/>
      <c r="M51" s="808"/>
      <c r="N51" s="808"/>
      <c r="O51" s="808"/>
      <c r="P51" s="808"/>
      <c r="Q51" s="808"/>
      <c r="R51" s="808"/>
      <c r="S51" s="808"/>
      <c r="T51" s="808"/>
      <c r="U51" s="808"/>
      <c r="V51" s="808"/>
      <c r="W51" s="808"/>
      <c r="X51" s="808"/>
      <c r="Y51" s="808"/>
      <c r="Z51" s="808"/>
      <c r="AA51" s="808"/>
      <c r="AB51" s="808"/>
      <c r="AC51" s="1128" t="s">
        <v>677</v>
      </c>
      <c r="AD51" s="1125">
        <v>33</v>
      </c>
      <c r="AE51" s="9823" t="str">
        <f>IF($AM$19,MIN(AE46,AE50),"")</f>
        <v/>
      </c>
      <c r="AF51" s="9824"/>
      <c r="AG51" s="9824"/>
      <c r="AH51" s="9824"/>
      <c r="AI51" s="9824"/>
      <c r="AJ51" s="9824"/>
      <c r="AK51" s="461"/>
      <c r="AL51" s="2175"/>
      <c r="AM51" s="808"/>
      <c r="AN51" s="808"/>
      <c r="AO51" s="808"/>
      <c r="AP51" s="4763"/>
      <c r="AQ51" s="892" t="s">
        <v>4675</v>
      </c>
      <c r="AR51" s="808"/>
      <c r="AS51" s="1568" t="str">
        <f>IF(OR(NOT(AT43),AT45),"",MIN(AS45,AS48))</f>
        <v/>
      </c>
      <c r="AT51" s="1151"/>
      <c r="AU51" s="808"/>
      <c r="AV51" s="4698"/>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row>
    <row r="52" spans="1:81" s="2038" customFormat="1" ht="14.25" customHeight="1">
      <c r="A52" s="461"/>
      <c r="B52" s="808"/>
      <c r="C52" s="1124">
        <v>34</v>
      </c>
      <c r="D52" s="2112" t="s">
        <v>4676</v>
      </c>
      <c r="E52" s="808"/>
      <c r="F52" s="808"/>
      <c r="G52" s="808"/>
      <c r="H52" s="808"/>
      <c r="I52" s="808"/>
      <c r="J52" s="808"/>
      <c r="K52" s="808"/>
      <c r="L52" s="808"/>
      <c r="M52" s="808"/>
      <c r="N52" s="808"/>
      <c r="O52" s="808"/>
      <c r="P52" s="808"/>
      <c r="Q52" s="808"/>
      <c r="R52" s="808"/>
      <c r="S52" s="808"/>
      <c r="T52" s="808"/>
      <c r="U52" s="808"/>
      <c r="V52" s="808"/>
      <c r="W52" s="808"/>
      <c r="X52" s="808"/>
      <c r="Y52" s="808"/>
      <c r="Z52" s="808"/>
      <c r="AA52" s="808"/>
      <c r="AB52" s="808"/>
      <c r="AC52" s="1128" t="s">
        <v>3763</v>
      </c>
      <c r="AD52" s="1125">
        <v>34</v>
      </c>
      <c r="AE52" s="9823" t="str">
        <f>IF($AM$19,SUM(AE32,AE45,AE51),"")</f>
        <v/>
      </c>
      <c r="AF52" s="9824"/>
      <c r="AG52" s="9824"/>
      <c r="AH52" s="9824"/>
      <c r="AI52" s="9824"/>
      <c r="AJ52" s="9824"/>
      <c r="AK52" s="461"/>
      <c r="AL52" s="2175"/>
      <c r="AM52" s="808"/>
      <c r="AN52" s="808"/>
      <c r="AO52" s="808"/>
      <c r="AP52" s="4762" t="s">
        <v>227</v>
      </c>
      <c r="AQ52" s="899" t="s">
        <v>4677</v>
      </c>
      <c r="AR52" s="808"/>
      <c r="AS52" s="808"/>
      <c r="AT52" s="1151"/>
      <c r="AU52" s="808"/>
      <c r="AV52" s="4698"/>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row>
    <row r="53" spans="1:81" s="2038" customFormat="1" ht="14.25" customHeight="1">
      <c r="A53" s="461"/>
      <c r="B53" s="808"/>
      <c r="C53" s="1124">
        <v>35</v>
      </c>
      <c r="D53" s="2112" t="s">
        <v>4678</v>
      </c>
      <c r="E53" s="808"/>
      <c r="F53" s="808"/>
      <c r="G53" s="808"/>
      <c r="H53" s="808"/>
      <c r="I53" s="808"/>
      <c r="J53" s="808"/>
      <c r="K53" s="808"/>
      <c r="L53" s="808"/>
      <c r="M53" s="808"/>
      <c r="N53" s="808"/>
      <c r="O53" s="808"/>
      <c r="P53" s="808"/>
      <c r="Q53" s="808"/>
      <c r="R53" s="808"/>
      <c r="S53" s="808"/>
      <c r="T53" s="808"/>
      <c r="U53" s="808"/>
      <c r="V53" s="808"/>
      <c r="W53" s="808"/>
      <c r="X53" s="808"/>
      <c r="Y53" s="808"/>
      <c r="Z53" s="808"/>
      <c r="AA53" s="808"/>
      <c r="AB53" s="808"/>
      <c r="AC53" s="1128" t="s">
        <v>789</v>
      </c>
      <c r="AD53" s="1125">
        <v>35</v>
      </c>
      <c r="AE53" s="7240"/>
      <c r="AF53" s="9840"/>
      <c r="AG53" s="9840"/>
      <c r="AH53" s="9840"/>
      <c r="AI53" s="9840"/>
      <c r="AJ53" s="9840"/>
      <c r="AK53" s="461"/>
      <c r="AL53" s="2175"/>
      <c r="AM53" s="808"/>
      <c r="AN53" s="808"/>
      <c r="AO53" s="808"/>
      <c r="AP53" s="1150"/>
      <c r="AQ53" s="892" t="s">
        <v>4679</v>
      </c>
      <c r="AR53" s="808"/>
      <c r="AS53" s="1568">
        <f>IF(OR(NOT(AT43),AT45),0,IF(AS51="",AS45,SUM(AS45,-AS51)))</f>
        <v>0</v>
      </c>
      <c r="AT53" s="1151"/>
      <c r="AU53" s="808"/>
      <c r="AV53" s="4698"/>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row>
    <row r="54" spans="1:81" s="2038" customFormat="1" ht="14.25" customHeight="1">
      <c r="A54" s="461"/>
      <c r="B54" s="808"/>
      <c r="C54" s="1124">
        <v>36</v>
      </c>
      <c r="D54" s="2112" t="s">
        <v>4680</v>
      </c>
      <c r="E54" s="808"/>
      <c r="F54" s="808"/>
      <c r="G54" s="808"/>
      <c r="H54" s="808"/>
      <c r="I54" s="808"/>
      <c r="J54" s="808"/>
      <c r="K54" s="808"/>
      <c r="L54" s="808"/>
      <c r="M54" s="808"/>
      <c r="N54" s="808"/>
      <c r="O54" s="808"/>
      <c r="P54" s="808"/>
      <c r="Q54" s="808"/>
      <c r="R54" s="808"/>
      <c r="S54" s="808"/>
      <c r="T54" s="808"/>
      <c r="U54" s="808"/>
      <c r="V54" s="808"/>
      <c r="W54" s="808"/>
      <c r="X54" s="808"/>
      <c r="Y54" s="808"/>
      <c r="Z54" s="808"/>
      <c r="AA54" s="808"/>
      <c r="AB54" s="808"/>
      <c r="AC54" s="808"/>
      <c r="AD54" s="1123"/>
      <c r="AE54" s="808"/>
      <c r="AF54" s="808"/>
      <c r="AG54" s="808"/>
      <c r="AH54" s="808"/>
      <c r="AI54" s="808"/>
      <c r="AJ54" s="808"/>
      <c r="AK54" s="461"/>
      <c r="AL54" s="2175"/>
      <c r="AM54" s="808"/>
      <c r="AN54" s="808"/>
      <c r="AO54" s="808"/>
      <c r="AP54" s="1154"/>
      <c r="AQ54" s="1121"/>
      <c r="AR54" s="1121"/>
      <c r="AS54" s="1121"/>
      <c r="AT54" s="2391"/>
      <c r="AU54" s="808"/>
      <c r="AV54" s="4698"/>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row>
    <row r="55" spans="1:81" s="2038" customFormat="1" ht="12.75" customHeight="1" thickBot="1">
      <c r="A55" s="461"/>
      <c r="B55" s="896"/>
      <c r="C55" s="4737"/>
      <c r="D55" s="2122" t="s">
        <v>4681</v>
      </c>
      <c r="E55" s="896"/>
      <c r="F55" s="896"/>
      <c r="G55" s="896"/>
      <c r="H55" s="896"/>
      <c r="I55" s="896"/>
      <c r="J55" s="896"/>
      <c r="K55" s="896"/>
      <c r="L55" s="896"/>
      <c r="M55" s="896"/>
      <c r="N55" s="896"/>
      <c r="O55" s="896"/>
      <c r="P55" s="896"/>
      <c r="Q55" s="896"/>
      <c r="R55" s="896"/>
      <c r="S55" s="896"/>
      <c r="T55" s="896"/>
      <c r="U55" s="896"/>
      <c r="V55" s="896"/>
      <c r="W55" s="896"/>
      <c r="X55" s="896"/>
      <c r="Y55" s="896"/>
      <c r="Z55" s="896"/>
      <c r="AA55" s="896"/>
      <c r="AB55" s="896"/>
      <c r="AC55" s="3614" t="s">
        <v>789</v>
      </c>
      <c r="AD55" s="1132">
        <v>36</v>
      </c>
      <c r="AE55" s="9829" t="str">
        <f>IF(AND($AM$19,AE53=""),AE52,IF($AM$19,SUM(AE52,-AE53),""))</f>
        <v/>
      </c>
      <c r="AF55" s="9830"/>
      <c r="AG55" s="9830"/>
      <c r="AH55" s="9830"/>
      <c r="AI55" s="9830"/>
      <c r="AJ55" s="9830"/>
      <c r="AK55" s="461"/>
      <c r="AL55" s="2175"/>
      <c r="AM55" s="808"/>
      <c r="AN55" s="808"/>
      <c r="AO55" s="808"/>
      <c r="AP55" s="808"/>
      <c r="AQ55" s="808"/>
      <c r="AR55" s="808"/>
      <c r="AS55" s="808"/>
      <c r="AT55" s="808"/>
      <c r="AU55" s="808"/>
      <c r="AV55" s="4698"/>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row>
    <row r="56" spans="1:81" s="2038" customFormat="1" ht="18">
      <c r="A56" s="461"/>
      <c r="B56" s="7833" t="s">
        <v>2243</v>
      </c>
      <c r="C56" s="7833"/>
      <c r="D56" s="3502"/>
      <c r="E56" s="3727" t="s">
        <v>4682</v>
      </c>
      <c r="F56" s="1121"/>
      <c r="G56" s="1121"/>
      <c r="H56" s="1121"/>
      <c r="I56" s="3727"/>
      <c r="J56" s="1121"/>
      <c r="K56" s="1121"/>
      <c r="L56" s="1121"/>
      <c r="M56" s="1121"/>
      <c r="N56" s="1121"/>
      <c r="O56" s="1121"/>
      <c r="P56" s="1121"/>
      <c r="Q56" s="1121"/>
      <c r="R56" s="1121"/>
      <c r="S56" s="1121"/>
      <c r="T56" s="1121"/>
      <c r="U56" s="1121"/>
      <c r="V56" s="1121"/>
      <c r="W56" s="1121"/>
      <c r="X56" s="1121"/>
      <c r="Y56" s="1121"/>
      <c r="Z56" s="1121"/>
      <c r="AA56" s="1121"/>
      <c r="AB56" s="1121"/>
      <c r="AC56" s="1121"/>
      <c r="AD56" s="1121"/>
      <c r="AE56" s="1121"/>
      <c r="AF56" s="1121"/>
      <c r="AG56" s="1121"/>
      <c r="AH56" s="1121"/>
      <c r="AI56" s="1121"/>
      <c r="AJ56" s="1121"/>
      <c r="AK56" s="461"/>
      <c r="AL56" s="2175"/>
      <c r="AM56" s="808"/>
      <c r="AN56" s="808"/>
      <c r="AO56" s="808"/>
      <c r="AP56" s="808"/>
      <c r="AQ56" s="808"/>
      <c r="AR56" s="4765">
        <v>1</v>
      </c>
      <c r="AS56" s="5061">
        <f>(246.1/100)%</f>
        <v>2.461E-2</v>
      </c>
      <c r="AT56" s="808"/>
      <c r="AU56" s="808"/>
      <c r="AV56" s="4698"/>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row>
    <row r="57" spans="1:81" s="2038" customFormat="1" ht="14.25" customHeight="1">
      <c r="A57" s="461"/>
      <c r="B57" s="808"/>
      <c r="C57" s="1124">
        <v>37</v>
      </c>
      <c r="D57" s="2112" t="s">
        <v>4683</v>
      </c>
      <c r="E57" s="808"/>
      <c r="F57" s="808"/>
      <c r="G57" s="808"/>
      <c r="H57" s="808"/>
      <c r="I57" s="808"/>
      <c r="J57" s="808"/>
      <c r="K57" s="808"/>
      <c r="L57" s="808"/>
      <c r="M57" s="808"/>
      <c r="N57" s="808"/>
      <c r="O57" s="808"/>
      <c r="P57" s="808"/>
      <c r="Q57" s="808"/>
      <c r="R57" s="808"/>
      <c r="S57" s="808"/>
      <c r="T57" s="808"/>
      <c r="U57" s="808"/>
      <c r="V57" s="808"/>
      <c r="W57" s="808"/>
      <c r="X57" s="808"/>
      <c r="Y57" s="808"/>
      <c r="Z57" s="808"/>
      <c r="AA57" s="808"/>
      <c r="AB57" s="808"/>
      <c r="AC57" s="1128" t="s">
        <v>684</v>
      </c>
      <c r="AD57" s="1125">
        <v>37</v>
      </c>
      <c r="AE57" s="9594"/>
      <c r="AF57" s="9602"/>
      <c r="AG57" s="9602"/>
      <c r="AH57" s="9602"/>
      <c r="AI57" s="9602"/>
      <c r="AJ57" s="9602"/>
      <c r="AK57" s="461"/>
      <c r="AL57" s="2175"/>
      <c r="AM57" s="808"/>
      <c r="AN57" s="808"/>
      <c r="AO57" s="808"/>
      <c r="AP57" s="808"/>
      <c r="AQ57" s="808"/>
      <c r="AR57" s="4766">
        <v>2</v>
      </c>
      <c r="AS57" s="5062">
        <f>(224.7/100)%</f>
        <v>2.247E-2</v>
      </c>
      <c r="AT57" s="808"/>
      <c r="AU57" s="808"/>
      <c r="AV57" s="4698"/>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row>
    <row r="58" spans="1:81" s="2038" customFormat="1" ht="14.25" customHeight="1">
      <c r="A58" s="461"/>
      <c r="B58" s="808"/>
      <c r="C58" s="1124">
        <v>38</v>
      </c>
      <c r="D58" s="2112" t="s">
        <v>4684</v>
      </c>
      <c r="E58" s="808"/>
      <c r="F58" s="808"/>
      <c r="G58" s="808"/>
      <c r="H58" s="808"/>
      <c r="I58" s="808"/>
      <c r="J58" s="808"/>
      <c r="K58" s="808"/>
      <c r="L58" s="808"/>
      <c r="M58" s="808"/>
      <c r="N58" s="808"/>
      <c r="O58" s="808"/>
      <c r="P58" s="808"/>
      <c r="Q58" s="808"/>
      <c r="R58" s="808"/>
      <c r="S58" s="808"/>
      <c r="T58" s="808"/>
      <c r="U58" s="808"/>
      <c r="V58" s="808"/>
      <c r="W58" s="808"/>
      <c r="X58" s="808"/>
      <c r="Y58" s="808"/>
      <c r="Z58" s="808"/>
      <c r="AA58" s="808"/>
      <c r="AB58" s="808"/>
      <c r="AC58" s="1128" t="s">
        <v>2490</v>
      </c>
      <c r="AD58" s="1125">
        <v>38</v>
      </c>
      <c r="AE58" s="9594"/>
      <c r="AF58" s="9602"/>
      <c r="AG58" s="9602"/>
      <c r="AH58" s="9602"/>
      <c r="AI58" s="9602"/>
      <c r="AJ58" s="9602"/>
      <c r="AK58" s="461"/>
      <c r="AL58" s="2175"/>
      <c r="AM58" s="900">
        <f>IF(AE58="",ROUND(AE57,0),SUM(ROUND(AE57,0),-ROUND(AE58,0)))</f>
        <v>0</v>
      </c>
      <c r="AN58" s="808"/>
      <c r="AO58" s="808"/>
      <c r="AP58" s="808"/>
      <c r="AQ58" s="808"/>
      <c r="AR58" s="4766">
        <v>3</v>
      </c>
      <c r="AS58" s="5059">
        <f>(203.3/100)%</f>
        <v>2.0330000000000001E-2</v>
      </c>
      <c r="AT58" s="808"/>
      <c r="AU58" s="808"/>
      <c r="AV58" s="4698"/>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row>
    <row r="59" spans="1:81" s="2038" customFormat="1" ht="14.25" customHeight="1">
      <c r="A59" s="461"/>
      <c r="B59" s="808"/>
      <c r="C59" s="1124">
        <v>39</v>
      </c>
      <c r="D59" s="2112" t="s">
        <v>4685</v>
      </c>
      <c r="E59" s="808"/>
      <c r="F59" s="808"/>
      <c r="G59" s="808"/>
      <c r="H59" s="808"/>
      <c r="I59" s="808"/>
      <c r="J59" s="808"/>
      <c r="K59" s="808"/>
      <c r="L59" s="808"/>
      <c r="M59" s="808"/>
      <c r="N59" s="808"/>
      <c r="O59" s="808"/>
      <c r="P59" s="808"/>
      <c r="Q59" s="808"/>
      <c r="R59" s="808"/>
      <c r="S59" s="808"/>
      <c r="T59" s="808"/>
      <c r="U59" s="808"/>
      <c r="V59" s="808"/>
      <c r="W59" s="808"/>
      <c r="X59" s="808"/>
      <c r="Y59" s="808"/>
      <c r="Z59" s="808"/>
      <c r="AA59" s="808"/>
      <c r="AB59" s="808"/>
      <c r="AC59" s="1128" t="s">
        <v>754</v>
      </c>
      <c r="AD59" s="1125">
        <v>39</v>
      </c>
      <c r="AE59" s="9823" t="str">
        <f>IF(AE57&lt;&gt;"",AM58,"")</f>
        <v/>
      </c>
      <c r="AF59" s="9824"/>
      <c r="AG59" s="9824"/>
      <c r="AH59" s="9824"/>
      <c r="AI59" s="9824"/>
      <c r="AJ59" s="9824"/>
      <c r="AK59" s="461"/>
      <c r="AL59" s="2175"/>
      <c r="AM59" s="808"/>
      <c r="AN59" s="808"/>
      <c r="AO59" s="808"/>
      <c r="AP59" s="808"/>
      <c r="AQ59" s="808"/>
      <c r="AR59" s="4766">
        <v>4</v>
      </c>
      <c r="AS59" s="5059">
        <f>(181.9/100)%</f>
        <v>1.8189999999999998E-2</v>
      </c>
      <c r="AT59" s="808"/>
      <c r="AU59" s="808"/>
      <c r="AV59" s="4698"/>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row>
    <row r="60" spans="1:81" s="2038" customFormat="1" ht="14.25" customHeight="1">
      <c r="A60" s="461"/>
      <c r="B60" s="808"/>
      <c r="C60" s="1124">
        <v>40</v>
      </c>
      <c r="D60" s="2112" t="s">
        <v>4686</v>
      </c>
      <c r="E60" s="808"/>
      <c r="F60" s="808"/>
      <c r="G60" s="808"/>
      <c r="H60" s="808"/>
      <c r="I60" s="808"/>
      <c r="J60" s="808"/>
      <c r="K60" s="808"/>
      <c r="L60" s="808"/>
      <c r="M60" s="808"/>
      <c r="N60" s="808"/>
      <c r="O60" s="808"/>
      <c r="P60" s="808"/>
      <c r="Q60" s="808"/>
      <c r="R60" s="808"/>
      <c r="S60" s="808"/>
      <c r="T60" s="808"/>
      <c r="U60" s="808"/>
      <c r="V60" s="808"/>
      <c r="W60" s="808"/>
      <c r="X60" s="808"/>
      <c r="Y60" s="808"/>
      <c r="Z60" s="808"/>
      <c r="AA60" s="808"/>
      <c r="AB60" s="808"/>
      <c r="AC60" s="1128" t="s">
        <v>705</v>
      </c>
      <c r="AD60" s="1125">
        <v>40</v>
      </c>
      <c r="AE60" s="9823" t="str">
        <f>IF(AND($AM$19,$AE$57&lt;&gt;""),ROUND(AE59*AE22/100,0),"")</f>
        <v/>
      </c>
      <c r="AF60" s="9824"/>
      <c r="AG60" s="9824"/>
      <c r="AH60" s="9824"/>
      <c r="AI60" s="9824"/>
      <c r="AJ60" s="9824"/>
      <c r="AK60" s="461"/>
      <c r="AL60" s="2175"/>
      <c r="AM60" s="808"/>
      <c r="AN60" s="808"/>
      <c r="AO60" s="808"/>
      <c r="AP60" s="808"/>
      <c r="AQ60" s="808"/>
      <c r="AR60" s="4766">
        <v>5</v>
      </c>
      <c r="AS60" s="5062">
        <f>(160.5/100)%</f>
        <v>1.6049999999999998E-2</v>
      </c>
      <c r="AT60" s="808"/>
      <c r="AU60" s="808"/>
      <c r="AV60" s="4698"/>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row>
    <row r="61" spans="1:81" s="2038" customFormat="1" ht="14.25" customHeight="1">
      <c r="A61" s="461"/>
      <c r="B61" s="808"/>
      <c r="C61" s="1124">
        <v>41</v>
      </c>
      <c r="D61" s="2112" t="s">
        <v>4687</v>
      </c>
      <c r="E61" s="808"/>
      <c r="F61" s="808"/>
      <c r="G61" s="808"/>
      <c r="H61" s="808"/>
      <c r="I61" s="808"/>
      <c r="J61" s="808"/>
      <c r="K61" s="808"/>
      <c r="L61" s="808"/>
      <c r="M61" s="808"/>
      <c r="N61" s="808"/>
      <c r="O61" s="808"/>
      <c r="P61" s="808"/>
      <c r="Q61" s="808"/>
      <c r="R61" s="808"/>
      <c r="S61" s="808"/>
      <c r="T61" s="808"/>
      <c r="U61" s="808"/>
      <c r="V61" s="808"/>
      <c r="W61" s="808"/>
      <c r="X61" s="808"/>
      <c r="Y61" s="808"/>
      <c r="Z61" s="808"/>
      <c r="AA61" s="808"/>
      <c r="AB61" s="808"/>
      <c r="AC61" s="1128" t="s">
        <v>754</v>
      </c>
      <c r="AD61" s="1125">
        <v>41</v>
      </c>
      <c r="AE61" s="9860" t="str">
        <f>IF(AM61="","",100*LOOKUP(AM64,AR56:AR67,AS56:AS67))</f>
        <v/>
      </c>
      <c r="AF61" s="9861"/>
      <c r="AG61" s="9861"/>
      <c r="AH61" s="9861"/>
      <c r="AI61" s="9861"/>
      <c r="AJ61" s="4751" t="str">
        <f>"%"</f>
        <v>%</v>
      </c>
      <c r="AK61" s="461"/>
      <c r="AL61" s="2175"/>
      <c r="AM61" s="5826"/>
      <c r="AN61" s="808"/>
      <c r="AO61" s="892" t="str">
        <f>IF(AM61="","Enter date you first used your home for business…",IF(YEAR(AM61)&lt;1987,"See Publication 534.",IF(AM61&lt;AM65,"See Publication 946.",IF(YEAR(AM61)&lt;TaxYear,"See Form 8829 instructions.",""))))</f>
        <v>Enter date you first used your home for business…</v>
      </c>
      <c r="AP61" s="808"/>
      <c r="AQ61" s="808"/>
      <c r="AR61" s="4766">
        <v>6</v>
      </c>
      <c r="AS61" s="5059">
        <f>(139.1/100)%</f>
        <v>1.391E-2</v>
      </c>
      <c r="AT61" s="808"/>
      <c r="AU61" s="808"/>
      <c r="AV61" s="4698"/>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row>
    <row r="62" spans="1:81" s="2038" customFormat="1" ht="14.25" customHeight="1" thickBot="1">
      <c r="A62" s="461"/>
      <c r="B62" s="808"/>
      <c r="C62" s="1124">
        <v>42</v>
      </c>
      <c r="D62" s="2112" t="s">
        <v>4688</v>
      </c>
      <c r="E62" s="808"/>
      <c r="F62" s="808"/>
      <c r="G62" s="808"/>
      <c r="H62" s="808"/>
      <c r="I62" s="808"/>
      <c r="J62" s="808"/>
      <c r="K62" s="808"/>
      <c r="L62" s="808"/>
      <c r="M62" s="808"/>
      <c r="N62" s="808"/>
      <c r="O62" s="808"/>
      <c r="P62" s="808"/>
      <c r="Q62" s="808"/>
      <c r="R62" s="808"/>
      <c r="S62" s="808"/>
      <c r="T62" s="808"/>
      <c r="U62" s="808"/>
      <c r="V62" s="808"/>
      <c r="W62" s="808"/>
      <c r="X62" s="808"/>
      <c r="Y62" s="808"/>
      <c r="Z62" s="808"/>
      <c r="AA62" s="808"/>
      <c r="AB62" s="808"/>
      <c r="AC62" s="1128" t="s">
        <v>680</v>
      </c>
      <c r="AD62" s="2387">
        <v>42</v>
      </c>
      <c r="AE62" s="9818" t="str">
        <f>IF(AM62&lt;&gt;"",ROUND(AM62,0),IF(AND(AE57&lt;&gt;"",$AM$19,AE61&lt;&gt;""),ROUND(AE60*AE61/100,0),""))</f>
        <v/>
      </c>
      <c r="AF62" s="9819"/>
      <c r="AG62" s="9819"/>
      <c r="AH62" s="9819"/>
      <c r="AI62" s="9819"/>
      <c r="AJ62" s="9819"/>
      <c r="AK62" s="461"/>
      <c r="AL62" s="2175"/>
      <c r="AM62" s="5299"/>
      <c r="AN62" s="808"/>
      <c r="AO62" s="892"/>
      <c r="AP62" s="808"/>
      <c r="AQ62" s="808"/>
      <c r="AR62" s="4766">
        <v>7</v>
      </c>
      <c r="AS62" s="5059">
        <f>(117.7/100)%</f>
        <v>1.1770000000000001E-2</v>
      </c>
      <c r="AT62" s="808"/>
      <c r="AU62" s="808"/>
      <c r="AV62" s="4698"/>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row>
    <row r="63" spans="1:81" s="2038" customFormat="1" ht="18">
      <c r="A63" s="461"/>
      <c r="B63" s="9820" t="s">
        <v>2410</v>
      </c>
      <c r="C63" s="9820"/>
      <c r="D63" s="3846"/>
      <c r="E63" s="4738" t="str">
        <f>"Carryover of Unallowed Expenses to "&amp;TaxYear+1</f>
        <v>Carryover of Unallowed Expenses to 2024</v>
      </c>
      <c r="F63" s="1147"/>
      <c r="G63" s="1147"/>
      <c r="H63" s="1147"/>
      <c r="I63" s="4738"/>
      <c r="J63" s="1147"/>
      <c r="K63" s="1147"/>
      <c r="L63" s="1147"/>
      <c r="M63" s="1147"/>
      <c r="N63" s="1147"/>
      <c r="O63" s="1147"/>
      <c r="P63" s="1147"/>
      <c r="Q63" s="1147"/>
      <c r="R63" s="1147"/>
      <c r="S63" s="1147"/>
      <c r="T63" s="1147"/>
      <c r="U63" s="1147"/>
      <c r="V63" s="1147"/>
      <c r="W63" s="1147"/>
      <c r="X63" s="1147"/>
      <c r="Y63" s="1147"/>
      <c r="Z63" s="1147"/>
      <c r="AA63" s="1147"/>
      <c r="AB63" s="1147"/>
      <c r="AC63" s="1147"/>
      <c r="AD63" s="1147"/>
      <c r="AE63" s="1147"/>
      <c r="AF63" s="1147"/>
      <c r="AG63" s="1147"/>
      <c r="AH63" s="1147"/>
      <c r="AI63" s="1147"/>
      <c r="AJ63" s="1147"/>
      <c r="AK63" s="461"/>
      <c r="AL63" s="2175"/>
      <c r="AM63" s="4770" t="s">
        <v>4689</v>
      </c>
      <c r="AN63" s="808"/>
      <c r="AO63" s="808"/>
      <c r="AP63" s="808"/>
      <c r="AQ63" s="808"/>
      <c r="AR63" s="4766">
        <v>8</v>
      </c>
      <c r="AS63" s="5059">
        <f>(96.3/100)%</f>
        <v>9.6299999999999997E-3</v>
      </c>
      <c r="AT63" s="808"/>
      <c r="AU63" s="808"/>
      <c r="AV63" s="4698"/>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row>
    <row r="64" spans="1:81" s="2038" customFormat="1" ht="14.25" customHeight="1">
      <c r="A64" s="461"/>
      <c r="B64" s="808"/>
      <c r="C64" s="1124">
        <v>43</v>
      </c>
      <c r="D64" s="2112" t="s">
        <v>4690</v>
      </c>
      <c r="E64" s="808"/>
      <c r="F64" s="808"/>
      <c r="G64" s="808"/>
      <c r="H64" s="808"/>
      <c r="I64" s="808"/>
      <c r="J64" s="808"/>
      <c r="K64" s="808"/>
      <c r="L64" s="808"/>
      <c r="M64" s="808"/>
      <c r="N64" s="808"/>
      <c r="O64" s="808"/>
      <c r="P64" s="808"/>
      <c r="Q64" s="808"/>
      <c r="R64" s="808"/>
      <c r="S64" s="808"/>
      <c r="T64" s="808"/>
      <c r="U64" s="808"/>
      <c r="V64" s="808"/>
      <c r="W64" s="808"/>
      <c r="X64" s="808"/>
      <c r="Y64" s="808"/>
      <c r="Z64" s="808"/>
      <c r="AA64" s="808"/>
      <c r="AB64" s="808"/>
      <c r="AC64" s="1128" t="s">
        <v>646</v>
      </c>
      <c r="AD64" s="1125">
        <v>43</v>
      </c>
      <c r="AE64" s="9823" t="str">
        <f>IF($AM$19,MAX(0,SUM(AE44,-AE45)),"")</f>
        <v/>
      </c>
      <c r="AF64" s="9824"/>
      <c r="AG64" s="9824"/>
      <c r="AH64" s="9824"/>
      <c r="AI64" s="9824"/>
      <c r="AJ64" s="9824"/>
      <c r="AK64" s="461"/>
      <c r="AL64" s="2175"/>
      <c r="AM64" s="900">
        <f>IF(YEAR(AM61)=TaxYear,MONTH(AM61),IF(AM61&gt;=AM65,13,14))</f>
        <v>14</v>
      </c>
      <c r="AN64" s="808"/>
      <c r="AO64" s="808"/>
      <c r="AP64" s="808"/>
      <c r="AQ64" s="808"/>
      <c r="AR64" s="4766">
        <v>9</v>
      </c>
      <c r="AS64" s="5059">
        <f>(74.9/100)%</f>
        <v>7.490000000000001E-3</v>
      </c>
      <c r="AT64" s="808"/>
      <c r="AU64" s="808"/>
      <c r="AV64" s="4698"/>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row>
    <row r="65" spans="1:81" s="2038" customFormat="1" ht="14.25" customHeight="1" thickBot="1">
      <c r="A65" s="461"/>
      <c r="B65" s="964"/>
      <c r="C65" s="4739">
        <v>44</v>
      </c>
      <c r="D65" s="4740" t="s">
        <v>4691</v>
      </c>
      <c r="E65" s="964"/>
      <c r="F65" s="964"/>
      <c r="G65" s="964"/>
      <c r="H65" s="964"/>
      <c r="I65" s="964"/>
      <c r="J65" s="964"/>
      <c r="K65" s="964"/>
      <c r="L65" s="964"/>
      <c r="M65" s="964"/>
      <c r="N65" s="964"/>
      <c r="O65" s="964"/>
      <c r="P65" s="964"/>
      <c r="Q65" s="964"/>
      <c r="R65" s="964"/>
      <c r="S65" s="964"/>
      <c r="T65" s="964"/>
      <c r="U65" s="964"/>
      <c r="V65" s="964"/>
      <c r="W65" s="964"/>
      <c r="X65" s="964"/>
      <c r="Y65" s="964"/>
      <c r="Z65" s="964"/>
      <c r="AA65" s="964"/>
      <c r="AB65" s="964"/>
      <c r="AC65" s="4170" t="s">
        <v>801</v>
      </c>
      <c r="AD65" s="4741">
        <v>44</v>
      </c>
      <c r="AE65" s="9821" t="str">
        <f>IF(OR(NOT($AM$19),AE61=""),"",MAX(0,SUM(AE50,-AE51)))</f>
        <v/>
      </c>
      <c r="AF65" s="9822"/>
      <c r="AG65" s="9822"/>
      <c r="AH65" s="9822"/>
      <c r="AI65" s="9822"/>
      <c r="AJ65" s="9822"/>
      <c r="AK65" s="461"/>
      <c r="AL65" s="2175"/>
      <c r="AM65" s="5828">
        <v>34101</v>
      </c>
      <c r="AN65" s="808"/>
      <c r="AO65" s="808"/>
      <c r="AP65" s="808"/>
      <c r="AQ65" s="808"/>
      <c r="AR65" s="4766">
        <v>10</v>
      </c>
      <c r="AS65" s="5059">
        <f>(53.5/100)%</f>
        <v>5.3500000000000006E-3</v>
      </c>
      <c r="AT65" s="808"/>
      <c r="AU65" s="808"/>
      <c r="AV65" s="4698"/>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row>
    <row r="66" spans="1:81" ht="18" customHeight="1" thickTop="1">
      <c r="A66" s="461"/>
      <c r="B66" s="4744" t="s">
        <v>979</v>
      </c>
      <c r="C66" s="4745"/>
      <c r="D66" s="4745"/>
      <c r="E66" s="4745"/>
      <c r="F66" s="4745"/>
      <c r="G66" s="4745"/>
      <c r="H66" s="4745"/>
      <c r="I66" s="4745"/>
      <c r="J66" s="4745"/>
      <c r="K66" s="4745"/>
      <c r="L66" s="4745"/>
      <c r="M66" s="4745"/>
      <c r="N66" s="4745"/>
      <c r="O66" s="4745"/>
      <c r="P66" s="4745"/>
      <c r="Q66" s="963"/>
      <c r="R66" s="963"/>
      <c r="S66" s="963"/>
      <c r="T66" s="963"/>
      <c r="U66" s="4746"/>
      <c r="V66" s="963"/>
      <c r="W66" s="4750" t="s">
        <v>4692</v>
      </c>
      <c r="X66" s="963"/>
      <c r="Y66" s="963"/>
      <c r="Z66" s="963"/>
      <c r="AA66" s="963"/>
      <c r="AB66" s="963"/>
      <c r="AC66" s="963"/>
      <c r="AD66" s="963"/>
      <c r="AE66" s="963"/>
      <c r="AF66" s="963"/>
      <c r="AG66" s="963"/>
      <c r="AH66" s="4747" t="s">
        <v>4693</v>
      </c>
      <c r="AI66" s="963"/>
      <c r="AJ66" s="4747" t="str">
        <f>"("&amp;TaxYear&amp;")"</f>
        <v>(2023)</v>
      </c>
      <c r="AK66" s="461"/>
      <c r="AL66" s="2175"/>
      <c r="AM66" s="808"/>
      <c r="AN66" s="808"/>
      <c r="AO66" s="808"/>
      <c r="AP66" s="808"/>
      <c r="AQ66" s="808"/>
      <c r="AR66" s="4766">
        <v>11</v>
      </c>
      <c r="AS66" s="5059">
        <f>(32.1/100)%</f>
        <v>3.2100000000000002E-3</v>
      </c>
      <c r="AT66" s="808"/>
      <c r="AU66" s="808"/>
      <c r="AV66" s="4698"/>
      <c r="AW66" s="2038"/>
      <c r="AX66" s="2038"/>
      <c r="AY66" s="2038"/>
      <c r="AZ66" s="2038"/>
      <c r="BA66" s="2038"/>
      <c r="BB66" s="2038"/>
      <c r="BC66" s="2038"/>
      <c r="BD66" s="2038"/>
      <c r="BF66" s="4742"/>
      <c r="BI66" s="4743"/>
      <c r="BJ66" s="4597"/>
      <c r="BK66" s="1281"/>
      <c r="BL66" s="2101"/>
      <c r="BM66" s="1281"/>
      <c r="BN66" s="1281"/>
      <c r="BO66" s="1281"/>
      <c r="BP66" s="1281"/>
      <c r="BQ66" s="1281"/>
      <c r="BS66" s="2690"/>
      <c r="BT66" s="2690"/>
      <c r="BU66" s="2690"/>
      <c r="BV66" s="2690"/>
      <c r="BW66" s="2690"/>
      <c r="BX66" s="2690"/>
      <c r="BY66" s="2690"/>
      <c r="BZ66" s="2690"/>
      <c r="CA66" s="2690"/>
    </row>
    <row r="67" spans="1:81" ht="18" customHeight="1" thickBot="1">
      <c r="A67" s="461"/>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2175"/>
      <c r="AM67" s="808"/>
      <c r="AN67" s="808"/>
      <c r="AO67" s="808"/>
      <c r="AP67" s="808"/>
      <c r="AQ67" s="808"/>
      <c r="AR67" s="4767">
        <v>12</v>
      </c>
      <c r="AS67" s="5060">
        <f>(10.7/100)%</f>
        <v>1.07E-3</v>
      </c>
      <c r="AT67" s="808"/>
      <c r="AU67" s="808"/>
      <c r="AV67" s="4698"/>
      <c r="AW67" s="2038"/>
      <c r="AX67" s="2038"/>
      <c r="AY67" s="2038"/>
      <c r="AZ67" s="2038"/>
      <c r="BA67" s="2038"/>
      <c r="BB67" s="2038"/>
      <c r="BC67" s="2038"/>
      <c r="BD67" s="2038"/>
      <c r="BF67" s="4742"/>
      <c r="BI67" s="4743"/>
      <c r="BJ67" s="4597"/>
      <c r="BK67" s="1281"/>
      <c r="BL67" s="2101"/>
      <c r="BM67" s="1281"/>
      <c r="BN67" s="1281"/>
      <c r="BO67" s="1281"/>
      <c r="BP67" s="1281"/>
      <c r="BQ67" s="1281"/>
      <c r="BS67" s="2690"/>
      <c r="BT67" s="2690"/>
      <c r="BU67" s="2690"/>
      <c r="BV67" s="2690"/>
      <c r="BW67" s="2690"/>
      <c r="BX67" s="2690"/>
      <c r="BY67" s="2690"/>
      <c r="BZ67" s="2690"/>
      <c r="CA67" s="2690"/>
    </row>
    <row r="68" spans="1:81" s="2038" customFormat="1" ht="25.5" customHeight="1" thickBot="1">
      <c r="A68"/>
      <c r="B68" s="8"/>
      <c r="C68" s="8"/>
      <c r="D68" s="9"/>
      <c r="E68" s="9"/>
      <c r="F68" s="9"/>
      <c r="G68" s="9"/>
      <c r="H68" s="9"/>
      <c r="I68" s="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857">
        <v>13</v>
      </c>
      <c r="AS68" s="5827">
        <v>2.564E-2</v>
      </c>
      <c r="AT68" s="39"/>
      <c r="AU68" s="39"/>
      <c r="AV68" s="4749"/>
      <c r="AW68" s="2690"/>
      <c r="AX68" s="2690"/>
      <c r="AY68" s="2690"/>
      <c r="AZ68" s="2690"/>
      <c r="BA68" s="2690"/>
      <c r="BB68" s="2690"/>
      <c r="BC68" s="2690"/>
      <c r="BD68" s="2690"/>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row>
    <row r="69" spans="1:81" s="2038" customFormat="1" ht="13.5" thickBot="1">
      <c r="A69"/>
      <c r="B69" s="7762" t="s">
        <v>4694</v>
      </c>
      <c r="C69" s="7763"/>
      <c r="D69" s="7763"/>
      <c r="E69" s="7763"/>
      <c r="F69" s="7763"/>
      <c r="G69" s="7763"/>
      <c r="H69" s="7763"/>
      <c r="I69" s="7763"/>
      <c r="J69" s="7763"/>
      <c r="K69" s="7763"/>
      <c r="L69" s="7764"/>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4749"/>
      <c r="AW69" s="2690"/>
      <c r="AX69" s="2690"/>
      <c r="AY69" s="2690"/>
      <c r="AZ69" s="2690"/>
      <c r="BA69" s="2690"/>
      <c r="BB69" s="2690"/>
      <c r="BC69" s="2690"/>
      <c r="BD69" s="2690"/>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row>
    <row r="70" spans="1:81" s="2038" customFormat="1" ht="27" customHeight="1" thickBot="1">
      <c r="A70"/>
      <c r="B70" s="364"/>
      <c r="C70" s="364"/>
      <c r="D70" s="365"/>
      <c r="E70" s="365"/>
      <c r="F70" s="365"/>
      <c r="G70" s="365"/>
      <c r="H70" s="365"/>
      <c r="I70" s="365"/>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4749"/>
      <c r="AW70" s="2690"/>
      <c r="AX70" s="2690"/>
      <c r="AY70" s="2690"/>
      <c r="AZ70" s="2690"/>
      <c r="BA70" s="2690"/>
      <c r="BB70" s="2690"/>
      <c r="BC70" s="2690"/>
      <c r="BD70" s="2690"/>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row>
    <row r="71" spans="1:81" s="2038" customFormat="1" ht="13.5" thickBot="1">
      <c r="A71"/>
      <c r="B71" s="7759" t="s">
        <v>4695</v>
      </c>
      <c r="C71" s="7760"/>
      <c r="D71" s="7760"/>
      <c r="E71" s="7760"/>
      <c r="F71" s="7760"/>
      <c r="G71" s="7760"/>
      <c r="H71" s="7760"/>
      <c r="I71" s="7760"/>
      <c r="J71" s="7760"/>
      <c r="K71" s="7760"/>
      <c r="L71" s="7761"/>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4749"/>
      <c r="AW71" s="2690"/>
      <c r="AX71" s="2690"/>
      <c r="AY71" s="2690"/>
      <c r="AZ71" s="2690"/>
      <c r="BA71" s="2690"/>
      <c r="BB71" s="2690"/>
      <c r="BC71" s="2690"/>
      <c r="BD71" s="2690"/>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row>
    <row r="72" spans="1:81" s="2038" customFormat="1" ht="21.7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4749"/>
      <c r="AW72" s="2690"/>
      <c r="AX72" s="2690"/>
      <c r="AY72" s="2690"/>
      <c r="AZ72" s="2690"/>
      <c r="BA72" s="2690"/>
      <c r="BB72" s="2690"/>
      <c r="BC72" s="2690"/>
      <c r="BD72" s="2690"/>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row>
    <row r="73" spans="1:81" s="2038" customFormat="1" ht="13.5"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4749"/>
      <c r="AW73" s="2690"/>
      <c r="AX73" s="2690"/>
      <c r="AY73" s="2690"/>
      <c r="AZ73" s="2690"/>
      <c r="BA73" s="2690"/>
      <c r="BB73" s="2690"/>
      <c r="BC73" s="2690"/>
      <c r="BD73" s="2690"/>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row>
    <row r="74" spans="1:81" s="2038" customFormat="1">
      <c r="A74" s="39"/>
      <c r="B74" s="6517" t="s">
        <v>46</v>
      </c>
      <c r="C74" s="6518"/>
      <c r="D74" s="6518"/>
      <c r="E74" s="651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4749"/>
      <c r="AW74" s="2690"/>
      <c r="AX74" s="2690"/>
      <c r="AY74" s="2690"/>
      <c r="AZ74" s="2690"/>
      <c r="BA74" s="2690"/>
      <c r="BB74" s="2690"/>
      <c r="BC74" s="2690"/>
      <c r="BD74" s="2690"/>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row>
    <row r="75" spans="1:81" s="2038" customFormat="1">
      <c r="A75" s="39"/>
      <c r="B75" s="6520"/>
      <c r="C75" s="9831"/>
      <c r="D75" s="9831"/>
      <c r="E75" s="6522"/>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4749"/>
      <c r="AW75" s="2690"/>
      <c r="AX75" s="2690"/>
      <c r="AY75" s="2690"/>
      <c r="AZ75" s="2690"/>
      <c r="BA75" s="2690"/>
      <c r="BB75" s="2690"/>
      <c r="BC75" s="2690"/>
      <c r="BD75" s="2690"/>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row>
    <row r="76" spans="1:81" s="2038" customFormat="1" ht="13.5" thickBot="1">
      <c r="A76" s="39"/>
      <c r="B76" s="6523"/>
      <c r="C76" s="6524"/>
      <c r="D76" s="6524"/>
      <c r="E76" s="6525"/>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4749"/>
      <c r="AW76" s="2690"/>
      <c r="AX76" s="2690"/>
      <c r="AY76" s="2690"/>
      <c r="AZ76" s="2690"/>
      <c r="BA76" s="2690"/>
      <c r="BB76" s="2690"/>
      <c r="BC76" s="2690"/>
      <c r="BD76" s="2690"/>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row>
    <row r="77" spans="1:81" s="2038" customFormat="1"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4749"/>
      <c r="AW77" s="2690"/>
      <c r="AX77" s="2690"/>
      <c r="AY77" s="2690"/>
      <c r="AZ77" s="2690"/>
      <c r="BA77" s="2690"/>
      <c r="BB77" s="2690"/>
      <c r="BC77" s="2690"/>
      <c r="BD77" s="2690"/>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row>
    <row r="78" spans="1:81" s="2038" customForma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4749"/>
      <c r="AW78" s="2690"/>
      <c r="AX78" s="2690"/>
      <c r="AY78" s="2690"/>
      <c r="AZ78" s="2690"/>
      <c r="BA78" s="2690"/>
      <c r="BB78" s="2690"/>
      <c r="BC78" s="2690"/>
      <c r="BD78" s="2690"/>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row>
    <row r="79" spans="1:81" s="2038" customForma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4749"/>
      <c r="AW79" s="2690"/>
      <c r="AX79" s="2690"/>
      <c r="AY79" s="2690"/>
      <c r="AZ79" s="2690"/>
      <c r="BA79" s="2690"/>
      <c r="BB79" s="2690"/>
      <c r="BC79" s="2690"/>
      <c r="BD79" s="2690"/>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row>
    <row r="80" spans="1:81" s="2038" customForma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4749"/>
      <c r="AW80" s="2690"/>
      <c r="AX80" s="2690"/>
      <c r="AY80" s="2690"/>
      <c r="AZ80" s="2690"/>
      <c r="BA80" s="2690"/>
      <c r="BB80" s="2690"/>
      <c r="BC80" s="2690"/>
      <c r="BD80" s="2690"/>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row>
    <row r="81" spans="1:81" s="2038" customForma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4749"/>
      <c r="AW81" s="2690"/>
      <c r="AX81" s="2690"/>
      <c r="AY81" s="2690"/>
      <c r="AZ81" s="2690"/>
      <c r="BA81" s="2690"/>
      <c r="BB81" s="2690"/>
      <c r="BC81" s="2690"/>
      <c r="BD81" s="2690"/>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row>
    <row r="82" spans="1:81" s="2038" customForma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4749"/>
      <c r="AW82" s="2690"/>
      <c r="AX82" s="2690"/>
      <c r="AY82" s="2690"/>
      <c r="AZ82" s="2690"/>
      <c r="BA82" s="2690"/>
      <c r="BB82" s="2690"/>
      <c r="BC82" s="2690"/>
      <c r="BD82" s="2690"/>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row>
    <row r="83" spans="1:81" s="2038" customForma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4749"/>
      <c r="AW83" s="2690"/>
      <c r="AX83" s="2690"/>
      <c r="AY83" s="2690"/>
      <c r="AZ83" s="2690"/>
      <c r="BA83" s="2690"/>
      <c r="BB83" s="2690"/>
      <c r="BC83" s="2690"/>
      <c r="BD83" s="2690"/>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row>
    <row r="84" spans="1:81" s="2038" customForma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4749"/>
      <c r="AW84" s="2690"/>
      <c r="AX84" s="2690"/>
      <c r="AY84" s="2690"/>
      <c r="AZ84" s="2690"/>
      <c r="BA84" s="2690"/>
      <c r="BB84" s="2690"/>
      <c r="BC84" s="2690"/>
      <c r="BD84" s="2690"/>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row>
    <row r="85" spans="1:81" s="2038" customForma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4749"/>
      <c r="AW85" s="2690"/>
      <c r="AX85" s="2690"/>
      <c r="AY85" s="2690"/>
      <c r="AZ85" s="2690"/>
      <c r="BA85" s="2690"/>
      <c r="BB85" s="2690"/>
      <c r="BC85" s="2690"/>
      <c r="BD85" s="2690"/>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row>
  </sheetData>
  <sheetProtection algorithmName="SHA-512" hashValue="gymEqbs0ArHslhzsjNRieNJ+TamxJndGi9+mcWG2WtgYtaNM5NYyltYEZxwBNgk70R6pMkXZKM8mo9LYHXIAmg==" saltValue="R1mNDefQXnDw0sRfABthHg==" spinCount="100000" sheet="1" objects="1" scenarios="1"/>
  <mergeCells count="80">
    <mergeCell ref="I4:AB4"/>
    <mergeCell ref="X17:AB17"/>
    <mergeCell ref="X19:AB19"/>
    <mergeCell ref="I5:AB5"/>
    <mergeCell ref="AD5:AG5"/>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X34:AC34"/>
    <mergeCell ref="X28:AC28"/>
    <mergeCell ref="B3:C3"/>
    <mergeCell ref="I3:AB3"/>
    <mergeCell ref="AC3:AJ4"/>
    <mergeCell ref="AE32:AJ32"/>
    <mergeCell ref="I6:AB6"/>
    <mergeCell ref="AD6:AG6"/>
    <mergeCell ref="B8:X9"/>
    <mergeCell ref="Y8:AJ9"/>
    <mergeCell ref="B11:C11"/>
    <mergeCell ref="AE13:AJ13"/>
    <mergeCell ref="B23:C23"/>
    <mergeCell ref="AE25:AJ25"/>
    <mergeCell ref="X26:AC26"/>
    <mergeCell ref="R26:W26"/>
    <mergeCell ref="R27:W27"/>
    <mergeCell ref="R28:W28"/>
    <mergeCell ref="B56:C56"/>
    <mergeCell ref="AE55:AJ55"/>
    <mergeCell ref="B71:L71"/>
    <mergeCell ref="B74:E76"/>
    <mergeCell ref="AE14:AJ14"/>
    <mergeCell ref="AE15:AI15"/>
    <mergeCell ref="AB18:AC18"/>
    <mergeCell ref="X20:AC20"/>
    <mergeCell ref="B69:L69"/>
    <mergeCell ref="AE64:AJ64"/>
    <mergeCell ref="AE57:AJ57"/>
    <mergeCell ref="AE58:AJ58"/>
    <mergeCell ref="AE60:AJ60"/>
    <mergeCell ref="AE59:AJ59"/>
    <mergeCell ref="AE53:AJ53"/>
    <mergeCell ref="R34:W34"/>
    <mergeCell ref="R29:W29"/>
    <mergeCell ref="X29:AC29"/>
    <mergeCell ref="R30:W30"/>
    <mergeCell ref="X30:AC30"/>
    <mergeCell ref="X41:AC41"/>
    <mergeCell ref="R35:W35"/>
    <mergeCell ref="X35:AC35"/>
    <mergeCell ref="R36:W36"/>
    <mergeCell ref="X36:AC36"/>
    <mergeCell ref="R37:W37"/>
    <mergeCell ref="X37:AC37"/>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s>
  <conditionalFormatting sqref="B8:K8">
    <cfRule type="expression" dxfId="620" priority="208">
      <formula>IF(NoColor,1,0)</formula>
    </cfRule>
  </conditionalFormatting>
  <conditionalFormatting sqref="Q18:R19">
    <cfRule type="expression" dxfId="619" priority="199">
      <formula>IF(NoColor,1,0)</formula>
    </cfRule>
  </conditionalFormatting>
  <conditionalFormatting sqref="R26:R30">
    <cfRule type="expression" dxfId="618" priority="4">
      <formula>IF(NoColor,1,0)</formula>
    </cfRule>
  </conditionalFormatting>
  <conditionalFormatting sqref="R27:W30">
    <cfRule type="expression" dxfId="617" priority="3">
      <formula>IF(NoColor,1,0)</formula>
    </cfRule>
  </conditionalFormatting>
  <conditionalFormatting sqref="R34:W41">
    <cfRule type="expression" dxfId="616" priority="10">
      <formula>IF(NoColor,1,0)</formula>
    </cfRule>
  </conditionalFormatting>
  <conditionalFormatting sqref="R35:W35">
    <cfRule type="expression" dxfId="615" priority="8">
      <formula>AND(NoColor,R35=0)</formula>
    </cfRule>
    <cfRule type="expression" dxfId="614" priority="9">
      <formula>AND(NOT(NoColor),R35=0)</formula>
    </cfRule>
  </conditionalFormatting>
  <conditionalFormatting sqref="R26:AC26">
    <cfRule type="expression" dxfId="613" priority="76">
      <formula>IF(NoColor,1,0)</formula>
    </cfRule>
  </conditionalFormatting>
  <conditionalFormatting sqref="X17:X20">
    <cfRule type="expression" dxfId="612" priority="39">
      <formula>IF(NoColor,1,0)</formula>
    </cfRule>
  </conditionalFormatting>
  <conditionalFormatting sqref="X26:X31">
    <cfRule type="expression" dxfId="611" priority="38">
      <formula>IF(NoColor,1,0)</formula>
    </cfRule>
  </conditionalFormatting>
  <conditionalFormatting sqref="X18:AB18">
    <cfRule type="expression" dxfId="610" priority="107">
      <formula>IF(NoColor,1,0)</formula>
    </cfRule>
  </conditionalFormatting>
  <conditionalFormatting sqref="X20:AC20">
    <cfRule type="expression" dxfId="609" priority="82">
      <formula>IF(NoColor,1,0)</formula>
    </cfRule>
  </conditionalFormatting>
  <conditionalFormatting sqref="X27:AC31">
    <cfRule type="expression" dxfId="608" priority="37">
      <formula>IF(NoColor,1,0)</formula>
    </cfRule>
  </conditionalFormatting>
  <conditionalFormatting sqref="X34:AC43">
    <cfRule type="expression" dxfId="607" priority="13">
      <formula>IF(NoColor,1,0)</formula>
    </cfRule>
  </conditionalFormatting>
  <conditionalFormatting sqref="X47:AC49">
    <cfRule type="expression" dxfId="606" priority="53">
      <formula>IF(NoColor,1,0)</formula>
    </cfRule>
  </conditionalFormatting>
  <conditionalFormatting sqref="Y8">
    <cfRule type="expression" dxfId="605" priority="139">
      <formula>IF(NoColor,1,0)</formula>
    </cfRule>
  </conditionalFormatting>
  <conditionalFormatting sqref="AC17">
    <cfRule type="expression" dxfId="604" priority="41">
      <formula>IF(NoColor,1,0)</formula>
    </cfRule>
  </conditionalFormatting>
  <conditionalFormatting sqref="AC19">
    <cfRule type="expression" dxfId="603" priority="12">
      <formula>IF(NoColor,1,0)</formula>
    </cfRule>
  </conditionalFormatting>
  <conditionalFormatting sqref="AE13:AE15">
    <cfRule type="expression" dxfId="602" priority="85">
      <formula>IF(NoColor,1,0)</formula>
    </cfRule>
  </conditionalFormatting>
  <conditionalFormatting sqref="AE22">
    <cfRule type="expression" dxfId="601" priority="68">
      <formula>IF(NoColor,1,0)</formula>
    </cfRule>
  </conditionalFormatting>
  <conditionalFormatting sqref="AE55">
    <cfRule type="expression" dxfId="600" priority="49">
      <formula>IF(NoColor,1,0)</formula>
    </cfRule>
  </conditionalFormatting>
  <conditionalFormatting sqref="AE57:AE62">
    <cfRule type="expression" dxfId="599" priority="18">
      <formula>IF(NoColor,1,0)</formula>
    </cfRule>
  </conditionalFormatting>
  <conditionalFormatting sqref="AE13:AJ14">
    <cfRule type="expression" dxfId="598" priority="43">
      <formula>IF(NoColor,1,0)</formula>
    </cfRule>
  </conditionalFormatting>
  <conditionalFormatting sqref="AE25:AJ25">
    <cfRule type="expression" dxfId="597" priority="78">
      <formula>IF(NoColor,1,0)</formula>
    </cfRule>
  </conditionalFormatting>
  <conditionalFormatting sqref="AE32:AJ33">
    <cfRule type="expression" dxfId="596" priority="195">
      <formula>IF(NoColor,1,0)</formula>
    </cfRule>
  </conditionalFormatting>
  <conditionalFormatting sqref="AE44:AJ46">
    <cfRule type="expression" dxfId="595" priority="20">
      <formula>IF(NoColor,1,0)</formula>
    </cfRule>
  </conditionalFormatting>
  <conditionalFormatting sqref="AE50:AJ53">
    <cfRule type="expression" dxfId="594" priority="51">
      <formula>IF(NoColor,1,0)</formula>
    </cfRule>
  </conditionalFormatting>
  <conditionalFormatting sqref="AE57:AJ60 AE62:AJ62">
    <cfRule type="expression" dxfId="593" priority="46">
      <formula>IF(NoColor,1,0)</formula>
    </cfRule>
  </conditionalFormatting>
  <conditionalFormatting sqref="AE64:AJ65">
    <cfRule type="expression" dxfId="592" priority="44">
      <formula>IF(NoColor,1,0)</formula>
    </cfRule>
  </conditionalFormatting>
  <conditionalFormatting sqref="AJ15">
    <cfRule type="expression" dxfId="591" priority="84">
      <formula>IF(NoColor,1,0)</formula>
    </cfRule>
  </conditionalFormatting>
  <conditionalFormatting sqref="AJ22">
    <cfRule type="expression" dxfId="590" priority="67">
      <formula>IF(NoColor,1,0)</formula>
    </cfRule>
  </conditionalFormatting>
  <conditionalFormatting sqref="AJ61">
    <cfRule type="expression" dxfId="589" priority="17">
      <formula>IF(NoColor,1,0)</formula>
    </cfRule>
  </conditionalFormatting>
  <conditionalFormatting sqref="AL24:AM25">
    <cfRule type="expression" dxfId="588" priority="16">
      <formula>NoColor</formula>
    </cfRule>
  </conditionalFormatting>
  <conditionalFormatting sqref="AM26">
    <cfRule type="expression" dxfId="587" priority="15">
      <formula>NoColor</formula>
    </cfRule>
  </conditionalFormatting>
  <conditionalFormatting sqref="AM29">
    <cfRule type="expression" dxfId="586" priority="5">
      <formula>NoColor</formula>
    </cfRule>
  </conditionalFormatting>
  <conditionalFormatting sqref="AO61">
    <cfRule type="expression" dxfId="585" priority="1">
      <formula>$AM$61=""</formula>
    </cfRule>
    <cfRule type="expression" dxfId="584" priority="2">
      <formula>OR(YEAR(AM61)&lt;TaxYear,$AM$64=14)</formula>
    </cfRule>
  </conditionalFormatting>
  <conditionalFormatting sqref="AS53">
    <cfRule type="expression" dxfId="583" priority="6">
      <formula>AND(NoColor,AS53=0)</formula>
    </cfRule>
    <cfRule type="expression" dxfId="582" priority="7">
      <formula>AND(NOT(NoColor),AS53=0)</formula>
    </cfRule>
  </conditionalFormatting>
  <hyperlinks>
    <hyperlink ref="C74:D76" location="'Table of Contents'!A1" display="Table of Contents" xr:uid="{00000000-0004-0000-2D00-000000000000}"/>
    <hyperlink ref="B69:H69" r:id="rId1" display="Download Form 1040 Schedule R" xr:uid="{00000000-0004-0000-2D00-000001000000}"/>
    <hyperlink ref="B71:H71" r:id="rId2" display="Download Form 1040 Schedule R Instructions" xr:uid="{00000000-0004-0000-2D00-000002000000}"/>
    <hyperlink ref="B69:I69" r:id="rId3" display="Download Form 1040 Form 8962" xr:uid="{00000000-0004-0000-2D00-000003000000}"/>
    <hyperlink ref="B71:L71" r:id="rId4" display="Download Form 8829 Instructions" xr:uid="{00000000-0004-0000-2D00-000004000000}"/>
    <hyperlink ref="B69:L69" r:id="rId5" display="Download Form 8829" xr:uid="{00000000-0004-0000-2D00-000005000000}"/>
  </hyperlinks>
  <pageMargins left="0.75" right="0.25" top="0.36" bottom="0.28999999999999998" header="0.36" footer="0.21"/>
  <pageSetup scale="69" fitToHeight="0"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B293"/>
  <sheetViews>
    <sheetView zoomScaleNormal="100" zoomScaleSheetLayoutView="100" workbookViewId="0"/>
  </sheetViews>
  <sheetFormatPr defaultColWidth="9.140625" defaultRowHeight="12.75"/>
  <cols>
    <col min="1" max="1" width="2.7109375" style="39" customWidth="1"/>
    <col min="2" max="2" width="4.7109375" style="39" customWidth="1"/>
    <col min="3" max="3" width="4" style="39" customWidth="1"/>
    <col min="4" max="10" width="3.7109375" style="39" customWidth="1"/>
    <col min="11" max="11" width="4.42578125" style="39" customWidth="1"/>
    <col min="12" max="16" width="3.7109375" style="39" customWidth="1"/>
    <col min="17" max="17" width="4.28515625" style="39" customWidth="1"/>
    <col min="18" max="19" width="3.7109375" style="39" customWidth="1"/>
    <col min="20" max="20" width="4.42578125" style="39" customWidth="1"/>
    <col min="21" max="23" width="3.7109375" style="39" customWidth="1"/>
    <col min="24" max="24" width="4.42578125" style="39" customWidth="1"/>
    <col min="25" max="32" width="3.7109375" style="39" customWidth="1"/>
    <col min="33" max="33" width="4.42578125" style="39" customWidth="1"/>
    <col min="34" max="36" width="3.7109375" style="39" customWidth="1"/>
    <col min="37" max="37" width="2" style="39" customWidth="1"/>
    <col min="38" max="38" width="3.28515625" style="39" customWidth="1"/>
    <col min="39" max="39" width="2" style="39" customWidth="1"/>
    <col min="40" max="40" width="2.85546875" style="39" customWidth="1"/>
    <col min="41" max="41" width="14.42578125" style="39" customWidth="1"/>
    <col min="42" max="42" width="3.28515625" style="39" customWidth="1"/>
    <col min="43" max="51" width="10.7109375" style="2038" customWidth="1"/>
    <col min="52" max="52" width="4.140625" style="2038" customWidth="1"/>
    <col min="53" max="16384" width="9.140625" style="39"/>
  </cols>
  <sheetData>
    <row r="1" spans="1:54" s="2690" customFormat="1" ht="12" customHeight="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461"/>
      <c r="AM1" s="461"/>
      <c r="AN1" s="808"/>
      <c r="AO1" s="808"/>
      <c r="AP1" s="808"/>
      <c r="AQ1" s="2038"/>
      <c r="AR1" s="2038"/>
      <c r="AS1" s="2038"/>
      <c r="AT1" s="2038"/>
      <c r="AU1" s="2038"/>
      <c r="AV1" s="2038"/>
      <c r="AW1" s="2038"/>
      <c r="AX1" s="2038"/>
      <c r="AY1" s="2038"/>
      <c r="AZ1" s="2038"/>
      <c r="BA1" s="39"/>
      <c r="BB1" s="39"/>
    </row>
    <row r="2" spans="1:54" s="2690" customFormat="1" ht="24" customHeight="1">
      <c r="A2" s="461"/>
      <c r="B2" s="808"/>
      <c r="C2" s="808"/>
      <c r="D2" s="8768" t="s">
        <v>140</v>
      </c>
      <c r="E2" s="8769"/>
      <c r="F2" s="8769"/>
      <c r="G2" s="8769"/>
      <c r="H2" s="860"/>
      <c r="I2" s="9926" t="s">
        <v>5691</v>
      </c>
      <c r="J2" s="9927"/>
      <c r="K2" s="9927"/>
      <c r="L2" s="9927"/>
      <c r="M2" s="9927"/>
      <c r="N2" s="9927"/>
      <c r="O2" s="9927"/>
      <c r="P2" s="9927"/>
      <c r="Q2" s="9927"/>
      <c r="R2" s="9927"/>
      <c r="S2" s="9927"/>
      <c r="T2" s="9927"/>
      <c r="U2" s="9927"/>
      <c r="V2" s="9927"/>
      <c r="W2" s="9927"/>
      <c r="X2" s="9927"/>
      <c r="Y2" s="9927"/>
      <c r="Z2" s="9927"/>
      <c r="AA2" s="9927"/>
      <c r="AB2" s="9928"/>
      <c r="AC2" s="9862" t="s">
        <v>576</v>
      </c>
      <c r="AD2" s="8773"/>
      <c r="AE2" s="8773"/>
      <c r="AF2" s="8773"/>
      <c r="AG2" s="8773"/>
      <c r="AH2" s="8773"/>
      <c r="AI2" s="8773"/>
      <c r="AJ2" s="8773"/>
      <c r="AK2" s="461"/>
      <c r="AL2" s="461"/>
      <c r="AM2" s="461"/>
      <c r="AN2" s="808"/>
      <c r="AO2" s="808"/>
      <c r="AP2" s="808"/>
      <c r="AQ2" s="2038"/>
      <c r="AR2" s="2038"/>
      <c r="AS2" s="2038"/>
      <c r="AT2" s="2038"/>
      <c r="AU2" s="2038"/>
      <c r="AV2" s="2038"/>
      <c r="AW2" s="2038"/>
      <c r="AX2" s="2038"/>
      <c r="AY2" s="2038"/>
      <c r="AZ2" s="2038"/>
      <c r="BA2" s="39"/>
      <c r="BB2" s="39"/>
    </row>
    <row r="3" spans="1:54" s="2690" customFormat="1" ht="24" customHeight="1">
      <c r="A3" s="461"/>
      <c r="B3" s="8774" t="s">
        <v>50</v>
      </c>
      <c r="C3" s="7256"/>
      <c r="D3" s="8769"/>
      <c r="E3" s="8769"/>
      <c r="F3" s="8769"/>
      <c r="G3" s="8769"/>
      <c r="H3" s="860"/>
      <c r="I3" s="9929"/>
      <c r="J3" s="9927"/>
      <c r="K3" s="9927"/>
      <c r="L3" s="9927"/>
      <c r="M3" s="9927"/>
      <c r="N3" s="9927"/>
      <c r="O3" s="9927"/>
      <c r="P3" s="9927"/>
      <c r="Q3" s="9927"/>
      <c r="R3" s="9927"/>
      <c r="S3" s="9927"/>
      <c r="T3" s="9927"/>
      <c r="U3" s="9927"/>
      <c r="V3" s="9927"/>
      <c r="W3" s="9927"/>
      <c r="X3" s="9927"/>
      <c r="Y3" s="9927"/>
      <c r="Z3" s="9927"/>
      <c r="AA3" s="9927"/>
      <c r="AB3" s="9928"/>
      <c r="AC3" s="8775">
        <f>TaxYear</f>
        <v>2023</v>
      </c>
      <c r="AD3" s="8776"/>
      <c r="AE3" s="8776"/>
      <c r="AF3" s="8776"/>
      <c r="AG3" s="8776"/>
      <c r="AH3" s="8776"/>
      <c r="AI3" s="8776"/>
      <c r="AJ3" s="8776"/>
      <c r="AK3" s="461"/>
      <c r="AL3" s="461"/>
      <c r="AM3" s="461"/>
      <c r="AN3" s="808"/>
      <c r="AO3" s="808"/>
      <c r="AP3" s="808"/>
      <c r="AQ3" s="2038"/>
      <c r="AR3" s="2038"/>
      <c r="AS3" s="2038"/>
      <c r="AT3" s="2038"/>
      <c r="AU3" s="2038"/>
      <c r="AV3" s="2038"/>
      <c r="AW3" s="2038"/>
      <c r="AX3" s="2038"/>
      <c r="AY3" s="2038"/>
      <c r="AZ3" s="2038"/>
      <c r="BA3" s="39"/>
      <c r="BB3" s="39"/>
    </row>
    <row r="4" spans="1:54" s="2690" customFormat="1" ht="6.75" customHeight="1">
      <c r="A4" s="461"/>
      <c r="B4" s="808"/>
      <c r="C4" s="808"/>
      <c r="D4" s="808"/>
      <c r="E4" s="808"/>
      <c r="F4" s="808"/>
      <c r="G4" s="808"/>
      <c r="H4" s="860"/>
      <c r="I4" s="1115"/>
      <c r="J4" s="1116"/>
      <c r="K4" s="1116"/>
      <c r="L4" s="1116"/>
      <c r="M4" s="1116"/>
      <c r="N4" s="1116"/>
      <c r="O4" s="1116"/>
      <c r="P4" s="1116"/>
      <c r="Q4" s="1116"/>
      <c r="R4" s="1116"/>
      <c r="S4" s="1116"/>
      <c r="T4" s="1116"/>
      <c r="U4" s="1116"/>
      <c r="V4" s="1116"/>
      <c r="W4" s="1116"/>
      <c r="X4" s="1116"/>
      <c r="Y4" s="1116"/>
      <c r="Z4" s="1116"/>
      <c r="AA4" s="1116"/>
      <c r="AB4" s="1117"/>
      <c r="AC4" s="8777"/>
      <c r="AD4" s="8778"/>
      <c r="AE4" s="8778"/>
      <c r="AF4" s="8778"/>
      <c r="AG4" s="8778"/>
      <c r="AH4" s="8778"/>
      <c r="AI4" s="8778"/>
      <c r="AJ4" s="8778"/>
      <c r="AK4" s="461"/>
      <c r="AL4" s="461"/>
      <c r="AM4" s="461"/>
      <c r="AN4" s="808"/>
      <c r="AO4" s="808"/>
      <c r="AP4" s="808"/>
      <c r="AQ4" s="2038"/>
      <c r="AR4" s="2038"/>
      <c r="AS4" s="2038"/>
      <c r="AT4" s="2038"/>
      <c r="AU4" s="2038"/>
      <c r="AV4" s="2038"/>
      <c r="AW4" s="2038"/>
      <c r="AX4" s="2038"/>
      <c r="AY4" s="2038"/>
      <c r="AZ4" s="2038"/>
      <c r="BA4" s="39"/>
      <c r="BB4" s="39"/>
    </row>
    <row r="5" spans="1:54" s="2690" customFormat="1" ht="12.75" customHeight="1">
      <c r="A5" s="461"/>
      <c r="B5" s="808" t="s">
        <v>535</v>
      </c>
      <c r="C5" s="808"/>
      <c r="D5" s="808"/>
      <c r="E5" s="808"/>
      <c r="F5" s="808"/>
      <c r="G5" s="808"/>
      <c r="H5" s="860"/>
      <c r="I5" s="9869" t="s">
        <v>2090</v>
      </c>
      <c r="J5" s="9870"/>
      <c r="K5" s="9870"/>
      <c r="L5" s="9870"/>
      <c r="M5" s="9870"/>
      <c r="N5" s="9870"/>
      <c r="O5" s="9870"/>
      <c r="P5" s="9870"/>
      <c r="Q5" s="9870"/>
      <c r="R5" s="9870"/>
      <c r="S5" s="9870"/>
      <c r="T5" s="9870"/>
      <c r="U5" s="9870"/>
      <c r="V5" s="9870"/>
      <c r="W5" s="9870"/>
      <c r="X5" s="9870"/>
      <c r="Y5" s="9870"/>
      <c r="Z5" s="9870"/>
      <c r="AA5" s="9870"/>
      <c r="AB5" s="9871"/>
      <c r="AC5" s="894"/>
      <c r="AD5" s="8472" t="s">
        <v>3899</v>
      </c>
      <c r="AE5" s="6848"/>
      <c r="AF5" s="6848"/>
      <c r="AG5" s="6848"/>
      <c r="AH5" s="8160">
        <v>50</v>
      </c>
      <c r="AI5" s="8160"/>
      <c r="AJ5" s="808"/>
      <c r="AK5" s="461"/>
      <c r="AL5" s="461"/>
      <c r="AM5" s="461"/>
      <c r="AN5" s="808"/>
      <c r="AO5" s="808"/>
      <c r="AP5" s="808"/>
      <c r="AQ5" s="2038"/>
      <c r="AR5" s="2038"/>
      <c r="AS5" s="2038"/>
      <c r="AT5" s="2038"/>
      <c r="AU5" s="2038"/>
      <c r="AV5" s="2038"/>
      <c r="AW5" s="2038"/>
      <c r="AX5" s="2038"/>
      <c r="AY5" s="2038"/>
      <c r="AZ5" s="2038"/>
      <c r="BA5" s="39"/>
      <c r="BB5" s="39"/>
    </row>
    <row r="6" spans="1:54" s="2690" customFormat="1" ht="13.5" customHeight="1" thickBot="1">
      <c r="A6" s="461"/>
      <c r="B6" s="1257" t="s">
        <v>537</v>
      </c>
      <c r="C6" s="896"/>
      <c r="D6" s="896"/>
      <c r="E6" s="896"/>
      <c r="F6" s="896"/>
      <c r="G6" s="896"/>
      <c r="H6" s="897"/>
      <c r="I6" s="9842" t="s">
        <v>4696</v>
      </c>
      <c r="J6" s="9843"/>
      <c r="K6" s="9843"/>
      <c r="L6" s="9843"/>
      <c r="M6" s="9843"/>
      <c r="N6" s="9843"/>
      <c r="O6" s="9843"/>
      <c r="P6" s="9843"/>
      <c r="Q6" s="9843"/>
      <c r="R6" s="9843"/>
      <c r="S6" s="9843"/>
      <c r="T6" s="9843"/>
      <c r="U6" s="9843"/>
      <c r="V6" s="9843"/>
      <c r="W6" s="9843"/>
      <c r="X6" s="9843"/>
      <c r="Y6" s="9843"/>
      <c r="Z6" s="9843"/>
      <c r="AA6" s="9843"/>
      <c r="AB6" s="9844"/>
      <c r="AC6" s="1118"/>
      <c r="AD6" s="8860" t="s">
        <v>3912</v>
      </c>
      <c r="AE6" s="8861"/>
      <c r="AF6" s="8861"/>
      <c r="AG6" s="8861"/>
      <c r="AH6" s="8848"/>
      <c r="AI6" s="8848"/>
      <c r="AJ6" s="896"/>
      <c r="AK6" s="461"/>
      <c r="AL6" s="461"/>
      <c r="AM6" s="461"/>
      <c r="AN6" s="808"/>
      <c r="AO6" s="808"/>
      <c r="AP6" s="808"/>
      <c r="AQ6" s="2038"/>
      <c r="AR6" s="2038"/>
      <c r="AS6" s="2038"/>
      <c r="AT6" s="2038"/>
      <c r="AU6" s="2038"/>
      <c r="AV6" s="2038"/>
      <c r="AW6" s="2038"/>
      <c r="AX6" s="2038"/>
      <c r="AY6" s="2038"/>
      <c r="AZ6" s="2038"/>
      <c r="BA6" s="39"/>
      <c r="BB6" s="39"/>
    </row>
    <row r="7" spans="1:54" s="2690" customFormat="1">
      <c r="A7" s="461"/>
      <c r="B7" s="1119" t="s">
        <v>2208</v>
      </c>
      <c r="C7" s="1119"/>
      <c r="D7" s="1119"/>
      <c r="E7" s="1119"/>
      <c r="F7" s="1119"/>
      <c r="G7" s="1119"/>
      <c r="H7" s="1119"/>
      <c r="I7" s="1119"/>
      <c r="J7" s="1119"/>
      <c r="K7" s="1119"/>
      <c r="L7" s="1119"/>
      <c r="M7" s="1119"/>
      <c r="N7" s="1119"/>
      <c r="O7" s="1119"/>
      <c r="P7" s="1119"/>
      <c r="Q7" s="1119"/>
      <c r="R7" s="1119"/>
      <c r="S7" s="1119"/>
      <c r="T7" s="1119"/>
      <c r="U7" s="1119"/>
      <c r="V7" s="1119"/>
      <c r="W7" s="1119"/>
      <c r="X7" s="1119"/>
      <c r="Y7" s="1120" t="s">
        <v>586</v>
      </c>
      <c r="Z7" s="890"/>
      <c r="AA7" s="890"/>
      <c r="AB7" s="890"/>
      <c r="AC7" s="1150"/>
      <c r="AD7" s="1255"/>
      <c r="AE7" s="1255"/>
      <c r="AF7" s="1255"/>
      <c r="AG7" s="1255"/>
      <c r="AH7" s="1255"/>
      <c r="AI7" s="1255"/>
      <c r="AJ7" s="1255"/>
      <c r="AK7" s="461"/>
      <c r="AL7" s="461"/>
      <c r="AM7" s="461"/>
      <c r="AN7" s="808"/>
      <c r="AO7" s="808"/>
      <c r="AP7" s="808"/>
      <c r="AQ7" s="2038"/>
      <c r="AR7" s="2038"/>
      <c r="AS7" s="2038"/>
      <c r="AT7" s="2038"/>
      <c r="AU7" s="2038"/>
      <c r="AV7" s="2038"/>
      <c r="AW7" s="2038"/>
      <c r="AX7" s="2038"/>
      <c r="AY7" s="2038"/>
      <c r="AZ7" s="2038"/>
      <c r="BA7" s="39"/>
      <c r="BB7" s="39"/>
    </row>
    <row r="8" spans="1:54" s="2690" customFormat="1" ht="13.5" customHeight="1">
      <c r="A8" s="461"/>
      <c r="B8" s="9913" t="str">
        <f>IF(Names="","",Names)</f>
        <v/>
      </c>
      <c r="C8" s="9914"/>
      <c r="D8" s="9914"/>
      <c r="E8" s="9914"/>
      <c r="F8" s="9914"/>
      <c r="G8" s="9914"/>
      <c r="H8" s="9914"/>
      <c r="I8" s="9914"/>
      <c r="J8" s="9914"/>
      <c r="K8" s="9914"/>
      <c r="L8" s="9915"/>
      <c r="M8" s="9915"/>
      <c r="N8" s="9915"/>
      <c r="O8" s="9915"/>
      <c r="P8" s="9915"/>
      <c r="Q8" s="9915"/>
      <c r="R8" s="9915"/>
      <c r="S8" s="9915"/>
      <c r="T8" s="9916"/>
      <c r="U8" s="9916"/>
      <c r="V8" s="9916"/>
      <c r="W8" s="9916"/>
      <c r="X8" s="9917"/>
      <c r="Y8" s="9921">
        <f>IF(OR(NoSSN,SS_Yours=""),"",SS_Yours)</f>
        <v>1010001</v>
      </c>
      <c r="Z8" s="9922"/>
      <c r="AA8" s="9922"/>
      <c r="AB8" s="9922"/>
      <c r="AC8" s="9922"/>
      <c r="AD8" s="9922"/>
      <c r="AE8" s="9922"/>
      <c r="AF8" s="9922"/>
      <c r="AG8" s="9922"/>
      <c r="AH8" s="9922"/>
      <c r="AI8" s="9922"/>
      <c r="AJ8" s="9922"/>
      <c r="AK8" s="461"/>
      <c r="AL8" s="461"/>
      <c r="AM8" s="461"/>
      <c r="AN8" s="808"/>
      <c r="AO8" s="7978" t="s">
        <v>4697</v>
      </c>
      <c r="AP8" s="1573"/>
      <c r="AQ8" s="2038"/>
      <c r="AR8" s="2038"/>
      <c r="AS8" s="2038"/>
      <c r="AT8" s="2038"/>
      <c r="AU8" s="2038"/>
      <c r="AV8" s="2038"/>
      <c r="AW8" s="2038"/>
      <c r="AX8" s="2038"/>
      <c r="AY8" s="2038"/>
      <c r="AZ8" s="2038"/>
      <c r="BA8" s="39"/>
      <c r="BB8" s="39"/>
    </row>
    <row r="9" spans="1:54" s="2690" customFormat="1" ht="5.25" customHeight="1">
      <c r="A9" s="461"/>
      <c r="B9" s="9918"/>
      <c r="C9" s="9918"/>
      <c r="D9" s="9918"/>
      <c r="E9" s="9918"/>
      <c r="F9" s="9918"/>
      <c r="G9" s="9918"/>
      <c r="H9" s="9918"/>
      <c r="I9" s="9918"/>
      <c r="J9" s="9918"/>
      <c r="K9" s="9918"/>
      <c r="L9" s="9918"/>
      <c r="M9" s="9918"/>
      <c r="N9" s="9918"/>
      <c r="O9" s="9918"/>
      <c r="P9" s="9918"/>
      <c r="Q9" s="9918"/>
      <c r="R9" s="9918"/>
      <c r="S9" s="9918"/>
      <c r="T9" s="9919"/>
      <c r="U9" s="9919"/>
      <c r="V9" s="9919"/>
      <c r="W9" s="9919"/>
      <c r="X9" s="9920"/>
      <c r="Y9" s="9923"/>
      <c r="Z9" s="9924"/>
      <c r="AA9" s="9924"/>
      <c r="AB9" s="9924"/>
      <c r="AC9" s="9924"/>
      <c r="AD9" s="9924"/>
      <c r="AE9" s="9924"/>
      <c r="AF9" s="9924"/>
      <c r="AG9" s="9924"/>
      <c r="AH9" s="9924"/>
      <c r="AI9" s="9924"/>
      <c r="AJ9" s="9924"/>
      <c r="AK9" s="461"/>
      <c r="AL9" s="461"/>
      <c r="AM9" s="461"/>
      <c r="AN9" s="9925" t="s">
        <v>4698</v>
      </c>
      <c r="AO9" s="7978"/>
      <c r="AP9" s="808"/>
      <c r="AQ9" s="2038"/>
      <c r="AR9" s="2038"/>
      <c r="AS9" s="2038"/>
      <c r="AT9" s="2038"/>
      <c r="AU9" s="2038"/>
      <c r="AV9" s="2038"/>
      <c r="AW9" s="2038"/>
      <c r="AX9" s="2038"/>
      <c r="AY9" s="2038"/>
      <c r="AZ9" s="2038"/>
      <c r="BA9" s="39"/>
      <c r="BB9" s="39"/>
    </row>
    <row r="10" spans="1:54" s="3525" customFormat="1" ht="25.5" customHeight="1">
      <c r="A10" s="3497"/>
      <c r="B10" s="3543"/>
      <c r="C10" s="3543"/>
      <c r="D10" s="3544" t="s">
        <v>4699</v>
      </c>
      <c r="E10" s="3543"/>
      <c r="F10" s="3543"/>
      <c r="G10" s="3543"/>
      <c r="H10" s="3543"/>
      <c r="I10" s="3543"/>
      <c r="J10" s="3543"/>
      <c r="K10" s="3543"/>
      <c r="L10" s="3543"/>
      <c r="M10" s="3543"/>
      <c r="N10" s="3543"/>
      <c r="O10" s="3543"/>
      <c r="P10" s="3543"/>
      <c r="Q10" s="3543"/>
      <c r="R10" s="3543"/>
      <c r="S10" s="3543"/>
      <c r="T10" s="3543"/>
      <c r="U10" s="3543"/>
      <c r="V10" s="3543"/>
      <c r="W10" s="3543"/>
      <c r="X10" s="3543"/>
      <c r="Y10" s="3543"/>
      <c r="Z10" s="3543"/>
      <c r="AA10" s="3543"/>
      <c r="AB10" s="3543"/>
      <c r="AC10" s="3543"/>
      <c r="AD10" s="3543"/>
      <c r="AE10" s="3543"/>
      <c r="AF10" s="3543"/>
      <c r="AG10" s="3543"/>
      <c r="AH10" s="3543"/>
      <c r="AI10" s="1573"/>
      <c r="AJ10" s="1573"/>
      <c r="AK10" s="3497"/>
      <c r="AL10" s="3497"/>
      <c r="AM10" s="3497"/>
      <c r="AN10" s="6751"/>
      <c r="AO10" s="7978"/>
      <c r="AP10" s="808"/>
      <c r="AQ10" s="3524"/>
      <c r="AR10" s="3524"/>
      <c r="AS10" s="3524"/>
      <c r="AT10" s="3524"/>
      <c r="AU10" s="3524"/>
      <c r="AV10" s="3524"/>
      <c r="AW10" s="3524"/>
      <c r="AX10" s="3524"/>
      <c r="AY10" s="3524"/>
      <c r="AZ10" s="3524"/>
      <c r="BA10" s="3499"/>
      <c r="BB10" s="3499"/>
    </row>
    <row r="11" spans="1:54" s="3525" customFormat="1" ht="25.5" customHeight="1">
      <c r="A11" s="3497"/>
      <c r="B11" s="3543"/>
      <c r="C11" s="3543"/>
      <c r="D11" s="3545" t="s">
        <v>4700</v>
      </c>
      <c r="E11" s="3543"/>
      <c r="F11" s="3543"/>
      <c r="G11" s="3543"/>
      <c r="H11" s="3543"/>
      <c r="I11" s="3543"/>
      <c r="J11" s="3543"/>
      <c r="K11" s="3543"/>
      <c r="L11" s="3543"/>
      <c r="M11" s="3543"/>
      <c r="N11" s="3543"/>
      <c r="O11" s="3543"/>
      <c r="P11" s="3543"/>
      <c r="Q11" s="3543"/>
      <c r="R11" s="3543"/>
      <c r="S11" s="3543"/>
      <c r="T11" s="3543"/>
      <c r="U11" s="3543"/>
      <c r="V11" s="3543"/>
      <c r="W11" s="3543"/>
      <c r="X11" s="3543"/>
      <c r="Y11" s="3543"/>
      <c r="Z11" s="3543"/>
      <c r="AA11" s="3543"/>
      <c r="AB11" s="3543"/>
      <c r="AC11" s="3543"/>
      <c r="AD11" s="3543"/>
      <c r="AE11" s="3543"/>
      <c r="AF11" s="3543"/>
      <c r="AG11" s="3543"/>
      <c r="AH11" s="3543"/>
      <c r="AI11" s="1573"/>
      <c r="AJ11" s="1573"/>
      <c r="AK11" s="3497"/>
      <c r="AL11" s="3497"/>
      <c r="AM11" s="3497"/>
      <c r="AN11" s="6751"/>
      <c r="AO11" s="1376" t="s">
        <v>4701</v>
      </c>
      <c r="AP11" s="808"/>
      <c r="AQ11" s="3524"/>
      <c r="AR11" s="3524"/>
      <c r="AS11" s="3524"/>
      <c r="AT11" s="3524"/>
      <c r="AU11" s="3524"/>
      <c r="AV11" s="3524"/>
      <c r="AW11" s="3524"/>
      <c r="AX11" s="3524"/>
      <c r="AY11" s="3524"/>
      <c r="AZ11" s="3524"/>
      <c r="BA11" s="3499"/>
      <c r="BB11" s="3499"/>
    </row>
    <row r="12" spans="1:54" s="2690" customFormat="1" ht="18" customHeight="1" thickBot="1">
      <c r="A12" s="461"/>
      <c r="B12" s="8698" t="s">
        <v>884</v>
      </c>
      <c r="C12" s="8698"/>
      <c r="D12" s="1258" t="s">
        <v>4702</v>
      </c>
      <c r="E12" s="1122"/>
      <c r="F12" s="1122"/>
      <c r="G12" s="1122"/>
      <c r="H12" s="1122"/>
      <c r="I12" s="1122"/>
      <c r="J12" s="1122"/>
      <c r="K12" s="1122"/>
      <c r="L12" s="1122"/>
      <c r="M12" s="1122"/>
      <c r="N12" s="1122"/>
      <c r="O12" s="1122"/>
      <c r="P12" s="1122"/>
      <c r="Q12" s="1122"/>
      <c r="R12" s="1122"/>
      <c r="S12" s="1122"/>
      <c r="T12" s="1122"/>
      <c r="U12" s="1122"/>
      <c r="V12" s="1122"/>
      <c r="W12" s="1122"/>
      <c r="X12" s="1122"/>
      <c r="Y12" s="1122"/>
      <c r="Z12" s="1122"/>
      <c r="AA12" s="1122"/>
      <c r="AB12" s="1122"/>
      <c r="AC12" s="1122"/>
      <c r="AD12" s="1122"/>
      <c r="AE12" s="1122"/>
      <c r="AF12" s="1122"/>
      <c r="AG12" s="1122"/>
      <c r="AH12" s="9875" t="b">
        <f>AND(OR(AO17="",AO17=0),OR(AO46="",AO46=0))</f>
        <v>1</v>
      </c>
      <c r="AI12" s="9875"/>
      <c r="AJ12" s="9875"/>
      <c r="AK12" s="461"/>
      <c r="AL12" s="461"/>
      <c r="AM12" s="461"/>
      <c r="AN12" s="6751"/>
      <c r="AO12" s="3522" t="s">
        <v>4703</v>
      </c>
      <c r="AP12" s="808"/>
      <c r="AQ12" s="2038"/>
      <c r="AR12" s="3524"/>
      <c r="AS12" s="2038"/>
      <c r="AT12" s="2038"/>
      <c r="AU12" s="2038"/>
      <c r="AV12" s="2038"/>
      <c r="AW12" s="2038"/>
      <c r="AX12" s="2038"/>
      <c r="AY12" s="2038"/>
      <c r="AZ12" s="2038"/>
      <c r="BA12" s="39"/>
      <c r="BB12" s="39"/>
    </row>
    <row r="13" spans="1:54" s="2690" customFormat="1">
      <c r="A13" s="461"/>
      <c r="B13" s="808"/>
      <c r="C13" s="1116"/>
      <c r="D13" s="808"/>
      <c r="E13" s="808"/>
      <c r="F13" s="808"/>
      <c r="G13" s="808"/>
      <c r="H13" s="808"/>
      <c r="I13" s="808"/>
      <c r="J13" s="808"/>
      <c r="K13" s="808"/>
      <c r="L13" s="808"/>
      <c r="M13" s="808"/>
      <c r="N13" s="808"/>
      <c r="O13" s="808"/>
      <c r="P13" s="808"/>
      <c r="Q13" s="808"/>
      <c r="R13" s="808"/>
      <c r="S13" s="808"/>
      <c r="T13" s="808"/>
      <c r="U13" s="808"/>
      <c r="V13" s="808"/>
      <c r="W13" s="808"/>
      <c r="X13" s="808"/>
      <c r="Y13" s="808"/>
      <c r="Z13" s="808"/>
      <c r="AA13" s="808"/>
      <c r="AB13" s="808"/>
      <c r="AC13" s="808"/>
      <c r="AD13" s="1123"/>
      <c r="AE13" s="808"/>
      <c r="AF13" s="808"/>
      <c r="AG13" s="808"/>
      <c r="AH13" s="808"/>
      <c r="AI13" s="808"/>
      <c r="AJ13" s="808"/>
      <c r="AK13" s="461"/>
      <c r="AL13" s="461"/>
      <c r="AM13" s="461"/>
      <c r="AN13" s="1376">
        <v>1</v>
      </c>
      <c r="AO13" s="3529" t="str">
        <f>AOC_1</f>
        <v/>
      </c>
      <c r="AP13" s="808"/>
      <c r="AQ13" s="2038"/>
      <c r="AR13" s="3524"/>
      <c r="AS13" s="2038"/>
      <c r="AT13" s="2038"/>
      <c r="AU13" s="2038"/>
      <c r="AV13" s="2038"/>
      <c r="AW13" s="2038"/>
      <c r="AX13" s="2038"/>
      <c r="AY13" s="2038"/>
      <c r="AZ13" s="2038"/>
      <c r="BA13" s="39"/>
      <c r="BB13" s="39"/>
    </row>
    <row r="14" spans="1:54" s="2690" customFormat="1" ht="15" customHeight="1">
      <c r="A14" s="461"/>
      <c r="B14" s="808"/>
      <c r="C14" s="3501" t="s">
        <v>252</v>
      </c>
      <c r="D14" s="2112" t="s">
        <v>4704</v>
      </c>
      <c r="E14" s="808"/>
      <c r="F14" s="808"/>
      <c r="G14" s="808"/>
      <c r="H14" s="808"/>
      <c r="I14" s="808"/>
      <c r="J14" s="808"/>
      <c r="K14" s="808"/>
      <c r="L14" s="808"/>
      <c r="M14" s="808"/>
      <c r="N14" s="808"/>
      <c r="O14" s="808"/>
      <c r="P14" s="808"/>
      <c r="Q14" s="808"/>
      <c r="R14" s="808"/>
      <c r="S14" s="808"/>
      <c r="T14" s="808"/>
      <c r="U14" s="808"/>
      <c r="V14" s="808"/>
      <c r="W14" s="808"/>
      <c r="X14" s="808"/>
      <c r="Y14" s="808"/>
      <c r="Z14" s="808"/>
      <c r="AA14" s="808"/>
      <c r="AB14" s="808"/>
      <c r="AC14" s="1128" t="s">
        <v>801</v>
      </c>
      <c r="AD14" s="1125">
        <v>1</v>
      </c>
      <c r="AE14" s="9574" t="str">
        <f>IF(AH12,"",AO17)</f>
        <v/>
      </c>
      <c r="AF14" s="9575"/>
      <c r="AG14" s="9575"/>
      <c r="AH14" s="9575"/>
      <c r="AI14" s="9575"/>
      <c r="AJ14" s="9575"/>
      <c r="AK14" s="461"/>
      <c r="AL14" s="461"/>
      <c r="AM14" s="461"/>
      <c r="AN14" s="1376">
        <v>2</v>
      </c>
      <c r="AO14" s="3530" t="str">
        <f>AOC_2</f>
        <v/>
      </c>
      <c r="AP14" s="808"/>
      <c r="AQ14" s="2038"/>
      <c r="AR14" s="3524"/>
      <c r="AS14" s="2038"/>
      <c r="AT14" s="2038"/>
      <c r="AU14" s="2038"/>
      <c r="AV14" s="2038"/>
      <c r="AW14" s="2038"/>
      <c r="AX14" s="2038"/>
      <c r="AY14" s="2038"/>
      <c r="AZ14" s="2038"/>
      <c r="BA14" s="39"/>
      <c r="BB14" s="39"/>
    </row>
    <row r="15" spans="1:54" s="2690" customFormat="1" ht="15" customHeight="1">
      <c r="A15" s="461"/>
      <c r="B15" s="808"/>
      <c r="C15" s="3501" t="s">
        <v>254</v>
      </c>
      <c r="D15" s="2112" t="str">
        <f>"Enter: "&amp;TEXT(AE15,"$0,000")&amp;" if married filing jointly; "&amp;TEXT(AE16,"$0,000")&amp;" if single, head of household,"</f>
        <v>Enter: $180,000 if married filing jointly; $90,000 if single, head of household,</v>
      </c>
      <c r="E15" s="808"/>
      <c r="F15" s="808"/>
      <c r="G15" s="808"/>
      <c r="H15" s="808"/>
      <c r="I15" s="808"/>
      <c r="J15" s="808"/>
      <c r="K15" s="808"/>
      <c r="L15" s="808"/>
      <c r="M15" s="808"/>
      <c r="N15" s="808"/>
      <c r="O15" s="808"/>
      <c r="P15" s="808"/>
      <c r="Q15" s="808"/>
      <c r="R15" s="808"/>
      <c r="S15" s="1124"/>
      <c r="T15" s="808"/>
      <c r="U15" s="808"/>
      <c r="V15" s="808"/>
      <c r="W15" s="1716"/>
      <c r="X15" s="9930"/>
      <c r="Y15" s="9931"/>
      <c r="Z15" s="9931"/>
      <c r="AA15" s="9931"/>
      <c r="AB15" s="9931"/>
      <c r="AC15" s="9932"/>
      <c r="AD15" s="1129"/>
      <c r="AE15" s="9908">
        <v>180000</v>
      </c>
      <c r="AF15" s="9909"/>
      <c r="AG15" s="9909"/>
      <c r="AH15" s="9909"/>
      <c r="AI15" s="9909"/>
      <c r="AJ15" s="9909"/>
      <c r="AK15" s="461"/>
      <c r="AL15" s="461"/>
      <c r="AM15" s="461"/>
      <c r="AN15" s="1376">
        <v>3</v>
      </c>
      <c r="AO15" s="3530" t="str">
        <f>AOC_3</f>
        <v/>
      </c>
      <c r="AP15" s="808"/>
      <c r="AQ15" s="2038"/>
      <c r="AR15" s="3524"/>
      <c r="AS15" s="2038"/>
      <c r="AT15" s="2038"/>
      <c r="AU15" s="2038"/>
      <c r="AV15" s="2038"/>
      <c r="AW15" s="2038"/>
      <c r="AX15" s="2038"/>
      <c r="AY15" s="2038"/>
      <c r="AZ15" s="2038"/>
      <c r="BA15" s="39"/>
      <c r="BB15" s="39"/>
    </row>
    <row r="16" spans="1:54" s="2690" customFormat="1" ht="15.75" thickBot="1">
      <c r="A16" s="461"/>
      <c r="B16" s="808"/>
      <c r="C16" s="3501"/>
      <c r="D16" s="2112" t="s">
        <v>4705</v>
      </c>
      <c r="E16" s="808"/>
      <c r="F16" s="808"/>
      <c r="G16" s="808"/>
      <c r="H16" s="808"/>
      <c r="I16" s="808"/>
      <c r="J16" s="808"/>
      <c r="K16" s="1128"/>
      <c r="L16" s="1124"/>
      <c r="M16" s="3500"/>
      <c r="N16" s="1128"/>
      <c r="O16" s="1128"/>
      <c r="P16" s="1128"/>
      <c r="Q16" s="1128"/>
      <c r="R16" s="1128"/>
      <c r="S16" s="808"/>
      <c r="T16" s="808"/>
      <c r="U16" s="808"/>
      <c r="V16" s="1128" t="s">
        <v>670</v>
      </c>
      <c r="W16" s="1726" t="s">
        <v>254</v>
      </c>
      <c r="X16" s="9574" t="str">
        <f>IF(AH12,"",IF(NumFileStatusBoxes=0,"Filing status?",IF(File_Marr_Joint&lt;&gt;"",AE15,AE16)))</f>
        <v/>
      </c>
      <c r="Y16" s="9575"/>
      <c r="Z16" s="9575"/>
      <c r="AA16" s="9575"/>
      <c r="AB16" s="9575"/>
      <c r="AC16" s="9581"/>
      <c r="AD16" s="1129"/>
      <c r="AE16" s="9908">
        <v>90000</v>
      </c>
      <c r="AF16" s="9909"/>
      <c r="AG16" s="9909"/>
      <c r="AH16" s="9909"/>
      <c r="AI16" s="9909"/>
      <c r="AJ16" s="9909"/>
      <c r="AK16" s="461"/>
      <c r="AL16" s="461"/>
      <c r="AM16" s="461"/>
      <c r="AN16" s="1376">
        <v>4</v>
      </c>
      <c r="AO16" s="3531" t="str">
        <f>AOC_4</f>
        <v/>
      </c>
      <c r="AP16" s="808"/>
      <c r="AQ16" s="2038"/>
      <c r="AR16" s="2038"/>
      <c r="AS16" s="2038"/>
      <c r="AT16" s="2038"/>
      <c r="AU16" s="2038"/>
      <c r="AV16" s="2038"/>
      <c r="AW16" s="2038"/>
      <c r="AX16" s="2038"/>
      <c r="AY16" s="2038"/>
      <c r="AZ16" s="2038"/>
      <c r="BA16" s="39"/>
      <c r="BB16" s="39"/>
    </row>
    <row r="17" spans="1:54" s="2690" customFormat="1" ht="15" customHeight="1" thickBot="1">
      <c r="A17" s="461"/>
      <c r="B17" s="808"/>
      <c r="C17" s="3501" t="s">
        <v>256</v>
      </c>
      <c r="D17" s="2112" t="s">
        <v>4706</v>
      </c>
      <c r="E17" s="808"/>
      <c r="F17" s="808"/>
      <c r="G17" s="808"/>
      <c r="H17" s="808"/>
      <c r="I17" s="808"/>
      <c r="J17" s="808"/>
      <c r="K17" s="808"/>
      <c r="L17" s="808"/>
      <c r="M17" s="808"/>
      <c r="N17" s="808"/>
      <c r="O17" s="808"/>
      <c r="P17" s="808"/>
      <c r="Q17" s="808"/>
      <c r="R17" s="808"/>
      <c r="S17" s="808"/>
      <c r="T17" s="808"/>
      <c r="U17" s="808"/>
      <c r="V17" s="808"/>
      <c r="W17" s="1716"/>
      <c r="X17" s="1150"/>
      <c r="Y17" s="808"/>
      <c r="Z17" s="808"/>
      <c r="AA17" s="808"/>
      <c r="AB17" s="808"/>
      <c r="AC17" s="1151"/>
      <c r="AD17" s="1129"/>
      <c r="AE17" s="900"/>
      <c r="AF17" s="900"/>
      <c r="AG17" s="900"/>
      <c r="AH17" s="900"/>
      <c r="AI17" s="900"/>
      <c r="AJ17" s="900"/>
      <c r="AK17" s="461"/>
      <c r="AL17" s="461"/>
      <c r="AM17" s="461"/>
      <c r="AN17" s="1376" t="s">
        <v>4707</v>
      </c>
      <c r="AO17" s="3528">
        <f>SUM(AO13:AO16)</f>
        <v>0</v>
      </c>
      <c r="AP17" s="808"/>
      <c r="AQ17" s="2038"/>
      <c r="AR17" s="2038"/>
      <c r="AS17" s="2038"/>
      <c r="AT17" s="2038"/>
      <c r="AU17" s="2038"/>
      <c r="AV17" s="2038"/>
      <c r="AW17" s="2038"/>
      <c r="AX17" s="2038"/>
      <c r="AY17" s="2038"/>
      <c r="AZ17" s="2038"/>
      <c r="BA17" s="39"/>
      <c r="BB17" s="39"/>
    </row>
    <row r="18" spans="1:54" s="2690" customFormat="1" ht="15.75" thickBot="1">
      <c r="A18" s="461"/>
      <c r="B18" s="1127"/>
      <c r="C18" s="3501"/>
      <c r="D18" s="2112" t="s">
        <v>4708</v>
      </c>
      <c r="E18" s="808"/>
      <c r="F18" s="808"/>
      <c r="G18" s="808"/>
      <c r="H18" s="808"/>
      <c r="I18" s="808"/>
      <c r="J18" s="808"/>
      <c r="K18" s="808"/>
      <c r="L18" s="808"/>
      <c r="M18" s="808"/>
      <c r="N18" s="808"/>
      <c r="O18" s="808"/>
      <c r="P18" s="808"/>
      <c r="Q18" s="808"/>
      <c r="R18" s="808"/>
      <c r="S18" s="808"/>
      <c r="T18" s="808"/>
      <c r="U18" s="808"/>
      <c r="V18" s="808"/>
      <c r="W18" s="1716"/>
      <c r="X18" s="1150"/>
      <c r="Y18" s="808"/>
      <c r="Z18" s="808"/>
      <c r="AA18" s="808"/>
      <c r="AB18" s="808"/>
      <c r="AC18" s="1151"/>
      <c r="AD18" s="1129"/>
      <c r="AE18" s="900"/>
      <c r="AF18" s="900"/>
      <c r="AG18" s="900"/>
      <c r="AH18" s="900"/>
      <c r="AI18" s="900"/>
      <c r="AJ18" s="900"/>
      <c r="AK18" s="461"/>
      <c r="AL18" s="461"/>
      <c r="AM18" s="461"/>
      <c r="AN18" s="808"/>
      <c r="AO18" s="808"/>
      <c r="AP18" s="808"/>
      <c r="AQ18" s="2038"/>
      <c r="AR18" s="2038"/>
      <c r="AS18" s="2038"/>
      <c r="AT18" s="2038"/>
      <c r="AU18" s="2038"/>
      <c r="AV18" s="2038"/>
      <c r="AW18" s="2038"/>
      <c r="AX18" s="2038"/>
      <c r="AY18" s="2038"/>
      <c r="AZ18" s="2038"/>
      <c r="BA18" s="39"/>
      <c r="BB18" s="39"/>
    </row>
    <row r="19" spans="1:54" s="2690" customFormat="1" ht="15" customHeight="1" thickBot="1">
      <c r="A19" s="461"/>
      <c r="B19" s="808"/>
      <c r="C19" s="1116"/>
      <c r="D19" s="2112" t="s">
        <v>4709</v>
      </c>
      <c r="E19" s="808"/>
      <c r="F19" s="808"/>
      <c r="G19" s="808"/>
      <c r="H19" s="808"/>
      <c r="I19" s="808"/>
      <c r="J19" s="808"/>
      <c r="K19" s="808"/>
      <c r="L19" s="808"/>
      <c r="M19" s="808"/>
      <c r="N19" s="808"/>
      <c r="O19" s="808"/>
      <c r="P19" s="808"/>
      <c r="Q19" s="808"/>
      <c r="R19" s="808"/>
      <c r="S19" s="808"/>
      <c r="T19" s="808"/>
      <c r="U19" s="808"/>
      <c r="V19" s="1128" t="s">
        <v>705</v>
      </c>
      <c r="W19" s="1726">
        <v>3</v>
      </c>
      <c r="X19" s="9574" t="str">
        <f>IF(AH12,"",IF(AO19&lt;&gt;"",ROUND(AO19,0),Adj_Gross_Inc))</f>
        <v/>
      </c>
      <c r="Y19" s="9575"/>
      <c r="Z19" s="9575"/>
      <c r="AA19" s="9575"/>
      <c r="AB19" s="9575"/>
      <c r="AC19" s="9581"/>
      <c r="AD19" s="1129"/>
      <c r="AE19" s="900"/>
      <c r="AF19" s="900"/>
      <c r="AG19" s="900"/>
      <c r="AH19" s="900"/>
      <c r="AI19" s="900"/>
      <c r="AJ19" s="900"/>
      <c r="AK19" s="461"/>
      <c r="AL19" s="461"/>
      <c r="AM19" s="461"/>
      <c r="AN19" s="808"/>
      <c r="AO19" s="3520"/>
      <c r="AP19" s="808"/>
      <c r="AQ19" s="2038"/>
      <c r="AR19" s="2038"/>
      <c r="AS19" s="2038"/>
      <c r="AT19" s="2038"/>
      <c r="AU19" s="2038"/>
      <c r="AV19" s="2038"/>
      <c r="AW19" s="2038"/>
      <c r="AX19" s="2038"/>
      <c r="AY19" s="2038"/>
      <c r="AZ19" s="2038"/>
      <c r="BA19" s="39"/>
      <c r="BB19" s="39"/>
    </row>
    <row r="20" spans="1:54" s="2690" customFormat="1" ht="15">
      <c r="A20" s="461"/>
      <c r="B20" s="808"/>
      <c r="C20" s="3501" t="s">
        <v>259</v>
      </c>
      <c r="D20" s="2112" t="s">
        <v>5692</v>
      </c>
      <c r="E20" s="808"/>
      <c r="F20" s="808"/>
      <c r="G20" s="808"/>
      <c r="H20" s="808"/>
      <c r="I20" s="808"/>
      <c r="J20" s="808"/>
      <c r="K20" s="808"/>
      <c r="L20" s="808"/>
      <c r="M20" s="808"/>
      <c r="N20" s="3604" t="s">
        <v>5693</v>
      </c>
      <c r="O20" s="2112" t="s">
        <v>4710</v>
      </c>
      <c r="P20" s="808"/>
      <c r="Q20" s="808"/>
      <c r="R20" s="808"/>
      <c r="S20" s="808"/>
      <c r="T20" s="808"/>
      <c r="U20" s="808"/>
      <c r="V20" s="808"/>
      <c r="W20" s="1716"/>
      <c r="X20" s="9933"/>
      <c r="Y20" s="9934"/>
      <c r="Z20" s="9934"/>
      <c r="AA20" s="9934"/>
      <c r="AB20" s="9934"/>
      <c r="AC20" s="9935"/>
      <c r="AD20" s="1129"/>
      <c r="AE20" s="9905" t="b">
        <f>OR(X21="",X21&lt;=0)</f>
        <v>1</v>
      </c>
      <c r="AF20" s="8168"/>
      <c r="AG20" s="8168"/>
      <c r="AH20" s="8168"/>
      <c r="AI20" s="8168"/>
      <c r="AJ20" s="8168"/>
      <c r="AK20" s="461"/>
      <c r="AL20" s="461"/>
      <c r="AM20" s="461"/>
      <c r="AN20" s="808"/>
      <c r="AO20" s="808"/>
      <c r="AP20" s="1573"/>
      <c r="AQ20" s="2038"/>
      <c r="AR20" s="2038"/>
      <c r="AS20" s="2038"/>
      <c r="AT20" s="2038"/>
      <c r="AU20" s="2038"/>
      <c r="AV20" s="2038"/>
      <c r="AW20" s="2038"/>
      <c r="AX20" s="2038"/>
      <c r="AY20" s="2038"/>
      <c r="AZ20" s="2038"/>
      <c r="BA20" s="39"/>
      <c r="BB20" s="39"/>
    </row>
    <row r="21" spans="1:54" s="2690" customFormat="1" ht="14.25" customHeight="1">
      <c r="A21" s="461"/>
      <c r="B21" s="808"/>
      <c r="C21" s="1116"/>
      <c r="D21" s="2112" t="s">
        <v>4711</v>
      </c>
      <c r="E21" s="808"/>
      <c r="F21" s="808"/>
      <c r="G21" s="808"/>
      <c r="H21" s="808"/>
      <c r="I21" s="808"/>
      <c r="J21" s="808"/>
      <c r="K21" s="808"/>
      <c r="L21" s="808"/>
      <c r="M21" s="808"/>
      <c r="N21" s="808"/>
      <c r="O21" s="808"/>
      <c r="P21" s="808"/>
      <c r="Q21" s="808"/>
      <c r="R21" s="808"/>
      <c r="S21" s="808"/>
      <c r="T21" s="808"/>
      <c r="U21" s="808"/>
      <c r="V21" s="1128" t="s">
        <v>4712</v>
      </c>
      <c r="W21" s="1726">
        <v>4</v>
      </c>
      <c r="X21" s="9574" t="str">
        <f>IF(AH12,"",SUM(X16,-X19))</f>
        <v/>
      </c>
      <c r="Y21" s="9575"/>
      <c r="Z21" s="9575"/>
      <c r="AA21" s="9575"/>
      <c r="AB21" s="9575"/>
      <c r="AC21" s="9581"/>
      <c r="AD21" s="1129"/>
      <c r="AE21" s="9905"/>
      <c r="AF21" s="8168"/>
      <c r="AG21" s="8168"/>
      <c r="AH21" s="8168"/>
      <c r="AI21" s="8168"/>
      <c r="AJ21" s="8168"/>
      <c r="AK21" s="461"/>
      <c r="AL21" s="461"/>
      <c r="AM21" s="461"/>
      <c r="AN21" s="808"/>
      <c r="AO21" s="808"/>
      <c r="AP21" s="808"/>
      <c r="AQ21" s="2038"/>
      <c r="AR21" s="2038"/>
      <c r="AS21" s="2038"/>
      <c r="AT21" s="2038"/>
      <c r="AU21" s="2038"/>
      <c r="AV21" s="2038"/>
      <c r="AW21" s="2038"/>
      <c r="AX21" s="2038"/>
      <c r="AY21" s="2038"/>
      <c r="AZ21" s="2038"/>
      <c r="BA21" s="39"/>
      <c r="BB21" s="39"/>
    </row>
    <row r="22" spans="1:54" s="2690" customFormat="1" ht="6.75" customHeight="1">
      <c r="A22" s="461"/>
      <c r="B22" s="808"/>
      <c r="C22" s="1116"/>
      <c r="D22" s="808"/>
      <c r="E22" s="808"/>
      <c r="F22" s="808"/>
      <c r="G22" s="808"/>
      <c r="H22" s="808"/>
      <c r="I22" s="808"/>
      <c r="J22" s="808"/>
      <c r="K22" s="808"/>
      <c r="L22" s="808"/>
      <c r="M22" s="808"/>
      <c r="N22" s="808"/>
      <c r="O22" s="808"/>
      <c r="P22" s="808"/>
      <c r="Q22" s="808"/>
      <c r="R22" s="808"/>
      <c r="S22" s="808"/>
      <c r="T22" s="808"/>
      <c r="U22" s="808"/>
      <c r="V22" s="808"/>
      <c r="W22" s="1716"/>
      <c r="X22" s="808"/>
      <c r="Y22" s="808"/>
      <c r="Z22" s="808"/>
      <c r="AA22" s="808"/>
      <c r="AB22" s="808"/>
      <c r="AC22" s="808"/>
      <c r="AD22" s="1129"/>
      <c r="AE22" s="900"/>
      <c r="AF22" s="900"/>
      <c r="AG22" s="900"/>
      <c r="AH22" s="900"/>
      <c r="AI22" s="900"/>
      <c r="AJ22" s="900"/>
      <c r="AK22" s="461"/>
      <c r="AL22" s="461"/>
      <c r="AM22" s="461"/>
      <c r="AN22" s="808"/>
      <c r="AO22" s="808"/>
      <c r="AP22" s="808"/>
      <c r="AQ22" s="2038"/>
      <c r="AR22" s="2038"/>
      <c r="AS22" s="2038"/>
      <c r="AT22" s="2038"/>
      <c r="AU22" s="2038"/>
      <c r="AV22" s="2038"/>
      <c r="AW22" s="2038"/>
      <c r="AX22" s="2038"/>
      <c r="AY22" s="2038"/>
      <c r="AZ22" s="2038"/>
      <c r="BA22" s="39"/>
      <c r="BB22" s="39"/>
    </row>
    <row r="23" spans="1:54" s="2690" customFormat="1" ht="15.75" customHeight="1">
      <c r="A23" s="461"/>
      <c r="B23" s="808"/>
      <c r="C23" s="3501" t="s">
        <v>261</v>
      </c>
      <c r="D23" s="2112" t="str">
        <f>"Enter: "&amp;TEXT(AE23,"$0,000")&amp;" if married filing jointly; "&amp;TEXT(AE24,"$0,000")&amp;" if single, head of household, or"</f>
        <v>Enter: $20,000 if married filing jointly; $10,000 if single, head of household, or</v>
      </c>
      <c r="E23" s="808"/>
      <c r="F23" s="808"/>
      <c r="G23" s="808"/>
      <c r="H23" s="808"/>
      <c r="I23" s="808"/>
      <c r="J23" s="808"/>
      <c r="K23" s="808"/>
      <c r="L23" s="808"/>
      <c r="M23" s="808"/>
      <c r="N23" s="808"/>
      <c r="O23" s="808"/>
      <c r="P23" s="808"/>
      <c r="Q23" s="808"/>
      <c r="R23" s="808"/>
      <c r="S23" s="808"/>
      <c r="T23" s="808"/>
      <c r="U23" s="808"/>
      <c r="V23" s="808"/>
      <c r="W23" s="1716"/>
      <c r="X23" s="1150"/>
      <c r="Y23" s="808"/>
      <c r="Z23" s="808"/>
      <c r="AA23" s="808"/>
      <c r="AB23" s="808"/>
      <c r="AC23" s="1151"/>
      <c r="AD23" s="1129"/>
      <c r="AE23" s="9908">
        <v>20000</v>
      </c>
      <c r="AF23" s="9909"/>
      <c r="AG23" s="9909"/>
      <c r="AH23" s="9909"/>
      <c r="AI23" s="9909"/>
      <c r="AJ23" s="9909"/>
      <c r="AK23" s="461"/>
      <c r="AL23" s="461"/>
      <c r="AM23" s="461"/>
      <c r="AN23" s="1376"/>
      <c r="AO23" s="1376"/>
      <c r="AP23" s="808"/>
      <c r="AQ23" s="2038"/>
      <c r="AR23" s="2038"/>
      <c r="AS23" s="2038"/>
      <c r="AT23" s="2038"/>
      <c r="AU23" s="2038"/>
      <c r="AV23" s="2038"/>
      <c r="AW23" s="2038"/>
      <c r="AX23" s="2038"/>
      <c r="AY23" s="2038"/>
      <c r="AZ23" s="2038"/>
      <c r="BA23" s="39"/>
      <c r="BB23" s="39"/>
    </row>
    <row r="24" spans="1:54" s="2690" customFormat="1" ht="15" customHeight="1">
      <c r="A24" s="461"/>
      <c r="B24" s="808"/>
      <c r="C24" s="3501"/>
      <c r="D24" s="2112" t="s">
        <v>4713</v>
      </c>
      <c r="E24" s="808"/>
      <c r="F24" s="808"/>
      <c r="G24" s="808"/>
      <c r="H24" s="808"/>
      <c r="I24" s="808"/>
      <c r="J24" s="808"/>
      <c r="K24" s="808"/>
      <c r="L24" s="808"/>
      <c r="M24" s="808"/>
      <c r="N24" s="808"/>
      <c r="O24" s="808"/>
      <c r="P24" s="808"/>
      <c r="Q24" s="808"/>
      <c r="R24" s="808"/>
      <c r="S24" s="808"/>
      <c r="T24" s="808"/>
      <c r="U24" s="808"/>
      <c r="V24" s="1128" t="s">
        <v>670</v>
      </c>
      <c r="W24" s="1726" t="s">
        <v>261</v>
      </c>
      <c r="X24" s="9574" t="str">
        <f>IF(OR(AH12,AE20),"",IF(File_Marr_Joint&lt;&gt;"",AE23,AE24))</f>
        <v/>
      </c>
      <c r="Y24" s="9575"/>
      <c r="Z24" s="9575"/>
      <c r="AA24" s="9575"/>
      <c r="AB24" s="9575"/>
      <c r="AC24" s="9581"/>
      <c r="AD24" s="1129"/>
      <c r="AE24" s="9908">
        <v>10000</v>
      </c>
      <c r="AF24" s="9909"/>
      <c r="AG24" s="9909"/>
      <c r="AH24" s="9909"/>
      <c r="AI24" s="9909"/>
      <c r="AJ24" s="9909"/>
      <c r="AK24" s="461"/>
      <c r="AL24" s="461"/>
      <c r="AM24" s="461"/>
      <c r="AN24" s="808"/>
      <c r="AO24" s="808"/>
      <c r="AP24" s="808"/>
      <c r="AQ24" s="2038"/>
      <c r="AR24" s="2038"/>
      <c r="AS24" s="2038"/>
      <c r="AT24" s="2038"/>
      <c r="AU24" s="2038"/>
      <c r="AV24" s="2038"/>
      <c r="AW24" s="2038"/>
      <c r="AX24" s="2038"/>
      <c r="AY24" s="2038"/>
      <c r="AZ24" s="2038"/>
      <c r="BA24" s="39"/>
      <c r="BB24" s="39"/>
    </row>
    <row r="25" spans="1:54" s="2690" customFormat="1" ht="17.25" customHeight="1">
      <c r="A25" s="461"/>
      <c r="B25" s="808"/>
      <c r="C25" s="3501" t="s">
        <v>263</v>
      </c>
      <c r="D25" s="2112" t="s">
        <v>4714</v>
      </c>
      <c r="E25" s="899"/>
      <c r="F25" s="808"/>
      <c r="G25" s="808"/>
      <c r="H25" s="808"/>
      <c r="I25" s="808"/>
      <c r="J25" s="808"/>
      <c r="K25" s="808"/>
      <c r="L25" s="808"/>
      <c r="M25" s="808"/>
      <c r="N25" s="808"/>
      <c r="O25" s="808"/>
      <c r="P25" s="808"/>
      <c r="Q25" s="808"/>
      <c r="R25" s="808"/>
      <c r="S25" s="808"/>
      <c r="T25" s="808"/>
      <c r="U25" s="808"/>
      <c r="V25" s="808"/>
      <c r="W25" s="808"/>
      <c r="X25" s="808"/>
      <c r="Y25" s="808"/>
      <c r="Z25" s="808"/>
      <c r="AA25" s="808"/>
      <c r="AB25" s="808"/>
      <c r="AC25" s="808"/>
      <c r="AD25" s="1129"/>
      <c r="AE25" s="900"/>
      <c r="AF25" s="900"/>
      <c r="AG25" s="900"/>
      <c r="AH25" s="900"/>
      <c r="AI25" s="900"/>
      <c r="AJ25" s="900"/>
      <c r="AK25" s="461"/>
      <c r="AL25" s="461"/>
      <c r="AM25" s="461"/>
      <c r="AN25" s="808"/>
      <c r="AO25" s="808"/>
      <c r="AP25" s="808"/>
      <c r="AQ25" s="2038"/>
      <c r="AR25" s="2038"/>
      <c r="AS25" s="2038"/>
      <c r="AT25" s="2038"/>
      <c r="AU25" s="2038"/>
      <c r="AV25" s="2038"/>
      <c r="AW25" s="2038"/>
      <c r="AX25" s="2038"/>
      <c r="AY25" s="2038"/>
      <c r="AZ25" s="2038"/>
      <c r="BA25" s="39"/>
      <c r="BB25" s="39"/>
    </row>
    <row r="26" spans="1:54" s="2690" customFormat="1" ht="14.25" customHeight="1" thickBot="1">
      <c r="A26" s="461"/>
      <c r="B26" s="808"/>
      <c r="C26" s="1116"/>
      <c r="D26" s="2334" t="s">
        <v>1806</v>
      </c>
      <c r="E26" s="2112" t="s">
        <v>4715</v>
      </c>
      <c r="F26" s="808"/>
      <c r="G26" s="808"/>
      <c r="H26" s="808"/>
      <c r="I26" s="808"/>
      <c r="J26" s="808"/>
      <c r="K26" s="808"/>
      <c r="L26" s="808"/>
      <c r="M26" s="808"/>
      <c r="N26" s="808"/>
      <c r="O26" s="808"/>
      <c r="P26" s="808"/>
      <c r="Q26" s="808"/>
      <c r="R26" s="808"/>
      <c r="S26" s="808"/>
      <c r="T26" s="808"/>
      <c r="U26" s="808"/>
      <c r="V26" s="808"/>
      <c r="W26" s="1128" t="s">
        <v>2862</v>
      </c>
      <c r="X26" s="808"/>
      <c r="Y26" s="808"/>
      <c r="Z26" s="808"/>
      <c r="AA26" s="808"/>
      <c r="AB26" s="808"/>
      <c r="AC26" s="808"/>
      <c r="AD26" s="1129"/>
      <c r="AE26" s="900"/>
      <c r="AF26" s="900"/>
      <c r="AG26" s="900"/>
      <c r="AH26" s="900"/>
      <c r="AI26" s="900"/>
      <c r="AJ26" s="900"/>
      <c r="AK26" s="461"/>
      <c r="AL26" s="461"/>
      <c r="AM26" s="461"/>
      <c r="AN26" s="808"/>
      <c r="AO26" s="808"/>
      <c r="AP26" s="808"/>
      <c r="AQ26" s="2038"/>
      <c r="AR26" s="2038"/>
      <c r="AS26" s="2038"/>
      <c r="AT26" s="2038"/>
      <c r="AU26" s="2038"/>
      <c r="AV26" s="2038"/>
      <c r="AW26" s="2038"/>
      <c r="AX26" s="2038"/>
      <c r="AY26" s="2038"/>
      <c r="AZ26" s="2038"/>
      <c r="BA26" s="39"/>
      <c r="BB26" s="39"/>
    </row>
    <row r="27" spans="1:54" s="2690" customFormat="1" ht="17.25" customHeight="1" thickBot="1">
      <c r="A27" s="461"/>
      <c r="B27" s="808"/>
      <c r="C27" s="1116"/>
      <c r="D27" s="2334" t="s">
        <v>1806</v>
      </c>
      <c r="E27" s="2112" t="s">
        <v>4716</v>
      </c>
      <c r="F27" s="808"/>
      <c r="G27" s="808"/>
      <c r="H27" s="808"/>
      <c r="I27" s="808"/>
      <c r="J27" s="808"/>
      <c r="K27" s="808"/>
      <c r="L27" s="808"/>
      <c r="M27" s="808"/>
      <c r="N27" s="808"/>
      <c r="O27" s="808"/>
      <c r="P27" s="808"/>
      <c r="Q27" s="808"/>
      <c r="R27" s="808"/>
      <c r="S27" s="808"/>
      <c r="T27" s="808"/>
      <c r="U27" s="808"/>
      <c r="V27" s="808"/>
      <c r="W27" s="808"/>
      <c r="X27" s="808"/>
      <c r="Y27" s="808"/>
      <c r="Z27" s="808"/>
      <c r="AA27" s="808"/>
      <c r="AB27" s="808"/>
      <c r="AC27" s="1128" t="s">
        <v>684</v>
      </c>
      <c r="AD27" s="1726" t="s">
        <v>263</v>
      </c>
      <c r="AE27" s="9936" t="str">
        <f>IF(OR(AH12,AE20),"",IF(AO27&lt;&gt;"",ROUND(AO27,3),IF(X21&gt;=X24,1,ROUND(X21/X24,3))))</f>
        <v/>
      </c>
      <c r="AF27" s="9937"/>
      <c r="AG27" s="9937"/>
      <c r="AH27" s="9937"/>
      <c r="AI27" s="9937"/>
      <c r="AJ27" s="9937"/>
      <c r="AK27" s="461"/>
      <c r="AL27" s="461"/>
      <c r="AM27" s="461"/>
      <c r="AN27" s="808"/>
      <c r="AO27" s="3520"/>
      <c r="AP27" s="808"/>
      <c r="AQ27" s="2038"/>
      <c r="AR27" s="2038"/>
      <c r="AS27" s="2038"/>
      <c r="AT27" s="2038"/>
      <c r="AU27" s="2038"/>
      <c r="AV27" s="2038"/>
      <c r="AW27" s="2038"/>
      <c r="AX27" s="2038"/>
      <c r="AY27" s="2038"/>
      <c r="AZ27" s="2038"/>
      <c r="BA27" s="39"/>
      <c r="BB27" s="39"/>
    </row>
    <row r="28" spans="1:54" s="2690" customFormat="1" ht="13.5" customHeight="1">
      <c r="A28" s="461"/>
      <c r="B28" s="808"/>
      <c r="C28" s="1116"/>
      <c r="D28" s="2112"/>
      <c r="E28" s="2112" t="s">
        <v>4717</v>
      </c>
      <c r="F28" s="808"/>
      <c r="G28" s="808"/>
      <c r="H28" s="808"/>
      <c r="I28" s="808"/>
      <c r="J28" s="808"/>
      <c r="K28" s="808"/>
      <c r="L28" s="808"/>
      <c r="M28" s="808"/>
      <c r="N28" s="808"/>
      <c r="O28" s="808"/>
      <c r="P28" s="808"/>
      <c r="Q28" s="808"/>
      <c r="R28" s="808"/>
      <c r="S28" s="808"/>
      <c r="T28" s="808"/>
      <c r="U28" s="808"/>
      <c r="V28" s="808"/>
      <c r="W28" s="1128" t="s">
        <v>4718</v>
      </c>
      <c r="X28" s="808"/>
      <c r="Y28" s="808"/>
      <c r="Z28" s="808"/>
      <c r="AA28" s="808"/>
      <c r="AB28" s="808"/>
      <c r="AC28" s="808"/>
      <c r="AD28" s="1129"/>
      <c r="AE28" s="808"/>
      <c r="AF28" s="808"/>
      <c r="AG28" s="808"/>
      <c r="AH28" s="808"/>
      <c r="AI28" s="808"/>
      <c r="AJ28" s="808"/>
      <c r="AK28" s="461"/>
      <c r="AL28" s="461"/>
      <c r="AM28" s="461"/>
      <c r="AN28" s="808"/>
      <c r="AO28" s="808"/>
      <c r="AP28" s="808"/>
      <c r="AQ28" s="2038"/>
      <c r="AR28" s="2038"/>
      <c r="AS28" s="2038"/>
      <c r="AT28" s="2038"/>
      <c r="AU28" s="2038"/>
      <c r="AV28" s="2038"/>
      <c r="AW28" s="2038"/>
      <c r="AX28" s="2038"/>
      <c r="AY28" s="2038"/>
      <c r="AZ28" s="2038"/>
      <c r="BA28" s="39"/>
      <c r="BB28" s="39"/>
    </row>
    <row r="29" spans="1:54" s="2690" customFormat="1" ht="13.5" customHeight="1">
      <c r="A29" s="461"/>
      <c r="B29" s="808"/>
      <c r="C29" s="3501" t="s">
        <v>266</v>
      </c>
      <c r="D29" s="2112" t="s">
        <v>4719</v>
      </c>
      <c r="E29" s="808"/>
      <c r="F29" s="808"/>
      <c r="G29" s="808"/>
      <c r="H29" s="808"/>
      <c r="I29" s="808"/>
      <c r="J29" s="808"/>
      <c r="K29" s="808"/>
      <c r="L29" s="808"/>
      <c r="M29" s="808"/>
      <c r="N29" s="808"/>
      <c r="O29" s="808"/>
      <c r="P29" s="808"/>
      <c r="Q29" s="808"/>
      <c r="R29" s="808"/>
      <c r="S29" s="808"/>
      <c r="T29" s="808"/>
      <c r="U29" s="808"/>
      <c r="V29" s="808"/>
      <c r="W29" s="808"/>
      <c r="X29" s="808"/>
      <c r="Y29" s="808"/>
      <c r="Z29" s="808"/>
      <c r="AA29" s="808"/>
      <c r="AB29" s="808"/>
      <c r="AC29" s="808"/>
      <c r="AD29" s="1129"/>
      <c r="AE29" s="808"/>
      <c r="AF29" s="808"/>
      <c r="AG29" s="808"/>
      <c r="AH29" s="808"/>
      <c r="AI29" s="808"/>
      <c r="AJ29" s="808"/>
      <c r="AK29" s="461"/>
      <c r="AL29" s="461"/>
      <c r="AM29" s="461"/>
      <c r="AN29" s="808"/>
      <c r="AO29" s="808"/>
      <c r="AP29" s="808"/>
      <c r="AQ29" s="2038"/>
      <c r="AR29" s="2038"/>
      <c r="AS29" s="2038"/>
      <c r="AT29" s="2038"/>
      <c r="AU29" s="2038"/>
      <c r="AV29" s="2038"/>
      <c r="AW29" s="2038"/>
      <c r="AX29" s="2038"/>
      <c r="AY29" s="2038"/>
      <c r="AZ29" s="2038"/>
      <c r="BA29" s="39"/>
      <c r="BB29" s="39"/>
    </row>
    <row r="30" spans="1:54" s="2690" customFormat="1" ht="15" customHeight="1" thickBot="1">
      <c r="A30" s="461"/>
      <c r="B30" s="808"/>
      <c r="C30" s="1116"/>
      <c r="D30" s="2112" t="s">
        <v>4720</v>
      </c>
      <c r="E30" s="808"/>
      <c r="F30" s="808"/>
      <c r="G30" s="808"/>
      <c r="H30" s="808"/>
      <c r="I30" s="808"/>
      <c r="J30" s="808"/>
      <c r="K30" s="808"/>
      <c r="L30" s="808"/>
      <c r="M30" s="808"/>
      <c r="N30" s="808"/>
      <c r="O30" s="808"/>
      <c r="P30" s="808"/>
      <c r="Q30" s="808"/>
      <c r="R30" s="808"/>
      <c r="S30" s="808"/>
      <c r="T30" s="808"/>
      <c r="U30" s="808"/>
      <c r="V30" s="808"/>
      <c r="W30" s="808"/>
      <c r="X30" s="808"/>
      <c r="Y30" s="808"/>
      <c r="Z30" s="808"/>
      <c r="AA30" s="808"/>
      <c r="AB30" s="808"/>
      <c r="AC30" s="808"/>
      <c r="AD30" s="1129"/>
      <c r="AE30" s="9905" t="b">
        <f>AB31&lt;&gt;""</f>
        <v>0</v>
      </c>
      <c r="AF30" s="8168"/>
      <c r="AG30" s="8168"/>
      <c r="AH30" s="8168"/>
      <c r="AI30" s="8168"/>
      <c r="AJ30" s="8168"/>
      <c r="AK30" s="461"/>
      <c r="AL30" s="461"/>
      <c r="AM30" s="461"/>
      <c r="AN30" s="808"/>
      <c r="AO30" s="808"/>
      <c r="AP30" s="808"/>
      <c r="AQ30" s="2038"/>
      <c r="AR30" s="2038"/>
      <c r="AS30" s="2038"/>
      <c r="AT30" s="2038"/>
      <c r="AU30" s="2038"/>
      <c r="AV30" s="2038"/>
      <c r="AW30" s="2038"/>
      <c r="AX30" s="2038"/>
      <c r="AY30" s="2038"/>
      <c r="AZ30" s="2038"/>
      <c r="BA30" s="39"/>
      <c r="BB30" s="39"/>
    </row>
    <row r="31" spans="1:54" s="2690" customFormat="1" ht="15" customHeight="1" thickBot="1">
      <c r="A31" s="461"/>
      <c r="B31" s="808"/>
      <c r="C31" s="1116"/>
      <c r="D31" s="2112" t="s">
        <v>4721</v>
      </c>
      <c r="E31" s="808"/>
      <c r="F31" s="808"/>
      <c r="G31" s="808"/>
      <c r="H31" s="808"/>
      <c r="I31" s="808"/>
      <c r="J31" s="808"/>
      <c r="K31" s="808"/>
      <c r="L31" s="808"/>
      <c r="M31" s="808"/>
      <c r="N31" s="808"/>
      <c r="O31" s="808"/>
      <c r="P31" s="808"/>
      <c r="Q31" s="808"/>
      <c r="R31" s="808"/>
      <c r="S31" s="808"/>
      <c r="T31" s="808"/>
      <c r="U31" s="808"/>
      <c r="V31" s="808"/>
      <c r="W31" s="808"/>
      <c r="X31" s="808"/>
      <c r="Y31" s="808"/>
      <c r="Z31" s="1128" t="s">
        <v>654</v>
      </c>
      <c r="AA31" s="1128"/>
      <c r="AB31" s="810"/>
      <c r="AC31" s="808"/>
      <c r="AD31" s="1125">
        <v>7</v>
      </c>
      <c r="AE31" s="9574" t="str">
        <f>IF(OR(AH12,AE20),"",ROUND(AE14*AE27,0))</f>
        <v/>
      </c>
      <c r="AF31" s="9575"/>
      <c r="AG31" s="9575"/>
      <c r="AH31" s="9575"/>
      <c r="AI31" s="9575"/>
      <c r="AJ31" s="9575"/>
      <c r="AK31" s="461"/>
      <c r="AL31" s="461"/>
      <c r="AM31" s="461"/>
      <c r="AN31" s="808"/>
      <c r="AO31" s="808"/>
      <c r="AP31" s="808"/>
      <c r="AQ31" s="2038"/>
      <c r="AR31" s="2038"/>
      <c r="AS31" s="2038"/>
      <c r="AT31" s="2038"/>
      <c r="AU31" s="2038"/>
      <c r="AV31" s="2038"/>
      <c r="AW31" s="2038"/>
      <c r="AX31" s="2038"/>
      <c r="AY31" s="2038"/>
      <c r="AZ31" s="2038"/>
      <c r="BA31" s="39"/>
      <c r="BB31" s="39"/>
    </row>
    <row r="32" spans="1:54" s="2690" customFormat="1" ht="15" customHeight="1" thickBot="1">
      <c r="A32" s="461"/>
      <c r="B32" s="808"/>
      <c r="C32" s="3501" t="s">
        <v>268</v>
      </c>
      <c r="D32" s="1145" t="s">
        <v>4722</v>
      </c>
      <c r="E32" s="808"/>
      <c r="F32" s="808"/>
      <c r="G32" s="808"/>
      <c r="H32" s="808"/>
      <c r="I32" s="808"/>
      <c r="J32" s="808"/>
      <c r="K32" s="808"/>
      <c r="L32" s="808"/>
      <c r="M32" s="808"/>
      <c r="N32" s="2112"/>
      <c r="O32" s="2112" t="str">
        <f>"Multiply line 7 by "&amp;TEXT(AE32,"0%")&amp;" ("&amp;TEXT(AE32,"0.00")&amp;"). Enter the amount here and"</f>
        <v>Multiply line 7 by 40% (0.40). Enter the amount here and</v>
      </c>
      <c r="P32" s="808"/>
      <c r="Q32" s="808"/>
      <c r="R32" s="808"/>
      <c r="S32" s="808"/>
      <c r="T32" s="808"/>
      <c r="U32" s="808"/>
      <c r="V32" s="808"/>
      <c r="W32" s="808"/>
      <c r="X32" s="808"/>
      <c r="Y32" s="808"/>
      <c r="Z32" s="808"/>
      <c r="AA32" s="808"/>
      <c r="AB32" s="808"/>
      <c r="AC32" s="808"/>
      <c r="AD32" s="1126"/>
      <c r="AE32" s="9584">
        <v>0.4</v>
      </c>
      <c r="AF32" s="9585"/>
      <c r="AG32" s="9585"/>
      <c r="AH32" s="9585"/>
      <c r="AI32" s="9585"/>
      <c r="AJ32" s="9585"/>
      <c r="AK32" s="461"/>
      <c r="AL32" s="461"/>
      <c r="AM32" s="461"/>
      <c r="AN32" s="1376"/>
      <c r="AO32" s="1376"/>
      <c r="AP32" s="808"/>
      <c r="AQ32" s="2038"/>
      <c r="AR32" s="2038"/>
      <c r="AS32" s="2038"/>
      <c r="AT32" s="2038"/>
      <c r="AU32" s="2038"/>
      <c r="AV32" s="2038"/>
      <c r="AW32" s="2038"/>
      <c r="AX32" s="2038"/>
      <c r="AY32" s="2038"/>
      <c r="AZ32" s="2038"/>
      <c r="BA32" s="39"/>
      <c r="BB32" s="39"/>
    </row>
    <row r="33" spans="1:54" s="2690" customFormat="1" ht="18.75" customHeight="1" thickBot="1">
      <c r="A33" s="461"/>
      <c r="B33" s="896"/>
      <c r="C33" s="896"/>
      <c r="D33" s="6034" t="s">
        <v>4723</v>
      </c>
      <c r="E33" s="896"/>
      <c r="F33" s="896"/>
      <c r="G33" s="896"/>
      <c r="H33" s="896"/>
      <c r="I33" s="896"/>
      <c r="J33" s="896"/>
      <c r="K33" s="896"/>
      <c r="L33" s="896"/>
      <c r="M33" s="896"/>
      <c r="N33" s="896"/>
      <c r="O33" s="896"/>
      <c r="P33" s="896"/>
      <c r="Q33" s="896"/>
      <c r="R33" s="896"/>
      <c r="S33" s="896"/>
      <c r="T33" s="896"/>
      <c r="U33" s="896"/>
      <c r="V33" s="896"/>
      <c r="W33" s="896"/>
      <c r="X33" s="896"/>
      <c r="Y33" s="896"/>
      <c r="Z33" s="896"/>
      <c r="AA33" s="896"/>
      <c r="AB33" s="896"/>
      <c r="AC33" s="2761" t="s">
        <v>2162</v>
      </c>
      <c r="AD33" s="1132">
        <v>8</v>
      </c>
      <c r="AE33" s="9938" t="str">
        <f>IF(AO33&lt;&gt;"",ROUND(AO33,0),IF(OR(AH12,AE20,AE30),"",ROUND(AE31*AE32,0)))</f>
        <v/>
      </c>
      <c r="AF33" s="9939"/>
      <c r="AG33" s="9939"/>
      <c r="AH33" s="9939"/>
      <c r="AI33" s="9939"/>
      <c r="AJ33" s="9939"/>
      <c r="AK33" s="461"/>
      <c r="AL33" s="461"/>
      <c r="AM33" s="461"/>
      <c r="AN33" s="892"/>
      <c r="AO33" s="3520"/>
      <c r="AP33" s="808"/>
      <c r="AQ33" s="2038"/>
      <c r="AR33" s="2038"/>
      <c r="AS33" s="2038"/>
      <c r="AT33" s="2038"/>
      <c r="AU33" s="2038"/>
      <c r="AV33" s="2038"/>
      <c r="AW33" s="2038"/>
      <c r="AX33" s="2038"/>
      <c r="AY33" s="2038"/>
      <c r="AZ33" s="2038"/>
      <c r="BA33" s="39"/>
      <c r="BB33" s="39"/>
    </row>
    <row r="34" spans="1:54" s="2690" customFormat="1" ht="18.75" customHeight="1">
      <c r="A34" s="461"/>
      <c r="B34" s="9906" t="s">
        <v>982</v>
      </c>
      <c r="C34" s="9906"/>
      <c r="D34" s="3502" t="s">
        <v>4724</v>
      </c>
      <c r="E34" s="1121"/>
      <c r="F34" s="1121"/>
      <c r="G34" s="1122"/>
      <c r="H34" s="1122"/>
      <c r="I34" s="1122"/>
      <c r="J34" s="1122"/>
      <c r="K34" s="1122"/>
      <c r="L34" s="1122"/>
      <c r="M34" s="1121"/>
      <c r="N34" s="1121"/>
      <c r="O34" s="1121"/>
      <c r="P34" s="1121"/>
      <c r="Q34" s="1121"/>
      <c r="R34" s="1121"/>
      <c r="S34" s="1122"/>
      <c r="T34" s="1122"/>
      <c r="U34" s="1122"/>
      <c r="V34" s="1122"/>
      <c r="W34" s="1122"/>
      <c r="X34" s="1122"/>
      <c r="Y34" s="1122"/>
      <c r="Z34" s="1122"/>
      <c r="AA34" s="1122"/>
      <c r="AB34" s="1122"/>
      <c r="AC34" s="1121"/>
      <c r="AD34" s="1122"/>
      <c r="AE34" s="1122"/>
      <c r="AF34" s="1122"/>
      <c r="AG34" s="1122"/>
      <c r="AH34" s="1122"/>
      <c r="AI34" s="1122"/>
      <c r="AJ34" s="1122"/>
      <c r="AK34" s="461"/>
      <c r="AL34" s="461"/>
      <c r="AM34" s="461"/>
      <c r="AN34" s="808"/>
      <c r="AO34" s="808"/>
      <c r="AP34" s="808"/>
      <c r="AQ34" s="2038"/>
      <c r="AR34" s="2038"/>
      <c r="AS34" s="2038"/>
      <c r="AT34" s="2038"/>
      <c r="AU34" s="2038"/>
      <c r="AV34" s="2038"/>
      <c r="AW34" s="2038"/>
      <c r="AX34" s="2038"/>
      <c r="AY34" s="2038"/>
      <c r="AZ34" s="2038"/>
      <c r="BA34" s="39"/>
      <c r="BB34" s="39"/>
    </row>
    <row r="35" spans="1:54" s="2690" customFormat="1" ht="16.5" customHeight="1">
      <c r="A35" s="461"/>
      <c r="B35" s="808"/>
      <c r="C35" s="1124" t="s">
        <v>407</v>
      </c>
      <c r="D35" s="2112" t="s">
        <v>4725</v>
      </c>
      <c r="E35" s="2112"/>
      <c r="F35" s="808"/>
      <c r="G35" s="808"/>
      <c r="H35" s="808"/>
      <c r="I35" s="808"/>
      <c r="J35" s="808"/>
      <c r="K35" s="808"/>
      <c r="L35" s="808"/>
      <c r="M35" s="808"/>
      <c r="N35" s="808"/>
      <c r="O35" s="808"/>
      <c r="P35" s="808"/>
      <c r="Q35" s="808"/>
      <c r="R35" s="808"/>
      <c r="S35" s="808"/>
      <c r="T35" s="808"/>
      <c r="U35" s="808"/>
      <c r="V35" s="808"/>
      <c r="W35" s="808"/>
      <c r="X35" s="808"/>
      <c r="Y35" s="808"/>
      <c r="Z35" s="808"/>
      <c r="AA35" s="808"/>
      <c r="AB35" s="808"/>
      <c r="AC35" s="808"/>
      <c r="AD35" s="1726">
        <v>9</v>
      </c>
      <c r="AE35" s="9586" t="str">
        <f>IF(OR(AH12,AE20),"",IF(AE30,AE31,ROUND(SUM(AE31,-AE33),0)))</f>
        <v/>
      </c>
      <c r="AF35" s="9907"/>
      <c r="AG35" s="9907"/>
      <c r="AH35" s="9907"/>
      <c r="AI35" s="9907"/>
      <c r="AJ35" s="9907"/>
      <c r="AK35" s="461"/>
      <c r="AL35" s="461"/>
      <c r="AM35" s="461"/>
      <c r="AN35" s="808"/>
      <c r="AO35" s="808"/>
      <c r="AP35" s="808"/>
      <c r="AQ35" s="2038"/>
      <c r="AR35" s="2038"/>
      <c r="AS35" s="2038"/>
      <c r="AT35" s="2038"/>
      <c r="AU35" s="2038"/>
      <c r="AV35" s="2038"/>
      <c r="AW35" s="2038"/>
      <c r="AX35" s="2038"/>
      <c r="AY35" s="2038"/>
      <c r="AZ35" s="2038"/>
      <c r="BA35" s="39"/>
      <c r="BB35" s="39"/>
    </row>
    <row r="36" spans="1:54" s="2690" customFormat="1" ht="16.5" customHeight="1">
      <c r="A36" s="461"/>
      <c r="B36" s="808"/>
      <c r="C36" s="1124" t="s">
        <v>270</v>
      </c>
      <c r="D36" s="1108" t="s">
        <v>4726</v>
      </c>
      <c r="E36" s="2112"/>
      <c r="F36" s="808"/>
      <c r="G36" s="808"/>
      <c r="H36" s="808"/>
      <c r="I36" s="808"/>
      <c r="J36" s="808"/>
      <c r="K36" s="808"/>
      <c r="L36" s="808"/>
      <c r="M36" s="808"/>
      <c r="N36" s="808"/>
      <c r="O36" s="808"/>
      <c r="P36" s="808"/>
      <c r="Q36" s="808"/>
      <c r="R36" s="808"/>
      <c r="S36" s="808"/>
      <c r="T36" s="808"/>
      <c r="U36" s="808"/>
      <c r="V36" s="808"/>
      <c r="W36" s="808"/>
      <c r="X36" s="808"/>
      <c r="Y36" s="808"/>
      <c r="Z36" s="808"/>
      <c r="AA36" s="808"/>
      <c r="AB36" s="808"/>
      <c r="AC36" s="808"/>
      <c r="AD36" s="1126"/>
      <c r="AE36" s="9582" t="b">
        <f>OR(AO46="",AO46=0)</f>
        <v>1</v>
      </c>
      <c r="AF36" s="9398"/>
      <c r="AG36" s="9398"/>
      <c r="AH36" s="9398"/>
      <c r="AI36" s="9398"/>
      <c r="AJ36" s="9398"/>
      <c r="AK36" s="461"/>
      <c r="AL36" s="461"/>
      <c r="AM36" s="461"/>
      <c r="AN36" s="808"/>
      <c r="AO36" s="3265"/>
      <c r="AP36" s="808"/>
      <c r="AQ36" s="2038"/>
      <c r="AR36" s="2038"/>
      <c r="AS36" s="2038"/>
      <c r="AT36" s="2038"/>
      <c r="AU36" s="2038"/>
      <c r="AV36" s="2038"/>
      <c r="AW36" s="2038"/>
      <c r="AX36" s="2038"/>
      <c r="AY36" s="2038"/>
      <c r="AZ36" s="2038"/>
      <c r="BA36" s="39"/>
      <c r="BB36" s="39"/>
    </row>
    <row r="37" spans="1:54" s="2690" customFormat="1" ht="16.5" customHeight="1">
      <c r="A37" s="461"/>
      <c r="B37" s="808"/>
      <c r="C37" s="808"/>
      <c r="D37" s="5069" t="s">
        <v>4727</v>
      </c>
      <c r="E37" s="2112"/>
      <c r="F37" s="808"/>
      <c r="G37" s="808"/>
      <c r="H37" s="808"/>
      <c r="I37" s="808"/>
      <c r="J37" s="808"/>
      <c r="K37" s="808"/>
      <c r="L37" s="808"/>
      <c r="M37" s="808"/>
      <c r="N37" s="808"/>
      <c r="O37" s="808"/>
      <c r="P37" s="808"/>
      <c r="Q37" s="808"/>
      <c r="R37" s="808"/>
      <c r="S37" s="808"/>
      <c r="T37" s="808"/>
      <c r="U37" s="808"/>
      <c r="V37" s="808"/>
      <c r="W37" s="808"/>
      <c r="X37" s="808"/>
      <c r="Y37" s="808"/>
      <c r="Z37" s="808"/>
      <c r="AA37" s="808"/>
      <c r="AB37" s="808"/>
      <c r="AC37" s="2760" t="s">
        <v>752</v>
      </c>
      <c r="AD37" s="1726">
        <v>10</v>
      </c>
      <c r="AE37" s="9586" t="str">
        <f>IF(AH12,"",IF(OR(AO46="",AO46=0),0,AO46))</f>
        <v/>
      </c>
      <c r="AF37" s="9907"/>
      <c r="AG37" s="9907"/>
      <c r="AH37" s="9907"/>
      <c r="AI37" s="9907"/>
      <c r="AJ37" s="9907"/>
      <c r="AK37" s="461"/>
      <c r="AL37" s="461"/>
      <c r="AM37" s="461"/>
      <c r="AN37" s="808"/>
      <c r="AO37" s="7978" t="s">
        <v>4728</v>
      </c>
      <c r="AP37" s="808"/>
      <c r="AQ37" s="2038"/>
      <c r="AR37" s="2038"/>
      <c r="AS37" s="2038"/>
      <c r="AT37" s="2038"/>
      <c r="AU37" s="2038"/>
      <c r="AV37" s="2038"/>
      <c r="AW37" s="2038"/>
      <c r="AX37" s="2038"/>
      <c r="AY37" s="2038"/>
      <c r="AZ37" s="2038"/>
      <c r="BA37" s="39"/>
      <c r="BB37" s="39"/>
    </row>
    <row r="38" spans="1:54" s="2690" customFormat="1" ht="16.5" customHeight="1">
      <c r="A38" s="461"/>
      <c r="B38" s="808"/>
      <c r="C38" s="1124" t="s">
        <v>272</v>
      </c>
      <c r="D38" s="2112" t="str">
        <f>"Enter the smaller of line 10 or "&amp;TEXT(Z40,"$0,000")</f>
        <v>Enter the smaller of line 10 or $10,000</v>
      </c>
      <c r="E38" s="2112"/>
      <c r="F38" s="808"/>
      <c r="G38" s="808"/>
      <c r="H38" s="808"/>
      <c r="I38" s="808"/>
      <c r="J38" s="808"/>
      <c r="K38" s="808"/>
      <c r="L38" s="808"/>
      <c r="M38" s="808"/>
      <c r="N38" s="3340"/>
      <c r="O38" s="3340"/>
      <c r="P38" s="3340"/>
      <c r="Q38" s="3340"/>
      <c r="R38" s="3340"/>
      <c r="S38" s="3340"/>
      <c r="T38" s="3340"/>
      <c r="U38" s="3340"/>
      <c r="V38" s="3340"/>
      <c r="W38" s="3340"/>
      <c r="X38" s="3340"/>
      <c r="Y38" s="3340"/>
      <c r="Z38" s="3340"/>
      <c r="AA38" s="3340"/>
      <c r="AB38" s="3340"/>
      <c r="AC38" s="3532" t="s">
        <v>769</v>
      </c>
      <c r="AD38" s="1726">
        <v>11</v>
      </c>
      <c r="AE38" s="9586" t="str">
        <f>IF(OR($AE$20,$AE$36),"",MIN(AE37,Z40))</f>
        <v/>
      </c>
      <c r="AF38" s="9907"/>
      <c r="AG38" s="9907"/>
      <c r="AH38" s="9907"/>
      <c r="AI38" s="9907"/>
      <c r="AJ38" s="9907"/>
      <c r="AK38" s="461"/>
      <c r="AL38" s="461"/>
      <c r="AM38" s="461"/>
      <c r="AN38" s="9925" t="s">
        <v>4698</v>
      </c>
      <c r="AO38" s="7978"/>
      <c r="AP38" s="808"/>
      <c r="AQ38" s="2038"/>
      <c r="AR38" s="2038"/>
      <c r="AS38" s="2038"/>
      <c r="AT38" s="2038"/>
      <c r="AU38" s="2038"/>
      <c r="AV38" s="2038"/>
      <c r="AW38" s="2038"/>
      <c r="AX38" s="2038"/>
      <c r="AY38" s="2038"/>
      <c r="AZ38" s="2038"/>
      <c r="BA38" s="39"/>
      <c r="BB38" s="39"/>
    </row>
    <row r="39" spans="1:54" s="2690" customFormat="1" ht="16.5" customHeight="1">
      <c r="A39" s="461"/>
      <c r="B39" s="808"/>
      <c r="C39" s="1124" t="s">
        <v>1155</v>
      </c>
      <c r="D39" s="2112" t="str">
        <f>"Multiply line 11 by "&amp;TEXT(AB40,"0%")&amp;" ("&amp;TEXT(AB40,"0.00")&amp;")"</f>
        <v>Multiply line 11 by 20% (0.20)</v>
      </c>
      <c r="E39" s="2112"/>
      <c r="F39" s="808"/>
      <c r="G39" s="808"/>
      <c r="H39" s="808"/>
      <c r="I39" s="808"/>
      <c r="J39" s="808"/>
      <c r="K39" s="808"/>
      <c r="L39" s="808"/>
      <c r="M39" s="808"/>
      <c r="N39" s="808"/>
      <c r="O39" s="808"/>
      <c r="P39" s="808"/>
      <c r="Q39" s="808"/>
      <c r="R39" s="808"/>
      <c r="S39" s="808"/>
      <c r="T39" s="808"/>
      <c r="U39" s="808"/>
      <c r="V39" s="808"/>
      <c r="W39" s="3503"/>
      <c r="X39" s="808"/>
      <c r="Y39" s="808"/>
      <c r="Z39" s="3533"/>
      <c r="AA39" s="3533"/>
      <c r="AB39" s="3533"/>
      <c r="AC39" s="3532" t="s">
        <v>2490</v>
      </c>
      <c r="AD39" s="1726">
        <v>12</v>
      </c>
      <c r="AE39" s="9586" t="str">
        <f>IF(OR($AE$20,$AE$36),"",ROUND(AE38*AB40,0))</f>
        <v/>
      </c>
      <c r="AF39" s="9907"/>
      <c r="AG39" s="9907"/>
      <c r="AH39" s="9907"/>
      <c r="AI39" s="9907"/>
      <c r="AJ39" s="9907"/>
      <c r="AK39" s="461"/>
      <c r="AL39" s="461"/>
      <c r="AM39" s="461"/>
      <c r="AN39" s="6751"/>
      <c r="AO39" s="7978"/>
      <c r="AP39" s="808"/>
      <c r="AQ39" s="2038"/>
      <c r="AR39" s="2038"/>
      <c r="AS39" s="2038"/>
      <c r="AT39" s="2038"/>
      <c r="AU39" s="2038"/>
      <c r="AV39" s="2038"/>
      <c r="AW39" s="2038"/>
      <c r="AX39" s="2038"/>
      <c r="AY39" s="2038"/>
      <c r="AZ39" s="2038"/>
      <c r="BA39" s="39"/>
      <c r="BB39" s="39"/>
    </row>
    <row r="40" spans="1:54" s="2690" customFormat="1" ht="16.5" customHeight="1">
      <c r="A40" s="461"/>
      <c r="B40" s="808"/>
      <c r="C40" s="1124" t="s">
        <v>280</v>
      </c>
      <c r="D40" s="2112" t="str">
        <f>"Enter: "&amp;TEXT(AE40,"$0,000")&amp;" if married filing jointly; "&amp;TEXT(AE41,"$0,000")&amp;" if single, head of household, or"</f>
        <v>Enter: $180,000 if married filing jointly; $90,000 if single, head of household, or</v>
      </c>
      <c r="E40" s="2112"/>
      <c r="F40" s="808"/>
      <c r="G40" s="808"/>
      <c r="H40" s="808"/>
      <c r="I40" s="808"/>
      <c r="J40" s="808"/>
      <c r="K40" s="808"/>
      <c r="L40" s="808"/>
      <c r="M40" s="808"/>
      <c r="N40" s="808"/>
      <c r="O40" s="808"/>
      <c r="P40" s="808"/>
      <c r="Q40" s="808"/>
      <c r="R40" s="808"/>
      <c r="S40" s="808"/>
      <c r="T40" s="808"/>
      <c r="U40" s="808"/>
      <c r="V40" s="808"/>
      <c r="W40" s="1716"/>
      <c r="X40" s="1150"/>
      <c r="Y40" s="808"/>
      <c r="Z40" s="8168">
        <v>10000</v>
      </c>
      <c r="AA40" s="8168"/>
      <c r="AB40" s="8168">
        <v>0.2</v>
      </c>
      <c r="AC40" s="9576"/>
      <c r="AD40" s="1129"/>
      <c r="AE40" s="9595">
        <v>180000</v>
      </c>
      <c r="AF40" s="9596"/>
      <c r="AG40" s="9596"/>
      <c r="AH40" s="9596"/>
      <c r="AI40" s="9596"/>
      <c r="AJ40" s="9596"/>
      <c r="AK40" s="461"/>
      <c r="AL40" s="461"/>
      <c r="AM40" s="461"/>
      <c r="AN40" s="6751"/>
      <c r="AO40" s="1376" t="s">
        <v>4701</v>
      </c>
      <c r="AP40" s="808"/>
      <c r="AQ40" s="2038"/>
      <c r="AR40" s="2038"/>
      <c r="AS40" s="2038"/>
      <c r="AT40" s="2038"/>
      <c r="AU40" s="2038"/>
      <c r="AV40" s="2038"/>
      <c r="AW40" s="2038"/>
      <c r="AX40" s="2038"/>
      <c r="AY40" s="2038"/>
      <c r="AZ40" s="2038"/>
      <c r="BA40" s="39"/>
      <c r="BB40" s="39"/>
    </row>
    <row r="41" spans="1:54" s="2690" customFormat="1" ht="16.5" customHeight="1" thickBot="1">
      <c r="A41" s="461"/>
      <c r="B41" s="808"/>
      <c r="C41" s="808"/>
      <c r="D41" s="2112" t="s">
        <v>4713</v>
      </c>
      <c r="E41" s="2112"/>
      <c r="F41" s="808"/>
      <c r="G41" s="808"/>
      <c r="H41" s="808"/>
      <c r="I41" s="808"/>
      <c r="J41" s="808"/>
      <c r="K41" s="808"/>
      <c r="L41" s="808"/>
      <c r="M41" s="808"/>
      <c r="N41" s="808"/>
      <c r="O41" s="808"/>
      <c r="P41" s="808"/>
      <c r="Q41" s="808"/>
      <c r="R41" s="808"/>
      <c r="S41" s="808"/>
      <c r="T41" s="808"/>
      <c r="U41" s="808"/>
      <c r="V41" s="2760" t="s">
        <v>705</v>
      </c>
      <c r="W41" s="1726" t="s">
        <v>280</v>
      </c>
      <c r="X41" s="9574" t="str">
        <f>IF(OR($AE$20,$AE$36),"",IF(File_Marr_Joint&lt;&gt;"",AE40,AE41))</f>
        <v/>
      </c>
      <c r="Y41" s="9575"/>
      <c r="Z41" s="9575"/>
      <c r="AA41" s="9575"/>
      <c r="AB41" s="9575"/>
      <c r="AC41" s="9581"/>
      <c r="AD41" s="1129"/>
      <c r="AE41" s="9908">
        <v>90000</v>
      </c>
      <c r="AF41" s="9909"/>
      <c r="AG41" s="9909"/>
      <c r="AH41" s="9909"/>
      <c r="AI41" s="9909"/>
      <c r="AJ41" s="9909"/>
      <c r="AK41" s="461"/>
      <c r="AL41" s="461"/>
      <c r="AM41" s="461"/>
      <c r="AN41" s="6751"/>
      <c r="AO41" s="3522" t="s">
        <v>4729</v>
      </c>
      <c r="AP41" s="808"/>
      <c r="AQ41" s="2038"/>
      <c r="AR41" s="2038"/>
      <c r="AS41" s="2038"/>
      <c r="AT41" s="2038"/>
      <c r="AU41" s="2038"/>
      <c r="AV41" s="2038"/>
      <c r="AW41" s="2038"/>
      <c r="AX41" s="2038"/>
      <c r="AY41" s="2038"/>
      <c r="AZ41" s="2038"/>
      <c r="BA41" s="39"/>
      <c r="BB41" s="39"/>
    </row>
    <row r="42" spans="1:54" s="2690" customFormat="1" ht="16.5" customHeight="1">
      <c r="A42" s="461"/>
      <c r="B42" s="808"/>
      <c r="C42" s="1124" t="s">
        <v>282</v>
      </c>
      <c r="D42" s="2112" t="s">
        <v>4730</v>
      </c>
      <c r="E42" s="2112"/>
      <c r="F42" s="808"/>
      <c r="G42" s="808"/>
      <c r="H42" s="808"/>
      <c r="I42" s="808"/>
      <c r="J42" s="808"/>
      <c r="K42" s="808"/>
      <c r="L42" s="808"/>
      <c r="M42" s="808"/>
      <c r="N42" s="808"/>
      <c r="O42" s="808"/>
      <c r="P42" s="808"/>
      <c r="Q42" s="808"/>
      <c r="R42" s="808"/>
      <c r="S42" s="808"/>
      <c r="T42" s="808"/>
      <c r="U42" s="808"/>
      <c r="V42" s="808"/>
      <c r="W42" s="1716"/>
      <c r="X42" s="808"/>
      <c r="Y42" s="808"/>
      <c r="Z42" s="808"/>
      <c r="AA42" s="808"/>
      <c r="AB42" s="808"/>
      <c r="AC42" s="808"/>
      <c r="AD42" s="1129"/>
      <c r="AE42" s="808"/>
      <c r="AF42" s="808"/>
      <c r="AG42" s="808"/>
      <c r="AH42" s="808"/>
      <c r="AI42" s="808"/>
      <c r="AJ42" s="808"/>
      <c r="AK42" s="461"/>
      <c r="AL42" s="461"/>
      <c r="AM42" s="461"/>
      <c r="AN42" s="1376">
        <v>1</v>
      </c>
      <c r="AO42" s="3529" t="str">
        <f>LLC_1</f>
        <v/>
      </c>
      <c r="AP42" s="808"/>
      <c r="AQ42" s="2038"/>
      <c r="AR42" s="2038"/>
      <c r="AS42" s="2038"/>
      <c r="AT42" s="2038"/>
      <c r="AU42" s="2038"/>
      <c r="AV42" s="2038"/>
      <c r="AW42" s="2038"/>
      <c r="AX42" s="2038"/>
      <c r="AY42" s="2038"/>
      <c r="AZ42" s="2038"/>
      <c r="BA42" s="39"/>
      <c r="BB42" s="39"/>
    </row>
    <row r="43" spans="1:54" s="2690" customFormat="1" ht="16.5" customHeight="1">
      <c r="A43" s="461"/>
      <c r="B43" s="808"/>
      <c r="C43" s="808"/>
      <c r="D43" s="2112" t="s">
        <v>4708</v>
      </c>
      <c r="E43" s="2112"/>
      <c r="F43" s="808"/>
      <c r="G43" s="808"/>
      <c r="H43" s="808"/>
      <c r="I43" s="808"/>
      <c r="J43" s="808"/>
      <c r="K43" s="808"/>
      <c r="L43" s="808"/>
      <c r="M43" s="808"/>
      <c r="N43" s="808"/>
      <c r="O43" s="808"/>
      <c r="P43" s="808"/>
      <c r="Q43" s="808"/>
      <c r="R43" s="808"/>
      <c r="S43" s="808"/>
      <c r="T43" s="808"/>
      <c r="U43" s="808"/>
      <c r="V43" s="808"/>
      <c r="W43" s="1716"/>
      <c r="X43" s="1150"/>
      <c r="Y43" s="808"/>
      <c r="Z43" s="808"/>
      <c r="AA43" s="808"/>
      <c r="AB43" s="808"/>
      <c r="AC43" s="1151"/>
      <c r="AD43" s="1129"/>
      <c r="AE43" s="808"/>
      <c r="AF43" s="808"/>
      <c r="AG43" s="808"/>
      <c r="AH43" s="808"/>
      <c r="AI43" s="808"/>
      <c r="AJ43" s="808"/>
      <c r="AK43" s="461"/>
      <c r="AL43" s="461"/>
      <c r="AM43" s="461"/>
      <c r="AN43" s="1376">
        <v>2</v>
      </c>
      <c r="AO43" s="3530" t="str">
        <f>LLC_2</f>
        <v/>
      </c>
      <c r="AP43" s="808"/>
      <c r="AQ43" s="2038"/>
      <c r="AR43" s="2038"/>
      <c r="AS43" s="2038"/>
      <c r="AT43" s="2038"/>
      <c r="AU43" s="2038"/>
      <c r="AV43" s="2038"/>
      <c r="AW43" s="2038"/>
      <c r="AX43" s="2038"/>
      <c r="AY43" s="2038"/>
      <c r="AZ43" s="2038"/>
      <c r="BA43" s="39"/>
      <c r="BB43" s="39"/>
    </row>
    <row r="44" spans="1:54" s="2690" customFormat="1" ht="16.5" customHeight="1" thickBot="1">
      <c r="A44" s="461"/>
      <c r="B44" s="808"/>
      <c r="C44" s="808"/>
      <c r="D44" s="2112" t="s">
        <v>4709</v>
      </c>
      <c r="E44" s="2112"/>
      <c r="F44" s="808"/>
      <c r="G44" s="808"/>
      <c r="H44" s="808"/>
      <c r="I44" s="808"/>
      <c r="J44" s="808"/>
      <c r="K44" s="808"/>
      <c r="L44" s="808"/>
      <c r="M44" s="808"/>
      <c r="N44" s="808"/>
      <c r="O44" s="808"/>
      <c r="P44" s="808"/>
      <c r="Q44" s="808"/>
      <c r="R44" s="808"/>
      <c r="S44" s="808"/>
      <c r="T44" s="808"/>
      <c r="U44" s="808"/>
      <c r="V44" s="2760" t="s">
        <v>705</v>
      </c>
      <c r="W44" s="1726">
        <v>14</v>
      </c>
      <c r="X44" s="9574" t="str">
        <f>IF(OR($AE$20,$AE$36),"",Adj_Gross_Inc)</f>
        <v/>
      </c>
      <c r="Y44" s="9575"/>
      <c r="Z44" s="9575"/>
      <c r="AA44" s="9575"/>
      <c r="AB44" s="9575"/>
      <c r="AC44" s="9581"/>
      <c r="AD44" s="1129"/>
      <c r="AE44" s="808"/>
      <c r="AF44" s="808"/>
      <c r="AG44" s="808"/>
      <c r="AH44" s="808"/>
      <c r="AI44" s="808"/>
      <c r="AJ44" s="808"/>
      <c r="AK44" s="461"/>
      <c r="AL44" s="461"/>
      <c r="AM44" s="461"/>
      <c r="AN44" s="1376">
        <v>3</v>
      </c>
      <c r="AO44" s="3530" t="str">
        <f>LLC_3</f>
        <v/>
      </c>
      <c r="AP44" s="808"/>
      <c r="AQ44" s="2038"/>
      <c r="AR44" s="2038"/>
      <c r="AS44" s="2038"/>
      <c r="AT44" s="2038"/>
      <c r="AU44" s="2038"/>
      <c r="AV44" s="2038"/>
      <c r="AW44" s="2038"/>
      <c r="AX44" s="2038"/>
      <c r="AY44" s="2038"/>
      <c r="AZ44" s="2038"/>
      <c r="BA44" s="39"/>
      <c r="BB44" s="39"/>
    </row>
    <row r="45" spans="1:54" ht="16.5" customHeight="1" thickBot="1">
      <c r="A45" s="461"/>
      <c r="B45" s="808"/>
      <c r="C45" s="1124" t="s">
        <v>286</v>
      </c>
      <c r="D45" s="2112" t="s">
        <v>4731</v>
      </c>
      <c r="E45" s="2112"/>
      <c r="F45" s="808"/>
      <c r="G45" s="808"/>
      <c r="H45" s="808"/>
      <c r="I45" s="808"/>
      <c r="J45" s="808"/>
      <c r="K45" s="808"/>
      <c r="L45" s="808"/>
      <c r="M45" s="808"/>
      <c r="N45" s="808"/>
      <c r="O45" s="808"/>
      <c r="P45" s="808"/>
      <c r="Q45" s="808"/>
      <c r="R45" s="808"/>
      <c r="S45" s="808"/>
      <c r="T45" s="808"/>
      <c r="U45" s="808"/>
      <c r="V45" s="808"/>
      <c r="W45" s="1716"/>
      <c r="X45" s="9582" t="b">
        <f>X46&lt;=0</f>
        <v>0</v>
      </c>
      <c r="Y45" s="9398"/>
      <c r="Z45" s="9398"/>
      <c r="AA45" s="9398"/>
      <c r="AB45" s="9398"/>
      <c r="AC45" s="9583"/>
      <c r="AD45" s="1129"/>
      <c r="AE45" s="808"/>
      <c r="AF45" s="808"/>
      <c r="AG45" s="808"/>
      <c r="AH45" s="808"/>
      <c r="AI45" s="808"/>
      <c r="AJ45" s="808"/>
      <c r="AK45" s="461"/>
      <c r="AL45" s="461"/>
      <c r="AM45" s="461"/>
      <c r="AN45" s="1376">
        <v>4</v>
      </c>
      <c r="AO45" s="3531" t="str">
        <f>LLC_4</f>
        <v/>
      </c>
      <c r="AP45" s="808"/>
      <c r="AQ45" s="9910" t="s">
        <v>4732</v>
      </c>
      <c r="AR45" s="9911"/>
      <c r="AS45" s="9911"/>
      <c r="AT45" s="9911"/>
      <c r="AU45" s="9911"/>
      <c r="AV45" s="9911"/>
      <c r="AW45" s="9911"/>
      <c r="AX45" s="9911"/>
      <c r="AY45" s="9912"/>
      <c r="BA45" s="1281"/>
      <c r="BB45" s="1281"/>
    </row>
    <row r="46" spans="1:54" ht="16.5" customHeight="1" thickBot="1">
      <c r="A46" s="461"/>
      <c r="B46" s="808"/>
      <c r="C46" s="808"/>
      <c r="D46" s="2112" t="s">
        <v>4733</v>
      </c>
      <c r="E46" s="2112"/>
      <c r="F46" s="808"/>
      <c r="G46" s="808"/>
      <c r="H46" s="808"/>
      <c r="I46" s="808"/>
      <c r="J46" s="808"/>
      <c r="K46" s="808"/>
      <c r="L46" s="808"/>
      <c r="M46" s="808"/>
      <c r="N46" s="808"/>
      <c r="O46" s="808"/>
      <c r="P46" s="808"/>
      <c r="Q46" s="808"/>
      <c r="R46" s="808"/>
      <c r="S46" s="808"/>
      <c r="T46" s="808"/>
      <c r="U46" s="808"/>
      <c r="V46" s="2760" t="s">
        <v>670</v>
      </c>
      <c r="W46" s="1726" t="s">
        <v>286</v>
      </c>
      <c r="X46" s="9574" t="str">
        <f>IF(OR($AE$20,$AE$36),"",SUM(X41,-X44))</f>
        <v/>
      </c>
      <c r="Y46" s="9575"/>
      <c r="Z46" s="9575"/>
      <c r="AA46" s="9575"/>
      <c r="AB46" s="9575"/>
      <c r="AC46" s="9581"/>
      <c r="AD46" s="1129"/>
      <c r="AE46" s="808"/>
      <c r="AF46" s="808"/>
      <c r="AG46" s="808"/>
      <c r="AH46" s="808"/>
      <c r="AI46" s="808"/>
      <c r="AJ46" s="808"/>
      <c r="AK46" s="461"/>
      <c r="AL46" s="461"/>
      <c r="AM46" s="461"/>
      <c r="AN46" s="1376" t="s">
        <v>4707</v>
      </c>
      <c r="AO46" s="3528">
        <f>SUM(AO42:AO45)</f>
        <v>0</v>
      </c>
      <c r="AP46" s="808"/>
      <c r="AQ46" s="3560" t="s">
        <v>4734</v>
      </c>
      <c r="AR46" s="3553"/>
      <c r="AS46" s="3553"/>
      <c r="AT46" s="3553"/>
      <c r="AU46" s="3553"/>
      <c r="AV46" s="3553"/>
      <c r="AW46" s="3553"/>
      <c r="AX46" s="3553"/>
      <c r="AY46" s="3554"/>
      <c r="BA46" s="1281"/>
      <c r="BB46" s="1281"/>
    </row>
    <row r="47" spans="1:54" ht="16.5" customHeight="1">
      <c r="A47" s="461"/>
      <c r="B47" s="808"/>
      <c r="C47" s="1124" t="s">
        <v>289</v>
      </c>
      <c r="D47" s="2112" t="str">
        <f>"Enter: "&amp;TEXT(AE23,"$0,000")&amp;" if married filing jointly; "&amp;TEXT(AE24,"$0,000")&amp;" if single, head of household, or"</f>
        <v>Enter: $20,000 if married filing jointly; $10,000 if single, head of household, or</v>
      </c>
      <c r="E47" s="2112"/>
      <c r="F47" s="808"/>
      <c r="G47" s="808"/>
      <c r="H47" s="808"/>
      <c r="I47" s="808"/>
      <c r="J47" s="808"/>
      <c r="K47" s="808"/>
      <c r="L47" s="808"/>
      <c r="M47" s="808"/>
      <c r="N47" s="808"/>
      <c r="O47" s="808"/>
      <c r="P47" s="808"/>
      <c r="Q47" s="808"/>
      <c r="R47" s="808"/>
      <c r="S47" s="808"/>
      <c r="T47" s="808"/>
      <c r="U47" s="808"/>
      <c r="V47" s="808"/>
      <c r="W47" s="1716"/>
      <c r="X47" s="1150"/>
      <c r="Y47" s="808"/>
      <c r="Z47" s="808"/>
      <c r="AA47" s="808"/>
      <c r="AB47" s="808"/>
      <c r="AC47" s="1151"/>
      <c r="AD47" s="1129"/>
      <c r="AE47" s="808"/>
      <c r="AF47" s="808"/>
      <c r="AG47" s="808"/>
      <c r="AH47" s="808"/>
      <c r="AI47" s="808"/>
      <c r="AJ47" s="808"/>
      <c r="AK47" s="461"/>
      <c r="AL47" s="461"/>
      <c r="AM47" s="461"/>
      <c r="AN47" s="808"/>
      <c r="AO47" s="808"/>
      <c r="AP47" s="808"/>
      <c r="AQ47" s="3555" t="s">
        <v>4735</v>
      </c>
      <c r="AR47" s="3553"/>
      <c r="AS47" s="3553"/>
      <c r="AT47" s="3553"/>
      <c r="AU47" s="3553"/>
      <c r="AV47" s="3553"/>
      <c r="AW47" s="3556" t="s">
        <v>167</v>
      </c>
      <c r="AX47" s="1568" t="str">
        <f>AE53</f>
        <v/>
      </c>
      <c r="AY47" s="3554"/>
      <c r="BA47" s="1281"/>
      <c r="BB47" s="1281"/>
    </row>
    <row r="48" spans="1:54" ht="16.5" customHeight="1">
      <c r="A48" s="461"/>
      <c r="B48" s="808"/>
      <c r="C48" s="808"/>
      <c r="D48" s="2645" t="s">
        <v>4713</v>
      </c>
      <c r="E48" s="2112"/>
      <c r="F48" s="808"/>
      <c r="G48" s="808"/>
      <c r="H48" s="808"/>
      <c r="I48" s="808"/>
      <c r="J48" s="808"/>
      <c r="K48" s="808"/>
      <c r="L48" s="808"/>
      <c r="M48" s="808"/>
      <c r="N48" s="808"/>
      <c r="O48" s="808"/>
      <c r="P48" s="808"/>
      <c r="Q48" s="808"/>
      <c r="R48" s="808"/>
      <c r="S48" s="808"/>
      <c r="T48" s="808"/>
      <c r="U48" s="808"/>
      <c r="V48" s="2760" t="s">
        <v>705</v>
      </c>
      <c r="W48" s="1726" t="s">
        <v>289</v>
      </c>
      <c r="X48" s="9574" t="str">
        <f>IF(OR($AE$20,$AE$36,$X$45),"",IF(File_Marr_Joint&lt;&gt;"",AE23,AE24))</f>
        <v/>
      </c>
      <c r="Y48" s="9575"/>
      <c r="Z48" s="9575"/>
      <c r="AA48" s="9575"/>
      <c r="AB48" s="9575"/>
      <c r="AC48" s="9581"/>
      <c r="AD48" s="1129"/>
      <c r="AE48" s="808"/>
      <c r="AF48" s="808"/>
      <c r="AG48" s="808"/>
      <c r="AH48" s="808"/>
      <c r="AI48" s="808"/>
      <c r="AJ48" s="808"/>
      <c r="AK48" s="461"/>
      <c r="AL48" s="461"/>
      <c r="AM48" s="461"/>
      <c r="AN48" s="892"/>
      <c r="AO48" s="892"/>
      <c r="AP48" s="808"/>
      <c r="AQ48" s="3555" t="s">
        <v>4736</v>
      </c>
      <c r="AR48" s="3553"/>
      <c r="AS48" s="3553"/>
      <c r="AT48" s="3553"/>
      <c r="AU48" s="3553"/>
      <c r="AV48" s="3553"/>
      <c r="AW48" s="3556" t="s">
        <v>171</v>
      </c>
      <c r="AX48" s="1568" t="str">
        <f>AE35</f>
        <v/>
      </c>
      <c r="AY48" s="3554"/>
      <c r="BA48" s="1281"/>
      <c r="BB48" s="1281"/>
    </row>
    <row r="49" spans="1:54" ht="16.5" customHeight="1">
      <c r="A49" s="461"/>
      <c r="B49" s="808"/>
      <c r="C49" s="1124" t="s">
        <v>291</v>
      </c>
      <c r="D49" s="2112" t="s">
        <v>4737</v>
      </c>
      <c r="E49" s="2112"/>
      <c r="F49" s="808"/>
      <c r="G49" s="808"/>
      <c r="H49" s="808"/>
      <c r="I49" s="808"/>
      <c r="J49" s="808"/>
      <c r="K49" s="808"/>
      <c r="L49" s="808"/>
      <c r="M49" s="808"/>
      <c r="N49" s="808"/>
      <c r="O49" s="808"/>
      <c r="P49" s="808"/>
      <c r="Q49" s="808"/>
      <c r="R49" s="808"/>
      <c r="S49" s="808"/>
      <c r="T49" s="808"/>
      <c r="U49" s="808"/>
      <c r="V49" s="808"/>
      <c r="W49" s="808"/>
      <c r="X49" s="808"/>
      <c r="Y49" s="808"/>
      <c r="Z49" s="808"/>
      <c r="AA49" s="808"/>
      <c r="AB49" s="808"/>
      <c r="AC49" s="808"/>
      <c r="AD49" s="1129"/>
      <c r="AE49" s="808"/>
      <c r="AF49" s="808"/>
      <c r="AG49" s="808"/>
      <c r="AH49" s="808"/>
      <c r="AI49" s="808"/>
      <c r="AJ49" s="808"/>
      <c r="AK49" s="461"/>
      <c r="AL49" s="461"/>
      <c r="AM49" s="461"/>
      <c r="AN49" s="808"/>
      <c r="AO49" s="808"/>
      <c r="AP49" s="808"/>
      <c r="AQ49" s="3555" t="s">
        <v>4738</v>
      </c>
      <c r="AR49" s="3553"/>
      <c r="AS49" s="3553"/>
      <c r="AT49" s="3553"/>
      <c r="AU49" s="3553"/>
      <c r="AV49" s="3553"/>
      <c r="AW49" s="3556" t="s">
        <v>177</v>
      </c>
      <c r="AX49" s="1568">
        <f>SUM(AX47,AX48)</f>
        <v>0</v>
      </c>
      <c r="AY49" s="3554"/>
    </row>
    <row r="50" spans="1:54" ht="16.5" customHeight="1">
      <c r="A50" s="461"/>
      <c r="B50" s="808"/>
      <c r="C50" s="808"/>
      <c r="D50" s="2334" t="s">
        <v>1806</v>
      </c>
      <c r="E50" s="2112" t="s">
        <v>4739</v>
      </c>
      <c r="F50" s="808"/>
      <c r="G50" s="808"/>
      <c r="H50" s="808"/>
      <c r="I50" s="808"/>
      <c r="J50" s="808"/>
      <c r="K50" s="808"/>
      <c r="L50" s="808"/>
      <c r="M50" s="808"/>
      <c r="N50" s="808"/>
      <c r="O50" s="808"/>
      <c r="P50" s="808"/>
      <c r="Q50" s="808"/>
      <c r="R50" s="808"/>
      <c r="S50" s="808"/>
      <c r="T50" s="808"/>
      <c r="U50" s="808"/>
      <c r="V50" s="808"/>
      <c r="W50" s="808"/>
      <c r="X50" s="808"/>
      <c r="Y50" s="808"/>
      <c r="Z50" s="808"/>
      <c r="AA50" s="808"/>
      <c r="AB50" s="808"/>
      <c r="AC50" s="808"/>
      <c r="AD50" s="1129"/>
      <c r="AE50" s="808"/>
      <c r="AF50" s="808"/>
      <c r="AG50" s="808"/>
      <c r="AH50" s="808"/>
      <c r="AI50" s="808"/>
      <c r="AJ50" s="808"/>
      <c r="AK50" s="461"/>
      <c r="AL50" s="461"/>
      <c r="AM50" s="461"/>
      <c r="AN50" s="808"/>
      <c r="AO50" s="808"/>
      <c r="AP50" s="808"/>
      <c r="AQ50" s="3555" t="s">
        <v>4740</v>
      </c>
      <c r="AR50" s="3553"/>
      <c r="AS50" s="3553"/>
      <c r="AT50" s="3553"/>
      <c r="AU50" s="3553"/>
      <c r="AV50" s="3553"/>
      <c r="AW50" s="3556" t="s">
        <v>182</v>
      </c>
      <c r="AX50" s="1568">
        <f>Tax</f>
        <v>0</v>
      </c>
      <c r="AY50" s="3554"/>
    </row>
    <row r="51" spans="1:54" ht="16.5" customHeight="1">
      <c r="A51" s="461"/>
      <c r="B51" s="808"/>
      <c r="C51" s="808"/>
      <c r="D51" s="2334" t="s">
        <v>1806</v>
      </c>
      <c r="E51" s="2112" t="s">
        <v>4741</v>
      </c>
      <c r="F51" s="808"/>
      <c r="G51" s="808"/>
      <c r="H51" s="808"/>
      <c r="I51" s="808"/>
      <c r="J51" s="808"/>
      <c r="K51" s="808"/>
      <c r="L51" s="808"/>
      <c r="M51" s="808"/>
      <c r="N51" s="808"/>
      <c r="O51" s="808"/>
      <c r="P51" s="808"/>
      <c r="Q51" s="808"/>
      <c r="R51" s="808"/>
      <c r="S51" s="808"/>
      <c r="T51" s="808"/>
      <c r="U51" s="808"/>
      <c r="V51" s="808"/>
      <c r="W51" s="808"/>
      <c r="X51" s="808"/>
      <c r="Y51" s="808"/>
      <c r="Z51" s="808"/>
      <c r="AA51" s="808"/>
      <c r="AB51" s="808"/>
      <c r="AC51" s="808"/>
      <c r="AD51" s="1129"/>
      <c r="AE51" s="808"/>
      <c r="AF51" s="808"/>
      <c r="AG51" s="808"/>
      <c r="AH51" s="808"/>
      <c r="AI51" s="808"/>
      <c r="AJ51" s="808"/>
      <c r="AK51" s="461"/>
      <c r="AL51" s="461"/>
      <c r="AM51" s="461"/>
      <c r="AN51" s="1376"/>
      <c r="AO51" s="1376"/>
      <c r="AP51" s="808"/>
      <c r="AQ51" s="3555" t="s">
        <v>4742</v>
      </c>
      <c r="AR51" s="3553"/>
      <c r="AS51" s="3553"/>
      <c r="AT51" s="3553"/>
      <c r="AU51" s="3553"/>
      <c r="AV51" s="3553"/>
      <c r="AW51" s="3553"/>
      <c r="AX51" s="3553"/>
      <c r="AY51" s="3554"/>
    </row>
    <row r="52" spans="1:54" ht="16.5" customHeight="1">
      <c r="A52" s="461"/>
      <c r="B52" s="808"/>
      <c r="C52" s="808"/>
      <c r="D52" s="2112"/>
      <c r="E52" s="2112" t="s">
        <v>4743</v>
      </c>
      <c r="F52" s="808"/>
      <c r="G52" s="808"/>
      <c r="H52" s="808"/>
      <c r="I52" s="808"/>
      <c r="J52" s="808"/>
      <c r="K52" s="808"/>
      <c r="L52" s="808"/>
      <c r="M52" s="808"/>
      <c r="N52" s="808"/>
      <c r="O52" s="808"/>
      <c r="P52" s="808"/>
      <c r="Q52" s="808"/>
      <c r="R52" s="808"/>
      <c r="S52" s="808"/>
      <c r="T52" s="808"/>
      <c r="U52" s="808"/>
      <c r="V52" s="808"/>
      <c r="W52" s="808"/>
      <c r="X52" s="808"/>
      <c r="Y52" s="808"/>
      <c r="Z52" s="808"/>
      <c r="AA52" s="808"/>
      <c r="AB52" s="808"/>
      <c r="AC52" s="1128" t="s">
        <v>4744</v>
      </c>
      <c r="AD52" s="1125">
        <v>17</v>
      </c>
      <c r="AE52" s="9936" t="str">
        <f>IF(OR($AE$20,$AE$36,$X$45),"",IF(X46&gt;=X48,1,ROUND(X46/X48,3)))</f>
        <v/>
      </c>
      <c r="AF52" s="9937"/>
      <c r="AG52" s="9937"/>
      <c r="AH52" s="9937"/>
      <c r="AI52" s="9937"/>
      <c r="AJ52" s="9937"/>
      <c r="AK52" s="461"/>
      <c r="AL52" s="461"/>
      <c r="AM52" s="461"/>
      <c r="AN52" s="1376"/>
      <c r="AO52" s="1376"/>
      <c r="AP52" s="808"/>
      <c r="AQ52" s="9898" t="s">
        <v>4745</v>
      </c>
      <c r="AR52" s="9899"/>
      <c r="AS52" s="9899"/>
      <c r="AT52" s="9899"/>
      <c r="AU52" s="9899"/>
      <c r="AV52" s="9899"/>
      <c r="AW52" s="3556" t="s">
        <v>198</v>
      </c>
      <c r="AX52" s="1568">
        <f>SUM(Foreign_Tax_Credit,Care_Expenses,Elderly_Credit,F8978_Credit)</f>
        <v>0</v>
      </c>
      <c r="AY52" s="3554"/>
    </row>
    <row r="53" spans="1:54" ht="16.5" customHeight="1">
      <c r="A53" s="461"/>
      <c r="B53" s="808"/>
      <c r="C53" s="1124" t="s">
        <v>293</v>
      </c>
      <c r="D53" s="2112" t="s">
        <v>4746</v>
      </c>
      <c r="E53" s="2112"/>
      <c r="F53" s="808"/>
      <c r="G53" s="808"/>
      <c r="H53" s="808"/>
      <c r="I53" s="808"/>
      <c r="J53" s="808"/>
      <c r="K53" s="808"/>
      <c r="L53" s="808"/>
      <c r="M53" s="808"/>
      <c r="N53" s="808"/>
      <c r="O53" s="808"/>
      <c r="P53" s="808"/>
      <c r="Q53" s="808"/>
      <c r="R53" s="808"/>
      <c r="S53" s="808"/>
      <c r="T53" s="808"/>
      <c r="U53" s="808"/>
      <c r="V53" s="808"/>
      <c r="W53" s="808"/>
      <c r="X53" s="808"/>
      <c r="Y53" s="808"/>
      <c r="Z53" s="808"/>
      <c r="AA53" s="808"/>
      <c r="AB53" s="808"/>
      <c r="AC53" s="2760" t="s">
        <v>4747</v>
      </c>
      <c r="AD53" s="1125">
        <v>18</v>
      </c>
      <c r="AE53" s="9586" t="str">
        <f>IF($AE$20,"",IF($AE$36,0,IF($X$45,0,ROUND(AE39*AE52,0))))</f>
        <v/>
      </c>
      <c r="AF53" s="9907"/>
      <c r="AG53" s="9907"/>
      <c r="AH53" s="9907"/>
      <c r="AI53" s="9907"/>
      <c r="AJ53" s="9907"/>
      <c r="AK53" s="461"/>
      <c r="AL53" s="461"/>
      <c r="AM53" s="461"/>
      <c r="AN53" s="1376"/>
      <c r="AO53" s="23" t="s">
        <v>1113</v>
      </c>
      <c r="AP53" s="808"/>
      <c r="AQ53" s="3555" t="s">
        <v>4748</v>
      </c>
      <c r="AR53" s="3553"/>
      <c r="AS53" s="3553"/>
      <c r="AT53" s="3553"/>
      <c r="AU53" s="3553"/>
      <c r="AV53" s="3553"/>
      <c r="AW53" s="3556" t="s">
        <v>202</v>
      </c>
      <c r="AX53" s="1568">
        <f>SUM(AX50,-AX52)</f>
        <v>0</v>
      </c>
      <c r="AY53" s="3554"/>
    </row>
    <row r="54" spans="1:54" ht="16.5" customHeight="1" thickBot="1">
      <c r="A54" s="461"/>
      <c r="B54" s="808"/>
      <c r="C54" s="1124" t="s">
        <v>295</v>
      </c>
      <c r="D54" s="2112" t="s">
        <v>4749</v>
      </c>
      <c r="E54" s="2112"/>
      <c r="F54" s="808"/>
      <c r="G54" s="808"/>
      <c r="H54" s="808"/>
      <c r="I54" s="808"/>
      <c r="J54" s="808"/>
      <c r="K54" s="808"/>
      <c r="L54" s="808"/>
      <c r="M54" s="808"/>
      <c r="N54" s="808"/>
      <c r="O54" s="808"/>
      <c r="P54" s="808"/>
      <c r="Q54" s="808"/>
      <c r="R54" s="808"/>
      <c r="S54" s="808"/>
      <c r="T54" s="808"/>
      <c r="U54" s="808"/>
      <c r="V54" s="808"/>
      <c r="W54" s="808"/>
      <c r="X54" s="808"/>
      <c r="Y54" s="808"/>
      <c r="Z54" s="808"/>
      <c r="AA54" s="808"/>
      <c r="AB54" s="808"/>
      <c r="AC54" s="808"/>
      <c r="AD54" s="1129"/>
      <c r="AE54" s="808"/>
      <c r="AF54" s="808"/>
      <c r="AG54" s="808"/>
      <c r="AH54" s="808"/>
      <c r="AI54" s="808"/>
      <c r="AJ54" s="808"/>
      <c r="AK54" s="461"/>
      <c r="AL54" s="461"/>
      <c r="AM54" s="461"/>
      <c r="AN54" s="1376"/>
      <c r="AO54" s="23" t="s">
        <v>1062</v>
      </c>
      <c r="AP54" s="808"/>
      <c r="AQ54" s="3555" t="s">
        <v>4750</v>
      </c>
      <c r="AR54" s="3553"/>
      <c r="AS54" s="3553"/>
      <c r="AT54" s="3553"/>
      <c r="AU54" s="3553"/>
      <c r="AV54" s="3553"/>
      <c r="AW54" s="3556" t="s">
        <v>215</v>
      </c>
      <c r="AX54" s="1568">
        <f>MIN(AX49,AX53)</f>
        <v>0</v>
      </c>
      <c r="AY54" s="3554"/>
    </row>
    <row r="55" spans="1:54" ht="16.5" customHeight="1" thickBot="1">
      <c r="A55" s="461"/>
      <c r="B55" s="808"/>
      <c r="C55" s="808"/>
      <c r="D55" s="2112" t="s">
        <v>4751</v>
      </c>
      <c r="E55" s="2112"/>
      <c r="F55" s="808"/>
      <c r="G55" s="808"/>
      <c r="H55" s="808"/>
      <c r="I55" s="808"/>
      <c r="J55" s="808"/>
      <c r="K55" s="808"/>
      <c r="L55" s="808"/>
      <c r="M55" s="808"/>
      <c r="N55" s="808"/>
      <c r="O55" s="808"/>
      <c r="P55" s="808"/>
      <c r="Q55" s="808"/>
      <c r="R55" s="808"/>
      <c r="S55" s="808"/>
      <c r="T55" s="808"/>
      <c r="U55" s="808"/>
      <c r="V55" s="808"/>
      <c r="W55" s="808"/>
      <c r="X55" s="808"/>
      <c r="Y55" s="808"/>
      <c r="Z55" s="808"/>
      <c r="AA55" s="808"/>
      <c r="AB55" s="808"/>
      <c r="AC55" s="2760" t="s">
        <v>661</v>
      </c>
      <c r="AD55" s="1125">
        <v>19</v>
      </c>
      <c r="AE55" s="9586" t="str">
        <f>IF(AO55&lt;&gt;"",ROUND(AO55,0),IF($AE$20,"",AX54))</f>
        <v/>
      </c>
      <c r="AF55" s="9587"/>
      <c r="AG55" s="9587"/>
      <c r="AH55" s="9587"/>
      <c r="AI55" s="9587"/>
      <c r="AJ55" s="9587"/>
      <c r="AK55" s="461"/>
      <c r="AL55" s="461"/>
      <c r="AM55" s="461"/>
      <c r="AN55" s="1376"/>
      <c r="AO55" s="3521"/>
      <c r="AP55" s="808"/>
      <c r="AQ55" s="3557"/>
      <c r="AR55" s="3558"/>
      <c r="AS55" s="3558"/>
      <c r="AT55" s="3558"/>
      <c r="AU55" s="3558"/>
      <c r="AV55" s="3558"/>
      <c r="AW55" s="3558"/>
      <c r="AX55" s="3558"/>
      <c r="AY55" s="3559"/>
    </row>
    <row r="56" spans="1:54" s="2690" customFormat="1" ht="15.75">
      <c r="A56" s="5721"/>
      <c r="B56" s="2979" t="s">
        <v>979</v>
      </c>
      <c r="C56" s="695"/>
      <c r="D56" s="695"/>
      <c r="E56" s="695"/>
      <c r="F56" s="695"/>
      <c r="G56" s="695"/>
      <c r="H56" s="695"/>
      <c r="I56" s="695"/>
      <c r="J56" s="695"/>
      <c r="K56" s="695"/>
      <c r="L56" s="695"/>
      <c r="M56" s="695"/>
      <c r="N56" s="695"/>
      <c r="O56" s="695"/>
      <c r="P56" s="695"/>
      <c r="Q56" s="30"/>
      <c r="R56" s="30"/>
      <c r="S56" s="30"/>
      <c r="T56" s="30"/>
      <c r="U56" s="2980"/>
      <c r="V56" s="30"/>
      <c r="W56" s="2980" t="s">
        <v>4752</v>
      </c>
      <c r="X56" s="30"/>
      <c r="Y56" s="30"/>
      <c r="Z56" s="30"/>
      <c r="AA56" s="30"/>
      <c r="AB56" s="30"/>
      <c r="AC56" s="30"/>
      <c r="AD56" s="30"/>
      <c r="AE56" s="30"/>
      <c r="AF56" s="30"/>
      <c r="AG56" s="30"/>
      <c r="AH56" s="2981" t="s">
        <v>4753</v>
      </c>
      <c r="AI56" s="30"/>
      <c r="AJ56" s="2981" t="str">
        <f>"("&amp;TaxYear&amp;")"</f>
        <v>(2023)</v>
      </c>
      <c r="AK56" s="461"/>
      <c r="AL56" s="461"/>
      <c r="AM56" s="461"/>
      <c r="AN56" s="808"/>
      <c r="AO56" s="808"/>
      <c r="AP56" s="808"/>
      <c r="AQ56" s="2038"/>
      <c r="AR56" s="2038"/>
      <c r="AS56" s="2038"/>
      <c r="AT56" s="2038"/>
      <c r="AU56" s="2038"/>
      <c r="AV56" s="2038"/>
      <c r="AW56" s="2038"/>
      <c r="AX56" s="2038"/>
      <c r="AY56" s="2038"/>
      <c r="AZ56" s="2038"/>
      <c r="BA56" s="39"/>
      <c r="BB56" s="39"/>
    </row>
    <row r="57" spans="1:54" s="2690" customFormat="1" ht="18" customHeight="1" thickBot="1">
      <c r="A57" s="461"/>
      <c r="B57" s="964" t="str">
        <f>"Form 8863 ("&amp;TaxYear&amp;")"</f>
        <v>Form 8863 (2023)</v>
      </c>
      <c r="C57" s="964"/>
      <c r="D57" s="964"/>
      <c r="E57" s="964"/>
      <c r="F57" s="964"/>
      <c r="G57" s="964"/>
      <c r="H57" s="964"/>
      <c r="I57" s="964"/>
      <c r="J57" s="964"/>
      <c r="K57" s="964"/>
      <c r="L57" s="964"/>
      <c r="M57" s="964"/>
      <c r="N57" s="964"/>
      <c r="O57" s="964"/>
      <c r="P57" s="964"/>
      <c r="Q57" s="964"/>
      <c r="R57" s="964"/>
      <c r="S57" s="964"/>
      <c r="T57" s="964"/>
      <c r="U57" s="964"/>
      <c r="V57" s="964"/>
      <c r="W57" s="964"/>
      <c r="X57" s="964"/>
      <c r="Y57" s="964"/>
      <c r="Z57" s="964"/>
      <c r="AA57" s="964"/>
      <c r="AB57" s="964"/>
      <c r="AC57" s="964"/>
      <c r="AD57" s="964"/>
      <c r="AE57" s="964"/>
      <c r="AF57" s="964"/>
      <c r="AG57" s="964"/>
      <c r="AH57" s="964"/>
      <c r="AI57" s="1368" t="s">
        <v>2387</v>
      </c>
      <c r="AJ57" s="1369">
        <v>2</v>
      </c>
      <c r="AK57" s="461"/>
      <c r="AL57" s="461"/>
      <c r="AM57" s="461"/>
      <c r="AN57" s="808"/>
      <c r="AO57" s="808"/>
      <c r="AP57" s="808"/>
      <c r="AQ57" s="2038"/>
      <c r="AR57" s="2038"/>
      <c r="AS57" s="2038"/>
      <c r="AT57" s="2038"/>
      <c r="AU57" s="2038"/>
      <c r="AV57" s="2038"/>
      <c r="AW57" s="2038"/>
      <c r="AX57" s="2038"/>
      <c r="AY57" s="2038"/>
      <c r="AZ57" s="2038"/>
      <c r="BA57" s="39"/>
      <c r="BB57" s="39"/>
    </row>
    <row r="58" spans="1:54" s="2690" customFormat="1" ht="16.5" customHeight="1" thickTop="1">
      <c r="A58" s="461"/>
      <c r="B58" s="3504" t="s">
        <v>2208</v>
      </c>
      <c r="C58" s="1121"/>
      <c r="D58" s="1121"/>
      <c r="E58" s="1121"/>
      <c r="F58" s="1121"/>
      <c r="G58" s="1121"/>
      <c r="H58" s="1121"/>
      <c r="I58" s="1121"/>
      <c r="J58" s="1121"/>
      <c r="K58" s="1121"/>
      <c r="L58" s="1121"/>
      <c r="M58" s="1121"/>
      <c r="N58" s="1121"/>
      <c r="O58" s="1121"/>
      <c r="P58" s="1121"/>
      <c r="Q58" s="1121"/>
      <c r="R58" s="1121"/>
      <c r="S58" s="1121"/>
      <c r="T58" s="1121"/>
      <c r="U58" s="1121"/>
      <c r="V58" s="1121"/>
      <c r="W58" s="1121"/>
      <c r="X58" s="1121"/>
      <c r="Y58" s="1121"/>
      <c r="Z58" s="1121"/>
      <c r="AA58" s="1121"/>
      <c r="AB58" s="1121"/>
      <c r="AC58" s="9877" t="s">
        <v>586</v>
      </c>
      <c r="AD58" s="9878"/>
      <c r="AE58" s="9878"/>
      <c r="AF58" s="9878"/>
      <c r="AG58" s="9878"/>
      <c r="AH58" s="9878"/>
      <c r="AI58" s="9878"/>
      <c r="AJ58" s="9878"/>
      <c r="AK58" s="461"/>
      <c r="AL58" s="461"/>
      <c r="AM58" s="461"/>
      <c r="AN58" s="808"/>
      <c r="AO58" s="808"/>
      <c r="AP58" s="808"/>
      <c r="AQ58" s="2038"/>
      <c r="AR58" s="2038"/>
      <c r="AS58" s="2038"/>
      <c r="AT58" s="2038"/>
      <c r="AU58" s="2038"/>
      <c r="AV58" s="2038"/>
      <c r="AW58" s="2038"/>
      <c r="AX58" s="2038"/>
      <c r="AY58" s="2038"/>
      <c r="AZ58" s="2038"/>
      <c r="BA58" s="39"/>
      <c r="BB58" s="39"/>
    </row>
    <row r="59" spans="1:54" s="2690" customFormat="1" ht="21.75" customHeight="1">
      <c r="A59" s="461"/>
      <c r="B59" s="9879" t="str">
        <f>Names</f>
        <v/>
      </c>
      <c r="C59" s="9880"/>
      <c r="D59" s="9880"/>
      <c r="E59" s="9880"/>
      <c r="F59" s="9880"/>
      <c r="G59" s="9880"/>
      <c r="H59" s="9880"/>
      <c r="I59" s="9880"/>
      <c r="J59" s="9880"/>
      <c r="K59" s="9880"/>
      <c r="L59" s="9880"/>
      <c r="M59" s="9880"/>
      <c r="N59" s="9880"/>
      <c r="O59" s="9880"/>
      <c r="P59" s="9880"/>
      <c r="Q59" s="9880"/>
      <c r="R59" s="9880"/>
      <c r="S59" s="9880"/>
      <c r="T59" s="9880"/>
      <c r="U59" s="9880"/>
      <c r="V59" s="9880"/>
      <c r="W59" s="9880"/>
      <c r="X59" s="9880"/>
      <c r="Y59" s="9880"/>
      <c r="Z59" s="9880"/>
      <c r="AA59" s="9880"/>
      <c r="AB59" s="9881"/>
      <c r="AC59" s="9882">
        <f>IF(OR(NoSSN,SS_Yours=""),"",SS_Yours)</f>
        <v>1010001</v>
      </c>
      <c r="AD59" s="9883"/>
      <c r="AE59" s="9883"/>
      <c r="AF59" s="9883"/>
      <c r="AG59" s="9883"/>
      <c r="AH59" s="9883"/>
      <c r="AI59" s="9883"/>
      <c r="AJ59" s="9883"/>
      <c r="AK59" s="461"/>
      <c r="AL59" s="461"/>
      <c r="AM59" s="461"/>
      <c r="AN59" s="808"/>
      <c r="AO59" s="808"/>
      <c r="AP59" s="808"/>
      <c r="AQ59" s="2038"/>
      <c r="AR59" s="2038"/>
      <c r="AS59" s="2038"/>
      <c r="AT59" s="2038"/>
      <c r="AU59" s="2038"/>
      <c r="AV59" s="2038"/>
      <c r="AW59" s="2038"/>
      <c r="AX59" s="2038"/>
      <c r="AY59" s="2038"/>
      <c r="AZ59" s="2038"/>
      <c r="BA59" s="39"/>
      <c r="BB59" s="39"/>
    </row>
    <row r="60" spans="1:54" s="2690" customFormat="1" ht="5.25" customHeight="1">
      <c r="A60" s="461"/>
      <c r="B60" s="3517"/>
      <c r="C60" s="3517"/>
      <c r="D60" s="3517" t="s">
        <v>4449</v>
      </c>
      <c r="E60" s="3517"/>
      <c r="F60" s="3517"/>
      <c r="G60" s="3517"/>
      <c r="H60" s="3517"/>
      <c r="I60" s="3517"/>
      <c r="J60" s="3517"/>
      <c r="K60" s="3517"/>
      <c r="L60" s="3517"/>
      <c r="M60" s="3517"/>
      <c r="N60" s="3517"/>
      <c r="O60" s="3517"/>
      <c r="P60" s="3517"/>
      <c r="Q60" s="3517"/>
      <c r="R60" s="3517"/>
      <c r="S60" s="3517"/>
      <c r="T60" s="3517"/>
      <c r="U60" s="3517"/>
      <c r="V60" s="3517"/>
      <c r="W60" s="3517"/>
      <c r="X60" s="3517"/>
      <c r="Y60" s="3517"/>
      <c r="Z60" s="3517"/>
      <c r="AA60" s="3517"/>
      <c r="AB60" s="3517"/>
      <c r="AC60" s="3517"/>
      <c r="AD60" s="3517"/>
      <c r="AE60" s="3517"/>
      <c r="AF60" s="3517"/>
      <c r="AG60" s="3517"/>
      <c r="AH60" s="3517"/>
      <c r="AI60" s="3517"/>
      <c r="AJ60" s="3517"/>
      <c r="AK60" s="461"/>
      <c r="AL60" s="461"/>
      <c r="AM60" s="461"/>
      <c r="AN60" s="808"/>
      <c r="AO60" s="808"/>
      <c r="AP60" s="808"/>
      <c r="AQ60" s="2038"/>
      <c r="AR60" s="2038"/>
      <c r="AS60" s="2038"/>
      <c r="AT60" s="2038"/>
      <c r="AU60" s="2038"/>
      <c r="AV60" s="2038"/>
      <c r="AW60" s="2038"/>
      <c r="AX60" s="2038"/>
      <c r="AY60" s="2038"/>
      <c r="AZ60" s="2038"/>
      <c r="BA60" s="39"/>
      <c r="BB60" s="39"/>
    </row>
    <row r="61" spans="1:54" s="3525" customFormat="1" ht="15.75" customHeight="1">
      <c r="A61" s="3497"/>
      <c r="B61" s="3518"/>
      <c r="C61" s="3518"/>
      <c r="D61" s="9896" t="s">
        <v>4754</v>
      </c>
      <c r="E61" s="9897"/>
      <c r="F61" s="9897"/>
      <c r="G61" s="9897"/>
      <c r="H61" s="9897"/>
      <c r="I61" s="9897"/>
      <c r="J61" s="9897"/>
      <c r="K61" s="9897"/>
      <c r="L61" s="9897"/>
      <c r="M61" s="9897"/>
      <c r="N61" s="9897"/>
      <c r="O61" s="9897"/>
      <c r="P61" s="9897"/>
      <c r="Q61" s="9897"/>
      <c r="R61" s="9897"/>
      <c r="S61" s="9897"/>
      <c r="T61" s="9897"/>
      <c r="U61" s="9897"/>
      <c r="V61" s="9897"/>
      <c r="W61" s="9897"/>
      <c r="X61" s="9897"/>
      <c r="Y61" s="9897"/>
      <c r="Z61" s="9897"/>
      <c r="AA61" s="9897"/>
      <c r="AB61" s="9897"/>
      <c r="AC61" s="9897"/>
      <c r="AD61" s="9897"/>
      <c r="AE61" s="9897"/>
      <c r="AF61" s="9897"/>
      <c r="AG61" s="9897"/>
      <c r="AH61" s="9897"/>
      <c r="AI61" s="9897"/>
      <c r="AJ61" s="9897"/>
      <c r="AK61" s="3497"/>
      <c r="AL61" s="3497"/>
      <c r="AM61" s="3497"/>
      <c r="AN61" s="3498"/>
      <c r="AO61" s="3498"/>
      <c r="AP61" s="1573"/>
      <c r="AQ61" s="3524"/>
      <c r="AR61" s="3524"/>
      <c r="AS61" s="3524"/>
      <c r="AT61" s="3524"/>
      <c r="AU61" s="3524"/>
      <c r="AV61" s="3524"/>
      <c r="AW61" s="3524"/>
      <c r="AX61" s="3524"/>
      <c r="AY61" s="3524"/>
      <c r="AZ61" s="3524"/>
      <c r="BA61" s="3499"/>
      <c r="BB61" s="3499"/>
    </row>
    <row r="62" spans="1:54" s="3525" customFormat="1" ht="15.75" customHeight="1">
      <c r="A62" s="3497"/>
      <c r="B62" s="3518"/>
      <c r="C62" s="3518"/>
      <c r="D62" s="9897"/>
      <c r="E62" s="9897"/>
      <c r="F62" s="9897"/>
      <c r="G62" s="9897"/>
      <c r="H62" s="9897"/>
      <c r="I62" s="9897"/>
      <c r="J62" s="9897"/>
      <c r="K62" s="9897"/>
      <c r="L62" s="9897"/>
      <c r="M62" s="9897"/>
      <c r="N62" s="9897"/>
      <c r="O62" s="9897"/>
      <c r="P62" s="9897"/>
      <c r="Q62" s="9897"/>
      <c r="R62" s="9897"/>
      <c r="S62" s="9897"/>
      <c r="T62" s="9897"/>
      <c r="U62" s="9897"/>
      <c r="V62" s="9897"/>
      <c r="W62" s="9897"/>
      <c r="X62" s="9897"/>
      <c r="Y62" s="9897"/>
      <c r="Z62" s="9897"/>
      <c r="AA62" s="9897"/>
      <c r="AB62" s="9897"/>
      <c r="AC62" s="9897"/>
      <c r="AD62" s="9897"/>
      <c r="AE62" s="9897"/>
      <c r="AF62" s="9897"/>
      <c r="AG62" s="9897"/>
      <c r="AH62" s="9897"/>
      <c r="AI62" s="9897"/>
      <c r="AJ62" s="9897"/>
      <c r="AK62" s="3497"/>
      <c r="AL62" s="3497"/>
      <c r="AM62" s="3497"/>
      <c r="AN62" s="3498"/>
      <c r="AO62" s="3498"/>
      <c r="AP62" s="1573"/>
      <c r="AQ62" s="3524"/>
      <c r="AR62" s="3524"/>
      <c r="AS62" s="3524"/>
      <c r="AT62" s="3524"/>
      <c r="AU62" s="3524"/>
      <c r="AV62" s="3524"/>
      <c r="AW62" s="3524"/>
      <c r="AX62" s="3524"/>
      <c r="AY62" s="3524"/>
      <c r="AZ62" s="3524"/>
      <c r="BA62" s="3499"/>
      <c r="BB62" s="3499"/>
    </row>
    <row r="63" spans="1:54" s="3525" customFormat="1" ht="15.75" customHeight="1">
      <c r="A63" s="3497"/>
      <c r="B63" s="3518"/>
      <c r="C63" s="3518"/>
      <c r="D63" s="9897"/>
      <c r="E63" s="9897"/>
      <c r="F63" s="9897"/>
      <c r="G63" s="9897"/>
      <c r="H63" s="9897"/>
      <c r="I63" s="9897"/>
      <c r="J63" s="9897"/>
      <c r="K63" s="9897"/>
      <c r="L63" s="9897"/>
      <c r="M63" s="9897"/>
      <c r="N63" s="9897"/>
      <c r="O63" s="9897"/>
      <c r="P63" s="9897"/>
      <c r="Q63" s="9897"/>
      <c r="R63" s="9897"/>
      <c r="S63" s="9897"/>
      <c r="T63" s="9897"/>
      <c r="U63" s="9897"/>
      <c r="V63" s="9897"/>
      <c r="W63" s="9897"/>
      <c r="X63" s="9897"/>
      <c r="Y63" s="9897"/>
      <c r="Z63" s="9897"/>
      <c r="AA63" s="9897"/>
      <c r="AB63" s="9897"/>
      <c r="AC63" s="9897"/>
      <c r="AD63" s="9897"/>
      <c r="AE63" s="9897"/>
      <c r="AF63" s="9897"/>
      <c r="AG63" s="9897"/>
      <c r="AH63" s="9897"/>
      <c r="AI63" s="9897"/>
      <c r="AJ63" s="9897"/>
      <c r="AK63" s="3497"/>
      <c r="AL63" s="3497"/>
      <c r="AM63" s="3497"/>
      <c r="AN63" s="3498"/>
      <c r="AO63" s="3498"/>
      <c r="AP63" s="1573"/>
      <c r="AQ63" s="3524"/>
      <c r="AR63" s="3524"/>
      <c r="AS63" s="3524"/>
      <c r="AT63" s="3524"/>
      <c r="AU63" s="3524"/>
      <c r="AV63" s="3524"/>
      <c r="AW63" s="3524"/>
      <c r="AX63" s="3524"/>
      <c r="AY63" s="3524"/>
      <c r="AZ63" s="3524"/>
      <c r="BA63" s="3499"/>
      <c r="BB63" s="3499"/>
    </row>
    <row r="64" spans="1:54" s="2690" customFormat="1" ht="6" customHeight="1">
      <c r="A64" s="461"/>
      <c r="B64" s="3519"/>
      <c r="C64" s="3519"/>
      <c r="D64" s="3519"/>
      <c r="E64" s="3519"/>
      <c r="F64" s="3519"/>
      <c r="G64" s="3519"/>
      <c r="H64" s="3519"/>
      <c r="I64" s="3519"/>
      <c r="J64" s="3519"/>
      <c r="K64" s="3519"/>
      <c r="L64" s="3519"/>
      <c r="M64" s="3519"/>
      <c r="N64" s="3519"/>
      <c r="O64" s="3519"/>
      <c r="P64" s="3519"/>
      <c r="Q64" s="3519"/>
      <c r="R64" s="3519"/>
      <c r="S64" s="3519"/>
      <c r="T64" s="3519"/>
      <c r="U64" s="3519"/>
      <c r="V64" s="3519"/>
      <c r="W64" s="3519"/>
      <c r="X64" s="3519"/>
      <c r="Y64" s="3519"/>
      <c r="Z64" s="3519"/>
      <c r="AA64" s="3519"/>
      <c r="AB64" s="3519"/>
      <c r="AC64" s="3519"/>
      <c r="AD64" s="3519"/>
      <c r="AE64" s="3519"/>
      <c r="AF64" s="3519"/>
      <c r="AG64" s="3519"/>
      <c r="AH64" s="3519"/>
      <c r="AI64" s="3519"/>
      <c r="AJ64" s="3519"/>
      <c r="AK64" s="461"/>
      <c r="AL64" s="461"/>
      <c r="AM64" s="461"/>
      <c r="AN64" s="808"/>
      <c r="AO64" s="808"/>
      <c r="AP64" s="808"/>
      <c r="AQ64" s="2038"/>
      <c r="AR64" s="2038"/>
      <c r="AS64" s="2038"/>
      <c r="AT64" s="2038"/>
      <c r="AU64" s="2038"/>
      <c r="AV64" s="2038"/>
      <c r="AW64" s="2038"/>
      <c r="AX64" s="2038"/>
      <c r="AY64" s="2038"/>
      <c r="AZ64" s="2038"/>
      <c r="BA64" s="39"/>
      <c r="BB64" s="39"/>
    </row>
    <row r="65" spans="1:54" s="2690" customFormat="1" ht="19.5" customHeight="1">
      <c r="A65" s="461"/>
      <c r="B65" s="6909" t="s">
        <v>2243</v>
      </c>
      <c r="C65" s="6909"/>
      <c r="D65" s="1139"/>
      <c r="E65" s="3849" t="s">
        <v>4755</v>
      </c>
      <c r="F65" s="1121"/>
      <c r="G65" s="1121"/>
      <c r="H65" s="1121"/>
      <c r="I65" s="1121"/>
      <c r="J65" s="1121"/>
      <c r="K65" s="1121"/>
      <c r="L65" s="1121"/>
      <c r="M65" s="1121"/>
      <c r="N65" s="1121"/>
      <c r="O65" s="1121"/>
      <c r="P65" s="1121"/>
      <c r="Q65" s="1121"/>
      <c r="R65" s="1121"/>
      <c r="S65" s="1121"/>
      <c r="T65" s="1121"/>
      <c r="U65" s="1121"/>
      <c r="V65" s="1121"/>
      <c r="W65" s="1121"/>
      <c r="X65" s="1121"/>
      <c r="Y65" s="1121"/>
      <c r="Z65" s="1121"/>
      <c r="AA65" s="1121"/>
      <c r="AB65" s="1121"/>
      <c r="AC65" s="1121"/>
      <c r="AD65" s="1121"/>
      <c r="AE65" s="1121"/>
      <c r="AF65" s="1121"/>
      <c r="AG65" s="1121"/>
      <c r="AH65" s="1121"/>
      <c r="AI65" s="1121"/>
      <c r="AJ65" s="1121"/>
      <c r="AK65" s="461"/>
      <c r="AL65" s="461"/>
      <c r="AM65" s="461"/>
      <c r="AN65" s="808"/>
      <c r="AO65" s="808"/>
      <c r="AP65" s="808"/>
      <c r="AQ65" s="2038"/>
      <c r="AR65" s="2038"/>
      <c r="AS65" s="2038"/>
      <c r="AT65" s="2038"/>
      <c r="AU65" s="2038"/>
      <c r="AV65" s="2038"/>
      <c r="AW65" s="2038"/>
      <c r="AX65" s="2038"/>
      <c r="AY65" s="2038"/>
      <c r="AZ65" s="2038"/>
      <c r="BA65" s="39"/>
      <c r="BB65" s="39"/>
    </row>
    <row r="66" spans="1:54" s="2690" customFormat="1" ht="16.5" customHeight="1">
      <c r="A66" s="461"/>
      <c r="B66" s="1127" t="s">
        <v>297</v>
      </c>
      <c r="C66" s="808"/>
      <c r="D66" s="3505" t="s">
        <v>4756</v>
      </c>
      <c r="E66" s="1142"/>
      <c r="F66" s="1142"/>
      <c r="G66" s="1142"/>
      <c r="H66" s="1142"/>
      <c r="I66" s="1142"/>
      <c r="J66" s="1142"/>
      <c r="K66" s="1142"/>
      <c r="L66" s="1142"/>
      <c r="M66" s="1143"/>
      <c r="N66" s="1144"/>
      <c r="O66" s="1259"/>
      <c r="P66" s="1142"/>
      <c r="Q66" s="1142"/>
      <c r="R66" s="1259"/>
      <c r="S66" s="1259"/>
      <c r="T66" s="1144">
        <v>21</v>
      </c>
      <c r="U66" s="3505" t="s">
        <v>4757</v>
      </c>
      <c r="V66" s="1259"/>
      <c r="W66" s="1259"/>
      <c r="X66" s="1259"/>
      <c r="Y66" s="1259"/>
      <c r="Z66" s="1259"/>
      <c r="AA66" s="1259"/>
      <c r="AB66" s="3507"/>
      <c r="AC66" s="1259"/>
      <c r="AD66" s="1259"/>
      <c r="AE66" s="1259"/>
      <c r="AF66" s="1259"/>
      <c r="AG66" s="1142"/>
      <c r="AH66" s="1259"/>
      <c r="AI66" s="1259"/>
      <c r="AJ66" s="1259"/>
      <c r="AK66" s="461"/>
      <c r="AL66" s="461"/>
      <c r="AM66" s="461"/>
      <c r="AN66" s="808"/>
      <c r="AO66" s="808"/>
      <c r="AP66" s="808"/>
      <c r="AQ66" s="2038"/>
      <c r="AR66" s="2038"/>
      <c r="AS66" s="2038"/>
      <c r="AT66" s="2038"/>
      <c r="AU66" s="2038"/>
      <c r="AV66" s="2038"/>
      <c r="AW66" s="2038"/>
      <c r="AX66" s="2038"/>
      <c r="AY66" s="2038"/>
      <c r="AZ66" s="2038"/>
      <c r="BA66" s="39"/>
      <c r="BB66" s="39"/>
    </row>
    <row r="67" spans="1:54" s="2690" customFormat="1" ht="15">
      <c r="A67" s="461"/>
      <c r="B67" s="1127"/>
      <c r="C67" s="808"/>
      <c r="D67" s="9889"/>
      <c r="E67" s="9889"/>
      <c r="F67" s="9889"/>
      <c r="G67" s="9889"/>
      <c r="H67" s="9889"/>
      <c r="I67" s="9889"/>
      <c r="J67" s="9889"/>
      <c r="K67" s="9889"/>
      <c r="L67" s="9889"/>
      <c r="M67" s="9889"/>
      <c r="N67" s="9889"/>
      <c r="O67" s="9889"/>
      <c r="P67" s="9889"/>
      <c r="Q67" s="9889"/>
      <c r="R67" s="9889"/>
      <c r="S67" s="9890"/>
      <c r="T67" s="3585"/>
      <c r="U67" s="2447" t="s">
        <v>4758</v>
      </c>
      <c r="V67" s="3586"/>
      <c r="W67" s="3586"/>
      <c r="X67" s="3586"/>
      <c r="Y67" s="3586"/>
      <c r="Z67" s="3586"/>
      <c r="AA67" s="3586"/>
      <c r="AB67" s="3586"/>
      <c r="AC67" s="3586"/>
      <c r="AD67" s="3586"/>
      <c r="AE67" s="3586"/>
      <c r="AF67" s="3586"/>
      <c r="AG67" s="3586"/>
      <c r="AH67" s="3586"/>
      <c r="AI67" s="3586"/>
      <c r="AJ67" s="3586"/>
      <c r="AK67" s="461"/>
      <c r="AL67" s="461"/>
      <c r="AM67" s="461"/>
      <c r="AN67" s="808"/>
      <c r="AO67" s="808"/>
      <c r="AP67" s="808"/>
      <c r="AQ67" s="2038"/>
      <c r="AR67" s="2038"/>
      <c r="AS67" s="2038"/>
      <c r="AT67" s="2038"/>
      <c r="AU67" s="2038"/>
      <c r="AV67" s="2038"/>
      <c r="AW67" s="2038"/>
      <c r="AX67" s="2038"/>
      <c r="AY67" s="2038"/>
      <c r="AZ67" s="2038"/>
      <c r="BA67" s="39"/>
      <c r="BB67" s="39"/>
    </row>
    <row r="68" spans="1:54" s="2690" customFormat="1" ht="18" customHeight="1">
      <c r="A68" s="461"/>
      <c r="B68" s="1127"/>
      <c r="C68" s="808"/>
      <c r="D68" s="9891"/>
      <c r="E68" s="9891"/>
      <c r="F68" s="9891"/>
      <c r="G68" s="9891"/>
      <c r="H68" s="9891"/>
      <c r="I68" s="9891"/>
      <c r="J68" s="9891"/>
      <c r="K68" s="9891"/>
      <c r="L68" s="9891"/>
      <c r="M68" s="9891"/>
      <c r="N68" s="9891"/>
      <c r="O68" s="9891"/>
      <c r="P68" s="9891"/>
      <c r="Q68" s="9891"/>
      <c r="R68" s="9891"/>
      <c r="S68" s="9892"/>
      <c r="T68" s="3508"/>
      <c r="U68" s="9893"/>
      <c r="V68" s="9893"/>
      <c r="W68" s="9893"/>
      <c r="X68" s="9893"/>
      <c r="Y68" s="9893"/>
      <c r="Z68" s="9893"/>
      <c r="AA68" s="9893"/>
      <c r="AB68" s="9893"/>
      <c r="AC68" s="9893"/>
      <c r="AD68" s="9893"/>
      <c r="AE68" s="9893"/>
      <c r="AF68" s="9893"/>
      <c r="AG68" s="9893"/>
      <c r="AH68" s="9893"/>
      <c r="AI68" s="9893"/>
      <c r="AJ68" s="9893"/>
      <c r="AK68" s="461"/>
      <c r="AL68" s="461"/>
      <c r="AM68" s="461"/>
      <c r="AN68" s="808"/>
      <c r="AO68" s="808"/>
      <c r="AP68" s="808"/>
      <c r="AQ68" s="2038"/>
      <c r="AR68" s="2038"/>
      <c r="AS68" s="2038"/>
      <c r="AT68" s="2038"/>
      <c r="AU68" s="2038"/>
      <c r="AV68" s="2038"/>
      <c r="AW68" s="2038"/>
      <c r="AX68" s="2038"/>
      <c r="AY68" s="2038"/>
      <c r="AZ68" s="2038"/>
      <c r="BA68" s="39"/>
      <c r="BB68" s="39"/>
    </row>
    <row r="69" spans="1:54" s="2690" customFormat="1" ht="16.5" customHeight="1">
      <c r="A69" s="461"/>
      <c r="B69" s="1133">
        <v>22</v>
      </c>
      <c r="C69" s="1122"/>
      <c r="D69" s="2190" t="s">
        <v>4759</v>
      </c>
      <c r="E69" s="1121"/>
      <c r="F69" s="1121"/>
      <c r="G69" s="1121"/>
      <c r="H69" s="1121"/>
      <c r="I69" s="1121"/>
      <c r="J69" s="1121"/>
      <c r="K69" s="1121"/>
      <c r="L69" s="1121"/>
      <c r="M69" s="1121"/>
      <c r="N69" s="1121"/>
      <c r="O69" s="1121"/>
      <c r="P69" s="1121"/>
      <c r="Q69" s="1121"/>
      <c r="R69" s="1121"/>
      <c r="S69" s="1121"/>
      <c r="T69" s="1121"/>
      <c r="U69" s="1121"/>
      <c r="V69" s="1121"/>
      <c r="W69" s="1121"/>
      <c r="X69" s="1121"/>
      <c r="Y69" s="1121"/>
      <c r="Z69" s="1121"/>
      <c r="AA69" s="1121"/>
      <c r="AB69" s="1121"/>
      <c r="AC69" s="1121"/>
      <c r="AD69" s="1121"/>
      <c r="AE69" s="1121"/>
      <c r="AF69" s="1121"/>
      <c r="AG69" s="1121"/>
      <c r="AH69" s="1121"/>
      <c r="AI69" s="1121"/>
      <c r="AJ69" s="1121"/>
      <c r="AK69" s="461"/>
      <c r="AL69" s="461"/>
      <c r="AM69" s="461"/>
      <c r="AN69" s="808"/>
      <c r="AO69" s="808"/>
      <c r="AP69" s="808"/>
      <c r="AQ69" s="2038"/>
      <c r="AR69" s="2038"/>
      <c r="AS69" s="2038"/>
      <c r="AT69" s="2038"/>
      <c r="AU69" s="2038"/>
      <c r="AV69" s="2038"/>
      <c r="AW69" s="2038"/>
      <c r="AX69" s="2038"/>
      <c r="AY69" s="2038"/>
      <c r="AZ69" s="2038"/>
      <c r="BA69" s="39"/>
      <c r="BB69" s="39"/>
    </row>
    <row r="70" spans="1:54" s="2690" customFormat="1" ht="16.5" customHeight="1">
      <c r="A70" s="461"/>
      <c r="B70" s="1127"/>
      <c r="C70" s="808"/>
      <c r="D70" s="1141" t="s">
        <v>1404</v>
      </c>
      <c r="E70" s="1259" t="s">
        <v>4760</v>
      </c>
      <c r="F70" s="1142"/>
      <c r="G70" s="1142"/>
      <c r="H70" s="1142"/>
      <c r="I70" s="1142"/>
      <c r="J70" s="1142"/>
      <c r="K70" s="1142"/>
      <c r="L70" s="1142"/>
      <c r="M70" s="1142"/>
      <c r="N70" s="1141"/>
      <c r="O70" s="1259"/>
      <c r="P70" s="1142"/>
      <c r="Q70" s="1142"/>
      <c r="R70" s="1259"/>
      <c r="S70" s="3506"/>
      <c r="T70" s="1144"/>
      <c r="U70" s="1141" t="s">
        <v>1363</v>
      </c>
      <c r="V70" s="1259" t="s">
        <v>4761</v>
      </c>
      <c r="W70" s="1259"/>
      <c r="X70" s="1259"/>
      <c r="Y70" s="1259"/>
      <c r="Z70" s="1259"/>
      <c r="AA70" s="1259"/>
      <c r="AB70" s="3507"/>
      <c r="AC70" s="1259"/>
      <c r="AD70" s="1259"/>
      <c r="AE70" s="1259"/>
      <c r="AF70" s="1142"/>
      <c r="AG70" s="1259"/>
      <c r="AH70" s="1259"/>
      <c r="AI70" s="1259"/>
      <c r="AJ70" s="1259"/>
      <c r="AK70" s="461"/>
      <c r="AL70" s="461"/>
      <c r="AM70" s="461"/>
      <c r="AN70" s="808"/>
      <c r="AO70" s="808"/>
      <c r="AP70" s="808"/>
      <c r="AQ70" s="2038"/>
      <c r="AR70" s="2038"/>
      <c r="AS70" s="2038"/>
      <c r="AT70" s="2038"/>
      <c r="AU70" s="2038"/>
      <c r="AV70" s="2038"/>
      <c r="AW70" s="2038"/>
      <c r="AX70" s="2038"/>
      <c r="AY70" s="2038"/>
      <c r="AZ70" s="2038"/>
      <c r="BA70" s="39"/>
      <c r="BB70" s="39"/>
    </row>
    <row r="71" spans="1:54" s="2690" customFormat="1" ht="18">
      <c r="A71" s="461"/>
      <c r="B71" s="1127"/>
      <c r="C71" s="39"/>
      <c r="D71" s="9894"/>
      <c r="E71" s="9894"/>
      <c r="F71" s="9894"/>
      <c r="G71" s="9894"/>
      <c r="H71" s="9894"/>
      <c r="I71" s="9894"/>
      <c r="J71" s="9894"/>
      <c r="K71" s="9894"/>
      <c r="L71" s="9894"/>
      <c r="M71" s="9894"/>
      <c r="N71" s="9894"/>
      <c r="O71" s="9894"/>
      <c r="P71" s="9894"/>
      <c r="Q71" s="9894"/>
      <c r="R71" s="9894"/>
      <c r="S71" s="9895"/>
      <c r="T71" s="9901"/>
      <c r="U71" s="9902"/>
      <c r="V71" s="9902"/>
      <c r="W71" s="9902"/>
      <c r="X71" s="9902"/>
      <c r="Y71" s="9902"/>
      <c r="Z71" s="9902"/>
      <c r="AA71" s="9902"/>
      <c r="AB71" s="9902"/>
      <c r="AC71" s="9902"/>
      <c r="AD71" s="9902"/>
      <c r="AE71" s="9902"/>
      <c r="AF71" s="9902"/>
      <c r="AG71" s="9902"/>
      <c r="AH71" s="9902"/>
      <c r="AI71" s="9902"/>
      <c r="AJ71" s="9902"/>
      <c r="AK71" s="461"/>
      <c r="AL71" s="461"/>
      <c r="AM71" s="461"/>
      <c r="AN71" s="808"/>
      <c r="AO71" s="808"/>
      <c r="AP71" s="808"/>
      <c r="AQ71" s="2038"/>
      <c r="AR71" s="2038"/>
      <c r="AS71" s="2038"/>
      <c r="AT71" s="2038"/>
      <c r="AU71" s="2038"/>
      <c r="AV71" s="2038"/>
      <c r="AW71" s="2038"/>
      <c r="AX71" s="2038"/>
      <c r="AY71" s="2038"/>
      <c r="AZ71" s="2038"/>
      <c r="BA71" s="39"/>
      <c r="BB71" s="39"/>
    </row>
    <row r="72" spans="1:54" s="2690" customFormat="1" ht="12.75" customHeight="1">
      <c r="A72" s="461"/>
      <c r="B72" s="808"/>
      <c r="C72" s="808"/>
      <c r="D72" s="3503" t="s">
        <v>4296</v>
      </c>
      <c r="E72" s="2112" t="s">
        <v>4762</v>
      </c>
      <c r="F72" s="808"/>
      <c r="G72" s="808"/>
      <c r="H72" s="808"/>
      <c r="I72" s="808"/>
      <c r="J72" s="808"/>
      <c r="K72" s="808"/>
      <c r="L72" s="808"/>
      <c r="M72" s="808"/>
      <c r="N72" s="808"/>
      <c r="O72" s="808"/>
      <c r="P72" s="808"/>
      <c r="Q72" s="808"/>
      <c r="R72" s="808"/>
      <c r="S72" s="1143"/>
      <c r="T72" s="808"/>
      <c r="U72" s="3503" t="s">
        <v>4296</v>
      </c>
      <c r="V72" s="2112" t="s">
        <v>4762</v>
      </c>
      <c r="W72" s="808"/>
      <c r="X72" s="808"/>
      <c r="Y72" s="808"/>
      <c r="Z72" s="808"/>
      <c r="AA72" s="808"/>
      <c r="AB72" s="808"/>
      <c r="AC72" s="808"/>
      <c r="AD72" s="808"/>
      <c r="AE72" s="808"/>
      <c r="AF72" s="808"/>
      <c r="AG72" s="808"/>
      <c r="AH72" s="808"/>
      <c r="AI72" s="808"/>
      <c r="AJ72" s="808"/>
      <c r="AK72" s="461"/>
      <c r="AL72" s="461"/>
      <c r="AM72" s="461"/>
      <c r="AN72" s="808"/>
      <c r="AO72" s="808"/>
      <c r="AP72" s="808"/>
      <c r="AQ72" s="2038"/>
      <c r="AR72" s="2038"/>
      <c r="AS72" s="2038"/>
      <c r="AT72" s="2038"/>
      <c r="AU72" s="2038"/>
      <c r="AV72" s="2038"/>
      <c r="AW72" s="2038"/>
      <c r="AX72" s="2038"/>
      <c r="AY72" s="2038"/>
      <c r="AZ72" s="2038"/>
      <c r="BA72" s="39"/>
      <c r="BB72" s="39"/>
    </row>
    <row r="73" spans="1:54" s="2690" customFormat="1" ht="14.25">
      <c r="A73" s="461"/>
      <c r="B73" s="808"/>
      <c r="C73" s="808"/>
      <c r="D73" s="808"/>
      <c r="E73" s="2112" t="s">
        <v>4763</v>
      </c>
      <c r="F73" s="808"/>
      <c r="G73" s="808"/>
      <c r="H73" s="808"/>
      <c r="I73" s="808"/>
      <c r="J73" s="808"/>
      <c r="K73" s="808"/>
      <c r="L73" s="808"/>
      <c r="M73" s="808"/>
      <c r="N73" s="808"/>
      <c r="O73" s="808"/>
      <c r="P73" s="808"/>
      <c r="Q73" s="808"/>
      <c r="R73" s="808"/>
      <c r="S73" s="1151"/>
      <c r="T73" s="808"/>
      <c r="U73" s="808"/>
      <c r="V73" s="2112" t="s">
        <v>4763</v>
      </c>
      <c r="W73" s="808"/>
      <c r="X73" s="808"/>
      <c r="Y73" s="808"/>
      <c r="Z73" s="808"/>
      <c r="AA73" s="808"/>
      <c r="AB73" s="808"/>
      <c r="AC73" s="808"/>
      <c r="AD73" s="808"/>
      <c r="AE73" s="808"/>
      <c r="AF73" s="808"/>
      <c r="AG73" s="808"/>
      <c r="AH73" s="808"/>
      <c r="AI73" s="808"/>
      <c r="AJ73" s="808"/>
      <c r="AK73" s="461"/>
      <c r="AL73" s="461"/>
      <c r="AM73" s="461"/>
      <c r="AN73" s="808"/>
      <c r="AO73" s="808"/>
      <c r="AP73" s="808"/>
      <c r="AQ73" s="2038"/>
      <c r="AR73" s="2038"/>
      <c r="AS73" s="2038"/>
      <c r="AT73" s="2038"/>
      <c r="AU73" s="2038"/>
      <c r="AV73" s="2038"/>
      <c r="AW73" s="2038"/>
      <c r="AX73" s="2038"/>
      <c r="AY73" s="2038"/>
      <c r="AZ73" s="2038"/>
      <c r="BA73" s="39"/>
      <c r="BB73" s="39"/>
    </row>
    <row r="74" spans="1:54" s="2690" customFormat="1" ht="14.25">
      <c r="A74" s="461"/>
      <c r="B74" s="808"/>
      <c r="C74" s="808"/>
      <c r="D74" s="808"/>
      <c r="E74" s="2112" t="s">
        <v>3264</v>
      </c>
      <c r="F74" s="808"/>
      <c r="G74" s="808"/>
      <c r="H74" s="808"/>
      <c r="I74" s="808"/>
      <c r="J74" s="808"/>
      <c r="K74" s="808"/>
      <c r="L74" s="808"/>
      <c r="M74" s="808"/>
      <c r="N74" s="808"/>
      <c r="O74" s="808"/>
      <c r="P74" s="808"/>
      <c r="Q74" s="808"/>
      <c r="R74" s="808"/>
      <c r="S74" s="1151"/>
      <c r="T74" s="808"/>
      <c r="U74" s="808"/>
      <c r="V74" s="2112" t="s">
        <v>3264</v>
      </c>
      <c r="W74" s="808"/>
      <c r="X74" s="808"/>
      <c r="Y74" s="808"/>
      <c r="Z74" s="808"/>
      <c r="AA74" s="808"/>
      <c r="AB74" s="808"/>
      <c r="AC74" s="808"/>
      <c r="AD74" s="808"/>
      <c r="AE74" s="808"/>
      <c r="AF74" s="808"/>
      <c r="AG74" s="808"/>
      <c r="AH74" s="808"/>
      <c r="AI74" s="808"/>
      <c r="AJ74" s="808"/>
      <c r="AK74" s="461"/>
      <c r="AL74" s="461"/>
      <c r="AM74" s="461"/>
      <c r="AN74" s="808"/>
      <c r="AO74" s="808"/>
      <c r="AP74" s="808"/>
      <c r="AQ74" s="2038"/>
      <c r="AR74" s="2038"/>
      <c r="AS74" s="2038"/>
      <c r="AT74" s="2038"/>
      <c r="AU74" s="2038"/>
      <c r="AV74" s="2038"/>
      <c r="AW74" s="2038"/>
      <c r="AX74" s="2038"/>
      <c r="AY74" s="2038"/>
      <c r="AZ74" s="2038"/>
      <c r="BA74" s="39"/>
      <c r="BB74" s="39"/>
    </row>
    <row r="75" spans="1:54" s="2690" customFormat="1" ht="15.75" customHeight="1">
      <c r="A75" s="461"/>
      <c r="B75" s="1127"/>
      <c r="C75" s="39"/>
      <c r="D75" s="6651"/>
      <c r="E75" s="6651"/>
      <c r="F75" s="6651"/>
      <c r="G75" s="6651"/>
      <c r="H75" s="6651"/>
      <c r="I75" s="6651"/>
      <c r="J75" s="6651"/>
      <c r="K75" s="6651"/>
      <c r="L75" s="6651"/>
      <c r="M75" s="6651"/>
      <c r="N75" s="6651"/>
      <c r="O75" s="6651"/>
      <c r="P75" s="6651"/>
      <c r="Q75" s="6651"/>
      <c r="R75" s="6651"/>
      <c r="S75" s="9904"/>
      <c r="T75" s="9903"/>
      <c r="U75" s="6472"/>
      <c r="V75" s="6472"/>
      <c r="W75" s="6472"/>
      <c r="X75" s="6472"/>
      <c r="Y75" s="6472"/>
      <c r="Z75" s="6472"/>
      <c r="AA75" s="6472"/>
      <c r="AB75" s="6472"/>
      <c r="AC75" s="6472"/>
      <c r="AD75" s="6472"/>
      <c r="AE75" s="6472"/>
      <c r="AF75" s="6472"/>
      <c r="AG75" s="6472"/>
      <c r="AH75" s="6472"/>
      <c r="AI75" s="6472"/>
      <c r="AJ75" s="6472"/>
      <c r="AK75" s="461"/>
      <c r="AL75" s="461"/>
      <c r="AM75" s="461"/>
      <c r="AN75" s="808"/>
      <c r="AO75" s="808"/>
      <c r="AP75" s="808"/>
      <c r="AQ75" s="2038"/>
      <c r="AR75" s="2038"/>
      <c r="AS75" s="2038"/>
      <c r="AT75" s="2038"/>
      <c r="AU75" s="2038"/>
      <c r="AV75" s="2038"/>
      <c r="AW75" s="2038"/>
      <c r="AX75" s="2038"/>
      <c r="AY75" s="2038"/>
      <c r="AZ75" s="2038"/>
      <c r="BA75" s="39"/>
      <c r="BB75" s="39"/>
    </row>
    <row r="76" spans="1:54" s="2690" customFormat="1" ht="16.5" customHeight="1">
      <c r="A76" s="461"/>
      <c r="B76" s="808"/>
      <c r="C76" s="808"/>
      <c r="D76" s="3503" t="s">
        <v>4298</v>
      </c>
      <c r="E76" s="9884" t="str">
        <f>"Did the student receive Form 1098-T"&amp;CHAR(10)&amp;"from this institution for "&amp;TaxYear&amp;"?"</f>
        <v>Did the student receive Form 1098-T
from this institution for 2023?</v>
      </c>
      <c r="F76" s="9884"/>
      <c r="G76" s="9884"/>
      <c r="H76" s="9884"/>
      <c r="I76" s="9884"/>
      <c r="J76" s="9884"/>
      <c r="K76" s="9884"/>
      <c r="L76" s="9884"/>
      <c r="M76" s="9884"/>
      <c r="N76" s="9884"/>
      <c r="O76" s="808"/>
      <c r="P76" s="808"/>
      <c r="Q76" s="808"/>
      <c r="R76" s="808"/>
      <c r="S76" s="808"/>
      <c r="T76" s="1149"/>
      <c r="U76" s="3503" t="s">
        <v>4298</v>
      </c>
      <c r="V76" s="9884" t="str">
        <f>"Did the student receive Form 1098-T"&amp;CHAR(10)&amp;"from this institution for "&amp;TaxYear&amp;"?"</f>
        <v>Did the student receive Form 1098-T
from this institution for 2023?</v>
      </c>
      <c r="W76" s="9884"/>
      <c r="X76" s="9884"/>
      <c r="Y76" s="9884"/>
      <c r="Z76" s="9884"/>
      <c r="AA76" s="9884"/>
      <c r="AB76" s="9884"/>
      <c r="AC76" s="9884"/>
      <c r="AD76" s="9884"/>
      <c r="AE76" s="9884"/>
      <c r="AF76" s="808"/>
      <c r="AG76" s="808"/>
      <c r="AH76" s="808"/>
      <c r="AI76" s="808"/>
      <c r="AJ76" s="808"/>
      <c r="AK76" s="461"/>
      <c r="AL76" s="461"/>
      <c r="AM76" s="461"/>
      <c r="AN76" s="808"/>
      <c r="AO76" s="808"/>
      <c r="AP76" s="808"/>
      <c r="AQ76" s="2038"/>
      <c r="AR76" s="2038"/>
      <c r="AS76" s="2038"/>
      <c r="AT76" s="2038"/>
      <c r="AU76" s="2038"/>
      <c r="AV76" s="2038"/>
      <c r="AW76" s="2038"/>
      <c r="AX76" s="2038"/>
      <c r="AY76" s="2038"/>
      <c r="AZ76" s="2038"/>
      <c r="BA76" s="39"/>
      <c r="BB76" s="39"/>
    </row>
    <row r="77" spans="1:54" s="2690" customFormat="1" ht="14.25" customHeight="1">
      <c r="A77" s="461"/>
      <c r="B77" s="808"/>
      <c r="C77" s="808"/>
      <c r="D77" s="808"/>
      <c r="E77" s="9885"/>
      <c r="F77" s="9885"/>
      <c r="G77" s="9885"/>
      <c r="H77" s="9885"/>
      <c r="I77" s="9885"/>
      <c r="J77" s="9885"/>
      <c r="K77" s="9885"/>
      <c r="L77" s="9885"/>
      <c r="M77" s="9885"/>
      <c r="N77" s="9885"/>
      <c r="O77" s="3509"/>
      <c r="P77" s="899" t="s">
        <v>1448</v>
      </c>
      <c r="Q77" s="808"/>
      <c r="R77" s="3509"/>
      <c r="S77" s="899" t="s">
        <v>820</v>
      </c>
      <c r="T77" s="2950"/>
      <c r="U77" s="808"/>
      <c r="V77" s="9885"/>
      <c r="W77" s="9885"/>
      <c r="X77" s="9885"/>
      <c r="Y77" s="9885"/>
      <c r="Z77" s="9885"/>
      <c r="AA77" s="9885"/>
      <c r="AB77" s="9885"/>
      <c r="AC77" s="9885"/>
      <c r="AD77" s="9885"/>
      <c r="AE77" s="9885"/>
      <c r="AF77" s="3509"/>
      <c r="AG77" s="899" t="s">
        <v>1448</v>
      </c>
      <c r="AH77" s="808"/>
      <c r="AI77" s="3509"/>
      <c r="AJ77" s="899" t="s">
        <v>820</v>
      </c>
      <c r="AK77" s="461"/>
      <c r="AL77" s="461"/>
      <c r="AM77" s="461"/>
      <c r="AN77" s="808"/>
      <c r="AO77" s="808"/>
      <c r="AP77" s="808"/>
      <c r="AQ77" s="2038"/>
      <c r="AR77" s="2038"/>
      <c r="AS77" s="2038"/>
      <c r="AT77" s="2038"/>
      <c r="AU77" s="2038"/>
      <c r="AV77" s="2038"/>
      <c r="AW77" s="2038"/>
      <c r="AX77" s="2038"/>
      <c r="AY77" s="2038"/>
      <c r="AZ77" s="2038"/>
      <c r="BA77" s="39"/>
      <c r="BB77" s="39"/>
    </row>
    <row r="78" spans="1:54" s="2690" customFormat="1" ht="7.5" customHeight="1">
      <c r="A78" s="461"/>
      <c r="B78" s="1121"/>
      <c r="C78" s="1121"/>
      <c r="D78" s="1121"/>
      <c r="E78" s="9886"/>
      <c r="F78" s="9886"/>
      <c r="G78" s="9886"/>
      <c r="H78" s="9886"/>
      <c r="I78" s="9886"/>
      <c r="J78" s="9886"/>
      <c r="K78" s="9886"/>
      <c r="L78" s="9886"/>
      <c r="M78" s="9886"/>
      <c r="N78" s="9886"/>
      <c r="O78" s="1121"/>
      <c r="P78" s="1121"/>
      <c r="Q78" s="1121"/>
      <c r="R78" s="1121"/>
      <c r="S78" s="1121"/>
      <c r="T78" s="1154"/>
      <c r="U78" s="1121"/>
      <c r="V78" s="9886"/>
      <c r="W78" s="9886"/>
      <c r="X78" s="9886"/>
      <c r="Y78" s="9886"/>
      <c r="Z78" s="9886"/>
      <c r="AA78" s="9886"/>
      <c r="AB78" s="9886"/>
      <c r="AC78" s="9886"/>
      <c r="AD78" s="9886"/>
      <c r="AE78" s="9886"/>
      <c r="AF78" s="1121"/>
      <c r="AG78" s="1121"/>
      <c r="AH78" s="1121"/>
      <c r="AI78" s="1121"/>
      <c r="AJ78" s="1121"/>
      <c r="AK78" s="461"/>
      <c r="AL78" s="461"/>
      <c r="AM78" s="461"/>
      <c r="AN78" s="808"/>
      <c r="AO78" s="808"/>
      <c r="AP78" s="808"/>
      <c r="AQ78" s="2042"/>
      <c r="AR78" s="2042"/>
      <c r="AS78" s="2042"/>
      <c r="AT78" s="2042"/>
      <c r="AU78" s="2042"/>
      <c r="AV78" s="2042"/>
      <c r="AW78" s="2042"/>
      <c r="AX78" s="2042"/>
      <c r="AY78" s="2042"/>
      <c r="AZ78" s="2042"/>
      <c r="BA78" s="39"/>
      <c r="BB78" s="39"/>
    </row>
    <row r="79" spans="1:54" s="2690" customFormat="1" ht="16.5" customHeight="1">
      <c r="A79" s="461"/>
      <c r="B79" s="808"/>
      <c r="C79" s="808"/>
      <c r="D79" s="3511" t="s">
        <v>4764</v>
      </c>
      <c r="E79" s="9884" t="str">
        <f>"Did the student receive Form 1098-T"&amp;CHAR(10)&amp;"from this institution for "&amp;TaxYear-1&amp;" with box"&amp;CHAR(10)&amp;"7 checked?"</f>
        <v>Did the student receive Form 1098-T
from this institution for 2022 with box
7 checked?</v>
      </c>
      <c r="F79" s="9884"/>
      <c r="G79" s="9884"/>
      <c r="H79" s="9884"/>
      <c r="I79" s="9884"/>
      <c r="J79" s="9884"/>
      <c r="K79" s="9884"/>
      <c r="L79" s="9884"/>
      <c r="M79" s="9884"/>
      <c r="N79" s="9884"/>
      <c r="O79" s="808"/>
      <c r="P79" s="808"/>
      <c r="Q79" s="808"/>
      <c r="R79" s="808"/>
      <c r="S79" s="808"/>
      <c r="T79" s="1150"/>
      <c r="U79" s="3511" t="s">
        <v>4764</v>
      </c>
      <c r="V79" s="9884" t="str">
        <f>"Did the student receive Form 1098-T"&amp;CHAR(10)&amp;"from this institution for "&amp;TaxYear-1&amp;" with box"&amp;CHAR(10)&amp;"7 checked?"</f>
        <v>Did the student receive Form 1098-T
from this institution for 2022 with box
7 checked?</v>
      </c>
      <c r="W79" s="9884"/>
      <c r="X79" s="9884"/>
      <c r="Y79" s="9884"/>
      <c r="Z79" s="9884"/>
      <c r="AA79" s="9884"/>
      <c r="AB79" s="9884"/>
      <c r="AC79" s="9884"/>
      <c r="AD79" s="9884"/>
      <c r="AE79" s="9884"/>
      <c r="AF79" s="808"/>
      <c r="AG79" s="808"/>
      <c r="AH79" s="808"/>
      <c r="AI79" s="808"/>
      <c r="AJ79" s="808"/>
      <c r="AK79" s="461"/>
      <c r="AL79" s="461"/>
      <c r="AM79" s="461"/>
      <c r="AN79" s="808"/>
      <c r="AO79" s="808"/>
      <c r="AP79" s="808"/>
      <c r="AQ79" s="2038"/>
      <c r="AR79" s="2038"/>
      <c r="AS79" s="2038"/>
      <c r="AT79" s="2038"/>
      <c r="AU79" s="2038"/>
      <c r="AV79" s="2038"/>
      <c r="AW79" s="2038"/>
      <c r="AX79" s="2038"/>
      <c r="AY79" s="2038"/>
      <c r="AZ79" s="2038"/>
      <c r="BA79" s="39"/>
      <c r="BB79" s="39"/>
    </row>
    <row r="80" spans="1:54" s="2690" customFormat="1" ht="14.25" customHeight="1">
      <c r="A80" s="461"/>
      <c r="B80" s="808"/>
      <c r="C80" s="808"/>
      <c r="D80" s="808"/>
      <c r="E80" s="9885"/>
      <c r="F80" s="9885"/>
      <c r="G80" s="9885"/>
      <c r="H80" s="9885"/>
      <c r="I80" s="9885"/>
      <c r="J80" s="9885"/>
      <c r="K80" s="9885"/>
      <c r="L80" s="9885"/>
      <c r="M80" s="9885"/>
      <c r="N80" s="9885"/>
      <c r="O80" s="3509"/>
      <c r="P80" s="899" t="s">
        <v>1448</v>
      </c>
      <c r="Q80" s="808"/>
      <c r="R80" s="3509"/>
      <c r="S80" s="899" t="s">
        <v>820</v>
      </c>
      <c r="T80" s="2950"/>
      <c r="U80" s="808"/>
      <c r="V80" s="9885"/>
      <c r="W80" s="9885"/>
      <c r="X80" s="9885"/>
      <c r="Y80" s="9885"/>
      <c r="Z80" s="9885"/>
      <c r="AA80" s="9885"/>
      <c r="AB80" s="9885"/>
      <c r="AC80" s="9885"/>
      <c r="AD80" s="9885"/>
      <c r="AE80" s="9885"/>
      <c r="AF80" s="3509"/>
      <c r="AG80" s="899" t="s">
        <v>1448</v>
      </c>
      <c r="AH80" s="808"/>
      <c r="AI80" s="3509"/>
      <c r="AJ80" s="899" t="s">
        <v>820</v>
      </c>
      <c r="AK80" s="461"/>
      <c r="AL80" s="461"/>
      <c r="AM80" s="461"/>
      <c r="AN80" s="808"/>
      <c r="AO80" s="808"/>
      <c r="AP80" s="808"/>
      <c r="AQ80" s="2038"/>
      <c r="AR80" s="2038"/>
      <c r="AS80" s="2038"/>
      <c r="AT80" s="2038"/>
      <c r="AU80" s="2038"/>
      <c r="AV80" s="2038"/>
      <c r="AW80" s="2038"/>
      <c r="AX80" s="2038"/>
      <c r="AY80" s="2038"/>
      <c r="AZ80" s="2038"/>
      <c r="BA80" s="39"/>
      <c r="BB80" s="39"/>
    </row>
    <row r="81" spans="1:54" s="2690" customFormat="1" ht="13.5" customHeight="1">
      <c r="A81" s="461"/>
      <c r="B81" s="1121"/>
      <c r="C81" s="1121"/>
      <c r="D81" s="1121"/>
      <c r="E81" s="9886"/>
      <c r="F81" s="9886"/>
      <c r="G81" s="9886"/>
      <c r="H81" s="9886"/>
      <c r="I81" s="9886"/>
      <c r="J81" s="9886"/>
      <c r="K81" s="9886"/>
      <c r="L81" s="9886"/>
      <c r="M81" s="9886"/>
      <c r="N81" s="9886"/>
      <c r="O81" s="1121"/>
      <c r="P81" s="1121"/>
      <c r="Q81" s="1121"/>
      <c r="R81" s="1121"/>
      <c r="S81" s="1121"/>
      <c r="T81" s="1154"/>
      <c r="U81" s="1121"/>
      <c r="V81" s="9886"/>
      <c r="W81" s="9886"/>
      <c r="X81" s="9886"/>
      <c r="Y81" s="9886"/>
      <c r="Z81" s="9886"/>
      <c r="AA81" s="9886"/>
      <c r="AB81" s="9886"/>
      <c r="AC81" s="9886"/>
      <c r="AD81" s="9886"/>
      <c r="AE81" s="9886"/>
      <c r="AF81" s="1121"/>
      <c r="AG81" s="1121"/>
      <c r="AH81" s="1121"/>
      <c r="AI81" s="1121"/>
      <c r="AJ81" s="1121"/>
      <c r="AK81" s="461"/>
      <c r="AL81" s="461"/>
      <c r="AM81" s="461"/>
      <c r="AN81" s="808"/>
      <c r="AO81" s="808"/>
      <c r="AP81" s="808"/>
      <c r="AQ81" s="2038"/>
      <c r="AR81" s="2038"/>
      <c r="AS81" s="2038"/>
      <c r="AT81" s="2038"/>
      <c r="AU81" s="2038"/>
      <c r="AV81" s="2038"/>
      <c r="AW81" s="2038"/>
      <c r="AX81" s="2038"/>
      <c r="AY81" s="2038"/>
      <c r="AZ81" s="2038"/>
      <c r="BA81" s="39"/>
      <c r="BB81" s="39"/>
    </row>
    <row r="82" spans="1:54" s="2690" customFormat="1" ht="21" customHeight="1" thickBot="1">
      <c r="A82" s="461"/>
      <c r="B82" s="808"/>
      <c r="C82" s="808"/>
      <c r="D82" s="3511" t="s">
        <v>624</v>
      </c>
      <c r="E82" s="9884" t="s">
        <v>4765</v>
      </c>
      <c r="F82" s="9884"/>
      <c r="G82" s="9884"/>
      <c r="H82" s="9884"/>
      <c r="I82" s="9884"/>
      <c r="J82" s="9884"/>
      <c r="K82" s="9884"/>
      <c r="L82" s="9884"/>
      <c r="M82" s="9884"/>
      <c r="N82" s="9884"/>
      <c r="O82" s="9884"/>
      <c r="P82" s="9884"/>
      <c r="Q82" s="9884"/>
      <c r="R82" s="9884"/>
      <c r="S82" s="9887"/>
      <c r="T82" s="1150"/>
      <c r="U82" s="3511" t="s">
        <v>624</v>
      </c>
      <c r="V82" s="9884" t="s">
        <v>4765</v>
      </c>
      <c r="W82" s="9884"/>
      <c r="X82" s="9884"/>
      <c r="Y82" s="9884"/>
      <c r="Z82" s="9884"/>
      <c r="AA82" s="9884"/>
      <c r="AB82" s="9884"/>
      <c r="AC82" s="9884"/>
      <c r="AD82" s="9884"/>
      <c r="AE82" s="9884"/>
      <c r="AF82" s="9884"/>
      <c r="AG82" s="9884"/>
      <c r="AH82" s="9884"/>
      <c r="AI82" s="9884"/>
      <c r="AJ82" s="9884"/>
      <c r="AK82" s="461"/>
      <c r="AL82" s="461"/>
      <c r="AM82" s="461"/>
      <c r="AN82" s="808"/>
      <c r="AO82" s="808"/>
      <c r="AP82" s="808"/>
      <c r="AQ82" s="2038"/>
      <c r="AR82" s="2038"/>
      <c r="AS82" s="2038"/>
      <c r="AT82" s="2038"/>
      <c r="AU82" s="2038"/>
      <c r="AV82" s="2038"/>
      <c r="AW82" s="2038"/>
      <c r="AX82" s="2038"/>
      <c r="AY82" s="2038"/>
      <c r="AZ82" s="2038"/>
      <c r="BA82" s="39"/>
      <c r="BB82" s="39"/>
    </row>
    <row r="83" spans="1:54" s="2690" customFormat="1" ht="14.25" customHeight="1">
      <c r="A83" s="461"/>
      <c r="B83" s="808"/>
      <c r="C83" s="808"/>
      <c r="D83" s="808"/>
      <c r="E83" s="9885"/>
      <c r="F83" s="9885"/>
      <c r="G83" s="9885"/>
      <c r="H83" s="9885"/>
      <c r="I83" s="9885"/>
      <c r="J83" s="9885"/>
      <c r="K83" s="9885"/>
      <c r="L83" s="9885"/>
      <c r="M83" s="9885"/>
      <c r="N83" s="9885"/>
      <c r="O83" s="9885"/>
      <c r="P83" s="9885"/>
      <c r="Q83" s="9885"/>
      <c r="R83" s="9885"/>
      <c r="S83" s="9888"/>
      <c r="T83" s="2950"/>
      <c r="U83" s="808"/>
      <c r="V83" s="9885"/>
      <c r="W83" s="9885"/>
      <c r="X83" s="9885"/>
      <c r="Y83" s="9885"/>
      <c r="Z83" s="9885"/>
      <c r="AA83" s="9885"/>
      <c r="AB83" s="9885"/>
      <c r="AC83" s="9885"/>
      <c r="AD83" s="9885"/>
      <c r="AE83" s="9885"/>
      <c r="AF83" s="9885"/>
      <c r="AG83" s="9885"/>
      <c r="AH83" s="9885"/>
      <c r="AI83" s="9885"/>
      <c r="AJ83" s="9885"/>
      <c r="AK83" s="461"/>
      <c r="AL83" s="461"/>
      <c r="AM83" s="461"/>
      <c r="AN83" s="808"/>
      <c r="AO83" s="808"/>
      <c r="AP83" s="808"/>
      <c r="AQ83" s="3561" t="s">
        <v>4766</v>
      </c>
      <c r="AR83" s="3562"/>
      <c r="AS83" s="3562"/>
      <c r="AT83" s="3562"/>
      <c r="AU83" s="3562"/>
      <c r="AV83" s="3562"/>
      <c r="AW83" s="3562"/>
      <c r="AX83" s="3562"/>
      <c r="AY83" s="3562"/>
      <c r="AZ83" s="3563"/>
      <c r="BA83" s="39"/>
      <c r="BB83" s="39"/>
    </row>
    <row r="84" spans="1:54" s="2690" customFormat="1" ht="26.25" customHeight="1">
      <c r="A84" s="461"/>
      <c r="B84" s="808"/>
      <c r="C84" s="808"/>
      <c r="D84" s="808"/>
      <c r="E84" s="9885"/>
      <c r="F84" s="9885"/>
      <c r="G84" s="9885"/>
      <c r="H84" s="9885"/>
      <c r="I84" s="9885"/>
      <c r="J84" s="9885"/>
      <c r="K84" s="9885"/>
      <c r="L84" s="9885"/>
      <c r="M84" s="9885"/>
      <c r="N84" s="9885"/>
      <c r="O84" s="9885"/>
      <c r="P84" s="9885"/>
      <c r="Q84" s="9885"/>
      <c r="R84" s="9885"/>
      <c r="S84" s="9888"/>
      <c r="T84" s="1150"/>
      <c r="U84" s="808"/>
      <c r="V84" s="9885"/>
      <c r="W84" s="9885"/>
      <c r="X84" s="9885"/>
      <c r="Y84" s="9885"/>
      <c r="Z84" s="9885"/>
      <c r="AA84" s="9885"/>
      <c r="AB84" s="9885"/>
      <c r="AC84" s="9885"/>
      <c r="AD84" s="9885"/>
      <c r="AE84" s="9885"/>
      <c r="AF84" s="9885"/>
      <c r="AG84" s="9885"/>
      <c r="AH84" s="9885"/>
      <c r="AI84" s="9885"/>
      <c r="AJ84" s="9885"/>
      <c r="AK84" s="461"/>
      <c r="AL84" s="461"/>
      <c r="AM84" s="461"/>
      <c r="AN84" s="808"/>
      <c r="AO84" s="808"/>
      <c r="AP84" s="808"/>
      <c r="AQ84" s="3564" t="s">
        <v>4767</v>
      </c>
      <c r="AR84" s="3565"/>
      <c r="AS84" s="3565"/>
      <c r="AT84" s="3565"/>
      <c r="AU84" s="3565"/>
      <c r="AV84" s="3565"/>
      <c r="AW84" s="3565"/>
      <c r="AX84" s="3565"/>
      <c r="AY84" s="3565"/>
      <c r="AZ84" s="3566"/>
      <c r="BA84" s="39"/>
      <c r="BB84" s="39"/>
    </row>
    <row r="85" spans="1:54" s="2690" customFormat="1" ht="17.25" customHeight="1">
      <c r="A85" s="461"/>
      <c r="B85" s="808"/>
      <c r="C85" s="808"/>
      <c r="D85" s="808"/>
      <c r="E85" s="3509"/>
      <c r="F85" s="3509"/>
      <c r="G85" s="3513" t="s">
        <v>4768</v>
      </c>
      <c r="H85" s="3509"/>
      <c r="I85" s="3509"/>
      <c r="J85" s="3509"/>
      <c r="K85" s="3509"/>
      <c r="L85" s="3509"/>
      <c r="M85" s="3509"/>
      <c r="N85" s="3509"/>
      <c r="O85" s="3510"/>
      <c r="P85" s="3510"/>
      <c r="Q85" s="3510"/>
      <c r="R85" s="3510"/>
      <c r="S85" s="3512"/>
      <c r="T85" s="1150"/>
      <c r="U85" s="808"/>
      <c r="V85" s="3509"/>
      <c r="W85" s="3509"/>
      <c r="X85" s="3513" t="s">
        <v>4768</v>
      </c>
      <c r="Y85" s="3509"/>
      <c r="Z85" s="3509"/>
      <c r="AA85" s="3509"/>
      <c r="AB85" s="3509"/>
      <c r="AC85" s="3509"/>
      <c r="AD85" s="3509"/>
      <c r="AE85" s="3509"/>
      <c r="AF85" s="808"/>
      <c r="AG85" s="808"/>
      <c r="AH85" s="808"/>
      <c r="AI85" s="808"/>
      <c r="AJ85" s="808"/>
      <c r="AK85" s="461"/>
      <c r="AL85" s="461"/>
      <c r="AM85" s="461"/>
      <c r="AN85" s="808"/>
      <c r="AO85" s="808"/>
      <c r="AP85" s="808"/>
      <c r="AQ85" s="3567" t="str">
        <f>"(see below) in "&amp;TaxYear&amp;" for which you paid (or are treated as having paid) qualified education expenses in "&amp;TaxYear&amp;"."</f>
        <v>(see below) in 2023 for which you paid (or are treated as having paid) qualified education expenses in 2023.</v>
      </c>
      <c r="AR85" s="3568"/>
      <c r="AS85" s="3568"/>
      <c r="AT85" s="3568"/>
      <c r="AU85" s="3568"/>
      <c r="AV85" s="3568"/>
      <c r="AW85" s="3568"/>
      <c r="AX85" s="3568"/>
      <c r="AY85" s="3568"/>
      <c r="AZ85" s="3569"/>
      <c r="BA85" s="39"/>
      <c r="BB85" s="39"/>
    </row>
    <row r="86" spans="1:54" s="2690" customFormat="1" ht="14.25">
      <c r="A86" s="461"/>
      <c r="B86" s="1121"/>
      <c r="C86" s="1121"/>
      <c r="D86" s="1121"/>
      <c r="E86" s="2190"/>
      <c r="F86" s="1121"/>
      <c r="G86" s="1121"/>
      <c r="H86" s="1121"/>
      <c r="I86" s="1121"/>
      <c r="J86" s="1121"/>
      <c r="K86" s="1121"/>
      <c r="L86" s="1121"/>
      <c r="M86" s="1121"/>
      <c r="N86" s="1121"/>
      <c r="O86" s="1121"/>
      <c r="P86" s="1121"/>
      <c r="Q86" s="1121"/>
      <c r="R86" s="1121"/>
      <c r="S86" s="2391"/>
      <c r="T86" s="1154"/>
      <c r="U86" s="1121"/>
      <c r="V86" s="1121"/>
      <c r="W86" s="1121"/>
      <c r="X86" s="1121"/>
      <c r="Y86" s="1121"/>
      <c r="Z86" s="1121"/>
      <c r="AA86" s="1121"/>
      <c r="AB86" s="1121"/>
      <c r="AC86" s="1121"/>
      <c r="AD86" s="1121"/>
      <c r="AE86" s="1121"/>
      <c r="AF86" s="1121"/>
      <c r="AG86" s="1121"/>
      <c r="AH86" s="1121"/>
      <c r="AI86" s="1121"/>
      <c r="AJ86" s="1121"/>
      <c r="AK86" s="461"/>
      <c r="AL86" s="461"/>
      <c r="AM86" s="461"/>
      <c r="AN86" s="808"/>
      <c r="AO86" s="808"/>
      <c r="AP86" s="808"/>
      <c r="AQ86" s="3570"/>
      <c r="AR86" s="2923"/>
      <c r="AS86" s="2923"/>
      <c r="AT86" s="2923"/>
      <c r="AU86" s="2923"/>
      <c r="AV86" s="2923"/>
      <c r="AW86" s="2923"/>
      <c r="AX86" s="2923"/>
      <c r="AY86" s="2923"/>
      <c r="AZ86" s="3571"/>
      <c r="BA86" s="39"/>
      <c r="BB86" s="39"/>
    </row>
    <row r="87" spans="1:54" s="2690" customFormat="1" ht="15">
      <c r="A87" s="461"/>
      <c r="B87" s="1127">
        <v>23</v>
      </c>
      <c r="C87" s="808"/>
      <c r="D87" s="808"/>
      <c r="E87" s="2112" t="s">
        <v>4769</v>
      </c>
      <c r="F87" s="808"/>
      <c r="G87" s="808"/>
      <c r="H87" s="808"/>
      <c r="I87" s="808"/>
      <c r="J87" s="808"/>
      <c r="K87" s="808"/>
      <c r="L87" s="808"/>
      <c r="M87" s="808"/>
      <c r="N87" s="808"/>
      <c r="O87" s="808"/>
      <c r="P87" s="808"/>
      <c r="Q87" s="808"/>
      <c r="R87" s="808"/>
      <c r="S87" s="808"/>
      <c r="T87" s="808"/>
      <c r="U87" s="808"/>
      <c r="V87" s="808"/>
      <c r="W87" s="808"/>
      <c r="X87" s="808"/>
      <c r="Y87" s="808"/>
      <c r="Z87" s="808"/>
      <c r="AA87" s="808"/>
      <c r="AB87" s="808"/>
      <c r="AC87" s="808"/>
      <c r="AD87" s="808"/>
      <c r="AE87" s="808"/>
      <c r="AF87" s="808"/>
      <c r="AG87" s="808"/>
      <c r="AH87" s="808"/>
      <c r="AI87" s="808"/>
      <c r="AJ87" s="808"/>
      <c r="AK87" s="461"/>
      <c r="AL87" s="461"/>
      <c r="AM87" s="461"/>
      <c r="AN87" s="808"/>
      <c r="AO87" s="808"/>
      <c r="AP87" s="808"/>
      <c r="AQ87" s="3572" t="s">
        <v>4770</v>
      </c>
      <c r="AR87" s="2923"/>
      <c r="AS87" s="2923"/>
      <c r="AT87" s="2923"/>
      <c r="AU87" s="2923"/>
      <c r="AV87" s="2923"/>
      <c r="AW87" s="2923"/>
      <c r="AX87" s="2923"/>
      <c r="AY87" s="2923"/>
      <c r="AZ87" s="3571"/>
      <c r="BA87" s="39"/>
      <c r="BB87" s="39"/>
    </row>
    <row r="88" spans="1:54" s="2690" customFormat="1" ht="15">
      <c r="A88" s="461"/>
      <c r="B88" s="808"/>
      <c r="C88" s="808"/>
      <c r="D88" s="808"/>
      <c r="E88" s="2645" t="s">
        <v>4771</v>
      </c>
      <c r="F88" s="808"/>
      <c r="G88" s="808"/>
      <c r="H88" s="808"/>
      <c r="I88" s="808"/>
      <c r="J88" s="808"/>
      <c r="K88" s="808"/>
      <c r="L88" s="808"/>
      <c r="M88" s="808"/>
      <c r="N88" s="808"/>
      <c r="O88" s="808"/>
      <c r="P88" s="808"/>
      <c r="Q88" s="808"/>
      <c r="R88" s="808"/>
      <c r="S88" s="808"/>
      <c r="T88" s="3509"/>
      <c r="U88" s="892" t="s">
        <v>4772</v>
      </c>
      <c r="V88" s="808"/>
      <c r="W88" s="808"/>
      <c r="X88" s="808"/>
      <c r="Y88" s="808"/>
      <c r="Z88" s="808"/>
      <c r="AA88" s="808"/>
      <c r="AB88" s="808"/>
      <c r="AC88" s="3527" t="str">
        <f>IF(T88&lt;&gt;"","","X")</f>
        <v>X</v>
      </c>
      <c r="AD88" s="892" t="s">
        <v>4773</v>
      </c>
      <c r="AE88" s="808"/>
      <c r="AF88" s="808"/>
      <c r="AG88" s="808"/>
      <c r="AH88" s="808"/>
      <c r="AI88" s="808"/>
      <c r="AJ88" s="808"/>
      <c r="AK88" s="461"/>
      <c r="AL88" s="461"/>
      <c r="AM88" s="461"/>
      <c r="AN88" s="808"/>
      <c r="AO88" s="808"/>
      <c r="AP88" s="808"/>
      <c r="AQ88" s="3573" t="str">
        <f>TaxYear&amp;" for the academic period"</f>
        <v>2023 for the academic period</v>
      </c>
      <c r="AR88" s="3553"/>
      <c r="AS88" s="3553"/>
      <c r="AT88" s="3553"/>
      <c r="AU88" s="3553"/>
      <c r="AV88" s="3553"/>
      <c r="AW88" s="3556"/>
      <c r="AX88" s="3556" t="s">
        <v>167</v>
      </c>
      <c r="AY88" s="1401"/>
      <c r="AZ88" s="3554"/>
      <c r="BA88" s="39"/>
      <c r="BB88" s="39"/>
    </row>
    <row r="89" spans="1:54" s="3526" customFormat="1" ht="16.5" customHeight="1">
      <c r="A89" s="4064"/>
      <c r="B89" s="893"/>
      <c r="C89" s="893"/>
      <c r="D89" s="893"/>
      <c r="E89" s="2952"/>
      <c r="F89" s="893"/>
      <c r="G89" s="893"/>
      <c r="H89" s="893"/>
      <c r="I89" s="893"/>
      <c r="J89" s="893"/>
      <c r="K89" s="893"/>
      <c r="L89" s="893"/>
      <c r="M89" s="893"/>
      <c r="N89" s="893"/>
      <c r="O89" s="893"/>
      <c r="P89" s="893"/>
      <c r="Q89" s="893"/>
      <c r="R89" s="893"/>
      <c r="S89" s="893"/>
      <c r="T89" s="893"/>
      <c r="U89" s="893" t="s">
        <v>4774</v>
      </c>
      <c r="V89" s="893"/>
      <c r="W89" s="893"/>
      <c r="X89" s="893"/>
      <c r="Y89" s="893"/>
      <c r="Z89" s="893"/>
      <c r="AA89" s="893"/>
      <c r="AB89" s="893"/>
      <c r="AC89" s="893"/>
      <c r="AD89" s="893"/>
      <c r="AE89" s="893"/>
      <c r="AF89" s="893"/>
      <c r="AG89" s="893"/>
      <c r="AH89" s="893"/>
      <c r="AI89" s="893"/>
      <c r="AJ89" s="893"/>
      <c r="AK89" s="4064"/>
      <c r="AL89" s="4064"/>
      <c r="AM89" s="4064"/>
      <c r="AN89" s="893"/>
      <c r="AO89" s="893"/>
      <c r="AP89" s="893"/>
      <c r="AQ89" s="3574"/>
      <c r="AR89" s="3553"/>
      <c r="AS89" s="3553"/>
      <c r="AT89" s="3553"/>
      <c r="AU89" s="3553"/>
      <c r="AV89" s="3553"/>
      <c r="AW89" s="3556"/>
      <c r="AX89" s="3556"/>
      <c r="AY89" s="3556"/>
      <c r="AZ89" s="3554"/>
      <c r="BA89" s="649"/>
      <c r="BB89" s="649"/>
    </row>
    <row r="90" spans="1:54" s="2690" customFormat="1" ht="15">
      <c r="A90" s="461"/>
      <c r="B90" s="3514">
        <v>24</v>
      </c>
      <c r="C90" s="1142"/>
      <c r="D90" s="1142"/>
      <c r="E90" s="2440" t="s">
        <v>4775</v>
      </c>
      <c r="F90" s="1142"/>
      <c r="G90" s="1142"/>
      <c r="H90" s="1142"/>
      <c r="I90" s="1142"/>
      <c r="J90" s="1142"/>
      <c r="K90" s="1142"/>
      <c r="L90" s="1142"/>
      <c r="M90" s="1142"/>
      <c r="N90" s="1142"/>
      <c r="O90" s="1142"/>
      <c r="P90" s="1142"/>
      <c r="Q90" s="1142"/>
      <c r="R90" s="1142"/>
      <c r="S90" s="1142"/>
      <c r="T90" s="1142"/>
      <c r="U90" s="1142"/>
      <c r="V90" s="1142"/>
      <c r="W90" s="1142"/>
      <c r="X90" s="1142"/>
      <c r="Y90" s="1142"/>
      <c r="Z90" s="1142"/>
      <c r="AA90" s="1142"/>
      <c r="AB90" s="1142"/>
      <c r="AC90" s="1142"/>
      <c r="AD90" s="1142"/>
      <c r="AE90" s="1142"/>
      <c r="AF90" s="1142"/>
      <c r="AG90" s="1142"/>
      <c r="AH90" s="1142"/>
      <c r="AI90" s="1142"/>
      <c r="AJ90" s="1142"/>
      <c r="AK90" s="461"/>
      <c r="AL90" s="461"/>
      <c r="AM90" s="461"/>
      <c r="AN90" s="808"/>
      <c r="AO90" s="808"/>
      <c r="AP90" s="808"/>
      <c r="AQ90" s="3572" t="s">
        <v>4776</v>
      </c>
      <c r="AR90" s="3565"/>
      <c r="AS90" s="3565"/>
      <c r="AT90" s="3565"/>
      <c r="AU90" s="3565"/>
      <c r="AV90" s="3565"/>
      <c r="AW90" s="3565"/>
      <c r="AX90" s="3565"/>
      <c r="AY90" s="2923"/>
      <c r="AZ90" s="3566"/>
      <c r="BA90" s="39"/>
      <c r="BB90" s="39"/>
    </row>
    <row r="91" spans="1:54" s="2690" customFormat="1" ht="15">
      <c r="A91" s="461"/>
      <c r="B91" s="1127"/>
      <c r="C91" s="808"/>
      <c r="D91" s="808"/>
      <c r="E91" s="2112" t="s">
        <v>4777</v>
      </c>
      <c r="F91" s="808"/>
      <c r="G91" s="808"/>
      <c r="H91" s="808"/>
      <c r="I91" s="808"/>
      <c r="J91" s="808"/>
      <c r="K91" s="808"/>
      <c r="L91" s="808"/>
      <c r="M91" s="808"/>
      <c r="N91" s="808"/>
      <c r="O91" s="808"/>
      <c r="P91" s="808"/>
      <c r="Q91" s="808"/>
      <c r="R91" s="808"/>
      <c r="S91" s="808"/>
      <c r="T91" s="808"/>
      <c r="U91" s="808"/>
      <c r="V91" s="808"/>
      <c r="W91" s="808"/>
      <c r="X91" s="808"/>
      <c r="Y91" s="808"/>
      <c r="Z91" s="808"/>
      <c r="AA91" s="808"/>
      <c r="AB91" s="808"/>
      <c r="AC91" s="808"/>
      <c r="AD91" s="808"/>
      <c r="AE91" s="808"/>
      <c r="AF91" s="808"/>
      <c r="AG91" s="808"/>
      <c r="AH91" s="808"/>
      <c r="AI91" s="808"/>
      <c r="AJ91" s="808"/>
      <c r="AK91" s="461"/>
      <c r="AL91" s="461"/>
      <c r="AM91" s="461"/>
      <c r="AN91" s="808"/>
      <c r="AO91" s="808"/>
      <c r="AP91" s="808"/>
      <c r="AQ91" s="3575" t="s">
        <v>1404</v>
      </c>
      <c r="AR91" s="3576" t="str">
        <f>"Tax-free educational assistance received in "&amp;TaxYear&amp;" allocable to"</f>
        <v>Tax-free educational assistance received in 2023 allocable to</v>
      </c>
      <c r="AS91" s="2923"/>
      <c r="AT91" s="2923"/>
      <c r="AU91" s="2923"/>
      <c r="AV91" s="2923"/>
      <c r="AW91" s="2923"/>
      <c r="AX91" s="2923"/>
      <c r="AY91" s="2923"/>
      <c r="AZ91" s="3571"/>
      <c r="BA91" s="39"/>
      <c r="BB91" s="39"/>
    </row>
    <row r="92" spans="1:54" s="2690" customFormat="1" ht="15">
      <c r="A92" s="461"/>
      <c r="B92" s="1127"/>
      <c r="C92" s="808"/>
      <c r="D92" s="808"/>
      <c r="E92" s="2112" t="str">
        <f>"in "&amp;TaxYear&amp;" at an eligible educational institution in a program"</f>
        <v>in 2023 at an eligible educational institution in a program</v>
      </c>
      <c r="F92" s="808"/>
      <c r="G92" s="808"/>
      <c r="H92" s="808"/>
      <c r="I92" s="808"/>
      <c r="J92" s="808"/>
      <c r="K92" s="808"/>
      <c r="L92" s="808"/>
      <c r="M92" s="808"/>
      <c r="N92" s="808"/>
      <c r="O92" s="808"/>
      <c r="P92" s="808"/>
      <c r="Q92" s="808"/>
      <c r="R92" s="808"/>
      <c r="S92" s="808"/>
      <c r="T92" s="808"/>
      <c r="U92" s="808"/>
      <c r="V92" s="808"/>
      <c r="W92" s="808"/>
      <c r="X92" s="808"/>
      <c r="Y92" s="808"/>
      <c r="Z92" s="808"/>
      <c r="AA92" s="808"/>
      <c r="AB92" s="808"/>
      <c r="AC92" s="808"/>
      <c r="AD92" s="808"/>
      <c r="AE92" s="808"/>
      <c r="AF92" s="808"/>
      <c r="AG92" s="808"/>
      <c r="AH92" s="808"/>
      <c r="AI92" s="808"/>
      <c r="AJ92" s="808"/>
      <c r="AK92" s="461"/>
      <c r="AL92" s="461"/>
      <c r="AM92" s="461"/>
      <c r="AN92" s="808"/>
      <c r="AO92" s="808"/>
      <c r="AP92" s="808"/>
      <c r="AQ92" s="3578"/>
      <c r="AR92" s="3576" t="s">
        <v>4778</v>
      </c>
      <c r="AS92" s="3579"/>
      <c r="AT92" s="3579"/>
      <c r="AU92" s="3579"/>
      <c r="AV92" s="3579"/>
      <c r="AW92" s="3556" t="s">
        <v>1369</v>
      </c>
      <c r="AX92" s="1401"/>
      <c r="AY92" s="2923"/>
      <c r="AZ92" s="3577"/>
      <c r="BA92" s="39"/>
      <c r="BB92" s="39"/>
    </row>
    <row r="93" spans="1:54" s="2690" customFormat="1" ht="15">
      <c r="A93" s="461"/>
      <c r="B93" s="808"/>
      <c r="C93" s="808"/>
      <c r="D93" s="808"/>
      <c r="E93" s="2645" t="s">
        <v>4779</v>
      </c>
      <c r="F93" s="808"/>
      <c r="G93" s="808"/>
      <c r="H93" s="808"/>
      <c r="I93" s="808"/>
      <c r="J93" s="808"/>
      <c r="K93" s="808"/>
      <c r="L93" s="808"/>
      <c r="M93" s="808"/>
      <c r="N93" s="808"/>
      <c r="O93" s="808"/>
      <c r="P93" s="808"/>
      <c r="Q93" s="808"/>
      <c r="R93" s="808"/>
      <c r="S93" s="808"/>
      <c r="T93" s="3527" t="str">
        <f>IF(AC93&lt;&gt;"","","X")</f>
        <v>X</v>
      </c>
      <c r="U93" s="892" t="s">
        <v>4780</v>
      </c>
      <c r="V93" s="808"/>
      <c r="W93" s="808"/>
      <c r="X93" s="808"/>
      <c r="Y93" s="808"/>
      <c r="Z93" s="808"/>
      <c r="AA93" s="808"/>
      <c r="AB93" s="808"/>
      <c r="AC93" s="3509"/>
      <c r="AD93" s="892" t="s">
        <v>4781</v>
      </c>
      <c r="AE93" s="808"/>
      <c r="AF93" s="808"/>
      <c r="AG93" s="808"/>
      <c r="AH93" s="808"/>
      <c r="AI93" s="808"/>
      <c r="AJ93" s="808"/>
      <c r="AK93" s="461"/>
      <c r="AL93" s="461"/>
      <c r="AM93" s="461"/>
      <c r="AN93" s="808"/>
      <c r="AO93" s="808"/>
      <c r="AP93" s="808"/>
      <c r="AQ93" s="3575" t="s">
        <v>1363</v>
      </c>
      <c r="AR93" s="3576" t="str">
        <f>"Tax-free educational assistance received in "&amp;TaxYear+1&amp;" (and before you"</f>
        <v>Tax-free educational assistance received in 2024 (and before you</v>
      </c>
      <c r="AS93" s="2923"/>
      <c r="AT93" s="2923"/>
      <c r="AU93" s="2923"/>
      <c r="AV93" s="2923"/>
      <c r="AW93" s="2923"/>
      <c r="AX93" s="2923"/>
      <c r="AY93" s="2923"/>
      <c r="AZ93" s="3571"/>
      <c r="BA93" s="39"/>
      <c r="BB93" s="39"/>
    </row>
    <row r="94" spans="1:54" s="2690" customFormat="1" ht="14.25">
      <c r="A94" s="461"/>
      <c r="B94" s="808"/>
      <c r="C94" s="808"/>
      <c r="D94" s="808"/>
      <c r="E94" s="2645" t="s">
        <v>4782</v>
      </c>
      <c r="F94" s="808"/>
      <c r="G94" s="808"/>
      <c r="H94" s="808"/>
      <c r="I94" s="808"/>
      <c r="J94" s="808"/>
      <c r="K94" s="808"/>
      <c r="L94" s="808"/>
      <c r="M94" s="808"/>
      <c r="N94" s="808"/>
      <c r="O94" s="808"/>
      <c r="P94" s="808"/>
      <c r="Q94" s="808"/>
      <c r="R94" s="808"/>
      <c r="S94" s="808"/>
      <c r="T94" s="808"/>
      <c r="U94" s="808"/>
      <c r="V94" s="808"/>
      <c r="W94" s="808"/>
      <c r="X94" s="808"/>
      <c r="Y94" s="808"/>
      <c r="Z94" s="808"/>
      <c r="AA94" s="808"/>
      <c r="AB94" s="808"/>
      <c r="AC94" s="808"/>
      <c r="AD94" s="892" t="s">
        <v>4783</v>
      </c>
      <c r="AE94" s="808"/>
      <c r="AF94" s="808"/>
      <c r="AG94" s="808"/>
      <c r="AH94" s="808"/>
      <c r="AI94" s="808"/>
      <c r="AJ94" s="808"/>
      <c r="AK94" s="461"/>
      <c r="AL94" s="461"/>
      <c r="AM94" s="461"/>
      <c r="AN94" s="808"/>
      <c r="AO94" s="808"/>
      <c r="AP94" s="808"/>
      <c r="AQ94" s="3578"/>
      <c r="AR94" s="3576" t="str">
        <f>"file your "&amp;TaxYear&amp;" tax return) allocable to the academic period"</f>
        <v>file your 2023 tax return) allocable to the academic period</v>
      </c>
      <c r="AS94" s="3579"/>
      <c r="AT94" s="3579"/>
      <c r="AU94" s="3579"/>
      <c r="AV94" s="3579"/>
      <c r="AW94" s="3556" t="s">
        <v>1379</v>
      </c>
      <c r="AX94" s="1401"/>
      <c r="AY94" s="2923"/>
      <c r="AZ94" s="3577"/>
      <c r="BA94" s="39"/>
      <c r="BB94" s="39"/>
    </row>
    <row r="95" spans="1:54" s="3526" customFormat="1" ht="16.5" customHeight="1">
      <c r="A95" s="4064"/>
      <c r="B95" s="893"/>
      <c r="C95" s="893"/>
      <c r="D95" s="893"/>
      <c r="E95" s="2952" t="s">
        <v>832</v>
      </c>
      <c r="F95" s="893"/>
      <c r="G95" s="893"/>
      <c r="H95" s="893"/>
      <c r="I95" s="893"/>
      <c r="J95" s="893"/>
      <c r="K95" s="893"/>
      <c r="L95" s="893"/>
      <c r="M95" s="893"/>
      <c r="N95" s="893"/>
      <c r="O95" s="893"/>
      <c r="P95" s="893"/>
      <c r="Q95" s="893"/>
      <c r="R95" s="893"/>
      <c r="S95" s="893"/>
      <c r="T95" s="893"/>
      <c r="U95" s="893"/>
      <c r="V95" s="893"/>
      <c r="W95" s="893"/>
      <c r="X95" s="893"/>
      <c r="Y95" s="893"/>
      <c r="Z95" s="893"/>
      <c r="AA95" s="893"/>
      <c r="AB95" s="893"/>
      <c r="AC95" s="893"/>
      <c r="AD95" s="893"/>
      <c r="AE95" s="893"/>
      <c r="AF95" s="893"/>
      <c r="AG95" s="893"/>
      <c r="AH95" s="893"/>
      <c r="AI95" s="893"/>
      <c r="AJ95" s="893"/>
      <c r="AK95" s="4064"/>
      <c r="AL95" s="4064"/>
      <c r="AM95" s="4064"/>
      <c r="AN95" s="893"/>
      <c r="AO95" s="893"/>
      <c r="AP95" s="893"/>
      <c r="AQ95" s="3575" t="s">
        <v>1381</v>
      </c>
      <c r="AR95" s="3576" t="str">
        <f>"Refunds of qualified education expenses paid in "&amp;TaxYear&amp;" if the refund"</f>
        <v>Refunds of qualified education expenses paid in 2023 if the refund</v>
      </c>
      <c r="AS95" s="2923"/>
      <c r="AT95" s="2923"/>
      <c r="AU95" s="2923"/>
      <c r="AV95" s="2923"/>
      <c r="AW95" s="2923"/>
      <c r="AX95" s="2923"/>
      <c r="AY95" s="2923"/>
      <c r="AZ95" s="3571"/>
      <c r="BA95" s="649"/>
      <c r="BB95" s="649"/>
    </row>
    <row r="96" spans="1:54" s="2690" customFormat="1" ht="15">
      <c r="A96" s="461"/>
      <c r="B96" s="3514">
        <v>25</v>
      </c>
      <c r="C96" s="1142"/>
      <c r="D96" s="1142"/>
      <c r="E96" s="2440" t="s">
        <v>4784</v>
      </c>
      <c r="F96" s="1142"/>
      <c r="G96" s="1142"/>
      <c r="H96" s="1142"/>
      <c r="I96" s="1142"/>
      <c r="J96" s="1142"/>
      <c r="K96" s="1142"/>
      <c r="L96" s="1142"/>
      <c r="M96" s="1142"/>
      <c r="N96" s="1142"/>
      <c r="O96" s="1142"/>
      <c r="P96" s="1142"/>
      <c r="Q96" s="1142"/>
      <c r="R96" s="1142"/>
      <c r="S96" s="1142"/>
      <c r="T96" s="1142"/>
      <c r="U96" s="1142"/>
      <c r="V96" s="1142"/>
      <c r="W96" s="1142"/>
      <c r="X96" s="1142"/>
      <c r="Y96" s="1142"/>
      <c r="Z96" s="1142"/>
      <c r="AA96" s="1142"/>
      <c r="AB96" s="1142"/>
      <c r="AC96" s="1142"/>
      <c r="AD96" s="1142"/>
      <c r="AE96" s="1142"/>
      <c r="AF96" s="1142"/>
      <c r="AG96" s="1142"/>
      <c r="AH96" s="1142"/>
      <c r="AI96" s="1142"/>
      <c r="AJ96" s="1142"/>
      <c r="AK96" s="461"/>
      <c r="AL96" s="461"/>
      <c r="AM96" s="461"/>
      <c r="AN96" s="808"/>
      <c r="AO96" s="808"/>
      <c r="AP96" s="808"/>
      <c r="AQ96" s="3578"/>
      <c r="AR96" s="3576" t="str">
        <f>"is received in "&amp;TaxYear&amp;" or in "&amp;TaxYear+1&amp;" before you file your "&amp;TaxYear&amp;" tax return."</f>
        <v>is received in 2023 or in 2024 before you file your 2023 tax return.</v>
      </c>
      <c r="AS96" s="3579"/>
      <c r="AT96" s="3579"/>
      <c r="AU96" s="3579"/>
      <c r="AV96" s="3579"/>
      <c r="AW96" s="3556" t="s">
        <v>1387</v>
      </c>
      <c r="AX96" s="1401"/>
      <c r="AY96" s="2923"/>
      <c r="AZ96" s="3577"/>
      <c r="BA96" s="39"/>
      <c r="BB96" s="39"/>
    </row>
    <row r="97" spans="1:54" s="2690" customFormat="1" ht="15">
      <c r="A97" s="461"/>
      <c r="B97" s="808"/>
      <c r="C97" s="808"/>
      <c r="D97" s="808"/>
      <c r="E97" s="2645" t="str">
        <f>"education before "&amp;TaxYear&amp;"? See instructions."</f>
        <v>education before 2023? See instructions.</v>
      </c>
      <c r="F97" s="808"/>
      <c r="G97" s="808"/>
      <c r="H97" s="808"/>
      <c r="I97" s="808"/>
      <c r="J97" s="808"/>
      <c r="K97" s="808"/>
      <c r="L97" s="808"/>
      <c r="M97" s="808"/>
      <c r="N97" s="808"/>
      <c r="O97" s="808"/>
      <c r="P97" s="808"/>
      <c r="Q97" s="808"/>
      <c r="R97" s="808"/>
      <c r="S97" s="808"/>
      <c r="T97" s="3509"/>
      <c r="U97" s="892" t="s">
        <v>4772</v>
      </c>
      <c r="V97" s="808"/>
      <c r="W97" s="808"/>
      <c r="X97" s="808"/>
      <c r="Y97" s="808"/>
      <c r="Z97" s="808"/>
      <c r="AA97" s="808"/>
      <c r="AB97" s="808"/>
      <c r="AC97" s="3527" t="str">
        <f>IF(T97&lt;&gt;"","","X")</f>
        <v>X</v>
      </c>
      <c r="AD97" s="892" t="s">
        <v>4785</v>
      </c>
      <c r="AE97" s="808"/>
      <c r="AF97" s="808"/>
      <c r="AG97" s="808"/>
      <c r="AH97" s="808"/>
      <c r="AI97" s="808"/>
      <c r="AJ97" s="808"/>
      <c r="AK97" s="461"/>
      <c r="AL97" s="461"/>
      <c r="AM97" s="461"/>
      <c r="AN97" s="808"/>
      <c r="AO97" s="808"/>
      <c r="AP97" s="808"/>
      <c r="AQ97" s="3578"/>
      <c r="AR97" s="3576"/>
      <c r="AS97" s="3579"/>
      <c r="AT97" s="3579"/>
      <c r="AU97" s="3579"/>
      <c r="AV97" s="3579"/>
      <c r="AW97" s="3579"/>
      <c r="AX97" s="3579"/>
      <c r="AY97" s="2923"/>
      <c r="AZ97" s="3577"/>
      <c r="BA97" s="39"/>
      <c r="BB97" s="39"/>
    </row>
    <row r="98" spans="1:54" s="3526" customFormat="1" ht="16.5" customHeight="1">
      <c r="A98" s="4064"/>
      <c r="B98" s="893"/>
      <c r="C98" s="893"/>
      <c r="D98" s="893"/>
      <c r="E98" s="2952"/>
      <c r="F98" s="893"/>
      <c r="G98" s="893"/>
      <c r="H98" s="893"/>
      <c r="I98" s="893"/>
      <c r="J98" s="893"/>
      <c r="K98" s="893"/>
      <c r="L98" s="893"/>
      <c r="M98" s="893"/>
      <c r="N98" s="893"/>
      <c r="O98" s="893"/>
      <c r="P98" s="893"/>
      <c r="Q98" s="893"/>
      <c r="R98" s="893"/>
      <c r="S98" s="893"/>
      <c r="T98" s="893"/>
      <c r="U98" s="893" t="s">
        <v>4774</v>
      </c>
      <c r="V98" s="893"/>
      <c r="W98" s="893"/>
      <c r="X98" s="893"/>
      <c r="Y98" s="893"/>
      <c r="Z98" s="893"/>
      <c r="AA98" s="893"/>
      <c r="AB98" s="893"/>
      <c r="AC98" s="893"/>
      <c r="AD98" s="893"/>
      <c r="AE98" s="893"/>
      <c r="AF98" s="893"/>
      <c r="AG98" s="893"/>
      <c r="AH98" s="893"/>
      <c r="AI98" s="893"/>
      <c r="AJ98" s="893"/>
      <c r="AK98" s="4064"/>
      <c r="AL98" s="4064"/>
      <c r="AM98" s="4064"/>
      <c r="AN98" s="893"/>
      <c r="AO98" s="893"/>
      <c r="AP98" s="893"/>
      <c r="AQ98" s="3572" t="s">
        <v>4786</v>
      </c>
      <c r="AR98" s="3553"/>
      <c r="AS98" s="3553"/>
      <c r="AT98" s="3553"/>
      <c r="AU98" s="3553"/>
      <c r="AV98" s="3553"/>
      <c r="AW98" s="3556"/>
      <c r="AX98" s="3556" t="s">
        <v>177</v>
      </c>
      <c r="AY98" s="1568">
        <f>SUM(AX92,AX94,AX96)</f>
        <v>0</v>
      </c>
      <c r="AZ98" s="3554"/>
      <c r="BA98" s="649"/>
      <c r="BB98" s="649"/>
    </row>
    <row r="99" spans="1:54" s="2690" customFormat="1" ht="15">
      <c r="A99" s="461"/>
      <c r="B99" s="3514">
        <v>26</v>
      </c>
      <c r="C99" s="1142"/>
      <c r="D99" s="1142"/>
      <c r="E99" s="2440" t="str">
        <f>"Was the student convicted, before the end of "&amp;TaxYear&amp;", of a"</f>
        <v>Was the student convicted, before the end of 2023, of a</v>
      </c>
      <c r="F99" s="1142"/>
      <c r="G99" s="1142"/>
      <c r="H99" s="1142"/>
      <c r="I99" s="1142"/>
      <c r="J99" s="1142"/>
      <c r="K99" s="1142"/>
      <c r="L99" s="1142"/>
      <c r="M99" s="1142"/>
      <c r="N99" s="1142"/>
      <c r="O99" s="1142"/>
      <c r="P99" s="1142"/>
      <c r="Q99" s="1142"/>
      <c r="R99" s="1142"/>
      <c r="S99" s="1142"/>
      <c r="T99" s="1142"/>
      <c r="U99" s="1142"/>
      <c r="V99" s="1142"/>
      <c r="W99" s="1142"/>
      <c r="X99" s="1142"/>
      <c r="Y99" s="1142"/>
      <c r="Z99" s="1142"/>
      <c r="AA99" s="1142"/>
      <c r="AB99" s="1142"/>
      <c r="AC99" s="1142"/>
      <c r="AD99" s="1142"/>
      <c r="AE99" s="1142"/>
      <c r="AF99" s="1142"/>
      <c r="AG99" s="1142"/>
      <c r="AH99" s="1142"/>
      <c r="AI99" s="1142"/>
      <c r="AJ99" s="1142"/>
      <c r="AK99" s="461"/>
      <c r="AL99" s="461"/>
      <c r="AM99" s="461"/>
      <c r="AN99" s="808"/>
      <c r="AO99" s="808"/>
      <c r="AP99" s="808"/>
      <c r="AQ99" s="3578"/>
      <c r="AR99" s="3576"/>
      <c r="AS99" s="3579"/>
      <c r="AT99" s="3579"/>
      <c r="AU99" s="3579"/>
      <c r="AV99" s="3579"/>
      <c r="AW99" s="3579"/>
      <c r="AX99" s="3579"/>
      <c r="AY99" s="2923"/>
      <c r="AZ99" s="3577"/>
      <c r="BA99" s="39"/>
      <c r="BB99" s="39"/>
    </row>
    <row r="100" spans="1:54" s="2690" customFormat="1" ht="15">
      <c r="A100" s="461"/>
      <c r="B100" s="808"/>
      <c r="C100" s="808"/>
      <c r="D100" s="808"/>
      <c r="E100" s="2645" t="s">
        <v>4787</v>
      </c>
      <c r="F100" s="808"/>
      <c r="G100" s="808"/>
      <c r="H100" s="808"/>
      <c r="I100" s="808"/>
      <c r="J100" s="808"/>
      <c r="K100" s="808"/>
      <c r="L100" s="808"/>
      <c r="M100" s="808"/>
      <c r="N100" s="808"/>
      <c r="O100" s="808"/>
      <c r="P100" s="808"/>
      <c r="Q100" s="808"/>
      <c r="R100" s="808"/>
      <c r="S100" s="808"/>
      <c r="T100" s="3509"/>
      <c r="U100" s="892" t="s">
        <v>4772</v>
      </c>
      <c r="V100" s="808"/>
      <c r="W100" s="808"/>
      <c r="X100" s="808"/>
      <c r="Y100" s="808"/>
      <c r="Z100" s="808"/>
      <c r="AA100" s="808"/>
      <c r="AB100" s="808"/>
      <c r="AC100" s="3527" t="str">
        <f>IF(T100&lt;&gt;"","","X")</f>
        <v>X</v>
      </c>
      <c r="AD100" s="892" t="s">
        <v>4788</v>
      </c>
      <c r="AE100" s="808"/>
      <c r="AF100" s="808"/>
      <c r="AG100" s="808"/>
      <c r="AH100" s="808"/>
      <c r="AI100" s="808"/>
      <c r="AJ100" s="808"/>
      <c r="AK100" s="461"/>
      <c r="AL100" s="461"/>
      <c r="AM100" s="461"/>
      <c r="AN100" s="808"/>
      <c r="AO100" s="23" t="s">
        <v>1113</v>
      </c>
      <c r="AP100" s="808"/>
      <c r="AQ100" s="3572" t="s">
        <v>4789</v>
      </c>
      <c r="AR100" s="3576"/>
      <c r="AS100" s="3579"/>
      <c r="AT100" s="3579"/>
      <c r="AU100" s="3579"/>
      <c r="AV100" s="3579"/>
      <c r="AW100" s="3579"/>
      <c r="AX100" s="3579"/>
      <c r="AY100" s="2923"/>
      <c r="AZ100" s="3577"/>
      <c r="BA100" s="39"/>
      <c r="BB100" s="39"/>
    </row>
    <row r="101" spans="1:54" s="3526" customFormat="1" ht="16.5" customHeight="1">
      <c r="A101" s="4064"/>
      <c r="B101" s="1372"/>
      <c r="C101" s="1372"/>
      <c r="D101" s="1372"/>
      <c r="E101" s="3515" t="s">
        <v>4790</v>
      </c>
      <c r="F101" s="1372"/>
      <c r="G101" s="1372"/>
      <c r="H101" s="1372"/>
      <c r="I101" s="1372"/>
      <c r="J101" s="1372"/>
      <c r="K101" s="1372"/>
      <c r="L101" s="1372"/>
      <c r="M101" s="1372"/>
      <c r="N101" s="1372"/>
      <c r="O101" s="1372"/>
      <c r="P101" s="1372"/>
      <c r="Q101" s="1372"/>
      <c r="R101" s="1372"/>
      <c r="S101" s="1372"/>
      <c r="T101" s="1372"/>
      <c r="U101" s="1372" t="s">
        <v>4774</v>
      </c>
      <c r="V101" s="1372"/>
      <c r="W101" s="1372"/>
      <c r="X101" s="1372"/>
      <c r="Y101" s="1372"/>
      <c r="Z101" s="1372"/>
      <c r="AA101" s="1372"/>
      <c r="AB101" s="1372"/>
      <c r="AC101" s="1372"/>
      <c r="AD101" s="2192" t="s">
        <v>4791</v>
      </c>
      <c r="AE101" s="1372"/>
      <c r="AF101" s="1372"/>
      <c r="AG101" s="1372"/>
      <c r="AH101" s="1372"/>
      <c r="AI101" s="1372"/>
      <c r="AJ101" s="1372"/>
      <c r="AK101" s="4064"/>
      <c r="AL101" s="4064"/>
      <c r="AM101" s="4064"/>
      <c r="AN101" s="893"/>
      <c r="AO101" s="23" t="s">
        <v>1062</v>
      </c>
      <c r="AP101" s="893"/>
      <c r="AQ101" s="3574" t="s">
        <v>4792</v>
      </c>
      <c r="AR101" s="3553"/>
      <c r="AS101" s="3553"/>
      <c r="AT101" s="3580" t="s">
        <v>4793</v>
      </c>
      <c r="AU101" s="3553"/>
      <c r="AV101" s="3553"/>
      <c r="AW101" s="3556"/>
      <c r="AX101" s="3556" t="s">
        <v>182</v>
      </c>
      <c r="AY101" s="1568" t="str">
        <f>IF(AY88="","",MAX(0,SUM(AY88,-AY98)))</f>
        <v/>
      </c>
      <c r="AZ101" s="3554"/>
      <c r="BA101" s="649"/>
      <c r="BB101" s="649"/>
    </row>
    <row r="102" spans="1:54" s="2690" customFormat="1" ht="9.75" customHeight="1" thickBot="1">
      <c r="A102" s="461"/>
      <c r="B102" s="3538"/>
      <c r="C102" s="3538"/>
      <c r="D102" s="3538"/>
      <c r="E102" s="3538"/>
      <c r="F102" s="3538"/>
      <c r="G102" s="3538"/>
      <c r="H102" s="3538"/>
      <c r="I102" s="3538"/>
      <c r="J102" s="3538"/>
      <c r="K102" s="3538"/>
      <c r="L102" s="3538"/>
      <c r="M102" s="3538"/>
      <c r="N102" s="3538"/>
      <c r="O102" s="3538"/>
      <c r="P102" s="3538"/>
      <c r="Q102" s="3538"/>
      <c r="R102" s="3538"/>
      <c r="S102" s="3538"/>
      <c r="T102" s="3538"/>
      <c r="U102" s="3538"/>
      <c r="V102" s="3538"/>
      <c r="W102" s="3538"/>
      <c r="X102" s="3538"/>
      <c r="Y102" s="3538"/>
      <c r="Z102" s="3538"/>
      <c r="AA102" s="3538"/>
      <c r="AB102" s="3538"/>
      <c r="AC102" s="3538"/>
      <c r="AD102" s="3538"/>
      <c r="AE102" s="3538"/>
      <c r="AF102" s="3538"/>
      <c r="AG102" s="3538"/>
      <c r="AH102" s="3538"/>
      <c r="AI102" s="3538"/>
      <c r="AJ102" s="3538"/>
      <c r="AK102" s="461"/>
      <c r="AL102" s="461"/>
      <c r="AM102" s="461"/>
      <c r="AN102" s="808"/>
      <c r="AO102" s="808"/>
      <c r="AP102" s="808"/>
      <c r="AQ102" s="3581"/>
      <c r="AR102" s="3582"/>
      <c r="AS102" s="3583"/>
      <c r="AT102" s="3583"/>
      <c r="AU102" s="3583"/>
      <c r="AV102" s="3583"/>
      <c r="AW102" s="3583"/>
      <c r="AX102" s="3583"/>
      <c r="AY102" s="3583"/>
      <c r="AZ102" s="3584"/>
      <c r="BA102" s="39"/>
      <c r="BB102" s="39"/>
    </row>
    <row r="103" spans="1:54" s="3525" customFormat="1" ht="14.25" customHeight="1">
      <c r="A103" s="3497"/>
      <c r="B103" s="3539"/>
      <c r="C103" s="3539"/>
      <c r="D103" s="3539"/>
      <c r="E103" s="5088" t="s">
        <v>4794</v>
      </c>
      <c r="F103" s="3539"/>
      <c r="G103" s="3539"/>
      <c r="H103" s="3539"/>
      <c r="I103" s="3539"/>
      <c r="J103" s="3539"/>
      <c r="K103" s="3539"/>
      <c r="L103" s="3539"/>
      <c r="M103" s="3539"/>
      <c r="N103" s="3539"/>
      <c r="O103" s="3539"/>
      <c r="P103" s="3539"/>
      <c r="Q103" s="3539"/>
      <c r="R103" s="3539"/>
      <c r="S103" s="3539"/>
      <c r="T103" s="3539"/>
      <c r="U103" s="3539"/>
      <c r="V103" s="3539"/>
      <c r="W103" s="3539"/>
      <c r="X103" s="3539"/>
      <c r="Y103" s="3539"/>
      <c r="Z103" s="3539"/>
      <c r="AA103" s="3539"/>
      <c r="AB103" s="3539"/>
      <c r="AC103" s="3539"/>
      <c r="AD103" s="3539"/>
      <c r="AE103" s="3539"/>
      <c r="AF103" s="3539"/>
      <c r="AG103" s="3539"/>
      <c r="AH103" s="3539"/>
      <c r="AI103" s="3539"/>
      <c r="AJ103" s="3539"/>
      <c r="AK103" s="3497"/>
      <c r="AL103" s="3497"/>
      <c r="AM103" s="3497"/>
      <c r="AN103" s="3498"/>
      <c r="AO103" s="2821" t="b">
        <f>OR(AND(AH106,AO114&lt;&gt;""),AND(NOT(AH106),AO111&lt;&gt;""))</f>
        <v>0</v>
      </c>
      <c r="AP103" s="1573"/>
      <c r="AQ103" s="2038"/>
      <c r="AR103" s="2044"/>
      <c r="AS103" s="2038"/>
      <c r="AT103" s="2038"/>
      <c r="AU103" s="2038"/>
      <c r="AV103" s="2038"/>
      <c r="AW103" s="2038"/>
      <c r="AX103" s="2038"/>
      <c r="AY103" s="2038"/>
      <c r="AZ103" s="2038"/>
      <c r="BA103" s="3499"/>
      <c r="BB103" s="3499"/>
    </row>
    <row r="104" spans="1:54" s="3525" customFormat="1" ht="16.5" customHeight="1">
      <c r="A104" s="3497"/>
      <c r="B104" s="3539"/>
      <c r="C104" s="3539"/>
      <c r="D104" s="3539"/>
      <c r="E104" s="5089" t="s">
        <v>4795</v>
      </c>
      <c r="F104" s="3539"/>
      <c r="G104" s="3539"/>
      <c r="H104" s="3539"/>
      <c r="I104" s="3539"/>
      <c r="J104" s="3539"/>
      <c r="K104" s="3539"/>
      <c r="L104" s="3539"/>
      <c r="M104" s="3539"/>
      <c r="N104" s="3539"/>
      <c r="O104" s="3539"/>
      <c r="P104" s="3539"/>
      <c r="Q104" s="3539"/>
      <c r="R104" s="3539"/>
      <c r="S104" s="3539"/>
      <c r="T104" s="3539"/>
      <c r="U104" s="3539"/>
      <c r="V104" s="3539"/>
      <c r="W104" s="3539"/>
      <c r="X104" s="3539"/>
      <c r="Y104" s="3539"/>
      <c r="Z104" s="3539"/>
      <c r="AA104" s="3539"/>
      <c r="AB104" s="3539"/>
      <c r="AC104" s="3539"/>
      <c r="AD104" s="3539"/>
      <c r="AE104" s="3539"/>
      <c r="AF104" s="3539"/>
      <c r="AG104" s="3539"/>
      <c r="AH104" s="3539"/>
      <c r="AI104" s="3539"/>
      <c r="AJ104" s="3539"/>
      <c r="AK104" s="3497"/>
      <c r="AL104" s="4121"/>
      <c r="AM104" s="3497"/>
      <c r="AN104" s="9900" t="s">
        <v>4796</v>
      </c>
      <c r="AO104" s="9900"/>
      <c r="AP104" s="9900"/>
      <c r="AQ104" s="2038"/>
      <c r="AR104" s="2044"/>
      <c r="AS104" s="2038"/>
      <c r="AT104" s="2038"/>
      <c r="AU104" s="2038"/>
      <c r="AV104" s="2038"/>
      <c r="AW104" s="2038"/>
      <c r="AX104" s="2038"/>
      <c r="AY104" s="2038"/>
      <c r="AZ104" s="2038"/>
      <c r="BA104" s="3499"/>
      <c r="BB104" s="3499"/>
    </row>
    <row r="105" spans="1:54" s="2690" customFormat="1" ht="6" customHeight="1">
      <c r="A105" s="461"/>
      <c r="B105" s="3540"/>
      <c r="C105" s="3540"/>
      <c r="D105" s="3540"/>
      <c r="E105" s="3540"/>
      <c r="F105" s="3540"/>
      <c r="G105" s="3540"/>
      <c r="H105" s="3540"/>
      <c r="I105" s="3540"/>
      <c r="J105" s="3540"/>
      <c r="K105" s="3540"/>
      <c r="L105" s="3540"/>
      <c r="M105" s="3540"/>
      <c r="N105" s="3540"/>
      <c r="O105" s="3540"/>
      <c r="P105" s="3540"/>
      <c r="Q105" s="3540"/>
      <c r="R105" s="3540"/>
      <c r="S105" s="3540"/>
      <c r="T105" s="3540"/>
      <c r="U105" s="3540"/>
      <c r="V105" s="3540"/>
      <c r="W105" s="3540"/>
      <c r="X105" s="3540"/>
      <c r="Y105" s="3540"/>
      <c r="Z105" s="3540"/>
      <c r="AA105" s="3540"/>
      <c r="AB105" s="3540"/>
      <c r="AC105" s="3540"/>
      <c r="AD105" s="3540"/>
      <c r="AE105" s="3540"/>
      <c r="AF105" s="3540"/>
      <c r="AG105" s="3540"/>
      <c r="AH105" s="3540"/>
      <c r="AI105" s="3540"/>
      <c r="AJ105" s="3540"/>
      <c r="AK105" s="461"/>
      <c r="AL105" s="461"/>
      <c r="AM105" s="461"/>
      <c r="AN105" s="9900"/>
      <c r="AO105" s="9900"/>
      <c r="AP105" s="9900"/>
      <c r="AQ105" s="2038"/>
      <c r="AR105" s="2038"/>
      <c r="AS105" s="2038"/>
      <c r="AT105" s="2038"/>
      <c r="AU105" s="2038"/>
      <c r="AV105" s="2038"/>
      <c r="AW105" s="2038"/>
      <c r="AX105" s="2038"/>
      <c r="AY105" s="2038"/>
      <c r="AZ105" s="2038"/>
      <c r="BA105" s="39"/>
      <c r="BB105" s="39"/>
    </row>
    <row r="106" spans="1:54" s="2690" customFormat="1" ht="16.5" customHeight="1" thickBot="1">
      <c r="A106" s="461"/>
      <c r="B106" s="1133"/>
      <c r="C106" s="3850" t="s">
        <v>4697</v>
      </c>
      <c r="D106" s="1121"/>
      <c r="E106" s="1121"/>
      <c r="F106" s="1121"/>
      <c r="G106" s="1121"/>
      <c r="H106" s="1121"/>
      <c r="I106" s="1121"/>
      <c r="J106" s="1121"/>
      <c r="K106" s="1121"/>
      <c r="L106" s="1121"/>
      <c r="M106" s="1121"/>
      <c r="N106" s="1121"/>
      <c r="O106" s="1121"/>
      <c r="P106" s="1121"/>
      <c r="Q106" s="1121"/>
      <c r="R106" s="1121"/>
      <c r="S106" s="1121"/>
      <c r="T106" s="1121"/>
      <c r="U106" s="1121"/>
      <c r="V106" s="1121"/>
      <c r="W106" s="1121"/>
      <c r="X106" s="1121"/>
      <c r="Y106" s="1121"/>
      <c r="Z106" s="1121"/>
      <c r="AA106" s="1121"/>
      <c r="AB106" s="9875" t="b">
        <f>AND(AE107&lt;&gt;"",AE107&gt;AO108)</f>
        <v>0</v>
      </c>
      <c r="AC106" s="9875"/>
      <c r="AD106" s="1121"/>
      <c r="AE106" s="1121"/>
      <c r="AF106" s="1121"/>
      <c r="AG106" s="1121"/>
      <c r="AH106" s="9875" t="b">
        <f>AND(T88="",AC93="",T97="",T100="")</f>
        <v>1</v>
      </c>
      <c r="AI106" s="9875"/>
      <c r="AJ106" s="9875"/>
      <c r="AK106" s="461"/>
      <c r="AL106" s="461"/>
      <c r="AM106" s="461"/>
      <c r="AN106" s="9900"/>
      <c r="AO106" s="9900"/>
      <c r="AP106" s="9900"/>
      <c r="AQ106" s="2038"/>
      <c r="AR106" s="2038"/>
      <c r="AS106" s="2038"/>
      <c r="AT106" s="2038"/>
      <c r="AU106" s="2038"/>
      <c r="AV106" s="2038"/>
      <c r="AW106" s="2038"/>
      <c r="AX106" s="2038"/>
      <c r="AY106" s="2038"/>
      <c r="AZ106" s="2038"/>
      <c r="BA106" s="39"/>
      <c r="BB106" s="39"/>
    </row>
    <row r="107" spans="1:54" s="2690" customFormat="1" ht="16.5" customHeight="1" thickBot="1">
      <c r="A107" s="461"/>
      <c r="B107" s="3514">
        <v>27</v>
      </c>
      <c r="C107" s="808"/>
      <c r="D107" s="2112" t="s">
        <v>4797</v>
      </c>
      <c r="E107" s="2112"/>
      <c r="F107" s="808"/>
      <c r="G107" s="808"/>
      <c r="H107" s="808"/>
      <c r="I107" s="808"/>
      <c r="J107" s="808"/>
      <c r="K107" s="808"/>
      <c r="L107" s="808"/>
      <c r="M107" s="808"/>
      <c r="N107" s="808"/>
      <c r="O107" s="808"/>
      <c r="P107" s="808"/>
      <c r="Q107" s="808"/>
      <c r="R107" s="3851" t="str">
        <f>"Don't enter more than "&amp;TEXT(AO108,"$0,000")&amp;"."</f>
        <v>Don't enter more than $4,000.</v>
      </c>
      <c r="S107" s="808"/>
      <c r="T107" s="808"/>
      <c r="U107" s="808"/>
      <c r="V107" s="808"/>
      <c r="W107" s="808"/>
      <c r="X107" s="808"/>
      <c r="Y107" s="808"/>
      <c r="Z107" s="3536"/>
      <c r="AA107" s="3536"/>
      <c r="AB107" s="3534"/>
      <c r="AC107" s="3535"/>
      <c r="AD107" s="1726">
        <v>27</v>
      </c>
      <c r="AE107" s="9591" t="str">
        <f>IF(AO107&lt;&gt;"",ROUND(AO107,0),IF(OR(NOT(AH106),AY101=""),"",MIN(AO108,AY101)))</f>
        <v/>
      </c>
      <c r="AF107" s="9876"/>
      <c r="AG107" s="9876"/>
      <c r="AH107" s="9876"/>
      <c r="AI107" s="9876"/>
      <c r="AJ107" s="9876"/>
      <c r="AK107" s="461"/>
      <c r="AL107" s="461"/>
      <c r="AM107" s="461"/>
      <c r="AN107" s="808"/>
      <c r="AO107" s="3521"/>
      <c r="AP107" s="808"/>
      <c r="AQ107" s="2038"/>
      <c r="AR107" s="2038"/>
      <c r="AS107" s="2038"/>
      <c r="AT107" s="2038"/>
      <c r="AU107" s="2038"/>
      <c r="AV107" s="2038"/>
      <c r="AW107" s="2038"/>
      <c r="AX107" s="2038"/>
      <c r="AY107" s="2038"/>
      <c r="AZ107" s="2038"/>
      <c r="BA107" s="39"/>
      <c r="BB107" s="39"/>
    </row>
    <row r="108" spans="1:54" s="2690" customFormat="1" ht="17.25" customHeight="1">
      <c r="A108" s="461"/>
      <c r="B108" s="1127">
        <v>28</v>
      </c>
      <c r="C108" s="808"/>
      <c r="D108" s="2112" t="str">
        <f>"Subtract "&amp;TEXT(AO109,"$0,000")&amp;" from line 27. If zero or less, enter -0-"</f>
        <v>Subtract $2,000 from line 27. If zero or less, enter -0-</v>
      </c>
      <c r="E108" s="808"/>
      <c r="F108" s="808"/>
      <c r="G108" s="808"/>
      <c r="H108" s="808"/>
      <c r="I108" s="808"/>
      <c r="J108" s="808"/>
      <c r="K108" s="808"/>
      <c r="L108" s="808"/>
      <c r="M108" s="808"/>
      <c r="N108" s="808"/>
      <c r="O108" s="808"/>
      <c r="P108" s="808"/>
      <c r="Q108" s="808"/>
      <c r="R108" s="808"/>
      <c r="S108" s="808"/>
      <c r="T108" s="808"/>
      <c r="U108" s="808"/>
      <c r="V108" s="808"/>
      <c r="W108" s="808"/>
      <c r="X108" s="808"/>
      <c r="Y108" s="808"/>
      <c r="Z108" s="1234"/>
      <c r="AA108" s="1234"/>
      <c r="AB108" s="808"/>
      <c r="AC108" s="1128" t="s">
        <v>4798</v>
      </c>
      <c r="AD108" s="1726">
        <v>28</v>
      </c>
      <c r="AE108" s="9591" t="str">
        <f>IF(OR(NOT(AH106),AY101=""),"",MAX(0,SUM(AE107,-AO109)))</f>
        <v/>
      </c>
      <c r="AF108" s="9876"/>
      <c r="AG108" s="9876"/>
      <c r="AH108" s="9876"/>
      <c r="AI108" s="9876"/>
      <c r="AJ108" s="9876"/>
      <c r="AK108" s="461"/>
      <c r="AL108" s="461"/>
      <c r="AM108" s="461"/>
      <c r="AN108" s="808"/>
      <c r="AO108" s="900">
        <v>4000</v>
      </c>
      <c r="AP108" s="808"/>
      <c r="AQ108" s="2038"/>
      <c r="AR108" s="2038"/>
      <c r="AS108" s="2038"/>
      <c r="AT108" s="2038"/>
      <c r="AU108" s="2038"/>
      <c r="AV108" s="2038"/>
      <c r="AW108" s="2038"/>
      <c r="AX108" s="2038"/>
      <c r="AY108" s="2038"/>
      <c r="AZ108" s="2038"/>
      <c r="BA108" s="39"/>
      <c r="BB108" s="39"/>
    </row>
    <row r="109" spans="1:54" s="2690" customFormat="1" ht="17.25" customHeight="1">
      <c r="A109" s="461"/>
      <c r="B109" s="1127">
        <v>29</v>
      </c>
      <c r="C109" s="808"/>
      <c r="D109" s="2112" t="str">
        <f>"Multiply line 28 by "&amp;TEXT(AB110,"0%")&amp;" ("&amp;TEXT(AB110,"0.00")&amp;")"</f>
        <v>Multiply line 28 by 25% (0.25)</v>
      </c>
      <c r="E109" s="2112"/>
      <c r="F109" s="2112"/>
      <c r="G109" s="808"/>
      <c r="H109" s="808"/>
      <c r="I109" s="808"/>
      <c r="J109" s="808"/>
      <c r="K109" s="808"/>
      <c r="L109" s="899"/>
      <c r="M109" s="899"/>
      <c r="N109" s="899"/>
      <c r="O109" s="899"/>
      <c r="P109" s="899"/>
      <c r="Q109" s="899"/>
      <c r="R109" s="899"/>
      <c r="S109" s="899"/>
      <c r="T109" s="899"/>
      <c r="U109" s="899"/>
      <c r="V109" s="899"/>
      <c r="W109" s="899"/>
      <c r="X109" s="899"/>
      <c r="Y109" s="899"/>
      <c r="Z109" s="899"/>
      <c r="AA109" s="899"/>
      <c r="AB109" s="899"/>
      <c r="AC109" s="1128" t="s">
        <v>4799</v>
      </c>
      <c r="AD109" s="1726">
        <v>29</v>
      </c>
      <c r="AE109" s="9591" t="str">
        <f>IF(OR(NOT(AH106),AY101=""),"",ROUND(AE108*AB110,0))</f>
        <v/>
      </c>
      <c r="AF109" s="9876"/>
      <c r="AG109" s="9876"/>
      <c r="AH109" s="9876"/>
      <c r="AI109" s="9876"/>
      <c r="AJ109" s="9876"/>
      <c r="AK109" s="461"/>
      <c r="AL109" s="461"/>
      <c r="AM109" s="461"/>
      <c r="AN109" s="808"/>
      <c r="AO109" s="900">
        <v>2000</v>
      </c>
      <c r="AP109" s="808"/>
      <c r="AQ109" s="2038"/>
      <c r="AR109" s="2038"/>
      <c r="AS109" s="2038"/>
      <c r="AT109" s="2038"/>
      <c r="AU109" s="2038"/>
      <c r="AV109" s="2038"/>
      <c r="AW109" s="2038"/>
      <c r="AX109" s="2038"/>
      <c r="AY109" s="2038"/>
      <c r="AZ109" s="2038"/>
      <c r="BA109" s="39"/>
      <c r="BB109" s="39"/>
    </row>
    <row r="110" spans="1:54" s="2690" customFormat="1" ht="15.75" customHeight="1" thickBot="1">
      <c r="A110" s="461"/>
      <c r="B110" s="1127">
        <v>30</v>
      </c>
      <c r="C110" s="808"/>
      <c r="D110" s="2112" t="s">
        <v>4800</v>
      </c>
      <c r="E110" s="2112"/>
      <c r="F110" s="2112"/>
      <c r="G110" s="808"/>
      <c r="H110" s="808"/>
      <c r="I110" s="808"/>
      <c r="J110" s="808"/>
      <c r="K110" s="808"/>
      <c r="L110" s="808"/>
      <c r="M110" s="808"/>
      <c r="N110" s="808"/>
      <c r="O110" s="808"/>
      <c r="P110" s="808"/>
      <c r="Q110" s="808"/>
      <c r="R110" s="808"/>
      <c r="S110" s="808"/>
      <c r="T110" s="808"/>
      <c r="U110" s="808"/>
      <c r="V110" s="808"/>
      <c r="W110" s="808"/>
      <c r="X110" s="808"/>
      <c r="Y110" s="808"/>
      <c r="Z110" s="808"/>
      <c r="AA110" s="808"/>
      <c r="AB110" s="8168">
        <v>0.25</v>
      </c>
      <c r="AC110" s="9576"/>
      <c r="AD110" s="1123"/>
      <c r="AE110" s="808"/>
      <c r="AF110" s="808"/>
      <c r="AG110" s="808"/>
      <c r="AH110" s="808"/>
      <c r="AI110" s="808"/>
      <c r="AJ110" s="808"/>
      <c r="AK110" s="461"/>
      <c r="AL110" s="461"/>
      <c r="AM110" s="461"/>
      <c r="AN110" s="808"/>
      <c r="AO110" s="808"/>
      <c r="AP110" s="808"/>
      <c r="AQ110" s="2038"/>
      <c r="AR110" s="2038"/>
      <c r="AS110" s="2038"/>
      <c r="AT110" s="2038"/>
      <c r="AU110" s="2038"/>
      <c r="AV110" s="2038"/>
      <c r="AW110" s="2038"/>
      <c r="AX110" s="2038"/>
      <c r="AY110" s="2038"/>
      <c r="AZ110" s="2038"/>
      <c r="BA110" s="39"/>
      <c r="BB110" s="39"/>
    </row>
    <row r="111" spans="1:54" s="2690" customFormat="1" ht="15.75" thickBot="1">
      <c r="A111" s="461"/>
      <c r="B111" s="808"/>
      <c r="C111" s="808"/>
      <c r="D111" s="2112" t="s">
        <v>4801</v>
      </c>
      <c r="E111" s="2112"/>
      <c r="F111" s="2112"/>
      <c r="G111" s="808"/>
      <c r="H111" s="808"/>
      <c r="I111" s="808"/>
      <c r="J111" s="808"/>
      <c r="K111" s="808"/>
      <c r="L111" s="808"/>
      <c r="M111" s="808"/>
      <c r="N111" s="808"/>
      <c r="O111" s="808"/>
      <c r="P111" s="808"/>
      <c r="Q111" s="808"/>
      <c r="R111" s="808"/>
      <c r="S111" s="808"/>
      <c r="T111" s="808"/>
      <c r="U111" s="808"/>
      <c r="V111" s="808"/>
      <c r="W111" s="808"/>
      <c r="X111" s="808"/>
      <c r="Y111" s="808"/>
      <c r="Z111" s="808"/>
      <c r="AA111" s="808"/>
      <c r="AB111" s="808"/>
      <c r="AC111" s="1128" t="s">
        <v>690</v>
      </c>
      <c r="AD111" s="1716">
        <v>30</v>
      </c>
      <c r="AE111" s="9872" t="str">
        <f>IF(AO111&lt;&gt;"",ROUND(AO111,0),IF(OR(NOT(AH106),AE107=0,AE107="",AY101=""),"",IF(OR(AE108=0,AE108=""),AE107,SUM(AE109,AO109))))</f>
        <v/>
      </c>
      <c r="AF111" s="9873"/>
      <c r="AG111" s="9873"/>
      <c r="AH111" s="9873"/>
      <c r="AI111" s="9873"/>
      <c r="AJ111" s="9873"/>
      <c r="AK111" s="461"/>
      <c r="AL111" s="461"/>
      <c r="AM111" s="461"/>
      <c r="AN111" s="808"/>
      <c r="AO111" s="3521"/>
      <c r="AP111" s="808"/>
      <c r="AQ111" s="2038"/>
      <c r="AR111" s="2038"/>
      <c r="AS111" s="2038"/>
      <c r="AT111" s="2038"/>
      <c r="AU111" s="2038"/>
      <c r="AV111" s="2038"/>
      <c r="AW111" s="2038"/>
      <c r="AX111" s="2038"/>
      <c r="AY111" s="2038"/>
      <c r="AZ111" s="2038"/>
      <c r="BA111" s="39"/>
      <c r="BB111" s="39"/>
    </row>
    <row r="112" spans="1:54" s="2690" customFormat="1" ht="16.5" customHeight="1">
      <c r="A112" s="461"/>
      <c r="B112" s="1133"/>
      <c r="C112" s="3850" t="s">
        <v>4728</v>
      </c>
      <c r="D112" s="1122"/>
      <c r="E112" s="1122"/>
      <c r="F112" s="1122"/>
      <c r="G112" s="1122"/>
      <c r="H112" s="1122"/>
      <c r="I112" s="1122"/>
      <c r="J112" s="1122"/>
      <c r="K112" s="1122"/>
      <c r="L112" s="1122"/>
      <c r="M112" s="1122"/>
      <c r="N112" s="1122"/>
      <c r="O112" s="1122"/>
      <c r="P112" s="1122"/>
      <c r="Q112" s="1122"/>
      <c r="R112" s="1122"/>
      <c r="S112" s="1122"/>
      <c r="T112" s="1122"/>
      <c r="U112" s="1122"/>
      <c r="V112" s="1122"/>
      <c r="W112" s="1122"/>
      <c r="X112" s="1122"/>
      <c r="Y112" s="1122"/>
      <c r="Z112" s="1122"/>
      <c r="AA112" s="1122"/>
      <c r="AB112" s="1122"/>
      <c r="AC112" s="1122"/>
      <c r="AD112" s="1122"/>
      <c r="AE112" s="1122"/>
      <c r="AF112" s="1122"/>
      <c r="AG112" s="1122"/>
      <c r="AH112" s="1122"/>
      <c r="AI112" s="1122"/>
      <c r="AJ112" s="1122"/>
      <c r="AK112" s="461"/>
      <c r="AL112" s="461"/>
      <c r="AM112" s="461"/>
      <c r="AN112" s="808"/>
      <c r="AO112" s="808"/>
      <c r="AP112" s="808"/>
      <c r="AQ112" s="2038"/>
      <c r="AR112" s="2038"/>
      <c r="AS112" s="2038"/>
      <c r="AT112" s="2038"/>
      <c r="AU112" s="2038"/>
      <c r="AV112" s="2038"/>
      <c r="AW112" s="2038"/>
      <c r="AX112" s="2038"/>
      <c r="AY112" s="2038"/>
      <c r="AZ112" s="2038"/>
      <c r="BA112" s="39"/>
      <c r="BB112" s="39"/>
    </row>
    <row r="113" spans="1:54" s="2690" customFormat="1" ht="15.75" customHeight="1" thickBot="1">
      <c r="A113" s="461"/>
      <c r="B113" s="1127">
        <v>31</v>
      </c>
      <c r="C113" s="808"/>
      <c r="D113" s="2112" t="s">
        <v>4802</v>
      </c>
      <c r="E113" s="2112"/>
      <c r="F113" s="2112"/>
      <c r="G113" s="808"/>
      <c r="H113" s="808"/>
      <c r="I113" s="808"/>
      <c r="J113" s="808"/>
      <c r="K113" s="808"/>
      <c r="L113" s="808"/>
      <c r="M113" s="808"/>
      <c r="N113" s="808"/>
      <c r="O113" s="808"/>
      <c r="P113" s="808"/>
      <c r="Q113" s="808"/>
      <c r="R113" s="808"/>
      <c r="S113" s="808"/>
      <c r="T113" s="808"/>
      <c r="U113" s="808"/>
      <c r="V113" s="808"/>
      <c r="W113" s="808"/>
      <c r="X113" s="808"/>
      <c r="Y113" s="808"/>
      <c r="Z113" s="808"/>
      <c r="AA113" s="808"/>
      <c r="AB113" s="808"/>
      <c r="AC113" s="808"/>
      <c r="AD113" s="1123"/>
      <c r="AE113" s="808"/>
      <c r="AF113" s="808"/>
      <c r="AG113" s="808"/>
      <c r="AH113" s="808"/>
      <c r="AI113" s="808"/>
      <c r="AJ113" s="808"/>
      <c r="AK113" s="461"/>
      <c r="AL113" s="461"/>
      <c r="AM113" s="461"/>
      <c r="AN113" s="808"/>
      <c r="AO113" s="808"/>
      <c r="AP113" s="808"/>
      <c r="AQ113" s="2038"/>
      <c r="AR113" s="2038"/>
      <c r="AS113" s="2038"/>
      <c r="AT113" s="2038"/>
      <c r="AU113" s="2038"/>
      <c r="AV113" s="2038"/>
      <c r="AW113" s="2038"/>
      <c r="AX113" s="2038"/>
      <c r="AY113" s="2038"/>
      <c r="AZ113" s="2038"/>
      <c r="BA113" s="39"/>
      <c r="BB113" s="39"/>
    </row>
    <row r="114" spans="1:54" s="2690" customFormat="1" ht="15.75" thickBot="1">
      <c r="A114" s="461"/>
      <c r="B114" s="896"/>
      <c r="C114" s="896"/>
      <c r="D114" s="2122" t="s">
        <v>4803</v>
      </c>
      <c r="E114" s="2122"/>
      <c r="F114" s="2122"/>
      <c r="G114" s="896"/>
      <c r="H114" s="896"/>
      <c r="I114" s="896"/>
      <c r="J114" s="896"/>
      <c r="K114" s="896"/>
      <c r="L114" s="896"/>
      <c r="M114" s="896"/>
      <c r="N114" s="896"/>
      <c r="O114" s="896"/>
      <c r="P114" s="896"/>
      <c r="Q114" s="896"/>
      <c r="R114" s="896"/>
      <c r="S114" s="896"/>
      <c r="T114" s="896"/>
      <c r="U114" s="896"/>
      <c r="V114" s="896"/>
      <c r="W114" s="896"/>
      <c r="X114" s="896"/>
      <c r="Y114" s="896"/>
      <c r="Z114" s="896"/>
      <c r="AA114" s="896"/>
      <c r="AB114" s="896"/>
      <c r="AC114" s="2629" t="s">
        <v>4799</v>
      </c>
      <c r="AD114" s="3516">
        <v>31</v>
      </c>
      <c r="AE114" s="9592" t="str">
        <f>IF(AO114&lt;&gt;"",ROUND(AO114,0),IF(OR(AH106,AY101=""),"",AY101))</f>
        <v/>
      </c>
      <c r="AF114" s="9874"/>
      <c r="AG114" s="9874"/>
      <c r="AH114" s="9874"/>
      <c r="AI114" s="9874"/>
      <c r="AJ114" s="9874"/>
      <c r="AK114" s="461"/>
      <c r="AL114" s="461"/>
      <c r="AM114" s="461"/>
      <c r="AN114" s="808"/>
      <c r="AO114" s="3552"/>
      <c r="AP114" s="808"/>
      <c r="AQ114" s="2038"/>
      <c r="AR114" s="2038"/>
      <c r="AS114" s="2038"/>
      <c r="AT114" s="2038"/>
      <c r="AU114" s="2038"/>
      <c r="AV114" s="2038"/>
      <c r="AW114" s="2038"/>
      <c r="AX114" s="2038"/>
      <c r="AY114" s="2038"/>
      <c r="AZ114" s="2038"/>
      <c r="BA114" s="39"/>
      <c r="BB114" s="39"/>
    </row>
    <row r="115" spans="1:54" s="2690" customFormat="1" ht="15.75">
      <c r="A115" s="461"/>
      <c r="B115" s="1262"/>
      <c r="C115" s="61"/>
      <c r="D115" s="61"/>
      <c r="E115" s="61"/>
      <c r="F115" s="61"/>
      <c r="G115" s="61"/>
      <c r="H115" s="61"/>
      <c r="I115" s="61"/>
      <c r="J115" s="61"/>
      <c r="K115" s="61"/>
      <c r="L115" s="61"/>
      <c r="M115" s="61"/>
      <c r="N115" s="61"/>
      <c r="O115" s="61"/>
      <c r="P115" s="61"/>
      <c r="Q115" s="22"/>
      <c r="R115" s="22"/>
      <c r="S115" s="22"/>
      <c r="T115" s="22"/>
      <c r="U115" s="337"/>
      <c r="V115" s="22"/>
      <c r="W115" s="337"/>
      <c r="X115" s="22"/>
      <c r="Y115" s="22"/>
      <c r="Z115" s="22"/>
      <c r="AA115" s="22"/>
      <c r="AB115" s="22"/>
      <c r="AC115" s="22"/>
      <c r="AD115" s="22"/>
      <c r="AE115" s="22"/>
      <c r="AF115" s="22"/>
      <c r="AG115" s="22"/>
      <c r="AH115" s="705" t="s">
        <v>4753</v>
      </c>
      <c r="AI115" s="22"/>
      <c r="AJ115" s="705" t="str">
        <f>"("&amp;TaxYear&amp;")"</f>
        <v>(2023)</v>
      </c>
      <c r="AK115" s="461"/>
      <c r="AL115" s="461"/>
      <c r="AM115" s="461"/>
      <c r="AN115" s="1461"/>
      <c r="AO115" s="1461"/>
      <c r="AP115" s="808"/>
      <c r="AQ115" s="2038"/>
      <c r="AR115" s="2038"/>
      <c r="AS115" s="2038"/>
      <c r="AT115" s="2038"/>
      <c r="AU115" s="2038"/>
      <c r="AV115" s="2038"/>
      <c r="AW115" s="2038"/>
      <c r="AX115" s="2038"/>
      <c r="AY115" s="2038"/>
      <c r="AZ115" s="2038"/>
      <c r="BA115" s="39"/>
      <c r="BB115" s="39"/>
    </row>
    <row r="116" spans="1:54" s="2690" customFormat="1" ht="18" customHeight="1" thickBot="1">
      <c r="A116" s="461"/>
      <c r="B116" s="964" t="str">
        <f>"Form 8863 ("&amp;TaxYear&amp;")"</f>
        <v>Form 8863 (2023)</v>
      </c>
      <c r="C116" s="964"/>
      <c r="D116" s="964"/>
      <c r="E116" s="964"/>
      <c r="F116" s="964"/>
      <c r="G116" s="964"/>
      <c r="H116" s="964"/>
      <c r="I116" s="964"/>
      <c r="J116" s="964"/>
      <c r="K116" s="964"/>
      <c r="L116" s="964"/>
      <c r="M116" s="964"/>
      <c r="N116" s="964"/>
      <c r="O116" s="964"/>
      <c r="P116" s="964"/>
      <c r="Q116" s="964"/>
      <c r="R116" s="964"/>
      <c r="S116" s="964"/>
      <c r="T116" s="964"/>
      <c r="U116" s="964"/>
      <c r="V116" s="964"/>
      <c r="W116" s="964"/>
      <c r="X116" s="964"/>
      <c r="Y116" s="964"/>
      <c r="Z116" s="964"/>
      <c r="AA116" s="964"/>
      <c r="AB116" s="964"/>
      <c r="AC116" s="964"/>
      <c r="AD116" s="964"/>
      <c r="AE116" s="964"/>
      <c r="AF116" s="964"/>
      <c r="AG116" s="964"/>
      <c r="AH116" s="964"/>
      <c r="AI116" s="1368" t="s">
        <v>2387</v>
      </c>
      <c r="AJ116" s="1369">
        <v>2</v>
      </c>
      <c r="AK116" s="461"/>
      <c r="AL116" s="461"/>
      <c r="AM116" s="461"/>
      <c r="AN116" s="808"/>
      <c r="AO116" s="808"/>
      <c r="AP116" s="808"/>
      <c r="AQ116" s="2038"/>
      <c r="AR116" s="2038"/>
      <c r="AS116" s="2038"/>
      <c r="AT116" s="2038"/>
      <c r="AU116" s="2038"/>
      <c r="AV116" s="2038"/>
      <c r="AW116" s="2038"/>
      <c r="AX116" s="2038"/>
      <c r="AY116" s="2038"/>
      <c r="AZ116" s="2038"/>
      <c r="BA116" s="39"/>
      <c r="BB116" s="39"/>
    </row>
    <row r="117" spans="1:54" s="2690" customFormat="1" ht="16.5" customHeight="1" thickTop="1">
      <c r="A117" s="461"/>
      <c r="B117" s="3504" t="s">
        <v>2208</v>
      </c>
      <c r="C117" s="1121"/>
      <c r="D117" s="1121"/>
      <c r="E117" s="1121"/>
      <c r="F117" s="1121"/>
      <c r="G117" s="1121"/>
      <c r="H117" s="1121"/>
      <c r="I117" s="1121"/>
      <c r="J117" s="1121"/>
      <c r="K117" s="1121"/>
      <c r="L117" s="1121"/>
      <c r="M117" s="1121"/>
      <c r="N117" s="1121"/>
      <c r="O117" s="1121"/>
      <c r="P117" s="1121"/>
      <c r="Q117" s="1121"/>
      <c r="R117" s="1121"/>
      <c r="S117" s="1121"/>
      <c r="T117" s="1121"/>
      <c r="U117" s="1121"/>
      <c r="V117" s="1121"/>
      <c r="W117" s="1121"/>
      <c r="X117" s="1121"/>
      <c r="Y117" s="1121"/>
      <c r="Z117" s="1121"/>
      <c r="AA117" s="1121"/>
      <c r="AB117" s="1121"/>
      <c r="AC117" s="9877" t="s">
        <v>586</v>
      </c>
      <c r="AD117" s="9878"/>
      <c r="AE117" s="9878"/>
      <c r="AF117" s="9878"/>
      <c r="AG117" s="9878"/>
      <c r="AH117" s="9878"/>
      <c r="AI117" s="9878"/>
      <c r="AJ117" s="9878"/>
      <c r="AK117" s="461"/>
      <c r="AL117" s="461"/>
      <c r="AM117" s="461"/>
      <c r="AN117" s="808"/>
      <c r="AO117" s="808"/>
      <c r="AP117" s="808"/>
      <c r="AQ117" s="2038"/>
      <c r="AR117" s="2038"/>
      <c r="AS117" s="2038"/>
      <c r="AT117" s="2038"/>
      <c r="AU117" s="2038"/>
      <c r="AV117" s="2038"/>
      <c r="AW117" s="2038"/>
      <c r="AX117" s="2038"/>
      <c r="AY117" s="2038"/>
      <c r="AZ117" s="2038"/>
      <c r="BA117" s="39"/>
      <c r="BB117" s="39"/>
    </row>
    <row r="118" spans="1:54" s="2690" customFormat="1" ht="21.75" customHeight="1">
      <c r="A118" s="461"/>
      <c r="B118" s="9879" t="str">
        <f>Names</f>
        <v/>
      </c>
      <c r="C118" s="9880"/>
      <c r="D118" s="9880"/>
      <c r="E118" s="9880"/>
      <c r="F118" s="9880"/>
      <c r="G118" s="9880"/>
      <c r="H118" s="9880"/>
      <c r="I118" s="9880"/>
      <c r="J118" s="9880"/>
      <c r="K118" s="9880"/>
      <c r="L118" s="9880"/>
      <c r="M118" s="9880"/>
      <c r="N118" s="9880"/>
      <c r="O118" s="9880"/>
      <c r="P118" s="9880"/>
      <c r="Q118" s="9880"/>
      <c r="R118" s="9880"/>
      <c r="S118" s="9880"/>
      <c r="T118" s="9880"/>
      <c r="U118" s="9880"/>
      <c r="V118" s="9880"/>
      <c r="W118" s="9880"/>
      <c r="X118" s="9880"/>
      <c r="Y118" s="9880"/>
      <c r="Z118" s="9880"/>
      <c r="AA118" s="9880"/>
      <c r="AB118" s="9881"/>
      <c r="AC118" s="9882">
        <f>IF(OR(NoSSN,SS_Yours=""),"",SS_Yours)</f>
        <v>1010001</v>
      </c>
      <c r="AD118" s="9883"/>
      <c r="AE118" s="9883"/>
      <c r="AF118" s="9883"/>
      <c r="AG118" s="9883"/>
      <c r="AH118" s="9883"/>
      <c r="AI118" s="9883"/>
      <c r="AJ118" s="9883"/>
      <c r="AK118" s="461"/>
      <c r="AL118" s="461"/>
      <c r="AM118" s="461"/>
      <c r="AN118" s="808"/>
      <c r="AO118" s="808"/>
      <c r="AP118" s="808"/>
      <c r="AQ118" s="2038"/>
      <c r="AR118" s="2038"/>
      <c r="AS118" s="2038"/>
      <c r="AT118" s="2038"/>
      <c r="AU118" s="2038"/>
      <c r="AV118" s="2038"/>
      <c r="AW118" s="2038"/>
      <c r="AX118" s="2038"/>
      <c r="AY118" s="2038"/>
      <c r="AZ118" s="2038"/>
      <c r="BA118" s="39"/>
      <c r="BB118" s="39"/>
    </row>
    <row r="119" spans="1:54" s="2690" customFormat="1" ht="5.25" customHeight="1">
      <c r="A119" s="461"/>
      <c r="B119" s="3517"/>
      <c r="C119" s="3517"/>
      <c r="D119" s="3517" t="s">
        <v>4449</v>
      </c>
      <c r="E119" s="3517"/>
      <c r="F119" s="3517"/>
      <c r="G119" s="3517"/>
      <c r="H119" s="3517"/>
      <c r="I119" s="3517"/>
      <c r="J119" s="3517"/>
      <c r="K119" s="3517"/>
      <c r="L119" s="3517"/>
      <c r="M119" s="3517"/>
      <c r="N119" s="3517"/>
      <c r="O119" s="3517"/>
      <c r="P119" s="3517"/>
      <c r="Q119" s="3517"/>
      <c r="R119" s="3517"/>
      <c r="S119" s="3517"/>
      <c r="T119" s="3517"/>
      <c r="U119" s="3517"/>
      <c r="V119" s="3517"/>
      <c r="W119" s="3517"/>
      <c r="X119" s="3517"/>
      <c r="Y119" s="3517"/>
      <c r="Z119" s="3517"/>
      <c r="AA119" s="3517"/>
      <c r="AB119" s="3517"/>
      <c r="AC119" s="3517"/>
      <c r="AD119" s="3517"/>
      <c r="AE119" s="3517"/>
      <c r="AF119" s="3517"/>
      <c r="AG119" s="3517"/>
      <c r="AH119" s="3517"/>
      <c r="AI119" s="3517"/>
      <c r="AJ119" s="3517"/>
      <c r="AK119" s="461"/>
      <c r="AL119" s="461"/>
      <c r="AM119" s="461"/>
      <c r="AN119" s="808"/>
      <c r="AO119" s="808"/>
      <c r="AP119" s="808"/>
      <c r="AQ119" s="2038"/>
      <c r="AR119" s="2038"/>
      <c r="AS119" s="2038"/>
      <c r="AT119" s="2038"/>
      <c r="AU119" s="2038"/>
      <c r="AV119" s="2038"/>
      <c r="AW119" s="2038"/>
      <c r="AX119" s="2038"/>
      <c r="AY119" s="2038"/>
      <c r="AZ119" s="2038"/>
      <c r="BA119" s="39"/>
      <c r="BB119" s="39"/>
    </row>
    <row r="120" spans="1:54" s="3525" customFormat="1" ht="15.75" customHeight="1">
      <c r="A120" s="3497"/>
      <c r="B120" s="3518"/>
      <c r="C120" s="3518"/>
      <c r="D120" s="9896" t="s">
        <v>4754</v>
      </c>
      <c r="E120" s="9897"/>
      <c r="F120" s="9897"/>
      <c r="G120" s="9897"/>
      <c r="H120" s="9897"/>
      <c r="I120" s="9897"/>
      <c r="J120" s="9897"/>
      <c r="K120" s="9897"/>
      <c r="L120" s="9897"/>
      <c r="M120" s="9897"/>
      <c r="N120" s="9897"/>
      <c r="O120" s="9897"/>
      <c r="P120" s="9897"/>
      <c r="Q120" s="9897"/>
      <c r="R120" s="9897"/>
      <c r="S120" s="9897"/>
      <c r="T120" s="9897"/>
      <c r="U120" s="9897"/>
      <c r="V120" s="9897"/>
      <c r="W120" s="9897"/>
      <c r="X120" s="9897"/>
      <c r="Y120" s="9897"/>
      <c r="Z120" s="9897"/>
      <c r="AA120" s="9897"/>
      <c r="AB120" s="9897"/>
      <c r="AC120" s="9897"/>
      <c r="AD120" s="9897"/>
      <c r="AE120" s="9897"/>
      <c r="AF120" s="9897"/>
      <c r="AG120" s="9897"/>
      <c r="AH120" s="9897"/>
      <c r="AI120" s="9897"/>
      <c r="AJ120" s="9897"/>
      <c r="AK120" s="3497"/>
      <c r="AL120" s="3497"/>
      <c r="AM120" s="3497"/>
      <c r="AN120" s="3498"/>
      <c r="AO120" s="3498"/>
      <c r="AP120" s="1573"/>
      <c r="AQ120" s="3524"/>
      <c r="AR120" s="3524"/>
      <c r="AS120" s="3524"/>
      <c r="AT120" s="3524"/>
      <c r="AU120" s="3524"/>
      <c r="AV120" s="3524"/>
      <c r="AW120" s="3524"/>
      <c r="AX120" s="3524"/>
      <c r="AY120" s="3524"/>
      <c r="AZ120" s="3524"/>
      <c r="BA120" s="3499"/>
      <c r="BB120" s="3499"/>
    </row>
    <row r="121" spans="1:54" s="3525" customFormat="1" ht="15.75" customHeight="1">
      <c r="A121" s="3497"/>
      <c r="B121" s="3518"/>
      <c r="C121" s="3518"/>
      <c r="D121" s="9897"/>
      <c r="E121" s="9897"/>
      <c r="F121" s="9897"/>
      <c r="G121" s="9897"/>
      <c r="H121" s="9897"/>
      <c r="I121" s="9897"/>
      <c r="J121" s="9897"/>
      <c r="K121" s="9897"/>
      <c r="L121" s="9897"/>
      <c r="M121" s="9897"/>
      <c r="N121" s="9897"/>
      <c r="O121" s="9897"/>
      <c r="P121" s="9897"/>
      <c r="Q121" s="9897"/>
      <c r="R121" s="9897"/>
      <c r="S121" s="9897"/>
      <c r="T121" s="9897"/>
      <c r="U121" s="9897"/>
      <c r="V121" s="9897"/>
      <c r="W121" s="9897"/>
      <c r="X121" s="9897"/>
      <c r="Y121" s="9897"/>
      <c r="Z121" s="9897"/>
      <c r="AA121" s="9897"/>
      <c r="AB121" s="9897"/>
      <c r="AC121" s="9897"/>
      <c r="AD121" s="9897"/>
      <c r="AE121" s="9897"/>
      <c r="AF121" s="9897"/>
      <c r="AG121" s="9897"/>
      <c r="AH121" s="9897"/>
      <c r="AI121" s="9897"/>
      <c r="AJ121" s="9897"/>
      <c r="AK121" s="3497"/>
      <c r="AL121" s="3497"/>
      <c r="AM121" s="3497"/>
      <c r="AN121" s="3498"/>
      <c r="AO121" s="3498"/>
      <c r="AP121" s="1573"/>
      <c r="AQ121" s="3524"/>
      <c r="AR121" s="3524"/>
      <c r="AS121" s="3524"/>
      <c r="AT121" s="3524"/>
      <c r="AU121" s="3524"/>
      <c r="AV121" s="3524"/>
      <c r="AW121" s="3524"/>
      <c r="AX121" s="3524"/>
      <c r="AY121" s="3524"/>
      <c r="AZ121" s="3524"/>
      <c r="BA121" s="3499"/>
      <c r="BB121" s="3499"/>
    </row>
    <row r="122" spans="1:54" s="3525" customFormat="1" ht="15.75" customHeight="1">
      <c r="A122" s="3497"/>
      <c r="B122" s="3518"/>
      <c r="C122" s="3518"/>
      <c r="D122" s="9897"/>
      <c r="E122" s="9897"/>
      <c r="F122" s="9897"/>
      <c r="G122" s="9897"/>
      <c r="H122" s="9897"/>
      <c r="I122" s="9897"/>
      <c r="J122" s="9897"/>
      <c r="K122" s="9897"/>
      <c r="L122" s="9897"/>
      <c r="M122" s="9897"/>
      <c r="N122" s="9897"/>
      <c r="O122" s="9897"/>
      <c r="P122" s="9897"/>
      <c r="Q122" s="9897"/>
      <c r="R122" s="9897"/>
      <c r="S122" s="9897"/>
      <c r="T122" s="9897"/>
      <c r="U122" s="9897"/>
      <c r="V122" s="9897"/>
      <c r="W122" s="9897"/>
      <c r="X122" s="9897"/>
      <c r="Y122" s="9897"/>
      <c r="Z122" s="9897"/>
      <c r="AA122" s="9897"/>
      <c r="AB122" s="9897"/>
      <c r="AC122" s="9897"/>
      <c r="AD122" s="9897"/>
      <c r="AE122" s="9897"/>
      <c r="AF122" s="9897"/>
      <c r="AG122" s="9897"/>
      <c r="AH122" s="9897"/>
      <c r="AI122" s="9897"/>
      <c r="AJ122" s="9897"/>
      <c r="AK122" s="3497"/>
      <c r="AL122" s="3497"/>
      <c r="AM122" s="3497"/>
      <c r="AN122" s="3498"/>
      <c r="AO122" s="3498"/>
      <c r="AP122" s="1573"/>
      <c r="AQ122" s="3524"/>
      <c r="AR122" s="3524"/>
      <c r="AS122" s="3524"/>
      <c r="AT122" s="3524"/>
      <c r="AU122" s="3524"/>
      <c r="AV122" s="3524"/>
      <c r="AW122" s="3524"/>
      <c r="AX122" s="3524"/>
      <c r="AY122" s="3524"/>
      <c r="AZ122" s="3524"/>
      <c r="BA122" s="3499"/>
      <c r="BB122" s="3499"/>
    </row>
    <row r="123" spans="1:54" s="2690" customFormat="1" ht="6" customHeight="1">
      <c r="A123" s="461"/>
      <c r="B123" s="3519"/>
      <c r="C123" s="3519"/>
      <c r="D123" s="3519"/>
      <c r="E123" s="3519"/>
      <c r="F123" s="3519"/>
      <c r="G123" s="3519"/>
      <c r="H123" s="3519"/>
      <c r="I123" s="3519"/>
      <c r="J123" s="3519"/>
      <c r="K123" s="3519"/>
      <c r="L123" s="3519"/>
      <c r="M123" s="3519"/>
      <c r="N123" s="3519"/>
      <c r="O123" s="3519"/>
      <c r="P123" s="3519"/>
      <c r="Q123" s="3519"/>
      <c r="R123" s="3519"/>
      <c r="S123" s="3519"/>
      <c r="T123" s="3519"/>
      <c r="U123" s="3519"/>
      <c r="V123" s="3519"/>
      <c r="W123" s="3519"/>
      <c r="X123" s="3519"/>
      <c r="Y123" s="3519"/>
      <c r="Z123" s="3519"/>
      <c r="AA123" s="3519"/>
      <c r="AB123" s="3519"/>
      <c r="AC123" s="3519"/>
      <c r="AD123" s="3519"/>
      <c r="AE123" s="3519"/>
      <c r="AF123" s="3519"/>
      <c r="AG123" s="3519"/>
      <c r="AH123" s="3519"/>
      <c r="AI123" s="3519"/>
      <c r="AJ123" s="3519"/>
      <c r="AK123" s="461"/>
      <c r="AL123" s="461"/>
      <c r="AM123" s="461"/>
      <c r="AN123" s="808"/>
      <c r="AO123" s="808"/>
      <c r="AP123" s="808"/>
      <c r="AQ123" s="2038"/>
      <c r="AR123" s="2038"/>
      <c r="AS123" s="2038"/>
      <c r="AT123" s="2038"/>
      <c r="AU123" s="2038"/>
      <c r="AV123" s="2038"/>
      <c r="AW123" s="2038"/>
      <c r="AX123" s="2038"/>
      <c r="AY123" s="2038"/>
      <c r="AZ123" s="2038"/>
      <c r="BA123" s="39"/>
      <c r="BB123" s="39"/>
    </row>
    <row r="124" spans="1:54" s="2690" customFormat="1" ht="19.5" customHeight="1">
      <c r="A124" s="461"/>
      <c r="B124" s="6909" t="s">
        <v>2243</v>
      </c>
      <c r="C124" s="6909"/>
      <c r="D124" s="1139"/>
      <c r="E124" s="3849" t="s">
        <v>4755</v>
      </c>
      <c r="F124" s="1121"/>
      <c r="G124" s="1121"/>
      <c r="H124" s="1121"/>
      <c r="I124" s="1121"/>
      <c r="J124" s="1121"/>
      <c r="K124" s="1121"/>
      <c r="L124" s="1121"/>
      <c r="M124" s="1121"/>
      <c r="N124" s="1121"/>
      <c r="O124" s="1121"/>
      <c r="P124" s="1121"/>
      <c r="Q124" s="1121"/>
      <c r="R124" s="1121"/>
      <c r="S124" s="1121"/>
      <c r="T124" s="1121"/>
      <c r="U124" s="1121"/>
      <c r="V124" s="1121"/>
      <c r="W124" s="1121"/>
      <c r="X124" s="1121"/>
      <c r="Y124" s="1121"/>
      <c r="Z124" s="1121"/>
      <c r="AA124" s="1121"/>
      <c r="AB124" s="1121"/>
      <c r="AC124" s="1121"/>
      <c r="AD124" s="1121"/>
      <c r="AE124" s="1121"/>
      <c r="AF124" s="1121"/>
      <c r="AG124" s="1121"/>
      <c r="AH124" s="1121"/>
      <c r="AI124" s="1121"/>
      <c r="AJ124" s="1121"/>
      <c r="AK124" s="461"/>
      <c r="AL124" s="461"/>
      <c r="AM124" s="461"/>
      <c r="AN124" s="808"/>
      <c r="AO124" s="808"/>
      <c r="AP124" s="808"/>
      <c r="AQ124" s="2038"/>
      <c r="AR124" s="2038"/>
      <c r="AS124" s="2038"/>
      <c r="AT124" s="2038"/>
      <c r="AU124" s="2038"/>
      <c r="AV124" s="2038"/>
      <c r="AW124" s="2038"/>
      <c r="AX124" s="2038"/>
      <c r="AY124" s="2038"/>
      <c r="AZ124" s="2038"/>
      <c r="BA124" s="39"/>
      <c r="BB124" s="39"/>
    </row>
    <row r="125" spans="1:54" s="2690" customFormat="1" ht="16.5" customHeight="1">
      <c r="A125" s="461"/>
      <c r="B125" s="1127" t="s">
        <v>297</v>
      </c>
      <c r="C125" s="808"/>
      <c r="D125" s="3505" t="s">
        <v>4756</v>
      </c>
      <c r="E125" s="1142"/>
      <c r="F125" s="1142"/>
      <c r="G125" s="1142"/>
      <c r="H125" s="1142"/>
      <c r="I125" s="1142"/>
      <c r="J125" s="1142"/>
      <c r="K125" s="1142"/>
      <c r="L125" s="1142"/>
      <c r="M125" s="1143"/>
      <c r="N125" s="1144"/>
      <c r="O125" s="1259"/>
      <c r="P125" s="1142"/>
      <c r="Q125" s="1142"/>
      <c r="R125" s="1259"/>
      <c r="S125" s="1259"/>
      <c r="T125" s="1144">
        <v>21</v>
      </c>
      <c r="U125" s="3505" t="s">
        <v>4757</v>
      </c>
      <c r="V125" s="1259"/>
      <c r="W125" s="1259"/>
      <c r="X125" s="1259"/>
      <c r="Y125" s="1259"/>
      <c r="Z125" s="1259"/>
      <c r="AA125" s="1259"/>
      <c r="AB125" s="3507"/>
      <c r="AC125" s="1259"/>
      <c r="AD125" s="1259"/>
      <c r="AE125" s="1259"/>
      <c r="AF125" s="1259"/>
      <c r="AG125" s="1142"/>
      <c r="AH125" s="1259"/>
      <c r="AI125" s="1259"/>
      <c r="AJ125" s="1259"/>
      <c r="AK125" s="461"/>
      <c r="AL125" s="461"/>
      <c r="AM125" s="461"/>
      <c r="AN125" s="808"/>
      <c r="AO125" s="808"/>
      <c r="AP125" s="808"/>
      <c r="AQ125" s="2038"/>
      <c r="AR125" s="2038"/>
      <c r="AS125" s="2038"/>
      <c r="AT125" s="2038"/>
      <c r="AU125" s="2038"/>
      <c r="AV125" s="2038"/>
      <c r="AW125" s="2038"/>
      <c r="AX125" s="2038"/>
      <c r="AY125" s="2038"/>
      <c r="AZ125" s="2038"/>
      <c r="BA125" s="39"/>
      <c r="BB125" s="39"/>
    </row>
    <row r="126" spans="1:54" s="2690" customFormat="1" ht="15">
      <c r="A126" s="461"/>
      <c r="B126" s="1127"/>
      <c r="C126" s="808"/>
      <c r="D126" s="9889"/>
      <c r="E126" s="9889"/>
      <c r="F126" s="9889"/>
      <c r="G126" s="9889"/>
      <c r="H126" s="9889"/>
      <c r="I126" s="9889"/>
      <c r="J126" s="9889"/>
      <c r="K126" s="9889"/>
      <c r="L126" s="9889"/>
      <c r="M126" s="9889"/>
      <c r="N126" s="9889"/>
      <c r="O126" s="9889"/>
      <c r="P126" s="9889"/>
      <c r="Q126" s="9889"/>
      <c r="R126" s="9889"/>
      <c r="S126" s="9890"/>
      <c r="T126" s="3585"/>
      <c r="U126" s="2447" t="s">
        <v>4758</v>
      </c>
      <c r="V126" s="3586"/>
      <c r="W126" s="3586"/>
      <c r="X126" s="3586"/>
      <c r="Y126" s="3586"/>
      <c r="Z126" s="3586"/>
      <c r="AA126" s="3586"/>
      <c r="AB126" s="3586"/>
      <c r="AC126" s="3586"/>
      <c r="AD126" s="3586"/>
      <c r="AE126" s="3586"/>
      <c r="AF126" s="3586"/>
      <c r="AG126" s="3586"/>
      <c r="AH126" s="3586"/>
      <c r="AI126" s="3586"/>
      <c r="AJ126" s="3586"/>
      <c r="AK126" s="461"/>
      <c r="AL126" s="461"/>
      <c r="AM126" s="461"/>
      <c r="AN126" s="808"/>
      <c r="AO126" s="808"/>
      <c r="AP126" s="808"/>
      <c r="AQ126" s="2038"/>
      <c r="AR126" s="2038"/>
      <c r="AS126" s="2038"/>
      <c r="AT126" s="2038"/>
      <c r="AU126" s="2038"/>
      <c r="AV126" s="2038"/>
      <c r="AW126" s="2038"/>
      <c r="AX126" s="2038"/>
      <c r="AY126" s="2038"/>
      <c r="AZ126" s="2038"/>
      <c r="BA126" s="39"/>
      <c r="BB126" s="39"/>
    </row>
    <row r="127" spans="1:54" s="2690" customFormat="1" ht="18" customHeight="1">
      <c r="A127" s="461"/>
      <c r="B127" s="1127"/>
      <c r="C127" s="808"/>
      <c r="D127" s="9891"/>
      <c r="E127" s="9891"/>
      <c r="F127" s="9891"/>
      <c r="G127" s="9891"/>
      <c r="H127" s="9891"/>
      <c r="I127" s="9891"/>
      <c r="J127" s="9891"/>
      <c r="K127" s="9891"/>
      <c r="L127" s="9891"/>
      <c r="M127" s="9891"/>
      <c r="N127" s="9891"/>
      <c r="O127" s="9891"/>
      <c r="P127" s="9891"/>
      <c r="Q127" s="9891"/>
      <c r="R127" s="9891"/>
      <c r="S127" s="9892"/>
      <c r="T127" s="3508"/>
      <c r="U127" s="9893"/>
      <c r="V127" s="9893"/>
      <c r="W127" s="9893"/>
      <c r="X127" s="9893"/>
      <c r="Y127" s="9893"/>
      <c r="Z127" s="9893"/>
      <c r="AA127" s="9893"/>
      <c r="AB127" s="9893"/>
      <c r="AC127" s="9893"/>
      <c r="AD127" s="9893"/>
      <c r="AE127" s="9893"/>
      <c r="AF127" s="9893"/>
      <c r="AG127" s="9893"/>
      <c r="AH127" s="9893"/>
      <c r="AI127" s="9893"/>
      <c r="AJ127" s="9893"/>
      <c r="AK127" s="461"/>
      <c r="AL127" s="461"/>
      <c r="AM127" s="461"/>
      <c r="AN127" s="808"/>
      <c r="AO127" s="808"/>
      <c r="AP127" s="808"/>
      <c r="AQ127" s="2038"/>
      <c r="AR127" s="2038"/>
      <c r="AS127" s="2038"/>
      <c r="AT127" s="2038"/>
      <c r="AU127" s="2038"/>
      <c r="AV127" s="2038"/>
      <c r="AW127" s="2038"/>
      <c r="AX127" s="2038"/>
      <c r="AY127" s="2038"/>
      <c r="AZ127" s="2038"/>
      <c r="BA127" s="39"/>
      <c r="BB127" s="39"/>
    </row>
    <row r="128" spans="1:54" s="2690" customFormat="1" ht="16.5" customHeight="1">
      <c r="A128" s="461"/>
      <c r="B128" s="1133">
        <v>22</v>
      </c>
      <c r="C128" s="1122"/>
      <c r="D128" s="2190" t="s">
        <v>4759</v>
      </c>
      <c r="E128" s="1121"/>
      <c r="F128" s="1121"/>
      <c r="G128" s="1121"/>
      <c r="H128" s="1121"/>
      <c r="I128" s="1121"/>
      <c r="J128" s="1121"/>
      <c r="K128" s="1121"/>
      <c r="L128" s="1121"/>
      <c r="M128" s="1121"/>
      <c r="N128" s="1121"/>
      <c r="O128" s="1121"/>
      <c r="P128" s="1121"/>
      <c r="Q128" s="1121"/>
      <c r="R128" s="1121"/>
      <c r="S128" s="1121"/>
      <c r="T128" s="1121"/>
      <c r="U128" s="1121"/>
      <c r="V128" s="1121"/>
      <c r="W128" s="1121"/>
      <c r="X128" s="1121"/>
      <c r="Y128" s="1121"/>
      <c r="Z128" s="1121"/>
      <c r="AA128" s="1121"/>
      <c r="AB128" s="1121"/>
      <c r="AC128" s="1121"/>
      <c r="AD128" s="1121"/>
      <c r="AE128" s="1121"/>
      <c r="AF128" s="1121"/>
      <c r="AG128" s="1121"/>
      <c r="AH128" s="1121"/>
      <c r="AI128" s="1121"/>
      <c r="AJ128" s="1121"/>
      <c r="AK128" s="461"/>
      <c r="AL128" s="461"/>
      <c r="AM128" s="461"/>
      <c r="AN128" s="808"/>
      <c r="AO128" s="808"/>
      <c r="AP128" s="808"/>
      <c r="AQ128" s="2038"/>
      <c r="AR128" s="2038"/>
      <c r="AS128" s="2038"/>
      <c r="AT128" s="2038"/>
      <c r="AU128" s="2038"/>
      <c r="AV128" s="2038"/>
      <c r="AW128" s="2038"/>
      <c r="AX128" s="2038"/>
      <c r="AY128" s="2038"/>
      <c r="AZ128" s="2038"/>
      <c r="BA128" s="39"/>
      <c r="BB128" s="39"/>
    </row>
    <row r="129" spans="1:54" s="2690" customFormat="1" ht="16.5" customHeight="1">
      <c r="A129" s="461"/>
      <c r="B129" s="1127"/>
      <c r="C129" s="808"/>
      <c r="D129" s="1141" t="s">
        <v>1404</v>
      </c>
      <c r="E129" s="1259" t="s">
        <v>4760</v>
      </c>
      <c r="F129" s="1142"/>
      <c r="G129" s="1142"/>
      <c r="H129" s="1142"/>
      <c r="I129" s="1142"/>
      <c r="J129" s="1142"/>
      <c r="K129" s="1142"/>
      <c r="L129" s="1142"/>
      <c r="M129" s="1142"/>
      <c r="N129" s="1141"/>
      <c r="O129" s="1259"/>
      <c r="P129" s="1142"/>
      <c r="Q129" s="1142"/>
      <c r="R129" s="1259"/>
      <c r="S129" s="3506"/>
      <c r="T129" s="1144"/>
      <c r="U129" s="1141" t="s">
        <v>1363</v>
      </c>
      <c r="V129" s="1259" t="s">
        <v>4761</v>
      </c>
      <c r="W129" s="1259"/>
      <c r="X129" s="1259"/>
      <c r="Y129" s="1259"/>
      <c r="Z129" s="1259"/>
      <c r="AA129" s="1259"/>
      <c r="AB129" s="3507"/>
      <c r="AC129" s="1259"/>
      <c r="AD129" s="1259"/>
      <c r="AE129" s="1259"/>
      <c r="AF129" s="1142"/>
      <c r="AG129" s="1259"/>
      <c r="AH129" s="1259"/>
      <c r="AI129" s="1259"/>
      <c r="AJ129" s="1259"/>
      <c r="AK129" s="461"/>
      <c r="AL129" s="461"/>
      <c r="AM129" s="461"/>
      <c r="AN129" s="808"/>
      <c r="AO129" s="808"/>
      <c r="AP129" s="808"/>
      <c r="AQ129" s="2038"/>
      <c r="AR129" s="2038"/>
      <c r="AS129" s="2038"/>
      <c r="AT129" s="2038"/>
      <c r="AU129" s="2038"/>
      <c r="AV129" s="2038"/>
      <c r="AW129" s="2038"/>
      <c r="AX129" s="2038"/>
      <c r="AY129" s="2038"/>
      <c r="AZ129" s="2038"/>
      <c r="BA129" s="39"/>
      <c r="BB129" s="39"/>
    </row>
    <row r="130" spans="1:54" s="2690" customFormat="1" ht="18">
      <c r="A130" s="461"/>
      <c r="B130" s="1127"/>
      <c r="C130" s="39"/>
      <c r="D130" s="9894"/>
      <c r="E130" s="9894"/>
      <c r="F130" s="9894"/>
      <c r="G130" s="9894"/>
      <c r="H130" s="9894"/>
      <c r="I130" s="9894"/>
      <c r="J130" s="9894"/>
      <c r="K130" s="9894"/>
      <c r="L130" s="9894"/>
      <c r="M130" s="9894"/>
      <c r="N130" s="9894"/>
      <c r="O130" s="9894"/>
      <c r="P130" s="9894"/>
      <c r="Q130" s="9894"/>
      <c r="R130" s="9894"/>
      <c r="S130" s="9895"/>
      <c r="T130" s="9901"/>
      <c r="U130" s="9902"/>
      <c r="V130" s="9902"/>
      <c r="W130" s="9902"/>
      <c r="X130" s="9902"/>
      <c r="Y130" s="9902"/>
      <c r="Z130" s="9902"/>
      <c r="AA130" s="9902"/>
      <c r="AB130" s="9902"/>
      <c r="AC130" s="9902"/>
      <c r="AD130" s="9902"/>
      <c r="AE130" s="9902"/>
      <c r="AF130" s="9902"/>
      <c r="AG130" s="9902"/>
      <c r="AH130" s="9902"/>
      <c r="AI130" s="9902"/>
      <c r="AJ130" s="9902"/>
      <c r="AK130" s="461"/>
      <c r="AL130" s="461"/>
      <c r="AM130" s="461"/>
      <c r="AN130" s="808"/>
      <c r="AO130" s="808"/>
      <c r="AP130" s="808"/>
      <c r="AQ130" s="2038"/>
      <c r="AR130" s="2038"/>
      <c r="AS130" s="2038"/>
      <c r="AT130" s="2038"/>
      <c r="AU130" s="2038"/>
      <c r="AV130" s="2038"/>
      <c r="AW130" s="2038"/>
      <c r="AX130" s="2038"/>
      <c r="AY130" s="2038"/>
      <c r="AZ130" s="2038"/>
      <c r="BA130" s="39"/>
      <c r="BB130" s="39"/>
    </row>
    <row r="131" spans="1:54" s="2690" customFormat="1" ht="12.75" customHeight="1">
      <c r="A131" s="461"/>
      <c r="B131" s="808"/>
      <c r="C131" s="808"/>
      <c r="D131" s="3503" t="s">
        <v>4296</v>
      </c>
      <c r="E131" s="2112" t="s">
        <v>4762</v>
      </c>
      <c r="F131" s="808"/>
      <c r="G131" s="808"/>
      <c r="H131" s="808"/>
      <c r="I131" s="808"/>
      <c r="J131" s="808"/>
      <c r="K131" s="808"/>
      <c r="L131" s="808"/>
      <c r="M131" s="808"/>
      <c r="N131" s="808"/>
      <c r="O131" s="808"/>
      <c r="P131" s="808"/>
      <c r="Q131" s="808"/>
      <c r="R131" s="808"/>
      <c r="S131" s="1143"/>
      <c r="T131" s="808"/>
      <c r="U131" s="3503" t="s">
        <v>4296</v>
      </c>
      <c r="V131" s="2112" t="s">
        <v>4762</v>
      </c>
      <c r="W131" s="808"/>
      <c r="X131" s="808"/>
      <c r="Y131" s="808"/>
      <c r="Z131" s="808"/>
      <c r="AA131" s="808"/>
      <c r="AB131" s="808"/>
      <c r="AC131" s="808"/>
      <c r="AD131" s="808"/>
      <c r="AE131" s="808"/>
      <c r="AF131" s="808"/>
      <c r="AG131" s="808"/>
      <c r="AH131" s="808"/>
      <c r="AI131" s="808"/>
      <c r="AJ131" s="808"/>
      <c r="AK131" s="461"/>
      <c r="AL131" s="461"/>
      <c r="AM131" s="461"/>
      <c r="AN131" s="808"/>
      <c r="AO131" s="808"/>
      <c r="AP131" s="808"/>
      <c r="AQ131" s="2038"/>
      <c r="AR131" s="2038"/>
      <c r="AS131" s="2038"/>
      <c r="AT131" s="2038"/>
      <c r="AU131" s="2038"/>
      <c r="AV131" s="2038"/>
      <c r="AW131" s="2038"/>
      <c r="AX131" s="2038"/>
      <c r="AY131" s="2038"/>
      <c r="AZ131" s="2038"/>
      <c r="BA131" s="39"/>
      <c r="BB131" s="39"/>
    </row>
    <row r="132" spans="1:54" s="2690" customFormat="1" ht="14.25">
      <c r="A132" s="461"/>
      <c r="B132" s="808"/>
      <c r="C132" s="808"/>
      <c r="D132" s="808"/>
      <c r="E132" s="2112" t="s">
        <v>4763</v>
      </c>
      <c r="F132" s="808"/>
      <c r="G132" s="808"/>
      <c r="H132" s="808"/>
      <c r="I132" s="808"/>
      <c r="J132" s="808"/>
      <c r="K132" s="808"/>
      <c r="L132" s="808"/>
      <c r="M132" s="808"/>
      <c r="N132" s="808"/>
      <c r="O132" s="808"/>
      <c r="P132" s="808"/>
      <c r="Q132" s="808"/>
      <c r="R132" s="808"/>
      <c r="S132" s="1151"/>
      <c r="T132" s="808"/>
      <c r="U132" s="808"/>
      <c r="V132" s="2112" t="s">
        <v>4763</v>
      </c>
      <c r="W132" s="808"/>
      <c r="X132" s="808"/>
      <c r="Y132" s="808"/>
      <c r="Z132" s="808"/>
      <c r="AA132" s="808"/>
      <c r="AB132" s="808"/>
      <c r="AC132" s="808"/>
      <c r="AD132" s="808"/>
      <c r="AE132" s="808"/>
      <c r="AF132" s="808"/>
      <c r="AG132" s="808"/>
      <c r="AH132" s="808"/>
      <c r="AI132" s="808"/>
      <c r="AJ132" s="808"/>
      <c r="AK132" s="461"/>
      <c r="AL132" s="461"/>
      <c r="AM132" s="461"/>
      <c r="AN132" s="808"/>
      <c r="AO132" s="808"/>
      <c r="AP132" s="808"/>
      <c r="AQ132" s="2038"/>
      <c r="AR132" s="2038"/>
      <c r="AS132" s="2038"/>
      <c r="AT132" s="2038"/>
      <c r="AU132" s="2038"/>
      <c r="AV132" s="2038"/>
      <c r="AW132" s="2038"/>
      <c r="AX132" s="2038"/>
      <c r="AY132" s="2038"/>
      <c r="AZ132" s="2038"/>
      <c r="BA132" s="39"/>
      <c r="BB132" s="39"/>
    </row>
    <row r="133" spans="1:54" s="2690" customFormat="1" ht="14.25">
      <c r="A133" s="461"/>
      <c r="B133" s="808"/>
      <c r="C133" s="808"/>
      <c r="D133" s="808"/>
      <c r="E133" s="2112" t="s">
        <v>3264</v>
      </c>
      <c r="F133" s="808"/>
      <c r="G133" s="808"/>
      <c r="H133" s="808"/>
      <c r="I133" s="808"/>
      <c r="J133" s="808"/>
      <c r="K133" s="808"/>
      <c r="L133" s="808"/>
      <c r="M133" s="808"/>
      <c r="N133" s="808"/>
      <c r="O133" s="808"/>
      <c r="P133" s="808"/>
      <c r="Q133" s="808"/>
      <c r="R133" s="808"/>
      <c r="S133" s="1151"/>
      <c r="T133" s="808"/>
      <c r="U133" s="808"/>
      <c r="V133" s="2112" t="s">
        <v>3264</v>
      </c>
      <c r="W133" s="808"/>
      <c r="X133" s="808"/>
      <c r="Y133" s="808"/>
      <c r="Z133" s="808"/>
      <c r="AA133" s="808"/>
      <c r="AB133" s="808"/>
      <c r="AC133" s="808"/>
      <c r="AD133" s="808"/>
      <c r="AE133" s="808"/>
      <c r="AF133" s="808"/>
      <c r="AG133" s="808"/>
      <c r="AH133" s="808"/>
      <c r="AI133" s="808"/>
      <c r="AJ133" s="808"/>
      <c r="AK133" s="461"/>
      <c r="AL133" s="461"/>
      <c r="AM133" s="461"/>
      <c r="AN133" s="808"/>
      <c r="AO133" s="808"/>
      <c r="AP133" s="808"/>
      <c r="AQ133" s="2038"/>
      <c r="AR133" s="2038"/>
      <c r="AS133" s="2038"/>
      <c r="AT133" s="2038"/>
      <c r="AU133" s="2038"/>
      <c r="AV133" s="2038"/>
      <c r="AW133" s="2038"/>
      <c r="AX133" s="2038"/>
      <c r="AY133" s="2038"/>
      <c r="AZ133" s="2038"/>
      <c r="BA133" s="39"/>
      <c r="BB133" s="39"/>
    </row>
    <row r="134" spans="1:54" s="2690" customFormat="1" ht="15.75">
      <c r="A134" s="461"/>
      <c r="B134" s="1127"/>
      <c r="C134" s="39"/>
      <c r="D134" s="6651"/>
      <c r="E134" s="6651"/>
      <c r="F134" s="6651"/>
      <c r="G134" s="6651"/>
      <c r="H134" s="6651"/>
      <c r="I134" s="6651"/>
      <c r="J134" s="6651"/>
      <c r="K134" s="6651"/>
      <c r="L134" s="6651"/>
      <c r="M134" s="6651"/>
      <c r="N134" s="6651"/>
      <c r="O134" s="6651"/>
      <c r="P134" s="6651"/>
      <c r="Q134" s="6651"/>
      <c r="R134" s="6651"/>
      <c r="S134" s="9904"/>
      <c r="T134" s="9903"/>
      <c r="U134" s="6472"/>
      <c r="V134" s="6472"/>
      <c r="W134" s="6472"/>
      <c r="X134" s="6472"/>
      <c r="Y134" s="6472"/>
      <c r="Z134" s="6472"/>
      <c r="AA134" s="6472"/>
      <c r="AB134" s="6472"/>
      <c r="AC134" s="6472"/>
      <c r="AD134" s="6472"/>
      <c r="AE134" s="6472"/>
      <c r="AF134" s="6472"/>
      <c r="AG134" s="6472"/>
      <c r="AH134" s="6472"/>
      <c r="AI134" s="6472"/>
      <c r="AJ134" s="6472"/>
      <c r="AK134" s="461"/>
      <c r="AL134" s="461"/>
      <c r="AM134" s="461"/>
      <c r="AN134" s="808"/>
      <c r="AO134" s="808"/>
      <c r="AP134" s="808"/>
      <c r="AQ134" s="2038"/>
      <c r="AR134" s="2038"/>
      <c r="AS134" s="2038"/>
      <c r="AT134" s="2038"/>
      <c r="AU134" s="2038"/>
      <c r="AV134" s="2038"/>
      <c r="AW134" s="2038"/>
      <c r="AX134" s="2038"/>
      <c r="AY134" s="2038"/>
      <c r="AZ134" s="2038"/>
      <c r="BA134" s="39"/>
      <c r="BB134" s="39"/>
    </row>
    <row r="135" spans="1:54" s="2690" customFormat="1" ht="16.5" customHeight="1">
      <c r="A135" s="461"/>
      <c r="B135" s="808"/>
      <c r="C135" s="808"/>
      <c r="D135" s="3503" t="s">
        <v>4298</v>
      </c>
      <c r="E135" s="9884" t="str">
        <f>"Did the student receive Form 1098-T"&amp;CHAR(10)&amp;"from this institution for "&amp;TaxYear&amp;"?"</f>
        <v>Did the student receive Form 1098-T
from this institution for 2023?</v>
      </c>
      <c r="F135" s="9884"/>
      <c r="G135" s="9884"/>
      <c r="H135" s="9884"/>
      <c r="I135" s="9884"/>
      <c r="J135" s="9884"/>
      <c r="K135" s="9884"/>
      <c r="L135" s="9884"/>
      <c r="M135" s="9884"/>
      <c r="N135" s="9884"/>
      <c r="O135" s="808"/>
      <c r="P135" s="808"/>
      <c r="Q135" s="808"/>
      <c r="R135" s="808"/>
      <c r="S135" s="808"/>
      <c r="T135" s="1149"/>
      <c r="U135" s="3503" t="s">
        <v>4298</v>
      </c>
      <c r="V135" s="9884" t="str">
        <f>"Did the student receive Form 1098-T"&amp;CHAR(10)&amp;"from this institution for "&amp;TaxYear&amp;"?"</f>
        <v>Did the student receive Form 1098-T
from this institution for 2023?</v>
      </c>
      <c r="W135" s="9884"/>
      <c r="X135" s="9884"/>
      <c r="Y135" s="9884"/>
      <c r="Z135" s="9884"/>
      <c r="AA135" s="9884"/>
      <c r="AB135" s="9884"/>
      <c r="AC135" s="9884"/>
      <c r="AD135" s="9884"/>
      <c r="AE135" s="9884"/>
      <c r="AF135" s="808"/>
      <c r="AG135" s="808"/>
      <c r="AH135" s="808"/>
      <c r="AI135" s="808"/>
      <c r="AJ135" s="808"/>
      <c r="AK135" s="461"/>
      <c r="AL135" s="461"/>
      <c r="AM135" s="461"/>
      <c r="AN135" s="808"/>
      <c r="AO135" s="808"/>
      <c r="AP135" s="808"/>
      <c r="AQ135" s="2038"/>
      <c r="AR135" s="2038"/>
      <c r="AS135" s="2038"/>
      <c r="AT135" s="2038"/>
      <c r="AU135" s="2038"/>
      <c r="AV135" s="2038"/>
      <c r="AW135" s="2038"/>
      <c r="AX135" s="2038"/>
      <c r="AY135" s="2038"/>
      <c r="AZ135" s="2038"/>
      <c r="BA135" s="39"/>
      <c r="BB135" s="39"/>
    </row>
    <row r="136" spans="1:54" s="2690" customFormat="1" ht="14.25" customHeight="1">
      <c r="A136" s="461"/>
      <c r="B136" s="808"/>
      <c r="C136" s="808"/>
      <c r="D136" s="808"/>
      <c r="E136" s="9885"/>
      <c r="F136" s="9885"/>
      <c r="G136" s="9885"/>
      <c r="H136" s="9885"/>
      <c r="I136" s="9885"/>
      <c r="J136" s="9885"/>
      <c r="K136" s="9885"/>
      <c r="L136" s="9885"/>
      <c r="M136" s="9885"/>
      <c r="N136" s="9885"/>
      <c r="O136" s="3509"/>
      <c r="P136" s="899" t="s">
        <v>1448</v>
      </c>
      <c r="Q136" s="808"/>
      <c r="R136" s="3509"/>
      <c r="S136" s="899" t="s">
        <v>820</v>
      </c>
      <c r="T136" s="2950"/>
      <c r="U136" s="808"/>
      <c r="V136" s="9885"/>
      <c r="W136" s="9885"/>
      <c r="X136" s="9885"/>
      <c r="Y136" s="9885"/>
      <c r="Z136" s="9885"/>
      <c r="AA136" s="9885"/>
      <c r="AB136" s="9885"/>
      <c r="AC136" s="9885"/>
      <c r="AD136" s="9885"/>
      <c r="AE136" s="9885"/>
      <c r="AF136" s="3509"/>
      <c r="AG136" s="899" t="s">
        <v>1448</v>
      </c>
      <c r="AH136" s="808"/>
      <c r="AI136" s="3509"/>
      <c r="AJ136" s="899" t="s">
        <v>820</v>
      </c>
      <c r="AK136" s="461"/>
      <c r="AL136" s="461"/>
      <c r="AM136" s="461"/>
      <c r="AN136" s="808"/>
      <c r="AO136" s="808"/>
      <c r="AP136" s="808"/>
      <c r="AQ136" s="2038"/>
      <c r="AR136" s="2038"/>
      <c r="AS136" s="2038"/>
      <c r="AT136" s="2038"/>
      <c r="AU136" s="2038"/>
      <c r="AV136" s="2038"/>
      <c r="AW136" s="2038"/>
      <c r="AX136" s="2038"/>
      <c r="AY136" s="2038"/>
      <c r="AZ136" s="2038"/>
      <c r="BA136" s="39"/>
      <c r="BB136" s="39"/>
    </row>
    <row r="137" spans="1:54" s="2690" customFormat="1" ht="7.5" customHeight="1">
      <c r="A137" s="461"/>
      <c r="B137" s="1121"/>
      <c r="C137" s="1121"/>
      <c r="D137" s="1121"/>
      <c r="E137" s="9886"/>
      <c r="F137" s="9886"/>
      <c r="G137" s="9886"/>
      <c r="H137" s="9886"/>
      <c r="I137" s="9886"/>
      <c r="J137" s="9886"/>
      <c r="K137" s="9886"/>
      <c r="L137" s="9886"/>
      <c r="M137" s="9886"/>
      <c r="N137" s="9886"/>
      <c r="O137" s="1121"/>
      <c r="P137" s="1121"/>
      <c r="Q137" s="1121"/>
      <c r="R137" s="1121"/>
      <c r="S137" s="1121"/>
      <c r="T137" s="1154"/>
      <c r="U137" s="1121"/>
      <c r="V137" s="9886"/>
      <c r="W137" s="9886"/>
      <c r="X137" s="9886"/>
      <c r="Y137" s="9886"/>
      <c r="Z137" s="9886"/>
      <c r="AA137" s="9886"/>
      <c r="AB137" s="9886"/>
      <c r="AC137" s="9886"/>
      <c r="AD137" s="9886"/>
      <c r="AE137" s="9886"/>
      <c r="AF137" s="1121"/>
      <c r="AG137" s="1121"/>
      <c r="AH137" s="1121"/>
      <c r="AI137" s="1121"/>
      <c r="AJ137" s="1121"/>
      <c r="AK137" s="461"/>
      <c r="AL137" s="461"/>
      <c r="AM137" s="461"/>
      <c r="AN137" s="808"/>
      <c r="AO137" s="808"/>
      <c r="AP137" s="808"/>
      <c r="AQ137" s="2042"/>
      <c r="AR137" s="2042"/>
      <c r="AS137" s="2042"/>
      <c r="AT137" s="2042"/>
      <c r="AU137" s="2042"/>
      <c r="AV137" s="2042"/>
      <c r="AW137" s="2042"/>
      <c r="AX137" s="2042"/>
      <c r="AY137" s="2042"/>
      <c r="AZ137" s="2042"/>
      <c r="BA137" s="39"/>
      <c r="BB137" s="39"/>
    </row>
    <row r="138" spans="1:54" s="2690" customFormat="1" ht="16.5" customHeight="1">
      <c r="A138" s="461"/>
      <c r="B138" s="808"/>
      <c r="C138" s="808"/>
      <c r="D138" s="3511" t="s">
        <v>4764</v>
      </c>
      <c r="E138" s="9884" t="str">
        <f>"Did the student receive Form 1098-T"&amp;CHAR(10)&amp;"from this institution for "&amp;TaxYear-1&amp;" with box"&amp;CHAR(10)&amp;"7 checked?"</f>
        <v>Did the student receive Form 1098-T
from this institution for 2022 with box
7 checked?</v>
      </c>
      <c r="F138" s="9884"/>
      <c r="G138" s="9884"/>
      <c r="H138" s="9884"/>
      <c r="I138" s="9884"/>
      <c r="J138" s="9884"/>
      <c r="K138" s="9884"/>
      <c r="L138" s="9884"/>
      <c r="M138" s="9884"/>
      <c r="N138" s="9884"/>
      <c r="O138" s="808"/>
      <c r="P138" s="808"/>
      <c r="Q138" s="808"/>
      <c r="R138" s="808"/>
      <c r="S138" s="808"/>
      <c r="T138" s="1150"/>
      <c r="U138" s="3511" t="s">
        <v>4764</v>
      </c>
      <c r="V138" s="9884" t="str">
        <f>"Did the student receive Form 1098-T"&amp;CHAR(10)&amp;"from this institution for "&amp;TaxYear-1&amp;" with box"&amp;CHAR(10)&amp;"7 checked?"</f>
        <v>Did the student receive Form 1098-T
from this institution for 2022 with box
7 checked?</v>
      </c>
      <c r="W138" s="9884"/>
      <c r="X138" s="9884"/>
      <c r="Y138" s="9884"/>
      <c r="Z138" s="9884"/>
      <c r="AA138" s="9884"/>
      <c r="AB138" s="9884"/>
      <c r="AC138" s="9884"/>
      <c r="AD138" s="9884"/>
      <c r="AE138" s="9884"/>
      <c r="AF138" s="808"/>
      <c r="AG138" s="808"/>
      <c r="AH138" s="808"/>
      <c r="AI138" s="808"/>
      <c r="AJ138" s="808"/>
      <c r="AK138" s="461"/>
      <c r="AL138" s="461"/>
      <c r="AM138" s="461"/>
      <c r="AN138" s="808"/>
      <c r="AO138" s="808"/>
      <c r="AP138" s="808"/>
      <c r="AQ138" s="2038"/>
      <c r="AR138" s="2038"/>
      <c r="AS138" s="2038"/>
      <c r="AT138" s="2038"/>
      <c r="AU138" s="2038"/>
      <c r="AV138" s="2038"/>
      <c r="AW138" s="2038"/>
      <c r="AX138" s="2038"/>
      <c r="AY138" s="2038"/>
      <c r="AZ138" s="2038"/>
      <c r="BA138" s="39"/>
      <c r="BB138" s="39"/>
    </row>
    <row r="139" spans="1:54" s="2690" customFormat="1" ht="14.25" customHeight="1">
      <c r="A139" s="461"/>
      <c r="B139" s="808"/>
      <c r="C139" s="808"/>
      <c r="D139" s="808"/>
      <c r="E139" s="9885"/>
      <c r="F139" s="9885"/>
      <c r="G139" s="9885"/>
      <c r="H139" s="9885"/>
      <c r="I139" s="9885"/>
      <c r="J139" s="9885"/>
      <c r="K139" s="9885"/>
      <c r="L139" s="9885"/>
      <c r="M139" s="9885"/>
      <c r="N139" s="9885"/>
      <c r="O139" s="3509"/>
      <c r="P139" s="899" t="s">
        <v>1448</v>
      </c>
      <c r="Q139" s="808"/>
      <c r="R139" s="3509"/>
      <c r="S139" s="899" t="s">
        <v>820</v>
      </c>
      <c r="T139" s="2950"/>
      <c r="U139" s="808"/>
      <c r="V139" s="9885"/>
      <c r="W139" s="9885"/>
      <c r="X139" s="9885"/>
      <c r="Y139" s="9885"/>
      <c r="Z139" s="9885"/>
      <c r="AA139" s="9885"/>
      <c r="AB139" s="9885"/>
      <c r="AC139" s="9885"/>
      <c r="AD139" s="9885"/>
      <c r="AE139" s="9885"/>
      <c r="AF139" s="3509"/>
      <c r="AG139" s="899" t="s">
        <v>1448</v>
      </c>
      <c r="AH139" s="808"/>
      <c r="AI139" s="3509"/>
      <c r="AJ139" s="899" t="s">
        <v>820</v>
      </c>
      <c r="AK139" s="461"/>
      <c r="AL139" s="461"/>
      <c r="AM139" s="461"/>
      <c r="AN139" s="808"/>
      <c r="AO139" s="808"/>
      <c r="AP139" s="808"/>
      <c r="AQ139" s="2038"/>
      <c r="AR139" s="2038"/>
      <c r="AS139" s="2038"/>
      <c r="AT139" s="2038"/>
      <c r="AU139" s="2038"/>
      <c r="AV139" s="2038"/>
      <c r="AW139" s="2038"/>
      <c r="AX139" s="2038"/>
      <c r="AY139" s="2038"/>
      <c r="AZ139" s="2038"/>
      <c r="BA139" s="39"/>
      <c r="BB139" s="39"/>
    </row>
    <row r="140" spans="1:54" s="2690" customFormat="1" ht="13.5" customHeight="1">
      <c r="A140" s="461"/>
      <c r="B140" s="1121"/>
      <c r="C140" s="1121"/>
      <c r="D140" s="1121"/>
      <c r="E140" s="9886"/>
      <c r="F140" s="9886"/>
      <c r="G140" s="9886"/>
      <c r="H140" s="9886"/>
      <c r="I140" s="9886"/>
      <c r="J140" s="9886"/>
      <c r="K140" s="9886"/>
      <c r="L140" s="9886"/>
      <c r="M140" s="9886"/>
      <c r="N140" s="9886"/>
      <c r="O140" s="1121"/>
      <c r="P140" s="1121"/>
      <c r="Q140" s="1121"/>
      <c r="R140" s="1121"/>
      <c r="S140" s="1121"/>
      <c r="T140" s="1154"/>
      <c r="U140" s="1121"/>
      <c r="V140" s="9886"/>
      <c r="W140" s="9886"/>
      <c r="X140" s="9886"/>
      <c r="Y140" s="9886"/>
      <c r="Z140" s="9886"/>
      <c r="AA140" s="9886"/>
      <c r="AB140" s="9886"/>
      <c r="AC140" s="9886"/>
      <c r="AD140" s="9886"/>
      <c r="AE140" s="9886"/>
      <c r="AF140" s="1121"/>
      <c r="AG140" s="1121"/>
      <c r="AH140" s="1121"/>
      <c r="AI140" s="1121"/>
      <c r="AJ140" s="1121"/>
      <c r="AK140" s="461"/>
      <c r="AL140" s="461"/>
      <c r="AM140" s="461"/>
      <c r="AN140" s="808"/>
      <c r="AO140" s="808"/>
      <c r="AP140" s="808"/>
      <c r="AQ140" s="2038"/>
      <c r="AR140" s="2038"/>
      <c r="AS140" s="2038"/>
      <c r="AT140" s="2038"/>
      <c r="AU140" s="2038"/>
      <c r="AV140" s="2038"/>
      <c r="AW140" s="2038"/>
      <c r="AX140" s="2038"/>
      <c r="AY140" s="2038"/>
      <c r="AZ140" s="2038"/>
      <c r="BA140" s="39"/>
      <c r="BB140" s="39"/>
    </row>
    <row r="141" spans="1:54" s="2690" customFormat="1" ht="21" customHeight="1" thickBot="1">
      <c r="A141" s="461"/>
      <c r="B141" s="808"/>
      <c r="C141" s="808"/>
      <c r="D141" s="3511" t="s">
        <v>624</v>
      </c>
      <c r="E141" s="9884" t="s">
        <v>4804</v>
      </c>
      <c r="F141" s="9884"/>
      <c r="G141" s="9884"/>
      <c r="H141" s="9884"/>
      <c r="I141" s="9884"/>
      <c r="J141" s="9884"/>
      <c r="K141" s="9884"/>
      <c r="L141" s="9884"/>
      <c r="M141" s="9884"/>
      <c r="N141" s="9884"/>
      <c r="O141" s="9884"/>
      <c r="P141" s="9884"/>
      <c r="Q141" s="9884"/>
      <c r="R141" s="9884"/>
      <c r="S141" s="9887"/>
      <c r="T141" s="1150"/>
      <c r="U141" s="3511" t="s">
        <v>624</v>
      </c>
      <c r="V141" s="9884" t="s">
        <v>4765</v>
      </c>
      <c r="W141" s="9884"/>
      <c r="X141" s="9884"/>
      <c r="Y141" s="9884"/>
      <c r="Z141" s="9884"/>
      <c r="AA141" s="9884"/>
      <c r="AB141" s="9884"/>
      <c r="AC141" s="9884"/>
      <c r="AD141" s="9884"/>
      <c r="AE141" s="9884"/>
      <c r="AF141" s="9884"/>
      <c r="AG141" s="9884"/>
      <c r="AH141" s="9884"/>
      <c r="AI141" s="9884"/>
      <c r="AJ141" s="9884"/>
      <c r="AK141" s="461"/>
      <c r="AL141" s="461"/>
      <c r="AM141" s="461"/>
      <c r="AN141" s="808"/>
      <c r="AO141" s="808"/>
      <c r="AP141" s="808"/>
      <c r="AQ141" s="2038"/>
      <c r="AR141" s="2038"/>
      <c r="AS141" s="2038"/>
      <c r="AT141" s="2038"/>
      <c r="AU141" s="2038"/>
      <c r="AV141" s="2038"/>
      <c r="AW141" s="2038"/>
      <c r="AX141" s="2038"/>
      <c r="AY141" s="2038"/>
      <c r="AZ141" s="2038"/>
      <c r="BA141" s="39"/>
      <c r="BB141" s="39"/>
    </row>
    <row r="142" spans="1:54" s="2690" customFormat="1" ht="14.25" customHeight="1">
      <c r="A142" s="461"/>
      <c r="B142" s="808"/>
      <c r="C142" s="808"/>
      <c r="D142" s="808"/>
      <c r="E142" s="9885"/>
      <c r="F142" s="9885"/>
      <c r="G142" s="9885"/>
      <c r="H142" s="9885"/>
      <c r="I142" s="9885"/>
      <c r="J142" s="9885"/>
      <c r="K142" s="9885"/>
      <c r="L142" s="9885"/>
      <c r="M142" s="9885"/>
      <c r="N142" s="9885"/>
      <c r="O142" s="9885"/>
      <c r="P142" s="9885"/>
      <c r="Q142" s="9885"/>
      <c r="R142" s="9885"/>
      <c r="S142" s="9888"/>
      <c r="T142" s="2950"/>
      <c r="U142" s="808"/>
      <c r="V142" s="9885"/>
      <c r="W142" s="9885"/>
      <c r="X142" s="9885"/>
      <c r="Y142" s="9885"/>
      <c r="Z142" s="9885"/>
      <c r="AA142" s="9885"/>
      <c r="AB142" s="9885"/>
      <c r="AC142" s="9885"/>
      <c r="AD142" s="9885"/>
      <c r="AE142" s="9885"/>
      <c r="AF142" s="9885"/>
      <c r="AG142" s="9885"/>
      <c r="AH142" s="9885"/>
      <c r="AI142" s="9885"/>
      <c r="AJ142" s="9885"/>
      <c r="AK142" s="461"/>
      <c r="AL142" s="461"/>
      <c r="AM142" s="461"/>
      <c r="AN142" s="808"/>
      <c r="AO142" s="808"/>
      <c r="AP142" s="808"/>
      <c r="AQ142" s="3561" t="s">
        <v>4766</v>
      </c>
      <c r="AR142" s="3562"/>
      <c r="AS142" s="3562"/>
      <c r="AT142" s="3562"/>
      <c r="AU142" s="3562"/>
      <c r="AV142" s="3562"/>
      <c r="AW142" s="3562"/>
      <c r="AX142" s="3562"/>
      <c r="AY142" s="3562"/>
      <c r="AZ142" s="3563"/>
      <c r="BA142" s="39"/>
      <c r="BB142" s="39"/>
    </row>
    <row r="143" spans="1:54" s="2690" customFormat="1" ht="26.25" customHeight="1">
      <c r="A143" s="461"/>
      <c r="B143" s="808"/>
      <c r="C143" s="808"/>
      <c r="D143" s="808"/>
      <c r="E143" s="9885"/>
      <c r="F143" s="9885"/>
      <c r="G143" s="9885"/>
      <c r="H143" s="9885"/>
      <c r="I143" s="9885"/>
      <c r="J143" s="9885"/>
      <c r="K143" s="9885"/>
      <c r="L143" s="9885"/>
      <c r="M143" s="9885"/>
      <c r="N143" s="9885"/>
      <c r="O143" s="9885"/>
      <c r="P143" s="9885"/>
      <c r="Q143" s="9885"/>
      <c r="R143" s="9885"/>
      <c r="S143" s="9888"/>
      <c r="T143" s="1150"/>
      <c r="U143" s="808"/>
      <c r="V143" s="9885"/>
      <c r="W143" s="9885"/>
      <c r="X143" s="9885"/>
      <c r="Y143" s="9885"/>
      <c r="Z143" s="9885"/>
      <c r="AA143" s="9885"/>
      <c r="AB143" s="9885"/>
      <c r="AC143" s="9885"/>
      <c r="AD143" s="9885"/>
      <c r="AE143" s="9885"/>
      <c r="AF143" s="9885"/>
      <c r="AG143" s="9885"/>
      <c r="AH143" s="9885"/>
      <c r="AI143" s="9885"/>
      <c r="AJ143" s="9885"/>
      <c r="AK143" s="461"/>
      <c r="AL143" s="461"/>
      <c r="AM143" s="461"/>
      <c r="AN143" s="808"/>
      <c r="AO143" s="808"/>
      <c r="AP143" s="808"/>
      <c r="AQ143" s="3564" t="s">
        <v>4767</v>
      </c>
      <c r="AR143" s="3565"/>
      <c r="AS143" s="3565"/>
      <c r="AT143" s="3565"/>
      <c r="AU143" s="3565"/>
      <c r="AV143" s="3565"/>
      <c r="AW143" s="3565"/>
      <c r="AX143" s="3565"/>
      <c r="AY143" s="3565"/>
      <c r="AZ143" s="3566"/>
      <c r="BA143" s="39"/>
      <c r="BB143" s="39"/>
    </row>
    <row r="144" spans="1:54" s="2690" customFormat="1" ht="17.25" customHeight="1">
      <c r="A144" s="461"/>
      <c r="B144" s="808"/>
      <c r="C144" s="808"/>
      <c r="D144" s="808"/>
      <c r="E144" s="3509"/>
      <c r="F144" s="3509"/>
      <c r="G144" s="3513" t="s">
        <v>4768</v>
      </c>
      <c r="H144" s="3509"/>
      <c r="I144" s="3509"/>
      <c r="J144" s="3509"/>
      <c r="K144" s="3509"/>
      <c r="L144" s="3509"/>
      <c r="M144" s="3509"/>
      <c r="N144" s="3509"/>
      <c r="O144" s="3510"/>
      <c r="P144" s="3510"/>
      <c r="Q144" s="3510"/>
      <c r="R144" s="3510"/>
      <c r="S144" s="3512"/>
      <c r="T144" s="1150"/>
      <c r="U144" s="808"/>
      <c r="V144" s="3509"/>
      <c r="W144" s="3509"/>
      <c r="X144" s="3513" t="s">
        <v>4768</v>
      </c>
      <c r="Y144" s="3509"/>
      <c r="Z144" s="3509"/>
      <c r="AA144" s="3509"/>
      <c r="AB144" s="3509"/>
      <c r="AC144" s="3509"/>
      <c r="AD144" s="3509"/>
      <c r="AE144" s="3509"/>
      <c r="AF144" s="808"/>
      <c r="AG144" s="808"/>
      <c r="AH144" s="808"/>
      <c r="AI144" s="808"/>
      <c r="AJ144" s="808"/>
      <c r="AK144" s="461"/>
      <c r="AL144" s="461"/>
      <c r="AM144" s="461"/>
      <c r="AN144" s="808"/>
      <c r="AO144" s="808"/>
      <c r="AP144" s="808"/>
      <c r="AQ144" s="3567" t="str">
        <f>"(see below) in "&amp;TaxYear&amp;" for which you paid (or are treated as having paid) qualified education expenses in "&amp;TaxYear&amp;"."</f>
        <v>(see below) in 2023 for which you paid (or are treated as having paid) qualified education expenses in 2023.</v>
      </c>
      <c r="AR144" s="3568"/>
      <c r="AS144" s="3568"/>
      <c r="AT144" s="3568"/>
      <c r="AU144" s="3568"/>
      <c r="AV144" s="3568"/>
      <c r="AW144" s="3568"/>
      <c r="AX144" s="3568"/>
      <c r="AY144" s="3568"/>
      <c r="AZ144" s="3569"/>
      <c r="BA144" s="39"/>
      <c r="BB144" s="39"/>
    </row>
    <row r="145" spans="1:54" s="2690" customFormat="1" ht="14.25">
      <c r="A145" s="461"/>
      <c r="B145" s="1121"/>
      <c r="C145" s="1121"/>
      <c r="D145" s="1121"/>
      <c r="E145" s="2190"/>
      <c r="F145" s="1121"/>
      <c r="G145" s="1121"/>
      <c r="H145" s="1121"/>
      <c r="I145" s="1121"/>
      <c r="J145" s="1121"/>
      <c r="K145" s="1121"/>
      <c r="L145" s="1121"/>
      <c r="M145" s="1121"/>
      <c r="N145" s="1121"/>
      <c r="O145" s="1121"/>
      <c r="P145" s="1121"/>
      <c r="Q145" s="1121"/>
      <c r="R145" s="1121"/>
      <c r="S145" s="2391"/>
      <c r="T145" s="1154"/>
      <c r="U145" s="1121"/>
      <c r="V145" s="1121"/>
      <c r="W145" s="1121"/>
      <c r="X145" s="1121"/>
      <c r="Y145" s="1121"/>
      <c r="Z145" s="1121"/>
      <c r="AA145" s="1121"/>
      <c r="AB145" s="1121"/>
      <c r="AC145" s="1121"/>
      <c r="AD145" s="1121"/>
      <c r="AE145" s="1121"/>
      <c r="AF145" s="1121"/>
      <c r="AG145" s="1121"/>
      <c r="AH145" s="1121"/>
      <c r="AI145" s="1121"/>
      <c r="AJ145" s="1121"/>
      <c r="AK145" s="461"/>
      <c r="AL145" s="461"/>
      <c r="AM145" s="461"/>
      <c r="AN145" s="808"/>
      <c r="AO145" s="808"/>
      <c r="AP145" s="808"/>
      <c r="AQ145" s="3570"/>
      <c r="AR145" s="2923"/>
      <c r="AS145" s="2923"/>
      <c r="AT145" s="2923"/>
      <c r="AU145" s="2923"/>
      <c r="AV145" s="2923"/>
      <c r="AW145" s="2923"/>
      <c r="AX145" s="2923"/>
      <c r="AY145" s="2923"/>
      <c r="AZ145" s="3571"/>
      <c r="BA145" s="39"/>
      <c r="BB145" s="39"/>
    </row>
    <row r="146" spans="1:54" s="2690" customFormat="1" ht="15">
      <c r="A146" s="461"/>
      <c r="B146" s="1127">
        <v>23</v>
      </c>
      <c r="C146" s="808"/>
      <c r="D146" s="808"/>
      <c r="E146" s="2112" t="s">
        <v>4769</v>
      </c>
      <c r="F146" s="808"/>
      <c r="G146" s="808"/>
      <c r="H146" s="808"/>
      <c r="I146" s="808"/>
      <c r="J146" s="808"/>
      <c r="K146" s="808"/>
      <c r="L146" s="808"/>
      <c r="M146" s="808"/>
      <c r="N146" s="808"/>
      <c r="O146" s="808"/>
      <c r="P146" s="808"/>
      <c r="Q146" s="808"/>
      <c r="R146" s="808"/>
      <c r="S146" s="808"/>
      <c r="T146" s="808"/>
      <c r="U146" s="808"/>
      <c r="V146" s="808"/>
      <c r="W146" s="808"/>
      <c r="X146" s="808"/>
      <c r="Y146" s="808"/>
      <c r="Z146" s="808"/>
      <c r="AA146" s="808"/>
      <c r="AB146" s="808"/>
      <c r="AC146" s="808"/>
      <c r="AD146" s="808"/>
      <c r="AE146" s="808"/>
      <c r="AF146" s="808"/>
      <c r="AG146" s="808"/>
      <c r="AH146" s="808"/>
      <c r="AI146" s="808"/>
      <c r="AJ146" s="808"/>
      <c r="AK146" s="461"/>
      <c r="AL146" s="461"/>
      <c r="AM146" s="461"/>
      <c r="AN146" s="808"/>
      <c r="AO146" s="808"/>
      <c r="AP146" s="808"/>
      <c r="AQ146" s="3572" t="s">
        <v>4770</v>
      </c>
      <c r="AR146" s="2923"/>
      <c r="AS146" s="2923"/>
      <c r="AT146" s="2923"/>
      <c r="AU146" s="2923"/>
      <c r="AV146" s="2923"/>
      <c r="AW146" s="2923"/>
      <c r="AX146" s="2923"/>
      <c r="AY146" s="2923"/>
      <c r="AZ146" s="3571"/>
      <c r="BA146" s="39"/>
      <c r="BB146" s="39"/>
    </row>
    <row r="147" spans="1:54" s="2690" customFormat="1" ht="15">
      <c r="A147" s="461"/>
      <c r="B147" s="808"/>
      <c r="C147" s="808"/>
      <c r="D147" s="808"/>
      <c r="E147" s="2645" t="s">
        <v>4771</v>
      </c>
      <c r="F147" s="808"/>
      <c r="G147" s="808"/>
      <c r="H147" s="808"/>
      <c r="I147" s="808"/>
      <c r="J147" s="808"/>
      <c r="K147" s="808"/>
      <c r="L147" s="808"/>
      <c r="M147" s="808"/>
      <c r="N147" s="808"/>
      <c r="O147" s="808"/>
      <c r="P147" s="808"/>
      <c r="Q147" s="808"/>
      <c r="R147" s="808"/>
      <c r="S147" s="808"/>
      <c r="T147" s="3509"/>
      <c r="U147" s="892" t="s">
        <v>4772</v>
      </c>
      <c r="V147" s="808"/>
      <c r="W147" s="808"/>
      <c r="X147" s="808"/>
      <c r="Y147" s="808"/>
      <c r="Z147" s="808"/>
      <c r="AA147" s="808"/>
      <c r="AB147" s="808"/>
      <c r="AC147" s="3527" t="str">
        <f>IF(T147&lt;&gt;"","","X")</f>
        <v>X</v>
      </c>
      <c r="AD147" s="892" t="s">
        <v>4773</v>
      </c>
      <c r="AE147" s="808"/>
      <c r="AF147" s="808"/>
      <c r="AG147" s="808"/>
      <c r="AH147" s="808"/>
      <c r="AI147" s="808"/>
      <c r="AJ147" s="808"/>
      <c r="AK147" s="461"/>
      <c r="AL147" s="461"/>
      <c r="AM147" s="461"/>
      <c r="AN147" s="808"/>
      <c r="AO147" s="808"/>
      <c r="AP147" s="808"/>
      <c r="AQ147" s="3573" t="str">
        <f>TaxYear&amp;" for the academic period"</f>
        <v>2023 for the academic period</v>
      </c>
      <c r="AR147" s="3553"/>
      <c r="AS147" s="3553"/>
      <c r="AT147" s="3553"/>
      <c r="AU147" s="3553"/>
      <c r="AV147" s="3553"/>
      <c r="AW147" s="3556"/>
      <c r="AX147" s="3556" t="s">
        <v>167</v>
      </c>
      <c r="AY147" s="1401"/>
      <c r="AZ147" s="3554"/>
      <c r="BA147" s="39"/>
      <c r="BB147" s="39"/>
    </row>
    <row r="148" spans="1:54" s="3526" customFormat="1" ht="16.5" customHeight="1">
      <c r="A148" s="4064"/>
      <c r="B148" s="893"/>
      <c r="C148" s="893"/>
      <c r="D148" s="893"/>
      <c r="E148" s="2952"/>
      <c r="F148" s="893"/>
      <c r="G148" s="893"/>
      <c r="H148" s="893"/>
      <c r="I148" s="893"/>
      <c r="J148" s="893"/>
      <c r="K148" s="893"/>
      <c r="L148" s="893"/>
      <c r="M148" s="893"/>
      <c r="N148" s="893"/>
      <c r="O148" s="893"/>
      <c r="P148" s="893"/>
      <c r="Q148" s="893"/>
      <c r="R148" s="893"/>
      <c r="S148" s="893"/>
      <c r="T148" s="893"/>
      <c r="U148" s="893" t="s">
        <v>4774</v>
      </c>
      <c r="V148" s="893"/>
      <c r="W148" s="893"/>
      <c r="X148" s="893"/>
      <c r="Y148" s="893"/>
      <c r="Z148" s="893"/>
      <c r="AA148" s="893"/>
      <c r="AB148" s="893"/>
      <c r="AC148" s="893"/>
      <c r="AD148" s="893"/>
      <c r="AE148" s="893"/>
      <c r="AF148" s="893"/>
      <c r="AG148" s="893"/>
      <c r="AH148" s="893"/>
      <c r="AI148" s="893"/>
      <c r="AJ148" s="893"/>
      <c r="AK148" s="4064"/>
      <c r="AL148" s="4064"/>
      <c r="AM148" s="4064"/>
      <c r="AN148" s="893"/>
      <c r="AO148" s="893"/>
      <c r="AP148" s="893"/>
      <c r="AQ148" s="3574"/>
      <c r="AR148" s="3553"/>
      <c r="AS148" s="3553"/>
      <c r="AT148" s="3553"/>
      <c r="AU148" s="3553"/>
      <c r="AV148" s="3553"/>
      <c r="AW148" s="3556"/>
      <c r="AX148" s="3556"/>
      <c r="AY148" s="3556"/>
      <c r="AZ148" s="3554"/>
      <c r="BA148" s="649"/>
      <c r="BB148" s="649"/>
    </row>
    <row r="149" spans="1:54" s="2690" customFormat="1" ht="15">
      <c r="A149" s="461"/>
      <c r="B149" s="3514">
        <v>24</v>
      </c>
      <c r="C149" s="1142"/>
      <c r="D149" s="1142"/>
      <c r="E149" s="2440" t="s">
        <v>4775</v>
      </c>
      <c r="F149" s="1142"/>
      <c r="G149" s="1142"/>
      <c r="H149" s="1142"/>
      <c r="I149" s="1142"/>
      <c r="J149" s="1142"/>
      <c r="K149" s="1142"/>
      <c r="L149" s="1142"/>
      <c r="M149" s="1142"/>
      <c r="N149" s="1142"/>
      <c r="O149" s="1142"/>
      <c r="P149" s="1142"/>
      <c r="Q149" s="1142"/>
      <c r="R149" s="1142"/>
      <c r="S149" s="1142"/>
      <c r="T149" s="1142"/>
      <c r="U149" s="1142"/>
      <c r="V149" s="1142"/>
      <c r="W149" s="1142"/>
      <c r="X149" s="1142"/>
      <c r="Y149" s="1142"/>
      <c r="Z149" s="1142"/>
      <c r="AA149" s="1142"/>
      <c r="AB149" s="1142"/>
      <c r="AC149" s="1142"/>
      <c r="AD149" s="1142"/>
      <c r="AE149" s="1142"/>
      <c r="AF149" s="1142"/>
      <c r="AG149" s="1142"/>
      <c r="AH149" s="1142"/>
      <c r="AI149" s="1142"/>
      <c r="AJ149" s="1142"/>
      <c r="AK149" s="461"/>
      <c r="AL149" s="461"/>
      <c r="AM149" s="461"/>
      <c r="AN149" s="808"/>
      <c r="AO149" s="808"/>
      <c r="AP149" s="808"/>
      <c r="AQ149" s="3572" t="s">
        <v>4776</v>
      </c>
      <c r="AR149" s="3565"/>
      <c r="AS149" s="3565"/>
      <c r="AT149" s="3565"/>
      <c r="AU149" s="3565"/>
      <c r="AV149" s="3565"/>
      <c r="AW149" s="3565"/>
      <c r="AX149" s="3565"/>
      <c r="AY149" s="2923"/>
      <c r="AZ149" s="3566"/>
      <c r="BA149" s="39"/>
      <c r="BB149" s="39"/>
    </row>
    <row r="150" spans="1:54" s="2690" customFormat="1" ht="15">
      <c r="A150" s="461"/>
      <c r="B150" s="1127"/>
      <c r="C150" s="808"/>
      <c r="D150" s="808"/>
      <c r="E150" s="2112" t="s">
        <v>4777</v>
      </c>
      <c r="F150" s="808"/>
      <c r="G150" s="808"/>
      <c r="H150" s="808"/>
      <c r="I150" s="808"/>
      <c r="J150" s="808"/>
      <c r="K150" s="808"/>
      <c r="L150" s="808"/>
      <c r="M150" s="808"/>
      <c r="N150" s="808"/>
      <c r="O150" s="808"/>
      <c r="P150" s="808"/>
      <c r="Q150" s="808"/>
      <c r="R150" s="808"/>
      <c r="S150" s="808"/>
      <c r="T150" s="808"/>
      <c r="U150" s="808"/>
      <c r="V150" s="808"/>
      <c r="W150" s="808"/>
      <c r="X150" s="808"/>
      <c r="Y150" s="808"/>
      <c r="Z150" s="808"/>
      <c r="AA150" s="808"/>
      <c r="AB150" s="808"/>
      <c r="AC150" s="808"/>
      <c r="AD150" s="808"/>
      <c r="AE150" s="808"/>
      <c r="AF150" s="808"/>
      <c r="AG150" s="808"/>
      <c r="AH150" s="808"/>
      <c r="AI150" s="808"/>
      <c r="AJ150" s="808"/>
      <c r="AK150" s="461"/>
      <c r="AL150" s="461"/>
      <c r="AM150" s="461"/>
      <c r="AN150" s="808"/>
      <c r="AO150" s="808"/>
      <c r="AP150" s="808"/>
      <c r="AQ150" s="3575" t="s">
        <v>1404</v>
      </c>
      <c r="AR150" s="3576" t="str">
        <f>"Tax-free educational assistance received in "&amp;TaxYear&amp;" allocable to"</f>
        <v>Tax-free educational assistance received in 2023 allocable to</v>
      </c>
      <c r="AS150" s="2923"/>
      <c r="AT150" s="2923"/>
      <c r="AU150" s="2923"/>
      <c r="AV150" s="2923"/>
      <c r="AW150" s="2923"/>
      <c r="AX150" s="2923"/>
      <c r="AY150" s="2923"/>
      <c r="AZ150" s="3571"/>
      <c r="BA150" s="39"/>
      <c r="BB150" s="39"/>
    </row>
    <row r="151" spans="1:54" s="2690" customFormat="1" ht="15">
      <c r="A151" s="461"/>
      <c r="B151" s="1127"/>
      <c r="C151" s="808"/>
      <c r="D151" s="808"/>
      <c r="E151" s="2112" t="str">
        <f>"in "&amp;TaxYear&amp;" at an eligible educational institution in a program"</f>
        <v>in 2023 at an eligible educational institution in a program</v>
      </c>
      <c r="F151" s="808"/>
      <c r="G151" s="808"/>
      <c r="H151" s="808"/>
      <c r="I151" s="808"/>
      <c r="J151" s="808"/>
      <c r="K151" s="808"/>
      <c r="L151" s="808"/>
      <c r="M151" s="808"/>
      <c r="N151" s="808"/>
      <c r="O151" s="808"/>
      <c r="P151" s="808"/>
      <c r="Q151" s="808"/>
      <c r="R151" s="808"/>
      <c r="S151" s="808"/>
      <c r="T151" s="808"/>
      <c r="U151" s="808"/>
      <c r="V151" s="808"/>
      <c r="W151" s="808"/>
      <c r="X151" s="808"/>
      <c r="Y151" s="808"/>
      <c r="Z151" s="808"/>
      <c r="AA151" s="808"/>
      <c r="AB151" s="808"/>
      <c r="AC151" s="808"/>
      <c r="AD151" s="808"/>
      <c r="AE151" s="808"/>
      <c r="AF151" s="808"/>
      <c r="AG151" s="808"/>
      <c r="AH151" s="808"/>
      <c r="AI151" s="808"/>
      <c r="AJ151" s="808"/>
      <c r="AK151" s="461"/>
      <c r="AL151" s="461"/>
      <c r="AM151" s="461"/>
      <c r="AN151" s="808"/>
      <c r="AO151" s="808"/>
      <c r="AP151" s="808"/>
      <c r="AQ151" s="3578"/>
      <c r="AR151" s="3576" t="s">
        <v>4778</v>
      </c>
      <c r="AS151" s="3579"/>
      <c r="AT151" s="3579"/>
      <c r="AU151" s="3579"/>
      <c r="AV151" s="3579"/>
      <c r="AW151" s="3556" t="s">
        <v>1369</v>
      </c>
      <c r="AX151" s="1401"/>
      <c r="AY151" s="2923"/>
      <c r="AZ151" s="3577"/>
      <c r="BA151" s="39"/>
      <c r="BB151" s="39"/>
    </row>
    <row r="152" spans="1:54" s="2690" customFormat="1" ht="15">
      <c r="A152" s="461"/>
      <c r="B152" s="808"/>
      <c r="C152" s="808"/>
      <c r="D152" s="808"/>
      <c r="E152" s="2645" t="s">
        <v>4779</v>
      </c>
      <c r="F152" s="808"/>
      <c r="G152" s="808"/>
      <c r="H152" s="808"/>
      <c r="I152" s="808"/>
      <c r="J152" s="808"/>
      <c r="K152" s="808"/>
      <c r="L152" s="808"/>
      <c r="M152" s="808"/>
      <c r="N152" s="808"/>
      <c r="O152" s="808"/>
      <c r="P152" s="808"/>
      <c r="Q152" s="808"/>
      <c r="R152" s="808"/>
      <c r="S152" s="808"/>
      <c r="T152" s="3527" t="str">
        <f>IF(AC152&lt;&gt;"","","X")</f>
        <v>X</v>
      </c>
      <c r="U152" s="892" t="s">
        <v>4780</v>
      </c>
      <c r="V152" s="808"/>
      <c r="W152" s="808"/>
      <c r="X152" s="808"/>
      <c r="Y152" s="808"/>
      <c r="Z152" s="808"/>
      <c r="AA152" s="808"/>
      <c r="AB152" s="808"/>
      <c r="AC152" s="3509"/>
      <c r="AD152" s="892" t="s">
        <v>4781</v>
      </c>
      <c r="AE152" s="808"/>
      <c r="AF152" s="808"/>
      <c r="AG152" s="808"/>
      <c r="AH152" s="808"/>
      <c r="AI152" s="808"/>
      <c r="AJ152" s="808"/>
      <c r="AK152" s="461"/>
      <c r="AL152" s="461"/>
      <c r="AM152" s="461"/>
      <c r="AN152" s="808"/>
      <c r="AO152" s="808"/>
      <c r="AP152" s="808"/>
      <c r="AQ152" s="3575" t="s">
        <v>1363</v>
      </c>
      <c r="AR152" s="3576" t="str">
        <f>"Tax-free educational assistance received in "&amp;TaxYear+1&amp;" (and before you"</f>
        <v>Tax-free educational assistance received in 2024 (and before you</v>
      </c>
      <c r="AS152" s="2923"/>
      <c r="AT152" s="2923"/>
      <c r="AU152" s="2923"/>
      <c r="AV152" s="2923"/>
      <c r="AW152" s="2923"/>
      <c r="AX152" s="2923"/>
      <c r="AY152" s="2923"/>
      <c r="AZ152" s="3571"/>
      <c r="BA152" s="39"/>
      <c r="BB152" s="39"/>
    </row>
    <row r="153" spans="1:54" s="2690" customFormat="1" ht="14.25">
      <c r="A153" s="461"/>
      <c r="B153" s="808"/>
      <c r="C153" s="808"/>
      <c r="D153" s="808"/>
      <c r="E153" s="2645" t="s">
        <v>4782</v>
      </c>
      <c r="F153" s="808"/>
      <c r="G153" s="808"/>
      <c r="H153" s="808"/>
      <c r="I153" s="808"/>
      <c r="J153" s="808"/>
      <c r="K153" s="808"/>
      <c r="L153" s="808"/>
      <c r="M153" s="808"/>
      <c r="N153" s="808"/>
      <c r="O153" s="808"/>
      <c r="P153" s="808"/>
      <c r="Q153" s="808"/>
      <c r="R153" s="808"/>
      <c r="S153" s="808"/>
      <c r="T153" s="808"/>
      <c r="U153" s="808"/>
      <c r="V153" s="808"/>
      <c r="W153" s="808"/>
      <c r="X153" s="808"/>
      <c r="Y153" s="808"/>
      <c r="Z153" s="808"/>
      <c r="AA153" s="808"/>
      <c r="AB153" s="808"/>
      <c r="AC153" s="808"/>
      <c r="AD153" s="892" t="s">
        <v>4783</v>
      </c>
      <c r="AE153" s="808"/>
      <c r="AF153" s="808"/>
      <c r="AG153" s="808"/>
      <c r="AH153" s="808"/>
      <c r="AI153" s="808"/>
      <c r="AJ153" s="808"/>
      <c r="AK153" s="461"/>
      <c r="AL153" s="461"/>
      <c r="AM153" s="461"/>
      <c r="AN153" s="808"/>
      <c r="AO153" s="808"/>
      <c r="AP153" s="808"/>
      <c r="AQ153" s="3578"/>
      <c r="AR153" s="3576" t="str">
        <f>"file your "&amp;TaxYear&amp;" tax return) allocable to the academic period"</f>
        <v>file your 2023 tax return) allocable to the academic period</v>
      </c>
      <c r="AS153" s="3579"/>
      <c r="AT153" s="3579"/>
      <c r="AU153" s="3579"/>
      <c r="AV153" s="3579"/>
      <c r="AW153" s="3556" t="s">
        <v>1379</v>
      </c>
      <c r="AX153" s="1401"/>
      <c r="AY153" s="2923"/>
      <c r="AZ153" s="3577"/>
      <c r="BA153" s="39"/>
      <c r="BB153" s="39"/>
    </row>
    <row r="154" spans="1:54" s="3526" customFormat="1" ht="16.5" customHeight="1">
      <c r="A154" s="4064"/>
      <c r="B154" s="893"/>
      <c r="C154" s="893"/>
      <c r="D154" s="893"/>
      <c r="E154" s="2952" t="s">
        <v>832</v>
      </c>
      <c r="F154" s="893"/>
      <c r="G154" s="893"/>
      <c r="H154" s="893"/>
      <c r="I154" s="893"/>
      <c r="J154" s="893"/>
      <c r="K154" s="893"/>
      <c r="L154" s="893"/>
      <c r="M154" s="893"/>
      <c r="N154" s="893"/>
      <c r="O154" s="893"/>
      <c r="P154" s="893"/>
      <c r="Q154" s="893"/>
      <c r="R154" s="893"/>
      <c r="S154" s="893"/>
      <c r="T154" s="893"/>
      <c r="U154" s="893"/>
      <c r="V154" s="893"/>
      <c r="W154" s="893"/>
      <c r="X154" s="893"/>
      <c r="Y154" s="893"/>
      <c r="Z154" s="893"/>
      <c r="AA154" s="893"/>
      <c r="AB154" s="893"/>
      <c r="AC154" s="893"/>
      <c r="AD154" s="893"/>
      <c r="AE154" s="893"/>
      <c r="AF154" s="893"/>
      <c r="AG154" s="893"/>
      <c r="AH154" s="893"/>
      <c r="AI154" s="893"/>
      <c r="AJ154" s="893"/>
      <c r="AK154" s="4064"/>
      <c r="AL154" s="4064"/>
      <c r="AM154" s="4064"/>
      <c r="AN154" s="893"/>
      <c r="AO154" s="893"/>
      <c r="AP154" s="893"/>
      <c r="AQ154" s="3575" t="s">
        <v>1381</v>
      </c>
      <c r="AR154" s="3576" t="str">
        <f>"Refunds of qualified education expenses paid in "&amp;TaxYear&amp;" if the refund"</f>
        <v>Refunds of qualified education expenses paid in 2023 if the refund</v>
      </c>
      <c r="AS154" s="2923"/>
      <c r="AT154" s="2923"/>
      <c r="AU154" s="2923"/>
      <c r="AV154" s="2923"/>
      <c r="AW154" s="2923"/>
      <c r="AX154" s="2923"/>
      <c r="AY154" s="2923"/>
      <c r="AZ154" s="3571"/>
      <c r="BA154" s="649"/>
      <c r="BB154" s="649"/>
    </row>
    <row r="155" spans="1:54" s="2690" customFormat="1" ht="15">
      <c r="A155" s="461"/>
      <c r="B155" s="3514">
        <v>25</v>
      </c>
      <c r="C155" s="1142"/>
      <c r="D155" s="1142"/>
      <c r="E155" s="2440" t="s">
        <v>4784</v>
      </c>
      <c r="F155" s="1142"/>
      <c r="G155" s="1142"/>
      <c r="H155" s="1142"/>
      <c r="I155" s="1142"/>
      <c r="J155" s="1142"/>
      <c r="K155" s="1142"/>
      <c r="L155" s="1142"/>
      <c r="M155" s="1142"/>
      <c r="N155" s="1142"/>
      <c r="O155" s="1142"/>
      <c r="P155" s="1142"/>
      <c r="Q155" s="1142"/>
      <c r="R155" s="1142"/>
      <c r="S155" s="1142"/>
      <c r="T155" s="1142"/>
      <c r="U155" s="1142"/>
      <c r="V155" s="1142"/>
      <c r="W155" s="1142"/>
      <c r="X155" s="1142"/>
      <c r="Y155" s="1142"/>
      <c r="Z155" s="1142"/>
      <c r="AA155" s="1142"/>
      <c r="AB155" s="1142"/>
      <c r="AC155" s="1142"/>
      <c r="AD155" s="1142"/>
      <c r="AE155" s="1142"/>
      <c r="AF155" s="1142"/>
      <c r="AG155" s="1142"/>
      <c r="AH155" s="1142"/>
      <c r="AI155" s="1142"/>
      <c r="AJ155" s="1142"/>
      <c r="AK155" s="461"/>
      <c r="AL155" s="461"/>
      <c r="AM155" s="461"/>
      <c r="AN155" s="808"/>
      <c r="AO155" s="808"/>
      <c r="AP155" s="808"/>
      <c r="AQ155" s="3578"/>
      <c r="AR155" s="3576" t="str">
        <f>"is received in "&amp;TaxYear&amp;" or in "&amp;TaxYear+1&amp;" before you file your "&amp;TaxYear&amp;" tax return."</f>
        <v>is received in 2023 or in 2024 before you file your 2023 tax return.</v>
      </c>
      <c r="AS155" s="3579"/>
      <c r="AT155" s="3579"/>
      <c r="AU155" s="3579"/>
      <c r="AV155" s="3579"/>
      <c r="AW155" s="3556" t="s">
        <v>1387</v>
      </c>
      <c r="AX155" s="1401"/>
      <c r="AY155" s="2923"/>
      <c r="AZ155" s="3577"/>
      <c r="BA155" s="39"/>
      <c r="BB155" s="39"/>
    </row>
    <row r="156" spans="1:54" s="2690" customFormat="1" ht="15">
      <c r="A156" s="461"/>
      <c r="B156" s="808"/>
      <c r="C156" s="808"/>
      <c r="D156" s="808"/>
      <c r="E156" s="2645" t="str">
        <f>"education before "&amp;TaxYear&amp;"? See instructions."</f>
        <v>education before 2023? See instructions.</v>
      </c>
      <c r="F156" s="808"/>
      <c r="G156" s="808"/>
      <c r="H156" s="808"/>
      <c r="I156" s="808"/>
      <c r="J156" s="808"/>
      <c r="K156" s="808"/>
      <c r="L156" s="808"/>
      <c r="M156" s="808"/>
      <c r="N156" s="808"/>
      <c r="O156" s="808"/>
      <c r="P156" s="808"/>
      <c r="Q156" s="808"/>
      <c r="R156" s="808"/>
      <c r="S156" s="808"/>
      <c r="T156" s="3509"/>
      <c r="U156" s="892" t="s">
        <v>4772</v>
      </c>
      <c r="V156" s="808"/>
      <c r="W156" s="808"/>
      <c r="X156" s="808"/>
      <c r="Y156" s="808"/>
      <c r="Z156" s="808"/>
      <c r="AA156" s="808"/>
      <c r="AB156" s="808"/>
      <c r="AC156" s="3527" t="str">
        <f>IF(T156&lt;&gt;"","","X")</f>
        <v>X</v>
      </c>
      <c r="AD156" s="892" t="s">
        <v>4785</v>
      </c>
      <c r="AE156" s="808"/>
      <c r="AF156" s="808"/>
      <c r="AG156" s="808"/>
      <c r="AH156" s="808"/>
      <c r="AI156" s="808"/>
      <c r="AJ156" s="808"/>
      <c r="AK156" s="461"/>
      <c r="AL156" s="461"/>
      <c r="AM156" s="461"/>
      <c r="AN156" s="808"/>
      <c r="AO156" s="808"/>
      <c r="AP156" s="808"/>
      <c r="AQ156" s="3578"/>
      <c r="AR156" s="3576"/>
      <c r="AS156" s="3579"/>
      <c r="AT156" s="3579"/>
      <c r="AU156" s="3579"/>
      <c r="AV156" s="3579"/>
      <c r="AW156" s="3579"/>
      <c r="AX156" s="3579"/>
      <c r="AY156" s="2923"/>
      <c r="AZ156" s="3577"/>
      <c r="BA156" s="39"/>
      <c r="BB156" s="39"/>
    </row>
    <row r="157" spans="1:54" s="3526" customFormat="1" ht="16.5" customHeight="1">
      <c r="A157" s="4064"/>
      <c r="B157" s="893"/>
      <c r="C157" s="893"/>
      <c r="D157" s="893"/>
      <c r="E157" s="2952"/>
      <c r="F157" s="893"/>
      <c r="G157" s="893"/>
      <c r="H157" s="893"/>
      <c r="I157" s="893"/>
      <c r="J157" s="893"/>
      <c r="K157" s="893"/>
      <c r="L157" s="893"/>
      <c r="M157" s="893"/>
      <c r="N157" s="893"/>
      <c r="O157" s="893"/>
      <c r="P157" s="893"/>
      <c r="Q157" s="893"/>
      <c r="R157" s="893"/>
      <c r="S157" s="893"/>
      <c r="T157" s="893"/>
      <c r="U157" s="893" t="s">
        <v>4774</v>
      </c>
      <c r="V157" s="893"/>
      <c r="W157" s="893"/>
      <c r="X157" s="893"/>
      <c r="Y157" s="893"/>
      <c r="Z157" s="893"/>
      <c r="AA157" s="893"/>
      <c r="AB157" s="893"/>
      <c r="AC157" s="893"/>
      <c r="AD157" s="893"/>
      <c r="AE157" s="893"/>
      <c r="AF157" s="893"/>
      <c r="AG157" s="893"/>
      <c r="AH157" s="893"/>
      <c r="AI157" s="893"/>
      <c r="AJ157" s="893"/>
      <c r="AK157" s="4064"/>
      <c r="AL157" s="4064"/>
      <c r="AM157" s="4064"/>
      <c r="AN157" s="893"/>
      <c r="AO157" s="893"/>
      <c r="AP157" s="893"/>
      <c r="AQ157" s="3572" t="s">
        <v>4786</v>
      </c>
      <c r="AR157" s="3553"/>
      <c r="AS157" s="3553"/>
      <c r="AT157" s="3553"/>
      <c r="AU157" s="3553"/>
      <c r="AV157" s="3553"/>
      <c r="AW157" s="3556"/>
      <c r="AX157" s="3556" t="s">
        <v>177</v>
      </c>
      <c r="AY157" s="1568">
        <f>SUM(AX151,AX153,AX155)</f>
        <v>0</v>
      </c>
      <c r="AZ157" s="3554"/>
      <c r="BA157" s="649"/>
      <c r="BB157" s="649"/>
    </row>
    <row r="158" spans="1:54" s="2690" customFormat="1" ht="15">
      <c r="A158" s="461"/>
      <c r="B158" s="3514">
        <v>26</v>
      </c>
      <c r="C158" s="1142"/>
      <c r="D158" s="1142"/>
      <c r="E158" s="2440" t="str">
        <f>"Was the student convicted, before the end of "&amp;TaxYear&amp;", of a"</f>
        <v>Was the student convicted, before the end of 2023, of a</v>
      </c>
      <c r="F158" s="1142"/>
      <c r="G158" s="1142"/>
      <c r="H158" s="1142"/>
      <c r="I158" s="1142"/>
      <c r="J158" s="1142"/>
      <c r="K158" s="1142"/>
      <c r="L158" s="1142"/>
      <c r="M158" s="1142"/>
      <c r="N158" s="1142"/>
      <c r="O158" s="1142"/>
      <c r="P158" s="1142"/>
      <c r="Q158" s="1142"/>
      <c r="R158" s="1142"/>
      <c r="S158" s="1142"/>
      <c r="T158" s="1142"/>
      <c r="U158" s="1142"/>
      <c r="V158" s="1142"/>
      <c r="W158" s="1142"/>
      <c r="X158" s="1142"/>
      <c r="Y158" s="1142"/>
      <c r="Z158" s="1142"/>
      <c r="AA158" s="1142"/>
      <c r="AB158" s="1142"/>
      <c r="AC158" s="1142"/>
      <c r="AD158" s="1142"/>
      <c r="AE158" s="1142"/>
      <c r="AF158" s="1142"/>
      <c r="AG158" s="1142"/>
      <c r="AH158" s="1142"/>
      <c r="AI158" s="1142"/>
      <c r="AJ158" s="1142"/>
      <c r="AK158" s="461"/>
      <c r="AL158" s="461"/>
      <c r="AM158" s="461"/>
      <c r="AN158" s="808"/>
      <c r="AO158" s="808"/>
      <c r="AP158" s="808"/>
      <c r="AQ158" s="3578"/>
      <c r="AR158" s="3576"/>
      <c r="AS158" s="3579"/>
      <c r="AT158" s="3579"/>
      <c r="AU158" s="3579"/>
      <c r="AV158" s="3579"/>
      <c r="AW158" s="3579"/>
      <c r="AX158" s="3579"/>
      <c r="AY158" s="2923"/>
      <c r="AZ158" s="3577"/>
      <c r="BA158" s="39"/>
      <c r="BB158" s="39"/>
    </row>
    <row r="159" spans="1:54" s="2690" customFormat="1" ht="15">
      <c r="A159" s="461"/>
      <c r="B159" s="808"/>
      <c r="C159" s="808"/>
      <c r="D159" s="808"/>
      <c r="E159" s="2645" t="s">
        <v>4787</v>
      </c>
      <c r="F159" s="808"/>
      <c r="G159" s="808"/>
      <c r="H159" s="808"/>
      <c r="I159" s="808"/>
      <c r="J159" s="808"/>
      <c r="K159" s="808"/>
      <c r="L159" s="808"/>
      <c r="M159" s="808"/>
      <c r="N159" s="808"/>
      <c r="O159" s="808"/>
      <c r="P159" s="808"/>
      <c r="Q159" s="808"/>
      <c r="R159" s="808"/>
      <c r="S159" s="808"/>
      <c r="T159" s="3509"/>
      <c r="U159" s="892" t="s">
        <v>4772</v>
      </c>
      <c r="V159" s="808"/>
      <c r="W159" s="808"/>
      <c r="X159" s="808"/>
      <c r="Y159" s="808"/>
      <c r="Z159" s="808"/>
      <c r="AA159" s="808"/>
      <c r="AB159" s="808"/>
      <c r="AC159" s="3527" t="str">
        <f>IF(T159&lt;&gt;"","","X")</f>
        <v>X</v>
      </c>
      <c r="AD159" s="892" t="s">
        <v>4788</v>
      </c>
      <c r="AE159" s="808"/>
      <c r="AF159" s="808"/>
      <c r="AG159" s="808"/>
      <c r="AH159" s="808"/>
      <c r="AI159" s="808"/>
      <c r="AJ159" s="808"/>
      <c r="AK159" s="461"/>
      <c r="AL159" s="461"/>
      <c r="AM159" s="461"/>
      <c r="AN159" s="808"/>
      <c r="AO159" s="23" t="s">
        <v>1113</v>
      </c>
      <c r="AP159" s="808"/>
      <c r="AQ159" s="3572" t="s">
        <v>4805</v>
      </c>
      <c r="AR159" s="3576"/>
      <c r="AS159" s="3579"/>
      <c r="AT159" s="3579"/>
      <c r="AU159" s="3579"/>
      <c r="AV159" s="3579"/>
      <c r="AW159" s="3579"/>
      <c r="AX159" s="3579"/>
      <c r="AY159" s="2923"/>
      <c r="AZ159" s="3577"/>
      <c r="BA159" s="39"/>
      <c r="BB159" s="39"/>
    </row>
    <row r="160" spans="1:54" s="3526" customFormat="1" ht="16.5" customHeight="1">
      <c r="A160" s="4064"/>
      <c r="B160" s="1372"/>
      <c r="C160" s="1372"/>
      <c r="D160" s="1372"/>
      <c r="E160" s="3515" t="s">
        <v>4790</v>
      </c>
      <c r="F160" s="1372"/>
      <c r="G160" s="1372"/>
      <c r="H160" s="1372"/>
      <c r="I160" s="1372"/>
      <c r="J160" s="1372"/>
      <c r="K160" s="1372"/>
      <c r="L160" s="1372"/>
      <c r="M160" s="1372"/>
      <c r="N160" s="1372"/>
      <c r="O160" s="1372"/>
      <c r="P160" s="1372"/>
      <c r="Q160" s="1372"/>
      <c r="R160" s="1372"/>
      <c r="S160" s="1372"/>
      <c r="T160" s="1372"/>
      <c r="U160" s="1372" t="s">
        <v>4774</v>
      </c>
      <c r="V160" s="1372"/>
      <c r="W160" s="1372"/>
      <c r="X160" s="1372"/>
      <c r="Y160" s="1372"/>
      <c r="Z160" s="1372"/>
      <c r="AA160" s="1372"/>
      <c r="AB160" s="1372"/>
      <c r="AC160" s="1372"/>
      <c r="AD160" s="2192" t="s">
        <v>4791</v>
      </c>
      <c r="AE160" s="1372"/>
      <c r="AF160" s="1372"/>
      <c r="AG160" s="1372"/>
      <c r="AH160" s="1372"/>
      <c r="AI160" s="1372"/>
      <c r="AJ160" s="1372"/>
      <c r="AK160" s="4064"/>
      <c r="AL160" s="4064"/>
      <c r="AM160" s="4064"/>
      <c r="AN160" s="893"/>
      <c r="AO160" s="23" t="s">
        <v>1062</v>
      </c>
      <c r="AP160" s="893"/>
      <c r="AQ160" s="3574" t="s">
        <v>4792</v>
      </c>
      <c r="AR160" s="3553"/>
      <c r="AS160" s="3553"/>
      <c r="AT160" s="3580" t="s">
        <v>4793</v>
      </c>
      <c r="AU160" s="3553"/>
      <c r="AV160" s="3553"/>
      <c r="AW160" s="3556"/>
      <c r="AX160" s="3556" t="s">
        <v>182</v>
      </c>
      <c r="AY160" s="1568" t="str">
        <f>IF(AY147="","",MAX(0,SUM(AY147,-AY157)))</f>
        <v/>
      </c>
      <c r="AZ160" s="3554"/>
      <c r="BA160" s="649"/>
      <c r="BB160" s="649"/>
    </row>
    <row r="161" spans="1:54" s="2690" customFormat="1" ht="9.75" customHeight="1" thickBot="1">
      <c r="A161" s="461"/>
      <c r="B161" s="3538"/>
      <c r="C161" s="3538"/>
      <c r="D161" s="3538"/>
      <c r="E161" s="3538"/>
      <c r="F161" s="3538"/>
      <c r="G161" s="3538"/>
      <c r="H161" s="3538"/>
      <c r="I161" s="3538"/>
      <c r="J161" s="3538"/>
      <c r="K161" s="3538"/>
      <c r="L161" s="3538"/>
      <c r="M161" s="3538"/>
      <c r="N161" s="3538"/>
      <c r="O161" s="3538"/>
      <c r="P161" s="3538"/>
      <c r="Q161" s="3538"/>
      <c r="R161" s="3538"/>
      <c r="S161" s="3538"/>
      <c r="T161" s="3538"/>
      <c r="U161" s="3538"/>
      <c r="V161" s="3538"/>
      <c r="W161" s="3538"/>
      <c r="X161" s="3538"/>
      <c r="Y161" s="3538"/>
      <c r="Z161" s="3538"/>
      <c r="AA161" s="3538"/>
      <c r="AB161" s="3538"/>
      <c r="AC161" s="3538"/>
      <c r="AD161" s="3538"/>
      <c r="AE161" s="3538"/>
      <c r="AF161" s="3538"/>
      <c r="AG161" s="3538"/>
      <c r="AH161" s="3538"/>
      <c r="AI161" s="3538"/>
      <c r="AJ161" s="3538"/>
      <c r="AK161" s="461"/>
      <c r="AL161" s="461"/>
      <c r="AM161" s="461"/>
      <c r="AN161" s="808"/>
      <c r="AO161" s="808"/>
      <c r="AP161" s="808"/>
      <c r="AQ161" s="3581"/>
      <c r="AR161" s="3582"/>
      <c r="AS161" s="3583"/>
      <c r="AT161" s="3583"/>
      <c r="AU161" s="3583"/>
      <c r="AV161" s="3583"/>
      <c r="AW161" s="3583"/>
      <c r="AX161" s="3583"/>
      <c r="AY161" s="3583"/>
      <c r="AZ161" s="3584"/>
      <c r="BA161" s="39"/>
      <c r="BB161" s="39"/>
    </row>
    <row r="162" spans="1:54" s="3525" customFormat="1" ht="14.25" customHeight="1">
      <c r="A162" s="3497"/>
      <c r="B162" s="3539"/>
      <c r="C162" s="3539"/>
      <c r="D162" s="3539"/>
      <c r="E162" s="5088" t="s">
        <v>4794</v>
      </c>
      <c r="F162" s="3539"/>
      <c r="G162" s="3539"/>
      <c r="H162" s="3539"/>
      <c r="I162" s="3539"/>
      <c r="J162" s="3539"/>
      <c r="K162" s="3539"/>
      <c r="L162" s="3539"/>
      <c r="M162" s="3539"/>
      <c r="N162" s="3539"/>
      <c r="O162" s="3539"/>
      <c r="P162" s="3539"/>
      <c r="Q162" s="3539"/>
      <c r="R162" s="3539"/>
      <c r="S162" s="3539"/>
      <c r="T162" s="3539"/>
      <c r="U162" s="3539"/>
      <c r="V162" s="3539"/>
      <c r="W162" s="3539"/>
      <c r="X162" s="3539"/>
      <c r="Y162" s="3539"/>
      <c r="Z162" s="3539"/>
      <c r="AA162" s="3539"/>
      <c r="AB162" s="3539"/>
      <c r="AC162" s="3539"/>
      <c r="AD162" s="3539"/>
      <c r="AE162" s="3539"/>
      <c r="AF162" s="3539"/>
      <c r="AG162" s="3539"/>
      <c r="AH162" s="3539"/>
      <c r="AI162" s="3539"/>
      <c r="AJ162" s="3539"/>
      <c r="AK162" s="3497"/>
      <c r="AL162" s="3497"/>
      <c r="AM162" s="3497"/>
      <c r="AN162" s="3498"/>
      <c r="AO162" s="2821" t="b">
        <f>OR(AND(AH165,AO173&lt;&gt;""),AND(NOT(AH165),AO170&lt;&gt;""))</f>
        <v>0</v>
      </c>
      <c r="AP162" s="1573"/>
      <c r="AQ162" s="2038"/>
      <c r="AR162" s="2044"/>
      <c r="AS162" s="2038"/>
      <c r="AT162" s="2038"/>
      <c r="AU162" s="2038"/>
      <c r="AV162" s="2038"/>
      <c r="AW162" s="2038"/>
      <c r="AX162" s="2038"/>
      <c r="AY162" s="2038"/>
      <c r="AZ162" s="2038"/>
      <c r="BA162" s="3499"/>
      <c r="BB162" s="3499"/>
    </row>
    <row r="163" spans="1:54" s="3525" customFormat="1" ht="16.5" customHeight="1">
      <c r="A163" s="3497"/>
      <c r="B163" s="3539"/>
      <c r="C163" s="3539"/>
      <c r="D163" s="3539"/>
      <c r="E163" s="5089" t="s">
        <v>4795</v>
      </c>
      <c r="F163" s="3539"/>
      <c r="G163" s="3539"/>
      <c r="H163" s="3539"/>
      <c r="I163" s="3539"/>
      <c r="J163" s="3539"/>
      <c r="K163" s="3539"/>
      <c r="L163" s="3539"/>
      <c r="M163" s="3539"/>
      <c r="N163" s="3539"/>
      <c r="O163" s="3539"/>
      <c r="P163" s="3539"/>
      <c r="Q163" s="3539"/>
      <c r="R163" s="3539"/>
      <c r="S163" s="3539"/>
      <c r="T163" s="3539"/>
      <c r="U163" s="3539"/>
      <c r="V163" s="3539"/>
      <c r="W163" s="3539"/>
      <c r="X163" s="3539"/>
      <c r="Y163" s="3539"/>
      <c r="Z163" s="3539"/>
      <c r="AA163" s="3539"/>
      <c r="AB163" s="3539"/>
      <c r="AC163" s="3539"/>
      <c r="AD163" s="3539"/>
      <c r="AE163" s="3539"/>
      <c r="AF163" s="3539"/>
      <c r="AG163" s="3539"/>
      <c r="AH163" s="3539"/>
      <c r="AI163" s="3539"/>
      <c r="AJ163" s="3539"/>
      <c r="AK163" s="3497"/>
      <c r="AL163" s="3497"/>
      <c r="AM163" s="3497"/>
      <c r="AN163" s="3498"/>
      <c r="AO163" s="2821" t="b">
        <f>OR(AND(AH165,AO173&lt;&gt;""),AND(NOT(AH165),AO170&lt;&gt;""))</f>
        <v>0</v>
      </c>
      <c r="AP163" s="1573"/>
      <c r="AQ163" s="2038"/>
      <c r="AR163" s="2044"/>
      <c r="AS163" s="2038"/>
      <c r="AT163" s="2038"/>
      <c r="AU163" s="2038"/>
      <c r="AV163" s="2038"/>
      <c r="AW163" s="2038"/>
      <c r="AX163" s="2038"/>
      <c r="AY163" s="2038"/>
      <c r="AZ163" s="2038"/>
      <c r="BA163" s="3499"/>
      <c r="BB163" s="3499"/>
    </row>
    <row r="164" spans="1:54" s="2690" customFormat="1" ht="6" customHeight="1">
      <c r="A164" s="461"/>
      <c r="B164" s="3540"/>
      <c r="C164" s="3540"/>
      <c r="D164" s="3540"/>
      <c r="E164" s="3540"/>
      <c r="F164" s="3540"/>
      <c r="G164" s="3540"/>
      <c r="H164" s="3540"/>
      <c r="I164" s="3540"/>
      <c r="J164" s="3540"/>
      <c r="K164" s="3540"/>
      <c r="L164" s="3540"/>
      <c r="M164" s="3540"/>
      <c r="N164" s="3540"/>
      <c r="O164" s="3540"/>
      <c r="P164" s="3540"/>
      <c r="Q164" s="3540"/>
      <c r="R164" s="3540"/>
      <c r="S164" s="3540"/>
      <c r="T164" s="3540"/>
      <c r="U164" s="3540"/>
      <c r="V164" s="3540"/>
      <c r="W164" s="3540"/>
      <c r="X164" s="3540"/>
      <c r="Y164" s="3540"/>
      <c r="Z164" s="3540"/>
      <c r="AA164" s="3540"/>
      <c r="AB164" s="3540"/>
      <c r="AC164" s="3540"/>
      <c r="AD164" s="3540"/>
      <c r="AE164" s="3540"/>
      <c r="AF164" s="3540"/>
      <c r="AG164" s="3540"/>
      <c r="AH164" s="3540"/>
      <c r="AI164" s="3540"/>
      <c r="AJ164" s="3540"/>
      <c r="AK164" s="461"/>
      <c r="AL164" s="461"/>
      <c r="AM164" s="461"/>
      <c r="AN164" s="808"/>
      <c r="AO164" s="808"/>
      <c r="AP164" s="808"/>
      <c r="AQ164" s="2038"/>
      <c r="AR164" s="2038"/>
      <c r="AS164" s="2038"/>
      <c r="AT164" s="2038"/>
      <c r="AU164" s="2038"/>
      <c r="AV164" s="2038"/>
      <c r="AW164" s="2038"/>
      <c r="AX164" s="2038"/>
      <c r="AY164" s="2038"/>
      <c r="AZ164" s="2038"/>
      <c r="BA164" s="39"/>
      <c r="BB164" s="39"/>
    </row>
    <row r="165" spans="1:54" s="2690" customFormat="1" ht="16.5" customHeight="1" thickBot="1">
      <c r="A165" s="461"/>
      <c r="B165" s="1133"/>
      <c r="C165" s="3850" t="s">
        <v>4697</v>
      </c>
      <c r="D165" s="1121"/>
      <c r="E165" s="1121"/>
      <c r="F165" s="1121"/>
      <c r="G165" s="1121"/>
      <c r="H165" s="1121"/>
      <c r="I165" s="1121"/>
      <c r="J165" s="1121"/>
      <c r="K165" s="1121"/>
      <c r="L165" s="1121"/>
      <c r="M165" s="1121"/>
      <c r="N165" s="1121"/>
      <c r="O165" s="1121"/>
      <c r="P165" s="1121"/>
      <c r="Q165" s="1121"/>
      <c r="R165" s="1121"/>
      <c r="S165" s="1121"/>
      <c r="T165" s="1121"/>
      <c r="U165" s="1121"/>
      <c r="V165" s="1121"/>
      <c r="W165" s="1121"/>
      <c r="X165" s="1121"/>
      <c r="Y165" s="1121"/>
      <c r="Z165" s="1121"/>
      <c r="AA165" s="1121"/>
      <c r="AB165" s="9875" t="b">
        <f>AND(AE166&lt;&gt;"",AE166&gt;AO167)</f>
        <v>0</v>
      </c>
      <c r="AC165" s="9875"/>
      <c r="AD165" s="1121"/>
      <c r="AE165" s="1121"/>
      <c r="AF165" s="1121"/>
      <c r="AG165" s="1121"/>
      <c r="AH165" s="9875" t="b">
        <f>AND(T147="",AC152="",T156="",T159="")</f>
        <v>1</v>
      </c>
      <c r="AI165" s="9875"/>
      <c r="AJ165" s="9875"/>
      <c r="AK165" s="461"/>
      <c r="AL165" s="461"/>
      <c r="AM165" s="461"/>
      <c r="AN165" s="808"/>
      <c r="AO165" s="808"/>
      <c r="AP165" s="808"/>
      <c r="AQ165" s="2038"/>
      <c r="AR165" s="2038"/>
      <c r="AS165" s="2038"/>
      <c r="AT165" s="2038"/>
      <c r="AU165" s="2038"/>
      <c r="AV165" s="2038"/>
      <c r="AW165" s="2038"/>
      <c r="AX165" s="2038"/>
      <c r="AY165" s="2038"/>
      <c r="AZ165" s="2038"/>
      <c r="BA165" s="39"/>
      <c r="BB165" s="39"/>
    </row>
    <row r="166" spans="1:54" s="2690" customFormat="1" ht="16.5" customHeight="1" thickBot="1">
      <c r="A166" s="461"/>
      <c r="B166" s="3514">
        <v>27</v>
      </c>
      <c r="C166" s="808"/>
      <c r="D166" s="2112" t="s">
        <v>4797</v>
      </c>
      <c r="E166" s="2112"/>
      <c r="F166" s="808"/>
      <c r="G166" s="808"/>
      <c r="H166" s="808"/>
      <c r="I166" s="808"/>
      <c r="J166" s="808"/>
      <c r="K166" s="808"/>
      <c r="L166" s="808"/>
      <c r="M166" s="808"/>
      <c r="N166" s="808"/>
      <c r="O166" s="808"/>
      <c r="P166" s="808"/>
      <c r="Q166" s="808"/>
      <c r="R166" s="3851" t="str">
        <f>"Don't enter more than "&amp;TEXT(AO167,"$0,000")&amp;"."</f>
        <v>Don't enter more than $4,000.</v>
      </c>
      <c r="S166" s="808"/>
      <c r="T166" s="808"/>
      <c r="U166" s="808"/>
      <c r="V166" s="808"/>
      <c r="W166" s="808"/>
      <c r="X166" s="808"/>
      <c r="Y166" s="808"/>
      <c r="Z166" s="3536"/>
      <c r="AA166" s="3536"/>
      <c r="AB166" s="3534"/>
      <c r="AC166" s="3535"/>
      <c r="AD166" s="1726">
        <v>27</v>
      </c>
      <c r="AE166" s="9591" t="str">
        <f>IF(AO166&lt;&gt;"",ROUND(AO166,0),IF(OR(NOT(AH165),AY160=""),"",MIN(AO167,AY160)))</f>
        <v/>
      </c>
      <c r="AF166" s="9876"/>
      <c r="AG166" s="9876"/>
      <c r="AH166" s="9876"/>
      <c r="AI166" s="9876"/>
      <c r="AJ166" s="9876"/>
      <c r="AK166" s="461"/>
      <c r="AL166" s="461"/>
      <c r="AM166" s="461"/>
      <c r="AN166" s="808"/>
      <c r="AO166" s="3521"/>
      <c r="AP166" s="808"/>
      <c r="AQ166" s="2038"/>
      <c r="AR166" s="2038"/>
      <c r="AS166" s="2038"/>
      <c r="AT166" s="2038"/>
      <c r="AU166" s="2038"/>
      <c r="AV166" s="2038"/>
      <c r="AW166" s="2038"/>
      <c r="AX166" s="2038"/>
      <c r="AY166" s="2038"/>
      <c r="AZ166" s="2038"/>
      <c r="BA166" s="39"/>
      <c r="BB166" s="39"/>
    </row>
    <row r="167" spans="1:54" s="2690" customFormat="1" ht="17.25" customHeight="1">
      <c r="A167" s="461"/>
      <c r="B167" s="1127">
        <v>28</v>
      </c>
      <c r="C167" s="808"/>
      <c r="D167" s="2112" t="str">
        <f>"Subtract "&amp;TEXT(AO168,"$0,000")&amp;" from line 27. If zero or less, enter -0-"</f>
        <v>Subtract $2,000 from line 27. If zero or less, enter -0-</v>
      </c>
      <c r="E167" s="808"/>
      <c r="F167" s="808"/>
      <c r="G167" s="808"/>
      <c r="H167" s="808"/>
      <c r="I167" s="808"/>
      <c r="J167" s="808"/>
      <c r="K167" s="808"/>
      <c r="L167" s="808"/>
      <c r="M167" s="808"/>
      <c r="N167" s="808"/>
      <c r="O167" s="808"/>
      <c r="P167" s="808"/>
      <c r="Q167" s="808"/>
      <c r="R167" s="808"/>
      <c r="S167" s="808"/>
      <c r="T167" s="808"/>
      <c r="U167" s="808"/>
      <c r="V167" s="808"/>
      <c r="W167" s="808"/>
      <c r="X167" s="808"/>
      <c r="Y167" s="808"/>
      <c r="Z167" s="1234"/>
      <c r="AA167" s="1234"/>
      <c r="AB167" s="808"/>
      <c r="AC167" s="1128" t="s">
        <v>4798</v>
      </c>
      <c r="AD167" s="1726">
        <v>28</v>
      </c>
      <c r="AE167" s="9591" t="str">
        <f>IF(OR(NOT(AH165),AY160=""),"",MAX(0,SUM(AE166,-AO168)))</f>
        <v/>
      </c>
      <c r="AF167" s="9876"/>
      <c r="AG167" s="9876"/>
      <c r="AH167" s="9876"/>
      <c r="AI167" s="9876"/>
      <c r="AJ167" s="9876"/>
      <c r="AK167" s="461"/>
      <c r="AL167" s="461"/>
      <c r="AM167" s="461"/>
      <c r="AN167" s="808"/>
      <c r="AO167" s="900">
        <v>4000</v>
      </c>
      <c r="AP167" s="808"/>
      <c r="AQ167" s="2038"/>
      <c r="AR167" s="2038"/>
      <c r="AS167" s="2038"/>
      <c r="AT167" s="2038"/>
      <c r="AU167" s="2038"/>
      <c r="AV167" s="2038"/>
      <c r="AW167" s="2038"/>
      <c r="AX167" s="2038"/>
      <c r="AY167" s="2038"/>
      <c r="AZ167" s="2038"/>
      <c r="BA167" s="39"/>
      <c r="BB167" s="39"/>
    </row>
    <row r="168" spans="1:54" s="2690" customFormat="1" ht="17.25" customHeight="1">
      <c r="A168" s="461"/>
      <c r="B168" s="1127">
        <v>29</v>
      </c>
      <c r="C168" s="808"/>
      <c r="D168" s="2112" t="str">
        <f>"Multiply line 28 by "&amp;TEXT(AB169,"0%")&amp;" ("&amp;TEXT(AB169,"0.00")&amp;")"</f>
        <v>Multiply line 28 by 25% (0.25)</v>
      </c>
      <c r="E168" s="2112"/>
      <c r="F168" s="2112"/>
      <c r="G168" s="808"/>
      <c r="H168" s="808"/>
      <c r="I168" s="808"/>
      <c r="J168" s="808"/>
      <c r="K168" s="808"/>
      <c r="L168" s="899"/>
      <c r="M168" s="899"/>
      <c r="N168" s="899"/>
      <c r="O168" s="899"/>
      <c r="P168" s="899"/>
      <c r="Q168" s="899"/>
      <c r="R168" s="899"/>
      <c r="S168" s="899"/>
      <c r="T168" s="899"/>
      <c r="U168" s="899"/>
      <c r="V168" s="899"/>
      <c r="W168" s="899"/>
      <c r="X168" s="899"/>
      <c r="Y168" s="899"/>
      <c r="Z168" s="899"/>
      <c r="AA168" s="899"/>
      <c r="AB168" s="899"/>
      <c r="AC168" s="1128" t="s">
        <v>4799</v>
      </c>
      <c r="AD168" s="1726">
        <v>29</v>
      </c>
      <c r="AE168" s="9591" t="str">
        <f>IF(OR(NOT(AH165),AY160=""),"",ROUND(AE167*AB169,0))</f>
        <v/>
      </c>
      <c r="AF168" s="9876"/>
      <c r="AG168" s="9876"/>
      <c r="AH168" s="9876"/>
      <c r="AI168" s="9876"/>
      <c r="AJ168" s="9876"/>
      <c r="AK168" s="461"/>
      <c r="AL168" s="461"/>
      <c r="AM168" s="461"/>
      <c r="AN168" s="808"/>
      <c r="AO168" s="900">
        <v>2000</v>
      </c>
      <c r="AP168" s="808"/>
      <c r="AQ168" s="2038"/>
      <c r="AR168" s="2038"/>
      <c r="AS168" s="2038"/>
      <c r="AT168" s="2038"/>
      <c r="AU168" s="2038"/>
      <c r="AV168" s="2038"/>
      <c r="AW168" s="2038"/>
      <c r="AX168" s="2038"/>
      <c r="AY168" s="2038"/>
      <c r="AZ168" s="2038"/>
      <c r="BA168" s="39"/>
      <c r="BB168" s="39"/>
    </row>
    <row r="169" spans="1:54" s="2690" customFormat="1" ht="15.75" customHeight="1" thickBot="1">
      <c r="A169" s="461"/>
      <c r="B169" s="1127">
        <v>30</v>
      </c>
      <c r="C169" s="808"/>
      <c r="D169" s="2112" t="s">
        <v>4800</v>
      </c>
      <c r="E169" s="2112"/>
      <c r="F169" s="2112"/>
      <c r="G169" s="808"/>
      <c r="H169" s="808"/>
      <c r="I169" s="808"/>
      <c r="J169" s="808"/>
      <c r="K169" s="808"/>
      <c r="L169" s="808"/>
      <c r="M169" s="808"/>
      <c r="N169" s="808"/>
      <c r="O169" s="808"/>
      <c r="P169" s="808"/>
      <c r="Q169" s="808"/>
      <c r="R169" s="808"/>
      <c r="S169" s="808"/>
      <c r="T169" s="808"/>
      <c r="U169" s="808"/>
      <c r="V169" s="808"/>
      <c r="W169" s="808"/>
      <c r="X169" s="808"/>
      <c r="Y169" s="808"/>
      <c r="Z169" s="808"/>
      <c r="AA169" s="808"/>
      <c r="AB169" s="8168">
        <v>0.25</v>
      </c>
      <c r="AC169" s="9576"/>
      <c r="AD169" s="1123"/>
      <c r="AE169" s="808"/>
      <c r="AF169" s="808"/>
      <c r="AG169" s="808"/>
      <c r="AH169" s="808"/>
      <c r="AI169" s="808"/>
      <c r="AJ169" s="808"/>
      <c r="AK169" s="461"/>
      <c r="AL169" s="461"/>
      <c r="AM169" s="461"/>
      <c r="AN169" s="808"/>
      <c r="AO169" s="808"/>
      <c r="AP169" s="808"/>
      <c r="AQ169" s="2038"/>
      <c r="AR169" s="2038"/>
      <c r="AS169" s="2038"/>
      <c r="AT169" s="2038"/>
      <c r="AU169" s="2038"/>
      <c r="AV169" s="2038"/>
      <c r="AW169" s="2038"/>
      <c r="AX169" s="2038"/>
      <c r="AY169" s="2038"/>
      <c r="AZ169" s="2038"/>
      <c r="BA169" s="39"/>
      <c r="BB169" s="39"/>
    </row>
    <row r="170" spans="1:54" s="2690" customFormat="1" ht="15.75" thickBot="1">
      <c r="A170" s="461"/>
      <c r="B170" s="808"/>
      <c r="C170" s="808"/>
      <c r="D170" s="2112" t="s">
        <v>4801</v>
      </c>
      <c r="E170" s="2112"/>
      <c r="F170" s="2112"/>
      <c r="G170" s="808"/>
      <c r="H170" s="808"/>
      <c r="I170" s="808"/>
      <c r="J170" s="808"/>
      <c r="K170" s="808"/>
      <c r="L170" s="808"/>
      <c r="M170" s="808"/>
      <c r="N170" s="808"/>
      <c r="O170" s="808"/>
      <c r="P170" s="808"/>
      <c r="Q170" s="808"/>
      <c r="R170" s="808"/>
      <c r="S170" s="808"/>
      <c r="T170" s="808"/>
      <c r="U170" s="808"/>
      <c r="V170" s="808"/>
      <c r="W170" s="808"/>
      <c r="X170" s="808"/>
      <c r="Y170" s="808"/>
      <c r="Z170" s="808"/>
      <c r="AA170" s="808"/>
      <c r="AB170" s="808"/>
      <c r="AC170" s="1128" t="s">
        <v>690</v>
      </c>
      <c r="AD170" s="1716">
        <v>30</v>
      </c>
      <c r="AE170" s="9872" t="str">
        <f>IF(AO170&lt;&gt;"",ROUND(AO170,0),IF(OR(NOT(AH165),AE166=0,AE166="",AY160=""),"",IF(OR(AE167=0,AE167=""),AE166,SUM(AE168,AO168))))</f>
        <v/>
      </c>
      <c r="AF170" s="9873"/>
      <c r="AG170" s="9873"/>
      <c r="AH170" s="9873"/>
      <c r="AI170" s="9873"/>
      <c r="AJ170" s="9873"/>
      <c r="AK170" s="461"/>
      <c r="AL170" s="461"/>
      <c r="AM170" s="461"/>
      <c r="AN170" s="808"/>
      <c r="AO170" s="3521"/>
      <c r="AP170" s="808"/>
      <c r="AQ170" s="2038"/>
      <c r="AR170" s="2038"/>
      <c r="AS170" s="2038"/>
      <c r="AT170" s="2038"/>
      <c r="AU170" s="2038"/>
      <c r="AV170" s="2038"/>
      <c r="AW170" s="2038"/>
      <c r="AX170" s="2038"/>
      <c r="AY170" s="2038"/>
      <c r="AZ170" s="2038"/>
      <c r="BA170" s="39"/>
      <c r="BB170" s="39"/>
    </row>
    <row r="171" spans="1:54" s="2690" customFormat="1" ht="16.5" customHeight="1">
      <c r="A171" s="461"/>
      <c r="B171" s="1133"/>
      <c r="C171" s="3850" t="s">
        <v>4728</v>
      </c>
      <c r="D171" s="1122"/>
      <c r="E171" s="1122"/>
      <c r="F171" s="1122"/>
      <c r="G171" s="1122"/>
      <c r="H171" s="1122"/>
      <c r="I171" s="1122"/>
      <c r="J171" s="1122"/>
      <c r="K171" s="1122"/>
      <c r="L171" s="1122"/>
      <c r="M171" s="1122"/>
      <c r="N171" s="1122"/>
      <c r="O171" s="1122"/>
      <c r="P171" s="1122"/>
      <c r="Q171" s="1122"/>
      <c r="R171" s="1122"/>
      <c r="S171" s="1122"/>
      <c r="T171" s="1122"/>
      <c r="U171" s="1122"/>
      <c r="V171" s="1122"/>
      <c r="W171" s="1122"/>
      <c r="X171" s="1122"/>
      <c r="Y171" s="1122"/>
      <c r="Z171" s="1122"/>
      <c r="AA171" s="1122"/>
      <c r="AB171" s="1122"/>
      <c r="AC171" s="1122"/>
      <c r="AD171" s="1122"/>
      <c r="AE171" s="1122"/>
      <c r="AF171" s="1122"/>
      <c r="AG171" s="1122"/>
      <c r="AH171" s="1122"/>
      <c r="AI171" s="1122"/>
      <c r="AJ171" s="1122"/>
      <c r="AK171" s="461"/>
      <c r="AL171" s="461"/>
      <c r="AM171" s="461"/>
      <c r="AN171" s="808"/>
      <c r="AO171" s="808"/>
      <c r="AP171" s="808"/>
      <c r="AQ171" s="2038"/>
      <c r="AR171" s="2038"/>
      <c r="AS171" s="2038"/>
      <c r="AT171" s="2038"/>
      <c r="AU171" s="2038"/>
      <c r="AV171" s="2038"/>
      <c r="AW171" s="2038"/>
      <c r="AX171" s="2038"/>
      <c r="AY171" s="2038"/>
      <c r="AZ171" s="2038"/>
      <c r="BA171" s="39"/>
      <c r="BB171" s="39"/>
    </row>
    <row r="172" spans="1:54" s="2690" customFormat="1" ht="15.75" customHeight="1" thickBot="1">
      <c r="A172" s="461"/>
      <c r="B172" s="1127">
        <v>31</v>
      </c>
      <c r="C172" s="808"/>
      <c r="D172" s="2112" t="s">
        <v>4802</v>
      </c>
      <c r="E172" s="2112"/>
      <c r="F172" s="2112"/>
      <c r="G172" s="808"/>
      <c r="H172" s="808"/>
      <c r="I172" s="808"/>
      <c r="J172" s="808"/>
      <c r="K172" s="808"/>
      <c r="L172" s="808"/>
      <c r="M172" s="808"/>
      <c r="N172" s="808"/>
      <c r="O172" s="808"/>
      <c r="P172" s="808"/>
      <c r="Q172" s="808"/>
      <c r="R172" s="808"/>
      <c r="S172" s="808"/>
      <c r="T172" s="808"/>
      <c r="U172" s="808"/>
      <c r="V172" s="808"/>
      <c r="W172" s="808"/>
      <c r="X172" s="808"/>
      <c r="Y172" s="808"/>
      <c r="Z172" s="808"/>
      <c r="AA172" s="808"/>
      <c r="AB172" s="808"/>
      <c r="AC172" s="808"/>
      <c r="AD172" s="1123"/>
      <c r="AE172" s="808"/>
      <c r="AF172" s="808"/>
      <c r="AG172" s="808"/>
      <c r="AH172" s="808"/>
      <c r="AI172" s="808"/>
      <c r="AJ172" s="808"/>
      <c r="AK172" s="461"/>
      <c r="AL172" s="461"/>
      <c r="AM172" s="461"/>
      <c r="AN172" s="808"/>
      <c r="AO172" s="808"/>
      <c r="AP172" s="808"/>
      <c r="AQ172" s="2038"/>
      <c r="AR172" s="2038"/>
      <c r="AS172" s="2038"/>
      <c r="AT172" s="2038"/>
      <c r="AU172" s="2038"/>
      <c r="AV172" s="2038"/>
      <c r="AW172" s="2038"/>
      <c r="AX172" s="2038"/>
      <c r="AY172" s="2038"/>
      <c r="AZ172" s="2038"/>
      <c r="BA172" s="39"/>
      <c r="BB172" s="39"/>
    </row>
    <row r="173" spans="1:54" s="2690" customFormat="1" ht="15.75" thickBot="1">
      <c r="A173" s="461"/>
      <c r="B173" s="896"/>
      <c r="C173" s="896"/>
      <c r="D173" s="2122" t="s">
        <v>4803</v>
      </c>
      <c r="E173" s="2122"/>
      <c r="F173" s="2122"/>
      <c r="G173" s="896"/>
      <c r="H173" s="896"/>
      <c r="I173" s="896"/>
      <c r="J173" s="896"/>
      <c r="K173" s="896"/>
      <c r="L173" s="896"/>
      <c r="M173" s="896"/>
      <c r="N173" s="896"/>
      <c r="O173" s="896"/>
      <c r="P173" s="896"/>
      <c r="Q173" s="896"/>
      <c r="R173" s="896"/>
      <c r="S173" s="896"/>
      <c r="T173" s="896"/>
      <c r="U173" s="896"/>
      <c r="V173" s="896"/>
      <c r="W173" s="896"/>
      <c r="X173" s="896"/>
      <c r="Y173" s="896"/>
      <c r="Z173" s="896"/>
      <c r="AA173" s="896"/>
      <c r="AB173" s="896"/>
      <c r="AC173" s="2629" t="s">
        <v>4799</v>
      </c>
      <c r="AD173" s="3516">
        <v>31</v>
      </c>
      <c r="AE173" s="9592" t="str">
        <f>IF(AO173&lt;&gt;"",ROUND(AO173,0),IF(OR(AH165,AY160=""),"",AY160))</f>
        <v/>
      </c>
      <c r="AF173" s="9874"/>
      <c r="AG173" s="9874"/>
      <c r="AH173" s="9874"/>
      <c r="AI173" s="9874"/>
      <c r="AJ173" s="9874"/>
      <c r="AK173" s="461"/>
      <c r="AL173" s="461"/>
      <c r="AM173" s="461"/>
      <c r="AN173" s="808"/>
      <c r="AO173" s="3521"/>
      <c r="AP173" s="808"/>
      <c r="AQ173" s="2038"/>
      <c r="AR173" s="2038"/>
      <c r="AS173" s="2038"/>
      <c r="AT173" s="2038"/>
      <c r="AU173" s="2038"/>
      <c r="AV173" s="2038"/>
      <c r="AW173" s="2038"/>
      <c r="AX173" s="2038"/>
      <c r="AY173" s="2038"/>
      <c r="AZ173" s="2038"/>
      <c r="BA173" s="39"/>
      <c r="BB173" s="39"/>
    </row>
    <row r="174" spans="1:54" s="2690" customFormat="1" ht="15.75">
      <c r="A174" s="461"/>
      <c r="B174" s="1262"/>
      <c r="C174" s="61"/>
      <c r="D174" s="61"/>
      <c r="E174" s="61"/>
      <c r="F174" s="61"/>
      <c r="G174" s="61"/>
      <c r="H174" s="61"/>
      <c r="I174" s="61"/>
      <c r="J174" s="61"/>
      <c r="K174" s="61"/>
      <c r="L174" s="61"/>
      <c r="M174" s="61"/>
      <c r="N174" s="61"/>
      <c r="O174" s="61"/>
      <c r="P174" s="61"/>
      <c r="Q174" s="22"/>
      <c r="R174" s="22"/>
      <c r="S174" s="22"/>
      <c r="T174" s="22"/>
      <c r="U174" s="337"/>
      <c r="V174" s="22"/>
      <c r="W174" s="337"/>
      <c r="X174" s="22"/>
      <c r="Y174" s="22"/>
      <c r="Z174" s="22"/>
      <c r="AA174" s="22"/>
      <c r="AB174" s="22"/>
      <c r="AC174" s="22"/>
      <c r="AD174" s="22"/>
      <c r="AE174" s="22"/>
      <c r="AF174" s="22"/>
      <c r="AG174" s="22"/>
      <c r="AH174" s="705" t="s">
        <v>4753</v>
      </c>
      <c r="AI174" s="22"/>
      <c r="AJ174" s="705" t="str">
        <f>"("&amp;TaxYear&amp;")"</f>
        <v>(2023)</v>
      </c>
      <c r="AK174" s="461"/>
      <c r="AL174" s="461"/>
      <c r="AM174" s="461"/>
      <c r="AN174" s="1461"/>
      <c r="AO174" s="1461"/>
      <c r="AP174" s="808"/>
      <c r="AQ174" s="2038"/>
      <c r="AR174" s="2038"/>
      <c r="AS174" s="2038"/>
      <c r="AT174" s="2038"/>
      <c r="AU174" s="2038"/>
      <c r="AV174" s="2038"/>
      <c r="AW174" s="2038"/>
      <c r="AX174" s="2038"/>
      <c r="AY174" s="2038"/>
      <c r="AZ174" s="2038"/>
      <c r="BA174" s="39"/>
      <c r="BB174" s="39"/>
    </row>
    <row r="175" spans="1:54" s="2690" customFormat="1" ht="18" customHeight="1" thickBot="1">
      <c r="A175" s="461"/>
      <c r="B175" s="964" t="str">
        <f>"Form 8863 ("&amp;TaxYear&amp;")"</f>
        <v>Form 8863 (2023)</v>
      </c>
      <c r="C175" s="964"/>
      <c r="D175" s="964"/>
      <c r="E175" s="964"/>
      <c r="F175" s="964"/>
      <c r="G175" s="964"/>
      <c r="H175" s="964"/>
      <c r="I175" s="964"/>
      <c r="J175" s="964"/>
      <c r="K175" s="964"/>
      <c r="L175" s="964"/>
      <c r="M175" s="964"/>
      <c r="N175" s="964"/>
      <c r="O175" s="964"/>
      <c r="P175" s="964"/>
      <c r="Q175" s="964"/>
      <c r="R175" s="964"/>
      <c r="S175" s="964"/>
      <c r="T175" s="964"/>
      <c r="U175" s="964"/>
      <c r="V175" s="964"/>
      <c r="W175" s="964"/>
      <c r="X175" s="964"/>
      <c r="Y175" s="964"/>
      <c r="Z175" s="964"/>
      <c r="AA175" s="964"/>
      <c r="AB175" s="964"/>
      <c r="AC175" s="964"/>
      <c r="AD175" s="964"/>
      <c r="AE175" s="964"/>
      <c r="AF175" s="964"/>
      <c r="AG175" s="964"/>
      <c r="AH175" s="964"/>
      <c r="AI175" s="1368" t="s">
        <v>2387</v>
      </c>
      <c r="AJ175" s="1369">
        <v>2</v>
      </c>
      <c r="AK175" s="461"/>
      <c r="AL175" s="461"/>
      <c r="AM175" s="461"/>
      <c r="AN175" s="808"/>
      <c r="AO175" s="808"/>
      <c r="AP175" s="808"/>
      <c r="AQ175" s="2038"/>
      <c r="AR175" s="2038"/>
      <c r="AS175" s="2038"/>
      <c r="AT175" s="2038"/>
      <c r="AU175" s="2038"/>
      <c r="AV175" s="2038"/>
      <c r="AW175" s="2038"/>
      <c r="AX175" s="2038"/>
      <c r="AY175" s="2038"/>
      <c r="AZ175" s="2038"/>
      <c r="BA175" s="39"/>
      <c r="BB175" s="39"/>
    </row>
    <row r="176" spans="1:54" s="2690" customFormat="1" ht="16.5" customHeight="1" thickTop="1">
      <c r="A176" s="461"/>
      <c r="B176" s="3504" t="s">
        <v>2208</v>
      </c>
      <c r="C176" s="1121"/>
      <c r="D176" s="1121"/>
      <c r="E176" s="1121"/>
      <c r="F176" s="1121"/>
      <c r="G176" s="1121"/>
      <c r="H176" s="1121"/>
      <c r="I176" s="1121"/>
      <c r="J176" s="1121"/>
      <c r="K176" s="1121"/>
      <c r="L176" s="1121"/>
      <c r="M176" s="1121"/>
      <c r="N176" s="1121"/>
      <c r="O176" s="1121"/>
      <c r="P176" s="1121"/>
      <c r="Q176" s="1121"/>
      <c r="R176" s="1121"/>
      <c r="S176" s="1121"/>
      <c r="T176" s="1121"/>
      <c r="U176" s="1121"/>
      <c r="V176" s="1121"/>
      <c r="W176" s="1121"/>
      <c r="X176" s="1121"/>
      <c r="Y176" s="1121"/>
      <c r="Z176" s="1121"/>
      <c r="AA176" s="1121"/>
      <c r="AB176" s="1121"/>
      <c r="AC176" s="9877" t="s">
        <v>586</v>
      </c>
      <c r="AD176" s="9878"/>
      <c r="AE176" s="9878"/>
      <c r="AF176" s="9878"/>
      <c r="AG176" s="9878"/>
      <c r="AH176" s="9878"/>
      <c r="AI176" s="9878"/>
      <c r="AJ176" s="9878"/>
      <c r="AK176" s="461"/>
      <c r="AL176" s="461"/>
      <c r="AM176" s="461"/>
      <c r="AN176" s="808"/>
      <c r="AO176" s="808"/>
      <c r="AP176" s="808"/>
      <c r="AQ176" s="2038"/>
      <c r="AR176" s="2038"/>
      <c r="AS176" s="2038"/>
      <c r="AT176" s="2038"/>
      <c r="AU176" s="2038"/>
      <c r="AV176" s="2038"/>
      <c r="AW176" s="2038"/>
      <c r="AX176" s="2038"/>
      <c r="AY176" s="2038"/>
      <c r="AZ176" s="2038"/>
      <c r="BA176" s="39"/>
      <c r="BB176" s="39"/>
    </row>
    <row r="177" spans="1:54" s="2690" customFormat="1" ht="21.75" customHeight="1">
      <c r="A177" s="461"/>
      <c r="B177" s="9879" t="str">
        <f>Names</f>
        <v/>
      </c>
      <c r="C177" s="9880"/>
      <c r="D177" s="9880"/>
      <c r="E177" s="9880"/>
      <c r="F177" s="9880"/>
      <c r="G177" s="9880"/>
      <c r="H177" s="9880"/>
      <c r="I177" s="9880"/>
      <c r="J177" s="9880"/>
      <c r="K177" s="9880"/>
      <c r="L177" s="9880"/>
      <c r="M177" s="9880"/>
      <c r="N177" s="9880"/>
      <c r="O177" s="9880"/>
      <c r="P177" s="9880"/>
      <c r="Q177" s="9880"/>
      <c r="R177" s="9880"/>
      <c r="S177" s="9880"/>
      <c r="T177" s="9880"/>
      <c r="U177" s="9880"/>
      <c r="V177" s="9880"/>
      <c r="W177" s="9880"/>
      <c r="X177" s="9880"/>
      <c r="Y177" s="9880"/>
      <c r="Z177" s="9880"/>
      <c r="AA177" s="9880"/>
      <c r="AB177" s="9881"/>
      <c r="AC177" s="9882">
        <f>IF(OR(NoSSN,SS_Yours=""),"",SS_Yours)</f>
        <v>1010001</v>
      </c>
      <c r="AD177" s="9883"/>
      <c r="AE177" s="9883"/>
      <c r="AF177" s="9883"/>
      <c r="AG177" s="9883"/>
      <c r="AH177" s="9883"/>
      <c r="AI177" s="9883"/>
      <c r="AJ177" s="9883"/>
      <c r="AK177" s="461"/>
      <c r="AL177" s="461"/>
      <c r="AM177" s="461"/>
      <c r="AN177" s="808"/>
      <c r="AO177" s="808"/>
      <c r="AP177" s="808"/>
      <c r="AQ177" s="2038"/>
      <c r="AR177" s="2038"/>
      <c r="AS177" s="2038"/>
      <c r="AT177" s="2038"/>
      <c r="AU177" s="2038"/>
      <c r="AV177" s="2038"/>
      <c r="AW177" s="2038"/>
      <c r="AX177" s="2038"/>
      <c r="AY177" s="2038"/>
      <c r="AZ177" s="2038"/>
      <c r="BA177" s="39"/>
      <c r="BB177" s="39"/>
    </row>
    <row r="178" spans="1:54" s="2690" customFormat="1" ht="5.25" customHeight="1">
      <c r="A178" s="461"/>
      <c r="B178" s="3517"/>
      <c r="C178" s="3517"/>
      <c r="D178" s="3517" t="s">
        <v>4449</v>
      </c>
      <c r="E178" s="3517"/>
      <c r="F178" s="3517"/>
      <c r="G178" s="3517"/>
      <c r="H178" s="3517"/>
      <c r="I178" s="3517"/>
      <c r="J178" s="3517"/>
      <c r="K178" s="3517"/>
      <c r="L178" s="3517"/>
      <c r="M178" s="3517"/>
      <c r="N178" s="3517"/>
      <c r="O178" s="3517"/>
      <c r="P178" s="3517"/>
      <c r="Q178" s="3517"/>
      <c r="R178" s="3517"/>
      <c r="S178" s="3517"/>
      <c r="T178" s="3517"/>
      <c r="U178" s="3517"/>
      <c r="V178" s="3517"/>
      <c r="W178" s="3517"/>
      <c r="X178" s="3517"/>
      <c r="Y178" s="3517"/>
      <c r="Z178" s="3517"/>
      <c r="AA178" s="3517"/>
      <c r="AB178" s="3517"/>
      <c r="AC178" s="3517"/>
      <c r="AD178" s="3517"/>
      <c r="AE178" s="3517"/>
      <c r="AF178" s="3517"/>
      <c r="AG178" s="3517"/>
      <c r="AH178" s="3517"/>
      <c r="AI178" s="3517"/>
      <c r="AJ178" s="3517"/>
      <c r="AK178" s="461"/>
      <c r="AL178" s="461"/>
      <c r="AM178" s="461"/>
      <c r="AN178" s="808"/>
      <c r="AO178" s="808"/>
      <c r="AP178" s="808"/>
      <c r="AQ178" s="2038"/>
      <c r="AR178" s="2038"/>
      <c r="AS178" s="2038"/>
      <c r="AT178" s="2038"/>
      <c r="AU178" s="2038"/>
      <c r="AV178" s="2038"/>
      <c r="AW178" s="2038"/>
      <c r="AX178" s="2038"/>
      <c r="AY178" s="2038"/>
      <c r="AZ178" s="2038"/>
      <c r="BA178" s="39"/>
      <c r="BB178" s="39"/>
    </row>
    <row r="179" spans="1:54" s="3525" customFormat="1" ht="15.75" customHeight="1">
      <c r="A179" s="3497"/>
      <c r="B179" s="3518"/>
      <c r="C179" s="3518"/>
      <c r="D179" s="9896" t="s">
        <v>4754</v>
      </c>
      <c r="E179" s="9897"/>
      <c r="F179" s="9897"/>
      <c r="G179" s="9897"/>
      <c r="H179" s="9897"/>
      <c r="I179" s="9897"/>
      <c r="J179" s="9897"/>
      <c r="K179" s="9897"/>
      <c r="L179" s="9897"/>
      <c r="M179" s="9897"/>
      <c r="N179" s="9897"/>
      <c r="O179" s="9897"/>
      <c r="P179" s="9897"/>
      <c r="Q179" s="9897"/>
      <c r="R179" s="9897"/>
      <c r="S179" s="9897"/>
      <c r="T179" s="9897"/>
      <c r="U179" s="9897"/>
      <c r="V179" s="9897"/>
      <c r="W179" s="9897"/>
      <c r="X179" s="9897"/>
      <c r="Y179" s="9897"/>
      <c r="Z179" s="9897"/>
      <c r="AA179" s="9897"/>
      <c r="AB179" s="9897"/>
      <c r="AC179" s="9897"/>
      <c r="AD179" s="9897"/>
      <c r="AE179" s="9897"/>
      <c r="AF179" s="9897"/>
      <c r="AG179" s="9897"/>
      <c r="AH179" s="9897"/>
      <c r="AI179" s="9897"/>
      <c r="AJ179" s="9897"/>
      <c r="AK179" s="3497"/>
      <c r="AL179" s="3497"/>
      <c r="AM179" s="3497"/>
      <c r="AN179" s="3498"/>
      <c r="AO179" s="3498"/>
      <c r="AP179" s="1573"/>
      <c r="AQ179" s="3524"/>
      <c r="AR179" s="3524"/>
      <c r="AS179" s="3524"/>
      <c r="AT179" s="3524"/>
      <c r="AU179" s="3524"/>
      <c r="AV179" s="3524"/>
      <c r="AW179" s="3524"/>
      <c r="AX179" s="3524"/>
      <c r="AY179" s="3524"/>
      <c r="AZ179" s="3524"/>
      <c r="BA179" s="3499"/>
      <c r="BB179" s="3499"/>
    </row>
    <row r="180" spans="1:54" s="3525" customFormat="1" ht="15.75" customHeight="1">
      <c r="A180" s="3497"/>
      <c r="B180" s="3518"/>
      <c r="C180" s="3518"/>
      <c r="D180" s="9897"/>
      <c r="E180" s="9897"/>
      <c r="F180" s="9897"/>
      <c r="G180" s="9897"/>
      <c r="H180" s="9897"/>
      <c r="I180" s="9897"/>
      <c r="J180" s="9897"/>
      <c r="K180" s="9897"/>
      <c r="L180" s="9897"/>
      <c r="M180" s="9897"/>
      <c r="N180" s="9897"/>
      <c r="O180" s="9897"/>
      <c r="P180" s="9897"/>
      <c r="Q180" s="9897"/>
      <c r="R180" s="9897"/>
      <c r="S180" s="9897"/>
      <c r="T180" s="9897"/>
      <c r="U180" s="9897"/>
      <c r="V180" s="9897"/>
      <c r="W180" s="9897"/>
      <c r="X180" s="9897"/>
      <c r="Y180" s="9897"/>
      <c r="Z180" s="9897"/>
      <c r="AA180" s="9897"/>
      <c r="AB180" s="9897"/>
      <c r="AC180" s="9897"/>
      <c r="AD180" s="9897"/>
      <c r="AE180" s="9897"/>
      <c r="AF180" s="9897"/>
      <c r="AG180" s="9897"/>
      <c r="AH180" s="9897"/>
      <c r="AI180" s="9897"/>
      <c r="AJ180" s="9897"/>
      <c r="AK180" s="3497"/>
      <c r="AL180" s="3497"/>
      <c r="AM180" s="3497"/>
      <c r="AN180" s="3498"/>
      <c r="AO180" s="3498"/>
      <c r="AP180" s="1573"/>
      <c r="AQ180" s="3524"/>
      <c r="AR180" s="3524"/>
      <c r="AS180" s="3524"/>
      <c r="AT180" s="3524"/>
      <c r="AU180" s="3524"/>
      <c r="AV180" s="3524"/>
      <c r="AW180" s="3524"/>
      <c r="AX180" s="3524"/>
      <c r="AY180" s="3524"/>
      <c r="AZ180" s="3524"/>
      <c r="BA180" s="3499"/>
      <c r="BB180" s="3499"/>
    </row>
    <row r="181" spans="1:54" s="3525" customFormat="1" ht="15.75" customHeight="1">
      <c r="A181" s="3497"/>
      <c r="B181" s="3518"/>
      <c r="C181" s="3518"/>
      <c r="D181" s="9897"/>
      <c r="E181" s="9897"/>
      <c r="F181" s="9897"/>
      <c r="G181" s="9897"/>
      <c r="H181" s="9897"/>
      <c r="I181" s="9897"/>
      <c r="J181" s="9897"/>
      <c r="K181" s="9897"/>
      <c r="L181" s="9897"/>
      <c r="M181" s="9897"/>
      <c r="N181" s="9897"/>
      <c r="O181" s="9897"/>
      <c r="P181" s="9897"/>
      <c r="Q181" s="9897"/>
      <c r="R181" s="9897"/>
      <c r="S181" s="9897"/>
      <c r="T181" s="9897"/>
      <c r="U181" s="9897"/>
      <c r="V181" s="9897"/>
      <c r="W181" s="9897"/>
      <c r="X181" s="9897"/>
      <c r="Y181" s="9897"/>
      <c r="Z181" s="9897"/>
      <c r="AA181" s="9897"/>
      <c r="AB181" s="9897"/>
      <c r="AC181" s="9897"/>
      <c r="AD181" s="9897"/>
      <c r="AE181" s="9897"/>
      <c r="AF181" s="9897"/>
      <c r="AG181" s="9897"/>
      <c r="AH181" s="9897"/>
      <c r="AI181" s="9897"/>
      <c r="AJ181" s="9897"/>
      <c r="AK181" s="3497"/>
      <c r="AL181" s="3497"/>
      <c r="AM181" s="3497"/>
      <c r="AN181" s="3498"/>
      <c r="AO181" s="3498"/>
      <c r="AP181" s="1573"/>
      <c r="AQ181" s="3524"/>
      <c r="AR181" s="3524"/>
      <c r="AS181" s="3524"/>
      <c r="AT181" s="3524"/>
      <c r="AU181" s="3524"/>
      <c r="AV181" s="3524"/>
      <c r="AW181" s="3524"/>
      <c r="AX181" s="3524"/>
      <c r="AY181" s="3524"/>
      <c r="AZ181" s="3524"/>
      <c r="BA181" s="3499"/>
      <c r="BB181" s="3499"/>
    </row>
    <row r="182" spans="1:54" s="2690" customFormat="1" ht="6" customHeight="1">
      <c r="A182" s="461"/>
      <c r="B182" s="3519"/>
      <c r="C182" s="3519"/>
      <c r="D182" s="3519"/>
      <c r="E182" s="3519"/>
      <c r="F182" s="3519"/>
      <c r="G182" s="3519"/>
      <c r="H182" s="3519"/>
      <c r="I182" s="3519"/>
      <c r="J182" s="3519"/>
      <c r="K182" s="3519"/>
      <c r="L182" s="3519"/>
      <c r="M182" s="3519"/>
      <c r="N182" s="3519"/>
      <c r="O182" s="3519"/>
      <c r="P182" s="3519"/>
      <c r="Q182" s="3519"/>
      <c r="R182" s="3519"/>
      <c r="S182" s="3519"/>
      <c r="T182" s="3519"/>
      <c r="U182" s="3519"/>
      <c r="V182" s="3519"/>
      <c r="W182" s="3519"/>
      <c r="X182" s="3519"/>
      <c r="Y182" s="3519"/>
      <c r="Z182" s="3519"/>
      <c r="AA182" s="3519"/>
      <c r="AB182" s="3519"/>
      <c r="AC182" s="3519"/>
      <c r="AD182" s="3519"/>
      <c r="AE182" s="3519"/>
      <c r="AF182" s="3519"/>
      <c r="AG182" s="3519"/>
      <c r="AH182" s="3519"/>
      <c r="AI182" s="3519"/>
      <c r="AJ182" s="3519"/>
      <c r="AK182" s="461"/>
      <c r="AL182" s="461"/>
      <c r="AM182" s="461"/>
      <c r="AN182" s="808"/>
      <c r="AO182" s="808"/>
      <c r="AP182" s="808"/>
      <c r="AQ182" s="2038"/>
      <c r="AR182" s="2038"/>
      <c r="AS182" s="2038"/>
      <c r="AT182" s="2038"/>
      <c r="AU182" s="2038"/>
      <c r="AV182" s="2038"/>
      <c r="AW182" s="2038"/>
      <c r="AX182" s="2038"/>
      <c r="AY182" s="2038"/>
      <c r="AZ182" s="2038"/>
      <c r="BA182" s="39"/>
      <c r="BB182" s="39"/>
    </row>
    <row r="183" spans="1:54" s="2690" customFormat="1" ht="19.5" customHeight="1">
      <c r="A183" s="461"/>
      <c r="B183" s="6909" t="s">
        <v>2243</v>
      </c>
      <c r="C183" s="6909"/>
      <c r="D183" s="1139"/>
      <c r="E183" s="3849" t="s">
        <v>4755</v>
      </c>
      <c r="F183" s="1121"/>
      <c r="G183" s="1121"/>
      <c r="H183" s="1121"/>
      <c r="I183" s="1121"/>
      <c r="J183" s="1121"/>
      <c r="K183" s="1121"/>
      <c r="L183" s="1121"/>
      <c r="M183" s="1121"/>
      <c r="N183" s="1121"/>
      <c r="O183" s="1121"/>
      <c r="P183" s="1121"/>
      <c r="Q183" s="1121"/>
      <c r="R183" s="1121"/>
      <c r="S183" s="1121"/>
      <c r="T183" s="1121"/>
      <c r="U183" s="1121"/>
      <c r="V183" s="1121"/>
      <c r="W183" s="1121"/>
      <c r="X183" s="1121"/>
      <c r="Y183" s="1121"/>
      <c r="Z183" s="1121"/>
      <c r="AA183" s="1121"/>
      <c r="AB183" s="1121"/>
      <c r="AC183" s="1121"/>
      <c r="AD183" s="1121"/>
      <c r="AE183" s="1121"/>
      <c r="AF183" s="1121"/>
      <c r="AG183" s="1121"/>
      <c r="AH183" s="1121"/>
      <c r="AI183" s="1121"/>
      <c r="AJ183" s="1121"/>
      <c r="AK183" s="461"/>
      <c r="AL183" s="461"/>
      <c r="AM183" s="461"/>
      <c r="AN183" s="808"/>
      <c r="AO183" s="808"/>
      <c r="AP183" s="808"/>
      <c r="AQ183" s="2038"/>
      <c r="AR183" s="2038"/>
      <c r="AS183" s="2038"/>
      <c r="AT183" s="2038"/>
      <c r="AU183" s="2038"/>
      <c r="AV183" s="2038"/>
      <c r="AW183" s="2038"/>
      <c r="AX183" s="2038"/>
      <c r="AY183" s="2038"/>
      <c r="AZ183" s="2038"/>
      <c r="BA183" s="39"/>
      <c r="BB183" s="39"/>
    </row>
    <row r="184" spans="1:54" s="2690" customFormat="1" ht="16.5" customHeight="1">
      <c r="A184" s="461"/>
      <c r="B184" s="1127" t="s">
        <v>297</v>
      </c>
      <c r="C184" s="808"/>
      <c r="D184" s="3505" t="s">
        <v>4756</v>
      </c>
      <c r="E184" s="1142"/>
      <c r="F184" s="1142"/>
      <c r="G184" s="1142"/>
      <c r="H184" s="1142"/>
      <c r="I184" s="1142"/>
      <c r="J184" s="1142"/>
      <c r="K184" s="1142"/>
      <c r="L184" s="1142"/>
      <c r="M184" s="1143"/>
      <c r="N184" s="1144"/>
      <c r="O184" s="1259"/>
      <c r="P184" s="1142"/>
      <c r="Q184" s="1142"/>
      <c r="R184" s="1259"/>
      <c r="S184" s="1259"/>
      <c r="T184" s="1144">
        <v>21</v>
      </c>
      <c r="U184" s="3505" t="s">
        <v>4757</v>
      </c>
      <c r="V184" s="1259"/>
      <c r="W184" s="1259"/>
      <c r="X184" s="1259"/>
      <c r="Y184" s="1259"/>
      <c r="Z184" s="1259"/>
      <c r="AA184" s="1259"/>
      <c r="AB184" s="3507"/>
      <c r="AC184" s="1259"/>
      <c r="AD184" s="1259"/>
      <c r="AE184" s="1259"/>
      <c r="AF184" s="1259"/>
      <c r="AG184" s="1142"/>
      <c r="AH184" s="1259"/>
      <c r="AI184" s="1259"/>
      <c r="AJ184" s="1259"/>
      <c r="AK184" s="461"/>
      <c r="AL184" s="461"/>
      <c r="AM184" s="461"/>
      <c r="AN184" s="808"/>
      <c r="AO184" s="808"/>
      <c r="AP184" s="808"/>
      <c r="AQ184" s="2038"/>
      <c r="AR184" s="2038"/>
      <c r="AS184" s="2038"/>
      <c r="AT184" s="2038"/>
      <c r="AU184" s="2038"/>
      <c r="AV184" s="2038"/>
      <c r="AW184" s="2038"/>
      <c r="AX184" s="2038"/>
      <c r="AY184" s="2038"/>
      <c r="AZ184" s="2038"/>
      <c r="BA184" s="39"/>
      <c r="BB184" s="39"/>
    </row>
    <row r="185" spans="1:54" s="2690" customFormat="1" ht="15">
      <c r="A185" s="461"/>
      <c r="B185" s="1127"/>
      <c r="C185" s="808"/>
      <c r="D185" s="9889"/>
      <c r="E185" s="9889"/>
      <c r="F185" s="9889"/>
      <c r="G185" s="9889"/>
      <c r="H185" s="9889"/>
      <c r="I185" s="9889"/>
      <c r="J185" s="9889"/>
      <c r="K185" s="9889"/>
      <c r="L185" s="9889"/>
      <c r="M185" s="9889"/>
      <c r="N185" s="9889"/>
      <c r="O185" s="9889"/>
      <c r="P185" s="9889"/>
      <c r="Q185" s="9889"/>
      <c r="R185" s="9889"/>
      <c r="S185" s="9890"/>
      <c r="T185" s="3585"/>
      <c r="U185" s="2447" t="s">
        <v>4758</v>
      </c>
      <c r="V185" s="3586"/>
      <c r="W185" s="3586"/>
      <c r="X185" s="3586"/>
      <c r="Y185" s="3586"/>
      <c r="Z185" s="3586"/>
      <c r="AA185" s="3586"/>
      <c r="AB185" s="3586"/>
      <c r="AC185" s="3586"/>
      <c r="AD185" s="3586"/>
      <c r="AE185" s="3586"/>
      <c r="AF185" s="3586"/>
      <c r="AG185" s="3586"/>
      <c r="AH185" s="3586"/>
      <c r="AI185" s="3586"/>
      <c r="AJ185" s="3586"/>
      <c r="AK185" s="461"/>
      <c r="AL185" s="461"/>
      <c r="AM185" s="461"/>
      <c r="AN185" s="808"/>
      <c r="AO185" s="808"/>
      <c r="AP185" s="808"/>
      <c r="AQ185" s="2038"/>
      <c r="AR185" s="2038"/>
      <c r="AS185" s="2038"/>
      <c r="AT185" s="2038"/>
      <c r="AU185" s="2038"/>
      <c r="AV185" s="2038"/>
      <c r="AW185" s="2038"/>
      <c r="AX185" s="2038"/>
      <c r="AY185" s="2038"/>
      <c r="AZ185" s="2038"/>
      <c r="BA185" s="39"/>
      <c r="BB185" s="39"/>
    </row>
    <row r="186" spans="1:54" s="2690" customFormat="1" ht="18" customHeight="1">
      <c r="A186" s="461"/>
      <c r="B186" s="1127"/>
      <c r="C186" s="808"/>
      <c r="D186" s="9891"/>
      <c r="E186" s="9891"/>
      <c r="F186" s="9891"/>
      <c r="G186" s="9891"/>
      <c r="H186" s="9891"/>
      <c r="I186" s="9891"/>
      <c r="J186" s="9891"/>
      <c r="K186" s="9891"/>
      <c r="L186" s="9891"/>
      <c r="M186" s="9891"/>
      <c r="N186" s="9891"/>
      <c r="O186" s="9891"/>
      <c r="P186" s="9891"/>
      <c r="Q186" s="9891"/>
      <c r="R186" s="9891"/>
      <c r="S186" s="9892"/>
      <c r="T186" s="3508"/>
      <c r="U186" s="9893"/>
      <c r="V186" s="9893"/>
      <c r="W186" s="9893"/>
      <c r="X186" s="9893"/>
      <c r="Y186" s="9893"/>
      <c r="Z186" s="9893"/>
      <c r="AA186" s="9893"/>
      <c r="AB186" s="9893"/>
      <c r="AC186" s="9893"/>
      <c r="AD186" s="9893"/>
      <c r="AE186" s="9893"/>
      <c r="AF186" s="9893"/>
      <c r="AG186" s="9893"/>
      <c r="AH186" s="9893"/>
      <c r="AI186" s="9893"/>
      <c r="AJ186" s="9893"/>
      <c r="AK186" s="461"/>
      <c r="AL186" s="461"/>
      <c r="AM186" s="461"/>
      <c r="AN186" s="808"/>
      <c r="AO186" s="808"/>
      <c r="AP186" s="808"/>
      <c r="AQ186" s="2038"/>
      <c r="AR186" s="2038"/>
      <c r="AS186" s="2038"/>
      <c r="AT186" s="2038"/>
      <c r="AU186" s="2038"/>
      <c r="AV186" s="2038"/>
      <c r="AW186" s="2038"/>
      <c r="AX186" s="2038"/>
      <c r="AY186" s="2038"/>
      <c r="AZ186" s="2038"/>
      <c r="BA186" s="39"/>
      <c r="BB186" s="39"/>
    </row>
    <row r="187" spans="1:54" s="2690" customFormat="1" ht="16.5" customHeight="1">
      <c r="A187" s="461"/>
      <c r="B187" s="1133">
        <v>22</v>
      </c>
      <c r="C187" s="1122"/>
      <c r="D187" s="2190" t="s">
        <v>4759</v>
      </c>
      <c r="E187" s="1121"/>
      <c r="F187" s="1121"/>
      <c r="G187" s="1121"/>
      <c r="H187" s="1121"/>
      <c r="I187" s="1121"/>
      <c r="J187" s="1121"/>
      <c r="K187" s="1121"/>
      <c r="L187" s="1121"/>
      <c r="M187" s="1121"/>
      <c r="N187" s="1121"/>
      <c r="O187" s="1121"/>
      <c r="P187" s="1121"/>
      <c r="Q187" s="1121"/>
      <c r="R187" s="1121"/>
      <c r="S187" s="1121"/>
      <c r="T187" s="1121"/>
      <c r="U187" s="1121"/>
      <c r="V187" s="1121"/>
      <c r="W187" s="1121"/>
      <c r="X187" s="1121"/>
      <c r="Y187" s="1121"/>
      <c r="Z187" s="1121"/>
      <c r="AA187" s="1121"/>
      <c r="AB187" s="1121"/>
      <c r="AC187" s="1121"/>
      <c r="AD187" s="1121"/>
      <c r="AE187" s="1121"/>
      <c r="AF187" s="1121"/>
      <c r="AG187" s="1121"/>
      <c r="AH187" s="1121"/>
      <c r="AI187" s="1121"/>
      <c r="AJ187" s="1121"/>
      <c r="AK187" s="461"/>
      <c r="AL187" s="461"/>
      <c r="AM187" s="461"/>
      <c r="AN187" s="808"/>
      <c r="AO187" s="808"/>
      <c r="AP187" s="808"/>
      <c r="AQ187" s="2038"/>
      <c r="AR187" s="2038"/>
      <c r="AS187" s="2038"/>
      <c r="AT187" s="2038"/>
      <c r="AU187" s="2038"/>
      <c r="AV187" s="2038"/>
      <c r="AW187" s="2038"/>
      <c r="AX187" s="2038"/>
      <c r="AY187" s="2038"/>
      <c r="AZ187" s="2038"/>
      <c r="BA187" s="39"/>
      <c r="BB187" s="39"/>
    </row>
    <row r="188" spans="1:54" s="2690" customFormat="1" ht="16.5" customHeight="1">
      <c r="A188" s="461"/>
      <c r="B188" s="1127"/>
      <c r="C188" s="808"/>
      <c r="D188" s="1141" t="s">
        <v>1404</v>
      </c>
      <c r="E188" s="1259" t="s">
        <v>4760</v>
      </c>
      <c r="F188" s="1142"/>
      <c r="G188" s="1142"/>
      <c r="H188" s="1142"/>
      <c r="I188" s="1142"/>
      <c r="J188" s="1142"/>
      <c r="K188" s="1142"/>
      <c r="L188" s="1142"/>
      <c r="M188" s="1142"/>
      <c r="N188" s="1141"/>
      <c r="O188" s="1259"/>
      <c r="P188" s="1142"/>
      <c r="Q188" s="1142"/>
      <c r="R188" s="1259"/>
      <c r="S188" s="3506"/>
      <c r="T188" s="1144"/>
      <c r="U188" s="1141" t="s">
        <v>1363</v>
      </c>
      <c r="V188" s="1259" t="s">
        <v>4761</v>
      </c>
      <c r="W188" s="1259"/>
      <c r="X188" s="1259"/>
      <c r="Y188" s="1259"/>
      <c r="Z188" s="1259"/>
      <c r="AA188" s="1259"/>
      <c r="AB188" s="3507"/>
      <c r="AC188" s="1259"/>
      <c r="AD188" s="1259"/>
      <c r="AE188" s="1259"/>
      <c r="AF188" s="1142"/>
      <c r="AG188" s="1259"/>
      <c r="AH188" s="1259"/>
      <c r="AI188" s="1259"/>
      <c r="AJ188" s="1259"/>
      <c r="AK188" s="461"/>
      <c r="AL188" s="461"/>
      <c r="AM188" s="461"/>
      <c r="AN188" s="808"/>
      <c r="AO188" s="808"/>
      <c r="AP188" s="808"/>
      <c r="AQ188" s="2038"/>
      <c r="AR188" s="2038"/>
      <c r="AS188" s="2038"/>
      <c r="AT188" s="2038"/>
      <c r="AU188" s="2038"/>
      <c r="AV188" s="2038"/>
      <c r="AW188" s="2038"/>
      <c r="AX188" s="2038"/>
      <c r="AY188" s="2038"/>
      <c r="AZ188" s="2038"/>
      <c r="BA188" s="39"/>
      <c r="BB188" s="39"/>
    </row>
    <row r="189" spans="1:54" s="2690" customFormat="1" ht="18">
      <c r="A189" s="461"/>
      <c r="B189" s="1127"/>
      <c r="C189" s="39"/>
      <c r="D189" s="9894"/>
      <c r="E189" s="9894"/>
      <c r="F189" s="9894"/>
      <c r="G189" s="9894"/>
      <c r="H189" s="9894"/>
      <c r="I189" s="9894"/>
      <c r="J189" s="9894"/>
      <c r="K189" s="9894"/>
      <c r="L189" s="9894"/>
      <c r="M189" s="9894"/>
      <c r="N189" s="9894"/>
      <c r="O189" s="9894"/>
      <c r="P189" s="9894"/>
      <c r="Q189" s="9894"/>
      <c r="R189" s="9894"/>
      <c r="S189" s="9895"/>
      <c r="T189" s="9901"/>
      <c r="U189" s="9902"/>
      <c r="V189" s="9902"/>
      <c r="W189" s="9902"/>
      <c r="X189" s="9902"/>
      <c r="Y189" s="9902"/>
      <c r="Z189" s="9902"/>
      <c r="AA189" s="9902"/>
      <c r="AB189" s="9902"/>
      <c r="AC189" s="9902"/>
      <c r="AD189" s="9902"/>
      <c r="AE189" s="9902"/>
      <c r="AF189" s="9902"/>
      <c r="AG189" s="9902"/>
      <c r="AH189" s="9902"/>
      <c r="AI189" s="9902"/>
      <c r="AJ189" s="9902"/>
      <c r="AK189" s="461"/>
      <c r="AL189" s="461"/>
      <c r="AM189" s="461"/>
      <c r="AN189" s="808"/>
      <c r="AO189" s="808"/>
      <c r="AP189" s="808"/>
      <c r="AQ189" s="2038"/>
      <c r="AR189" s="2038"/>
      <c r="AS189" s="2038"/>
      <c r="AT189" s="2038"/>
      <c r="AU189" s="2038"/>
      <c r="AV189" s="2038"/>
      <c r="AW189" s="2038"/>
      <c r="AX189" s="2038"/>
      <c r="AY189" s="2038"/>
      <c r="AZ189" s="2038"/>
      <c r="BA189" s="39"/>
      <c r="BB189" s="39"/>
    </row>
    <row r="190" spans="1:54" s="2690" customFormat="1" ht="12.75" customHeight="1">
      <c r="A190" s="461"/>
      <c r="B190" s="808"/>
      <c r="C190" s="808"/>
      <c r="D190" s="3503" t="s">
        <v>4296</v>
      </c>
      <c r="E190" s="2112" t="s">
        <v>4762</v>
      </c>
      <c r="F190" s="808"/>
      <c r="G190" s="808"/>
      <c r="H190" s="808"/>
      <c r="I190" s="808"/>
      <c r="J190" s="808"/>
      <c r="K190" s="808"/>
      <c r="L190" s="808"/>
      <c r="M190" s="808"/>
      <c r="N190" s="808"/>
      <c r="O190" s="808"/>
      <c r="P190" s="808"/>
      <c r="Q190" s="808"/>
      <c r="R190" s="808"/>
      <c r="S190" s="1143"/>
      <c r="T190" s="808"/>
      <c r="U190" s="3503" t="s">
        <v>4296</v>
      </c>
      <c r="V190" s="2112" t="s">
        <v>4762</v>
      </c>
      <c r="W190" s="808"/>
      <c r="X190" s="808"/>
      <c r="Y190" s="808"/>
      <c r="Z190" s="808"/>
      <c r="AA190" s="808"/>
      <c r="AB190" s="808"/>
      <c r="AC190" s="808"/>
      <c r="AD190" s="808"/>
      <c r="AE190" s="808"/>
      <c r="AF190" s="808"/>
      <c r="AG190" s="808"/>
      <c r="AH190" s="808"/>
      <c r="AI190" s="808"/>
      <c r="AJ190" s="808"/>
      <c r="AK190" s="461"/>
      <c r="AL190" s="461"/>
      <c r="AM190" s="461"/>
      <c r="AN190" s="808"/>
      <c r="AO190" s="808"/>
      <c r="AP190" s="808"/>
      <c r="AQ190" s="2038"/>
      <c r="AR190" s="2038"/>
      <c r="AS190" s="2038"/>
      <c r="AT190" s="2038"/>
      <c r="AU190" s="2038"/>
      <c r="AV190" s="2038"/>
      <c r="AW190" s="2038"/>
      <c r="AX190" s="2038"/>
      <c r="AY190" s="2038"/>
      <c r="AZ190" s="2038"/>
      <c r="BA190" s="39"/>
      <c r="BB190" s="39"/>
    </row>
    <row r="191" spans="1:54" s="2690" customFormat="1" ht="14.25">
      <c r="A191" s="461"/>
      <c r="B191" s="808"/>
      <c r="C191" s="808"/>
      <c r="D191" s="808"/>
      <c r="E191" s="2112" t="s">
        <v>4763</v>
      </c>
      <c r="F191" s="808"/>
      <c r="G191" s="808"/>
      <c r="H191" s="808"/>
      <c r="I191" s="808"/>
      <c r="J191" s="808"/>
      <c r="K191" s="808"/>
      <c r="L191" s="808"/>
      <c r="M191" s="808"/>
      <c r="N191" s="808"/>
      <c r="O191" s="808"/>
      <c r="P191" s="808"/>
      <c r="Q191" s="808"/>
      <c r="R191" s="808"/>
      <c r="S191" s="1151"/>
      <c r="T191" s="808"/>
      <c r="U191" s="808"/>
      <c r="V191" s="2112" t="s">
        <v>4763</v>
      </c>
      <c r="W191" s="808"/>
      <c r="X191" s="808"/>
      <c r="Y191" s="808"/>
      <c r="Z191" s="808"/>
      <c r="AA191" s="808"/>
      <c r="AB191" s="808"/>
      <c r="AC191" s="808"/>
      <c r="AD191" s="808"/>
      <c r="AE191" s="808"/>
      <c r="AF191" s="808"/>
      <c r="AG191" s="808"/>
      <c r="AH191" s="808"/>
      <c r="AI191" s="808"/>
      <c r="AJ191" s="808"/>
      <c r="AK191" s="461"/>
      <c r="AL191" s="461"/>
      <c r="AM191" s="461"/>
      <c r="AN191" s="808"/>
      <c r="AO191" s="808"/>
      <c r="AP191" s="808"/>
      <c r="AQ191" s="2038"/>
      <c r="AR191" s="2038"/>
      <c r="AS191" s="2038"/>
      <c r="AT191" s="2038"/>
      <c r="AU191" s="2038"/>
      <c r="AV191" s="2038"/>
      <c r="AW191" s="2038"/>
      <c r="AX191" s="2038"/>
      <c r="AY191" s="2038"/>
      <c r="AZ191" s="2038"/>
      <c r="BA191" s="39"/>
      <c r="BB191" s="39"/>
    </row>
    <row r="192" spans="1:54" s="2690" customFormat="1" ht="14.25">
      <c r="A192" s="461"/>
      <c r="B192" s="808"/>
      <c r="C192" s="808"/>
      <c r="D192" s="808"/>
      <c r="E192" s="2112" t="s">
        <v>3264</v>
      </c>
      <c r="F192" s="808"/>
      <c r="G192" s="808"/>
      <c r="H192" s="808"/>
      <c r="I192" s="808"/>
      <c r="J192" s="808"/>
      <c r="K192" s="808"/>
      <c r="L192" s="808"/>
      <c r="M192" s="808"/>
      <c r="N192" s="808"/>
      <c r="O192" s="808"/>
      <c r="P192" s="808"/>
      <c r="Q192" s="808"/>
      <c r="R192" s="808"/>
      <c r="S192" s="1151"/>
      <c r="T192" s="808"/>
      <c r="U192" s="808"/>
      <c r="V192" s="2112" t="s">
        <v>3264</v>
      </c>
      <c r="W192" s="808"/>
      <c r="X192" s="808"/>
      <c r="Y192" s="808"/>
      <c r="Z192" s="808"/>
      <c r="AA192" s="808"/>
      <c r="AB192" s="808"/>
      <c r="AC192" s="808"/>
      <c r="AD192" s="808"/>
      <c r="AE192" s="808"/>
      <c r="AF192" s="808"/>
      <c r="AG192" s="808"/>
      <c r="AH192" s="808"/>
      <c r="AI192" s="808"/>
      <c r="AJ192" s="808"/>
      <c r="AK192" s="461"/>
      <c r="AL192" s="461"/>
      <c r="AM192" s="461"/>
      <c r="AN192" s="808"/>
      <c r="AO192" s="808"/>
      <c r="AP192" s="808"/>
      <c r="AQ192" s="2038"/>
      <c r="AR192" s="2038"/>
      <c r="AS192" s="2038"/>
      <c r="AT192" s="2038"/>
      <c r="AU192" s="2038"/>
      <c r="AV192" s="2038"/>
      <c r="AW192" s="2038"/>
      <c r="AX192" s="2038"/>
      <c r="AY192" s="2038"/>
      <c r="AZ192" s="2038"/>
      <c r="BA192" s="39"/>
      <c r="BB192" s="39"/>
    </row>
    <row r="193" spans="1:54" s="2690" customFormat="1" ht="15.75">
      <c r="A193" s="461"/>
      <c r="B193" s="1127"/>
      <c r="C193" s="39"/>
      <c r="D193" s="6651"/>
      <c r="E193" s="6651"/>
      <c r="F193" s="6651"/>
      <c r="G193" s="6651"/>
      <c r="H193" s="6651"/>
      <c r="I193" s="6651"/>
      <c r="J193" s="6651"/>
      <c r="K193" s="6651"/>
      <c r="L193" s="6651"/>
      <c r="M193" s="6651"/>
      <c r="N193" s="6651"/>
      <c r="O193" s="6651"/>
      <c r="P193" s="6651"/>
      <c r="Q193" s="6651"/>
      <c r="R193" s="6651"/>
      <c r="S193" s="9904"/>
      <c r="T193" s="9903"/>
      <c r="U193" s="6472"/>
      <c r="V193" s="6472"/>
      <c r="W193" s="6472"/>
      <c r="X193" s="6472"/>
      <c r="Y193" s="6472"/>
      <c r="Z193" s="6472"/>
      <c r="AA193" s="6472"/>
      <c r="AB193" s="6472"/>
      <c r="AC193" s="6472"/>
      <c r="AD193" s="6472"/>
      <c r="AE193" s="6472"/>
      <c r="AF193" s="6472"/>
      <c r="AG193" s="6472"/>
      <c r="AH193" s="6472"/>
      <c r="AI193" s="6472"/>
      <c r="AJ193" s="6472"/>
      <c r="AK193" s="461"/>
      <c r="AL193" s="461"/>
      <c r="AM193" s="461"/>
      <c r="AN193" s="808"/>
      <c r="AO193" s="808"/>
      <c r="AP193" s="808"/>
      <c r="AQ193" s="2038"/>
      <c r="AR193" s="2038"/>
      <c r="AS193" s="2038"/>
      <c r="AT193" s="2038"/>
      <c r="AU193" s="2038"/>
      <c r="AV193" s="2038"/>
      <c r="AW193" s="2038"/>
      <c r="AX193" s="2038"/>
      <c r="AY193" s="2038"/>
      <c r="AZ193" s="2038"/>
      <c r="BA193" s="39"/>
      <c r="BB193" s="39"/>
    </row>
    <row r="194" spans="1:54" s="2690" customFormat="1" ht="16.5" customHeight="1">
      <c r="A194" s="461"/>
      <c r="B194" s="808"/>
      <c r="C194" s="808"/>
      <c r="D194" s="3503" t="s">
        <v>4298</v>
      </c>
      <c r="E194" s="9884" t="str">
        <f>"Did the student receive Form 1098-T"&amp;CHAR(10)&amp;"from this institution for "&amp;TaxYear&amp;"?"</f>
        <v>Did the student receive Form 1098-T
from this institution for 2023?</v>
      </c>
      <c r="F194" s="9884"/>
      <c r="G194" s="9884"/>
      <c r="H194" s="9884"/>
      <c r="I194" s="9884"/>
      <c r="J194" s="9884"/>
      <c r="K194" s="9884"/>
      <c r="L194" s="9884"/>
      <c r="M194" s="9884"/>
      <c r="N194" s="9884"/>
      <c r="O194" s="808"/>
      <c r="P194" s="808"/>
      <c r="Q194" s="808"/>
      <c r="R194" s="808"/>
      <c r="S194" s="808"/>
      <c r="T194" s="1149"/>
      <c r="U194" s="3503" t="s">
        <v>4298</v>
      </c>
      <c r="V194" s="9884" t="str">
        <f>"Did the student receive Form 1098-T"&amp;CHAR(10)&amp;"from this institution for "&amp;TaxYear&amp;"?"</f>
        <v>Did the student receive Form 1098-T
from this institution for 2023?</v>
      </c>
      <c r="W194" s="9884"/>
      <c r="X194" s="9884"/>
      <c r="Y194" s="9884"/>
      <c r="Z194" s="9884"/>
      <c r="AA194" s="9884"/>
      <c r="AB194" s="9884"/>
      <c r="AC194" s="9884"/>
      <c r="AD194" s="9884"/>
      <c r="AE194" s="9884"/>
      <c r="AF194" s="808"/>
      <c r="AG194" s="808"/>
      <c r="AH194" s="808"/>
      <c r="AI194" s="808"/>
      <c r="AJ194" s="808"/>
      <c r="AK194" s="461"/>
      <c r="AL194" s="461"/>
      <c r="AM194" s="461"/>
      <c r="AN194" s="808"/>
      <c r="AO194" s="808"/>
      <c r="AP194" s="808"/>
      <c r="AQ194" s="2038"/>
      <c r="AR194" s="2038"/>
      <c r="AS194" s="2038"/>
      <c r="AT194" s="2038"/>
      <c r="AU194" s="2038"/>
      <c r="AV194" s="2038"/>
      <c r="AW194" s="2038"/>
      <c r="AX194" s="2038"/>
      <c r="AY194" s="2038"/>
      <c r="AZ194" s="2038"/>
      <c r="BA194" s="39"/>
      <c r="BB194" s="39"/>
    </row>
    <row r="195" spans="1:54" s="2690" customFormat="1" ht="14.25" customHeight="1">
      <c r="A195" s="461"/>
      <c r="B195" s="808"/>
      <c r="C195" s="808"/>
      <c r="D195" s="808"/>
      <c r="E195" s="9885"/>
      <c r="F195" s="9885"/>
      <c r="G195" s="9885"/>
      <c r="H195" s="9885"/>
      <c r="I195" s="9885"/>
      <c r="J195" s="9885"/>
      <c r="K195" s="9885"/>
      <c r="L195" s="9885"/>
      <c r="M195" s="9885"/>
      <c r="N195" s="9885"/>
      <c r="O195" s="3509"/>
      <c r="P195" s="899" t="s">
        <v>1448</v>
      </c>
      <c r="Q195" s="808"/>
      <c r="R195" s="3509"/>
      <c r="S195" s="899" t="s">
        <v>820</v>
      </c>
      <c r="T195" s="2950"/>
      <c r="U195" s="808"/>
      <c r="V195" s="9885"/>
      <c r="W195" s="9885"/>
      <c r="X195" s="9885"/>
      <c r="Y195" s="9885"/>
      <c r="Z195" s="9885"/>
      <c r="AA195" s="9885"/>
      <c r="AB195" s="9885"/>
      <c r="AC195" s="9885"/>
      <c r="AD195" s="9885"/>
      <c r="AE195" s="9885"/>
      <c r="AF195" s="3509"/>
      <c r="AG195" s="899" t="s">
        <v>1448</v>
      </c>
      <c r="AH195" s="808"/>
      <c r="AI195" s="3509"/>
      <c r="AJ195" s="899" t="s">
        <v>820</v>
      </c>
      <c r="AK195" s="461"/>
      <c r="AL195" s="461"/>
      <c r="AM195" s="461"/>
      <c r="AN195" s="808"/>
      <c r="AO195" s="808"/>
      <c r="AP195" s="808"/>
      <c r="AQ195" s="2038"/>
      <c r="AR195" s="2038"/>
      <c r="AS195" s="2038"/>
      <c r="AT195" s="2038"/>
      <c r="AU195" s="2038"/>
      <c r="AV195" s="2038"/>
      <c r="AW195" s="2038"/>
      <c r="AX195" s="2038"/>
      <c r="AY195" s="2038"/>
      <c r="AZ195" s="2038"/>
      <c r="BA195" s="39"/>
      <c r="BB195" s="39"/>
    </row>
    <row r="196" spans="1:54" s="2690" customFormat="1" ht="7.5" customHeight="1">
      <c r="A196" s="461"/>
      <c r="B196" s="1121"/>
      <c r="C196" s="1121"/>
      <c r="D196" s="1121"/>
      <c r="E196" s="9886"/>
      <c r="F196" s="9886"/>
      <c r="G196" s="9886"/>
      <c r="H196" s="9886"/>
      <c r="I196" s="9886"/>
      <c r="J196" s="9886"/>
      <c r="K196" s="9886"/>
      <c r="L196" s="9886"/>
      <c r="M196" s="9886"/>
      <c r="N196" s="9886"/>
      <c r="O196" s="1121"/>
      <c r="P196" s="1121"/>
      <c r="Q196" s="1121"/>
      <c r="R196" s="1121"/>
      <c r="S196" s="1121"/>
      <c r="T196" s="1154"/>
      <c r="U196" s="1121"/>
      <c r="V196" s="9886"/>
      <c r="W196" s="9886"/>
      <c r="X196" s="9886"/>
      <c r="Y196" s="9886"/>
      <c r="Z196" s="9886"/>
      <c r="AA196" s="9886"/>
      <c r="AB196" s="9886"/>
      <c r="AC196" s="9886"/>
      <c r="AD196" s="9886"/>
      <c r="AE196" s="9886"/>
      <c r="AF196" s="1121"/>
      <c r="AG196" s="1121"/>
      <c r="AH196" s="1121"/>
      <c r="AI196" s="1121"/>
      <c r="AJ196" s="1121"/>
      <c r="AK196" s="461"/>
      <c r="AL196" s="461"/>
      <c r="AM196" s="461"/>
      <c r="AN196" s="808"/>
      <c r="AO196" s="808"/>
      <c r="AP196" s="808"/>
      <c r="AQ196" s="2042"/>
      <c r="AR196" s="2042"/>
      <c r="AS196" s="2042"/>
      <c r="AT196" s="2042"/>
      <c r="AU196" s="2042"/>
      <c r="AV196" s="2042"/>
      <c r="AW196" s="2042"/>
      <c r="AX196" s="2042"/>
      <c r="AY196" s="2042"/>
      <c r="AZ196" s="2042"/>
      <c r="BA196" s="39"/>
      <c r="BB196" s="39"/>
    </row>
    <row r="197" spans="1:54" s="2690" customFormat="1" ht="16.5" customHeight="1">
      <c r="A197" s="461"/>
      <c r="B197" s="808"/>
      <c r="C197" s="808"/>
      <c r="D197" s="3511" t="s">
        <v>4764</v>
      </c>
      <c r="E197" s="9884" t="str">
        <f>"Did the student receive Form 1098-T"&amp;CHAR(10)&amp;"from this institution for "&amp;TaxYear-1&amp;" with box"&amp;CHAR(10)&amp;"7 checked?"</f>
        <v>Did the student receive Form 1098-T
from this institution for 2022 with box
7 checked?</v>
      </c>
      <c r="F197" s="9884"/>
      <c r="G197" s="9884"/>
      <c r="H197" s="9884"/>
      <c r="I197" s="9884"/>
      <c r="J197" s="9884"/>
      <c r="K197" s="9884"/>
      <c r="L197" s="9884"/>
      <c r="M197" s="9884"/>
      <c r="N197" s="9884"/>
      <c r="O197" s="808"/>
      <c r="P197" s="808"/>
      <c r="Q197" s="808"/>
      <c r="R197" s="808"/>
      <c r="S197" s="808"/>
      <c r="T197" s="1150"/>
      <c r="U197" s="3511" t="s">
        <v>4764</v>
      </c>
      <c r="V197" s="9884" t="str">
        <f>"Did the student receive Form 1098-T"&amp;CHAR(10)&amp;"from this institution for "&amp;TaxYear-1&amp;" with box"&amp;CHAR(10)&amp;"7 checked?"</f>
        <v>Did the student receive Form 1098-T
from this institution for 2022 with box
7 checked?</v>
      </c>
      <c r="W197" s="9884"/>
      <c r="X197" s="9884"/>
      <c r="Y197" s="9884"/>
      <c r="Z197" s="9884"/>
      <c r="AA197" s="9884"/>
      <c r="AB197" s="9884"/>
      <c r="AC197" s="9884"/>
      <c r="AD197" s="9884"/>
      <c r="AE197" s="9884"/>
      <c r="AF197" s="808"/>
      <c r="AG197" s="808"/>
      <c r="AH197" s="808"/>
      <c r="AI197" s="808"/>
      <c r="AJ197" s="808"/>
      <c r="AK197" s="461"/>
      <c r="AL197" s="461"/>
      <c r="AM197" s="461"/>
      <c r="AN197" s="808"/>
      <c r="AO197" s="808"/>
      <c r="AP197" s="808"/>
      <c r="AQ197" s="2038"/>
      <c r="AR197" s="2038"/>
      <c r="AS197" s="2038"/>
      <c r="AT197" s="2038"/>
      <c r="AU197" s="2038"/>
      <c r="AV197" s="2038"/>
      <c r="AW197" s="2038"/>
      <c r="AX197" s="2038"/>
      <c r="AY197" s="2038"/>
      <c r="AZ197" s="2038"/>
      <c r="BA197" s="39"/>
      <c r="BB197" s="39"/>
    </row>
    <row r="198" spans="1:54" s="2690" customFormat="1" ht="14.25" customHeight="1">
      <c r="A198" s="461"/>
      <c r="B198" s="808"/>
      <c r="C198" s="808"/>
      <c r="D198" s="808"/>
      <c r="E198" s="9885"/>
      <c r="F198" s="9885"/>
      <c r="G198" s="9885"/>
      <c r="H198" s="9885"/>
      <c r="I198" s="9885"/>
      <c r="J198" s="9885"/>
      <c r="K198" s="9885"/>
      <c r="L198" s="9885"/>
      <c r="M198" s="9885"/>
      <c r="N198" s="9885"/>
      <c r="O198" s="3509"/>
      <c r="P198" s="899" t="s">
        <v>1448</v>
      </c>
      <c r="Q198" s="808"/>
      <c r="R198" s="3509"/>
      <c r="S198" s="899" t="s">
        <v>820</v>
      </c>
      <c r="T198" s="2950"/>
      <c r="U198" s="808"/>
      <c r="V198" s="9885"/>
      <c r="W198" s="9885"/>
      <c r="X198" s="9885"/>
      <c r="Y198" s="9885"/>
      <c r="Z198" s="9885"/>
      <c r="AA198" s="9885"/>
      <c r="AB198" s="9885"/>
      <c r="AC198" s="9885"/>
      <c r="AD198" s="9885"/>
      <c r="AE198" s="9885"/>
      <c r="AF198" s="3509"/>
      <c r="AG198" s="899" t="s">
        <v>1448</v>
      </c>
      <c r="AH198" s="808"/>
      <c r="AI198" s="3509"/>
      <c r="AJ198" s="899" t="s">
        <v>820</v>
      </c>
      <c r="AK198" s="461"/>
      <c r="AL198" s="461"/>
      <c r="AM198" s="461"/>
      <c r="AN198" s="808"/>
      <c r="AO198" s="808"/>
      <c r="AP198" s="808"/>
      <c r="AQ198" s="2038"/>
      <c r="AR198" s="2038"/>
      <c r="AS198" s="2038"/>
      <c r="AT198" s="2038"/>
      <c r="AU198" s="2038"/>
      <c r="AV198" s="2038"/>
      <c r="AW198" s="2038"/>
      <c r="AX198" s="2038"/>
      <c r="AY198" s="2038"/>
      <c r="AZ198" s="2038"/>
      <c r="BA198" s="39"/>
      <c r="BB198" s="39"/>
    </row>
    <row r="199" spans="1:54" s="2690" customFormat="1" ht="13.5" customHeight="1">
      <c r="A199" s="461"/>
      <c r="B199" s="1121"/>
      <c r="C199" s="1121"/>
      <c r="D199" s="1121"/>
      <c r="E199" s="9886"/>
      <c r="F199" s="9886"/>
      <c r="G199" s="9886"/>
      <c r="H199" s="9886"/>
      <c r="I199" s="9886"/>
      <c r="J199" s="9886"/>
      <c r="K199" s="9886"/>
      <c r="L199" s="9886"/>
      <c r="M199" s="9886"/>
      <c r="N199" s="9886"/>
      <c r="O199" s="1121"/>
      <c r="P199" s="1121"/>
      <c r="Q199" s="1121"/>
      <c r="R199" s="1121"/>
      <c r="S199" s="1121"/>
      <c r="T199" s="1154"/>
      <c r="U199" s="1121"/>
      <c r="V199" s="9886"/>
      <c r="W199" s="9886"/>
      <c r="X199" s="9886"/>
      <c r="Y199" s="9886"/>
      <c r="Z199" s="9886"/>
      <c r="AA199" s="9886"/>
      <c r="AB199" s="9886"/>
      <c r="AC199" s="9886"/>
      <c r="AD199" s="9886"/>
      <c r="AE199" s="9886"/>
      <c r="AF199" s="1121"/>
      <c r="AG199" s="1121"/>
      <c r="AH199" s="1121"/>
      <c r="AI199" s="1121"/>
      <c r="AJ199" s="1121"/>
      <c r="AK199" s="461"/>
      <c r="AL199" s="461"/>
      <c r="AM199" s="461"/>
      <c r="AN199" s="808"/>
      <c r="AO199" s="808"/>
      <c r="AP199" s="808"/>
      <c r="AQ199" s="2038"/>
      <c r="AR199" s="2038"/>
      <c r="AS199" s="2038"/>
      <c r="AT199" s="2038"/>
      <c r="AU199" s="2038"/>
      <c r="AV199" s="2038"/>
      <c r="AW199" s="2038"/>
      <c r="AX199" s="2038"/>
      <c r="AY199" s="2038"/>
      <c r="AZ199" s="2038"/>
      <c r="BA199" s="39"/>
      <c r="BB199" s="39"/>
    </row>
    <row r="200" spans="1:54" s="2690" customFormat="1" ht="21" customHeight="1" thickBot="1">
      <c r="A200" s="461"/>
      <c r="B200" s="808"/>
      <c r="C200" s="808"/>
      <c r="D200" s="3511" t="s">
        <v>624</v>
      </c>
      <c r="E200" s="9884" t="s">
        <v>4765</v>
      </c>
      <c r="F200" s="9884"/>
      <c r="G200" s="9884"/>
      <c r="H200" s="9884"/>
      <c r="I200" s="9884"/>
      <c r="J200" s="9884"/>
      <c r="K200" s="9884"/>
      <c r="L200" s="9884"/>
      <c r="M200" s="9884"/>
      <c r="N200" s="9884"/>
      <c r="O200" s="9884"/>
      <c r="P200" s="9884"/>
      <c r="Q200" s="9884"/>
      <c r="R200" s="9884"/>
      <c r="S200" s="9887"/>
      <c r="T200" s="1150"/>
      <c r="U200" s="3511" t="s">
        <v>624</v>
      </c>
      <c r="V200" s="9884" t="s">
        <v>4765</v>
      </c>
      <c r="W200" s="9884"/>
      <c r="X200" s="9884"/>
      <c r="Y200" s="9884"/>
      <c r="Z200" s="9884"/>
      <c r="AA200" s="9884"/>
      <c r="AB200" s="9884"/>
      <c r="AC200" s="9884"/>
      <c r="AD200" s="9884"/>
      <c r="AE200" s="9884"/>
      <c r="AF200" s="9884"/>
      <c r="AG200" s="9884"/>
      <c r="AH200" s="9884"/>
      <c r="AI200" s="9884"/>
      <c r="AJ200" s="9884"/>
      <c r="AK200" s="461"/>
      <c r="AL200" s="461"/>
      <c r="AM200" s="461"/>
      <c r="AN200" s="808"/>
      <c r="AO200" s="808"/>
      <c r="AP200" s="808"/>
      <c r="AQ200" s="2038"/>
      <c r="AR200" s="2038"/>
      <c r="AS200" s="2038"/>
      <c r="AT200" s="2038"/>
      <c r="AU200" s="2038"/>
      <c r="AV200" s="2038"/>
      <c r="AW200" s="2038"/>
      <c r="AX200" s="2038"/>
      <c r="AY200" s="2038"/>
      <c r="AZ200" s="2038"/>
      <c r="BA200" s="39"/>
      <c r="BB200" s="39"/>
    </row>
    <row r="201" spans="1:54" s="2690" customFormat="1" ht="14.25" customHeight="1">
      <c r="A201" s="461"/>
      <c r="B201" s="808"/>
      <c r="C201" s="808"/>
      <c r="D201" s="808"/>
      <c r="E201" s="9885"/>
      <c r="F201" s="9885"/>
      <c r="G201" s="9885"/>
      <c r="H201" s="9885"/>
      <c r="I201" s="9885"/>
      <c r="J201" s="9885"/>
      <c r="K201" s="9885"/>
      <c r="L201" s="9885"/>
      <c r="M201" s="9885"/>
      <c r="N201" s="9885"/>
      <c r="O201" s="9885"/>
      <c r="P201" s="9885"/>
      <c r="Q201" s="9885"/>
      <c r="R201" s="9885"/>
      <c r="S201" s="9888"/>
      <c r="T201" s="2950"/>
      <c r="U201" s="808"/>
      <c r="V201" s="9885"/>
      <c r="W201" s="9885"/>
      <c r="X201" s="9885"/>
      <c r="Y201" s="9885"/>
      <c r="Z201" s="9885"/>
      <c r="AA201" s="9885"/>
      <c r="AB201" s="9885"/>
      <c r="AC201" s="9885"/>
      <c r="AD201" s="9885"/>
      <c r="AE201" s="9885"/>
      <c r="AF201" s="9885"/>
      <c r="AG201" s="9885"/>
      <c r="AH201" s="9885"/>
      <c r="AI201" s="9885"/>
      <c r="AJ201" s="9885"/>
      <c r="AK201" s="461"/>
      <c r="AL201" s="461"/>
      <c r="AM201" s="461"/>
      <c r="AN201" s="808"/>
      <c r="AO201" s="808"/>
      <c r="AP201" s="808"/>
      <c r="AQ201" s="3561" t="s">
        <v>4766</v>
      </c>
      <c r="AR201" s="3562"/>
      <c r="AS201" s="3562"/>
      <c r="AT201" s="3562"/>
      <c r="AU201" s="3562"/>
      <c r="AV201" s="3562"/>
      <c r="AW201" s="3562"/>
      <c r="AX201" s="3562"/>
      <c r="AY201" s="3562"/>
      <c r="AZ201" s="3563"/>
      <c r="BA201" s="39"/>
      <c r="BB201" s="39"/>
    </row>
    <row r="202" spans="1:54" s="2690" customFormat="1" ht="26.25" customHeight="1">
      <c r="A202" s="461"/>
      <c r="B202" s="808"/>
      <c r="C202" s="808"/>
      <c r="D202" s="808"/>
      <c r="E202" s="9885"/>
      <c r="F202" s="9885"/>
      <c r="G202" s="9885"/>
      <c r="H202" s="9885"/>
      <c r="I202" s="9885"/>
      <c r="J202" s="9885"/>
      <c r="K202" s="9885"/>
      <c r="L202" s="9885"/>
      <c r="M202" s="9885"/>
      <c r="N202" s="9885"/>
      <c r="O202" s="9885"/>
      <c r="P202" s="9885"/>
      <c r="Q202" s="9885"/>
      <c r="R202" s="9885"/>
      <c r="S202" s="9888"/>
      <c r="T202" s="1150"/>
      <c r="U202" s="808"/>
      <c r="V202" s="9885"/>
      <c r="W202" s="9885"/>
      <c r="X202" s="9885"/>
      <c r="Y202" s="9885"/>
      <c r="Z202" s="9885"/>
      <c r="AA202" s="9885"/>
      <c r="AB202" s="9885"/>
      <c r="AC202" s="9885"/>
      <c r="AD202" s="9885"/>
      <c r="AE202" s="9885"/>
      <c r="AF202" s="9885"/>
      <c r="AG202" s="9885"/>
      <c r="AH202" s="9885"/>
      <c r="AI202" s="9885"/>
      <c r="AJ202" s="9885"/>
      <c r="AK202" s="461"/>
      <c r="AL202" s="461"/>
      <c r="AM202" s="461"/>
      <c r="AN202" s="808"/>
      <c r="AO202" s="808"/>
      <c r="AP202" s="808"/>
      <c r="AQ202" s="3564" t="s">
        <v>4767</v>
      </c>
      <c r="AR202" s="3565"/>
      <c r="AS202" s="3565"/>
      <c r="AT202" s="3565"/>
      <c r="AU202" s="3565"/>
      <c r="AV202" s="3565"/>
      <c r="AW202" s="3565"/>
      <c r="AX202" s="3565"/>
      <c r="AY202" s="3565"/>
      <c r="AZ202" s="3566"/>
      <c r="BA202" s="39"/>
      <c r="BB202" s="39"/>
    </row>
    <row r="203" spans="1:54" s="2690" customFormat="1" ht="17.25" customHeight="1">
      <c r="A203" s="461"/>
      <c r="B203" s="808"/>
      <c r="C203" s="808"/>
      <c r="D203" s="808"/>
      <c r="E203" s="3509"/>
      <c r="F203" s="3509"/>
      <c r="G203" s="3513" t="s">
        <v>4768</v>
      </c>
      <c r="H203" s="3509"/>
      <c r="I203" s="3509"/>
      <c r="J203" s="3509"/>
      <c r="K203" s="3509"/>
      <c r="L203" s="3509"/>
      <c r="M203" s="3509"/>
      <c r="N203" s="3509"/>
      <c r="O203" s="3510"/>
      <c r="P203" s="3510"/>
      <c r="Q203" s="3510"/>
      <c r="R203" s="3510"/>
      <c r="S203" s="3512"/>
      <c r="T203" s="1150"/>
      <c r="U203" s="808"/>
      <c r="V203" s="3509"/>
      <c r="W203" s="3509"/>
      <c r="X203" s="3513" t="s">
        <v>4768</v>
      </c>
      <c r="Y203" s="3509"/>
      <c r="Z203" s="3509"/>
      <c r="AA203" s="3509"/>
      <c r="AB203" s="3509"/>
      <c r="AC203" s="3509"/>
      <c r="AD203" s="3509"/>
      <c r="AE203" s="3509"/>
      <c r="AF203" s="808"/>
      <c r="AG203" s="808"/>
      <c r="AH203" s="808"/>
      <c r="AI203" s="808"/>
      <c r="AJ203" s="808"/>
      <c r="AK203" s="461"/>
      <c r="AL203" s="461"/>
      <c r="AM203" s="461"/>
      <c r="AN203" s="808"/>
      <c r="AO203" s="808"/>
      <c r="AP203" s="808"/>
      <c r="AQ203" s="3567" t="str">
        <f>"(see below) in "&amp;TaxYear&amp;" for which you paid (or are treated as having paid) qualified education expenses in "&amp;TaxYear&amp;"."</f>
        <v>(see below) in 2023 for which you paid (or are treated as having paid) qualified education expenses in 2023.</v>
      </c>
      <c r="AR203" s="3568"/>
      <c r="AS203" s="3568"/>
      <c r="AT203" s="3568"/>
      <c r="AU203" s="3568"/>
      <c r="AV203" s="3568"/>
      <c r="AW203" s="3568"/>
      <c r="AX203" s="3568"/>
      <c r="AY203" s="3568"/>
      <c r="AZ203" s="3569"/>
      <c r="BA203" s="39"/>
      <c r="BB203" s="39"/>
    </row>
    <row r="204" spans="1:54" s="2690" customFormat="1" ht="14.25">
      <c r="A204" s="461"/>
      <c r="B204" s="1121"/>
      <c r="C204" s="1121"/>
      <c r="D204" s="1121"/>
      <c r="E204" s="2190"/>
      <c r="F204" s="1121"/>
      <c r="G204" s="1121"/>
      <c r="H204" s="1121"/>
      <c r="I204" s="1121"/>
      <c r="J204" s="1121"/>
      <c r="K204" s="1121"/>
      <c r="L204" s="1121"/>
      <c r="M204" s="1121"/>
      <c r="N204" s="1121"/>
      <c r="O204" s="1121"/>
      <c r="P204" s="1121"/>
      <c r="Q204" s="1121"/>
      <c r="R204" s="1121"/>
      <c r="S204" s="2391"/>
      <c r="T204" s="1154"/>
      <c r="U204" s="1121"/>
      <c r="V204" s="1121"/>
      <c r="W204" s="1121"/>
      <c r="X204" s="1121"/>
      <c r="Y204" s="1121"/>
      <c r="Z204" s="1121"/>
      <c r="AA204" s="1121"/>
      <c r="AB204" s="1121"/>
      <c r="AC204" s="1121"/>
      <c r="AD204" s="1121"/>
      <c r="AE204" s="1121"/>
      <c r="AF204" s="1121"/>
      <c r="AG204" s="1121"/>
      <c r="AH204" s="1121"/>
      <c r="AI204" s="1121"/>
      <c r="AJ204" s="1121"/>
      <c r="AK204" s="461"/>
      <c r="AL204" s="461"/>
      <c r="AM204" s="461"/>
      <c r="AN204" s="808"/>
      <c r="AO204" s="808"/>
      <c r="AP204" s="808"/>
      <c r="AQ204" s="3570"/>
      <c r="AR204" s="2923"/>
      <c r="AS204" s="2923"/>
      <c r="AT204" s="2923"/>
      <c r="AU204" s="2923"/>
      <c r="AV204" s="2923"/>
      <c r="AW204" s="2923"/>
      <c r="AX204" s="2923"/>
      <c r="AY204" s="2923"/>
      <c r="AZ204" s="3571"/>
      <c r="BA204" s="39"/>
      <c r="BB204" s="39"/>
    </row>
    <row r="205" spans="1:54" s="2690" customFormat="1" ht="15">
      <c r="A205" s="461"/>
      <c r="B205" s="1127">
        <v>23</v>
      </c>
      <c r="C205" s="808"/>
      <c r="D205" s="808"/>
      <c r="E205" s="2112" t="s">
        <v>4769</v>
      </c>
      <c r="F205" s="808"/>
      <c r="G205" s="808"/>
      <c r="H205" s="808"/>
      <c r="I205" s="808"/>
      <c r="J205" s="808"/>
      <c r="K205" s="808"/>
      <c r="L205" s="808"/>
      <c r="M205" s="808"/>
      <c r="N205" s="808"/>
      <c r="O205" s="808"/>
      <c r="P205" s="808"/>
      <c r="Q205" s="808"/>
      <c r="R205" s="808"/>
      <c r="S205" s="808"/>
      <c r="T205" s="808"/>
      <c r="U205" s="808"/>
      <c r="V205" s="808"/>
      <c r="W205" s="808"/>
      <c r="X205" s="808"/>
      <c r="Y205" s="808"/>
      <c r="Z205" s="808"/>
      <c r="AA205" s="808"/>
      <c r="AB205" s="808"/>
      <c r="AC205" s="808"/>
      <c r="AD205" s="808"/>
      <c r="AE205" s="808"/>
      <c r="AF205" s="808"/>
      <c r="AG205" s="808"/>
      <c r="AH205" s="808"/>
      <c r="AI205" s="808"/>
      <c r="AJ205" s="808"/>
      <c r="AK205" s="461"/>
      <c r="AL205" s="461"/>
      <c r="AM205" s="461"/>
      <c r="AN205" s="808"/>
      <c r="AO205" s="808"/>
      <c r="AP205" s="808"/>
      <c r="AQ205" s="3572" t="s">
        <v>4770</v>
      </c>
      <c r="AR205" s="2923"/>
      <c r="AS205" s="2923"/>
      <c r="AT205" s="2923"/>
      <c r="AU205" s="2923"/>
      <c r="AV205" s="2923"/>
      <c r="AW205" s="2923"/>
      <c r="AX205" s="2923"/>
      <c r="AY205" s="2923"/>
      <c r="AZ205" s="3571"/>
      <c r="BA205" s="39"/>
      <c r="BB205" s="39"/>
    </row>
    <row r="206" spans="1:54" s="2690" customFormat="1" ht="15">
      <c r="A206" s="461"/>
      <c r="B206" s="808"/>
      <c r="C206" s="808"/>
      <c r="D206" s="808"/>
      <c r="E206" s="2645" t="s">
        <v>4771</v>
      </c>
      <c r="F206" s="808"/>
      <c r="G206" s="808"/>
      <c r="H206" s="808"/>
      <c r="I206" s="808"/>
      <c r="J206" s="808"/>
      <c r="K206" s="808"/>
      <c r="L206" s="808"/>
      <c r="M206" s="808"/>
      <c r="N206" s="808"/>
      <c r="O206" s="808"/>
      <c r="P206" s="808"/>
      <c r="Q206" s="808"/>
      <c r="R206" s="808"/>
      <c r="S206" s="808"/>
      <c r="T206" s="3509"/>
      <c r="U206" s="892" t="s">
        <v>4772</v>
      </c>
      <c r="V206" s="808"/>
      <c r="W206" s="808"/>
      <c r="X206" s="808"/>
      <c r="Y206" s="808"/>
      <c r="Z206" s="808"/>
      <c r="AA206" s="808"/>
      <c r="AB206" s="808"/>
      <c r="AC206" s="3527" t="str">
        <f>IF(T206&lt;&gt;"","","X")</f>
        <v>X</v>
      </c>
      <c r="AD206" s="892" t="s">
        <v>4773</v>
      </c>
      <c r="AE206" s="808"/>
      <c r="AF206" s="808"/>
      <c r="AG206" s="808"/>
      <c r="AH206" s="808"/>
      <c r="AI206" s="808"/>
      <c r="AJ206" s="808"/>
      <c r="AK206" s="461"/>
      <c r="AL206" s="461"/>
      <c r="AM206" s="461"/>
      <c r="AN206" s="808"/>
      <c r="AO206" s="808"/>
      <c r="AP206" s="808"/>
      <c r="AQ206" s="3573" t="str">
        <f>TaxYear&amp;" for the academic period"</f>
        <v>2023 for the academic period</v>
      </c>
      <c r="AR206" s="3553"/>
      <c r="AS206" s="3553"/>
      <c r="AT206" s="3553"/>
      <c r="AU206" s="3553"/>
      <c r="AV206" s="3553"/>
      <c r="AW206" s="3556"/>
      <c r="AX206" s="3556" t="s">
        <v>167</v>
      </c>
      <c r="AY206" s="1401"/>
      <c r="AZ206" s="3554"/>
      <c r="BA206" s="39"/>
      <c r="BB206" s="39"/>
    </row>
    <row r="207" spans="1:54" s="3526" customFormat="1" ht="16.5" customHeight="1">
      <c r="A207" s="4064"/>
      <c r="B207" s="893"/>
      <c r="C207" s="893"/>
      <c r="D207" s="893"/>
      <c r="E207" s="2952"/>
      <c r="F207" s="893"/>
      <c r="G207" s="893"/>
      <c r="H207" s="893"/>
      <c r="I207" s="893"/>
      <c r="J207" s="893"/>
      <c r="K207" s="893"/>
      <c r="L207" s="893"/>
      <c r="M207" s="893"/>
      <c r="N207" s="893"/>
      <c r="O207" s="893"/>
      <c r="P207" s="893"/>
      <c r="Q207" s="893"/>
      <c r="R207" s="893"/>
      <c r="S207" s="893"/>
      <c r="T207" s="893"/>
      <c r="U207" s="893" t="s">
        <v>4774</v>
      </c>
      <c r="V207" s="893"/>
      <c r="W207" s="893"/>
      <c r="X207" s="893"/>
      <c r="Y207" s="893"/>
      <c r="Z207" s="893"/>
      <c r="AA207" s="893"/>
      <c r="AB207" s="893"/>
      <c r="AC207" s="893"/>
      <c r="AD207" s="893"/>
      <c r="AE207" s="893"/>
      <c r="AF207" s="893"/>
      <c r="AG207" s="893"/>
      <c r="AH207" s="893"/>
      <c r="AI207" s="893"/>
      <c r="AJ207" s="893"/>
      <c r="AK207" s="4064"/>
      <c r="AL207" s="4064"/>
      <c r="AM207" s="4064"/>
      <c r="AN207" s="893"/>
      <c r="AO207" s="893"/>
      <c r="AP207" s="893"/>
      <c r="AQ207" s="3574"/>
      <c r="AR207" s="3553"/>
      <c r="AS207" s="3553"/>
      <c r="AT207" s="3553"/>
      <c r="AU207" s="3553"/>
      <c r="AV207" s="3553"/>
      <c r="AW207" s="3556"/>
      <c r="AX207" s="3556"/>
      <c r="AY207" s="3556"/>
      <c r="AZ207" s="3554"/>
      <c r="BA207" s="649"/>
      <c r="BB207" s="649"/>
    </row>
    <row r="208" spans="1:54" s="2690" customFormat="1" ht="15">
      <c r="A208" s="461"/>
      <c r="B208" s="3514">
        <v>24</v>
      </c>
      <c r="C208" s="1142"/>
      <c r="D208" s="1142"/>
      <c r="E208" s="2440" t="s">
        <v>4775</v>
      </c>
      <c r="F208" s="1142"/>
      <c r="G208" s="1142"/>
      <c r="H208" s="1142"/>
      <c r="I208" s="1142"/>
      <c r="J208" s="1142"/>
      <c r="K208" s="1142"/>
      <c r="L208" s="1142"/>
      <c r="M208" s="1142"/>
      <c r="N208" s="1142"/>
      <c r="O208" s="1142"/>
      <c r="P208" s="1142"/>
      <c r="Q208" s="1142"/>
      <c r="R208" s="1142"/>
      <c r="S208" s="1142"/>
      <c r="T208" s="1142"/>
      <c r="U208" s="1142"/>
      <c r="V208" s="1142"/>
      <c r="W208" s="1142"/>
      <c r="X208" s="1142"/>
      <c r="Y208" s="1142"/>
      <c r="Z208" s="1142"/>
      <c r="AA208" s="1142"/>
      <c r="AB208" s="1142"/>
      <c r="AC208" s="1142"/>
      <c r="AD208" s="1142"/>
      <c r="AE208" s="1142"/>
      <c r="AF208" s="1142"/>
      <c r="AG208" s="1142"/>
      <c r="AH208" s="1142"/>
      <c r="AI208" s="1142"/>
      <c r="AJ208" s="1142"/>
      <c r="AK208" s="461"/>
      <c r="AL208" s="461"/>
      <c r="AM208" s="461"/>
      <c r="AN208" s="808"/>
      <c r="AO208" s="808"/>
      <c r="AP208" s="808"/>
      <c r="AQ208" s="3572" t="s">
        <v>4776</v>
      </c>
      <c r="AR208" s="3565"/>
      <c r="AS208" s="3565"/>
      <c r="AT208" s="3565"/>
      <c r="AU208" s="3565"/>
      <c r="AV208" s="3565"/>
      <c r="AW208" s="3565"/>
      <c r="AX208" s="3565"/>
      <c r="AY208" s="2923"/>
      <c r="AZ208" s="3566"/>
      <c r="BA208" s="39"/>
      <c r="BB208" s="39"/>
    </row>
    <row r="209" spans="1:54" s="2690" customFormat="1" ht="15">
      <c r="A209" s="461"/>
      <c r="B209" s="1127"/>
      <c r="C209" s="808"/>
      <c r="D209" s="808"/>
      <c r="E209" s="2112" t="s">
        <v>4777</v>
      </c>
      <c r="F209" s="808"/>
      <c r="G209" s="808"/>
      <c r="H209" s="808"/>
      <c r="I209" s="808"/>
      <c r="J209" s="808"/>
      <c r="K209" s="808"/>
      <c r="L209" s="808"/>
      <c r="M209" s="808"/>
      <c r="N209" s="808"/>
      <c r="O209" s="808"/>
      <c r="P209" s="808"/>
      <c r="Q209" s="808"/>
      <c r="R209" s="808"/>
      <c r="S209" s="808"/>
      <c r="T209" s="808"/>
      <c r="U209" s="808"/>
      <c r="V209" s="808"/>
      <c r="W209" s="808"/>
      <c r="X209" s="808"/>
      <c r="Y209" s="808"/>
      <c r="Z209" s="808"/>
      <c r="AA209" s="808"/>
      <c r="AB209" s="808"/>
      <c r="AC209" s="808"/>
      <c r="AD209" s="808"/>
      <c r="AE209" s="808"/>
      <c r="AF209" s="808"/>
      <c r="AG209" s="808"/>
      <c r="AH209" s="808"/>
      <c r="AI209" s="808"/>
      <c r="AJ209" s="808"/>
      <c r="AK209" s="461"/>
      <c r="AL209" s="461"/>
      <c r="AM209" s="461"/>
      <c r="AN209" s="808"/>
      <c r="AO209" s="808"/>
      <c r="AP209" s="808"/>
      <c r="AQ209" s="3575" t="s">
        <v>1404</v>
      </c>
      <c r="AR209" s="3576" t="str">
        <f>"Tax-free educational assistance received in "&amp;TaxYear&amp;" allocable to"</f>
        <v>Tax-free educational assistance received in 2023 allocable to</v>
      </c>
      <c r="AS209" s="2923"/>
      <c r="AT209" s="2923"/>
      <c r="AU209" s="2923"/>
      <c r="AV209" s="2923"/>
      <c r="AW209" s="2923"/>
      <c r="AX209" s="2923"/>
      <c r="AY209" s="2923"/>
      <c r="AZ209" s="3571"/>
      <c r="BA209" s="39"/>
      <c r="BB209" s="39"/>
    </row>
    <row r="210" spans="1:54" s="2690" customFormat="1" ht="15">
      <c r="A210" s="461"/>
      <c r="B210" s="1127"/>
      <c r="C210" s="808"/>
      <c r="D210" s="808"/>
      <c r="E210" s="2112" t="str">
        <f>"in "&amp;TaxYear&amp;" at an eligible educational institution in a program"</f>
        <v>in 2023 at an eligible educational institution in a program</v>
      </c>
      <c r="F210" s="808"/>
      <c r="G210" s="808"/>
      <c r="H210" s="808"/>
      <c r="I210" s="808"/>
      <c r="J210" s="808"/>
      <c r="K210" s="808"/>
      <c r="L210" s="808"/>
      <c r="M210" s="808"/>
      <c r="N210" s="808"/>
      <c r="O210" s="808"/>
      <c r="P210" s="808"/>
      <c r="Q210" s="808"/>
      <c r="R210" s="808"/>
      <c r="S210" s="808"/>
      <c r="T210" s="808"/>
      <c r="U210" s="808"/>
      <c r="V210" s="808"/>
      <c r="W210" s="808"/>
      <c r="X210" s="808"/>
      <c r="Y210" s="808"/>
      <c r="Z210" s="808"/>
      <c r="AA210" s="808"/>
      <c r="AB210" s="808"/>
      <c r="AC210" s="808"/>
      <c r="AD210" s="808"/>
      <c r="AE210" s="808"/>
      <c r="AF210" s="808"/>
      <c r="AG210" s="808"/>
      <c r="AH210" s="808"/>
      <c r="AI210" s="808"/>
      <c r="AJ210" s="808"/>
      <c r="AK210" s="461"/>
      <c r="AL210" s="461"/>
      <c r="AM210" s="461"/>
      <c r="AN210" s="808"/>
      <c r="AO210" s="808"/>
      <c r="AP210" s="808"/>
      <c r="AQ210" s="3578"/>
      <c r="AR210" s="3576" t="s">
        <v>4778</v>
      </c>
      <c r="AS210" s="3579"/>
      <c r="AT210" s="3579"/>
      <c r="AU210" s="3579"/>
      <c r="AV210" s="3579"/>
      <c r="AW210" s="3556" t="s">
        <v>1369</v>
      </c>
      <c r="AX210" s="1401"/>
      <c r="AY210" s="2923"/>
      <c r="AZ210" s="3577"/>
      <c r="BA210" s="39"/>
      <c r="BB210" s="39"/>
    </row>
    <row r="211" spans="1:54" s="2690" customFormat="1" ht="15">
      <c r="A211" s="461"/>
      <c r="B211" s="808"/>
      <c r="C211" s="808"/>
      <c r="D211" s="808"/>
      <c r="E211" s="2645" t="s">
        <v>4779</v>
      </c>
      <c r="F211" s="808"/>
      <c r="G211" s="808"/>
      <c r="H211" s="808"/>
      <c r="I211" s="808"/>
      <c r="J211" s="808"/>
      <c r="K211" s="808"/>
      <c r="L211" s="808"/>
      <c r="M211" s="808"/>
      <c r="N211" s="808"/>
      <c r="O211" s="808"/>
      <c r="P211" s="808"/>
      <c r="Q211" s="808"/>
      <c r="R211" s="808"/>
      <c r="S211" s="808"/>
      <c r="T211" s="3527" t="str">
        <f>IF(AC211&lt;&gt;"","","X")</f>
        <v>X</v>
      </c>
      <c r="U211" s="892" t="s">
        <v>4780</v>
      </c>
      <c r="V211" s="808"/>
      <c r="W211" s="808"/>
      <c r="X211" s="808"/>
      <c r="Y211" s="808"/>
      <c r="Z211" s="808"/>
      <c r="AA211" s="808"/>
      <c r="AB211" s="808"/>
      <c r="AC211" s="3509"/>
      <c r="AD211" s="892" t="s">
        <v>4781</v>
      </c>
      <c r="AE211" s="808"/>
      <c r="AF211" s="808"/>
      <c r="AG211" s="808"/>
      <c r="AH211" s="808"/>
      <c r="AI211" s="808"/>
      <c r="AJ211" s="808"/>
      <c r="AK211" s="461"/>
      <c r="AL211" s="461"/>
      <c r="AM211" s="461"/>
      <c r="AN211" s="808"/>
      <c r="AO211" s="808"/>
      <c r="AP211" s="808"/>
      <c r="AQ211" s="3575" t="s">
        <v>1363</v>
      </c>
      <c r="AR211" s="3576" t="str">
        <f>"Tax-free educational assistance received in "&amp;TaxYear+1&amp;" (and before you"</f>
        <v>Tax-free educational assistance received in 2024 (and before you</v>
      </c>
      <c r="AS211" s="2923"/>
      <c r="AT211" s="2923"/>
      <c r="AU211" s="2923"/>
      <c r="AV211" s="2923"/>
      <c r="AW211" s="2923"/>
      <c r="AX211" s="2923"/>
      <c r="AY211" s="2923"/>
      <c r="AZ211" s="3571"/>
      <c r="BA211" s="39"/>
      <c r="BB211" s="39"/>
    </row>
    <row r="212" spans="1:54" s="2690" customFormat="1" ht="14.25">
      <c r="A212" s="461"/>
      <c r="B212" s="808"/>
      <c r="C212" s="808"/>
      <c r="D212" s="808"/>
      <c r="E212" s="2645" t="s">
        <v>4782</v>
      </c>
      <c r="F212" s="808"/>
      <c r="G212" s="808"/>
      <c r="H212" s="808"/>
      <c r="I212" s="808"/>
      <c r="J212" s="808"/>
      <c r="K212" s="808"/>
      <c r="L212" s="808"/>
      <c r="M212" s="808"/>
      <c r="N212" s="808"/>
      <c r="O212" s="808"/>
      <c r="P212" s="808"/>
      <c r="Q212" s="808"/>
      <c r="R212" s="808"/>
      <c r="S212" s="808"/>
      <c r="T212" s="808"/>
      <c r="U212" s="808"/>
      <c r="V212" s="808"/>
      <c r="W212" s="808"/>
      <c r="X212" s="808"/>
      <c r="Y212" s="808"/>
      <c r="Z212" s="808"/>
      <c r="AA212" s="808"/>
      <c r="AB212" s="808"/>
      <c r="AC212" s="808"/>
      <c r="AD212" s="892" t="s">
        <v>4783</v>
      </c>
      <c r="AE212" s="808"/>
      <c r="AF212" s="808"/>
      <c r="AG212" s="808"/>
      <c r="AH212" s="808"/>
      <c r="AI212" s="808"/>
      <c r="AJ212" s="808"/>
      <c r="AK212" s="461"/>
      <c r="AL212" s="461"/>
      <c r="AM212" s="461"/>
      <c r="AN212" s="808"/>
      <c r="AO212" s="808"/>
      <c r="AP212" s="808"/>
      <c r="AQ212" s="3578"/>
      <c r="AR212" s="3576" t="str">
        <f>"file your "&amp;TaxYear&amp;" tax return) allocable to the academic period"</f>
        <v>file your 2023 tax return) allocable to the academic period</v>
      </c>
      <c r="AS212" s="3579"/>
      <c r="AT212" s="3579"/>
      <c r="AU212" s="3579"/>
      <c r="AV212" s="3579"/>
      <c r="AW212" s="3556" t="s">
        <v>1379</v>
      </c>
      <c r="AX212" s="1401"/>
      <c r="AY212" s="2923"/>
      <c r="AZ212" s="3577"/>
      <c r="BA212" s="39"/>
      <c r="BB212" s="39"/>
    </row>
    <row r="213" spans="1:54" s="3526" customFormat="1" ht="16.5" customHeight="1">
      <c r="A213" s="4064"/>
      <c r="B213" s="893"/>
      <c r="C213" s="893"/>
      <c r="D213" s="893"/>
      <c r="E213" s="2952" t="s">
        <v>832</v>
      </c>
      <c r="F213" s="893"/>
      <c r="G213" s="893"/>
      <c r="H213" s="893"/>
      <c r="I213" s="893"/>
      <c r="J213" s="893"/>
      <c r="K213" s="893"/>
      <c r="L213" s="893"/>
      <c r="M213" s="893"/>
      <c r="N213" s="893"/>
      <c r="O213" s="893"/>
      <c r="P213" s="893"/>
      <c r="Q213" s="893"/>
      <c r="R213" s="893"/>
      <c r="S213" s="893"/>
      <c r="T213" s="893"/>
      <c r="U213" s="893"/>
      <c r="V213" s="893"/>
      <c r="W213" s="893"/>
      <c r="X213" s="893"/>
      <c r="Y213" s="893"/>
      <c r="Z213" s="893"/>
      <c r="AA213" s="893"/>
      <c r="AB213" s="893"/>
      <c r="AC213" s="893"/>
      <c r="AD213" s="893"/>
      <c r="AE213" s="893"/>
      <c r="AF213" s="893"/>
      <c r="AG213" s="893"/>
      <c r="AH213" s="893"/>
      <c r="AI213" s="893"/>
      <c r="AJ213" s="893"/>
      <c r="AK213" s="4064"/>
      <c r="AL213" s="4064"/>
      <c r="AM213" s="4064"/>
      <c r="AN213" s="893"/>
      <c r="AO213" s="893"/>
      <c r="AP213" s="893"/>
      <c r="AQ213" s="3575" t="s">
        <v>1381</v>
      </c>
      <c r="AR213" s="3576" t="str">
        <f>"Refunds of qualified education expenses paid in "&amp;TaxYear&amp;" if the refund"</f>
        <v>Refunds of qualified education expenses paid in 2023 if the refund</v>
      </c>
      <c r="AS213" s="2923"/>
      <c r="AT213" s="2923"/>
      <c r="AU213" s="2923"/>
      <c r="AV213" s="2923"/>
      <c r="AW213" s="2923"/>
      <c r="AX213" s="2923"/>
      <c r="AY213" s="2923"/>
      <c r="AZ213" s="3571"/>
      <c r="BA213" s="649"/>
      <c r="BB213" s="649"/>
    </row>
    <row r="214" spans="1:54" s="2690" customFormat="1" ht="15">
      <c r="A214" s="461"/>
      <c r="B214" s="3514">
        <v>25</v>
      </c>
      <c r="C214" s="1142"/>
      <c r="D214" s="1142"/>
      <c r="E214" s="2440" t="s">
        <v>4784</v>
      </c>
      <c r="F214" s="1142"/>
      <c r="G214" s="1142"/>
      <c r="H214" s="1142"/>
      <c r="I214" s="1142"/>
      <c r="J214" s="1142"/>
      <c r="K214" s="1142"/>
      <c r="L214" s="1142"/>
      <c r="M214" s="1142"/>
      <c r="N214" s="1142"/>
      <c r="O214" s="1142"/>
      <c r="P214" s="1142"/>
      <c r="Q214" s="1142"/>
      <c r="R214" s="1142"/>
      <c r="S214" s="1142"/>
      <c r="T214" s="1142"/>
      <c r="U214" s="1142"/>
      <c r="V214" s="1142"/>
      <c r="W214" s="1142"/>
      <c r="X214" s="1142"/>
      <c r="Y214" s="1142"/>
      <c r="Z214" s="1142"/>
      <c r="AA214" s="1142"/>
      <c r="AB214" s="1142"/>
      <c r="AC214" s="1142"/>
      <c r="AD214" s="1142"/>
      <c r="AE214" s="1142"/>
      <c r="AF214" s="1142"/>
      <c r="AG214" s="1142"/>
      <c r="AH214" s="1142"/>
      <c r="AI214" s="1142"/>
      <c r="AJ214" s="1142"/>
      <c r="AK214" s="461"/>
      <c r="AL214" s="461"/>
      <c r="AM214" s="461"/>
      <c r="AN214" s="808"/>
      <c r="AO214" s="808"/>
      <c r="AP214" s="808"/>
      <c r="AQ214" s="3578"/>
      <c r="AR214" s="3576" t="str">
        <f>"is received in "&amp;TaxYear&amp;" or in "&amp;TaxYear+1&amp;" before you file your "&amp;TaxYear&amp;" tax return."</f>
        <v>is received in 2023 or in 2024 before you file your 2023 tax return.</v>
      </c>
      <c r="AS214" s="3579"/>
      <c r="AT214" s="3579"/>
      <c r="AU214" s="3579"/>
      <c r="AV214" s="3579"/>
      <c r="AW214" s="3556" t="s">
        <v>1387</v>
      </c>
      <c r="AX214" s="1401"/>
      <c r="AY214" s="2923"/>
      <c r="AZ214" s="3577"/>
      <c r="BA214" s="39"/>
      <c r="BB214" s="39"/>
    </row>
    <row r="215" spans="1:54" s="2690" customFormat="1" ht="15">
      <c r="A215" s="461"/>
      <c r="B215" s="808"/>
      <c r="C215" s="808"/>
      <c r="D215" s="808"/>
      <c r="E215" s="2645" t="str">
        <f>"education before "&amp;TaxYear&amp;"? See instructions."</f>
        <v>education before 2023? See instructions.</v>
      </c>
      <c r="F215" s="808"/>
      <c r="G215" s="808"/>
      <c r="H215" s="808"/>
      <c r="I215" s="808"/>
      <c r="J215" s="808"/>
      <c r="K215" s="808"/>
      <c r="L215" s="808"/>
      <c r="M215" s="808"/>
      <c r="N215" s="808"/>
      <c r="O215" s="808"/>
      <c r="P215" s="808"/>
      <c r="Q215" s="808"/>
      <c r="R215" s="808"/>
      <c r="S215" s="808"/>
      <c r="T215" s="3509"/>
      <c r="U215" s="892" t="s">
        <v>4772</v>
      </c>
      <c r="V215" s="808"/>
      <c r="W215" s="808"/>
      <c r="X215" s="808"/>
      <c r="Y215" s="808"/>
      <c r="Z215" s="808"/>
      <c r="AA215" s="808"/>
      <c r="AB215" s="808"/>
      <c r="AC215" s="3527" t="str">
        <f>IF(T215&lt;&gt;"","","X")</f>
        <v>X</v>
      </c>
      <c r="AD215" s="892" t="s">
        <v>4785</v>
      </c>
      <c r="AE215" s="808"/>
      <c r="AF215" s="808"/>
      <c r="AG215" s="808"/>
      <c r="AH215" s="808"/>
      <c r="AI215" s="808"/>
      <c r="AJ215" s="808"/>
      <c r="AK215" s="461"/>
      <c r="AL215" s="461"/>
      <c r="AM215" s="461"/>
      <c r="AN215" s="808"/>
      <c r="AO215" s="808"/>
      <c r="AP215" s="808"/>
      <c r="AQ215" s="3578"/>
      <c r="AR215" s="3576"/>
      <c r="AS215" s="3579"/>
      <c r="AT215" s="3579"/>
      <c r="AU215" s="3579"/>
      <c r="AV215" s="3579"/>
      <c r="AW215" s="3579"/>
      <c r="AX215" s="3579"/>
      <c r="AY215" s="2923"/>
      <c r="AZ215" s="3577"/>
      <c r="BA215" s="39"/>
      <c r="BB215" s="39"/>
    </row>
    <row r="216" spans="1:54" s="3526" customFormat="1" ht="16.5" customHeight="1">
      <c r="A216" s="4064"/>
      <c r="B216" s="893"/>
      <c r="C216" s="893"/>
      <c r="D216" s="893"/>
      <c r="E216" s="2952"/>
      <c r="F216" s="893"/>
      <c r="G216" s="893"/>
      <c r="H216" s="893"/>
      <c r="I216" s="893"/>
      <c r="J216" s="893"/>
      <c r="K216" s="893"/>
      <c r="L216" s="893"/>
      <c r="M216" s="893"/>
      <c r="N216" s="893"/>
      <c r="O216" s="893"/>
      <c r="P216" s="893"/>
      <c r="Q216" s="893"/>
      <c r="R216" s="893"/>
      <c r="S216" s="893"/>
      <c r="T216" s="893"/>
      <c r="U216" s="893" t="s">
        <v>4774</v>
      </c>
      <c r="V216" s="893"/>
      <c r="W216" s="893"/>
      <c r="X216" s="893"/>
      <c r="Y216" s="893"/>
      <c r="Z216" s="893"/>
      <c r="AA216" s="893"/>
      <c r="AB216" s="893"/>
      <c r="AC216" s="893"/>
      <c r="AD216" s="893"/>
      <c r="AE216" s="893"/>
      <c r="AF216" s="893"/>
      <c r="AG216" s="893"/>
      <c r="AH216" s="893"/>
      <c r="AI216" s="893"/>
      <c r="AJ216" s="893"/>
      <c r="AK216" s="4064"/>
      <c r="AL216" s="4064"/>
      <c r="AM216" s="4064"/>
      <c r="AN216" s="893"/>
      <c r="AO216" s="893"/>
      <c r="AP216" s="893"/>
      <c r="AQ216" s="3572" t="s">
        <v>4786</v>
      </c>
      <c r="AR216" s="3553"/>
      <c r="AS216" s="3553"/>
      <c r="AT216" s="3553"/>
      <c r="AU216" s="3553"/>
      <c r="AV216" s="3553"/>
      <c r="AW216" s="3556"/>
      <c r="AX216" s="3556" t="s">
        <v>177</v>
      </c>
      <c r="AY216" s="1568">
        <f>SUM(AX210,AX212,AX214)</f>
        <v>0</v>
      </c>
      <c r="AZ216" s="3554"/>
      <c r="BA216" s="649"/>
      <c r="BB216" s="649"/>
    </row>
    <row r="217" spans="1:54" s="2690" customFormat="1" ht="15">
      <c r="A217" s="461"/>
      <c r="B217" s="3514">
        <v>26</v>
      </c>
      <c r="C217" s="1142"/>
      <c r="D217" s="1142"/>
      <c r="E217" s="2440" t="str">
        <f>"Was the student convicted, before the end of "&amp;TaxYear&amp;", of a"</f>
        <v>Was the student convicted, before the end of 2023, of a</v>
      </c>
      <c r="F217" s="1142"/>
      <c r="G217" s="1142"/>
      <c r="H217" s="1142"/>
      <c r="I217" s="1142"/>
      <c r="J217" s="1142"/>
      <c r="K217" s="1142"/>
      <c r="L217" s="1142"/>
      <c r="M217" s="1142"/>
      <c r="N217" s="1142"/>
      <c r="O217" s="1142"/>
      <c r="P217" s="1142"/>
      <c r="Q217" s="1142"/>
      <c r="R217" s="1142"/>
      <c r="S217" s="1142"/>
      <c r="T217" s="1142"/>
      <c r="U217" s="1142"/>
      <c r="V217" s="1142"/>
      <c r="W217" s="1142"/>
      <c r="X217" s="1142"/>
      <c r="Y217" s="1142"/>
      <c r="Z217" s="1142"/>
      <c r="AA217" s="1142"/>
      <c r="AB217" s="1142"/>
      <c r="AC217" s="1142"/>
      <c r="AD217" s="1142"/>
      <c r="AE217" s="1142"/>
      <c r="AF217" s="1142"/>
      <c r="AG217" s="1142"/>
      <c r="AH217" s="1142"/>
      <c r="AI217" s="1142"/>
      <c r="AJ217" s="1142"/>
      <c r="AK217" s="461"/>
      <c r="AL217" s="461"/>
      <c r="AM217" s="461"/>
      <c r="AN217" s="808"/>
      <c r="AO217" s="808"/>
      <c r="AP217" s="808"/>
      <c r="AQ217" s="3578"/>
      <c r="AR217" s="3576"/>
      <c r="AS217" s="3579"/>
      <c r="AT217" s="3579"/>
      <c r="AU217" s="3579"/>
      <c r="AV217" s="3579"/>
      <c r="AW217" s="3579"/>
      <c r="AX217" s="3579"/>
      <c r="AY217" s="2923"/>
      <c r="AZ217" s="3577"/>
      <c r="BA217" s="39"/>
      <c r="BB217" s="39"/>
    </row>
    <row r="218" spans="1:54" s="2690" customFormat="1" ht="15">
      <c r="A218" s="461"/>
      <c r="B218" s="808"/>
      <c r="C218" s="808"/>
      <c r="D218" s="808"/>
      <c r="E218" s="2645" t="s">
        <v>4787</v>
      </c>
      <c r="F218" s="808"/>
      <c r="G218" s="808"/>
      <c r="H218" s="808"/>
      <c r="I218" s="808"/>
      <c r="J218" s="808"/>
      <c r="K218" s="808"/>
      <c r="L218" s="808"/>
      <c r="M218" s="808"/>
      <c r="N218" s="808"/>
      <c r="O218" s="808"/>
      <c r="P218" s="808"/>
      <c r="Q218" s="808"/>
      <c r="R218" s="808"/>
      <c r="S218" s="808"/>
      <c r="T218" s="3509"/>
      <c r="U218" s="892" t="s">
        <v>4772</v>
      </c>
      <c r="V218" s="808"/>
      <c r="W218" s="808"/>
      <c r="X218" s="808"/>
      <c r="Y218" s="808"/>
      <c r="Z218" s="808"/>
      <c r="AA218" s="808"/>
      <c r="AB218" s="808"/>
      <c r="AC218" s="3527" t="str">
        <f>IF(T218&lt;&gt;"","","X")</f>
        <v>X</v>
      </c>
      <c r="AD218" s="892" t="s">
        <v>4788</v>
      </c>
      <c r="AE218" s="808"/>
      <c r="AF218" s="808"/>
      <c r="AG218" s="808"/>
      <c r="AH218" s="808"/>
      <c r="AI218" s="808"/>
      <c r="AJ218" s="808"/>
      <c r="AK218" s="461"/>
      <c r="AL218" s="461"/>
      <c r="AM218" s="461"/>
      <c r="AN218" s="808"/>
      <c r="AO218" s="23" t="s">
        <v>1113</v>
      </c>
      <c r="AP218" s="808"/>
      <c r="AQ218" s="3572" t="s">
        <v>4806</v>
      </c>
      <c r="AR218" s="3576"/>
      <c r="AS218" s="3579"/>
      <c r="AT218" s="3579"/>
      <c r="AU218" s="3579"/>
      <c r="AV218" s="3579"/>
      <c r="AW218" s="3579"/>
      <c r="AX218" s="3579"/>
      <c r="AY218" s="2923"/>
      <c r="AZ218" s="3577"/>
      <c r="BA218" s="39"/>
      <c r="BB218" s="39"/>
    </row>
    <row r="219" spans="1:54" s="3526" customFormat="1" ht="16.5" customHeight="1">
      <c r="A219" s="4064"/>
      <c r="B219" s="1372"/>
      <c r="C219" s="1372"/>
      <c r="D219" s="1372"/>
      <c r="E219" s="3515" t="s">
        <v>4790</v>
      </c>
      <c r="F219" s="1372"/>
      <c r="G219" s="1372"/>
      <c r="H219" s="1372"/>
      <c r="I219" s="1372"/>
      <c r="J219" s="1372"/>
      <c r="K219" s="1372"/>
      <c r="L219" s="1372"/>
      <c r="M219" s="1372"/>
      <c r="N219" s="1372"/>
      <c r="O219" s="1372"/>
      <c r="P219" s="1372"/>
      <c r="Q219" s="1372"/>
      <c r="R219" s="1372"/>
      <c r="S219" s="1372"/>
      <c r="T219" s="1372"/>
      <c r="U219" s="1372" t="s">
        <v>4774</v>
      </c>
      <c r="V219" s="1372"/>
      <c r="W219" s="1372"/>
      <c r="X219" s="1372"/>
      <c r="Y219" s="1372"/>
      <c r="Z219" s="1372"/>
      <c r="AA219" s="1372"/>
      <c r="AB219" s="1372"/>
      <c r="AC219" s="1372"/>
      <c r="AD219" s="2192" t="s">
        <v>4791</v>
      </c>
      <c r="AE219" s="1372"/>
      <c r="AF219" s="1372"/>
      <c r="AG219" s="1372"/>
      <c r="AH219" s="1372"/>
      <c r="AI219" s="1372"/>
      <c r="AJ219" s="1372"/>
      <c r="AK219" s="4064"/>
      <c r="AL219" s="4064"/>
      <c r="AM219" s="4064"/>
      <c r="AN219" s="893"/>
      <c r="AO219" s="23" t="s">
        <v>1062</v>
      </c>
      <c r="AP219" s="893"/>
      <c r="AQ219" s="3574" t="s">
        <v>4792</v>
      </c>
      <c r="AR219" s="3553"/>
      <c r="AS219" s="3553"/>
      <c r="AT219" s="3580" t="s">
        <v>4793</v>
      </c>
      <c r="AU219" s="3553"/>
      <c r="AV219" s="3553"/>
      <c r="AW219" s="3556"/>
      <c r="AX219" s="3556" t="s">
        <v>182</v>
      </c>
      <c r="AY219" s="1568" t="str">
        <f>IF(AY206="","",MAX(0,SUM(AY206,-AY216)))</f>
        <v/>
      </c>
      <c r="AZ219" s="3554"/>
      <c r="BA219" s="649"/>
      <c r="BB219" s="649"/>
    </row>
    <row r="220" spans="1:54" s="2690" customFormat="1" ht="9.75" customHeight="1" thickBot="1">
      <c r="A220" s="461"/>
      <c r="B220" s="3538"/>
      <c r="C220" s="3538"/>
      <c r="D220" s="3538"/>
      <c r="E220" s="3538"/>
      <c r="F220" s="3538"/>
      <c r="G220" s="3538"/>
      <c r="H220" s="3538"/>
      <c r="I220" s="3538"/>
      <c r="J220" s="3538"/>
      <c r="K220" s="3538"/>
      <c r="L220" s="3538"/>
      <c r="M220" s="3538"/>
      <c r="N220" s="3538"/>
      <c r="O220" s="3538"/>
      <c r="P220" s="3538"/>
      <c r="Q220" s="3538"/>
      <c r="R220" s="3538"/>
      <c r="S220" s="3538"/>
      <c r="T220" s="3538"/>
      <c r="U220" s="3538"/>
      <c r="V220" s="3538"/>
      <c r="W220" s="3538"/>
      <c r="X220" s="3538"/>
      <c r="Y220" s="3538"/>
      <c r="Z220" s="3538"/>
      <c r="AA220" s="3538"/>
      <c r="AB220" s="3538"/>
      <c r="AC220" s="3538"/>
      <c r="AD220" s="3538"/>
      <c r="AE220" s="3538"/>
      <c r="AF220" s="3538"/>
      <c r="AG220" s="3538"/>
      <c r="AH220" s="3538"/>
      <c r="AI220" s="3538"/>
      <c r="AJ220" s="3538"/>
      <c r="AK220" s="461"/>
      <c r="AL220" s="461"/>
      <c r="AM220" s="461"/>
      <c r="AN220" s="808"/>
      <c r="AO220" s="808"/>
      <c r="AP220" s="808"/>
      <c r="AQ220" s="3581"/>
      <c r="AR220" s="3582"/>
      <c r="AS220" s="3583"/>
      <c r="AT220" s="3583"/>
      <c r="AU220" s="3583"/>
      <c r="AV220" s="3583"/>
      <c r="AW220" s="3583"/>
      <c r="AX220" s="3583"/>
      <c r="AY220" s="3583"/>
      <c r="AZ220" s="3584"/>
      <c r="BA220" s="39"/>
      <c r="BB220" s="39"/>
    </row>
    <row r="221" spans="1:54" s="3525" customFormat="1" ht="14.25" customHeight="1">
      <c r="A221" s="3497"/>
      <c r="B221" s="3539"/>
      <c r="C221" s="3539"/>
      <c r="D221" s="3539"/>
      <c r="E221" s="3541" t="s">
        <v>4807</v>
      </c>
      <c r="F221" s="3539"/>
      <c r="G221" s="3539"/>
      <c r="H221" s="3539"/>
      <c r="I221" s="3539"/>
      <c r="J221" s="3539"/>
      <c r="K221" s="3539"/>
      <c r="L221" s="3539"/>
      <c r="M221" s="3539"/>
      <c r="N221" s="3539"/>
      <c r="O221" s="3539"/>
      <c r="P221" s="3539"/>
      <c r="Q221" s="3539"/>
      <c r="R221" s="3539"/>
      <c r="S221" s="3539"/>
      <c r="T221" s="3539"/>
      <c r="U221" s="3539"/>
      <c r="V221" s="3539"/>
      <c r="W221" s="3539"/>
      <c r="X221" s="3539"/>
      <c r="Y221" s="3539"/>
      <c r="Z221" s="3539"/>
      <c r="AA221" s="3539"/>
      <c r="AB221" s="3539"/>
      <c r="AC221" s="3539"/>
      <c r="AD221" s="3539"/>
      <c r="AE221" s="3539"/>
      <c r="AF221" s="3539"/>
      <c r="AG221" s="3539"/>
      <c r="AH221" s="3539"/>
      <c r="AI221" s="3539"/>
      <c r="AJ221" s="3539"/>
      <c r="AK221" s="3497"/>
      <c r="AL221" s="3497"/>
      <c r="AM221" s="3497"/>
      <c r="AN221" s="3498"/>
      <c r="AO221" s="2821" t="b">
        <f>OR(AND(AH224,AO232&lt;&gt;""),AND(NOT(AH224),AO229&lt;&gt;""))</f>
        <v>0</v>
      </c>
      <c r="AP221" s="1573"/>
      <c r="AQ221" s="2038"/>
      <c r="AR221" s="2044"/>
      <c r="AS221" s="2038"/>
      <c r="AT221" s="2038"/>
      <c r="AU221" s="2038"/>
      <c r="AV221" s="2038"/>
      <c r="AW221" s="2038"/>
      <c r="AX221" s="2038"/>
      <c r="AY221" s="2038"/>
      <c r="AZ221" s="2038"/>
      <c r="BA221" s="3499"/>
      <c r="BB221" s="3499"/>
    </row>
    <row r="222" spans="1:54" s="3525" customFormat="1" ht="16.5" customHeight="1">
      <c r="A222" s="3497"/>
      <c r="B222" s="3539"/>
      <c r="C222" s="3539"/>
      <c r="D222" s="3539"/>
      <c r="E222" s="3542" t="s">
        <v>4795</v>
      </c>
      <c r="F222" s="3539"/>
      <c r="G222" s="3539"/>
      <c r="H222" s="3539"/>
      <c r="I222" s="3539"/>
      <c r="J222" s="3539"/>
      <c r="K222" s="3539"/>
      <c r="L222" s="3539"/>
      <c r="M222" s="3539"/>
      <c r="N222" s="3539"/>
      <c r="O222" s="3539"/>
      <c r="P222" s="3539"/>
      <c r="Q222" s="3539"/>
      <c r="R222" s="3539"/>
      <c r="S222" s="3539"/>
      <c r="T222" s="3539"/>
      <c r="U222" s="3539"/>
      <c r="V222" s="3539"/>
      <c r="W222" s="3539"/>
      <c r="X222" s="3539"/>
      <c r="Y222" s="3539"/>
      <c r="Z222" s="3539"/>
      <c r="AA222" s="3539"/>
      <c r="AB222" s="3539"/>
      <c r="AC222" s="3539"/>
      <c r="AD222" s="3539"/>
      <c r="AE222" s="3539"/>
      <c r="AF222" s="3539"/>
      <c r="AG222" s="3539"/>
      <c r="AH222" s="3539"/>
      <c r="AI222" s="3539"/>
      <c r="AJ222" s="3539"/>
      <c r="AK222" s="3497"/>
      <c r="AL222" s="3497"/>
      <c r="AM222" s="3497"/>
      <c r="AN222" s="3498"/>
      <c r="AO222" s="2821" t="b">
        <f>OR(AND(AH224,AO232&lt;&gt;""),AND(NOT(AH224),AO229&lt;&gt;""))</f>
        <v>0</v>
      </c>
      <c r="AP222" s="1573"/>
      <c r="AQ222" s="2038"/>
      <c r="AR222" s="2044"/>
      <c r="AS222" s="2038"/>
      <c r="AT222" s="2038"/>
      <c r="AU222" s="2038"/>
      <c r="AV222" s="2038"/>
      <c r="AW222" s="2038"/>
      <c r="AX222" s="2038"/>
      <c r="AY222" s="2038"/>
      <c r="AZ222" s="2038"/>
      <c r="BA222" s="3499"/>
      <c r="BB222" s="3499"/>
    </row>
    <row r="223" spans="1:54" s="2690" customFormat="1" ht="6" customHeight="1">
      <c r="A223" s="461"/>
      <c r="B223" s="3540"/>
      <c r="C223" s="3540"/>
      <c r="D223" s="3540"/>
      <c r="E223" s="3540"/>
      <c r="F223" s="3540"/>
      <c r="G223" s="3540"/>
      <c r="H223" s="3540"/>
      <c r="I223" s="3540"/>
      <c r="J223" s="3540"/>
      <c r="K223" s="3540"/>
      <c r="L223" s="3540"/>
      <c r="M223" s="3540"/>
      <c r="N223" s="3540"/>
      <c r="O223" s="3540"/>
      <c r="P223" s="3540"/>
      <c r="Q223" s="3540"/>
      <c r="R223" s="3540"/>
      <c r="S223" s="3540"/>
      <c r="T223" s="3540"/>
      <c r="U223" s="3540"/>
      <c r="V223" s="3540"/>
      <c r="W223" s="3540"/>
      <c r="X223" s="3540"/>
      <c r="Y223" s="3540"/>
      <c r="Z223" s="3540"/>
      <c r="AA223" s="3540"/>
      <c r="AB223" s="3540"/>
      <c r="AC223" s="3540"/>
      <c r="AD223" s="3540"/>
      <c r="AE223" s="3540"/>
      <c r="AF223" s="3540"/>
      <c r="AG223" s="3540"/>
      <c r="AH223" s="3540"/>
      <c r="AI223" s="3540"/>
      <c r="AJ223" s="3540"/>
      <c r="AK223" s="461"/>
      <c r="AL223" s="461"/>
      <c r="AM223" s="461"/>
      <c r="AN223" s="808"/>
      <c r="AO223" s="808"/>
      <c r="AP223" s="808"/>
      <c r="AQ223" s="2038"/>
      <c r="AR223" s="2038"/>
      <c r="AS223" s="2038"/>
      <c r="AT223" s="2038"/>
      <c r="AU223" s="2038"/>
      <c r="AV223" s="2038"/>
      <c r="AW223" s="2038"/>
      <c r="AX223" s="2038"/>
      <c r="AY223" s="2038"/>
      <c r="AZ223" s="2038"/>
      <c r="BA223" s="39"/>
      <c r="BB223" s="39"/>
    </row>
    <row r="224" spans="1:54" s="2690" customFormat="1" ht="16.5" customHeight="1" thickBot="1">
      <c r="A224" s="461"/>
      <c r="B224" s="1133"/>
      <c r="C224" s="3850" t="s">
        <v>4697</v>
      </c>
      <c r="D224" s="1121"/>
      <c r="E224" s="1121"/>
      <c r="F224" s="1121"/>
      <c r="G224" s="1121"/>
      <c r="H224" s="1121"/>
      <c r="I224" s="1121"/>
      <c r="J224" s="1121"/>
      <c r="K224" s="1121"/>
      <c r="L224" s="1121"/>
      <c r="M224" s="1121"/>
      <c r="N224" s="1121"/>
      <c r="O224" s="1121"/>
      <c r="P224" s="1121"/>
      <c r="Q224" s="1121"/>
      <c r="R224" s="1121"/>
      <c r="S224" s="1121"/>
      <c r="T224" s="1121"/>
      <c r="U224" s="1121"/>
      <c r="V224" s="1121"/>
      <c r="W224" s="1121"/>
      <c r="X224" s="1121"/>
      <c r="Y224" s="1121"/>
      <c r="Z224" s="1121"/>
      <c r="AA224" s="1121"/>
      <c r="AB224" s="9875" t="b">
        <f>AND(AE225&lt;&gt;"",AE225&gt;AO226)</f>
        <v>0</v>
      </c>
      <c r="AC224" s="9875"/>
      <c r="AD224" s="1121"/>
      <c r="AE224" s="1121"/>
      <c r="AF224" s="1121"/>
      <c r="AG224" s="1121"/>
      <c r="AH224" s="9875" t="b">
        <f>AND(T206="",AC211="",T215="",T218="")</f>
        <v>1</v>
      </c>
      <c r="AI224" s="9875"/>
      <c r="AJ224" s="9875"/>
      <c r="AK224" s="461"/>
      <c r="AL224" s="461"/>
      <c r="AM224" s="461"/>
      <c r="AN224" s="808"/>
      <c r="AO224" s="808"/>
      <c r="AP224" s="808"/>
      <c r="AQ224" s="2038"/>
      <c r="AR224" s="2038"/>
      <c r="AS224" s="2038"/>
      <c r="AT224" s="2038"/>
      <c r="AU224" s="2038"/>
      <c r="AV224" s="2038"/>
      <c r="AW224" s="2038"/>
      <c r="AX224" s="2038"/>
      <c r="AY224" s="2038"/>
      <c r="AZ224" s="2038"/>
      <c r="BA224" s="39"/>
      <c r="BB224" s="39"/>
    </row>
    <row r="225" spans="1:54" s="2690" customFormat="1" ht="16.5" customHeight="1" thickBot="1">
      <c r="A225" s="461"/>
      <c r="B225" s="3514">
        <v>27</v>
      </c>
      <c r="C225" s="808"/>
      <c r="D225" s="2112" t="s">
        <v>4797</v>
      </c>
      <c r="E225" s="2112"/>
      <c r="F225" s="808"/>
      <c r="G225" s="808"/>
      <c r="H225" s="808"/>
      <c r="I225" s="808"/>
      <c r="J225" s="808"/>
      <c r="K225" s="808"/>
      <c r="L225" s="808"/>
      <c r="M225" s="808"/>
      <c r="N225" s="808"/>
      <c r="O225" s="808"/>
      <c r="P225" s="808"/>
      <c r="Q225" s="808"/>
      <c r="R225" s="3851" t="str">
        <f>"Don't enter more than "&amp;TEXT(AO226,"$0,000")&amp;"."</f>
        <v>Don't enter more than $4,000.</v>
      </c>
      <c r="S225" s="808"/>
      <c r="T225" s="808"/>
      <c r="U225" s="808"/>
      <c r="V225" s="808"/>
      <c r="W225" s="808"/>
      <c r="X225" s="808"/>
      <c r="Y225" s="808"/>
      <c r="Z225" s="3536"/>
      <c r="AA225" s="3536"/>
      <c r="AB225" s="3534"/>
      <c r="AC225" s="3535"/>
      <c r="AD225" s="1726">
        <v>27</v>
      </c>
      <c r="AE225" s="9591" t="str">
        <f>IF(AO225&lt;&gt;"",ROUND(AO225,0),IF(OR(NOT(AH224),AY219=""),"",MIN(AO226,AY219)))</f>
        <v/>
      </c>
      <c r="AF225" s="9876"/>
      <c r="AG225" s="9876"/>
      <c r="AH225" s="9876"/>
      <c r="AI225" s="9876"/>
      <c r="AJ225" s="9876"/>
      <c r="AK225" s="461"/>
      <c r="AL225" s="461"/>
      <c r="AM225" s="461"/>
      <c r="AN225" s="808"/>
      <c r="AO225" s="3521"/>
      <c r="AP225" s="808"/>
      <c r="AQ225" s="2038"/>
      <c r="AR225" s="2038"/>
      <c r="AS225" s="2038"/>
      <c r="AT225" s="2038"/>
      <c r="AU225" s="2038"/>
      <c r="AV225" s="2038"/>
      <c r="AW225" s="2038"/>
      <c r="AX225" s="2038"/>
      <c r="AY225" s="2038"/>
      <c r="AZ225" s="2038"/>
      <c r="BA225" s="39"/>
      <c r="BB225" s="39"/>
    </row>
    <row r="226" spans="1:54" s="2690" customFormat="1" ht="17.25" customHeight="1">
      <c r="A226" s="461"/>
      <c r="B226" s="1127">
        <v>28</v>
      </c>
      <c r="C226" s="808"/>
      <c r="D226" s="2112" t="str">
        <f>"Subtract "&amp;TEXT(AO227,"$0,000")&amp;" from line 27. If zero or less, enter -0-"</f>
        <v>Subtract $2,000 from line 27. If zero or less, enter -0-</v>
      </c>
      <c r="E226" s="808"/>
      <c r="F226" s="808"/>
      <c r="G226" s="808"/>
      <c r="H226" s="808"/>
      <c r="I226" s="808"/>
      <c r="J226" s="808"/>
      <c r="K226" s="808"/>
      <c r="L226" s="808"/>
      <c r="M226" s="808"/>
      <c r="N226" s="808"/>
      <c r="O226" s="808"/>
      <c r="P226" s="808"/>
      <c r="Q226" s="808"/>
      <c r="R226" s="808"/>
      <c r="S226" s="808"/>
      <c r="T226" s="808"/>
      <c r="U226" s="808"/>
      <c r="V226" s="808"/>
      <c r="W226" s="808"/>
      <c r="X226" s="808"/>
      <c r="Y226" s="808"/>
      <c r="Z226" s="1234"/>
      <c r="AA226" s="1234"/>
      <c r="AB226" s="808"/>
      <c r="AC226" s="1128" t="s">
        <v>4798</v>
      </c>
      <c r="AD226" s="1726">
        <v>28</v>
      </c>
      <c r="AE226" s="9591" t="str">
        <f>IF(OR(NOT(AH224),AY219=""),"",MAX(0,SUM(AE225,-AO227)))</f>
        <v/>
      </c>
      <c r="AF226" s="9876"/>
      <c r="AG226" s="9876"/>
      <c r="AH226" s="9876"/>
      <c r="AI226" s="9876"/>
      <c r="AJ226" s="9876"/>
      <c r="AK226" s="461"/>
      <c r="AL226" s="461"/>
      <c r="AM226" s="461"/>
      <c r="AN226" s="808"/>
      <c r="AO226" s="900">
        <v>4000</v>
      </c>
      <c r="AP226" s="808"/>
      <c r="AQ226" s="2038"/>
      <c r="AR226" s="2038"/>
      <c r="AS226" s="2038"/>
      <c r="AT226" s="2038"/>
      <c r="AU226" s="2038"/>
      <c r="AV226" s="2038"/>
      <c r="AW226" s="2038"/>
      <c r="AX226" s="2038"/>
      <c r="AY226" s="2038"/>
      <c r="AZ226" s="2038"/>
      <c r="BA226" s="39"/>
      <c r="BB226" s="39"/>
    </row>
    <row r="227" spans="1:54" s="2690" customFormat="1" ht="17.25" customHeight="1">
      <c r="A227" s="461"/>
      <c r="B227" s="1127">
        <v>29</v>
      </c>
      <c r="C227" s="808"/>
      <c r="D227" s="2112" t="str">
        <f>"Multiply line 28 by "&amp;TEXT(AB228,"0%")&amp;" ("&amp;TEXT(AB228,"0.00")&amp;")"</f>
        <v>Multiply line 28 by 25% (0.25)</v>
      </c>
      <c r="E227" s="2112"/>
      <c r="F227" s="2112"/>
      <c r="G227" s="808"/>
      <c r="H227" s="808"/>
      <c r="I227" s="808"/>
      <c r="J227" s="808"/>
      <c r="K227" s="808"/>
      <c r="L227" s="899"/>
      <c r="M227" s="899"/>
      <c r="N227" s="899"/>
      <c r="O227" s="899"/>
      <c r="P227" s="899"/>
      <c r="Q227" s="899"/>
      <c r="R227" s="899"/>
      <c r="S227" s="899"/>
      <c r="T227" s="899"/>
      <c r="U227" s="899"/>
      <c r="V227" s="899"/>
      <c r="W227" s="899"/>
      <c r="X227" s="899"/>
      <c r="Y227" s="899"/>
      <c r="Z227" s="899"/>
      <c r="AA227" s="899"/>
      <c r="AB227" s="899"/>
      <c r="AC227" s="1128" t="s">
        <v>4799</v>
      </c>
      <c r="AD227" s="1726">
        <v>29</v>
      </c>
      <c r="AE227" s="9591" t="str">
        <f>IF(OR(NOT(AH224),AY219=""),"",ROUND(AE226*AB228,0))</f>
        <v/>
      </c>
      <c r="AF227" s="9876"/>
      <c r="AG227" s="9876"/>
      <c r="AH227" s="9876"/>
      <c r="AI227" s="9876"/>
      <c r="AJ227" s="9876"/>
      <c r="AK227" s="461"/>
      <c r="AL227" s="461"/>
      <c r="AM227" s="461"/>
      <c r="AN227" s="808"/>
      <c r="AO227" s="900">
        <v>2000</v>
      </c>
      <c r="AP227" s="808"/>
      <c r="AQ227" s="2038"/>
      <c r="AR227" s="2038"/>
      <c r="AS227" s="2038"/>
      <c r="AT227" s="2038"/>
      <c r="AU227" s="2038"/>
      <c r="AV227" s="2038"/>
      <c r="AW227" s="2038"/>
      <c r="AX227" s="2038"/>
      <c r="AY227" s="2038"/>
      <c r="AZ227" s="2038"/>
      <c r="BA227" s="39"/>
      <c r="BB227" s="39"/>
    </row>
    <row r="228" spans="1:54" s="2690" customFormat="1" ht="15.75" customHeight="1" thickBot="1">
      <c r="A228" s="461"/>
      <c r="B228" s="1127">
        <v>30</v>
      </c>
      <c r="C228" s="808"/>
      <c r="D228" s="2112" t="s">
        <v>4800</v>
      </c>
      <c r="E228" s="2112"/>
      <c r="F228" s="2112"/>
      <c r="G228" s="808"/>
      <c r="H228" s="808"/>
      <c r="I228" s="808"/>
      <c r="J228" s="808"/>
      <c r="K228" s="808"/>
      <c r="L228" s="808"/>
      <c r="M228" s="808"/>
      <c r="N228" s="808"/>
      <c r="O228" s="808"/>
      <c r="P228" s="808"/>
      <c r="Q228" s="808"/>
      <c r="R228" s="808"/>
      <c r="S228" s="808"/>
      <c r="T228" s="808"/>
      <c r="U228" s="808"/>
      <c r="V228" s="808"/>
      <c r="W228" s="808"/>
      <c r="X228" s="808"/>
      <c r="Y228" s="808"/>
      <c r="Z228" s="808"/>
      <c r="AA228" s="808"/>
      <c r="AB228" s="8168">
        <v>0.25</v>
      </c>
      <c r="AC228" s="9576"/>
      <c r="AD228" s="1123"/>
      <c r="AE228" s="808"/>
      <c r="AF228" s="808"/>
      <c r="AG228" s="808"/>
      <c r="AH228" s="808"/>
      <c r="AI228" s="808"/>
      <c r="AJ228" s="808"/>
      <c r="AK228" s="461"/>
      <c r="AL228" s="461"/>
      <c r="AM228" s="461"/>
      <c r="AN228" s="808"/>
      <c r="AO228" s="808"/>
      <c r="AP228" s="808"/>
      <c r="AQ228" s="2038"/>
      <c r="AR228" s="2038"/>
      <c r="AS228" s="2038"/>
      <c r="AT228" s="2038"/>
      <c r="AU228" s="2038"/>
      <c r="AV228" s="2038"/>
      <c r="AW228" s="2038"/>
      <c r="AX228" s="2038"/>
      <c r="AY228" s="2038"/>
      <c r="AZ228" s="2038"/>
      <c r="BA228" s="39"/>
      <c r="BB228" s="39"/>
    </row>
    <row r="229" spans="1:54" s="2690" customFormat="1" ht="15.75" thickBot="1">
      <c r="A229" s="461"/>
      <c r="B229" s="808"/>
      <c r="C229" s="808"/>
      <c r="D229" s="2112" t="s">
        <v>4801</v>
      </c>
      <c r="E229" s="2112"/>
      <c r="F229" s="2112"/>
      <c r="G229" s="808"/>
      <c r="H229" s="808"/>
      <c r="I229" s="808"/>
      <c r="J229" s="808"/>
      <c r="K229" s="808"/>
      <c r="L229" s="808"/>
      <c r="M229" s="808"/>
      <c r="N229" s="808"/>
      <c r="O229" s="808"/>
      <c r="P229" s="808"/>
      <c r="Q229" s="808"/>
      <c r="R229" s="808"/>
      <c r="S229" s="808"/>
      <c r="T229" s="808"/>
      <c r="U229" s="808"/>
      <c r="V229" s="808"/>
      <c r="W229" s="808"/>
      <c r="X229" s="808"/>
      <c r="Y229" s="808"/>
      <c r="Z229" s="808"/>
      <c r="AA229" s="808"/>
      <c r="AB229" s="808"/>
      <c r="AC229" s="1128" t="s">
        <v>690</v>
      </c>
      <c r="AD229" s="1716">
        <v>30</v>
      </c>
      <c r="AE229" s="9872" t="str">
        <f>IF(AO229&lt;&gt;"",ROUND(AO229,0),IF(OR(NOT(AH224),AE225=0,AE225="",AY219=""),"",IF(OR(AE226=0,AE226=""),AE225,SUM(AE227,AO227))))</f>
        <v/>
      </c>
      <c r="AF229" s="9873"/>
      <c r="AG229" s="9873"/>
      <c r="AH229" s="9873"/>
      <c r="AI229" s="9873"/>
      <c r="AJ229" s="9873"/>
      <c r="AK229" s="461"/>
      <c r="AL229" s="461"/>
      <c r="AM229" s="461"/>
      <c r="AN229" s="808"/>
      <c r="AO229" s="3521"/>
      <c r="AP229" s="808"/>
      <c r="AQ229" s="2038"/>
      <c r="AR229" s="2038"/>
      <c r="AS229" s="2038"/>
      <c r="AT229" s="2038"/>
      <c r="AU229" s="2038"/>
      <c r="AV229" s="2038"/>
      <c r="AW229" s="2038"/>
      <c r="AX229" s="2038"/>
      <c r="AY229" s="2038"/>
      <c r="AZ229" s="2038"/>
      <c r="BA229" s="39"/>
      <c r="BB229" s="39"/>
    </row>
    <row r="230" spans="1:54" s="2690" customFormat="1" ht="16.5" customHeight="1">
      <c r="A230" s="461"/>
      <c r="B230" s="1133"/>
      <c r="C230" s="3850" t="s">
        <v>4728</v>
      </c>
      <c r="D230" s="1122"/>
      <c r="E230" s="1122"/>
      <c r="F230" s="1122"/>
      <c r="G230" s="1122"/>
      <c r="H230" s="1122"/>
      <c r="I230" s="1122"/>
      <c r="J230" s="1122"/>
      <c r="K230" s="1122"/>
      <c r="L230" s="1122"/>
      <c r="M230" s="1122"/>
      <c r="N230" s="1122"/>
      <c r="O230" s="1122"/>
      <c r="P230" s="1122"/>
      <c r="Q230" s="1122"/>
      <c r="R230" s="1122"/>
      <c r="S230" s="1122"/>
      <c r="T230" s="1122"/>
      <c r="U230" s="1122"/>
      <c r="V230" s="1122"/>
      <c r="W230" s="1122"/>
      <c r="X230" s="1122"/>
      <c r="Y230" s="1122"/>
      <c r="Z230" s="1122"/>
      <c r="AA230" s="1122"/>
      <c r="AB230" s="1122"/>
      <c r="AC230" s="1122"/>
      <c r="AD230" s="1122"/>
      <c r="AE230" s="1122"/>
      <c r="AF230" s="1122"/>
      <c r="AG230" s="1122"/>
      <c r="AH230" s="1122"/>
      <c r="AI230" s="1122"/>
      <c r="AJ230" s="1122"/>
      <c r="AK230" s="461"/>
      <c r="AL230" s="461"/>
      <c r="AM230" s="461"/>
      <c r="AN230" s="808"/>
      <c r="AO230" s="808"/>
      <c r="AP230" s="808"/>
      <c r="AQ230" s="2038"/>
      <c r="AR230" s="2038"/>
      <c r="AS230" s="2038"/>
      <c r="AT230" s="2038"/>
      <c r="AU230" s="2038"/>
      <c r="AV230" s="2038"/>
      <c r="AW230" s="2038"/>
      <c r="AX230" s="2038"/>
      <c r="AY230" s="2038"/>
      <c r="AZ230" s="2038"/>
      <c r="BA230" s="39"/>
      <c r="BB230" s="39"/>
    </row>
    <row r="231" spans="1:54" s="2690" customFormat="1" ht="15.75" customHeight="1" thickBot="1">
      <c r="A231" s="461"/>
      <c r="B231" s="1127">
        <v>31</v>
      </c>
      <c r="C231" s="808"/>
      <c r="D231" s="2112" t="s">
        <v>4802</v>
      </c>
      <c r="E231" s="2112"/>
      <c r="F231" s="2112"/>
      <c r="G231" s="808"/>
      <c r="H231" s="808"/>
      <c r="I231" s="808"/>
      <c r="J231" s="808"/>
      <c r="K231" s="808"/>
      <c r="L231" s="808"/>
      <c r="M231" s="808"/>
      <c r="N231" s="808"/>
      <c r="O231" s="808"/>
      <c r="P231" s="808"/>
      <c r="Q231" s="808"/>
      <c r="R231" s="808"/>
      <c r="S231" s="808"/>
      <c r="T231" s="808"/>
      <c r="U231" s="808"/>
      <c r="V231" s="808"/>
      <c r="W231" s="808"/>
      <c r="X231" s="808"/>
      <c r="Y231" s="808"/>
      <c r="Z231" s="808"/>
      <c r="AA231" s="808"/>
      <c r="AB231" s="808"/>
      <c r="AC231" s="808"/>
      <c r="AD231" s="1123"/>
      <c r="AE231" s="808"/>
      <c r="AF231" s="808"/>
      <c r="AG231" s="808"/>
      <c r="AH231" s="808"/>
      <c r="AI231" s="808"/>
      <c r="AJ231" s="808"/>
      <c r="AK231" s="461"/>
      <c r="AL231" s="461"/>
      <c r="AM231" s="461"/>
      <c r="AN231" s="808"/>
      <c r="AO231" s="808"/>
      <c r="AP231" s="808"/>
      <c r="AQ231" s="2038"/>
      <c r="AR231" s="2038"/>
      <c r="AS231" s="2038"/>
      <c r="AT231" s="2038"/>
      <c r="AU231" s="2038"/>
      <c r="AV231" s="2038"/>
      <c r="AW231" s="2038"/>
      <c r="AX231" s="2038"/>
      <c r="AY231" s="2038"/>
      <c r="AZ231" s="2038"/>
      <c r="BA231" s="39"/>
      <c r="BB231" s="39"/>
    </row>
    <row r="232" spans="1:54" s="2690" customFormat="1" ht="15.75" thickBot="1">
      <c r="A232" s="461"/>
      <c r="B232" s="896"/>
      <c r="C232" s="896"/>
      <c r="D232" s="2122" t="s">
        <v>4803</v>
      </c>
      <c r="E232" s="2122"/>
      <c r="F232" s="2122"/>
      <c r="G232" s="896"/>
      <c r="H232" s="896"/>
      <c r="I232" s="896"/>
      <c r="J232" s="896"/>
      <c r="K232" s="896"/>
      <c r="L232" s="896"/>
      <c r="M232" s="896"/>
      <c r="N232" s="896"/>
      <c r="O232" s="896"/>
      <c r="P232" s="896"/>
      <c r="Q232" s="896"/>
      <c r="R232" s="896"/>
      <c r="S232" s="896"/>
      <c r="T232" s="896"/>
      <c r="U232" s="896"/>
      <c r="V232" s="896"/>
      <c r="W232" s="896"/>
      <c r="X232" s="896"/>
      <c r="Y232" s="896"/>
      <c r="Z232" s="896"/>
      <c r="AA232" s="896"/>
      <c r="AB232" s="896"/>
      <c r="AC232" s="2629" t="s">
        <v>4799</v>
      </c>
      <c r="AD232" s="3516">
        <v>31</v>
      </c>
      <c r="AE232" s="9592" t="str">
        <f>IF(AO232&lt;&gt;"",ROUND(AO232,0),IF(OR(AH224,AY219=""),"",AY219))</f>
        <v/>
      </c>
      <c r="AF232" s="9874"/>
      <c r="AG232" s="9874"/>
      <c r="AH232" s="9874"/>
      <c r="AI232" s="9874"/>
      <c r="AJ232" s="9874"/>
      <c r="AK232" s="461"/>
      <c r="AL232" s="461"/>
      <c r="AM232" s="461"/>
      <c r="AN232" s="808"/>
      <c r="AO232" s="3521"/>
      <c r="AP232" s="808"/>
      <c r="AQ232" s="2038"/>
      <c r="AR232" s="2038"/>
      <c r="AS232" s="2038"/>
      <c r="AT232" s="2038"/>
      <c r="AU232" s="2038"/>
      <c r="AV232" s="2038"/>
      <c r="AW232" s="2038"/>
      <c r="AX232" s="2038"/>
      <c r="AY232" s="2038"/>
      <c r="AZ232" s="2038"/>
      <c r="BA232" s="39"/>
      <c r="BB232" s="39"/>
    </row>
    <row r="233" spans="1:54" s="2690" customFormat="1" ht="15.75">
      <c r="A233" s="461"/>
      <c r="B233" s="1262"/>
      <c r="C233" s="61"/>
      <c r="D233" s="61"/>
      <c r="E233" s="61"/>
      <c r="F233" s="61"/>
      <c r="G233" s="61"/>
      <c r="H233" s="61"/>
      <c r="I233" s="61"/>
      <c r="J233" s="61"/>
      <c r="K233" s="61"/>
      <c r="L233" s="61"/>
      <c r="M233" s="61"/>
      <c r="N233" s="61"/>
      <c r="O233" s="61"/>
      <c r="P233" s="61"/>
      <c r="Q233" s="22"/>
      <c r="R233" s="22"/>
      <c r="S233" s="22"/>
      <c r="T233" s="22"/>
      <c r="U233" s="337"/>
      <c r="V233" s="22"/>
      <c r="W233" s="337"/>
      <c r="X233" s="22"/>
      <c r="Y233" s="22"/>
      <c r="Z233" s="22"/>
      <c r="AA233" s="22"/>
      <c r="AB233" s="22"/>
      <c r="AC233" s="22"/>
      <c r="AD233" s="22"/>
      <c r="AE233" s="22"/>
      <c r="AF233" s="22"/>
      <c r="AG233" s="22"/>
      <c r="AH233" s="705" t="s">
        <v>4753</v>
      </c>
      <c r="AI233" s="22"/>
      <c r="AJ233" s="705" t="str">
        <f>"("&amp;TaxYear&amp;")"</f>
        <v>(2023)</v>
      </c>
      <c r="AK233" s="461"/>
      <c r="AL233" s="461"/>
      <c r="AM233" s="461"/>
      <c r="AN233" s="1461"/>
      <c r="AO233" s="1461"/>
      <c r="AP233" s="808"/>
      <c r="AQ233" s="2038"/>
      <c r="AR233" s="2038"/>
      <c r="AS233" s="2038"/>
      <c r="AT233" s="2038"/>
      <c r="AU233" s="2038"/>
      <c r="AV233" s="2038"/>
      <c r="AW233" s="2038"/>
      <c r="AX233" s="2038"/>
      <c r="AY233" s="2038"/>
      <c r="AZ233" s="2038"/>
      <c r="BA233" s="39"/>
      <c r="BB233" s="39"/>
    </row>
    <row r="234" spans="1:54" s="2690" customFormat="1" ht="18" customHeight="1" thickBot="1">
      <c r="A234" s="461"/>
      <c r="B234" s="964" t="str">
        <f>"Form 8863 ("&amp;TaxYear&amp;")"</f>
        <v>Form 8863 (2023)</v>
      </c>
      <c r="C234" s="964"/>
      <c r="D234" s="964"/>
      <c r="E234" s="964"/>
      <c r="F234" s="964"/>
      <c r="G234" s="964"/>
      <c r="H234" s="964"/>
      <c r="I234" s="964"/>
      <c r="J234" s="964"/>
      <c r="K234" s="964"/>
      <c r="L234" s="964"/>
      <c r="M234" s="964"/>
      <c r="N234" s="964"/>
      <c r="O234" s="964"/>
      <c r="P234" s="964"/>
      <c r="Q234" s="964"/>
      <c r="R234" s="964"/>
      <c r="S234" s="964"/>
      <c r="T234" s="964"/>
      <c r="U234" s="964"/>
      <c r="V234" s="964"/>
      <c r="W234" s="964"/>
      <c r="X234" s="964"/>
      <c r="Y234" s="964"/>
      <c r="Z234" s="964"/>
      <c r="AA234" s="964"/>
      <c r="AB234" s="964"/>
      <c r="AC234" s="964"/>
      <c r="AD234" s="964"/>
      <c r="AE234" s="964"/>
      <c r="AF234" s="964"/>
      <c r="AG234" s="964"/>
      <c r="AH234" s="964"/>
      <c r="AI234" s="1368" t="s">
        <v>2387</v>
      </c>
      <c r="AJ234" s="1369">
        <v>2</v>
      </c>
      <c r="AK234" s="461"/>
      <c r="AL234" s="461"/>
      <c r="AM234" s="461"/>
      <c r="AN234" s="808"/>
      <c r="AO234" s="808"/>
      <c r="AP234" s="808"/>
      <c r="AQ234" s="2038"/>
      <c r="AR234" s="2038"/>
      <c r="AS234" s="2038"/>
      <c r="AT234" s="2038"/>
      <c r="AU234" s="2038"/>
      <c r="AV234" s="2038"/>
      <c r="AW234" s="2038"/>
      <c r="AX234" s="2038"/>
      <c r="AY234" s="2038"/>
      <c r="AZ234" s="2038"/>
      <c r="BA234" s="39"/>
      <c r="BB234" s="39"/>
    </row>
    <row r="235" spans="1:54" s="2690" customFormat="1" ht="16.5" customHeight="1" thickTop="1">
      <c r="A235" s="461"/>
      <c r="B235" s="3504" t="s">
        <v>2208</v>
      </c>
      <c r="C235" s="1121"/>
      <c r="D235" s="1121"/>
      <c r="E235" s="1121"/>
      <c r="F235" s="1121"/>
      <c r="G235" s="1121"/>
      <c r="H235" s="1121"/>
      <c r="I235" s="1121"/>
      <c r="J235" s="1121"/>
      <c r="K235" s="1121"/>
      <c r="L235" s="1121"/>
      <c r="M235" s="1121"/>
      <c r="N235" s="1121"/>
      <c r="O235" s="1121"/>
      <c r="P235" s="1121"/>
      <c r="Q235" s="1121"/>
      <c r="R235" s="1121"/>
      <c r="S235" s="1121"/>
      <c r="T235" s="1121"/>
      <c r="U235" s="1121"/>
      <c r="V235" s="1121"/>
      <c r="W235" s="1121"/>
      <c r="X235" s="1121"/>
      <c r="Y235" s="1121"/>
      <c r="Z235" s="1121"/>
      <c r="AA235" s="1121"/>
      <c r="AB235" s="1121"/>
      <c r="AC235" s="9877" t="s">
        <v>586</v>
      </c>
      <c r="AD235" s="9878"/>
      <c r="AE235" s="9878"/>
      <c r="AF235" s="9878"/>
      <c r="AG235" s="9878"/>
      <c r="AH235" s="9878"/>
      <c r="AI235" s="9878"/>
      <c r="AJ235" s="9878"/>
      <c r="AK235" s="461"/>
      <c r="AL235" s="461"/>
      <c r="AM235" s="461"/>
      <c r="AN235" s="808"/>
      <c r="AO235" s="808"/>
      <c r="AP235" s="808"/>
      <c r="AQ235" s="2038"/>
      <c r="AR235" s="2038"/>
      <c r="AS235" s="2038"/>
      <c r="AT235" s="2038"/>
      <c r="AU235" s="2038"/>
      <c r="AV235" s="2038"/>
      <c r="AW235" s="2038"/>
      <c r="AX235" s="2038"/>
      <c r="AY235" s="2038"/>
      <c r="AZ235" s="2038"/>
      <c r="BA235" s="39"/>
      <c r="BB235" s="39"/>
    </row>
    <row r="236" spans="1:54" s="2690" customFormat="1" ht="21.75" customHeight="1">
      <c r="A236" s="461"/>
      <c r="B236" s="9879" t="str">
        <f>Names</f>
        <v/>
      </c>
      <c r="C236" s="9880"/>
      <c r="D236" s="9880"/>
      <c r="E236" s="9880"/>
      <c r="F236" s="9880"/>
      <c r="G236" s="9880"/>
      <c r="H236" s="9880"/>
      <c r="I236" s="9880"/>
      <c r="J236" s="9880"/>
      <c r="K236" s="9880"/>
      <c r="L236" s="9880"/>
      <c r="M236" s="9880"/>
      <c r="N236" s="9880"/>
      <c r="O236" s="9880"/>
      <c r="P236" s="9880"/>
      <c r="Q236" s="9880"/>
      <c r="R236" s="9880"/>
      <c r="S236" s="9880"/>
      <c r="T236" s="9880"/>
      <c r="U236" s="9880"/>
      <c r="V236" s="9880"/>
      <c r="W236" s="9880"/>
      <c r="X236" s="9880"/>
      <c r="Y236" s="9880"/>
      <c r="Z236" s="9880"/>
      <c r="AA236" s="9880"/>
      <c r="AB236" s="9881"/>
      <c r="AC236" s="9882">
        <f>IF(OR(NoSSN,SS_Yours=""),"",SS_Yours)</f>
        <v>1010001</v>
      </c>
      <c r="AD236" s="9883"/>
      <c r="AE236" s="9883"/>
      <c r="AF236" s="9883"/>
      <c r="AG236" s="9883"/>
      <c r="AH236" s="9883"/>
      <c r="AI236" s="9883"/>
      <c r="AJ236" s="9883"/>
      <c r="AK236" s="461"/>
      <c r="AL236" s="461"/>
      <c r="AM236" s="461"/>
      <c r="AN236" s="808"/>
      <c r="AO236" s="808"/>
      <c r="AP236" s="808"/>
      <c r="AQ236" s="2038"/>
      <c r="AR236" s="2038"/>
      <c r="AS236" s="2038"/>
      <c r="AT236" s="2038"/>
      <c r="AU236" s="2038"/>
      <c r="AV236" s="2038"/>
      <c r="AW236" s="2038"/>
      <c r="AX236" s="2038"/>
      <c r="AY236" s="2038"/>
      <c r="AZ236" s="2038"/>
      <c r="BA236" s="39"/>
      <c r="BB236" s="39"/>
    </row>
    <row r="237" spans="1:54" s="2690" customFormat="1" ht="5.25" customHeight="1">
      <c r="A237" s="461"/>
      <c r="B237" s="3517"/>
      <c r="C237" s="3517"/>
      <c r="D237" s="3517" t="s">
        <v>4449</v>
      </c>
      <c r="E237" s="3517"/>
      <c r="F237" s="3517"/>
      <c r="G237" s="3517"/>
      <c r="H237" s="3517"/>
      <c r="I237" s="3517"/>
      <c r="J237" s="3517"/>
      <c r="K237" s="3517"/>
      <c r="L237" s="3517"/>
      <c r="M237" s="3517"/>
      <c r="N237" s="3517"/>
      <c r="O237" s="3517"/>
      <c r="P237" s="3517"/>
      <c r="Q237" s="3517"/>
      <c r="R237" s="3517"/>
      <c r="S237" s="3517"/>
      <c r="T237" s="3517"/>
      <c r="U237" s="3517"/>
      <c r="V237" s="3517"/>
      <c r="W237" s="3517"/>
      <c r="X237" s="3517"/>
      <c r="Y237" s="3517"/>
      <c r="Z237" s="3517"/>
      <c r="AA237" s="3517"/>
      <c r="AB237" s="3517"/>
      <c r="AC237" s="3517"/>
      <c r="AD237" s="3517"/>
      <c r="AE237" s="3517"/>
      <c r="AF237" s="3517"/>
      <c r="AG237" s="3517"/>
      <c r="AH237" s="3517"/>
      <c r="AI237" s="3517"/>
      <c r="AJ237" s="3517"/>
      <c r="AK237" s="461"/>
      <c r="AL237" s="461"/>
      <c r="AM237" s="461"/>
      <c r="AN237" s="808"/>
      <c r="AO237" s="808"/>
      <c r="AP237" s="808"/>
      <c r="AQ237" s="2038"/>
      <c r="AR237" s="2038"/>
      <c r="AS237" s="2038"/>
      <c r="AT237" s="2038"/>
      <c r="AU237" s="2038"/>
      <c r="AV237" s="2038"/>
      <c r="AW237" s="2038"/>
      <c r="AX237" s="2038"/>
      <c r="AY237" s="2038"/>
      <c r="AZ237" s="2038"/>
      <c r="BA237" s="39"/>
      <c r="BB237" s="39"/>
    </row>
    <row r="238" spans="1:54" s="3525" customFormat="1" ht="15.75" customHeight="1">
      <c r="A238" s="3497"/>
      <c r="B238" s="3518"/>
      <c r="C238" s="3518"/>
      <c r="D238" s="9896" t="s">
        <v>4754</v>
      </c>
      <c r="E238" s="9897"/>
      <c r="F238" s="9897"/>
      <c r="G238" s="9897"/>
      <c r="H238" s="9897"/>
      <c r="I238" s="9897"/>
      <c r="J238" s="9897"/>
      <c r="K238" s="9897"/>
      <c r="L238" s="9897"/>
      <c r="M238" s="9897"/>
      <c r="N238" s="9897"/>
      <c r="O238" s="9897"/>
      <c r="P238" s="9897"/>
      <c r="Q238" s="9897"/>
      <c r="R238" s="9897"/>
      <c r="S238" s="9897"/>
      <c r="T238" s="9897"/>
      <c r="U238" s="9897"/>
      <c r="V238" s="9897"/>
      <c r="W238" s="9897"/>
      <c r="X238" s="9897"/>
      <c r="Y238" s="9897"/>
      <c r="Z238" s="9897"/>
      <c r="AA238" s="9897"/>
      <c r="AB238" s="9897"/>
      <c r="AC238" s="9897"/>
      <c r="AD238" s="9897"/>
      <c r="AE238" s="9897"/>
      <c r="AF238" s="9897"/>
      <c r="AG238" s="9897"/>
      <c r="AH238" s="9897"/>
      <c r="AI238" s="9897"/>
      <c r="AJ238" s="9897"/>
      <c r="AK238" s="3497"/>
      <c r="AL238" s="3497"/>
      <c r="AM238" s="3497"/>
      <c r="AN238" s="3498"/>
      <c r="AO238" s="3498"/>
      <c r="AP238" s="1573"/>
      <c r="AQ238" s="3524"/>
      <c r="AR238" s="3524"/>
      <c r="AS238" s="3524"/>
      <c r="AT238" s="3524"/>
      <c r="AU238" s="3524"/>
      <c r="AV238" s="3524"/>
      <c r="AW238" s="3524"/>
      <c r="AX238" s="3524"/>
      <c r="AY238" s="3524"/>
      <c r="AZ238" s="3524"/>
      <c r="BA238" s="3499"/>
      <c r="BB238" s="3499"/>
    </row>
    <row r="239" spans="1:54" s="3525" customFormat="1" ht="15.75" customHeight="1">
      <c r="A239" s="3497"/>
      <c r="B239" s="3518"/>
      <c r="C239" s="3518"/>
      <c r="D239" s="9897"/>
      <c r="E239" s="9897"/>
      <c r="F239" s="9897"/>
      <c r="G239" s="9897"/>
      <c r="H239" s="9897"/>
      <c r="I239" s="9897"/>
      <c r="J239" s="9897"/>
      <c r="K239" s="9897"/>
      <c r="L239" s="9897"/>
      <c r="M239" s="9897"/>
      <c r="N239" s="9897"/>
      <c r="O239" s="9897"/>
      <c r="P239" s="9897"/>
      <c r="Q239" s="9897"/>
      <c r="R239" s="9897"/>
      <c r="S239" s="9897"/>
      <c r="T239" s="9897"/>
      <c r="U239" s="9897"/>
      <c r="V239" s="9897"/>
      <c r="W239" s="9897"/>
      <c r="X239" s="9897"/>
      <c r="Y239" s="9897"/>
      <c r="Z239" s="9897"/>
      <c r="AA239" s="9897"/>
      <c r="AB239" s="9897"/>
      <c r="AC239" s="9897"/>
      <c r="AD239" s="9897"/>
      <c r="AE239" s="9897"/>
      <c r="AF239" s="9897"/>
      <c r="AG239" s="9897"/>
      <c r="AH239" s="9897"/>
      <c r="AI239" s="9897"/>
      <c r="AJ239" s="9897"/>
      <c r="AK239" s="3497"/>
      <c r="AL239" s="3497"/>
      <c r="AM239" s="3497"/>
      <c r="AN239" s="3498"/>
      <c r="AO239" s="3498"/>
      <c r="AP239" s="1573"/>
      <c r="AQ239" s="3524"/>
      <c r="AR239" s="3524"/>
      <c r="AS239" s="3524"/>
      <c r="AT239" s="3524"/>
      <c r="AU239" s="3524"/>
      <c r="AV239" s="3524"/>
      <c r="AW239" s="3524"/>
      <c r="AX239" s="3524"/>
      <c r="AY239" s="3524"/>
      <c r="AZ239" s="3524"/>
      <c r="BA239" s="3499"/>
      <c r="BB239" s="3499"/>
    </row>
    <row r="240" spans="1:54" s="3525" customFormat="1" ht="15.75" customHeight="1">
      <c r="A240" s="3497"/>
      <c r="B240" s="3518"/>
      <c r="C240" s="3518"/>
      <c r="D240" s="9897"/>
      <c r="E240" s="9897"/>
      <c r="F240" s="9897"/>
      <c r="G240" s="9897"/>
      <c r="H240" s="9897"/>
      <c r="I240" s="9897"/>
      <c r="J240" s="9897"/>
      <c r="K240" s="9897"/>
      <c r="L240" s="9897"/>
      <c r="M240" s="9897"/>
      <c r="N240" s="9897"/>
      <c r="O240" s="9897"/>
      <c r="P240" s="9897"/>
      <c r="Q240" s="9897"/>
      <c r="R240" s="9897"/>
      <c r="S240" s="9897"/>
      <c r="T240" s="9897"/>
      <c r="U240" s="9897"/>
      <c r="V240" s="9897"/>
      <c r="W240" s="9897"/>
      <c r="X240" s="9897"/>
      <c r="Y240" s="9897"/>
      <c r="Z240" s="9897"/>
      <c r="AA240" s="9897"/>
      <c r="AB240" s="9897"/>
      <c r="AC240" s="9897"/>
      <c r="AD240" s="9897"/>
      <c r="AE240" s="9897"/>
      <c r="AF240" s="9897"/>
      <c r="AG240" s="9897"/>
      <c r="AH240" s="9897"/>
      <c r="AI240" s="9897"/>
      <c r="AJ240" s="9897"/>
      <c r="AK240" s="3497"/>
      <c r="AL240" s="3497"/>
      <c r="AM240" s="3497"/>
      <c r="AN240" s="3498"/>
      <c r="AO240" s="3498"/>
      <c r="AP240" s="1573"/>
      <c r="AQ240" s="3524"/>
      <c r="AR240" s="3524"/>
      <c r="AS240" s="3524"/>
      <c r="AT240" s="3524"/>
      <c r="AU240" s="3524"/>
      <c r="AV240" s="3524"/>
      <c r="AW240" s="3524"/>
      <c r="AX240" s="3524"/>
      <c r="AY240" s="3524"/>
      <c r="AZ240" s="3524"/>
      <c r="BA240" s="3499"/>
      <c r="BB240" s="3499"/>
    </row>
    <row r="241" spans="1:54" s="2690" customFormat="1" ht="6" customHeight="1">
      <c r="A241" s="461"/>
      <c r="B241" s="3519"/>
      <c r="C241" s="3519"/>
      <c r="D241" s="3519"/>
      <c r="E241" s="3519"/>
      <c r="F241" s="3519"/>
      <c r="G241" s="3519"/>
      <c r="H241" s="3519"/>
      <c r="I241" s="3519"/>
      <c r="J241" s="3519"/>
      <c r="K241" s="3519"/>
      <c r="L241" s="3519"/>
      <c r="M241" s="3519"/>
      <c r="N241" s="3519"/>
      <c r="O241" s="3519"/>
      <c r="P241" s="3519"/>
      <c r="Q241" s="3519"/>
      <c r="R241" s="3519"/>
      <c r="S241" s="3519"/>
      <c r="T241" s="3519"/>
      <c r="U241" s="3519"/>
      <c r="V241" s="3519"/>
      <c r="W241" s="3519"/>
      <c r="X241" s="3519"/>
      <c r="Y241" s="3519"/>
      <c r="Z241" s="3519"/>
      <c r="AA241" s="3519"/>
      <c r="AB241" s="3519"/>
      <c r="AC241" s="3519"/>
      <c r="AD241" s="3519"/>
      <c r="AE241" s="3519"/>
      <c r="AF241" s="3519"/>
      <c r="AG241" s="3519"/>
      <c r="AH241" s="3519"/>
      <c r="AI241" s="3519"/>
      <c r="AJ241" s="3519"/>
      <c r="AK241" s="461"/>
      <c r="AL241" s="461"/>
      <c r="AM241" s="461"/>
      <c r="AN241" s="808"/>
      <c r="AO241" s="808"/>
      <c r="AP241" s="808"/>
      <c r="AQ241" s="2038"/>
      <c r="AR241" s="2038"/>
      <c r="AS241" s="2038"/>
      <c r="AT241" s="2038"/>
      <c r="AU241" s="2038"/>
      <c r="AV241" s="2038"/>
      <c r="AW241" s="2038"/>
      <c r="AX241" s="2038"/>
      <c r="AY241" s="2038"/>
      <c r="AZ241" s="2038"/>
      <c r="BA241" s="39"/>
      <c r="BB241" s="39"/>
    </row>
    <row r="242" spans="1:54" s="2690" customFormat="1" ht="19.5" customHeight="1">
      <c r="A242" s="461"/>
      <c r="B242" s="6909" t="s">
        <v>2243</v>
      </c>
      <c r="C242" s="6909"/>
      <c r="D242" s="1139"/>
      <c r="E242" s="3849" t="s">
        <v>4755</v>
      </c>
      <c r="F242" s="1121"/>
      <c r="G242" s="1121"/>
      <c r="H242" s="1121"/>
      <c r="I242" s="1121"/>
      <c r="J242" s="1121"/>
      <c r="K242" s="1121"/>
      <c r="L242" s="1121"/>
      <c r="M242" s="1121"/>
      <c r="N242" s="1121"/>
      <c r="O242" s="1121"/>
      <c r="P242" s="1121"/>
      <c r="Q242" s="1121"/>
      <c r="R242" s="1121"/>
      <c r="S242" s="1121"/>
      <c r="T242" s="1121"/>
      <c r="U242" s="1121"/>
      <c r="V242" s="1121"/>
      <c r="W242" s="1121"/>
      <c r="X242" s="1121"/>
      <c r="Y242" s="1121"/>
      <c r="Z242" s="1121"/>
      <c r="AA242" s="1121"/>
      <c r="AB242" s="1121"/>
      <c r="AC242" s="1121"/>
      <c r="AD242" s="1121"/>
      <c r="AE242" s="1121"/>
      <c r="AF242" s="1121"/>
      <c r="AG242" s="1121"/>
      <c r="AH242" s="1121"/>
      <c r="AI242" s="1121"/>
      <c r="AJ242" s="1121"/>
      <c r="AK242" s="461"/>
      <c r="AL242" s="461"/>
      <c r="AM242" s="461"/>
      <c r="AN242" s="808"/>
      <c r="AO242" s="808"/>
      <c r="AP242" s="808"/>
      <c r="AQ242" s="2038"/>
      <c r="AR242" s="2038"/>
      <c r="AS242" s="2038"/>
      <c r="AT242" s="2038"/>
      <c r="AU242" s="2038"/>
      <c r="AV242" s="2038"/>
      <c r="AW242" s="2038"/>
      <c r="AX242" s="2038"/>
      <c r="AY242" s="2038"/>
      <c r="AZ242" s="2038"/>
      <c r="BA242" s="39"/>
      <c r="BB242" s="39"/>
    </row>
    <row r="243" spans="1:54" s="2690" customFormat="1" ht="16.5" customHeight="1">
      <c r="A243" s="461"/>
      <c r="B243" s="1127" t="s">
        <v>297</v>
      </c>
      <c r="C243" s="808"/>
      <c r="D243" s="3505" t="s">
        <v>4756</v>
      </c>
      <c r="E243" s="1142"/>
      <c r="F243" s="1142"/>
      <c r="G243" s="1142"/>
      <c r="H243" s="1142"/>
      <c r="I243" s="1142"/>
      <c r="J243" s="1142"/>
      <c r="K243" s="1142"/>
      <c r="L243" s="1142"/>
      <c r="M243" s="1143"/>
      <c r="N243" s="1144"/>
      <c r="O243" s="1259"/>
      <c r="P243" s="1142"/>
      <c r="Q243" s="1142"/>
      <c r="R243" s="1259"/>
      <c r="S243" s="1259"/>
      <c r="T243" s="1144">
        <v>21</v>
      </c>
      <c r="U243" s="3505" t="s">
        <v>4757</v>
      </c>
      <c r="V243" s="1259"/>
      <c r="W243" s="1259"/>
      <c r="X243" s="1259"/>
      <c r="Y243" s="1259"/>
      <c r="Z243" s="1259"/>
      <c r="AA243" s="1259"/>
      <c r="AB243" s="3507"/>
      <c r="AC243" s="1259"/>
      <c r="AD243" s="1259"/>
      <c r="AE243" s="1259"/>
      <c r="AF243" s="1259"/>
      <c r="AG243" s="1142"/>
      <c r="AH243" s="1259"/>
      <c r="AI243" s="1259"/>
      <c r="AJ243" s="1259"/>
      <c r="AK243" s="461"/>
      <c r="AL243" s="461"/>
      <c r="AM243" s="461"/>
      <c r="AN243" s="808"/>
      <c r="AO243" s="808"/>
      <c r="AP243" s="808"/>
      <c r="AQ243" s="2038"/>
      <c r="AR243" s="2038"/>
      <c r="AS243" s="2038"/>
      <c r="AT243" s="2038"/>
      <c r="AU243" s="2038"/>
      <c r="AV243" s="2038"/>
      <c r="AW243" s="2038"/>
      <c r="AX243" s="2038"/>
      <c r="AY243" s="2038"/>
      <c r="AZ243" s="2038"/>
      <c r="BA243" s="39"/>
      <c r="BB243" s="39"/>
    </row>
    <row r="244" spans="1:54" s="2690" customFormat="1" ht="15">
      <c r="A244" s="461"/>
      <c r="B244" s="1127"/>
      <c r="C244" s="808"/>
      <c r="D244" s="9889"/>
      <c r="E244" s="9889"/>
      <c r="F244" s="9889"/>
      <c r="G244" s="9889"/>
      <c r="H244" s="9889"/>
      <c r="I244" s="9889"/>
      <c r="J244" s="9889"/>
      <c r="K244" s="9889"/>
      <c r="L244" s="9889"/>
      <c r="M244" s="9889"/>
      <c r="N244" s="9889"/>
      <c r="O244" s="9889"/>
      <c r="P244" s="9889"/>
      <c r="Q244" s="9889"/>
      <c r="R244" s="9889"/>
      <c r="S244" s="9890"/>
      <c r="T244" s="3585"/>
      <c r="U244" s="2447" t="s">
        <v>4758</v>
      </c>
      <c r="V244" s="3586"/>
      <c r="W244" s="3586"/>
      <c r="X244" s="3586"/>
      <c r="Y244" s="3586"/>
      <c r="Z244" s="3586"/>
      <c r="AA244" s="3586"/>
      <c r="AB244" s="3586"/>
      <c r="AC244" s="3586"/>
      <c r="AD244" s="3586"/>
      <c r="AE244" s="3586"/>
      <c r="AF244" s="3586"/>
      <c r="AG244" s="3586"/>
      <c r="AH244" s="3586"/>
      <c r="AI244" s="3586"/>
      <c r="AJ244" s="3586"/>
      <c r="AK244" s="461"/>
      <c r="AL244" s="461"/>
      <c r="AM244" s="461"/>
      <c r="AN244" s="808"/>
      <c r="AO244" s="808"/>
      <c r="AP244" s="808"/>
      <c r="AQ244" s="2038"/>
      <c r="AR244" s="2038"/>
      <c r="AS244" s="2038"/>
      <c r="AT244" s="2038"/>
      <c r="AU244" s="2038"/>
      <c r="AV244" s="2038"/>
      <c r="AW244" s="2038"/>
      <c r="AX244" s="2038"/>
      <c r="AY244" s="2038"/>
      <c r="AZ244" s="2038"/>
      <c r="BA244" s="39"/>
      <c r="BB244" s="39"/>
    </row>
    <row r="245" spans="1:54" s="2690" customFormat="1" ht="18" customHeight="1">
      <c r="A245" s="461"/>
      <c r="B245" s="1127"/>
      <c r="C245" s="808"/>
      <c r="D245" s="9891"/>
      <c r="E245" s="9891"/>
      <c r="F245" s="9891"/>
      <c r="G245" s="9891"/>
      <c r="H245" s="9891"/>
      <c r="I245" s="9891"/>
      <c r="J245" s="9891"/>
      <c r="K245" s="9891"/>
      <c r="L245" s="9891"/>
      <c r="M245" s="9891"/>
      <c r="N245" s="9891"/>
      <c r="O245" s="9891"/>
      <c r="P245" s="9891"/>
      <c r="Q245" s="9891"/>
      <c r="R245" s="9891"/>
      <c r="S245" s="9892"/>
      <c r="T245" s="3508"/>
      <c r="U245" s="9893"/>
      <c r="V245" s="9893"/>
      <c r="W245" s="9893"/>
      <c r="X245" s="9893"/>
      <c r="Y245" s="9893"/>
      <c r="Z245" s="9893"/>
      <c r="AA245" s="9893"/>
      <c r="AB245" s="9893"/>
      <c r="AC245" s="9893"/>
      <c r="AD245" s="9893"/>
      <c r="AE245" s="9893"/>
      <c r="AF245" s="9893"/>
      <c r="AG245" s="9893"/>
      <c r="AH245" s="9893"/>
      <c r="AI245" s="9893"/>
      <c r="AJ245" s="9893"/>
      <c r="AK245" s="461"/>
      <c r="AL245" s="461"/>
      <c r="AM245" s="461"/>
      <c r="AN245" s="808"/>
      <c r="AO245" s="808"/>
      <c r="AP245" s="808"/>
      <c r="AQ245" s="2038"/>
      <c r="AR245" s="2038"/>
      <c r="AS245" s="2038"/>
      <c r="AT245" s="2038"/>
      <c r="AU245" s="2038"/>
      <c r="AV245" s="2038"/>
      <c r="AW245" s="2038"/>
      <c r="AX245" s="2038"/>
      <c r="AY245" s="2038"/>
      <c r="AZ245" s="2038"/>
      <c r="BA245" s="39"/>
      <c r="BB245" s="39"/>
    </row>
    <row r="246" spans="1:54" s="2690" customFormat="1" ht="16.5" customHeight="1">
      <c r="A246" s="461"/>
      <c r="B246" s="1133">
        <v>22</v>
      </c>
      <c r="C246" s="1122"/>
      <c r="D246" s="2190" t="s">
        <v>4759</v>
      </c>
      <c r="E246" s="1121"/>
      <c r="F246" s="1121"/>
      <c r="G246" s="1121"/>
      <c r="H246" s="1121"/>
      <c r="I246" s="1121"/>
      <c r="J246" s="1121"/>
      <c r="K246" s="1121"/>
      <c r="L246" s="1121"/>
      <c r="M246" s="1121"/>
      <c r="N246" s="1121"/>
      <c r="O246" s="1121"/>
      <c r="P246" s="1121"/>
      <c r="Q246" s="1121"/>
      <c r="R246" s="1121"/>
      <c r="S246" s="1121"/>
      <c r="T246" s="1121"/>
      <c r="U246" s="1121"/>
      <c r="V246" s="1121"/>
      <c r="W246" s="1121"/>
      <c r="X246" s="1121"/>
      <c r="Y246" s="1121"/>
      <c r="Z246" s="1121"/>
      <c r="AA246" s="1121"/>
      <c r="AB246" s="1121"/>
      <c r="AC246" s="1121"/>
      <c r="AD246" s="1121"/>
      <c r="AE246" s="1121"/>
      <c r="AF246" s="1121"/>
      <c r="AG246" s="1121"/>
      <c r="AH246" s="1121"/>
      <c r="AI246" s="1121"/>
      <c r="AJ246" s="1121"/>
      <c r="AK246" s="461"/>
      <c r="AL246" s="461"/>
      <c r="AM246" s="461"/>
      <c r="AN246" s="808"/>
      <c r="AO246" s="808"/>
      <c r="AP246" s="808"/>
      <c r="AQ246" s="2038"/>
      <c r="AR246" s="2038"/>
      <c r="AS246" s="2038"/>
      <c r="AT246" s="2038"/>
      <c r="AU246" s="2038"/>
      <c r="AV246" s="2038"/>
      <c r="AW246" s="2038"/>
      <c r="AX246" s="2038"/>
      <c r="AY246" s="2038"/>
      <c r="AZ246" s="2038"/>
      <c r="BA246" s="39"/>
      <c r="BB246" s="39"/>
    </row>
    <row r="247" spans="1:54" s="2690" customFormat="1" ht="16.5" customHeight="1">
      <c r="A247" s="461"/>
      <c r="B247" s="1127"/>
      <c r="C247" s="808"/>
      <c r="D247" s="1141" t="s">
        <v>1404</v>
      </c>
      <c r="E247" s="1259" t="s">
        <v>4760</v>
      </c>
      <c r="F247" s="1142"/>
      <c r="G247" s="1142"/>
      <c r="H247" s="1142"/>
      <c r="I247" s="1142"/>
      <c r="J247" s="1142"/>
      <c r="K247" s="1142"/>
      <c r="L247" s="1142"/>
      <c r="M247" s="1142"/>
      <c r="N247" s="1141"/>
      <c r="O247" s="1259"/>
      <c r="P247" s="1142"/>
      <c r="Q247" s="1142"/>
      <c r="R247" s="1259"/>
      <c r="S247" s="3506"/>
      <c r="T247" s="1144"/>
      <c r="U247" s="1141" t="s">
        <v>1363</v>
      </c>
      <c r="V247" s="1259" t="s">
        <v>4761</v>
      </c>
      <c r="W247" s="1259"/>
      <c r="X247" s="1259"/>
      <c r="Y247" s="1259"/>
      <c r="Z247" s="1259"/>
      <c r="AA247" s="1259"/>
      <c r="AB247" s="3507"/>
      <c r="AC247" s="1259"/>
      <c r="AD247" s="1259"/>
      <c r="AE247" s="1259"/>
      <c r="AF247" s="1142"/>
      <c r="AG247" s="1259"/>
      <c r="AH247" s="1259"/>
      <c r="AI247" s="1259"/>
      <c r="AJ247" s="1259"/>
      <c r="AK247" s="461"/>
      <c r="AL247" s="461"/>
      <c r="AM247" s="461"/>
      <c r="AN247" s="808"/>
      <c r="AO247" s="808"/>
      <c r="AP247" s="808"/>
      <c r="AQ247" s="2038"/>
      <c r="AR247" s="2038"/>
      <c r="AS247" s="2038"/>
      <c r="AT247" s="2038"/>
      <c r="AU247" s="2038"/>
      <c r="AV247" s="2038"/>
      <c r="AW247" s="2038"/>
      <c r="AX247" s="2038"/>
      <c r="AY247" s="2038"/>
      <c r="AZ247" s="2038"/>
      <c r="BA247" s="39"/>
      <c r="BB247" s="39"/>
    </row>
    <row r="248" spans="1:54" s="2690" customFormat="1" ht="18">
      <c r="A248" s="461"/>
      <c r="B248" s="1127"/>
      <c r="C248" s="39"/>
      <c r="D248" s="9894"/>
      <c r="E248" s="9894"/>
      <c r="F248" s="9894"/>
      <c r="G248" s="9894"/>
      <c r="H248" s="9894"/>
      <c r="I248" s="9894"/>
      <c r="J248" s="9894"/>
      <c r="K248" s="9894"/>
      <c r="L248" s="9894"/>
      <c r="M248" s="9894"/>
      <c r="N248" s="9894"/>
      <c r="O248" s="9894"/>
      <c r="P248" s="9894"/>
      <c r="Q248" s="9894"/>
      <c r="R248" s="9894"/>
      <c r="S248" s="9895"/>
      <c r="T248" s="9901"/>
      <c r="U248" s="9902"/>
      <c r="V248" s="9902"/>
      <c r="W248" s="9902"/>
      <c r="X248" s="9902"/>
      <c r="Y248" s="9902"/>
      <c r="Z248" s="9902"/>
      <c r="AA248" s="9902"/>
      <c r="AB248" s="9902"/>
      <c r="AC248" s="9902"/>
      <c r="AD248" s="9902"/>
      <c r="AE248" s="9902"/>
      <c r="AF248" s="9902"/>
      <c r="AG248" s="9902"/>
      <c r="AH248" s="9902"/>
      <c r="AI248" s="9902"/>
      <c r="AJ248" s="9902"/>
      <c r="AK248" s="461"/>
      <c r="AL248" s="461"/>
      <c r="AM248" s="461"/>
      <c r="AN248" s="808"/>
      <c r="AO248" s="808"/>
      <c r="AP248" s="808"/>
      <c r="AQ248" s="2038"/>
      <c r="AR248" s="2038"/>
      <c r="AS248" s="2038"/>
      <c r="AT248" s="2038"/>
      <c r="AU248" s="2038"/>
      <c r="AV248" s="2038"/>
      <c r="AW248" s="2038"/>
      <c r="AX248" s="2038"/>
      <c r="AY248" s="2038"/>
      <c r="AZ248" s="2038"/>
      <c r="BA248" s="39"/>
      <c r="BB248" s="39"/>
    </row>
    <row r="249" spans="1:54" s="2690" customFormat="1" ht="12.75" customHeight="1">
      <c r="A249" s="461"/>
      <c r="B249" s="808"/>
      <c r="C249" s="808"/>
      <c r="D249" s="3503" t="s">
        <v>4296</v>
      </c>
      <c r="E249" s="2112" t="s">
        <v>4762</v>
      </c>
      <c r="F249" s="808"/>
      <c r="G249" s="808"/>
      <c r="H249" s="808"/>
      <c r="I249" s="808"/>
      <c r="J249" s="808"/>
      <c r="K249" s="808"/>
      <c r="L249" s="808"/>
      <c r="M249" s="808"/>
      <c r="N249" s="808"/>
      <c r="O249" s="808"/>
      <c r="P249" s="808"/>
      <c r="Q249" s="808"/>
      <c r="R249" s="808"/>
      <c r="S249" s="1143"/>
      <c r="T249" s="808"/>
      <c r="U249" s="3503" t="s">
        <v>4296</v>
      </c>
      <c r="V249" s="2112" t="s">
        <v>4762</v>
      </c>
      <c r="W249" s="808"/>
      <c r="X249" s="808"/>
      <c r="Y249" s="808"/>
      <c r="Z249" s="808"/>
      <c r="AA249" s="808"/>
      <c r="AB249" s="808"/>
      <c r="AC249" s="808"/>
      <c r="AD249" s="808"/>
      <c r="AE249" s="808"/>
      <c r="AF249" s="808"/>
      <c r="AG249" s="808"/>
      <c r="AH249" s="808"/>
      <c r="AI249" s="808"/>
      <c r="AJ249" s="808"/>
      <c r="AK249" s="461"/>
      <c r="AL249" s="461"/>
      <c r="AM249" s="461"/>
      <c r="AN249" s="808"/>
      <c r="AO249" s="808"/>
      <c r="AP249" s="808"/>
      <c r="AQ249" s="2038"/>
      <c r="AR249" s="2038"/>
      <c r="AS249" s="2038"/>
      <c r="AT249" s="2038"/>
      <c r="AU249" s="2038"/>
      <c r="AV249" s="2038"/>
      <c r="AW249" s="2038"/>
      <c r="AX249" s="2038"/>
      <c r="AY249" s="2038"/>
      <c r="AZ249" s="2038"/>
      <c r="BA249" s="39"/>
      <c r="BB249" s="39"/>
    </row>
    <row r="250" spans="1:54" s="2690" customFormat="1" ht="14.25">
      <c r="A250" s="461"/>
      <c r="B250" s="808"/>
      <c r="C250" s="808"/>
      <c r="D250" s="808"/>
      <c r="E250" s="2112" t="s">
        <v>4763</v>
      </c>
      <c r="F250" s="808"/>
      <c r="G250" s="808"/>
      <c r="H250" s="808"/>
      <c r="I250" s="808"/>
      <c r="J250" s="808"/>
      <c r="K250" s="808"/>
      <c r="L250" s="808"/>
      <c r="M250" s="808"/>
      <c r="N250" s="808"/>
      <c r="O250" s="808"/>
      <c r="P250" s="808"/>
      <c r="Q250" s="808"/>
      <c r="R250" s="808"/>
      <c r="S250" s="1151"/>
      <c r="T250" s="808"/>
      <c r="U250" s="808"/>
      <c r="V250" s="2112" t="s">
        <v>4763</v>
      </c>
      <c r="W250" s="808"/>
      <c r="X250" s="808"/>
      <c r="Y250" s="808"/>
      <c r="Z250" s="808"/>
      <c r="AA250" s="808"/>
      <c r="AB250" s="808"/>
      <c r="AC250" s="808"/>
      <c r="AD250" s="808"/>
      <c r="AE250" s="808"/>
      <c r="AF250" s="808"/>
      <c r="AG250" s="808"/>
      <c r="AH250" s="808"/>
      <c r="AI250" s="808"/>
      <c r="AJ250" s="808"/>
      <c r="AK250" s="461"/>
      <c r="AL250" s="461"/>
      <c r="AM250" s="461"/>
      <c r="AN250" s="808"/>
      <c r="AO250" s="808"/>
      <c r="AP250" s="808"/>
      <c r="AQ250" s="2038"/>
      <c r="AR250" s="2038"/>
      <c r="AS250" s="2038"/>
      <c r="AT250" s="2038"/>
      <c r="AU250" s="2038"/>
      <c r="AV250" s="2038"/>
      <c r="AW250" s="2038"/>
      <c r="AX250" s="2038"/>
      <c r="AY250" s="2038"/>
      <c r="AZ250" s="2038"/>
      <c r="BA250" s="39"/>
      <c r="BB250" s="39"/>
    </row>
    <row r="251" spans="1:54" s="2690" customFormat="1" ht="14.25">
      <c r="A251" s="461"/>
      <c r="B251" s="808"/>
      <c r="C251" s="808"/>
      <c r="D251" s="808"/>
      <c r="E251" s="2112" t="s">
        <v>3264</v>
      </c>
      <c r="F251" s="808"/>
      <c r="G251" s="808"/>
      <c r="H251" s="808"/>
      <c r="I251" s="808"/>
      <c r="J251" s="808"/>
      <c r="K251" s="808"/>
      <c r="L251" s="808"/>
      <c r="M251" s="808"/>
      <c r="N251" s="808"/>
      <c r="O251" s="808"/>
      <c r="P251" s="808"/>
      <c r="Q251" s="808"/>
      <c r="R251" s="808"/>
      <c r="S251" s="1151"/>
      <c r="T251" s="808"/>
      <c r="U251" s="808"/>
      <c r="V251" s="2112" t="s">
        <v>3264</v>
      </c>
      <c r="W251" s="808"/>
      <c r="X251" s="808"/>
      <c r="Y251" s="808"/>
      <c r="Z251" s="808"/>
      <c r="AA251" s="808"/>
      <c r="AB251" s="808"/>
      <c r="AC251" s="808"/>
      <c r="AD251" s="808"/>
      <c r="AE251" s="808"/>
      <c r="AF251" s="808"/>
      <c r="AG251" s="808"/>
      <c r="AH251" s="808"/>
      <c r="AI251" s="808"/>
      <c r="AJ251" s="808"/>
      <c r="AK251" s="461"/>
      <c r="AL251" s="461"/>
      <c r="AM251" s="461"/>
      <c r="AN251" s="808"/>
      <c r="AO251" s="808"/>
      <c r="AP251" s="808"/>
      <c r="AQ251" s="2038"/>
      <c r="AR251" s="2038"/>
      <c r="AS251" s="2038"/>
      <c r="AT251" s="2038"/>
      <c r="AU251" s="2038"/>
      <c r="AV251" s="2038"/>
      <c r="AW251" s="2038"/>
      <c r="AX251" s="2038"/>
      <c r="AY251" s="2038"/>
      <c r="AZ251" s="2038"/>
      <c r="BA251" s="39"/>
      <c r="BB251" s="39"/>
    </row>
    <row r="252" spans="1:54" s="2690" customFormat="1" ht="15.75">
      <c r="A252" s="461"/>
      <c r="B252" s="1127"/>
      <c r="C252" s="39"/>
      <c r="D252" s="6651"/>
      <c r="E252" s="6651"/>
      <c r="F252" s="6651"/>
      <c r="G252" s="6651"/>
      <c r="H252" s="6651"/>
      <c r="I252" s="6651"/>
      <c r="J252" s="6651"/>
      <c r="K252" s="6651"/>
      <c r="L252" s="6651"/>
      <c r="M252" s="6651"/>
      <c r="N252" s="6651"/>
      <c r="O252" s="6651"/>
      <c r="P252" s="6651"/>
      <c r="Q252" s="6651"/>
      <c r="R252" s="6651"/>
      <c r="S252" s="9904"/>
      <c r="T252" s="9903"/>
      <c r="U252" s="6472"/>
      <c r="V252" s="6472"/>
      <c r="W252" s="6472"/>
      <c r="X252" s="6472"/>
      <c r="Y252" s="6472"/>
      <c r="Z252" s="6472"/>
      <c r="AA252" s="6472"/>
      <c r="AB252" s="6472"/>
      <c r="AC252" s="6472"/>
      <c r="AD252" s="6472"/>
      <c r="AE252" s="6472"/>
      <c r="AF252" s="6472"/>
      <c r="AG252" s="6472"/>
      <c r="AH252" s="6472"/>
      <c r="AI252" s="6472"/>
      <c r="AJ252" s="6472"/>
      <c r="AK252" s="461"/>
      <c r="AL252" s="461"/>
      <c r="AM252" s="461"/>
      <c r="AN252" s="808"/>
      <c r="AO252" s="808"/>
      <c r="AP252" s="808"/>
      <c r="AQ252" s="2038"/>
      <c r="AR252" s="2038"/>
      <c r="AS252" s="2038"/>
      <c r="AT252" s="2038"/>
      <c r="AU252" s="2038"/>
      <c r="AV252" s="2038"/>
      <c r="AW252" s="2038"/>
      <c r="AX252" s="2038"/>
      <c r="AY252" s="2038"/>
      <c r="AZ252" s="2038"/>
      <c r="BA252" s="39"/>
      <c r="BB252" s="39"/>
    </row>
    <row r="253" spans="1:54" s="2690" customFormat="1" ht="16.5" customHeight="1">
      <c r="A253" s="461"/>
      <c r="B253" s="808"/>
      <c r="C253" s="808"/>
      <c r="D253" s="3503" t="s">
        <v>4298</v>
      </c>
      <c r="E253" s="9884" t="str">
        <f>"Did the student receive Form 1098-T"&amp;CHAR(10)&amp;"from this institution for "&amp;TaxYear&amp;"?"</f>
        <v>Did the student receive Form 1098-T
from this institution for 2023?</v>
      </c>
      <c r="F253" s="9884"/>
      <c r="G253" s="9884"/>
      <c r="H253" s="9884"/>
      <c r="I253" s="9884"/>
      <c r="J253" s="9884"/>
      <c r="K253" s="9884"/>
      <c r="L253" s="9884"/>
      <c r="M253" s="9884"/>
      <c r="N253" s="9884"/>
      <c r="O253" s="808"/>
      <c r="P253" s="808"/>
      <c r="Q253" s="808"/>
      <c r="R253" s="808"/>
      <c r="S253" s="808"/>
      <c r="T253" s="1149"/>
      <c r="U253" s="3503" t="s">
        <v>4298</v>
      </c>
      <c r="V253" s="9884" t="str">
        <f>"Did the student receive Form 1098-T"&amp;CHAR(10)&amp;"from this institution for "&amp;TaxYear&amp;"?"</f>
        <v>Did the student receive Form 1098-T
from this institution for 2023?</v>
      </c>
      <c r="W253" s="9884"/>
      <c r="X253" s="9884"/>
      <c r="Y253" s="9884"/>
      <c r="Z253" s="9884"/>
      <c r="AA253" s="9884"/>
      <c r="AB253" s="9884"/>
      <c r="AC253" s="9884"/>
      <c r="AD253" s="9884"/>
      <c r="AE253" s="9884"/>
      <c r="AF253" s="808"/>
      <c r="AG253" s="808"/>
      <c r="AH253" s="808"/>
      <c r="AI253" s="808"/>
      <c r="AJ253" s="808"/>
      <c r="AK253" s="461"/>
      <c r="AL253" s="461"/>
      <c r="AM253" s="461"/>
      <c r="AN253" s="808"/>
      <c r="AO253" s="808"/>
      <c r="AP253" s="808"/>
      <c r="AQ253" s="2038"/>
      <c r="AR253" s="2038"/>
      <c r="AS253" s="2038"/>
      <c r="AT253" s="2038"/>
      <c r="AU253" s="2038"/>
      <c r="AV253" s="2038"/>
      <c r="AW253" s="2038"/>
      <c r="AX253" s="2038"/>
      <c r="AY253" s="2038"/>
      <c r="AZ253" s="2038"/>
      <c r="BA253" s="39"/>
      <c r="BB253" s="39"/>
    </row>
    <row r="254" spans="1:54" s="2690" customFormat="1" ht="14.25" customHeight="1">
      <c r="A254" s="461"/>
      <c r="B254" s="808"/>
      <c r="C254" s="808"/>
      <c r="D254" s="808"/>
      <c r="E254" s="9885"/>
      <c r="F254" s="9885"/>
      <c r="G254" s="9885"/>
      <c r="H254" s="9885"/>
      <c r="I254" s="9885"/>
      <c r="J254" s="9885"/>
      <c r="K254" s="9885"/>
      <c r="L254" s="9885"/>
      <c r="M254" s="9885"/>
      <c r="N254" s="9885"/>
      <c r="O254" s="3509"/>
      <c r="P254" s="899" t="s">
        <v>1448</v>
      </c>
      <c r="Q254" s="808"/>
      <c r="R254" s="3509"/>
      <c r="S254" s="899" t="s">
        <v>820</v>
      </c>
      <c r="T254" s="2950"/>
      <c r="U254" s="808"/>
      <c r="V254" s="9885"/>
      <c r="W254" s="9885"/>
      <c r="X254" s="9885"/>
      <c r="Y254" s="9885"/>
      <c r="Z254" s="9885"/>
      <c r="AA254" s="9885"/>
      <c r="AB254" s="9885"/>
      <c r="AC254" s="9885"/>
      <c r="AD254" s="9885"/>
      <c r="AE254" s="9885"/>
      <c r="AF254" s="3509"/>
      <c r="AG254" s="899" t="s">
        <v>1448</v>
      </c>
      <c r="AH254" s="808"/>
      <c r="AI254" s="3509"/>
      <c r="AJ254" s="899" t="s">
        <v>820</v>
      </c>
      <c r="AK254" s="461"/>
      <c r="AL254" s="461"/>
      <c r="AM254" s="461"/>
      <c r="AN254" s="808"/>
      <c r="AO254" s="808"/>
      <c r="AP254" s="808"/>
      <c r="AQ254" s="2038"/>
      <c r="AR254" s="2038"/>
      <c r="AS254" s="2038"/>
      <c r="AT254" s="2038"/>
      <c r="AU254" s="2038"/>
      <c r="AV254" s="2038"/>
      <c r="AW254" s="2038"/>
      <c r="AX254" s="2038"/>
      <c r="AY254" s="2038"/>
      <c r="AZ254" s="2038"/>
      <c r="BA254" s="39"/>
      <c r="BB254" s="39"/>
    </row>
    <row r="255" spans="1:54" s="2690" customFormat="1" ht="7.5" customHeight="1">
      <c r="A255" s="461"/>
      <c r="B255" s="1121"/>
      <c r="C255" s="1121"/>
      <c r="D255" s="1121"/>
      <c r="E255" s="9886"/>
      <c r="F255" s="9886"/>
      <c r="G255" s="9886"/>
      <c r="H255" s="9886"/>
      <c r="I255" s="9886"/>
      <c r="J255" s="9886"/>
      <c r="K255" s="9886"/>
      <c r="L255" s="9886"/>
      <c r="M255" s="9886"/>
      <c r="N255" s="9886"/>
      <c r="O255" s="1121"/>
      <c r="P255" s="1121"/>
      <c r="Q255" s="1121"/>
      <c r="R255" s="1121"/>
      <c r="S255" s="1121"/>
      <c r="T255" s="1154"/>
      <c r="U255" s="1121"/>
      <c r="V255" s="9886"/>
      <c r="W255" s="9886"/>
      <c r="X255" s="9886"/>
      <c r="Y255" s="9886"/>
      <c r="Z255" s="9886"/>
      <c r="AA255" s="9886"/>
      <c r="AB255" s="9886"/>
      <c r="AC255" s="9886"/>
      <c r="AD255" s="9886"/>
      <c r="AE255" s="9886"/>
      <c r="AF255" s="1121"/>
      <c r="AG255" s="1121"/>
      <c r="AH255" s="1121"/>
      <c r="AI255" s="1121"/>
      <c r="AJ255" s="1121"/>
      <c r="AK255" s="461"/>
      <c r="AL255" s="461"/>
      <c r="AM255" s="461"/>
      <c r="AN255" s="808"/>
      <c r="AO255" s="808"/>
      <c r="AP255" s="808"/>
      <c r="AQ255" s="2042"/>
      <c r="AR255" s="2042"/>
      <c r="AS255" s="2042"/>
      <c r="AT255" s="2042"/>
      <c r="AU255" s="2042"/>
      <c r="AV255" s="2042"/>
      <c r="AW255" s="2042"/>
      <c r="AX255" s="2042"/>
      <c r="AY255" s="2042"/>
      <c r="AZ255" s="2042"/>
      <c r="BA255" s="39"/>
      <c r="BB255" s="39"/>
    </row>
    <row r="256" spans="1:54" s="2690" customFormat="1" ht="16.5" customHeight="1">
      <c r="A256" s="461"/>
      <c r="B256" s="808"/>
      <c r="C256" s="808"/>
      <c r="D256" s="3511" t="s">
        <v>4764</v>
      </c>
      <c r="E256" s="9884" t="str">
        <f>"Did the student receive Form 1098-T"&amp;CHAR(10)&amp;"from this institution for "&amp;TaxYear-1&amp;" with box"&amp;CHAR(10)&amp;"7 checked?"</f>
        <v>Did the student receive Form 1098-T
from this institution for 2022 with box
7 checked?</v>
      </c>
      <c r="F256" s="9884"/>
      <c r="G256" s="9884"/>
      <c r="H256" s="9884"/>
      <c r="I256" s="9884"/>
      <c r="J256" s="9884"/>
      <c r="K256" s="9884"/>
      <c r="L256" s="9884"/>
      <c r="M256" s="9884"/>
      <c r="N256" s="9884"/>
      <c r="O256" s="808"/>
      <c r="P256" s="808"/>
      <c r="Q256" s="808"/>
      <c r="R256" s="808"/>
      <c r="S256" s="808"/>
      <c r="T256" s="1150"/>
      <c r="U256" s="3511" t="s">
        <v>4764</v>
      </c>
      <c r="V256" s="9884" t="str">
        <f>"Did the student receive Form 1098-T"&amp;CHAR(10)&amp;"from this institution for "&amp;TaxYear-1&amp;" with box"&amp;CHAR(10)&amp;"7 checked?"</f>
        <v>Did the student receive Form 1098-T
from this institution for 2022 with box
7 checked?</v>
      </c>
      <c r="W256" s="9884"/>
      <c r="X256" s="9884"/>
      <c r="Y256" s="9884"/>
      <c r="Z256" s="9884"/>
      <c r="AA256" s="9884"/>
      <c r="AB256" s="9884"/>
      <c r="AC256" s="9884"/>
      <c r="AD256" s="9884"/>
      <c r="AE256" s="9884"/>
      <c r="AF256" s="808"/>
      <c r="AG256" s="808"/>
      <c r="AH256" s="808"/>
      <c r="AI256" s="808"/>
      <c r="AJ256" s="808"/>
      <c r="AK256" s="461"/>
      <c r="AL256" s="461"/>
      <c r="AM256" s="461"/>
      <c r="AN256" s="808"/>
      <c r="AO256" s="808"/>
      <c r="AP256" s="808"/>
      <c r="AQ256" s="2038"/>
      <c r="AR256" s="2038"/>
      <c r="AS256" s="2038"/>
      <c r="AT256" s="2038"/>
      <c r="AU256" s="2038"/>
      <c r="AV256" s="2038"/>
      <c r="AW256" s="2038"/>
      <c r="AX256" s="2038"/>
      <c r="AY256" s="2038"/>
      <c r="AZ256" s="2038"/>
      <c r="BA256" s="39"/>
      <c r="BB256" s="39"/>
    </row>
    <row r="257" spans="1:54" s="2690" customFormat="1" ht="14.25" customHeight="1">
      <c r="A257" s="461"/>
      <c r="B257" s="808"/>
      <c r="C257" s="808"/>
      <c r="D257" s="808"/>
      <c r="E257" s="9885"/>
      <c r="F257" s="9885"/>
      <c r="G257" s="9885"/>
      <c r="H257" s="9885"/>
      <c r="I257" s="9885"/>
      <c r="J257" s="9885"/>
      <c r="K257" s="9885"/>
      <c r="L257" s="9885"/>
      <c r="M257" s="9885"/>
      <c r="N257" s="9885"/>
      <c r="O257" s="3509"/>
      <c r="P257" s="899" t="s">
        <v>1448</v>
      </c>
      <c r="Q257" s="808"/>
      <c r="R257" s="3509"/>
      <c r="S257" s="899" t="s">
        <v>820</v>
      </c>
      <c r="T257" s="2950"/>
      <c r="U257" s="808"/>
      <c r="V257" s="9885"/>
      <c r="W257" s="9885"/>
      <c r="X257" s="9885"/>
      <c r="Y257" s="9885"/>
      <c r="Z257" s="9885"/>
      <c r="AA257" s="9885"/>
      <c r="AB257" s="9885"/>
      <c r="AC257" s="9885"/>
      <c r="AD257" s="9885"/>
      <c r="AE257" s="9885"/>
      <c r="AF257" s="3509"/>
      <c r="AG257" s="899" t="s">
        <v>1448</v>
      </c>
      <c r="AH257" s="808"/>
      <c r="AI257" s="3509"/>
      <c r="AJ257" s="899" t="s">
        <v>820</v>
      </c>
      <c r="AK257" s="461"/>
      <c r="AL257" s="461"/>
      <c r="AM257" s="461"/>
      <c r="AN257" s="808"/>
      <c r="AO257" s="808"/>
      <c r="AP257" s="808"/>
      <c r="AQ257" s="2038"/>
      <c r="AR257" s="2038"/>
      <c r="AS257" s="2038"/>
      <c r="AT257" s="2038"/>
      <c r="AU257" s="2038"/>
      <c r="AV257" s="2038"/>
      <c r="AW257" s="2038"/>
      <c r="AX257" s="2038"/>
      <c r="AY257" s="2038"/>
      <c r="AZ257" s="2038"/>
      <c r="BA257" s="39"/>
      <c r="BB257" s="39"/>
    </row>
    <row r="258" spans="1:54" s="2690" customFormat="1" ht="13.5" customHeight="1">
      <c r="A258" s="461"/>
      <c r="B258" s="1121"/>
      <c r="C258" s="1121"/>
      <c r="D258" s="1121"/>
      <c r="E258" s="9886"/>
      <c r="F258" s="9886"/>
      <c r="G258" s="9886"/>
      <c r="H258" s="9886"/>
      <c r="I258" s="9886"/>
      <c r="J258" s="9886"/>
      <c r="K258" s="9886"/>
      <c r="L258" s="9886"/>
      <c r="M258" s="9886"/>
      <c r="N258" s="9886"/>
      <c r="O258" s="1121"/>
      <c r="P258" s="1121"/>
      <c r="Q258" s="1121"/>
      <c r="R258" s="1121"/>
      <c r="S258" s="1121"/>
      <c r="T258" s="1154"/>
      <c r="U258" s="1121"/>
      <c r="V258" s="9886"/>
      <c r="W258" s="9886"/>
      <c r="X258" s="9886"/>
      <c r="Y258" s="9886"/>
      <c r="Z258" s="9886"/>
      <c r="AA258" s="9886"/>
      <c r="AB258" s="9886"/>
      <c r="AC258" s="9886"/>
      <c r="AD258" s="9886"/>
      <c r="AE258" s="9886"/>
      <c r="AF258" s="1121"/>
      <c r="AG258" s="1121"/>
      <c r="AH258" s="1121"/>
      <c r="AI258" s="1121"/>
      <c r="AJ258" s="1121"/>
      <c r="AK258" s="461"/>
      <c r="AL258" s="461"/>
      <c r="AM258" s="461"/>
      <c r="AN258" s="808"/>
      <c r="AO258" s="808"/>
      <c r="AP258" s="808"/>
      <c r="AQ258" s="2038"/>
      <c r="AR258" s="2038"/>
      <c r="AS258" s="2038"/>
      <c r="AT258" s="2038"/>
      <c r="AU258" s="2038"/>
      <c r="AV258" s="2038"/>
      <c r="AW258" s="2038"/>
      <c r="AX258" s="2038"/>
      <c r="AY258" s="2038"/>
      <c r="AZ258" s="2038"/>
      <c r="BA258" s="39"/>
      <c r="BB258" s="39"/>
    </row>
    <row r="259" spans="1:54" s="2690" customFormat="1" ht="21" customHeight="1" thickBot="1">
      <c r="A259" s="461"/>
      <c r="B259" s="808"/>
      <c r="C259" s="808"/>
      <c r="D259" s="3511" t="s">
        <v>624</v>
      </c>
      <c r="E259" s="9884" t="s">
        <v>4765</v>
      </c>
      <c r="F259" s="9884"/>
      <c r="G259" s="9884"/>
      <c r="H259" s="9884"/>
      <c r="I259" s="9884"/>
      <c r="J259" s="9884"/>
      <c r="K259" s="9884"/>
      <c r="L259" s="9884"/>
      <c r="M259" s="9884"/>
      <c r="N259" s="9884"/>
      <c r="O259" s="9884"/>
      <c r="P259" s="9884"/>
      <c r="Q259" s="9884"/>
      <c r="R259" s="9884"/>
      <c r="S259" s="9887"/>
      <c r="T259" s="1150"/>
      <c r="U259" s="3511" t="s">
        <v>624</v>
      </c>
      <c r="V259" s="9884" t="s">
        <v>4765</v>
      </c>
      <c r="W259" s="9884"/>
      <c r="X259" s="9884"/>
      <c r="Y259" s="9884"/>
      <c r="Z259" s="9884"/>
      <c r="AA259" s="9884"/>
      <c r="AB259" s="9884"/>
      <c r="AC259" s="9884"/>
      <c r="AD259" s="9884"/>
      <c r="AE259" s="9884"/>
      <c r="AF259" s="9884"/>
      <c r="AG259" s="9884"/>
      <c r="AH259" s="9884"/>
      <c r="AI259" s="9884"/>
      <c r="AJ259" s="9884"/>
      <c r="AK259" s="461"/>
      <c r="AL259" s="461"/>
      <c r="AM259" s="461"/>
      <c r="AN259" s="808"/>
      <c r="AO259" s="808"/>
      <c r="AP259" s="808"/>
      <c r="AQ259" s="2038"/>
      <c r="AR259" s="2038"/>
      <c r="AS259" s="2038"/>
      <c r="AT259" s="2038"/>
      <c r="AU259" s="2038"/>
      <c r="AV259" s="2038"/>
      <c r="AW259" s="2038"/>
      <c r="AX259" s="2038"/>
      <c r="AY259" s="2038"/>
      <c r="AZ259" s="2038"/>
      <c r="BA259" s="39"/>
      <c r="BB259" s="39"/>
    </row>
    <row r="260" spans="1:54" s="2690" customFormat="1" ht="14.25" customHeight="1">
      <c r="A260" s="461"/>
      <c r="B260" s="808"/>
      <c r="C260" s="808"/>
      <c r="D260" s="808"/>
      <c r="E260" s="9885"/>
      <c r="F260" s="9885"/>
      <c r="G260" s="9885"/>
      <c r="H260" s="9885"/>
      <c r="I260" s="9885"/>
      <c r="J260" s="9885"/>
      <c r="K260" s="9885"/>
      <c r="L260" s="9885"/>
      <c r="M260" s="9885"/>
      <c r="N260" s="9885"/>
      <c r="O260" s="9885"/>
      <c r="P260" s="9885"/>
      <c r="Q260" s="9885"/>
      <c r="R260" s="9885"/>
      <c r="S260" s="9888"/>
      <c r="T260" s="2950"/>
      <c r="U260" s="808"/>
      <c r="V260" s="9885"/>
      <c r="W260" s="9885"/>
      <c r="X260" s="9885"/>
      <c r="Y260" s="9885"/>
      <c r="Z260" s="9885"/>
      <c r="AA260" s="9885"/>
      <c r="AB260" s="9885"/>
      <c r="AC260" s="9885"/>
      <c r="AD260" s="9885"/>
      <c r="AE260" s="9885"/>
      <c r="AF260" s="9885"/>
      <c r="AG260" s="9885"/>
      <c r="AH260" s="9885"/>
      <c r="AI260" s="9885"/>
      <c r="AJ260" s="9885"/>
      <c r="AK260" s="461"/>
      <c r="AL260" s="461"/>
      <c r="AM260" s="461"/>
      <c r="AN260" s="808"/>
      <c r="AO260" s="808"/>
      <c r="AP260" s="808"/>
      <c r="AQ260" s="3561" t="s">
        <v>4766</v>
      </c>
      <c r="AR260" s="3562"/>
      <c r="AS260" s="3562"/>
      <c r="AT260" s="3562"/>
      <c r="AU260" s="3562"/>
      <c r="AV260" s="3562"/>
      <c r="AW260" s="3562"/>
      <c r="AX260" s="3562"/>
      <c r="AY260" s="3562"/>
      <c r="AZ260" s="3563"/>
      <c r="BA260" s="39"/>
      <c r="BB260" s="39"/>
    </row>
    <row r="261" spans="1:54" s="2690" customFormat="1" ht="26.25" customHeight="1">
      <c r="A261" s="461"/>
      <c r="B261" s="808"/>
      <c r="C261" s="808"/>
      <c r="D261" s="808"/>
      <c r="E261" s="9885"/>
      <c r="F261" s="9885"/>
      <c r="G261" s="9885"/>
      <c r="H261" s="9885"/>
      <c r="I261" s="9885"/>
      <c r="J261" s="9885"/>
      <c r="K261" s="9885"/>
      <c r="L261" s="9885"/>
      <c r="M261" s="9885"/>
      <c r="N261" s="9885"/>
      <c r="O261" s="9885"/>
      <c r="P261" s="9885"/>
      <c r="Q261" s="9885"/>
      <c r="R261" s="9885"/>
      <c r="S261" s="9888"/>
      <c r="T261" s="1150"/>
      <c r="U261" s="808"/>
      <c r="V261" s="9885"/>
      <c r="W261" s="9885"/>
      <c r="X261" s="9885"/>
      <c r="Y261" s="9885"/>
      <c r="Z261" s="9885"/>
      <c r="AA261" s="9885"/>
      <c r="AB261" s="9885"/>
      <c r="AC261" s="9885"/>
      <c r="AD261" s="9885"/>
      <c r="AE261" s="9885"/>
      <c r="AF261" s="9885"/>
      <c r="AG261" s="9885"/>
      <c r="AH261" s="9885"/>
      <c r="AI261" s="9885"/>
      <c r="AJ261" s="9885"/>
      <c r="AK261" s="461"/>
      <c r="AL261" s="461"/>
      <c r="AM261" s="461"/>
      <c r="AN261" s="808"/>
      <c r="AO261" s="808"/>
      <c r="AP261" s="808"/>
      <c r="AQ261" s="3564" t="s">
        <v>4767</v>
      </c>
      <c r="AR261" s="3565"/>
      <c r="AS261" s="3565"/>
      <c r="AT261" s="3565"/>
      <c r="AU261" s="3565"/>
      <c r="AV261" s="3565"/>
      <c r="AW261" s="3565"/>
      <c r="AX261" s="3565"/>
      <c r="AY261" s="3565"/>
      <c r="AZ261" s="3566"/>
      <c r="BA261" s="39"/>
      <c r="BB261" s="39"/>
    </row>
    <row r="262" spans="1:54" s="2690" customFormat="1" ht="17.25" customHeight="1">
      <c r="A262" s="461"/>
      <c r="B262" s="808"/>
      <c r="C262" s="808"/>
      <c r="D262" s="808"/>
      <c r="E262" s="3509"/>
      <c r="F262" s="3509"/>
      <c r="G262" s="3513" t="s">
        <v>4768</v>
      </c>
      <c r="H262" s="3509"/>
      <c r="I262" s="3509"/>
      <c r="J262" s="3509"/>
      <c r="K262" s="3509"/>
      <c r="L262" s="3509"/>
      <c r="M262" s="3509"/>
      <c r="N262" s="3509"/>
      <c r="O262" s="3510"/>
      <c r="P262" s="3510"/>
      <c r="Q262" s="3510"/>
      <c r="R262" s="3510"/>
      <c r="S262" s="3512"/>
      <c r="T262" s="1150"/>
      <c r="U262" s="808"/>
      <c r="V262" s="3509"/>
      <c r="W262" s="3509"/>
      <c r="X262" s="3513" t="s">
        <v>4768</v>
      </c>
      <c r="Y262" s="3509"/>
      <c r="Z262" s="3509"/>
      <c r="AA262" s="3509"/>
      <c r="AB262" s="3509"/>
      <c r="AC262" s="3509"/>
      <c r="AD262" s="3509"/>
      <c r="AE262" s="3509"/>
      <c r="AF262" s="808"/>
      <c r="AG262" s="808"/>
      <c r="AH262" s="808"/>
      <c r="AI262" s="808"/>
      <c r="AJ262" s="808"/>
      <c r="AK262" s="461"/>
      <c r="AL262" s="461"/>
      <c r="AM262" s="461"/>
      <c r="AN262" s="808"/>
      <c r="AO262" s="808"/>
      <c r="AP262" s="808"/>
      <c r="AQ262" s="3567" t="str">
        <f>"(see below) in "&amp;TaxYear&amp;" for which you paid (or are treated as having paid) qualified education expenses in "&amp;TaxYear&amp;"."</f>
        <v>(see below) in 2023 for which you paid (or are treated as having paid) qualified education expenses in 2023.</v>
      </c>
      <c r="AR262" s="3568"/>
      <c r="AS262" s="3568"/>
      <c r="AT262" s="3568"/>
      <c r="AU262" s="3568"/>
      <c r="AV262" s="3568"/>
      <c r="AW262" s="3568"/>
      <c r="AX262" s="3568"/>
      <c r="AY262" s="3568"/>
      <c r="AZ262" s="3569"/>
      <c r="BA262" s="39"/>
      <c r="BB262" s="39"/>
    </row>
    <row r="263" spans="1:54" s="2690" customFormat="1" ht="14.25">
      <c r="A263" s="461"/>
      <c r="B263" s="1121"/>
      <c r="C263" s="1121"/>
      <c r="D263" s="1121"/>
      <c r="E263" s="2190"/>
      <c r="F263" s="1121"/>
      <c r="G263" s="1121"/>
      <c r="H263" s="1121"/>
      <c r="I263" s="1121"/>
      <c r="J263" s="1121"/>
      <c r="K263" s="1121"/>
      <c r="L263" s="1121"/>
      <c r="M263" s="1121"/>
      <c r="N263" s="1121"/>
      <c r="O263" s="1121"/>
      <c r="P263" s="1121"/>
      <c r="Q263" s="1121"/>
      <c r="R263" s="1121"/>
      <c r="S263" s="2391"/>
      <c r="T263" s="1154"/>
      <c r="U263" s="1121"/>
      <c r="V263" s="1121"/>
      <c r="W263" s="1121"/>
      <c r="X263" s="1121"/>
      <c r="Y263" s="1121"/>
      <c r="Z263" s="1121"/>
      <c r="AA263" s="1121"/>
      <c r="AB263" s="1121"/>
      <c r="AC263" s="1121"/>
      <c r="AD263" s="1121"/>
      <c r="AE263" s="1121"/>
      <c r="AF263" s="1121"/>
      <c r="AG263" s="1121"/>
      <c r="AH263" s="1121"/>
      <c r="AI263" s="1121"/>
      <c r="AJ263" s="1121"/>
      <c r="AK263" s="461"/>
      <c r="AL263" s="461"/>
      <c r="AM263" s="461"/>
      <c r="AN263" s="808"/>
      <c r="AO263" s="808"/>
      <c r="AP263" s="808"/>
      <c r="AQ263" s="3570"/>
      <c r="AR263" s="2923"/>
      <c r="AS263" s="2923"/>
      <c r="AT263" s="2923"/>
      <c r="AU263" s="2923"/>
      <c r="AV263" s="2923"/>
      <c r="AW263" s="2923"/>
      <c r="AX263" s="2923"/>
      <c r="AY263" s="2923"/>
      <c r="AZ263" s="3571"/>
      <c r="BA263" s="39"/>
      <c r="BB263" s="39"/>
    </row>
    <row r="264" spans="1:54" s="2690" customFormat="1" ht="15">
      <c r="A264" s="461"/>
      <c r="B264" s="1127">
        <v>23</v>
      </c>
      <c r="C264" s="808"/>
      <c r="D264" s="808"/>
      <c r="E264" s="2112" t="s">
        <v>4769</v>
      </c>
      <c r="F264" s="808"/>
      <c r="G264" s="808"/>
      <c r="H264" s="808"/>
      <c r="I264" s="808"/>
      <c r="J264" s="808"/>
      <c r="K264" s="808"/>
      <c r="L264" s="808"/>
      <c r="M264" s="808"/>
      <c r="N264" s="808"/>
      <c r="O264" s="808"/>
      <c r="P264" s="808"/>
      <c r="Q264" s="808"/>
      <c r="R264" s="808"/>
      <c r="S264" s="808"/>
      <c r="T264" s="808"/>
      <c r="U264" s="808"/>
      <c r="V264" s="808"/>
      <c r="W264" s="808"/>
      <c r="X264" s="808"/>
      <c r="Y264" s="808"/>
      <c r="Z264" s="808"/>
      <c r="AA264" s="808"/>
      <c r="AB264" s="808"/>
      <c r="AC264" s="808"/>
      <c r="AD264" s="808"/>
      <c r="AE264" s="808"/>
      <c r="AF264" s="808"/>
      <c r="AG264" s="808"/>
      <c r="AH264" s="808"/>
      <c r="AI264" s="808"/>
      <c r="AJ264" s="808"/>
      <c r="AK264" s="461"/>
      <c r="AL264" s="461"/>
      <c r="AM264" s="461"/>
      <c r="AN264" s="808"/>
      <c r="AO264" s="808"/>
      <c r="AP264" s="808"/>
      <c r="AQ264" s="3572" t="s">
        <v>4770</v>
      </c>
      <c r="AR264" s="2923"/>
      <c r="AS264" s="2923"/>
      <c r="AT264" s="2923"/>
      <c r="AU264" s="2923"/>
      <c r="AV264" s="2923"/>
      <c r="AW264" s="2923"/>
      <c r="AX264" s="2923"/>
      <c r="AY264" s="2923"/>
      <c r="AZ264" s="3571"/>
      <c r="BA264" s="39"/>
      <c r="BB264" s="39"/>
    </row>
    <row r="265" spans="1:54" s="2690" customFormat="1" ht="15">
      <c r="A265" s="461"/>
      <c r="B265" s="808"/>
      <c r="C265" s="808"/>
      <c r="D265" s="808"/>
      <c r="E265" s="2645" t="s">
        <v>4771</v>
      </c>
      <c r="F265" s="808"/>
      <c r="G265" s="808"/>
      <c r="H265" s="808"/>
      <c r="I265" s="808"/>
      <c r="J265" s="808"/>
      <c r="K265" s="808"/>
      <c r="L265" s="808"/>
      <c r="M265" s="808"/>
      <c r="N265" s="808"/>
      <c r="O265" s="808"/>
      <c r="P265" s="808"/>
      <c r="Q265" s="808"/>
      <c r="R265" s="808"/>
      <c r="S265" s="808"/>
      <c r="T265" s="3509"/>
      <c r="U265" s="892" t="s">
        <v>4772</v>
      </c>
      <c r="V265" s="808"/>
      <c r="W265" s="808"/>
      <c r="X265" s="808"/>
      <c r="Y265" s="808"/>
      <c r="Z265" s="808"/>
      <c r="AA265" s="808"/>
      <c r="AB265" s="808"/>
      <c r="AC265" s="3527" t="str">
        <f>IF(T265&lt;&gt;"","","X")</f>
        <v>X</v>
      </c>
      <c r="AD265" s="892" t="s">
        <v>4773</v>
      </c>
      <c r="AE265" s="808"/>
      <c r="AF265" s="808"/>
      <c r="AG265" s="808"/>
      <c r="AH265" s="808"/>
      <c r="AI265" s="808"/>
      <c r="AJ265" s="808"/>
      <c r="AK265" s="461"/>
      <c r="AL265" s="461"/>
      <c r="AM265" s="461"/>
      <c r="AN265" s="808"/>
      <c r="AO265" s="808"/>
      <c r="AP265" s="808"/>
      <c r="AQ265" s="3573" t="str">
        <f>TaxYear&amp;" for the academic period"</f>
        <v>2023 for the academic period</v>
      </c>
      <c r="AR265" s="3553"/>
      <c r="AS265" s="3553"/>
      <c r="AT265" s="3553"/>
      <c r="AU265" s="3553"/>
      <c r="AV265" s="3553"/>
      <c r="AW265" s="3556"/>
      <c r="AX265" s="3556" t="s">
        <v>167</v>
      </c>
      <c r="AY265" s="1401"/>
      <c r="AZ265" s="3554"/>
      <c r="BA265" s="39"/>
      <c r="BB265" s="39"/>
    </row>
    <row r="266" spans="1:54" s="3526" customFormat="1" ht="16.5" customHeight="1">
      <c r="A266" s="4064"/>
      <c r="B266" s="893"/>
      <c r="C266" s="893"/>
      <c r="D266" s="893"/>
      <c r="E266" s="2952"/>
      <c r="F266" s="893"/>
      <c r="G266" s="893"/>
      <c r="H266" s="893"/>
      <c r="I266" s="893"/>
      <c r="J266" s="893"/>
      <c r="K266" s="893"/>
      <c r="L266" s="893"/>
      <c r="M266" s="893"/>
      <c r="N266" s="893"/>
      <c r="O266" s="893"/>
      <c r="P266" s="893"/>
      <c r="Q266" s="893"/>
      <c r="R266" s="893"/>
      <c r="S266" s="893"/>
      <c r="T266" s="893"/>
      <c r="U266" s="893" t="s">
        <v>4774</v>
      </c>
      <c r="V266" s="893"/>
      <c r="W266" s="893"/>
      <c r="X266" s="893"/>
      <c r="Y266" s="893"/>
      <c r="Z266" s="893"/>
      <c r="AA266" s="893"/>
      <c r="AB266" s="893"/>
      <c r="AC266" s="893"/>
      <c r="AD266" s="893"/>
      <c r="AE266" s="893"/>
      <c r="AF266" s="893"/>
      <c r="AG266" s="893"/>
      <c r="AH266" s="893"/>
      <c r="AI266" s="893"/>
      <c r="AJ266" s="893"/>
      <c r="AK266" s="4064"/>
      <c r="AL266" s="4064"/>
      <c r="AM266" s="4064"/>
      <c r="AN266" s="893"/>
      <c r="AO266" s="893"/>
      <c r="AP266" s="893"/>
      <c r="AQ266" s="3574"/>
      <c r="AR266" s="3553"/>
      <c r="AS266" s="3553"/>
      <c r="AT266" s="3553"/>
      <c r="AU266" s="3553"/>
      <c r="AV266" s="3553"/>
      <c r="AW266" s="3556"/>
      <c r="AX266" s="3556"/>
      <c r="AY266" s="3556"/>
      <c r="AZ266" s="3554"/>
      <c r="BA266" s="649"/>
      <c r="BB266" s="649"/>
    </row>
    <row r="267" spans="1:54" s="2690" customFormat="1" ht="15">
      <c r="A267" s="461"/>
      <c r="B267" s="3514">
        <v>24</v>
      </c>
      <c r="C267" s="1142"/>
      <c r="D267" s="1142"/>
      <c r="E267" s="2440" t="s">
        <v>4775</v>
      </c>
      <c r="F267" s="1142"/>
      <c r="G267" s="1142"/>
      <c r="H267" s="1142"/>
      <c r="I267" s="1142"/>
      <c r="J267" s="1142"/>
      <c r="K267" s="1142"/>
      <c r="L267" s="1142"/>
      <c r="M267" s="1142"/>
      <c r="N267" s="1142"/>
      <c r="O267" s="1142"/>
      <c r="P267" s="1142"/>
      <c r="Q267" s="1142"/>
      <c r="R267" s="1142"/>
      <c r="S267" s="1142"/>
      <c r="T267" s="1142"/>
      <c r="U267" s="1142"/>
      <c r="V267" s="1142"/>
      <c r="W267" s="1142"/>
      <c r="X267" s="1142"/>
      <c r="Y267" s="1142"/>
      <c r="Z267" s="1142"/>
      <c r="AA267" s="1142"/>
      <c r="AB267" s="1142"/>
      <c r="AC267" s="1142"/>
      <c r="AD267" s="1142"/>
      <c r="AE267" s="1142"/>
      <c r="AF267" s="1142"/>
      <c r="AG267" s="1142"/>
      <c r="AH267" s="1142"/>
      <c r="AI267" s="1142"/>
      <c r="AJ267" s="1142"/>
      <c r="AK267" s="461"/>
      <c r="AL267" s="461"/>
      <c r="AM267" s="461"/>
      <c r="AN267" s="808"/>
      <c r="AO267" s="808"/>
      <c r="AP267" s="808"/>
      <c r="AQ267" s="3572" t="s">
        <v>4776</v>
      </c>
      <c r="AR267" s="3565"/>
      <c r="AS267" s="3565"/>
      <c r="AT267" s="3565"/>
      <c r="AU267" s="3565"/>
      <c r="AV267" s="3565"/>
      <c r="AW267" s="3565"/>
      <c r="AX267" s="3565"/>
      <c r="AY267" s="2923"/>
      <c r="AZ267" s="3566"/>
      <c r="BA267" s="39"/>
      <c r="BB267" s="39"/>
    </row>
    <row r="268" spans="1:54" s="2690" customFormat="1" ht="15">
      <c r="A268" s="461"/>
      <c r="B268" s="1127"/>
      <c r="C268" s="808"/>
      <c r="D268" s="808"/>
      <c r="E268" s="2112" t="s">
        <v>4777</v>
      </c>
      <c r="F268" s="808"/>
      <c r="G268" s="808"/>
      <c r="H268" s="808"/>
      <c r="I268" s="808"/>
      <c r="J268" s="808"/>
      <c r="K268" s="808"/>
      <c r="L268" s="808"/>
      <c r="M268" s="808"/>
      <c r="N268" s="808"/>
      <c r="O268" s="808"/>
      <c r="P268" s="808"/>
      <c r="Q268" s="808"/>
      <c r="R268" s="808"/>
      <c r="S268" s="808"/>
      <c r="T268" s="808"/>
      <c r="U268" s="808"/>
      <c r="V268" s="808"/>
      <c r="W268" s="808"/>
      <c r="X268" s="808"/>
      <c r="Y268" s="808"/>
      <c r="Z268" s="808"/>
      <c r="AA268" s="808"/>
      <c r="AB268" s="808"/>
      <c r="AC268" s="808"/>
      <c r="AD268" s="808"/>
      <c r="AE268" s="808"/>
      <c r="AF268" s="808"/>
      <c r="AG268" s="808"/>
      <c r="AH268" s="808"/>
      <c r="AI268" s="808"/>
      <c r="AJ268" s="808"/>
      <c r="AK268" s="461"/>
      <c r="AL268" s="461"/>
      <c r="AM268" s="461"/>
      <c r="AN268" s="808"/>
      <c r="AO268" s="808"/>
      <c r="AP268" s="808"/>
      <c r="AQ268" s="3575" t="s">
        <v>1404</v>
      </c>
      <c r="AR268" s="3576" t="str">
        <f>"Tax-free educational assistance received in "&amp;TaxYear&amp;" allocable to"</f>
        <v>Tax-free educational assistance received in 2023 allocable to</v>
      </c>
      <c r="AS268" s="2923"/>
      <c r="AT268" s="2923"/>
      <c r="AU268" s="2923"/>
      <c r="AV268" s="2923"/>
      <c r="AW268" s="2923"/>
      <c r="AX268" s="2923"/>
      <c r="AY268" s="2923"/>
      <c r="AZ268" s="3571"/>
      <c r="BA268" s="39"/>
      <c r="BB268" s="39"/>
    </row>
    <row r="269" spans="1:54" s="2690" customFormat="1" ht="15">
      <c r="A269" s="461"/>
      <c r="B269" s="1127"/>
      <c r="C269" s="808"/>
      <c r="D269" s="808"/>
      <c r="E269" s="2112" t="str">
        <f>"in "&amp;TaxYear&amp;" at an eligible educational institution in a program"</f>
        <v>in 2023 at an eligible educational institution in a program</v>
      </c>
      <c r="F269" s="808"/>
      <c r="G269" s="808"/>
      <c r="H269" s="808"/>
      <c r="I269" s="808"/>
      <c r="J269" s="808"/>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8"/>
      <c r="AG269" s="808"/>
      <c r="AH269" s="808"/>
      <c r="AI269" s="808"/>
      <c r="AJ269" s="808"/>
      <c r="AK269" s="461"/>
      <c r="AL269" s="461"/>
      <c r="AM269" s="461"/>
      <c r="AN269" s="808"/>
      <c r="AO269" s="808"/>
      <c r="AP269" s="808"/>
      <c r="AQ269" s="3578"/>
      <c r="AR269" s="3576" t="s">
        <v>4778</v>
      </c>
      <c r="AS269" s="3579"/>
      <c r="AT269" s="3579"/>
      <c r="AU269" s="3579"/>
      <c r="AV269" s="3579"/>
      <c r="AW269" s="3556" t="s">
        <v>1369</v>
      </c>
      <c r="AX269" s="1401"/>
      <c r="AY269" s="2923"/>
      <c r="AZ269" s="3577"/>
      <c r="BA269" s="39"/>
      <c r="BB269" s="39"/>
    </row>
    <row r="270" spans="1:54" s="2690" customFormat="1" ht="15">
      <c r="A270" s="461"/>
      <c r="B270" s="808"/>
      <c r="C270" s="808"/>
      <c r="D270" s="808"/>
      <c r="E270" s="2645" t="s">
        <v>4779</v>
      </c>
      <c r="F270" s="808"/>
      <c r="G270" s="808"/>
      <c r="H270" s="808"/>
      <c r="I270" s="808"/>
      <c r="J270" s="808"/>
      <c r="K270" s="808"/>
      <c r="L270" s="808"/>
      <c r="M270" s="808"/>
      <c r="N270" s="808"/>
      <c r="O270" s="808"/>
      <c r="P270" s="808"/>
      <c r="Q270" s="808"/>
      <c r="R270" s="808"/>
      <c r="S270" s="808"/>
      <c r="T270" s="3527" t="str">
        <f>IF(AC270&lt;&gt;"","","X")</f>
        <v>X</v>
      </c>
      <c r="U270" s="892" t="s">
        <v>4780</v>
      </c>
      <c r="V270" s="808"/>
      <c r="W270" s="808"/>
      <c r="X270" s="808"/>
      <c r="Y270" s="808"/>
      <c r="Z270" s="808"/>
      <c r="AA270" s="808"/>
      <c r="AB270" s="808"/>
      <c r="AC270" s="3509"/>
      <c r="AD270" s="892" t="s">
        <v>4781</v>
      </c>
      <c r="AE270" s="808"/>
      <c r="AF270" s="808"/>
      <c r="AG270" s="808"/>
      <c r="AH270" s="808"/>
      <c r="AI270" s="808"/>
      <c r="AJ270" s="808"/>
      <c r="AK270" s="461"/>
      <c r="AL270" s="461"/>
      <c r="AM270" s="461"/>
      <c r="AN270" s="808"/>
      <c r="AO270" s="808"/>
      <c r="AP270" s="808"/>
      <c r="AQ270" s="3575" t="s">
        <v>1363</v>
      </c>
      <c r="AR270" s="3576" t="str">
        <f>"Tax-free educational assistance received in "&amp;TaxYear+1&amp;" (and before you"</f>
        <v>Tax-free educational assistance received in 2024 (and before you</v>
      </c>
      <c r="AS270" s="2923"/>
      <c r="AT270" s="2923"/>
      <c r="AU270" s="2923"/>
      <c r="AV270" s="2923"/>
      <c r="AW270" s="2923"/>
      <c r="AX270" s="2923"/>
      <c r="AY270" s="2923"/>
      <c r="AZ270" s="3571"/>
      <c r="BA270" s="39"/>
      <c r="BB270" s="39"/>
    </row>
    <row r="271" spans="1:54" s="2690" customFormat="1" ht="14.25">
      <c r="A271" s="461"/>
      <c r="B271" s="808"/>
      <c r="C271" s="808"/>
      <c r="D271" s="808"/>
      <c r="E271" s="2645" t="s">
        <v>4782</v>
      </c>
      <c r="F271" s="808"/>
      <c r="G271" s="808"/>
      <c r="H271" s="808"/>
      <c r="I271" s="808"/>
      <c r="J271" s="808"/>
      <c r="K271" s="808"/>
      <c r="L271" s="808"/>
      <c r="M271" s="808"/>
      <c r="N271" s="808"/>
      <c r="O271" s="808"/>
      <c r="P271" s="808"/>
      <c r="Q271" s="808"/>
      <c r="R271" s="808"/>
      <c r="S271" s="808"/>
      <c r="T271" s="808"/>
      <c r="U271" s="808"/>
      <c r="V271" s="808"/>
      <c r="W271" s="808"/>
      <c r="X271" s="808"/>
      <c r="Y271" s="808"/>
      <c r="Z271" s="808"/>
      <c r="AA271" s="808"/>
      <c r="AB271" s="808"/>
      <c r="AC271" s="808"/>
      <c r="AD271" s="892" t="s">
        <v>4783</v>
      </c>
      <c r="AE271" s="808"/>
      <c r="AF271" s="808"/>
      <c r="AG271" s="808"/>
      <c r="AH271" s="808"/>
      <c r="AI271" s="808"/>
      <c r="AJ271" s="808"/>
      <c r="AK271" s="461"/>
      <c r="AL271" s="461"/>
      <c r="AM271" s="461"/>
      <c r="AN271" s="808"/>
      <c r="AO271" s="808"/>
      <c r="AP271" s="808"/>
      <c r="AQ271" s="3578"/>
      <c r="AR271" s="3576" t="str">
        <f>"file your "&amp;TaxYear&amp;" tax return) allocable to the academic period"</f>
        <v>file your 2023 tax return) allocable to the academic period</v>
      </c>
      <c r="AS271" s="3579"/>
      <c r="AT271" s="3579"/>
      <c r="AU271" s="3579"/>
      <c r="AV271" s="3579"/>
      <c r="AW271" s="3556" t="s">
        <v>1379</v>
      </c>
      <c r="AX271" s="1401"/>
      <c r="AY271" s="2923"/>
      <c r="AZ271" s="3577"/>
      <c r="BA271" s="39"/>
      <c r="BB271" s="39"/>
    </row>
    <row r="272" spans="1:54" s="3526" customFormat="1" ht="16.5" customHeight="1">
      <c r="A272" s="4064"/>
      <c r="B272" s="893"/>
      <c r="C272" s="893"/>
      <c r="D272" s="893"/>
      <c r="E272" s="2952" t="s">
        <v>832</v>
      </c>
      <c r="F272" s="893"/>
      <c r="G272" s="893"/>
      <c r="H272" s="893"/>
      <c r="I272" s="893"/>
      <c r="J272" s="893"/>
      <c r="K272" s="893"/>
      <c r="L272" s="893"/>
      <c r="M272" s="893"/>
      <c r="N272" s="893"/>
      <c r="O272" s="893"/>
      <c r="P272" s="893"/>
      <c r="Q272" s="893"/>
      <c r="R272" s="893"/>
      <c r="S272" s="893"/>
      <c r="T272" s="893"/>
      <c r="U272" s="893"/>
      <c r="V272" s="893"/>
      <c r="W272" s="893"/>
      <c r="X272" s="893"/>
      <c r="Y272" s="893"/>
      <c r="Z272" s="893"/>
      <c r="AA272" s="893"/>
      <c r="AB272" s="893"/>
      <c r="AC272" s="893"/>
      <c r="AD272" s="893"/>
      <c r="AE272" s="893"/>
      <c r="AF272" s="893"/>
      <c r="AG272" s="893"/>
      <c r="AH272" s="893"/>
      <c r="AI272" s="893"/>
      <c r="AJ272" s="893"/>
      <c r="AK272" s="4064"/>
      <c r="AL272" s="4064"/>
      <c r="AM272" s="4064"/>
      <c r="AN272" s="893"/>
      <c r="AO272" s="893"/>
      <c r="AP272" s="893"/>
      <c r="AQ272" s="3575" t="s">
        <v>1381</v>
      </c>
      <c r="AR272" s="3576" t="str">
        <f>"Refunds of qualified education expenses paid in "&amp;TaxYear&amp;" if the refund"</f>
        <v>Refunds of qualified education expenses paid in 2023 if the refund</v>
      </c>
      <c r="AS272" s="2923"/>
      <c r="AT272" s="2923"/>
      <c r="AU272" s="2923"/>
      <c r="AV272" s="2923"/>
      <c r="AW272" s="2923"/>
      <c r="AX272" s="2923"/>
      <c r="AY272" s="2923"/>
      <c r="AZ272" s="3571"/>
      <c r="BA272" s="649"/>
      <c r="BB272" s="649"/>
    </row>
    <row r="273" spans="1:54" s="2690" customFormat="1" ht="15">
      <c r="A273" s="461"/>
      <c r="B273" s="3514">
        <v>25</v>
      </c>
      <c r="C273" s="1142"/>
      <c r="D273" s="1142"/>
      <c r="E273" s="2440" t="s">
        <v>4784</v>
      </c>
      <c r="F273" s="1142"/>
      <c r="G273" s="1142"/>
      <c r="H273" s="1142"/>
      <c r="I273" s="1142"/>
      <c r="J273" s="1142"/>
      <c r="K273" s="1142"/>
      <c r="L273" s="1142"/>
      <c r="M273" s="1142"/>
      <c r="N273" s="1142"/>
      <c r="O273" s="1142"/>
      <c r="P273" s="1142"/>
      <c r="Q273" s="1142"/>
      <c r="R273" s="1142"/>
      <c r="S273" s="1142"/>
      <c r="T273" s="1142"/>
      <c r="U273" s="1142"/>
      <c r="V273" s="1142"/>
      <c r="W273" s="1142"/>
      <c r="X273" s="1142"/>
      <c r="Y273" s="1142"/>
      <c r="Z273" s="1142"/>
      <c r="AA273" s="1142"/>
      <c r="AB273" s="1142"/>
      <c r="AC273" s="1142"/>
      <c r="AD273" s="1142"/>
      <c r="AE273" s="1142"/>
      <c r="AF273" s="1142"/>
      <c r="AG273" s="1142"/>
      <c r="AH273" s="1142"/>
      <c r="AI273" s="1142"/>
      <c r="AJ273" s="1142"/>
      <c r="AK273" s="461"/>
      <c r="AL273" s="461"/>
      <c r="AM273" s="461"/>
      <c r="AN273" s="808"/>
      <c r="AO273" s="808"/>
      <c r="AP273" s="808"/>
      <c r="AQ273" s="3578"/>
      <c r="AR273" s="3576" t="str">
        <f>"is received in "&amp;TaxYear&amp;" or in "&amp;TaxYear+1&amp;" before you file your "&amp;TaxYear&amp;" tax return."</f>
        <v>is received in 2023 or in 2024 before you file your 2023 tax return.</v>
      </c>
      <c r="AS273" s="3579"/>
      <c r="AT273" s="3579"/>
      <c r="AU273" s="3579"/>
      <c r="AV273" s="3579"/>
      <c r="AW273" s="3556" t="s">
        <v>1387</v>
      </c>
      <c r="AX273" s="1401"/>
      <c r="AY273" s="2923"/>
      <c r="AZ273" s="3577"/>
      <c r="BA273" s="39"/>
      <c r="BB273" s="39"/>
    </row>
    <row r="274" spans="1:54" s="2690" customFormat="1" ht="15">
      <c r="A274" s="461"/>
      <c r="B274" s="808"/>
      <c r="C274" s="808"/>
      <c r="D274" s="808"/>
      <c r="E274" s="2645" t="str">
        <f>"education before "&amp;TaxYear&amp;"? See instructions."</f>
        <v>education before 2023? See instructions.</v>
      </c>
      <c r="F274" s="808"/>
      <c r="G274" s="808"/>
      <c r="H274" s="808"/>
      <c r="I274" s="808"/>
      <c r="J274" s="808"/>
      <c r="K274" s="808"/>
      <c r="L274" s="808"/>
      <c r="M274" s="808"/>
      <c r="N274" s="808"/>
      <c r="O274" s="808"/>
      <c r="P274" s="808"/>
      <c r="Q274" s="808"/>
      <c r="R274" s="808"/>
      <c r="S274" s="808"/>
      <c r="T274" s="3509"/>
      <c r="U274" s="892" t="s">
        <v>4772</v>
      </c>
      <c r="V274" s="808"/>
      <c r="W274" s="808"/>
      <c r="X274" s="808"/>
      <c r="Y274" s="808"/>
      <c r="Z274" s="808"/>
      <c r="AA274" s="808"/>
      <c r="AB274" s="808"/>
      <c r="AC274" s="3527" t="str">
        <f>IF(T274&lt;&gt;"","","X")</f>
        <v>X</v>
      </c>
      <c r="AD274" s="892" t="s">
        <v>4785</v>
      </c>
      <c r="AE274" s="808"/>
      <c r="AF274" s="808"/>
      <c r="AG274" s="808"/>
      <c r="AH274" s="808"/>
      <c r="AI274" s="808"/>
      <c r="AJ274" s="808"/>
      <c r="AK274" s="461"/>
      <c r="AL274" s="461"/>
      <c r="AM274" s="461"/>
      <c r="AN274" s="808"/>
      <c r="AO274" s="808"/>
      <c r="AP274" s="808"/>
      <c r="AQ274" s="3578"/>
      <c r="AR274" s="3576"/>
      <c r="AS274" s="3579"/>
      <c r="AT274" s="3579"/>
      <c r="AU274" s="3579"/>
      <c r="AV274" s="3579"/>
      <c r="AW274" s="3579"/>
      <c r="AX274" s="3579"/>
      <c r="AY274" s="2923"/>
      <c r="AZ274" s="3577"/>
      <c r="BA274" s="39"/>
      <c r="BB274" s="39"/>
    </row>
    <row r="275" spans="1:54" s="3526" customFormat="1" ht="16.5" customHeight="1">
      <c r="A275" s="4064"/>
      <c r="B275" s="893"/>
      <c r="C275" s="893"/>
      <c r="D275" s="893"/>
      <c r="E275" s="2952"/>
      <c r="F275" s="893"/>
      <c r="G275" s="893"/>
      <c r="H275" s="893"/>
      <c r="I275" s="893"/>
      <c r="J275" s="893"/>
      <c r="K275" s="893"/>
      <c r="L275" s="893"/>
      <c r="M275" s="893"/>
      <c r="N275" s="893"/>
      <c r="O275" s="893"/>
      <c r="P275" s="893"/>
      <c r="Q275" s="893"/>
      <c r="R275" s="893"/>
      <c r="S275" s="893"/>
      <c r="T275" s="893"/>
      <c r="U275" s="893" t="s">
        <v>4774</v>
      </c>
      <c r="V275" s="893"/>
      <c r="W275" s="893"/>
      <c r="X275" s="893"/>
      <c r="Y275" s="893"/>
      <c r="Z275" s="893"/>
      <c r="AA275" s="893"/>
      <c r="AB275" s="893"/>
      <c r="AC275" s="893"/>
      <c r="AD275" s="893"/>
      <c r="AE275" s="893"/>
      <c r="AF275" s="893"/>
      <c r="AG275" s="893"/>
      <c r="AH275" s="893"/>
      <c r="AI275" s="893"/>
      <c r="AJ275" s="893"/>
      <c r="AK275" s="4064"/>
      <c r="AL275" s="4064"/>
      <c r="AM275" s="4064"/>
      <c r="AN275" s="893"/>
      <c r="AO275" s="893"/>
      <c r="AP275" s="893"/>
      <c r="AQ275" s="3572" t="s">
        <v>4786</v>
      </c>
      <c r="AR275" s="3553"/>
      <c r="AS275" s="3553"/>
      <c r="AT275" s="3553"/>
      <c r="AU275" s="3553"/>
      <c r="AV275" s="3553"/>
      <c r="AW275" s="3556"/>
      <c r="AX275" s="3556" t="s">
        <v>177</v>
      </c>
      <c r="AY275" s="1568">
        <f>SUM(AX269,AX271,AX273)</f>
        <v>0</v>
      </c>
      <c r="AZ275" s="3554"/>
      <c r="BA275" s="649"/>
      <c r="BB275" s="649"/>
    </row>
    <row r="276" spans="1:54" s="2690" customFormat="1" ht="15">
      <c r="A276" s="461"/>
      <c r="B276" s="3514">
        <v>26</v>
      </c>
      <c r="C276" s="1142"/>
      <c r="D276" s="1142"/>
      <c r="E276" s="2440" t="str">
        <f>"Was the student convicted, before the end of "&amp;TaxYear&amp;", of a"</f>
        <v>Was the student convicted, before the end of 2023, of a</v>
      </c>
      <c r="F276" s="1142"/>
      <c r="G276" s="1142"/>
      <c r="H276" s="1142"/>
      <c r="I276" s="1142"/>
      <c r="J276" s="1142"/>
      <c r="K276" s="1142"/>
      <c r="L276" s="1142"/>
      <c r="M276" s="1142"/>
      <c r="N276" s="1142"/>
      <c r="O276" s="1142"/>
      <c r="P276" s="1142"/>
      <c r="Q276" s="1142"/>
      <c r="R276" s="1142"/>
      <c r="S276" s="1142"/>
      <c r="T276" s="1142"/>
      <c r="U276" s="1142"/>
      <c r="V276" s="1142"/>
      <c r="W276" s="1142"/>
      <c r="X276" s="1142"/>
      <c r="Y276" s="1142"/>
      <c r="Z276" s="1142"/>
      <c r="AA276" s="1142"/>
      <c r="AB276" s="1142"/>
      <c r="AC276" s="1142"/>
      <c r="AD276" s="1142"/>
      <c r="AE276" s="1142"/>
      <c r="AF276" s="1142"/>
      <c r="AG276" s="1142"/>
      <c r="AH276" s="1142"/>
      <c r="AI276" s="1142"/>
      <c r="AJ276" s="1142"/>
      <c r="AK276" s="461"/>
      <c r="AL276" s="461"/>
      <c r="AM276" s="461"/>
      <c r="AN276" s="808"/>
      <c r="AO276" s="808"/>
      <c r="AP276" s="808"/>
      <c r="AQ276" s="3578"/>
      <c r="AR276" s="3576"/>
      <c r="AS276" s="3579"/>
      <c r="AT276" s="3579"/>
      <c r="AU276" s="3579"/>
      <c r="AV276" s="3579"/>
      <c r="AW276" s="3579"/>
      <c r="AX276" s="3579"/>
      <c r="AY276" s="2923"/>
      <c r="AZ276" s="3577"/>
      <c r="BA276" s="39"/>
      <c r="BB276" s="39"/>
    </row>
    <row r="277" spans="1:54" s="2690" customFormat="1" ht="15">
      <c r="A277" s="461"/>
      <c r="B277" s="808"/>
      <c r="C277" s="808"/>
      <c r="D277" s="808"/>
      <c r="E277" s="2645" t="s">
        <v>4787</v>
      </c>
      <c r="F277" s="808"/>
      <c r="G277" s="808"/>
      <c r="H277" s="808"/>
      <c r="I277" s="808"/>
      <c r="J277" s="808"/>
      <c r="K277" s="808"/>
      <c r="L277" s="808"/>
      <c r="M277" s="808"/>
      <c r="N277" s="808"/>
      <c r="O277" s="808"/>
      <c r="P277" s="808"/>
      <c r="Q277" s="808"/>
      <c r="R277" s="808"/>
      <c r="S277" s="808"/>
      <c r="T277" s="3509"/>
      <c r="U277" s="892" t="s">
        <v>4772</v>
      </c>
      <c r="V277" s="808"/>
      <c r="W277" s="808"/>
      <c r="X277" s="808"/>
      <c r="Y277" s="808"/>
      <c r="Z277" s="808"/>
      <c r="AA277" s="808"/>
      <c r="AB277" s="808"/>
      <c r="AC277" s="3527" t="str">
        <f>IF(T277&lt;&gt;"","","X")</f>
        <v>X</v>
      </c>
      <c r="AD277" s="892" t="s">
        <v>4788</v>
      </c>
      <c r="AE277" s="808"/>
      <c r="AF277" s="808"/>
      <c r="AG277" s="808"/>
      <c r="AH277" s="808"/>
      <c r="AI277" s="808"/>
      <c r="AJ277" s="808"/>
      <c r="AK277" s="461"/>
      <c r="AL277" s="461"/>
      <c r="AM277" s="461"/>
      <c r="AN277" s="808"/>
      <c r="AO277" s="23" t="s">
        <v>1113</v>
      </c>
      <c r="AP277" s="808"/>
      <c r="AQ277" s="3572" t="s">
        <v>4805</v>
      </c>
      <c r="AR277" s="3576"/>
      <c r="AS277" s="3579"/>
      <c r="AT277" s="3579"/>
      <c r="AU277" s="3579"/>
      <c r="AV277" s="3579"/>
      <c r="AW277" s="3579"/>
      <c r="AX277" s="3579"/>
      <c r="AY277" s="2923"/>
      <c r="AZ277" s="3577"/>
      <c r="BA277" s="39"/>
      <c r="BB277" s="39"/>
    </row>
    <row r="278" spans="1:54" s="3526" customFormat="1" ht="16.5" customHeight="1">
      <c r="A278" s="4064"/>
      <c r="B278" s="1372"/>
      <c r="C278" s="1372"/>
      <c r="D278" s="1372"/>
      <c r="E278" s="3515" t="s">
        <v>4790</v>
      </c>
      <c r="F278" s="1372"/>
      <c r="G278" s="1372"/>
      <c r="H278" s="1372"/>
      <c r="I278" s="1372"/>
      <c r="J278" s="1372"/>
      <c r="K278" s="1372"/>
      <c r="L278" s="1372"/>
      <c r="M278" s="1372"/>
      <c r="N278" s="1372"/>
      <c r="O278" s="1372"/>
      <c r="P278" s="1372"/>
      <c r="Q278" s="1372"/>
      <c r="R278" s="1372"/>
      <c r="S278" s="1372"/>
      <c r="T278" s="1372"/>
      <c r="U278" s="1372" t="s">
        <v>4774</v>
      </c>
      <c r="V278" s="1372"/>
      <c r="W278" s="1372"/>
      <c r="X278" s="1372"/>
      <c r="Y278" s="1372"/>
      <c r="Z278" s="1372"/>
      <c r="AA278" s="1372"/>
      <c r="AB278" s="1372"/>
      <c r="AC278" s="1372"/>
      <c r="AD278" s="2192" t="s">
        <v>4791</v>
      </c>
      <c r="AE278" s="1372"/>
      <c r="AF278" s="1372"/>
      <c r="AG278" s="1372"/>
      <c r="AH278" s="1372"/>
      <c r="AI278" s="1372"/>
      <c r="AJ278" s="1372"/>
      <c r="AK278" s="4064"/>
      <c r="AL278" s="4064"/>
      <c r="AM278" s="4064"/>
      <c r="AN278" s="893"/>
      <c r="AO278" s="23" t="s">
        <v>1062</v>
      </c>
      <c r="AP278" s="893"/>
      <c r="AQ278" s="3574" t="s">
        <v>4792</v>
      </c>
      <c r="AR278" s="3553"/>
      <c r="AS278" s="3553"/>
      <c r="AT278" s="3580" t="s">
        <v>4793</v>
      </c>
      <c r="AU278" s="3553"/>
      <c r="AV278" s="3553"/>
      <c r="AW278" s="3556"/>
      <c r="AX278" s="3556" t="s">
        <v>182</v>
      </c>
      <c r="AY278" s="1568" t="str">
        <f>IF(AY265="","",MAX(0,SUM(AY265,-AY275)))</f>
        <v/>
      </c>
      <c r="AZ278" s="3554"/>
      <c r="BA278" s="649"/>
      <c r="BB278" s="649"/>
    </row>
    <row r="279" spans="1:54" s="2690" customFormat="1" ht="9.75" customHeight="1" thickBot="1">
      <c r="A279" s="461"/>
      <c r="B279" s="3538"/>
      <c r="C279" s="3538"/>
      <c r="D279" s="3538"/>
      <c r="E279" s="3538"/>
      <c r="F279" s="3538"/>
      <c r="G279" s="3538"/>
      <c r="H279" s="3538"/>
      <c r="I279" s="3538"/>
      <c r="J279" s="3538"/>
      <c r="K279" s="3538"/>
      <c r="L279" s="3538"/>
      <c r="M279" s="3538"/>
      <c r="N279" s="3538"/>
      <c r="O279" s="3538"/>
      <c r="P279" s="3538"/>
      <c r="Q279" s="3538"/>
      <c r="R279" s="3538"/>
      <c r="S279" s="3538"/>
      <c r="T279" s="3538"/>
      <c r="U279" s="3538"/>
      <c r="V279" s="3538"/>
      <c r="W279" s="3538"/>
      <c r="X279" s="3538"/>
      <c r="Y279" s="3538"/>
      <c r="Z279" s="3538"/>
      <c r="AA279" s="3538"/>
      <c r="AB279" s="3538"/>
      <c r="AC279" s="3538"/>
      <c r="AD279" s="3538"/>
      <c r="AE279" s="3538"/>
      <c r="AF279" s="3538"/>
      <c r="AG279" s="3538"/>
      <c r="AH279" s="3538"/>
      <c r="AI279" s="3538"/>
      <c r="AJ279" s="3538"/>
      <c r="AK279" s="461"/>
      <c r="AL279" s="461"/>
      <c r="AM279" s="461"/>
      <c r="AN279" s="808"/>
      <c r="AO279" s="808"/>
      <c r="AP279" s="808"/>
      <c r="AQ279" s="3581"/>
      <c r="AR279" s="3582"/>
      <c r="AS279" s="3583"/>
      <c r="AT279" s="3583"/>
      <c r="AU279" s="3583"/>
      <c r="AV279" s="3583"/>
      <c r="AW279" s="3583"/>
      <c r="AX279" s="3583"/>
      <c r="AY279" s="3583"/>
      <c r="AZ279" s="3584"/>
      <c r="BA279" s="39"/>
      <c r="BB279" s="39"/>
    </row>
    <row r="280" spans="1:54" s="3525" customFormat="1" ht="14.25" customHeight="1">
      <c r="A280" s="3497"/>
      <c r="B280" s="3539"/>
      <c r="C280" s="3539"/>
      <c r="D280" s="3539"/>
      <c r="E280" s="5088" t="s">
        <v>4794</v>
      </c>
      <c r="F280" s="3539"/>
      <c r="G280" s="3539"/>
      <c r="H280" s="3539"/>
      <c r="I280" s="3539"/>
      <c r="J280" s="3539"/>
      <c r="K280" s="3539"/>
      <c r="L280" s="3539"/>
      <c r="M280" s="3539"/>
      <c r="N280" s="3539"/>
      <c r="O280" s="3539"/>
      <c r="P280" s="3539"/>
      <c r="Q280" s="3539"/>
      <c r="R280" s="3539"/>
      <c r="S280" s="3539"/>
      <c r="T280" s="3539"/>
      <c r="U280" s="3539"/>
      <c r="V280" s="3539"/>
      <c r="W280" s="3539"/>
      <c r="X280" s="3539"/>
      <c r="Y280" s="3539"/>
      <c r="Z280" s="3539"/>
      <c r="AA280" s="3539"/>
      <c r="AB280" s="3539"/>
      <c r="AC280" s="3539"/>
      <c r="AD280" s="3539"/>
      <c r="AE280" s="3539"/>
      <c r="AF280" s="3539"/>
      <c r="AG280" s="3539"/>
      <c r="AH280" s="3539"/>
      <c r="AI280" s="3539"/>
      <c r="AJ280" s="3539"/>
      <c r="AK280" s="3497"/>
      <c r="AL280" s="3497"/>
      <c r="AM280" s="3497"/>
      <c r="AN280" s="3498"/>
      <c r="AO280" s="2821" t="b">
        <f>OR(AND(AH283,AO291&lt;&gt;""),AND(NOT(AH283),AO288&lt;&gt;""))</f>
        <v>0</v>
      </c>
      <c r="AP280" s="1573"/>
      <c r="AQ280" s="2038"/>
      <c r="AR280" s="2044"/>
      <c r="AS280" s="2038"/>
      <c r="AT280" s="2038"/>
      <c r="AU280" s="2038"/>
      <c r="AV280" s="2038"/>
      <c r="AW280" s="2038"/>
      <c r="AX280" s="2038"/>
      <c r="AY280" s="2038"/>
      <c r="AZ280" s="2038"/>
      <c r="BA280" s="3499"/>
      <c r="BB280" s="3499"/>
    </row>
    <row r="281" spans="1:54" s="3525" customFormat="1" ht="16.5" customHeight="1">
      <c r="A281" s="3497"/>
      <c r="B281" s="3539"/>
      <c r="C281" s="3539"/>
      <c r="D281" s="3539"/>
      <c r="E281" s="5089" t="s">
        <v>4795</v>
      </c>
      <c r="F281" s="3539"/>
      <c r="G281" s="3539"/>
      <c r="H281" s="3539"/>
      <c r="I281" s="3539"/>
      <c r="J281" s="3539"/>
      <c r="K281" s="3539"/>
      <c r="L281" s="3539"/>
      <c r="M281" s="3539"/>
      <c r="N281" s="3539"/>
      <c r="O281" s="3539"/>
      <c r="P281" s="3539"/>
      <c r="Q281" s="3539"/>
      <c r="R281" s="3539"/>
      <c r="S281" s="3539"/>
      <c r="T281" s="3539"/>
      <c r="U281" s="3539"/>
      <c r="V281" s="3539"/>
      <c r="W281" s="3539"/>
      <c r="X281" s="3539"/>
      <c r="Y281" s="3539"/>
      <c r="Z281" s="3539"/>
      <c r="AA281" s="3539"/>
      <c r="AB281" s="3539"/>
      <c r="AC281" s="3539"/>
      <c r="AD281" s="3539"/>
      <c r="AE281" s="3539"/>
      <c r="AF281" s="3539"/>
      <c r="AG281" s="3539"/>
      <c r="AH281" s="3539"/>
      <c r="AI281" s="3539"/>
      <c r="AJ281" s="3539"/>
      <c r="AK281" s="3497"/>
      <c r="AL281" s="3497"/>
      <c r="AM281" s="3497"/>
      <c r="AN281" s="3498"/>
      <c r="AO281" s="2821" t="b">
        <f>OR(AND(AH283,AO291&lt;&gt;""),AND(NOT(AH283),AO288&lt;&gt;""))</f>
        <v>0</v>
      </c>
      <c r="AP281" s="1573"/>
      <c r="AQ281" s="2038"/>
      <c r="AR281" s="2044"/>
      <c r="AS281" s="2038"/>
      <c r="AT281" s="2038"/>
      <c r="AU281" s="2038"/>
      <c r="AV281" s="2038"/>
      <c r="AW281" s="2038"/>
      <c r="AX281" s="2038"/>
      <c r="AY281" s="2038"/>
      <c r="AZ281" s="2038"/>
      <c r="BA281" s="3499"/>
      <c r="BB281" s="3499"/>
    </row>
    <row r="282" spans="1:54" s="2690" customFormat="1" ht="6" customHeight="1">
      <c r="A282" s="461"/>
      <c r="B282" s="3540"/>
      <c r="C282" s="3540"/>
      <c r="D282" s="3540"/>
      <c r="E282" s="3540"/>
      <c r="F282" s="3540"/>
      <c r="G282" s="3540"/>
      <c r="H282" s="3540"/>
      <c r="I282" s="3540"/>
      <c r="J282" s="3540"/>
      <c r="K282" s="3540"/>
      <c r="L282" s="3540"/>
      <c r="M282" s="3540"/>
      <c r="N282" s="3540"/>
      <c r="O282" s="3540"/>
      <c r="P282" s="3540"/>
      <c r="Q282" s="3540"/>
      <c r="R282" s="3540"/>
      <c r="S282" s="3540"/>
      <c r="T282" s="3540"/>
      <c r="U282" s="3540"/>
      <c r="V282" s="3540"/>
      <c r="W282" s="3540"/>
      <c r="X282" s="3540"/>
      <c r="Y282" s="3540"/>
      <c r="Z282" s="3540"/>
      <c r="AA282" s="3540"/>
      <c r="AB282" s="3540"/>
      <c r="AC282" s="3540"/>
      <c r="AD282" s="3540"/>
      <c r="AE282" s="3540"/>
      <c r="AF282" s="3540"/>
      <c r="AG282" s="3540"/>
      <c r="AH282" s="3540"/>
      <c r="AI282" s="3540"/>
      <c r="AJ282" s="3540"/>
      <c r="AK282" s="461"/>
      <c r="AL282" s="461"/>
      <c r="AM282" s="461"/>
      <c r="AN282" s="808"/>
      <c r="AO282" s="808"/>
      <c r="AP282" s="808"/>
      <c r="AQ282" s="2038"/>
      <c r="AR282" s="2038"/>
      <c r="AS282" s="2038"/>
      <c r="AT282" s="2038"/>
      <c r="AU282" s="2038"/>
      <c r="AV282" s="2038"/>
      <c r="AW282" s="2038"/>
      <c r="AX282" s="2038"/>
      <c r="AY282" s="2038"/>
      <c r="AZ282" s="2038"/>
      <c r="BA282" s="39"/>
      <c r="BB282" s="39"/>
    </row>
    <row r="283" spans="1:54" s="2690" customFormat="1" ht="16.5" customHeight="1" thickBot="1">
      <c r="A283" s="461"/>
      <c r="B283" s="1133"/>
      <c r="C283" s="3850" t="s">
        <v>4697</v>
      </c>
      <c r="D283" s="1121"/>
      <c r="E283" s="1121"/>
      <c r="F283" s="1121"/>
      <c r="G283" s="1121"/>
      <c r="H283" s="1121"/>
      <c r="I283" s="1121"/>
      <c r="J283" s="1121"/>
      <c r="K283" s="1121"/>
      <c r="L283" s="1121"/>
      <c r="M283" s="1121"/>
      <c r="N283" s="1121"/>
      <c r="O283" s="1121"/>
      <c r="P283" s="1121"/>
      <c r="Q283" s="1121"/>
      <c r="R283" s="1121"/>
      <c r="S283" s="1121"/>
      <c r="T283" s="1121"/>
      <c r="U283" s="1121"/>
      <c r="V283" s="1121"/>
      <c r="W283" s="1121"/>
      <c r="X283" s="1121"/>
      <c r="Y283" s="1121"/>
      <c r="Z283" s="1121"/>
      <c r="AA283" s="1121"/>
      <c r="AB283" s="9875" t="b">
        <f>AND(AE284&lt;&gt;"",AE284&gt;AO285)</f>
        <v>0</v>
      </c>
      <c r="AC283" s="9875"/>
      <c r="AD283" s="1121"/>
      <c r="AE283" s="1121"/>
      <c r="AF283" s="1121"/>
      <c r="AG283" s="1121"/>
      <c r="AH283" s="9875" t="b">
        <f>AND(T265="",AC270="",T274="",T277="")</f>
        <v>1</v>
      </c>
      <c r="AI283" s="9875"/>
      <c r="AJ283" s="9875"/>
      <c r="AK283" s="461"/>
      <c r="AL283" s="461"/>
      <c r="AM283" s="461"/>
      <c r="AN283" s="808"/>
      <c r="AO283" s="808"/>
      <c r="AP283" s="808"/>
      <c r="AQ283" s="2038"/>
      <c r="AR283" s="2038"/>
      <c r="AS283" s="2038"/>
      <c r="AT283" s="2038"/>
      <c r="AU283" s="2038"/>
      <c r="AV283" s="2038"/>
      <c r="AW283" s="2038"/>
      <c r="AX283" s="2038"/>
      <c r="AY283" s="2038"/>
      <c r="AZ283" s="2038"/>
      <c r="BA283" s="39"/>
      <c r="BB283" s="39"/>
    </row>
    <row r="284" spans="1:54" s="2690" customFormat="1" ht="16.5" customHeight="1" thickBot="1">
      <c r="A284" s="461"/>
      <c r="B284" s="3514">
        <v>27</v>
      </c>
      <c r="C284" s="808"/>
      <c r="D284" s="2112" t="s">
        <v>4797</v>
      </c>
      <c r="E284" s="2112"/>
      <c r="F284" s="808"/>
      <c r="G284" s="808"/>
      <c r="H284" s="808"/>
      <c r="I284" s="808"/>
      <c r="J284" s="808"/>
      <c r="K284" s="808"/>
      <c r="L284" s="808"/>
      <c r="M284" s="808"/>
      <c r="N284" s="808"/>
      <c r="O284" s="808"/>
      <c r="P284" s="808"/>
      <c r="Q284" s="808"/>
      <c r="R284" s="3851" t="str">
        <f>"Don't enter more than "&amp;TEXT(AO285,"$0,000")&amp;"."</f>
        <v>Don't enter more than $4,000.</v>
      </c>
      <c r="S284" s="808"/>
      <c r="T284" s="808"/>
      <c r="U284" s="808"/>
      <c r="V284" s="808"/>
      <c r="W284" s="808"/>
      <c r="X284" s="808"/>
      <c r="Y284" s="808"/>
      <c r="Z284" s="3536"/>
      <c r="AA284" s="3536"/>
      <c r="AB284" s="3534"/>
      <c r="AC284" s="3535"/>
      <c r="AD284" s="1726">
        <v>27</v>
      </c>
      <c r="AE284" s="9591" t="str">
        <f>IF(AO284&lt;&gt;"",ROUND(AO284,0),IF(OR(NOT(AH283),AY278=""),"",MIN(AO285,AY278)))</f>
        <v/>
      </c>
      <c r="AF284" s="9876"/>
      <c r="AG284" s="9876"/>
      <c r="AH284" s="9876"/>
      <c r="AI284" s="9876"/>
      <c r="AJ284" s="9876"/>
      <c r="AK284" s="461"/>
      <c r="AL284" s="461"/>
      <c r="AM284" s="461"/>
      <c r="AN284" s="808"/>
      <c r="AO284" s="3521"/>
      <c r="AP284" s="808"/>
      <c r="AQ284" s="2038"/>
      <c r="AR284" s="2038"/>
      <c r="AS284" s="2038"/>
      <c r="AT284" s="2038"/>
      <c r="AU284" s="2038"/>
      <c r="AV284" s="2038"/>
      <c r="AW284" s="2038"/>
      <c r="AX284" s="2038"/>
      <c r="AY284" s="2038"/>
      <c r="AZ284" s="2038"/>
      <c r="BA284" s="39"/>
      <c r="BB284" s="39"/>
    </row>
    <row r="285" spans="1:54" s="2690" customFormat="1" ht="17.25" customHeight="1">
      <c r="A285" s="461"/>
      <c r="B285" s="1127">
        <v>28</v>
      </c>
      <c r="C285" s="808"/>
      <c r="D285" s="2112" t="str">
        <f>"Subtract "&amp;TEXT(AO286,"$0,000")&amp;" from line 27. If zero or less, enter -0-"</f>
        <v>Subtract $2,000 from line 27. If zero or less, enter -0-</v>
      </c>
      <c r="E285" s="808"/>
      <c r="F285" s="808"/>
      <c r="G285" s="808"/>
      <c r="H285" s="808"/>
      <c r="I285" s="808"/>
      <c r="J285" s="808"/>
      <c r="K285" s="808"/>
      <c r="L285" s="808"/>
      <c r="M285" s="808"/>
      <c r="N285" s="808"/>
      <c r="O285" s="808"/>
      <c r="P285" s="808"/>
      <c r="Q285" s="808"/>
      <c r="R285" s="808"/>
      <c r="S285" s="808"/>
      <c r="T285" s="808"/>
      <c r="U285" s="808"/>
      <c r="V285" s="808"/>
      <c r="W285" s="808"/>
      <c r="X285" s="808"/>
      <c r="Y285" s="808"/>
      <c r="Z285" s="1234"/>
      <c r="AA285" s="1234"/>
      <c r="AB285" s="808"/>
      <c r="AC285" s="1128" t="s">
        <v>4798</v>
      </c>
      <c r="AD285" s="1726">
        <v>28</v>
      </c>
      <c r="AE285" s="9591" t="str">
        <f>IF(OR(NOT(AH283),AY278=""),"",MAX(0,SUM(AE284,-AO286)))</f>
        <v/>
      </c>
      <c r="AF285" s="9876"/>
      <c r="AG285" s="9876"/>
      <c r="AH285" s="9876"/>
      <c r="AI285" s="9876"/>
      <c r="AJ285" s="9876"/>
      <c r="AK285" s="461"/>
      <c r="AL285" s="461"/>
      <c r="AM285" s="461"/>
      <c r="AN285" s="808"/>
      <c r="AO285" s="900">
        <v>4000</v>
      </c>
      <c r="AP285" s="808"/>
      <c r="AQ285" s="2038"/>
      <c r="AR285" s="2038"/>
      <c r="AS285" s="2038"/>
      <c r="AT285" s="2038"/>
      <c r="AU285" s="2038"/>
      <c r="AV285" s="2038"/>
      <c r="AW285" s="2038"/>
      <c r="AX285" s="2038"/>
      <c r="AY285" s="2038"/>
      <c r="AZ285" s="2038"/>
      <c r="BA285" s="39"/>
      <c r="BB285" s="39"/>
    </row>
    <row r="286" spans="1:54" s="2690" customFormat="1" ht="17.25" customHeight="1">
      <c r="A286" s="461"/>
      <c r="B286" s="1127">
        <v>29</v>
      </c>
      <c r="C286" s="808"/>
      <c r="D286" s="2112" t="str">
        <f>"Multiply line 28 by "&amp;TEXT(AB287,"0%")&amp;" ("&amp;TEXT(AB287,"0.00")&amp;")"</f>
        <v>Multiply line 28 by 25% (0.25)</v>
      </c>
      <c r="E286" s="2112"/>
      <c r="F286" s="2112"/>
      <c r="G286" s="808"/>
      <c r="H286" s="808"/>
      <c r="I286" s="808"/>
      <c r="J286" s="808"/>
      <c r="K286" s="808"/>
      <c r="L286" s="899"/>
      <c r="M286" s="899"/>
      <c r="N286" s="899"/>
      <c r="O286" s="899"/>
      <c r="P286" s="899"/>
      <c r="Q286" s="899"/>
      <c r="R286" s="899"/>
      <c r="S286" s="899"/>
      <c r="T286" s="899"/>
      <c r="U286" s="899"/>
      <c r="V286" s="899"/>
      <c r="W286" s="899"/>
      <c r="X286" s="899"/>
      <c r="Y286" s="899"/>
      <c r="Z286" s="899"/>
      <c r="AA286" s="899"/>
      <c r="AB286" s="899"/>
      <c r="AC286" s="1128" t="s">
        <v>4799</v>
      </c>
      <c r="AD286" s="1726">
        <v>29</v>
      </c>
      <c r="AE286" s="9591" t="str">
        <f>IF(OR(NOT(AH283),AY278=""),"",ROUND(AE285*AB287,0))</f>
        <v/>
      </c>
      <c r="AF286" s="9876"/>
      <c r="AG286" s="9876"/>
      <c r="AH286" s="9876"/>
      <c r="AI286" s="9876"/>
      <c r="AJ286" s="9876"/>
      <c r="AK286" s="461"/>
      <c r="AL286" s="461"/>
      <c r="AM286" s="461"/>
      <c r="AN286" s="808"/>
      <c r="AO286" s="900">
        <v>2000</v>
      </c>
      <c r="AP286" s="808"/>
      <c r="AQ286" s="2038"/>
      <c r="AR286" s="2038"/>
      <c r="AS286" s="2038"/>
      <c r="AT286" s="2038"/>
      <c r="AU286" s="2038"/>
      <c r="AV286" s="2038"/>
      <c r="AW286" s="2038"/>
      <c r="AX286" s="2038"/>
      <c r="AY286" s="2038"/>
      <c r="AZ286" s="2038"/>
      <c r="BA286" s="39"/>
      <c r="BB286" s="39"/>
    </row>
    <row r="287" spans="1:54" s="2690" customFormat="1" ht="15.75" customHeight="1" thickBot="1">
      <c r="A287" s="461"/>
      <c r="B287" s="1127">
        <v>30</v>
      </c>
      <c r="C287" s="808"/>
      <c r="D287" s="2112" t="s">
        <v>4800</v>
      </c>
      <c r="E287" s="2112"/>
      <c r="F287" s="2112"/>
      <c r="G287" s="808"/>
      <c r="H287" s="808"/>
      <c r="I287" s="808"/>
      <c r="J287" s="808"/>
      <c r="K287" s="808"/>
      <c r="L287" s="808"/>
      <c r="M287" s="808"/>
      <c r="N287" s="808"/>
      <c r="O287" s="808"/>
      <c r="P287" s="808"/>
      <c r="Q287" s="808"/>
      <c r="R287" s="808"/>
      <c r="S287" s="808"/>
      <c r="T287" s="808"/>
      <c r="U287" s="808"/>
      <c r="V287" s="808"/>
      <c r="W287" s="808"/>
      <c r="X287" s="808"/>
      <c r="Y287" s="808"/>
      <c r="Z287" s="808"/>
      <c r="AA287" s="808"/>
      <c r="AB287" s="8168">
        <v>0.25</v>
      </c>
      <c r="AC287" s="9576"/>
      <c r="AD287" s="1123"/>
      <c r="AE287" s="808"/>
      <c r="AF287" s="808"/>
      <c r="AG287" s="808"/>
      <c r="AH287" s="808"/>
      <c r="AI287" s="808"/>
      <c r="AJ287" s="808"/>
      <c r="AK287" s="461"/>
      <c r="AL287" s="461"/>
      <c r="AM287" s="461"/>
      <c r="AN287" s="808"/>
      <c r="AO287" s="808"/>
      <c r="AP287" s="808"/>
      <c r="AQ287" s="2038"/>
      <c r="AR287" s="2038"/>
      <c r="AS287" s="2038"/>
      <c r="AT287" s="2038"/>
      <c r="AU287" s="2038"/>
      <c r="AV287" s="2038"/>
      <c r="AW287" s="2038"/>
      <c r="AX287" s="2038"/>
      <c r="AY287" s="2038"/>
      <c r="AZ287" s="2038"/>
      <c r="BA287" s="39"/>
      <c r="BB287" s="39"/>
    </row>
    <row r="288" spans="1:54" s="2690" customFormat="1" ht="15.75" thickBot="1">
      <c r="A288" s="461"/>
      <c r="B288" s="808"/>
      <c r="C288" s="808"/>
      <c r="D288" s="2112" t="s">
        <v>4801</v>
      </c>
      <c r="E288" s="2112"/>
      <c r="F288" s="2112"/>
      <c r="G288" s="808"/>
      <c r="H288" s="808"/>
      <c r="I288" s="808"/>
      <c r="J288" s="808"/>
      <c r="K288" s="808"/>
      <c r="L288" s="808"/>
      <c r="M288" s="808"/>
      <c r="N288" s="808"/>
      <c r="O288" s="808"/>
      <c r="P288" s="808"/>
      <c r="Q288" s="808"/>
      <c r="R288" s="808"/>
      <c r="S288" s="808"/>
      <c r="T288" s="808"/>
      <c r="U288" s="808"/>
      <c r="V288" s="808"/>
      <c r="W288" s="808"/>
      <c r="X288" s="808"/>
      <c r="Y288" s="808"/>
      <c r="Z288" s="808"/>
      <c r="AA288" s="808"/>
      <c r="AB288" s="808"/>
      <c r="AC288" s="1128" t="s">
        <v>690</v>
      </c>
      <c r="AD288" s="1716">
        <v>30</v>
      </c>
      <c r="AE288" s="9872" t="str">
        <f>IF(AO288&lt;&gt;"",ROUND(AO288,0),IF(OR(NOT(AH283),AE284=0,AE284="",AY278=""),"",IF(OR(AE285=0,AE285=""),AE284,SUM(AE286,AO286))))</f>
        <v/>
      </c>
      <c r="AF288" s="9873"/>
      <c r="AG288" s="9873"/>
      <c r="AH288" s="9873"/>
      <c r="AI288" s="9873"/>
      <c r="AJ288" s="9873"/>
      <c r="AK288" s="461"/>
      <c r="AL288" s="461"/>
      <c r="AM288" s="461"/>
      <c r="AN288" s="808"/>
      <c r="AO288" s="3521"/>
      <c r="AP288" s="808"/>
      <c r="AQ288" s="2038"/>
      <c r="AR288" s="2038"/>
      <c r="AS288" s="2038"/>
      <c r="AT288" s="2038"/>
      <c r="AU288" s="2038"/>
      <c r="AV288" s="2038"/>
      <c r="AW288" s="2038"/>
      <c r="AX288" s="2038"/>
      <c r="AY288" s="2038"/>
      <c r="AZ288" s="2038"/>
      <c r="BA288" s="39"/>
      <c r="BB288" s="39"/>
    </row>
    <row r="289" spans="1:54" s="2690" customFormat="1" ht="16.5" customHeight="1">
      <c r="A289" s="461"/>
      <c r="B289" s="1133"/>
      <c r="C289" s="3850" t="s">
        <v>4728</v>
      </c>
      <c r="D289" s="1122"/>
      <c r="E289" s="1122"/>
      <c r="F289" s="1122"/>
      <c r="G289" s="1122"/>
      <c r="H289" s="1122"/>
      <c r="I289" s="1122"/>
      <c r="J289" s="1122"/>
      <c r="K289" s="1122"/>
      <c r="L289" s="1122"/>
      <c r="M289" s="1122"/>
      <c r="N289" s="1122"/>
      <c r="O289" s="1122"/>
      <c r="P289" s="1122"/>
      <c r="Q289" s="1122"/>
      <c r="R289" s="1122"/>
      <c r="S289" s="1122"/>
      <c r="T289" s="1122"/>
      <c r="U289" s="1122"/>
      <c r="V289" s="1122"/>
      <c r="W289" s="1122"/>
      <c r="X289" s="1122"/>
      <c r="Y289" s="1122"/>
      <c r="Z289" s="1122"/>
      <c r="AA289" s="1122"/>
      <c r="AB289" s="1122"/>
      <c r="AC289" s="1122"/>
      <c r="AD289" s="1122"/>
      <c r="AE289" s="1122"/>
      <c r="AF289" s="1122"/>
      <c r="AG289" s="1122"/>
      <c r="AH289" s="1122"/>
      <c r="AI289" s="1122"/>
      <c r="AJ289" s="1122"/>
      <c r="AK289" s="461"/>
      <c r="AL289" s="461"/>
      <c r="AM289" s="461"/>
      <c r="AN289" s="808"/>
      <c r="AO289" s="808"/>
      <c r="AP289" s="808"/>
      <c r="AQ289" s="2038"/>
      <c r="AR289" s="2038"/>
      <c r="AS289" s="2038"/>
      <c r="AT289" s="2038"/>
      <c r="AU289" s="2038"/>
      <c r="AV289" s="2038"/>
      <c r="AW289" s="2038"/>
      <c r="AX289" s="2038"/>
      <c r="AY289" s="2038"/>
      <c r="AZ289" s="2038"/>
      <c r="BA289" s="39"/>
      <c r="BB289" s="39"/>
    </row>
    <row r="290" spans="1:54" s="2690" customFormat="1" ht="15.75" customHeight="1" thickBot="1">
      <c r="A290" s="461"/>
      <c r="B290" s="1127">
        <v>31</v>
      </c>
      <c r="C290" s="808"/>
      <c r="D290" s="2112" t="s">
        <v>4802</v>
      </c>
      <c r="E290" s="2112"/>
      <c r="F290" s="2112"/>
      <c r="G290" s="808"/>
      <c r="H290" s="808"/>
      <c r="I290" s="808"/>
      <c r="J290" s="808"/>
      <c r="K290" s="808"/>
      <c r="L290" s="808"/>
      <c r="M290" s="808"/>
      <c r="N290" s="808"/>
      <c r="O290" s="808"/>
      <c r="P290" s="808"/>
      <c r="Q290" s="808"/>
      <c r="R290" s="808"/>
      <c r="S290" s="808"/>
      <c r="T290" s="808"/>
      <c r="U290" s="808"/>
      <c r="V290" s="808"/>
      <c r="W290" s="808"/>
      <c r="X290" s="808"/>
      <c r="Y290" s="808"/>
      <c r="Z290" s="808"/>
      <c r="AA290" s="808"/>
      <c r="AB290" s="808"/>
      <c r="AC290" s="808"/>
      <c r="AD290" s="1123"/>
      <c r="AE290" s="808"/>
      <c r="AF290" s="808"/>
      <c r="AG290" s="808"/>
      <c r="AH290" s="808"/>
      <c r="AI290" s="808"/>
      <c r="AJ290" s="808"/>
      <c r="AK290" s="461"/>
      <c r="AL290" s="461"/>
      <c r="AM290" s="461"/>
      <c r="AN290" s="808"/>
      <c r="AO290" s="808"/>
      <c r="AP290" s="808"/>
      <c r="AQ290" s="2038"/>
      <c r="AR290" s="2038"/>
      <c r="AS290" s="2038"/>
      <c r="AT290" s="2038"/>
      <c r="AU290" s="2038"/>
      <c r="AV290" s="2038"/>
      <c r="AW290" s="2038"/>
      <c r="AX290" s="2038"/>
      <c r="AY290" s="2038"/>
      <c r="AZ290" s="2038"/>
      <c r="BA290" s="39"/>
      <c r="BB290" s="39"/>
    </row>
    <row r="291" spans="1:54" s="2690" customFormat="1" ht="15.75" thickBot="1">
      <c r="A291" s="461"/>
      <c r="B291" s="896"/>
      <c r="C291" s="896"/>
      <c r="D291" s="2122" t="s">
        <v>4803</v>
      </c>
      <c r="E291" s="2122"/>
      <c r="F291" s="2122"/>
      <c r="G291" s="896"/>
      <c r="H291" s="896"/>
      <c r="I291" s="896"/>
      <c r="J291" s="896"/>
      <c r="K291" s="896"/>
      <c r="L291" s="896"/>
      <c r="M291" s="896"/>
      <c r="N291" s="896"/>
      <c r="O291" s="896"/>
      <c r="P291" s="896"/>
      <c r="Q291" s="896"/>
      <c r="R291" s="896"/>
      <c r="S291" s="896"/>
      <c r="T291" s="896"/>
      <c r="U291" s="896"/>
      <c r="V291" s="896"/>
      <c r="W291" s="896"/>
      <c r="X291" s="896"/>
      <c r="Y291" s="896"/>
      <c r="Z291" s="896"/>
      <c r="AA291" s="896"/>
      <c r="AB291" s="896"/>
      <c r="AC291" s="2629" t="s">
        <v>4799</v>
      </c>
      <c r="AD291" s="3516">
        <v>31</v>
      </c>
      <c r="AE291" s="9592" t="str">
        <f>IF(AO291&lt;&gt;"",ROUND(AO291,0),IF(OR(AH283,AY278=""),"",AY278))</f>
        <v/>
      </c>
      <c r="AF291" s="9874"/>
      <c r="AG291" s="9874"/>
      <c r="AH291" s="9874"/>
      <c r="AI291" s="9874"/>
      <c r="AJ291" s="9874"/>
      <c r="AK291" s="461"/>
      <c r="AL291" s="461"/>
      <c r="AM291" s="461"/>
      <c r="AN291" s="808"/>
      <c r="AO291" s="3521"/>
      <c r="AP291" s="808"/>
      <c r="AQ291" s="2038"/>
      <c r="AR291" s="2038"/>
      <c r="AS291" s="2038"/>
      <c r="AT291" s="2038"/>
      <c r="AU291" s="2038"/>
      <c r="AV291" s="2038"/>
      <c r="AW291" s="2038"/>
      <c r="AX291" s="2038"/>
      <c r="AY291" s="2038"/>
      <c r="AZ291" s="2038"/>
      <c r="BA291" s="39"/>
      <c r="BB291" s="39"/>
    </row>
    <row r="292" spans="1:54" s="2690" customFormat="1" ht="15.75">
      <c r="A292" s="461"/>
      <c r="B292" s="1262"/>
      <c r="C292" s="61"/>
      <c r="D292" s="61"/>
      <c r="E292" s="61"/>
      <c r="F292" s="61"/>
      <c r="G292" s="61"/>
      <c r="H292" s="61"/>
      <c r="I292" s="61"/>
      <c r="J292" s="61"/>
      <c r="K292" s="61"/>
      <c r="L292" s="61"/>
      <c r="M292" s="61"/>
      <c r="N292" s="61"/>
      <c r="O292" s="61"/>
      <c r="P292" s="61"/>
      <c r="Q292" s="22"/>
      <c r="R292" s="22"/>
      <c r="S292" s="22"/>
      <c r="T292" s="22"/>
      <c r="U292" s="337"/>
      <c r="V292" s="22"/>
      <c r="W292" s="337"/>
      <c r="X292" s="22"/>
      <c r="Y292" s="22"/>
      <c r="Z292" s="22"/>
      <c r="AA292" s="22"/>
      <c r="AB292" s="22"/>
      <c r="AC292" s="22"/>
      <c r="AD292" s="22"/>
      <c r="AE292" s="22"/>
      <c r="AF292" s="22"/>
      <c r="AG292" s="22"/>
      <c r="AH292" s="705" t="s">
        <v>4753</v>
      </c>
      <c r="AI292" s="22"/>
      <c r="AJ292" s="705" t="str">
        <f>"("&amp;TaxYear&amp;")"</f>
        <v>(2023)</v>
      </c>
      <c r="AK292" s="461"/>
      <c r="AL292" s="461"/>
      <c r="AM292" s="461"/>
      <c r="AN292" s="1461"/>
      <c r="AO292" s="1461"/>
      <c r="AP292" s="808"/>
      <c r="AQ292" s="2038"/>
      <c r="AR292" s="2038"/>
      <c r="AS292" s="2038"/>
      <c r="AT292" s="2038"/>
      <c r="AU292" s="2038"/>
      <c r="AV292" s="2038"/>
      <c r="AW292" s="2038"/>
      <c r="AX292" s="2038"/>
      <c r="AY292" s="2038"/>
      <c r="AZ292" s="2038"/>
      <c r="BA292" s="39"/>
      <c r="BB292" s="39"/>
    </row>
    <row r="293" spans="1:54">
      <c r="A293" s="1461"/>
      <c r="B293" s="1461"/>
      <c r="C293" s="1461"/>
      <c r="D293" s="1461"/>
      <c r="E293" s="1461"/>
      <c r="F293" s="1461"/>
      <c r="G293" s="1461"/>
      <c r="H293" s="1461"/>
      <c r="I293" s="1461"/>
      <c r="J293" s="1461"/>
      <c r="K293" s="1461"/>
      <c r="L293" s="1461"/>
      <c r="M293" s="1461"/>
      <c r="N293" s="1461"/>
      <c r="O293" s="1461"/>
      <c r="P293" s="1461"/>
      <c r="Q293" s="1461"/>
      <c r="R293" s="1461"/>
      <c r="S293" s="1461"/>
      <c r="T293" s="1461"/>
      <c r="U293" s="1461"/>
      <c r="V293" s="1461"/>
      <c r="W293" s="1461"/>
      <c r="X293" s="1461"/>
      <c r="Y293" s="1461"/>
      <c r="Z293" s="1461"/>
      <c r="AA293" s="1461"/>
      <c r="AB293" s="1461"/>
      <c r="AC293" s="1461"/>
      <c r="AD293" s="1461"/>
      <c r="AE293" s="1461"/>
      <c r="AF293" s="1461"/>
      <c r="AG293" s="1461"/>
      <c r="AH293" s="1461"/>
      <c r="AI293" s="1461"/>
      <c r="AJ293" s="1461"/>
      <c r="AK293" s="1461"/>
      <c r="AL293" s="1461"/>
      <c r="AM293" s="1461"/>
      <c r="AN293" s="1461"/>
      <c r="AO293" s="1461"/>
      <c r="AP293" s="808"/>
    </row>
  </sheetData>
  <sheetProtection algorithmName="SHA-512" hashValue="IvEVUr5mmGKBS3XZwQrn0LEVAbeQ6Grn2hKB8b/T2FQ3d0Cc8KqSO+/idgB9SDmmzPxWQY3jsFJ2GBBjA80TKA==" saltValue="FxHLFqYQeiEG4dbdoM7l6g==" spinCount="100000" sheet="1" objects="1" scenarios="1"/>
  <mergeCells count="157">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31:AJ31"/>
    <mergeCell ref="AE37:AJ37"/>
    <mergeCell ref="AE23:AJ23"/>
    <mergeCell ref="AE24:AJ24"/>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15:AC15"/>
    <mergeCell ref="X20:AC20"/>
    <mergeCell ref="AE32:AJ32"/>
    <mergeCell ref="AE40:AJ40"/>
    <mergeCell ref="X44:AC44"/>
    <mergeCell ref="X46:AC46"/>
    <mergeCell ref="X48:AC48"/>
    <mergeCell ref="U68:AJ68"/>
    <mergeCell ref="T71:AJ71"/>
    <mergeCell ref="X45:AC45"/>
    <mergeCell ref="D75:S75"/>
    <mergeCell ref="AE21:AJ21"/>
    <mergeCell ref="AE20:AJ20"/>
    <mergeCell ref="AC59:AJ59"/>
    <mergeCell ref="B59:AB59"/>
    <mergeCell ref="B34:C34"/>
    <mergeCell ref="AE36:AJ36"/>
    <mergeCell ref="AE38:AJ38"/>
    <mergeCell ref="AE39:AJ39"/>
    <mergeCell ref="AE41:AJ41"/>
    <mergeCell ref="X21:AC21"/>
    <mergeCell ref="X24:AC24"/>
    <mergeCell ref="AE35:AJ35"/>
    <mergeCell ref="AC58:AJ58"/>
    <mergeCell ref="AB40:AC40"/>
    <mergeCell ref="Z40:AA40"/>
    <mergeCell ref="AC117:AJ117"/>
    <mergeCell ref="D120:AJ122"/>
    <mergeCell ref="B124:C124"/>
    <mergeCell ref="D126:S127"/>
    <mergeCell ref="U127:AJ127"/>
    <mergeCell ref="D130:S130"/>
    <mergeCell ref="T130:AJ130"/>
    <mergeCell ref="D61:AJ63"/>
    <mergeCell ref="B118:AB118"/>
    <mergeCell ref="AC118:AJ118"/>
    <mergeCell ref="AB110:AC110"/>
    <mergeCell ref="AB106:AC106"/>
    <mergeCell ref="B65:C65"/>
    <mergeCell ref="AH106:AJ106"/>
    <mergeCell ref="AE107:AJ107"/>
    <mergeCell ref="AE108:AJ108"/>
    <mergeCell ref="AE109:AJ109"/>
    <mergeCell ref="E79:N81"/>
    <mergeCell ref="E82:S84"/>
    <mergeCell ref="E76:N78"/>
    <mergeCell ref="D71:S71"/>
    <mergeCell ref="D67:S68"/>
    <mergeCell ref="B183:C183"/>
    <mergeCell ref="D185:S186"/>
    <mergeCell ref="U186:AJ186"/>
    <mergeCell ref="AE225:AJ225"/>
    <mergeCell ref="T134:AJ134"/>
    <mergeCell ref="E135:N137"/>
    <mergeCell ref="V135:AE137"/>
    <mergeCell ref="E138:N140"/>
    <mergeCell ref="V138:AE140"/>
    <mergeCell ref="V197:AE199"/>
    <mergeCell ref="E200:S202"/>
    <mergeCell ref="V200:AJ202"/>
    <mergeCell ref="AB224:AC224"/>
    <mergeCell ref="AH224:AJ224"/>
    <mergeCell ref="AE167:AJ167"/>
    <mergeCell ref="AE168:AJ168"/>
    <mergeCell ref="AB169:AC169"/>
    <mergeCell ref="AE170:AJ170"/>
    <mergeCell ref="AC177:AJ177"/>
    <mergeCell ref="AQ52:AV52"/>
    <mergeCell ref="AN104:AP106"/>
    <mergeCell ref="AB287:AC287"/>
    <mergeCell ref="AE173:AJ173"/>
    <mergeCell ref="E141:S143"/>
    <mergeCell ref="V141:AJ143"/>
    <mergeCell ref="AB165:AC165"/>
    <mergeCell ref="AH165:AJ165"/>
    <mergeCell ref="AE166:AJ166"/>
    <mergeCell ref="T248:AJ248"/>
    <mergeCell ref="T252:AJ252"/>
    <mergeCell ref="D189:S189"/>
    <mergeCell ref="T189:AJ189"/>
    <mergeCell ref="T193:AJ193"/>
    <mergeCell ref="E194:N196"/>
    <mergeCell ref="V194:AE196"/>
    <mergeCell ref="AC176:AJ176"/>
    <mergeCell ref="B177:AB177"/>
    <mergeCell ref="AE226:AJ226"/>
    <mergeCell ref="AE227:AJ227"/>
    <mergeCell ref="AB228:AC228"/>
    <mergeCell ref="AE229:AJ229"/>
    <mergeCell ref="D179:AJ181"/>
    <mergeCell ref="E197:N199"/>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D238:AJ240"/>
  </mergeCells>
  <conditionalFormatting sqref="B60">
    <cfRule type="expression" dxfId="581" priority="534">
      <formula>IF(AND(File_Marr_Sep&lt;&gt;"",$AI$10=""),1,0)</formula>
    </cfRule>
  </conditionalFormatting>
  <conditionalFormatting sqref="B102">
    <cfRule type="expression" dxfId="580" priority="512">
      <formula>IF(AND(File_Marr_Sep&lt;&gt;"",$AI$10=""),1,0)</formula>
    </cfRule>
  </conditionalFormatting>
  <conditionalFormatting sqref="B119">
    <cfRule type="expression" dxfId="579" priority="416">
      <formula>IF(AND(File_Marr_Sep&lt;&gt;"",$AI$10=""),1,0)</formula>
    </cfRule>
  </conditionalFormatting>
  <conditionalFormatting sqref="B161">
    <cfRule type="expression" dxfId="578" priority="404">
      <formula>IF(AND(File_Marr_Sep&lt;&gt;"",$AI$10=""),1,0)</formula>
    </cfRule>
  </conditionalFormatting>
  <conditionalFormatting sqref="B178">
    <cfRule type="expression" dxfId="577" priority="337">
      <formula>IF(AND(File_Marr_Sep&lt;&gt;"",$AI$10=""),1,0)</formula>
    </cfRule>
  </conditionalFormatting>
  <conditionalFormatting sqref="B220">
    <cfRule type="expression" dxfId="576" priority="325">
      <formula>IF(AND(File_Marr_Sep&lt;&gt;"",$AI$10=""),1,0)</formula>
    </cfRule>
  </conditionalFormatting>
  <conditionalFormatting sqref="B237">
    <cfRule type="expression" dxfId="575" priority="258">
      <formula>IF(AND(File_Marr_Sep&lt;&gt;"",$AI$10=""),1,0)</formula>
    </cfRule>
  </conditionalFormatting>
  <conditionalFormatting sqref="B279">
    <cfRule type="expression" dxfId="574" priority="246">
      <formula>IF(AND(File_Marr_Sep&lt;&gt;"",$AI$10=""),1,0)</formula>
    </cfRule>
  </conditionalFormatting>
  <conditionalFormatting sqref="B10:C11 E10:AH11">
    <cfRule type="expression" dxfId="573" priority="619">
      <formula>IF(AND(File_Marr_Sep&lt;&gt;"",$AI$10=""),1,0)</formula>
    </cfRule>
  </conditionalFormatting>
  <conditionalFormatting sqref="B162:D163 B164:AJ164 B221:D222 B223:AJ223 B280:D281 B282:AJ282">
    <cfRule type="expression" dxfId="572" priority="472">
      <formula>$AO$103</formula>
    </cfRule>
  </conditionalFormatting>
  <conditionalFormatting sqref="B8:K8">
    <cfRule type="expression" dxfId="571" priority="693">
      <formula>IF(NoColor,1,0)</formula>
    </cfRule>
  </conditionalFormatting>
  <conditionalFormatting sqref="B59:AJ59 D75">
    <cfRule type="expression" dxfId="570" priority="535">
      <formula>NoColor</formula>
    </cfRule>
  </conditionalFormatting>
  <conditionalFormatting sqref="B102:AJ105">
    <cfRule type="expression" dxfId="569" priority="424">
      <formula>$AO$103</formula>
    </cfRule>
  </conditionalFormatting>
  <conditionalFormatting sqref="B118:AJ118">
    <cfRule type="expression" dxfId="568" priority="417">
      <formula>NoColor</formula>
    </cfRule>
  </conditionalFormatting>
  <conditionalFormatting sqref="B161:AJ161">
    <cfRule type="expression" dxfId="567" priority="391">
      <formula>$AO$103</formula>
    </cfRule>
  </conditionalFormatting>
  <conditionalFormatting sqref="B177:AJ177">
    <cfRule type="expression" dxfId="566" priority="338">
      <formula>NoColor</formula>
    </cfRule>
  </conditionalFormatting>
  <conditionalFormatting sqref="B220:AJ220">
    <cfRule type="expression" dxfId="565" priority="312">
      <formula>$AO$103</formula>
    </cfRule>
  </conditionalFormatting>
  <conditionalFormatting sqref="B236:AJ236">
    <cfRule type="expression" dxfId="564" priority="259">
      <formula>NoColor</formula>
    </cfRule>
  </conditionalFormatting>
  <conditionalFormatting sqref="B279:AJ279">
    <cfRule type="expression" dxfId="563" priority="233">
      <formula>$AO$103</formula>
    </cfRule>
  </conditionalFormatting>
  <conditionalFormatting sqref="D21">
    <cfRule type="expression" dxfId="562" priority="491">
      <formula>X20</formula>
    </cfRule>
  </conditionalFormatting>
  <conditionalFormatting sqref="D60">
    <cfRule type="expression" dxfId="561" priority="499">
      <formula>IF(AND(File_Marr_Sep&lt;&gt;"",$AI$10=""),1,0)</formula>
    </cfRule>
  </conditionalFormatting>
  <conditionalFormatting sqref="D67">
    <cfRule type="expression" dxfId="560" priority="667">
      <formula>IF(NoColor,1,0)</formula>
    </cfRule>
  </conditionalFormatting>
  <conditionalFormatting sqref="D71">
    <cfRule type="expression" dxfId="559" priority="517">
      <formula>IF(NoColor,1,0)</formula>
    </cfRule>
  </conditionalFormatting>
  <conditionalFormatting sqref="D119">
    <cfRule type="expression" dxfId="558" priority="395">
      <formula>IF(AND(File_Marr_Sep&lt;&gt;"",$AI$10=""),1,0)</formula>
    </cfRule>
  </conditionalFormatting>
  <conditionalFormatting sqref="D126">
    <cfRule type="expression" dxfId="557" priority="58">
      <formula>IF(NoColor,1,0)</formula>
    </cfRule>
  </conditionalFormatting>
  <conditionalFormatting sqref="D130">
    <cfRule type="expression" dxfId="556" priority="19">
      <formula>IF(NoColor,1,0)</formula>
    </cfRule>
  </conditionalFormatting>
  <conditionalFormatting sqref="D134">
    <cfRule type="expression" dxfId="555" priority="20">
      <formula>NoColor</formula>
    </cfRule>
  </conditionalFormatting>
  <conditionalFormatting sqref="D178">
    <cfRule type="expression" dxfId="554" priority="316">
      <formula>IF(AND(File_Marr_Sep&lt;&gt;"",$AI$10=""),1,0)</formula>
    </cfRule>
  </conditionalFormatting>
  <conditionalFormatting sqref="D185">
    <cfRule type="expression" dxfId="553" priority="46">
      <formula>IF(NoColor,1,0)</formula>
    </cfRule>
  </conditionalFormatting>
  <conditionalFormatting sqref="D189">
    <cfRule type="expression" dxfId="552" priority="15">
      <formula>IF(NoColor,1,0)</formula>
    </cfRule>
  </conditionalFormatting>
  <conditionalFormatting sqref="D193">
    <cfRule type="expression" dxfId="551" priority="16">
      <formula>NoColor</formula>
    </cfRule>
  </conditionalFormatting>
  <conditionalFormatting sqref="D237">
    <cfRule type="expression" dxfId="550" priority="237">
      <formula>IF(AND(File_Marr_Sep&lt;&gt;"",$AI$10=""),1,0)</formula>
    </cfRule>
  </conditionalFormatting>
  <conditionalFormatting sqref="D244">
    <cfRule type="expression" dxfId="549" priority="34">
      <formula>IF(NoColor,1,0)</formula>
    </cfRule>
  </conditionalFormatting>
  <conditionalFormatting sqref="D248">
    <cfRule type="expression" dxfId="548" priority="11">
      <formula>IF(NoColor,1,0)</formula>
    </cfRule>
  </conditionalFormatting>
  <conditionalFormatting sqref="D252">
    <cfRule type="expression" dxfId="547" priority="12">
      <formula>NoColor</formula>
    </cfRule>
  </conditionalFormatting>
  <conditionalFormatting sqref="E162:E163">
    <cfRule type="expression" dxfId="546" priority="167">
      <formula>AO162</formula>
    </cfRule>
  </conditionalFormatting>
  <conditionalFormatting sqref="E221:E222">
    <cfRule type="expression" dxfId="545" priority="161">
      <formula>AO221</formula>
    </cfRule>
  </conditionalFormatting>
  <conditionalFormatting sqref="E280:E281">
    <cfRule type="expression" dxfId="544" priority="155">
      <formula>AO280</formula>
    </cfRule>
  </conditionalFormatting>
  <conditionalFormatting sqref="E85:F85">
    <cfRule type="expression" dxfId="543" priority="459">
      <formula>NoColor</formula>
    </cfRule>
  </conditionalFormatting>
  <conditionalFormatting sqref="E144:F144">
    <cfRule type="expression" dxfId="542" priority="380">
      <formula>NoColor</formula>
    </cfRule>
  </conditionalFormatting>
  <conditionalFormatting sqref="E203:F203">
    <cfRule type="expression" dxfId="541" priority="301">
      <formula>NoColor</formula>
    </cfRule>
  </conditionalFormatting>
  <conditionalFormatting sqref="E262:F262">
    <cfRule type="expression" dxfId="540" priority="222">
      <formula>NoColor</formula>
    </cfRule>
  </conditionalFormatting>
  <conditionalFormatting sqref="F162:AJ163">
    <cfRule type="expression" dxfId="539" priority="168">
      <formula>$AO$103</formula>
    </cfRule>
  </conditionalFormatting>
  <conditionalFormatting sqref="F221:AJ222">
    <cfRule type="expression" dxfId="538" priority="162">
      <formula>$AO$103</formula>
    </cfRule>
  </conditionalFormatting>
  <conditionalFormatting sqref="F280:AJ281">
    <cfRule type="expression" dxfId="537" priority="156">
      <formula>$AO$103</formula>
    </cfRule>
  </conditionalFormatting>
  <conditionalFormatting sqref="H85:N85">
    <cfRule type="expression" dxfId="536" priority="452">
      <formula>NoColor</formula>
    </cfRule>
  </conditionalFormatting>
  <conditionalFormatting sqref="H144:N144">
    <cfRule type="expression" dxfId="535" priority="373">
      <formula>NoColor</formula>
    </cfRule>
  </conditionalFormatting>
  <conditionalFormatting sqref="H203:N203">
    <cfRule type="expression" dxfId="534" priority="294">
      <formula>NoColor</formula>
    </cfRule>
  </conditionalFormatting>
  <conditionalFormatting sqref="H262:N262">
    <cfRule type="expression" dxfId="533" priority="215">
      <formula>NoColor</formula>
    </cfRule>
  </conditionalFormatting>
  <conditionalFormatting sqref="M16:R16">
    <cfRule type="expression" dxfId="532" priority="684">
      <formula>IF(NoColor,1,0)</formula>
    </cfRule>
  </conditionalFormatting>
  <conditionalFormatting sqref="N20:O20">
    <cfRule type="expression" dxfId="531" priority="492">
      <formula>X20</formula>
    </cfRule>
  </conditionalFormatting>
  <conditionalFormatting sqref="O77">
    <cfRule type="expression" dxfId="530" priority="468">
      <formula>NoColor</formula>
    </cfRule>
  </conditionalFormatting>
  <conditionalFormatting sqref="O80">
    <cfRule type="expression" dxfId="529" priority="466">
      <formula>NoColor</formula>
    </cfRule>
  </conditionalFormatting>
  <conditionalFormatting sqref="O136">
    <cfRule type="expression" dxfId="528" priority="389">
      <formula>NoColor</formula>
    </cfRule>
  </conditionalFormatting>
  <conditionalFormatting sqref="O139">
    <cfRule type="expression" dxfId="527" priority="387">
      <formula>NoColor</formula>
    </cfRule>
  </conditionalFormatting>
  <conditionalFormatting sqref="O195">
    <cfRule type="expression" dxfId="526" priority="310">
      <formula>NoColor</formula>
    </cfRule>
  </conditionalFormatting>
  <conditionalFormatting sqref="O198">
    <cfRule type="expression" dxfId="525" priority="308">
      <formula>NoColor</formula>
    </cfRule>
  </conditionalFormatting>
  <conditionalFormatting sqref="O254">
    <cfRule type="expression" dxfId="524" priority="231">
      <formula>NoColor</formula>
    </cfRule>
  </conditionalFormatting>
  <conditionalFormatting sqref="O257">
    <cfRule type="expression" dxfId="523" priority="229">
      <formula>NoColor</formula>
    </cfRule>
  </conditionalFormatting>
  <conditionalFormatting sqref="R77">
    <cfRule type="expression" dxfId="522" priority="467">
      <formula>NoColor</formula>
    </cfRule>
  </conditionalFormatting>
  <conditionalFormatting sqref="R80">
    <cfRule type="expression" dxfId="521" priority="465">
      <formula>NoColor</formula>
    </cfRule>
  </conditionalFormatting>
  <conditionalFormatting sqref="R107">
    <cfRule type="expression" dxfId="520" priority="475">
      <formula>AND($AH$106,$AB$106)</formula>
    </cfRule>
  </conditionalFormatting>
  <conditionalFormatting sqref="R136">
    <cfRule type="expression" dxfId="519" priority="388">
      <formula>NoColor</formula>
    </cfRule>
  </conditionalFormatting>
  <conditionalFormatting sqref="R139">
    <cfRule type="expression" dxfId="518" priority="386">
      <formula>NoColor</formula>
    </cfRule>
  </conditionalFormatting>
  <conditionalFormatting sqref="R166">
    <cfRule type="expression" dxfId="517" priority="394">
      <formula>AND($AH$106,$AB$106)</formula>
    </cfRule>
  </conditionalFormatting>
  <conditionalFormatting sqref="R195">
    <cfRule type="expression" dxfId="516" priority="309">
      <formula>NoColor</formula>
    </cfRule>
  </conditionalFormatting>
  <conditionalFormatting sqref="R198">
    <cfRule type="expression" dxfId="515" priority="307">
      <formula>NoColor</formula>
    </cfRule>
  </conditionalFormatting>
  <conditionalFormatting sqref="R225">
    <cfRule type="expression" dxfId="514" priority="315">
      <formula>AND($AH$106,$AB$106)</formula>
    </cfRule>
  </conditionalFormatting>
  <conditionalFormatting sqref="R254">
    <cfRule type="expression" dxfId="513" priority="230">
      <formula>NoColor</formula>
    </cfRule>
  </conditionalFormatting>
  <conditionalFormatting sqref="R257">
    <cfRule type="expression" dxfId="512" priority="228">
      <formula>NoColor</formula>
    </cfRule>
  </conditionalFormatting>
  <conditionalFormatting sqref="R284">
    <cfRule type="expression" dxfId="511" priority="236">
      <formula>AND($AH$106,$AB$106)</formula>
    </cfRule>
  </conditionalFormatting>
  <conditionalFormatting sqref="T75">
    <cfRule type="expression" dxfId="510" priority="515">
      <formula>IF(NoColor,1,0)</formula>
    </cfRule>
  </conditionalFormatting>
  <conditionalFormatting sqref="T88">
    <cfRule type="expression" dxfId="509" priority="441">
      <formula>NoColor</formula>
    </cfRule>
  </conditionalFormatting>
  <conditionalFormatting sqref="T93">
    <cfRule type="expression" dxfId="508" priority="436">
      <formula>NoColor</formula>
    </cfRule>
  </conditionalFormatting>
  <conditionalFormatting sqref="T97">
    <cfRule type="expression" dxfId="507" priority="439">
      <formula>NoColor</formula>
    </cfRule>
  </conditionalFormatting>
  <conditionalFormatting sqref="T100">
    <cfRule type="expression" dxfId="506" priority="438">
      <formula>NoColor</formula>
    </cfRule>
  </conditionalFormatting>
  <conditionalFormatting sqref="T134">
    <cfRule type="expression" dxfId="505" priority="5">
      <formula>IF(NoColor,1,0)</formula>
    </cfRule>
  </conditionalFormatting>
  <conditionalFormatting sqref="T147">
    <cfRule type="expression" dxfId="504" priority="362">
      <formula>NoColor</formula>
    </cfRule>
  </conditionalFormatting>
  <conditionalFormatting sqref="T152">
    <cfRule type="expression" dxfId="503" priority="357">
      <formula>NoColor</formula>
    </cfRule>
  </conditionalFormatting>
  <conditionalFormatting sqref="T156">
    <cfRule type="expression" dxfId="502" priority="360">
      <formula>NoColor</formula>
    </cfRule>
  </conditionalFormatting>
  <conditionalFormatting sqref="T159">
    <cfRule type="expression" dxfId="501" priority="359">
      <formula>NoColor</formula>
    </cfRule>
  </conditionalFormatting>
  <conditionalFormatting sqref="T193">
    <cfRule type="expression" dxfId="500" priority="4">
      <formula>IF(NoColor,1,0)</formula>
    </cfRule>
  </conditionalFormatting>
  <conditionalFormatting sqref="T206">
    <cfRule type="expression" dxfId="499" priority="283">
      <formula>NoColor</formula>
    </cfRule>
  </conditionalFormatting>
  <conditionalFormatting sqref="T211">
    <cfRule type="expression" dxfId="498" priority="278">
      <formula>NoColor</formula>
    </cfRule>
  </conditionalFormatting>
  <conditionalFormatting sqref="T215">
    <cfRule type="expression" dxfId="497" priority="281">
      <formula>NoColor</formula>
    </cfRule>
  </conditionalFormatting>
  <conditionalFormatting sqref="T218">
    <cfRule type="expression" dxfId="496" priority="280">
      <formula>NoColor</formula>
    </cfRule>
  </conditionalFormatting>
  <conditionalFormatting sqref="T252">
    <cfRule type="expression" dxfId="495" priority="3">
      <formula>IF(NoColor,1,0)</formula>
    </cfRule>
  </conditionalFormatting>
  <conditionalFormatting sqref="T265">
    <cfRule type="expression" dxfId="494" priority="204">
      <formula>NoColor</formula>
    </cfRule>
  </conditionalFormatting>
  <conditionalFormatting sqref="T270">
    <cfRule type="expression" dxfId="493" priority="199">
      <formula>NoColor</formula>
    </cfRule>
  </conditionalFormatting>
  <conditionalFormatting sqref="T274">
    <cfRule type="expression" dxfId="492" priority="202">
      <formula>NoColor</formula>
    </cfRule>
  </conditionalFormatting>
  <conditionalFormatting sqref="T277">
    <cfRule type="expression" dxfId="491" priority="201">
      <formula>NoColor</formula>
    </cfRule>
  </conditionalFormatting>
  <conditionalFormatting sqref="T68:U68">
    <cfRule type="expression" dxfId="490" priority="526">
      <formula>IF(NoColor,1,0)</formula>
    </cfRule>
    <cfRule type="expression" dxfId="489" priority="527">
      <formula>AND(NOT(NoColor),NoSSN)</formula>
    </cfRule>
  </conditionalFormatting>
  <conditionalFormatting sqref="T127:U127">
    <cfRule type="expression" dxfId="488" priority="53">
      <formula>IF(NoColor,1,0)</formula>
    </cfRule>
    <cfRule type="expression" dxfId="487" priority="54">
      <formula>AND(NOT(NoColor),NoSSN)</formula>
    </cfRule>
  </conditionalFormatting>
  <conditionalFormatting sqref="T186:U186">
    <cfRule type="expression" dxfId="486" priority="41">
      <formula>IF(NoColor,1,0)</formula>
    </cfRule>
    <cfRule type="expression" dxfId="485" priority="42">
      <formula>AND(NOT(NoColor),NoSSN)</formula>
    </cfRule>
  </conditionalFormatting>
  <conditionalFormatting sqref="T245:U245">
    <cfRule type="expression" dxfId="484" priority="29">
      <formula>IF(NoColor,1,0)</formula>
    </cfRule>
    <cfRule type="expression" dxfId="483" priority="30">
      <formula>AND(NOT(NoColor),NoSSN)</formula>
    </cfRule>
  </conditionalFormatting>
  <conditionalFormatting sqref="T71:AJ71">
    <cfRule type="expression" dxfId="482" priority="442">
      <formula>NoColor</formula>
    </cfRule>
  </conditionalFormatting>
  <conditionalFormatting sqref="T130:AJ130">
    <cfRule type="expression" dxfId="481" priority="8">
      <formula>NoColor</formula>
    </cfRule>
  </conditionalFormatting>
  <conditionalFormatting sqref="T189:AJ189">
    <cfRule type="expression" dxfId="480" priority="7">
      <formula>NoColor</formula>
    </cfRule>
  </conditionalFormatting>
  <conditionalFormatting sqref="T248:AJ248">
    <cfRule type="expression" dxfId="479" priority="6">
      <formula>NoColor</formula>
    </cfRule>
  </conditionalFormatting>
  <conditionalFormatting sqref="U68:AJ68">
    <cfRule type="expression" dxfId="478" priority="427">
      <formula>AND(NoColor,NoSSN)</formula>
    </cfRule>
  </conditionalFormatting>
  <conditionalFormatting sqref="U127:AJ127">
    <cfRule type="expression" dxfId="477" priority="47">
      <formula>AND(NoColor,NoSSN)</formula>
    </cfRule>
  </conditionalFormatting>
  <conditionalFormatting sqref="U186:AJ186">
    <cfRule type="expression" dxfId="476" priority="35">
      <formula>AND(NoColor,NoSSN)</formula>
    </cfRule>
  </conditionalFormatting>
  <conditionalFormatting sqref="U245:AJ245">
    <cfRule type="expression" dxfId="475" priority="23">
      <formula>AND(NoColor,NoSSN)</formula>
    </cfRule>
  </conditionalFormatting>
  <conditionalFormatting sqref="V85:W85">
    <cfRule type="expression" dxfId="474" priority="443">
      <formula>NoColor</formula>
    </cfRule>
  </conditionalFormatting>
  <conditionalFormatting sqref="V144:W144">
    <cfRule type="expression" dxfId="473" priority="364">
      <formula>NoColor</formula>
    </cfRule>
  </conditionalFormatting>
  <conditionalFormatting sqref="V203:W203">
    <cfRule type="expression" dxfId="472" priority="285">
      <formula>NoColor</formula>
    </cfRule>
  </conditionalFormatting>
  <conditionalFormatting sqref="V262:W262">
    <cfRule type="expression" dxfId="471" priority="206">
      <formula>NoColor</formula>
    </cfRule>
  </conditionalFormatting>
  <conditionalFormatting sqref="V67:Y67">
    <cfRule type="expression" dxfId="470" priority="665">
      <formula>IF(NoColor,1,0)</formula>
    </cfRule>
  </conditionalFormatting>
  <conditionalFormatting sqref="V126:Y126">
    <cfRule type="expression" dxfId="469" priority="57">
      <formula>IF(NoColor,1,0)</formula>
    </cfRule>
  </conditionalFormatting>
  <conditionalFormatting sqref="V185:Y185">
    <cfRule type="expression" dxfId="468" priority="45">
      <formula>IF(NoColor,1,0)</formula>
    </cfRule>
  </conditionalFormatting>
  <conditionalFormatting sqref="V244:Y244">
    <cfRule type="expression" dxfId="467" priority="33">
      <formula>IF(NoColor,1,0)</formula>
    </cfRule>
  </conditionalFormatting>
  <conditionalFormatting sqref="X16:AC16">
    <cfRule type="expression" dxfId="466" priority="587">
      <formula>IF(NoColor,1,0)</formula>
    </cfRule>
  </conditionalFormatting>
  <conditionalFormatting sqref="X19:AC19">
    <cfRule type="expression" dxfId="465" priority="497">
      <formula>IF(NoColor,1,0)</formula>
    </cfRule>
  </conditionalFormatting>
  <conditionalFormatting sqref="X21:AC21">
    <cfRule type="expression" dxfId="464" priority="495">
      <formula>IF(NoColor,1,0)</formula>
    </cfRule>
  </conditionalFormatting>
  <conditionalFormatting sqref="X24:AC24">
    <cfRule type="expression" dxfId="463" priority="493">
      <formula>IF(NoColor,1,0)</formula>
    </cfRule>
  </conditionalFormatting>
  <conditionalFormatting sqref="X41:AC41">
    <cfRule type="expression" dxfId="462" priority="562">
      <formula>IF(NoColor,1,0)</formula>
    </cfRule>
  </conditionalFormatting>
  <conditionalFormatting sqref="X44:AC44">
    <cfRule type="expression" dxfId="461" priority="552">
      <formula>IF(NoColor,1,0)</formula>
    </cfRule>
  </conditionalFormatting>
  <conditionalFormatting sqref="X46:AC46">
    <cfRule type="expression" dxfId="460" priority="481">
      <formula>IF(NoColor,1,0)</formula>
    </cfRule>
  </conditionalFormatting>
  <conditionalFormatting sqref="X48:AC48">
    <cfRule type="expression" dxfId="459" priority="548">
      <formula>IF(NoColor,1,0)</formula>
    </cfRule>
  </conditionalFormatting>
  <conditionalFormatting sqref="Y8">
    <cfRule type="expression" dxfId="458" priority="620">
      <formula>IF(NoColor,1,0)</formula>
    </cfRule>
  </conditionalFormatting>
  <conditionalFormatting sqref="Y85:AE85">
    <cfRule type="expression" dxfId="457" priority="445">
      <formula>NoColor</formula>
    </cfRule>
  </conditionalFormatting>
  <conditionalFormatting sqref="Y144:AE144">
    <cfRule type="expression" dxfId="456" priority="366">
      <formula>NoColor</formula>
    </cfRule>
  </conditionalFormatting>
  <conditionalFormatting sqref="Y203:AE203">
    <cfRule type="expression" dxfId="455" priority="287">
      <formula>NoColor</formula>
    </cfRule>
  </conditionalFormatting>
  <conditionalFormatting sqref="Y262:AE262">
    <cfRule type="expression" dxfId="454" priority="208">
      <formula>NoColor</formula>
    </cfRule>
  </conditionalFormatting>
  <conditionalFormatting sqref="AB31">
    <cfRule type="expression" dxfId="453" priority="471">
      <formula>NoColor</formula>
    </cfRule>
  </conditionalFormatting>
  <conditionalFormatting sqref="AC88">
    <cfRule type="expression" dxfId="452" priority="437">
      <formula>NoColor</formula>
    </cfRule>
  </conditionalFormatting>
  <conditionalFormatting sqref="AC93">
    <cfRule type="expression" dxfId="451" priority="440">
      <formula>NoColor</formula>
    </cfRule>
  </conditionalFormatting>
  <conditionalFormatting sqref="AC97">
    <cfRule type="expression" dxfId="450" priority="435">
      <formula>NoColor</formula>
    </cfRule>
  </conditionalFormatting>
  <conditionalFormatting sqref="AC100">
    <cfRule type="expression" dxfId="449" priority="434">
      <formula>NoColor</formula>
    </cfRule>
  </conditionalFormatting>
  <conditionalFormatting sqref="AC147">
    <cfRule type="expression" dxfId="448" priority="358">
      <formula>NoColor</formula>
    </cfRule>
  </conditionalFormatting>
  <conditionalFormatting sqref="AC152">
    <cfRule type="expression" dxfId="447" priority="361">
      <formula>NoColor</formula>
    </cfRule>
  </conditionalFormatting>
  <conditionalFormatting sqref="AC156">
    <cfRule type="expression" dxfId="446" priority="356">
      <formula>NoColor</formula>
    </cfRule>
  </conditionalFormatting>
  <conditionalFormatting sqref="AC159">
    <cfRule type="expression" dxfId="445" priority="355">
      <formula>NoColor</formula>
    </cfRule>
  </conditionalFormatting>
  <conditionalFormatting sqref="AC206">
    <cfRule type="expression" dxfId="444" priority="279">
      <formula>NoColor</formula>
    </cfRule>
  </conditionalFormatting>
  <conditionalFormatting sqref="AC211">
    <cfRule type="expression" dxfId="443" priority="282">
      <formula>NoColor</formula>
    </cfRule>
  </conditionalFormatting>
  <conditionalFormatting sqref="AC215">
    <cfRule type="expression" dxfId="442" priority="277">
      <formula>NoColor</formula>
    </cfRule>
  </conditionalFormatting>
  <conditionalFormatting sqref="AC218">
    <cfRule type="expression" dxfId="441" priority="276">
      <formula>NoColor</formula>
    </cfRule>
  </conditionalFormatting>
  <conditionalFormatting sqref="AC265">
    <cfRule type="expression" dxfId="440" priority="200">
      <formula>NoColor</formula>
    </cfRule>
  </conditionalFormatting>
  <conditionalFormatting sqref="AC270">
    <cfRule type="expression" dxfId="439" priority="203">
      <formula>NoColor</formula>
    </cfRule>
  </conditionalFormatting>
  <conditionalFormatting sqref="AC274">
    <cfRule type="expression" dxfId="438" priority="198">
      <formula>NoColor</formula>
    </cfRule>
  </conditionalFormatting>
  <conditionalFormatting sqref="AC277">
    <cfRule type="expression" dxfId="437" priority="197">
      <formula>NoColor</formula>
    </cfRule>
  </conditionalFormatting>
  <conditionalFormatting sqref="AC59:AJ59">
    <cfRule type="expression" dxfId="436" priority="537">
      <formula>NoSSN</formula>
    </cfRule>
  </conditionalFormatting>
  <conditionalFormatting sqref="AC118:AJ118">
    <cfRule type="expression" dxfId="435" priority="419">
      <formula>NoSSN</formula>
    </cfRule>
  </conditionalFormatting>
  <conditionalFormatting sqref="AC177:AJ177">
    <cfRule type="expression" dxfId="434" priority="340">
      <formula>NoSSN</formula>
    </cfRule>
  </conditionalFormatting>
  <conditionalFormatting sqref="AC236:AJ236">
    <cfRule type="expression" dxfId="433" priority="261">
      <formula>NoSSN</formula>
    </cfRule>
  </conditionalFormatting>
  <conditionalFormatting sqref="AE14:AJ14">
    <cfRule type="expression" dxfId="432" priority="487">
      <formula>IF(NoColor,1,0)</formula>
    </cfRule>
  </conditionalFormatting>
  <conditionalFormatting sqref="AE27:AJ27">
    <cfRule type="expression" dxfId="431" priority="566">
      <formula>IF(NoColor,1,0)</formula>
    </cfRule>
  </conditionalFormatting>
  <conditionalFormatting sqref="AE31:AJ31">
    <cfRule type="expression" dxfId="430" priority="485">
      <formula>IF(NoColor,1,0)</formula>
    </cfRule>
  </conditionalFormatting>
  <conditionalFormatting sqref="AE33:AJ33">
    <cfRule type="expression" dxfId="429" priority="688">
      <formula>IF(NoColor,1,0)</formula>
    </cfRule>
  </conditionalFormatting>
  <conditionalFormatting sqref="AE35:AJ35">
    <cfRule type="expression" dxfId="428" priority="560">
      <formula>IF(NoColor,1,0)</formula>
    </cfRule>
  </conditionalFormatting>
  <conditionalFormatting sqref="AE37:AJ39">
    <cfRule type="expression" dxfId="427" priority="483">
      <formula>IF(NoColor,1,0)</formula>
    </cfRule>
  </conditionalFormatting>
  <conditionalFormatting sqref="AE52:AJ53">
    <cfRule type="expression" dxfId="426" priority="477">
      <formula>IF(NoColor,1,0)</formula>
    </cfRule>
  </conditionalFormatting>
  <conditionalFormatting sqref="AE55:AJ55">
    <cfRule type="expression" dxfId="425" priority="542">
      <formula>IF(NoColor,1,0)</formula>
    </cfRule>
  </conditionalFormatting>
  <conditionalFormatting sqref="AE107:AJ109">
    <cfRule type="expression" dxfId="424" priority="504">
      <formula>IF(NoColor,1,0)</formula>
    </cfRule>
  </conditionalFormatting>
  <conditionalFormatting sqref="AE111:AJ111">
    <cfRule type="expression" dxfId="423" priority="77">
      <formula>IF(NoColor,1,0)</formula>
    </cfRule>
  </conditionalFormatting>
  <conditionalFormatting sqref="AE114:AJ114">
    <cfRule type="expression" dxfId="422" priority="473">
      <formula>IF(NoColor,1,0)</formula>
    </cfRule>
  </conditionalFormatting>
  <conditionalFormatting sqref="AE166:AJ168">
    <cfRule type="expression" dxfId="421" priority="113">
      <formula>IF(NoColor,1,0)</formula>
    </cfRule>
  </conditionalFormatting>
  <conditionalFormatting sqref="AE170:AJ170">
    <cfRule type="expression" dxfId="420" priority="79">
      <formula>IF(NoColor,1,0)</formula>
    </cfRule>
  </conditionalFormatting>
  <conditionalFormatting sqref="AE173:AJ173">
    <cfRule type="expression" dxfId="419" priority="87">
      <formula>IF(NoColor,1,0)</formula>
    </cfRule>
  </conditionalFormatting>
  <conditionalFormatting sqref="AE225:AJ227">
    <cfRule type="expression" dxfId="418" priority="103">
      <formula>IF(NoColor,1,0)</formula>
    </cfRule>
  </conditionalFormatting>
  <conditionalFormatting sqref="AE229:AJ229">
    <cfRule type="expression" dxfId="417" priority="81">
      <formula>IF(NoColor,1,0)</formula>
    </cfRule>
  </conditionalFormatting>
  <conditionalFormatting sqref="AE232:AJ232">
    <cfRule type="expression" dxfId="416" priority="85">
      <formula>IF(NoColor,1,0)</formula>
    </cfRule>
  </conditionalFormatting>
  <conditionalFormatting sqref="AE284:AJ286">
    <cfRule type="expression" dxfId="415" priority="93">
      <formula>IF(NoColor,1,0)</formula>
    </cfRule>
  </conditionalFormatting>
  <conditionalFormatting sqref="AE288:AJ288">
    <cfRule type="expression" dxfId="414" priority="89">
      <formula>IF(NoColor,1,0)</formula>
    </cfRule>
  </conditionalFormatting>
  <conditionalFormatting sqref="AE291:AJ291">
    <cfRule type="expression" dxfId="413" priority="83">
      <formula>IF(NoColor,1,0)</formula>
    </cfRule>
  </conditionalFormatting>
  <conditionalFormatting sqref="AF77">
    <cfRule type="expression" dxfId="412" priority="464">
      <formula>NoColor</formula>
    </cfRule>
  </conditionalFormatting>
  <conditionalFormatting sqref="AF80">
    <cfRule type="expression" dxfId="411" priority="462">
      <formula>NoColor</formula>
    </cfRule>
  </conditionalFormatting>
  <conditionalFormatting sqref="AF136">
    <cfRule type="expression" dxfId="410" priority="385">
      <formula>NoColor</formula>
    </cfRule>
  </conditionalFormatting>
  <conditionalFormatting sqref="AF139">
    <cfRule type="expression" dxfId="409" priority="383">
      <formula>NoColor</formula>
    </cfRule>
  </conditionalFormatting>
  <conditionalFormatting sqref="AF195">
    <cfRule type="expression" dxfId="408" priority="306">
      <formula>NoColor</formula>
    </cfRule>
  </conditionalFormatting>
  <conditionalFormatting sqref="AF198">
    <cfRule type="expression" dxfId="407" priority="304">
      <formula>NoColor</formula>
    </cfRule>
  </conditionalFormatting>
  <conditionalFormatting sqref="AF254">
    <cfRule type="expression" dxfId="406" priority="227">
      <formula>NoColor</formula>
    </cfRule>
  </conditionalFormatting>
  <conditionalFormatting sqref="AF257">
    <cfRule type="expression" dxfId="405" priority="225">
      <formula>NoColor</formula>
    </cfRule>
  </conditionalFormatting>
  <conditionalFormatting sqref="AI77">
    <cfRule type="expression" dxfId="404" priority="463">
      <formula>NoColor</formula>
    </cfRule>
  </conditionalFormatting>
  <conditionalFormatting sqref="AI80">
    <cfRule type="expression" dxfId="403" priority="461">
      <formula>NoColor</formula>
    </cfRule>
  </conditionalFormatting>
  <conditionalFormatting sqref="AI136">
    <cfRule type="expression" dxfId="402" priority="384">
      <formula>NoColor</formula>
    </cfRule>
  </conditionalFormatting>
  <conditionalFormatting sqref="AI139">
    <cfRule type="expression" dxfId="401" priority="382">
      <formula>NoColor</formula>
    </cfRule>
  </conditionalFormatting>
  <conditionalFormatting sqref="AI195">
    <cfRule type="expression" dxfId="400" priority="305">
      <formula>NoColor</formula>
    </cfRule>
  </conditionalFormatting>
  <conditionalFormatting sqref="AI198">
    <cfRule type="expression" dxfId="399" priority="303">
      <formula>NoColor</formula>
    </cfRule>
  </conditionalFormatting>
  <conditionalFormatting sqref="AI254">
    <cfRule type="expression" dxfId="398" priority="226">
      <formula>NoColor</formula>
    </cfRule>
  </conditionalFormatting>
  <conditionalFormatting sqref="AI257">
    <cfRule type="expression" dxfId="397" priority="224">
      <formula>NoColor</formula>
    </cfRule>
  </conditionalFormatting>
  <conditionalFormatting sqref="AN104">
    <cfRule type="expression" dxfId="396" priority="1">
      <formula>IF(AND(File_Marr_Sep&lt;&gt;"",$AI$10&lt;&gt;""),TRUE,FALSE)</formula>
    </cfRule>
    <cfRule type="expression" dxfId="395" priority="2">
      <formula>OR(File_Marr_Sep&lt;&gt;"",AND(File_Marr_Sep="",AI104&lt;&gt;""))</formula>
    </cfRule>
  </conditionalFormatting>
  <conditionalFormatting sqref="AN61:AO63 AN103:AO103 AN120:AO122 AN179:AO181 AN238:AO240">
    <cfRule type="expression" dxfId="394" priority="583">
      <formula>IF(AND(File_Marr_Sep&lt;&gt;"",$AI$10&lt;&gt;""),TRUE,FALSE)</formula>
    </cfRule>
    <cfRule type="expression" dxfId="393" priority="584">
      <formula>OR(File_Marr_Sep&lt;&gt;"",AND(File_Marr_Sep="",AI61&lt;&gt;""))</formula>
    </cfRule>
  </conditionalFormatting>
  <conditionalFormatting sqref="AN162:AO163">
    <cfRule type="expression" dxfId="392" priority="169">
      <formula>IF(AND(File_Marr_Sep&lt;&gt;"",$AI$10&lt;&gt;""),TRUE,FALSE)</formula>
    </cfRule>
    <cfRule type="expression" dxfId="391" priority="170">
      <formula>OR(File_Marr_Sep&lt;&gt;"",AND(File_Marr_Sep="",AI162&lt;&gt;""))</formula>
    </cfRule>
  </conditionalFormatting>
  <conditionalFormatting sqref="AN221:AO222">
    <cfRule type="expression" dxfId="390" priority="163">
      <formula>IF(AND(File_Marr_Sep&lt;&gt;"",$AI$10&lt;&gt;""),TRUE,FALSE)</formula>
    </cfRule>
    <cfRule type="expression" dxfId="389" priority="164">
      <formula>OR(File_Marr_Sep&lt;&gt;"",AND(File_Marr_Sep="",AI221&lt;&gt;""))</formula>
    </cfRule>
  </conditionalFormatting>
  <conditionalFormatting sqref="AN280:AO281">
    <cfRule type="expression" dxfId="388" priority="157">
      <formula>IF(AND(File_Marr_Sep&lt;&gt;"",$AI$10&lt;&gt;""),TRUE,FALSE)</formula>
    </cfRule>
    <cfRule type="expression" dxfId="387" priority="158">
      <formula>OR(File_Marr_Sep&lt;&gt;"",AND(File_Marr_Sep="",AI280&lt;&gt;""))</formula>
    </cfRule>
  </conditionalFormatting>
  <conditionalFormatting sqref="AO13:AO17">
    <cfRule type="expression" dxfId="386" priority="185">
      <formula>NoColor</formula>
    </cfRule>
  </conditionalFormatting>
  <conditionalFormatting sqref="AO42:AO46">
    <cfRule type="expression" dxfId="385" priority="470">
      <formula>NoColor</formula>
    </cfRule>
  </conditionalFormatting>
  <conditionalFormatting sqref="AX47:AX50">
    <cfRule type="expression" dxfId="384" priority="22">
      <formula>NoColor</formula>
    </cfRule>
  </conditionalFormatting>
  <conditionalFormatting sqref="AX52:AX54">
    <cfRule type="expression" dxfId="383" priority="21">
      <formula>NoColor</formula>
    </cfRule>
  </conditionalFormatting>
  <conditionalFormatting sqref="AX92">
    <cfRule type="expression" dxfId="382" priority="430">
      <formula>NoColor</formula>
    </cfRule>
  </conditionalFormatting>
  <conditionalFormatting sqref="AX94">
    <cfRule type="expression" dxfId="381" priority="429">
      <formula>NoColor</formula>
    </cfRule>
  </conditionalFormatting>
  <conditionalFormatting sqref="AX96">
    <cfRule type="expression" dxfId="380" priority="428">
      <formula>NoColor</formula>
    </cfRule>
  </conditionalFormatting>
  <conditionalFormatting sqref="AX151">
    <cfRule type="expression" dxfId="379" priority="73">
      <formula>NoColor</formula>
    </cfRule>
  </conditionalFormatting>
  <conditionalFormatting sqref="AX153">
    <cfRule type="expression" dxfId="378" priority="72">
      <formula>NoColor</formula>
    </cfRule>
  </conditionalFormatting>
  <conditionalFormatting sqref="AX155">
    <cfRule type="expression" dxfId="377" priority="71">
      <formula>NoColor</formula>
    </cfRule>
  </conditionalFormatting>
  <conditionalFormatting sqref="AX210">
    <cfRule type="expression" dxfId="376" priority="67">
      <formula>NoColor</formula>
    </cfRule>
  </conditionalFormatting>
  <conditionalFormatting sqref="AX212">
    <cfRule type="expression" dxfId="375" priority="66">
      <formula>NoColor</formula>
    </cfRule>
  </conditionalFormatting>
  <conditionalFormatting sqref="AX214">
    <cfRule type="expression" dxfId="374" priority="65">
      <formula>NoColor</formula>
    </cfRule>
  </conditionalFormatting>
  <conditionalFormatting sqref="AX269">
    <cfRule type="expression" dxfId="373" priority="61">
      <formula>NoColor</formula>
    </cfRule>
  </conditionalFormatting>
  <conditionalFormatting sqref="AX271">
    <cfRule type="expression" dxfId="372" priority="60">
      <formula>NoColor</formula>
    </cfRule>
  </conditionalFormatting>
  <conditionalFormatting sqref="AX273">
    <cfRule type="expression" dxfId="371" priority="59">
      <formula>NoColor</formula>
    </cfRule>
  </conditionalFormatting>
  <conditionalFormatting sqref="AY88">
    <cfRule type="expression" dxfId="370" priority="433">
      <formula>NoColor</formula>
    </cfRule>
  </conditionalFormatting>
  <conditionalFormatting sqref="AY98">
    <cfRule type="expression" dxfId="369" priority="432">
      <formula>NoColor</formula>
    </cfRule>
  </conditionalFormatting>
  <conditionalFormatting sqref="AY101">
    <cfRule type="expression" dxfId="368" priority="431">
      <formula>NoColor</formula>
    </cfRule>
  </conditionalFormatting>
  <conditionalFormatting sqref="AY147">
    <cfRule type="expression" dxfId="367" priority="76">
      <formula>NoColor</formula>
    </cfRule>
  </conditionalFormatting>
  <conditionalFormatting sqref="AY157">
    <cfRule type="expression" dxfId="366" priority="75">
      <formula>NoColor</formula>
    </cfRule>
  </conditionalFormatting>
  <conditionalFormatting sqref="AY160">
    <cfRule type="expression" dxfId="365" priority="74">
      <formula>NoColor</formula>
    </cfRule>
  </conditionalFormatting>
  <conditionalFormatting sqref="AY206">
    <cfRule type="expression" dxfId="364" priority="70">
      <formula>NoColor</formula>
    </cfRule>
  </conditionalFormatting>
  <conditionalFormatting sqref="AY216">
    <cfRule type="expression" dxfId="363" priority="69">
      <formula>NoColor</formula>
    </cfRule>
  </conditionalFormatting>
  <conditionalFormatting sqref="AY219">
    <cfRule type="expression" dxfId="362" priority="68">
      <formula>NoColor</formula>
    </cfRule>
  </conditionalFormatting>
  <conditionalFormatting sqref="AY265">
    <cfRule type="expression" dxfId="361" priority="64">
      <formula>NoColor</formula>
    </cfRule>
  </conditionalFormatting>
  <conditionalFormatting sqref="AY275">
    <cfRule type="expression" dxfId="360" priority="63">
      <formula>NoColor</formula>
    </cfRule>
  </conditionalFormatting>
  <conditionalFormatting sqref="AY278">
    <cfRule type="expression" dxfId="359" priority="62">
      <formula>NoColor</formula>
    </cfRule>
  </conditionalFormatting>
  <pageMargins left="0.75" right="0.25" top="0.36" bottom="0.28999999999999998" header="0.36" footer="0.21"/>
  <pageSetup scale="72" fitToHeight="0" orientation="portrait" r:id="rId1"/>
  <rowBreaks count="4" manualBreakCount="4">
    <brk id="56" min="1" max="35" man="1"/>
    <brk id="115" min="1" max="35" man="1"/>
    <brk id="174" min="1" max="35" man="1"/>
    <brk id="233" min="1" max="35"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CA69"/>
  <sheetViews>
    <sheetView zoomScaleNormal="100" zoomScaleSheetLayoutView="100" workbookViewId="0"/>
  </sheetViews>
  <sheetFormatPr defaultColWidth="9.140625" defaultRowHeight="12.75"/>
  <cols>
    <col min="1" max="1" width="3.7109375" style="39" customWidth="1"/>
    <col min="2" max="2" width="5.140625" style="39" customWidth="1"/>
    <col min="3" max="3" width="6.140625" style="39" customWidth="1"/>
    <col min="4" max="11" width="4" style="39" customWidth="1"/>
    <col min="12" max="12" width="3.7109375" style="39" customWidth="1"/>
    <col min="13" max="13" width="4.7109375" style="39" customWidth="1"/>
    <col min="14" max="14" width="4.42578125" style="39" customWidth="1"/>
    <col min="15" max="16" width="3.7109375" style="39" customWidth="1"/>
    <col min="17" max="17" width="5.140625" style="39" customWidth="1"/>
    <col min="18" max="22" width="3.7109375" style="39" customWidth="1"/>
    <col min="23" max="23" width="4.85546875" style="39" customWidth="1"/>
    <col min="24" max="29" width="3.7109375" style="39" customWidth="1"/>
    <col min="30" max="30" width="5.5703125" style="39" customWidth="1"/>
    <col min="31" max="32" width="3.7109375" style="39" customWidth="1"/>
    <col min="33" max="33" width="4.42578125" style="39" customWidth="1"/>
    <col min="34" max="36" width="3.7109375" style="39" customWidth="1"/>
    <col min="37" max="37" width="4.5703125" style="39" customWidth="1"/>
    <col min="38" max="38" width="4.42578125" style="39" customWidth="1"/>
    <col min="39" max="39" width="2.42578125" style="39" customWidth="1"/>
    <col min="40" max="40" width="4.5703125" style="39" customWidth="1"/>
    <col min="41" max="41" width="43.28515625" style="39" customWidth="1"/>
    <col min="42" max="42" width="5.140625" style="39" customWidth="1"/>
    <col min="43" max="43" width="10.140625" style="39" customWidth="1"/>
    <col min="44" max="44" width="3.140625" style="39" customWidth="1"/>
    <col min="45" max="45" width="4.5703125" style="39" customWidth="1"/>
    <col min="46" max="46" width="13.140625" style="4749" customWidth="1"/>
    <col min="47" max="54" width="10.7109375" style="2690" customWidth="1"/>
    <col min="55" max="16384" width="9.140625" style="39"/>
  </cols>
  <sheetData>
    <row r="1" spans="1:79" ht="16.5" customHeight="1">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1"/>
      <c r="AJ1" s="461"/>
      <c r="AK1" s="461"/>
      <c r="AL1" s="808"/>
      <c r="AM1" s="808"/>
      <c r="AN1" s="808"/>
      <c r="AO1" s="808"/>
      <c r="AP1" s="808"/>
      <c r="AQ1" s="808"/>
      <c r="AR1" s="808"/>
      <c r="AS1" s="808"/>
      <c r="AT1" s="4697"/>
      <c r="AU1" s="2038"/>
      <c r="AV1" s="2038"/>
      <c r="AW1" s="2038"/>
      <c r="AX1" s="2038"/>
      <c r="AY1" s="2038"/>
      <c r="AZ1" s="2038"/>
      <c r="BA1" s="2038"/>
      <c r="BB1" s="2038"/>
    </row>
    <row r="2" spans="1:79" ht="18" customHeight="1">
      <c r="A2" s="461"/>
      <c r="B2" s="808"/>
      <c r="C2" s="808"/>
      <c r="D2" s="8768" t="s">
        <v>142</v>
      </c>
      <c r="E2" s="8769"/>
      <c r="F2" s="8769"/>
      <c r="G2" s="8769"/>
      <c r="H2" s="860"/>
      <c r="I2" s="2633"/>
      <c r="J2" s="808"/>
      <c r="K2" s="808"/>
      <c r="L2" s="808"/>
      <c r="M2" s="808"/>
      <c r="N2" s="808"/>
      <c r="O2" s="808"/>
      <c r="P2" s="808"/>
      <c r="Q2" s="808"/>
      <c r="R2" s="808"/>
      <c r="S2" s="808"/>
      <c r="T2" s="808"/>
      <c r="U2" s="808"/>
      <c r="V2" s="808"/>
      <c r="W2" s="808"/>
      <c r="X2" s="808"/>
      <c r="Y2" s="808"/>
      <c r="Z2" s="808"/>
      <c r="AA2" s="808"/>
      <c r="AB2" s="2577"/>
      <c r="AC2" s="9862" t="s">
        <v>576</v>
      </c>
      <c r="AD2" s="8773"/>
      <c r="AE2" s="8773"/>
      <c r="AF2" s="8773"/>
      <c r="AG2" s="8773"/>
      <c r="AH2" s="8773"/>
      <c r="AI2" s="8773"/>
      <c r="AJ2" s="8773"/>
      <c r="AK2" s="461"/>
      <c r="AL2" s="808"/>
      <c r="AM2" s="808"/>
      <c r="AN2" s="808"/>
      <c r="AO2" s="808"/>
      <c r="AP2" s="808"/>
      <c r="AQ2" s="808"/>
      <c r="AR2" s="808"/>
      <c r="AS2" s="808"/>
      <c r="AT2" s="4697" t="s">
        <v>241</v>
      </c>
      <c r="AU2" s="2038"/>
      <c r="AV2" s="2038"/>
      <c r="AW2" s="2038"/>
      <c r="AX2" s="2038"/>
      <c r="AY2" s="2038"/>
      <c r="AZ2" s="2038"/>
      <c r="BA2" s="2038"/>
      <c r="BB2" s="2038"/>
    </row>
    <row r="3" spans="1:79" ht="24" customHeight="1">
      <c r="A3" s="461"/>
      <c r="B3" s="8774" t="s">
        <v>50</v>
      </c>
      <c r="C3" s="7256"/>
      <c r="D3" s="8769"/>
      <c r="E3" s="8769"/>
      <c r="F3" s="8769"/>
      <c r="G3" s="8769"/>
      <c r="H3" s="860"/>
      <c r="I3" s="10008" t="s">
        <v>4808</v>
      </c>
      <c r="J3" s="10009"/>
      <c r="K3" s="10009"/>
      <c r="L3" s="10009"/>
      <c r="M3" s="10009"/>
      <c r="N3" s="10009"/>
      <c r="O3" s="10009"/>
      <c r="P3" s="10009"/>
      <c r="Q3" s="10009"/>
      <c r="R3" s="10009"/>
      <c r="S3" s="10009"/>
      <c r="T3" s="10009"/>
      <c r="U3" s="10009"/>
      <c r="V3" s="10009"/>
      <c r="W3" s="10009"/>
      <c r="X3" s="10009"/>
      <c r="Y3" s="10009"/>
      <c r="Z3" s="10009"/>
      <c r="AA3" s="10009"/>
      <c r="AB3" s="10010"/>
      <c r="AC3" s="8775">
        <f>TaxYear</f>
        <v>2023</v>
      </c>
      <c r="AD3" s="8776"/>
      <c r="AE3" s="8776"/>
      <c r="AF3" s="8776"/>
      <c r="AG3" s="8776"/>
      <c r="AH3" s="8776"/>
      <c r="AI3" s="8776"/>
      <c r="AJ3" s="8776"/>
      <c r="AK3" s="461"/>
      <c r="AL3" s="808"/>
      <c r="AM3" s="808"/>
      <c r="AN3" s="808"/>
      <c r="AO3" s="808"/>
      <c r="AP3" s="808"/>
      <c r="AQ3" s="808"/>
      <c r="AR3" s="808"/>
      <c r="AS3" s="808"/>
      <c r="AT3" s="4748" t="s">
        <v>251</v>
      </c>
      <c r="AU3" s="2038"/>
      <c r="AV3" s="2038"/>
      <c r="AW3" s="2038"/>
      <c r="AX3" s="2038"/>
      <c r="AY3" s="2038"/>
      <c r="AZ3" s="2038"/>
      <c r="BA3" s="2038"/>
      <c r="BB3" s="2038"/>
    </row>
    <row r="4" spans="1:79" ht="6.75" customHeight="1">
      <c r="A4" s="461"/>
      <c r="B4" s="808"/>
      <c r="C4" s="808"/>
      <c r="D4" s="808"/>
      <c r="E4" s="808"/>
      <c r="F4" s="808"/>
      <c r="G4" s="808"/>
      <c r="H4" s="860"/>
      <c r="I4" s="1115"/>
      <c r="J4" s="1116"/>
      <c r="K4" s="1116"/>
      <c r="L4" s="1116"/>
      <c r="M4" s="1116"/>
      <c r="N4" s="1116"/>
      <c r="O4" s="1116"/>
      <c r="P4" s="1116"/>
      <c r="Q4" s="1116"/>
      <c r="R4" s="1116"/>
      <c r="S4" s="1116"/>
      <c r="T4" s="1116"/>
      <c r="U4" s="1116"/>
      <c r="V4" s="1116"/>
      <c r="W4" s="1116"/>
      <c r="X4" s="1116"/>
      <c r="Y4" s="1116"/>
      <c r="Z4" s="1116"/>
      <c r="AA4" s="1116"/>
      <c r="AB4" s="1117"/>
      <c r="AC4" s="8777"/>
      <c r="AD4" s="8778"/>
      <c r="AE4" s="8778"/>
      <c r="AF4" s="8778"/>
      <c r="AG4" s="8778"/>
      <c r="AH4" s="8778"/>
      <c r="AI4" s="8778"/>
      <c r="AJ4" s="8778"/>
      <c r="AK4" s="461"/>
      <c r="AL4" s="808"/>
      <c r="AM4" s="808"/>
      <c r="AN4" s="808"/>
      <c r="AO4" s="808"/>
      <c r="AP4" s="808"/>
      <c r="AQ4" s="808"/>
      <c r="AR4" s="808"/>
      <c r="AS4" s="808"/>
      <c r="AT4" s="4698"/>
      <c r="AU4" s="2038"/>
      <c r="AV4" s="2038"/>
      <c r="AW4" s="2038"/>
      <c r="AX4" s="2038"/>
      <c r="AY4" s="2038"/>
      <c r="AZ4" s="2038"/>
      <c r="BA4" s="2038"/>
      <c r="BB4" s="2038"/>
    </row>
    <row r="5" spans="1:79" ht="12.75" customHeight="1">
      <c r="A5" s="461"/>
      <c r="B5" s="808" t="s">
        <v>535</v>
      </c>
      <c r="C5" s="808"/>
      <c r="D5" s="808"/>
      <c r="E5" s="808"/>
      <c r="F5" s="808"/>
      <c r="G5" s="808"/>
      <c r="H5" s="860"/>
      <c r="I5" s="9869" t="s">
        <v>880</v>
      </c>
      <c r="J5" s="9870"/>
      <c r="K5" s="9870"/>
      <c r="L5" s="9870"/>
      <c r="M5" s="9870"/>
      <c r="N5" s="9870"/>
      <c r="O5" s="9870"/>
      <c r="P5" s="9870"/>
      <c r="Q5" s="9870"/>
      <c r="R5" s="9870"/>
      <c r="S5" s="9870"/>
      <c r="T5" s="9870"/>
      <c r="U5" s="9870"/>
      <c r="V5" s="9870"/>
      <c r="W5" s="9870"/>
      <c r="X5" s="9870"/>
      <c r="Y5" s="9870"/>
      <c r="Z5" s="9870"/>
      <c r="AA5" s="9870"/>
      <c r="AB5" s="9871"/>
      <c r="AC5" s="894"/>
      <c r="AD5" s="8472" t="s">
        <v>3899</v>
      </c>
      <c r="AE5" s="6848"/>
      <c r="AF5" s="6848"/>
      <c r="AG5" s="6848"/>
      <c r="AH5" s="8160">
        <v>54</v>
      </c>
      <c r="AI5" s="8160"/>
      <c r="AJ5" s="808"/>
      <c r="AK5" s="461"/>
      <c r="AL5" s="808"/>
      <c r="AM5" s="808"/>
      <c r="AN5" s="808"/>
      <c r="AO5" s="808"/>
      <c r="AP5" s="808"/>
      <c r="AQ5" s="808"/>
      <c r="AR5" s="808"/>
      <c r="AS5" s="808"/>
      <c r="AT5" s="4698"/>
      <c r="AU5" s="2038"/>
      <c r="AV5" s="2038"/>
      <c r="AW5" s="2038"/>
      <c r="AX5" s="2038"/>
      <c r="AY5" s="2038"/>
      <c r="AZ5" s="2038"/>
      <c r="BA5" s="2038"/>
      <c r="BB5" s="2038"/>
    </row>
    <row r="6" spans="1:79" ht="13.5" customHeight="1" thickBot="1">
      <c r="A6" s="461"/>
      <c r="B6" s="896" t="s">
        <v>537</v>
      </c>
      <c r="C6" s="896"/>
      <c r="D6" s="896"/>
      <c r="E6" s="896"/>
      <c r="F6" s="896"/>
      <c r="G6" s="896"/>
      <c r="H6" s="897"/>
      <c r="I6" s="9842" t="s">
        <v>4809</v>
      </c>
      <c r="J6" s="9843"/>
      <c r="K6" s="9843"/>
      <c r="L6" s="9843"/>
      <c r="M6" s="9843"/>
      <c r="N6" s="9843"/>
      <c r="O6" s="9843"/>
      <c r="P6" s="9843"/>
      <c r="Q6" s="9843"/>
      <c r="R6" s="9843"/>
      <c r="S6" s="9843"/>
      <c r="T6" s="9843"/>
      <c r="U6" s="9843"/>
      <c r="V6" s="9843"/>
      <c r="W6" s="9843"/>
      <c r="X6" s="9843"/>
      <c r="Y6" s="9843"/>
      <c r="Z6" s="9843"/>
      <c r="AA6" s="9843"/>
      <c r="AB6" s="9844"/>
      <c r="AC6" s="1118"/>
      <c r="AD6" s="8860" t="s">
        <v>3912</v>
      </c>
      <c r="AE6" s="8861"/>
      <c r="AF6" s="8861"/>
      <c r="AG6" s="8861"/>
      <c r="AH6" s="8848"/>
      <c r="AI6" s="8848"/>
      <c r="AJ6" s="896"/>
      <c r="AK6" s="461"/>
      <c r="AL6" s="808"/>
      <c r="AM6" s="808"/>
      <c r="AN6" s="808"/>
      <c r="AO6" s="808"/>
      <c r="AP6" s="808"/>
      <c r="AQ6" s="808"/>
      <c r="AR6" s="808"/>
      <c r="AS6" s="808"/>
      <c r="AT6" s="4698"/>
      <c r="AU6" s="2038"/>
      <c r="AV6" s="2038"/>
      <c r="AW6" s="2038"/>
      <c r="AX6" s="2038"/>
      <c r="AY6" s="2038"/>
      <c r="AZ6" s="2038"/>
      <c r="BA6" s="2038"/>
      <c r="BB6" s="2038"/>
    </row>
    <row r="7" spans="1:79">
      <c r="A7" s="461"/>
      <c r="B7" s="1119" t="s">
        <v>2208</v>
      </c>
      <c r="C7" s="1119"/>
      <c r="D7" s="1119"/>
      <c r="E7" s="1119"/>
      <c r="F7" s="1119"/>
      <c r="G7" s="1119"/>
      <c r="H7" s="1119"/>
      <c r="I7" s="1119"/>
      <c r="J7" s="1119"/>
      <c r="K7" s="1119"/>
      <c r="L7" s="1119"/>
      <c r="M7" s="1119"/>
      <c r="N7" s="1119"/>
      <c r="O7" s="1119"/>
      <c r="P7" s="1119"/>
      <c r="Q7" s="1119"/>
      <c r="R7" s="1119"/>
      <c r="S7" s="1119"/>
      <c r="T7" s="1119"/>
      <c r="U7" s="1119"/>
      <c r="V7" s="1119"/>
      <c r="W7" s="1119"/>
      <c r="X7" s="1119"/>
      <c r="Y7" s="3592" t="s">
        <v>586</v>
      </c>
      <c r="Z7" s="890"/>
      <c r="AA7" s="890"/>
      <c r="AB7" s="890"/>
      <c r="AC7" s="1150"/>
      <c r="AD7" s="1255"/>
      <c r="AE7" s="1255"/>
      <c r="AF7" s="1255"/>
      <c r="AG7" s="1255"/>
      <c r="AH7" s="1255"/>
      <c r="AI7" s="1255"/>
      <c r="AJ7" s="1255"/>
      <c r="AK7" s="461"/>
      <c r="AL7" s="808"/>
      <c r="AM7" s="808"/>
      <c r="AN7" s="808"/>
      <c r="AO7" s="808"/>
      <c r="AP7" s="808"/>
      <c r="AQ7" s="808"/>
      <c r="AR7" s="808"/>
      <c r="AS7" s="808"/>
      <c r="AT7" s="4698"/>
      <c r="AU7" s="2038"/>
      <c r="AV7" s="2038"/>
      <c r="AW7" s="2038"/>
      <c r="AX7" s="2038"/>
      <c r="AY7" s="2038"/>
      <c r="AZ7" s="2038"/>
      <c r="BA7" s="2038"/>
      <c r="BB7" s="2038"/>
    </row>
    <row r="8" spans="1:79">
      <c r="A8" s="461"/>
      <c r="B8" s="8742" t="str">
        <f>IF(Names="","",Names)</f>
        <v/>
      </c>
      <c r="C8" s="8743"/>
      <c r="D8" s="8743"/>
      <c r="E8" s="8743"/>
      <c r="F8" s="8743"/>
      <c r="G8" s="8743"/>
      <c r="H8" s="8743"/>
      <c r="I8" s="8743"/>
      <c r="J8" s="8743"/>
      <c r="K8" s="8743"/>
      <c r="L8" s="8744"/>
      <c r="M8" s="8744"/>
      <c r="N8" s="8744"/>
      <c r="O8" s="8744"/>
      <c r="P8" s="8744"/>
      <c r="Q8" s="8744"/>
      <c r="R8" s="8744"/>
      <c r="S8" s="8744"/>
      <c r="T8" s="7311"/>
      <c r="U8" s="7311"/>
      <c r="V8" s="7311"/>
      <c r="W8" s="7311"/>
      <c r="X8" s="8745"/>
      <c r="Y8" s="8748">
        <f>IF(OR(NoSSN,SS_Yours=""),"",SS_Yours)</f>
        <v>1010001</v>
      </c>
      <c r="Z8" s="6733"/>
      <c r="AA8" s="6733"/>
      <c r="AB8" s="6733"/>
      <c r="AC8" s="6733"/>
      <c r="AD8" s="6733"/>
      <c r="AE8" s="6733"/>
      <c r="AF8" s="6733"/>
      <c r="AG8" s="6733"/>
      <c r="AH8" s="6733"/>
      <c r="AI8" s="6733"/>
      <c r="AJ8" s="6733"/>
      <c r="AK8" s="461"/>
      <c r="AL8" s="808"/>
      <c r="AM8" s="808"/>
      <c r="AN8" s="808"/>
      <c r="AO8" s="808"/>
      <c r="AP8" s="808"/>
      <c r="AQ8" s="808"/>
      <c r="AR8" s="808"/>
      <c r="AS8" s="808"/>
      <c r="AT8" s="4698"/>
      <c r="AU8" s="2038"/>
      <c r="AV8" s="2038"/>
      <c r="AW8" s="2038"/>
      <c r="AX8" s="2038"/>
      <c r="AY8" s="2038"/>
      <c r="AZ8" s="2038"/>
      <c r="BA8" s="2038"/>
      <c r="BB8" s="2038"/>
    </row>
    <row r="9" spans="1:79">
      <c r="A9" s="461"/>
      <c r="B9" s="8746"/>
      <c r="C9" s="8746"/>
      <c r="D9" s="8746"/>
      <c r="E9" s="8746"/>
      <c r="F9" s="8746"/>
      <c r="G9" s="8746"/>
      <c r="H9" s="8746"/>
      <c r="I9" s="8746"/>
      <c r="J9" s="8746"/>
      <c r="K9" s="8746"/>
      <c r="L9" s="8746"/>
      <c r="M9" s="8746"/>
      <c r="N9" s="8746"/>
      <c r="O9" s="8746"/>
      <c r="P9" s="8746"/>
      <c r="Q9" s="8746"/>
      <c r="R9" s="8746"/>
      <c r="S9" s="8746"/>
      <c r="T9" s="8310"/>
      <c r="U9" s="8310"/>
      <c r="V9" s="8310"/>
      <c r="W9" s="8310"/>
      <c r="X9" s="8747"/>
      <c r="Y9" s="6734"/>
      <c r="Z9" s="6731"/>
      <c r="AA9" s="6731"/>
      <c r="AB9" s="6731"/>
      <c r="AC9" s="6731"/>
      <c r="AD9" s="6731"/>
      <c r="AE9" s="6731"/>
      <c r="AF9" s="6731"/>
      <c r="AG9" s="6731"/>
      <c r="AH9" s="6731"/>
      <c r="AI9" s="6731"/>
      <c r="AJ9" s="6731"/>
      <c r="AK9" s="461"/>
      <c r="AL9" s="808"/>
      <c r="AM9" s="808"/>
      <c r="AN9" s="808"/>
      <c r="AO9" s="808"/>
      <c r="AP9" s="808"/>
      <c r="AQ9" s="808"/>
      <c r="AR9" s="808"/>
      <c r="AS9" s="808"/>
      <c r="AT9" s="4698"/>
      <c r="AU9" s="2038"/>
      <c r="AV9" s="2038"/>
      <c r="AW9" s="2038"/>
      <c r="AX9" s="2038"/>
      <c r="AY9" s="2038"/>
      <c r="AZ9" s="2038"/>
      <c r="BA9" s="2038"/>
      <c r="BB9" s="2038"/>
    </row>
    <row r="10" spans="1:79" ht="16.5" customHeight="1">
      <c r="A10" s="461"/>
      <c r="B10" s="4582"/>
      <c r="C10" s="4583"/>
      <c r="D10" s="4583"/>
      <c r="E10" s="4851" t="s">
        <v>4810</v>
      </c>
      <c r="F10" s="4583"/>
      <c r="G10" s="4583"/>
      <c r="H10" s="4583"/>
      <c r="I10" s="4583"/>
      <c r="J10" s="4583"/>
      <c r="K10" s="4583"/>
      <c r="L10" s="4583"/>
      <c r="M10" s="4583"/>
      <c r="N10" s="4583"/>
      <c r="O10" s="4583"/>
      <c r="P10" s="4583"/>
      <c r="Q10" s="4583"/>
      <c r="R10" s="4583"/>
      <c r="S10" s="4583"/>
      <c r="T10" s="4583"/>
      <c r="U10" s="4583"/>
      <c r="V10" s="4583"/>
      <c r="W10" s="4583"/>
      <c r="X10" s="4583"/>
      <c r="Y10" s="4583"/>
      <c r="Z10" s="4583"/>
      <c r="AA10" s="4583"/>
      <c r="AB10" s="4583"/>
      <c r="AC10" s="4583"/>
      <c r="AD10" s="4583"/>
      <c r="AE10" s="4583"/>
      <c r="AF10" s="4583"/>
      <c r="AG10" s="4583"/>
      <c r="AH10" s="4583"/>
      <c r="AI10" s="808"/>
      <c r="AJ10" s="808"/>
      <c r="AK10" s="461"/>
      <c r="AL10" s="808"/>
      <c r="AM10" s="808"/>
      <c r="AN10" s="808"/>
      <c r="AO10" s="808"/>
      <c r="AP10" s="808"/>
      <c r="AQ10" s="808"/>
      <c r="AR10" s="808"/>
      <c r="AS10" s="808"/>
      <c r="AT10" s="4698"/>
      <c r="AU10" s="2038"/>
      <c r="AV10" s="2038"/>
      <c r="AW10" s="2038"/>
      <c r="AX10" s="2038"/>
      <c r="AY10" s="2038"/>
      <c r="AZ10" s="2038"/>
      <c r="BA10" s="2038"/>
      <c r="BB10" s="2038"/>
    </row>
    <row r="11" spans="1:79" ht="15" customHeight="1">
      <c r="A11" s="461"/>
      <c r="B11" s="3250"/>
      <c r="C11" s="3361"/>
      <c r="D11" s="3361"/>
      <c r="E11" s="2334" t="s">
        <v>1806</v>
      </c>
      <c r="F11" s="4852" t="str">
        <f>"The amount on Form 1040, 1040-SR, or 1040-NR, line 11, is more than "&amp;TEXT(AB12,"$0,000")&amp;" ("&amp;TEXT(AE12,"$0,000")&amp;" if head of household; "&amp;TEXT(AH12,"$0,000")&amp;" if"</f>
        <v>The amount on Form 1040, 1040-SR, or 1040-NR, line 11, is more than $36,500 ($54,750 if head of household; $73,000 if</v>
      </c>
      <c r="G11" s="3361"/>
      <c r="H11" s="3361"/>
      <c r="I11" s="3361"/>
      <c r="J11" s="3361"/>
      <c r="K11" s="3361"/>
      <c r="L11" s="3361"/>
      <c r="M11" s="3361"/>
      <c r="N11" s="3361"/>
      <c r="O11" s="3361"/>
      <c r="P11" s="3361"/>
      <c r="Q11" s="3361"/>
      <c r="R11" s="3361"/>
      <c r="S11" s="3361"/>
      <c r="T11" s="3361"/>
      <c r="U11" s="3361"/>
      <c r="V11" s="3361"/>
      <c r="W11" s="3361"/>
      <c r="X11" s="3361"/>
      <c r="Y11" s="3361"/>
      <c r="Z11" s="3361"/>
      <c r="AA11" s="3361"/>
      <c r="AB11" s="3361"/>
      <c r="AC11" s="3361"/>
      <c r="AD11" s="3361"/>
      <c r="AE11" s="3361"/>
      <c r="AF11" s="3361"/>
      <c r="AG11" s="3361"/>
      <c r="AH11" s="3361"/>
      <c r="AI11" s="808"/>
      <c r="AJ11" s="808"/>
      <c r="AK11" s="4853"/>
      <c r="AL11" s="808" t="str">
        <f>IF(OR(V12,R15)," Hide emphasis.","")</f>
        <v/>
      </c>
      <c r="AM11" s="808"/>
      <c r="AN11" s="808"/>
      <c r="AO11" s="808"/>
      <c r="AP11" s="808"/>
      <c r="AQ11" s="808"/>
      <c r="AR11" s="808"/>
      <c r="AS11" s="808"/>
      <c r="AT11" s="4698"/>
      <c r="AU11" s="2038"/>
      <c r="AV11" s="2038"/>
      <c r="AW11" s="2038"/>
      <c r="AX11" s="2038"/>
      <c r="AY11" s="2038"/>
      <c r="AZ11" s="2038"/>
      <c r="BA11" s="2038"/>
      <c r="BB11" s="2038"/>
    </row>
    <row r="12" spans="1:79" ht="15" customHeight="1">
      <c r="A12" s="461"/>
      <c r="B12" s="3250"/>
      <c r="C12" s="3361"/>
      <c r="D12" s="3361"/>
      <c r="E12" s="4852" t="s">
        <v>4811</v>
      </c>
      <c r="F12" s="3361"/>
      <c r="G12" s="3361"/>
      <c r="H12" s="3361"/>
      <c r="I12" s="3361"/>
      <c r="J12" s="3361"/>
      <c r="K12" s="3361"/>
      <c r="L12" s="3361"/>
      <c r="M12" s="3361"/>
      <c r="N12" s="3361"/>
      <c r="O12" s="3361"/>
      <c r="P12" s="3361"/>
      <c r="Q12" s="3361"/>
      <c r="R12" s="3361"/>
      <c r="S12" s="3361"/>
      <c r="T12" s="3361"/>
      <c r="U12" s="3361"/>
      <c r="V12" s="10001" t="b">
        <f>AND(NumFileStatusBoxes=1,Adj_Gross_Inc&gt;Y12)</f>
        <v>0</v>
      </c>
      <c r="W12" s="10001"/>
      <c r="X12" s="10001"/>
      <c r="Y12" s="10001" t="str">
        <f>IF(File_Marr_Joint&lt;&gt;"",AH12,IF(File_Head&lt;&gt;"",AE12,IF(NumFileStatusBoxes=1,AB12,"")))</f>
        <v/>
      </c>
      <c r="Z12" s="10001"/>
      <c r="AA12" s="10001"/>
      <c r="AB12" s="10007">
        <f>D39</f>
        <v>36500</v>
      </c>
      <c r="AC12" s="10001"/>
      <c r="AD12" s="10001"/>
      <c r="AE12" s="10007">
        <f>D42</f>
        <v>54750</v>
      </c>
      <c r="AF12" s="10001"/>
      <c r="AG12" s="10001"/>
      <c r="AH12" s="10007">
        <f>D43</f>
        <v>73000</v>
      </c>
      <c r="AI12" s="10001"/>
      <c r="AJ12" s="10001"/>
      <c r="AK12" s="4853"/>
      <c r="AL12" s="1116" t="str">
        <f>IF(OR(V12,R15)," Override CAUTION.","")</f>
        <v/>
      </c>
      <c r="AM12" s="808"/>
      <c r="AN12" s="808"/>
      <c r="AO12" s="808"/>
      <c r="AP12" s="808"/>
      <c r="AQ12" s="808"/>
      <c r="AR12" s="808"/>
      <c r="AS12" s="808"/>
      <c r="AT12" s="4698"/>
      <c r="AU12" s="2038"/>
      <c r="AV12" s="2038"/>
      <c r="AW12" s="2038"/>
      <c r="AX12" s="2038"/>
      <c r="AY12" s="2038"/>
      <c r="AZ12" s="2038"/>
      <c r="BA12" s="2038"/>
      <c r="BB12" s="2038"/>
    </row>
    <row r="13" spans="1:79" ht="15" customHeight="1">
      <c r="A13" s="461"/>
      <c r="B13" s="3250"/>
      <c r="C13" s="3361"/>
      <c r="D13" s="3361"/>
      <c r="E13" s="2334" t="s">
        <v>1806</v>
      </c>
      <c r="F13" s="4852" t="s">
        <v>4812</v>
      </c>
      <c r="G13" s="3361"/>
      <c r="H13" s="3361"/>
      <c r="I13" s="3361"/>
      <c r="J13" s="3361"/>
      <c r="K13" s="3361"/>
      <c r="L13" s="3361"/>
      <c r="M13" s="3361"/>
      <c r="N13" s="3361"/>
      <c r="O13" s="3361"/>
      <c r="P13" s="3361"/>
      <c r="Q13" s="3361"/>
      <c r="R13" s="3361"/>
      <c r="S13" s="3361"/>
      <c r="T13" s="3361"/>
      <c r="U13" s="3361"/>
      <c r="V13" s="4852"/>
      <c r="W13" s="4852"/>
      <c r="X13" s="4852"/>
      <c r="Y13" s="4852" t="str">
        <f>"born after January 1, "&amp;TaxYear-17&amp;";"</f>
        <v>born after January 1, 2006;</v>
      </c>
      <c r="Z13" s="3361"/>
      <c r="AA13" s="3361"/>
      <c r="AB13" s="3361"/>
      <c r="AC13" s="3361"/>
      <c r="AD13" s="3361"/>
      <c r="AE13" s="4852"/>
      <c r="AF13" s="4852" t="s">
        <v>4813</v>
      </c>
      <c r="AG13" s="3361"/>
      <c r="AH13" s="3361"/>
      <c r="AI13" s="808"/>
      <c r="AJ13" s="808"/>
      <c r="AK13" s="461"/>
      <c r="AL13" s="808"/>
      <c r="AM13" s="808"/>
      <c r="AN13" s="808"/>
      <c r="AO13" s="808"/>
      <c r="AP13" s="808"/>
      <c r="AQ13" s="808"/>
      <c r="AR13" s="808"/>
      <c r="AS13" s="808"/>
      <c r="AT13" s="4698"/>
      <c r="AU13" s="2038"/>
      <c r="AV13" s="2038"/>
      <c r="AW13" s="2038"/>
      <c r="AX13" s="2038"/>
      <c r="AY13" s="2038"/>
      <c r="AZ13" s="2038"/>
      <c r="BA13" s="2038"/>
      <c r="BB13" s="2038"/>
    </row>
    <row r="14" spans="1:79" ht="15" customHeight="1" thickBot="1">
      <c r="A14" s="461"/>
      <c r="B14" s="3250"/>
      <c r="C14" s="3361"/>
      <c r="D14" s="3361"/>
      <c r="E14" s="4852" t="str">
        <f>"dependent on someone else’s "&amp;TaxYear&amp;" tax return;"</f>
        <v>dependent on someone else’s 2023 tax return;</v>
      </c>
      <c r="F14" s="3361"/>
      <c r="G14" s="3361"/>
      <c r="H14" s="3361"/>
      <c r="I14" s="3361"/>
      <c r="J14" s="3361"/>
      <c r="K14" s="3361"/>
      <c r="L14" s="3361"/>
      <c r="M14" s="3361"/>
      <c r="N14" s="3361"/>
      <c r="O14" s="3361"/>
      <c r="P14" s="4854" t="s">
        <v>4814</v>
      </c>
      <c r="Q14" s="3361"/>
      <c r="R14" s="3361"/>
      <c r="S14" s="3361"/>
      <c r="T14" s="3361"/>
      <c r="U14" s="3361"/>
      <c r="V14" s="3361"/>
      <c r="W14" s="3361"/>
      <c r="X14" s="3361"/>
      <c r="Y14" s="3361"/>
      <c r="Z14" s="3361"/>
      <c r="AA14" s="3361"/>
      <c r="AB14" s="3361"/>
      <c r="AC14" s="10000" t="b">
        <f>OR(AE14,AH14)</f>
        <v>0</v>
      </c>
      <c r="AD14" s="10000"/>
      <c r="AE14" s="10000" t="b">
        <f>YourAge&lt;=17</f>
        <v>0</v>
      </c>
      <c r="AF14" s="10000"/>
      <c r="AG14" s="10000"/>
      <c r="AH14" s="10000" t="b">
        <f>SpouseAge&lt;=17</f>
        <v>0</v>
      </c>
      <c r="AI14" s="10000"/>
      <c r="AJ14" s="10000"/>
      <c r="AK14" s="461"/>
      <c r="AL14" s="808"/>
      <c r="AM14" s="808"/>
      <c r="AN14" s="808"/>
      <c r="AO14" s="808"/>
      <c r="AP14" s="808"/>
      <c r="AQ14" s="808"/>
      <c r="AR14" s="808"/>
      <c r="AS14" s="808"/>
      <c r="AT14" s="4698"/>
      <c r="AU14" s="2038"/>
      <c r="AV14" s="2038"/>
      <c r="AW14" s="2038"/>
      <c r="AX14" s="2038"/>
      <c r="AY14" s="2038"/>
      <c r="AZ14" s="2038"/>
      <c r="BA14" s="2038"/>
      <c r="BB14" s="2038"/>
    </row>
    <row r="15" spans="1:79" ht="15" customHeight="1">
      <c r="A15" s="461"/>
      <c r="B15" s="3250"/>
      <c r="C15" s="3361"/>
      <c r="D15" s="3361"/>
      <c r="E15" s="3361"/>
      <c r="F15" s="3361"/>
      <c r="G15" s="3361"/>
      <c r="H15" s="3361"/>
      <c r="I15" s="3361"/>
      <c r="J15" s="3361"/>
      <c r="K15" s="3361"/>
      <c r="L15" s="3361"/>
      <c r="M15" s="3361"/>
      <c r="N15" s="3361"/>
      <c r="O15" s="3361"/>
      <c r="P15" s="3361"/>
      <c r="Q15" s="3361"/>
      <c r="R15" s="10001" t="b">
        <f>OR(T15,V15)</f>
        <v>0</v>
      </c>
      <c r="S15" s="10001"/>
      <c r="T15" s="10001" t="b">
        <f>DependentYOU&lt;&gt;""</f>
        <v>0</v>
      </c>
      <c r="U15" s="10001"/>
      <c r="V15" s="10001" t="b">
        <f>DependentSPOUSE&lt;&gt;""</f>
        <v>0</v>
      </c>
      <c r="W15" s="10002"/>
      <c r="X15" s="4855"/>
      <c r="Y15" s="10003" t="s">
        <v>4815</v>
      </c>
      <c r="Z15" s="10004"/>
      <c r="AA15" s="10004"/>
      <c r="AB15" s="10004"/>
      <c r="AC15" s="10004"/>
      <c r="AD15" s="10005"/>
      <c r="AE15" s="10006" t="s">
        <v>4816</v>
      </c>
      <c r="AF15" s="10004"/>
      <c r="AG15" s="10004"/>
      <c r="AH15" s="10004"/>
      <c r="AI15" s="10004"/>
      <c r="AJ15" s="10005"/>
      <c r="AK15" s="461"/>
      <c r="AL15" s="808"/>
      <c r="AM15" s="808"/>
      <c r="AN15" s="808"/>
      <c r="AO15" s="808"/>
      <c r="AP15" s="808"/>
      <c r="AQ15" s="808"/>
      <c r="AR15" s="808"/>
      <c r="AS15" s="808"/>
      <c r="AT15" s="4698"/>
      <c r="AU15" s="2038"/>
      <c r="AV15" s="2038"/>
      <c r="AW15" s="2038"/>
      <c r="AX15" s="2038"/>
      <c r="AY15" s="2038"/>
      <c r="AZ15" s="2038"/>
      <c r="BA15" s="2038"/>
      <c r="BB15" s="2038"/>
    </row>
    <row r="16" spans="1:79" s="2038" customFormat="1" ht="18" customHeight="1">
      <c r="A16" s="461"/>
      <c r="B16" s="808"/>
      <c r="C16" s="3644" t="s">
        <v>252</v>
      </c>
      <c r="D16" s="4601" t="s">
        <v>4817</v>
      </c>
      <c r="E16" s="808"/>
      <c r="F16" s="808"/>
      <c r="G16" s="808"/>
      <c r="H16" s="808"/>
      <c r="I16" s="808"/>
      <c r="J16" s="808"/>
      <c r="K16" s="808"/>
      <c r="L16" s="808"/>
      <c r="M16" s="808"/>
      <c r="N16" s="808"/>
      <c r="O16" s="808"/>
      <c r="P16" s="808"/>
      <c r="Q16" s="808"/>
      <c r="R16" s="808"/>
      <c r="S16" s="808"/>
      <c r="T16" s="808"/>
      <c r="U16" s="808"/>
      <c r="V16" s="808"/>
      <c r="W16" s="4850"/>
      <c r="X16" s="1126"/>
      <c r="Y16" s="1149"/>
      <c r="Z16" s="1142"/>
      <c r="AA16" s="1142"/>
      <c r="AB16" s="1142"/>
      <c r="AC16" s="9398" t="b">
        <f>AND(AK12="",OR(V12,T15,AE14))</f>
        <v>0</v>
      </c>
      <c r="AD16" s="9583"/>
      <c r="AE16" s="808"/>
      <c r="AF16" s="808"/>
      <c r="AG16" s="808"/>
      <c r="AH16" s="808"/>
      <c r="AI16" s="9398" t="b">
        <f>AND(AK12="",OR(V12,V15,AH14))</f>
        <v>0</v>
      </c>
      <c r="AJ16" s="9398"/>
      <c r="AK16" s="461"/>
      <c r="AL16" s="808"/>
      <c r="AM16" s="808"/>
      <c r="AN16" s="808"/>
      <c r="AO16" s="808"/>
      <c r="AP16" s="808"/>
      <c r="AQ16" s="808"/>
      <c r="AR16" s="808"/>
      <c r="AS16" s="808"/>
      <c r="AT16" s="4698"/>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row>
    <row r="17" spans="1:79" s="2038" customFormat="1" ht="15" customHeight="1">
      <c r="A17" s="461"/>
      <c r="B17" s="808"/>
      <c r="C17" s="3644"/>
      <c r="D17" s="4601" t="str">
        <f>"designated beneficiary for "&amp;TaxYear&amp;"."</f>
        <v>designated beneficiary for 2023.</v>
      </c>
      <c r="E17" s="808"/>
      <c r="F17" s="808"/>
      <c r="G17" s="808"/>
      <c r="H17" s="808"/>
      <c r="I17" s="808"/>
      <c r="J17" s="808"/>
      <c r="K17" s="808"/>
      <c r="L17" s="808"/>
      <c r="M17" s="4601" t="s">
        <v>4818</v>
      </c>
      <c r="N17" s="808"/>
      <c r="O17" s="808"/>
      <c r="P17" s="808"/>
      <c r="Q17" s="808"/>
      <c r="R17" s="808"/>
      <c r="S17" s="808"/>
      <c r="T17" s="808"/>
      <c r="U17" s="808"/>
      <c r="V17" s="808"/>
      <c r="W17" s="4850"/>
      <c r="X17" s="1726" t="s">
        <v>252</v>
      </c>
      <c r="Y17" s="9996"/>
      <c r="Z17" s="9997"/>
      <c r="AA17" s="9997"/>
      <c r="AB17" s="9997"/>
      <c r="AC17" s="9997"/>
      <c r="AD17" s="9997"/>
      <c r="AE17" s="9996"/>
      <c r="AF17" s="9997"/>
      <c r="AG17" s="9997"/>
      <c r="AH17" s="9997"/>
      <c r="AI17" s="9997"/>
      <c r="AJ17" s="6859"/>
      <c r="AK17" s="461"/>
      <c r="AL17" s="808"/>
      <c r="AM17" s="808"/>
      <c r="AN17" s="808"/>
      <c r="AO17" s="808"/>
      <c r="AP17" s="808"/>
      <c r="AQ17" s="808"/>
      <c r="AR17" s="808"/>
      <c r="AS17" s="808"/>
      <c r="AT17" s="4698"/>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row>
    <row r="18" spans="1:79" s="2038" customFormat="1" ht="15" customHeight="1">
      <c r="A18" s="461"/>
      <c r="B18" s="808"/>
      <c r="C18" s="3644" t="s">
        <v>254</v>
      </c>
      <c r="D18" s="4601" t="s">
        <v>4819</v>
      </c>
      <c r="E18" s="808"/>
      <c r="F18" s="892"/>
      <c r="G18" s="808"/>
      <c r="H18" s="808"/>
      <c r="I18" s="808"/>
      <c r="J18" s="808"/>
      <c r="K18" s="808"/>
      <c r="L18" s="808"/>
      <c r="M18" s="808"/>
      <c r="N18" s="808"/>
      <c r="O18" s="808"/>
      <c r="P18" s="808"/>
      <c r="Q18" s="808"/>
      <c r="R18" s="808"/>
      <c r="S18" s="808"/>
      <c r="T18" s="808"/>
      <c r="U18" s="808"/>
      <c r="V18" s="808"/>
      <c r="W18" s="4850"/>
      <c r="X18" s="1126"/>
      <c r="Y18" s="1149"/>
      <c r="Z18" s="1142"/>
      <c r="AA18" s="1142"/>
      <c r="AB18" s="1142"/>
      <c r="AC18" s="1142"/>
      <c r="AD18" s="1143"/>
      <c r="AE18" s="808"/>
      <c r="AF18" s="808"/>
      <c r="AG18" s="808"/>
      <c r="AH18" s="808"/>
      <c r="AI18" s="808"/>
      <c r="AJ18" s="808"/>
      <c r="AK18" s="461"/>
      <c r="AL18" s="808"/>
      <c r="AM18" s="808"/>
      <c r="AN18" s="808"/>
      <c r="AO18" s="808"/>
      <c r="AP18" s="808"/>
      <c r="AQ18" s="808"/>
      <c r="AR18" s="808"/>
      <c r="AS18" s="808"/>
      <c r="AT18" s="4698"/>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row>
    <row r="19" spans="1:79" s="2038" customFormat="1" ht="15" customHeight="1" thickBot="1">
      <c r="A19" s="461"/>
      <c r="B19" s="808"/>
      <c r="C19" s="3644"/>
      <c r="D19" s="4601" t="str">
        <f>"contributions, and 501(c)(18)(D) plan contributions for "&amp;TaxYear&amp;" (see instructions)"</f>
        <v>contributions, and 501(c)(18)(D) plan contributions for 2023 (see instructions)</v>
      </c>
      <c r="E19" s="808"/>
      <c r="F19" s="808"/>
      <c r="G19" s="808"/>
      <c r="H19" s="808"/>
      <c r="I19" s="808"/>
      <c r="J19" s="808"/>
      <c r="K19" s="808"/>
      <c r="L19" s="808"/>
      <c r="M19" s="808"/>
      <c r="N19" s="808"/>
      <c r="O19" s="808"/>
      <c r="P19" s="808"/>
      <c r="Q19" s="808"/>
      <c r="R19" s="808"/>
      <c r="S19" s="808"/>
      <c r="T19" s="808"/>
      <c r="U19" s="808"/>
      <c r="V19" s="808"/>
      <c r="W19" s="4850"/>
      <c r="X19" s="3516" t="s">
        <v>254</v>
      </c>
      <c r="Y19" s="9998"/>
      <c r="Z19" s="9999"/>
      <c r="AA19" s="9999"/>
      <c r="AB19" s="9999"/>
      <c r="AC19" s="9999"/>
      <c r="AD19" s="9999"/>
      <c r="AE19" s="9998"/>
      <c r="AF19" s="9999"/>
      <c r="AG19" s="9999"/>
      <c r="AH19" s="9999"/>
      <c r="AI19" s="9999"/>
      <c r="AJ19" s="8970"/>
      <c r="AK19" s="461"/>
      <c r="AL19" s="808"/>
      <c r="AM19" s="808"/>
      <c r="AN19" s="808"/>
      <c r="AO19" s="808"/>
      <c r="AP19" s="808"/>
      <c r="AQ19" s="808"/>
      <c r="AR19" s="808"/>
      <c r="AS19" s="808"/>
      <c r="AT19" s="4698"/>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row>
    <row r="20" spans="1:79" s="2038" customFormat="1" ht="15.75">
      <c r="A20" s="461"/>
      <c r="B20" s="808"/>
      <c r="C20" s="3644" t="s">
        <v>256</v>
      </c>
      <c r="D20" s="4601" t="s">
        <v>3463</v>
      </c>
      <c r="E20" s="808"/>
      <c r="F20" s="808"/>
      <c r="G20" s="808"/>
      <c r="H20" s="808"/>
      <c r="I20" s="808"/>
      <c r="J20" s="808"/>
      <c r="K20" s="808"/>
      <c r="L20" s="808"/>
      <c r="M20" s="808"/>
      <c r="N20" s="808"/>
      <c r="O20" s="808"/>
      <c r="P20" s="808"/>
      <c r="Q20" s="808"/>
      <c r="R20" s="808"/>
      <c r="S20" s="808"/>
      <c r="T20" s="808"/>
      <c r="U20" s="808"/>
      <c r="V20" s="808"/>
      <c r="W20" s="4850"/>
      <c r="X20" s="4856" t="s">
        <v>256</v>
      </c>
      <c r="Y20" s="9989">
        <f>IF(AC16,"",SUM(ROUND(Y17,0),ROUND(Y19,0)))</f>
        <v>0</v>
      </c>
      <c r="Z20" s="9992"/>
      <c r="AA20" s="9992"/>
      <c r="AB20" s="9992"/>
      <c r="AC20" s="9992"/>
      <c r="AD20" s="9992"/>
      <c r="AE20" s="9989">
        <f>IF(AI16,"",SUM(ROUND(AE17,0),ROUND(AE19,0)))</f>
        <v>0</v>
      </c>
      <c r="AF20" s="9992"/>
      <c r="AG20" s="9992"/>
      <c r="AH20" s="9992"/>
      <c r="AI20" s="9992"/>
      <c r="AJ20" s="9992"/>
      <c r="AK20" s="461"/>
      <c r="AL20" s="808"/>
      <c r="AM20" s="808"/>
      <c r="AN20" s="808"/>
      <c r="AO20" s="808"/>
      <c r="AP20" s="808"/>
      <c r="AQ20" s="808"/>
      <c r="AR20" s="808"/>
      <c r="AS20" s="808"/>
      <c r="AT20" s="4698"/>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row>
    <row r="21" spans="1:79" s="2038" customFormat="1" ht="15.75">
      <c r="A21" s="461"/>
      <c r="B21" s="808"/>
      <c r="C21" s="3644" t="s">
        <v>259</v>
      </c>
      <c r="D21" s="4601" t="s">
        <v>4820</v>
      </c>
      <c r="E21" s="808"/>
      <c r="F21" s="808"/>
      <c r="G21" s="808"/>
      <c r="H21" s="808"/>
      <c r="I21" s="808"/>
      <c r="J21" s="808"/>
      <c r="K21" s="808"/>
      <c r="L21" s="808"/>
      <c r="M21" s="9952">
        <f>TaxYear-3</f>
        <v>2020</v>
      </c>
      <c r="N21" s="9952"/>
      <c r="O21" s="4601" t="s">
        <v>4821</v>
      </c>
      <c r="P21" s="808"/>
      <c r="Q21" s="808"/>
      <c r="R21" s="808"/>
      <c r="S21" s="1124"/>
      <c r="T21" s="808"/>
      <c r="U21" s="808"/>
      <c r="V21" s="1128"/>
      <c r="W21" s="4850"/>
      <c r="X21" s="2389"/>
      <c r="Y21" s="4857"/>
      <c r="Z21" s="4858"/>
      <c r="AA21" s="4858"/>
      <c r="AB21" s="4858"/>
      <c r="AC21" s="4858"/>
      <c r="AD21" s="1143"/>
      <c r="AE21" s="2440"/>
      <c r="AF21" s="2440"/>
      <c r="AG21" s="2440"/>
      <c r="AH21" s="2440"/>
      <c r="AI21" s="2440"/>
      <c r="AJ21" s="2440"/>
      <c r="AK21" s="461"/>
      <c r="AL21" s="808"/>
      <c r="AM21" s="808"/>
      <c r="AN21" s="808"/>
      <c r="AO21" s="808"/>
      <c r="AP21" s="808"/>
      <c r="AQ21" s="808"/>
      <c r="AR21" s="808"/>
      <c r="AS21" s="808"/>
      <c r="AT21" s="4698"/>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row>
    <row r="22" spans="1:79" s="2038" customFormat="1" ht="15.75">
      <c r="A22" s="461"/>
      <c r="B22" s="808"/>
      <c r="C22" s="3644"/>
      <c r="D22" s="4601" t="str">
        <f>"extensions) of your "&amp;TaxYear&amp;" tax return (see instructions). If married filing jointly,"</f>
        <v>extensions) of your 2023 tax return (see instructions). If married filing jointly,</v>
      </c>
      <c r="E22" s="808"/>
      <c r="F22" s="808"/>
      <c r="G22" s="808"/>
      <c r="H22" s="808"/>
      <c r="I22" s="808"/>
      <c r="J22" s="808"/>
      <c r="K22" s="808"/>
      <c r="L22" s="808"/>
      <c r="M22" s="808"/>
      <c r="N22" s="808"/>
      <c r="O22" s="808"/>
      <c r="P22" s="808"/>
      <c r="Q22" s="1128"/>
      <c r="R22" s="1128"/>
      <c r="S22" s="808"/>
      <c r="T22" s="808"/>
      <c r="U22" s="808"/>
      <c r="V22" s="808"/>
      <c r="W22" s="4850"/>
      <c r="X22" s="2387"/>
      <c r="Y22" s="4859"/>
      <c r="Z22" s="4860"/>
      <c r="AA22" s="4860"/>
      <c r="AB22" s="4860"/>
      <c r="AC22" s="4860"/>
      <c r="AD22" s="1151"/>
      <c r="AE22" s="2112"/>
      <c r="AF22" s="2112"/>
      <c r="AG22" s="2112"/>
      <c r="AH22" s="2112"/>
      <c r="AI22" s="2112"/>
      <c r="AJ22" s="2112"/>
      <c r="AK22" s="461"/>
      <c r="AL22" s="808"/>
      <c r="AM22" s="808"/>
      <c r="AN22" s="808"/>
      <c r="AO22" s="808"/>
      <c r="AP22" s="808"/>
      <c r="AQ22" s="808"/>
      <c r="AR22" s="808"/>
      <c r="AS22" s="808"/>
      <c r="AT22" s="4698"/>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row>
    <row r="23" spans="1:79" s="2038" customFormat="1" ht="16.5" thickBot="1">
      <c r="A23" s="461" t="s">
        <v>2181</v>
      </c>
      <c r="B23" s="808"/>
      <c r="C23" s="3644"/>
      <c r="D23" s="4601" t="s">
        <v>4822</v>
      </c>
      <c r="E23" s="808"/>
      <c r="F23" s="808"/>
      <c r="G23" s="808"/>
      <c r="H23" s="808"/>
      <c r="I23" s="808"/>
      <c r="J23" s="808"/>
      <c r="K23" s="808"/>
      <c r="L23" s="808"/>
      <c r="M23" s="808"/>
      <c r="N23" s="808"/>
      <c r="O23" s="808"/>
      <c r="P23" s="808"/>
      <c r="Q23" s="1128"/>
      <c r="R23" s="1128"/>
      <c r="S23" s="808"/>
      <c r="T23" s="808"/>
      <c r="U23" s="808"/>
      <c r="V23" s="1128"/>
      <c r="W23" s="4850"/>
      <c r="X23" s="1716" t="s">
        <v>259</v>
      </c>
      <c r="Y23" s="8970"/>
      <c r="Z23" s="8971"/>
      <c r="AA23" s="8971"/>
      <c r="AB23" s="8971"/>
      <c r="AC23" s="8971"/>
      <c r="AD23" s="8972"/>
      <c r="AE23" s="8970"/>
      <c r="AF23" s="8971"/>
      <c r="AG23" s="8971"/>
      <c r="AH23" s="8971"/>
      <c r="AI23" s="8971"/>
      <c r="AJ23" s="8972"/>
      <c r="AK23" s="461"/>
      <c r="AL23" s="808"/>
      <c r="AM23" s="808"/>
      <c r="AN23" s="808"/>
      <c r="AO23" s="808"/>
      <c r="AP23" s="808"/>
      <c r="AQ23" s="808"/>
      <c r="AR23" s="808"/>
      <c r="AS23" s="808"/>
      <c r="AT23" s="4698"/>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row>
    <row r="24" spans="1:79" s="2038" customFormat="1" ht="15.75">
      <c r="A24" s="461" t="s">
        <v>2181</v>
      </c>
      <c r="B24" s="808"/>
      <c r="C24" s="3644" t="s">
        <v>261</v>
      </c>
      <c r="D24" s="4601" t="s">
        <v>2605</v>
      </c>
      <c r="E24" s="808"/>
      <c r="F24" s="808"/>
      <c r="G24" s="808"/>
      <c r="H24" s="808"/>
      <c r="I24" s="808"/>
      <c r="J24" s="808"/>
      <c r="K24" s="808"/>
      <c r="L24" s="808"/>
      <c r="M24" s="808"/>
      <c r="N24" s="808"/>
      <c r="O24" s="808"/>
      <c r="P24" s="808"/>
      <c r="Q24" s="1128"/>
      <c r="R24" s="1128"/>
      <c r="S24" s="808"/>
      <c r="T24" s="808"/>
      <c r="U24" s="808"/>
      <c r="V24" s="1128"/>
      <c r="W24" s="4850"/>
      <c r="X24" s="4856" t="s">
        <v>261</v>
      </c>
      <c r="Y24" s="9993">
        <f>IF(AC16,"",IF(Y23="",MAX(0,Y20),MAX(0,SUM(Y20,-ROUND(Y23,0)))))</f>
        <v>0</v>
      </c>
      <c r="Z24" s="9994"/>
      <c r="AA24" s="9994"/>
      <c r="AB24" s="9994"/>
      <c r="AC24" s="9994"/>
      <c r="AD24" s="9995"/>
      <c r="AE24" s="9993">
        <f>IF(AI16,"",IF(AE23="",MAX(0,AE20),MAX(0,SUM(AE20,-ROUND(AE23,0)))))</f>
        <v>0</v>
      </c>
      <c r="AF24" s="9994"/>
      <c r="AG24" s="9994"/>
      <c r="AH24" s="9994"/>
      <c r="AI24" s="9994"/>
      <c r="AJ24" s="9995"/>
      <c r="AK24" s="461"/>
      <c r="AL24" s="808"/>
      <c r="AM24" s="808"/>
      <c r="AN24" s="808"/>
      <c r="AO24" s="808"/>
      <c r="AP24" s="808"/>
      <c r="AQ24" s="808"/>
      <c r="AR24" s="808"/>
      <c r="AS24" s="808"/>
      <c r="AT24" s="4698"/>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row>
    <row r="25" spans="1:79" s="2038" customFormat="1" ht="16.5" thickBot="1">
      <c r="A25" s="461"/>
      <c r="B25" s="808"/>
      <c r="C25" s="3644" t="s">
        <v>263</v>
      </c>
      <c r="D25" s="4601" t="s">
        <v>4823</v>
      </c>
      <c r="E25" s="808"/>
      <c r="F25" s="808"/>
      <c r="G25" s="808"/>
      <c r="H25" s="808"/>
      <c r="I25" s="808"/>
      <c r="J25" s="808"/>
      <c r="K25" s="808"/>
      <c r="L25" s="808"/>
      <c r="M25" s="4601"/>
      <c r="N25" s="4601"/>
      <c r="O25" s="808"/>
      <c r="P25" s="4601"/>
      <c r="Q25" s="4601" t="str">
        <f>TEXT($V$25,"$0,000")</f>
        <v>$2,000</v>
      </c>
      <c r="R25" s="808"/>
      <c r="S25" s="1124"/>
      <c r="T25" s="808"/>
      <c r="U25" s="808"/>
      <c r="V25" s="9909">
        <v>2000</v>
      </c>
      <c r="W25" s="9983"/>
      <c r="X25" s="4861" t="s">
        <v>263</v>
      </c>
      <c r="Y25" s="9984">
        <f>IF(AC16,"",MIN(Y24,$V$25))</f>
        <v>0</v>
      </c>
      <c r="Z25" s="9985"/>
      <c r="AA25" s="9985"/>
      <c r="AB25" s="9985"/>
      <c r="AC25" s="9985"/>
      <c r="AD25" s="9986"/>
      <c r="AE25" s="9984">
        <f>IF(AI16,"",MIN(AE24,$V$25))</f>
        <v>0</v>
      </c>
      <c r="AF25" s="9985"/>
      <c r="AG25" s="9985"/>
      <c r="AH25" s="9985"/>
      <c r="AI25" s="9985"/>
      <c r="AJ25" s="9986"/>
      <c r="AK25" s="461"/>
      <c r="AL25" s="8802"/>
      <c r="AM25" s="8802"/>
      <c r="AN25" s="8802"/>
      <c r="AO25" s="808"/>
      <c r="AP25" s="808"/>
      <c r="AQ25" s="808"/>
      <c r="AR25" s="808"/>
      <c r="AS25" s="808"/>
      <c r="AT25" s="4698"/>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row>
    <row r="26" spans="1:79" s="2038" customFormat="1" ht="15.75">
      <c r="A26" s="461"/>
      <c r="B26" s="808"/>
      <c r="C26" s="3644" t="s">
        <v>266</v>
      </c>
      <c r="D26" s="4601" t="s">
        <v>4824</v>
      </c>
      <c r="E26" s="808"/>
      <c r="F26" s="808"/>
      <c r="G26" s="808"/>
      <c r="H26" s="808"/>
      <c r="I26" s="808"/>
      <c r="J26" s="808"/>
      <c r="K26" s="4601" t="s">
        <v>4825</v>
      </c>
      <c r="L26" s="808"/>
      <c r="M26" s="808"/>
      <c r="N26" s="808"/>
      <c r="O26" s="808"/>
      <c r="P26" s="808"/>
      <c r="Q26" s="808"/>
      <c r="R26" s="808"/>
      <c r="S26" s="808"/>
      <c r="T26" s="808"/>
      <c r="U26" s="808"/>
      <c r="V26" s="808"/>
      <c r="W26" s="808"/>
      <c r="X26" s="808"/>
      <c r="Y26" s="808"/>
      <c r="Z26" s="808"/>
      <c r="AA26" s="808"/>
      <c r="AB26" s="9987" t="b">
        <f>AE26=0</f>
        <v>1</v>
      </c>
      <c r="AC26" s="9988"/>
      <c r="AD26" s="4856" t="s">
        <v>266</v>
      </c>
      <c r="AE26" s="9989">
        <f>SUM(Y25,AE25)</f>
        <v>0</v>
      </c>
      <c r="AF26" s="9990"/>
      <c r="AG26" s="9990"/>
      <c r="AH26" s="9990"/>
      <c r="AI26" s="9990"/>
      <c r="AJ26" s="9991"/>
      <c r="AK26" s="461"/>
      <c r="AL26" s="8802" t="s">
        <v>867</v>
      </c>
      <c r="AM26" s="8802"/>
      <c r="AN26" s="8802"/>
      <c r="AO26" s="808"/>
      <c r="AP26" s="808"/>
      <c r="AQ26" s="808"/>
      <c r="AR26" s="808"/>
      <c r="AS26" s="808"/>
      <c r="AT26" s="4698"/>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row>
    <row r="27" spans="1:79" s="2038" customFormat="1" ht="15.75">
      <c r="A27" s="461"/>
      <c r="B27" s="808"/>
      <c r="C27" s="3644" t="s">
        <v>268</v>
      </c>
      <c r="D27" s="4601" t="s">
        <v>4826</v>
      </c>
      <c r="E27" s="808"/>
      <c r="F27" s="808"/>
      <c r="G27" s="808"/>
      <c r="H27" s="808"/>
      <c r="I27" s="808"/>
      <c r="J27" s="808"/>
      <c r="K27" s="808"/>
      <c r="L27" s="808"/>
      <c r="M27" s="808"/>
      <c r="N27" s="808"/>
      <c r="O27" s="808"/>
      <c r="P27" s="808"/>
      <c r="Q27" s="808"/>
      <c r="R27" s="808"/>
      <c r="S27" s="808"/>
      <c r="T27" s="808"/>
      <c r="U27" s="808"/>
      <c r="V27" s="808"/>
      <c r="W27" s="1125">
        <v>8</v>
      </c>
      <c r="X27" s="9940" t="str">
        <f>IF(AL27&lt;&gt;"",ROUND(AL27,0),IF(OR(AB26,AND(V12,AK12="")),"",Adj_Gross_Inc))</f>
        <v/>
      </c>
      <c r="Y27" s="9941"/>
      <c r="Z27" s="9941"/>
      <c r="AA27" s="9941"/>
      <c r="AB27" s="9941"/>
      <c r="AC27" s="9941"/>
      <c r="AD27" s="1129"/>
      <c r="AE27" s="2112"/>
      <c r="AF27" s="2112"/>
      <c r="AG27" s="2112"/>
      <c r="AH27" s="2112"/>
      <c r="AI27" s="2112"/>
      <c r="AJ27" s="2112"/>
      <c r="AK27" s="461"/>
      <c r="AL27" s="9602"/>
      <c r="AM27" s="9602"/>
      <c r="AN27" s="9602"/>
      <c r="AO27" s="808"/>
      <c r="AP27" s="808"/>
      <c r="AQ27" s="808"/>
      <c r="AR27" s="808"/>
      <c r="AS27" s="808"/>
      <c r="AT27" s="4698"/>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row>
    <row r="28" spans="1:79" s="2038" customFormat="1" ht="15.75">
      <c r="A28" s="461"/>
      <c r="B28" s="808"/>
      <c r="C28" s="3644" t="s">
        <v>407</v>
      </c>
      <c r="D28" s="4601" t="s">
        <v>4827</v>
      </c>
      <c r="E28" s="808"/>
      <c r="F28" s="808"/>
      <c r="G28" s="808"/>
      <c r="H28" s="808"/>
      <c r="I28" s="808"/>
      <c r="J28" s="808"/>
      <c r="K28" s="808"/>
      <c r="L28" s="808"/>
      <c r="M28" s="808"/>
      <c r="N28" s="808"/>
      <c r="O28" s="808"/>
      <c r="P28" s="808"/>
      <c r="Q28" s="808"/>
      <c r="R28" s="808"/>
      <c r="S28" s="808"/>
      <c r="T28" s="808"/>
      <c r="U28" s="808"/>
      <c r="V28" s="808"/>
      <c r="W28" s="808"/>
      <c r="X28" s="808"/>
      <c r="Y28" s="808"/>
      <c r="Z28" s="808"/>
      <c r="AA28" s="808"/>
      <c r="AB28" s="808"/>
      <c r="AC28" s="808"/>
      <c r="AD28" s="1129"/>
      <c r="AE28" s="2112"/>
      <c r="AF28" s="2112"/>
      <c r="AG28" s="2112"/>
      <c r="AH28" s="2112"/>
      <c r="AI28" s="2112"/>
      <c r="AJ28" s="2112"/>
      <c r="AK28" s="461"/>
      <c r="AL28" s="808"/>
      <c r="AM28" s="808"/>
      <c r="AN28" s="808"/>
      <c r="AO28" s="808"/>
      <c r="AP28" s="808"/>
      <c r="AQ28" s="808"/>
      <c r="AR28" s="808"/>
      <c r="AS28" s="808"/>
      <c r="AT28" s="4698"/>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row>
    <row r="29" spans="1:79" s="2038" customFormat="1" ht="15.75">
      <c r="A29" s="461"/>
      <c r="B29" s="808"/>
      <c r="C29" s="3644"/>
      <c r="D29" s="4601"/>
      <c r="E29" s="808"/>
      <c r="F29" s="808"/>
      <c r="G29" s="808"/>
      <c r="H29" s="808"/>
      <c r="I29" s="808"/>
      <c r="J29" s="808"/>
      <c r="K29" s="808"/>
      <c r="L29" s="9968" t="e">
        <f>IF($X$27-1&lt;$D35,L34,LOOKUP($X$27-1,$D35:$D43,L35:L43))</f>
        <v>#VALUE!</v>
      </c>
      <c r="M29" s="9968"/>
      <c r="N29" s="9968"/>
      <c r="O29" s="9968"/>
      <c r="P29" s="9968" t="e">
        <f>IF($X$27-1&lt;$D35,P34,LOOKUP($X$27-1,$D35:$D43,P35:P43))</f>
        <v>#VALUE!</v>
      </c>
      <c r="Q29" s="9968"/>
      <c r="R29" s="9968"/>
      <c r="S29" s="9968"/>
      <c r="T29" s="4862"/>
      <c r="U29" s="4862"/>
      <c r="V29" s="4862"/>
      <c r="W29" s="9968" t="e">
        <f>IF($X$27-1&lt;$D35,T34,LOOKUP($X$27-1,$D35:$D43,T35:T43))</f>
        <v>#VALUE!</v>
      </c>
      <c r="X29" s="9968"/>
      <c r="Y29" s="9968"/>
      <c r="Z29" s="9968"/>
      <c r="AA29" s="808"/>
      <c r="AB29" s="808"/>
      <c r="AC29" s="808"/>
      <c r="AD29" s="1129"/>
      <c r="AE29" s="2112"/>
      <c r="AF29" s="2112"/>
      <c r="AG29" s="2112"/>
      <c r="AH29" s="2112"/>
      <c r="AI29" s="2112"/>
      <c r="AJ29" s="2112"/>
      <c r="AK29" s="461"/>
      <c r="AL29" s="808"/>
      <c r="AM29" s="3174" t="s">
        <v>4828</v>
      </c>
      <c r="AN29" s="808"/>
      <c r="AO29" s="808"/>
      <c r="AP29" s="808"/>
      <c r="AQ29" s="808"/>
      <c r="AR29" s="808"/>
      <c r="AS29" s="808"/>
      <c r="AT29" s="4698"/>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row>
    <row r="30" spans="1:79" s="2038" customFormat="1" ht="15.75">
      <c r="A30" s="461"/>
      <c r="B30" s="808"/>
      <c r="C30" s="3644"/>
      <c r="D30" s="9969" t="s">
        <v>4829</v>
      </c>
      <c r="E30" s="9970"/>
      <c r="F30" s="9970"/>
      <c r="G30" s="9970"/>
      <c r="H30" s="9970"/>
      <c r="I30" s="9970"/>
      <c r="J30" s="9970"/>
      <c r="K30" s="9971"/>
      <c r="L30" s="7426" t="s">
        <v>4830</v>
      </c>
      <c r="M30" s="7515"/>
      <c r="N30" s="7515"/>
      <c r="O30" s="7515"/>
      <c r="P30" s="7515"/>
      <c r="Q30" s="7515"/>
      <c r="R30" s="7515"/>
      <c r="S30" s="7515"/>
      <c r="T30" s="7515"/>
      <c r="U30" s="7515"/>
      <c r="V30" s="7515"/>
      <c r="W30" s="7515"/>
      <c r="X30" s="7515"/>
      <c r="Y30" s="7515"/>
      <c r="Z30" s="9972"/>
      <c r="AA30" s="808"/>
      <c r="AB30" s="808"/>
      <c r="AC30" s="808"/>
      <c r="AD30" s="1129"/>
      <c r="AE30" s="2112"/>
      <c r="AF30" s="2112"/>
      <c r="AG30" s="2112"/>
      <c r="AH30" s="2112"/>
      <c r="AI30" s="2112"/>
      <c r="AJ30" s="2112"/>
      <c r="AK30" s="461"/>
      <c r="AL30" s="808"/>
      <c r="AM30" s="2112" t="s">
        <v>4831</v>
      </c>
      <c r="AN30" s="808"/>
      <c r="AO30" s="808"/>
      <c r="AP30" s="808"/>
      <c r="AQ30" s="808"/>
      <c r="AR30" s="808"/>
      <c r="AS30" s="808"/>
      <c r="AT30" s="4698"/>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row>
    <row r="31" spans="1:79" s="2038" customFormat="1" ht="15.75">
      <c r="A31" s="461"/>
      <c r="B31" s="808"/>
      <c r="C31" s="3644"/>
      <c r="D31" s="9973" t="s">
        <v>4832</v>
      </c>
      <c r="E31" s="7411"/>
      <c r="F31" s="7411"/>
      <c r="G31" s="7302"/>
      <c r="H31" s="9973" t="s">
        <v>4833</v>
      </c>
      <c r="I31" s="7411"/>
      <c r="J31" s="7411"/>
      <c r="K31" s="7302"/>
      <c r="L31" s="9974" t="s">
        <v>4834</v>
      </c>
      <c r="M31" s="9975"/>
      <c r="N31" s="9975"/>
      <c r="O31" s="9976"/>
      <c r="P31" s="9974" t="s">
        <v>4835</v>
      </c>
      <c r="Q31" s="9975"/>
      <c r="R31" s="9975"/>
      <c r="S31" s="9976"/>
      <c r="T31" s="9974" t="s">
        <v>4836</v>
      </c>
      <c r="U31" s="9975"/>
      <c r="V31" s="9975"/>
      <c r="W31" s="9975"/>
      <c r="X31" s="9975"/>
      <c r="Y31" s="9975"/>
      <c r="Z31" s="9976"/>
      <c r="AA31" s="808"/>
      <c r="AB31" s="808"/>
      <c r="AC31" s="808"/>
      <c r="AD31" s="1129"/>
      <c r="AE31" s="2112"/>
      <c r="AF31" s="2112"/>
      <c r="AG31" s="2112"/>
      <c r="AH31" s="2112"/>
      <c r="AI31" s="2112"/>
      <c r="AJ31" s="2112"/>
      <c r="AK31" s="461"/>
      <c r="AL31" s="808"/>
      <c r="AM31" s="2112" t="s">
        <v>4837</v>
      </c>
      <c r="AN31" s="808"/>
      <c r="AO31" s="808"/>
      <c r="AP31" s="808"/>
      <c r="AQ31" s="808"/>
      <c r="AR31" s="808"/>
      <c r="AS31" s="808"/>
      <c r="AT31" s="4698"/>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row>
    <row r="32" spans="1:79" s="2038" customFormat="1" ht="15.75">
      <c r="A32" s="461"/>
      <c r="B32" s="808"/>
      <c r="C32" s="3644"/>
      <c r="D32" s="7412"/>
      <c r="E32" s="7413"/>
      <c r="F32" s="7413"/>
      <c r="G32" s="7305"/>
      <c r="H32" s="7412"/>
      <c r="I32" s="7413"/>
      <c r="J32" s="7413"/>
      <c r="K32" s="7305"/>
      <c r="L32" s="9977"/>
      <c r="M32" s="9978"/>
      <c r="N32" s="9978"/>
      <c r="O32" s="9979"/>
      <c r="P32" s="9977"/>
      <c r="Q32" s="9978"/>
      <c r="R32" s="9978"/>
      <c r="S32" s="9979"/>
      <c r="T32" s="9977"/>
      <c r="U32" s="9978"/>
      <c r="V32" s="9978"/>
      <c r="W32" s="9978"/>
      <c r="X32" s="9978"/>
      <c r="Y32" s="9978"/>
      <c r="Z32" s="9979"/>
      <c r="AA32" s="808"/>
      <c r="AB32" s="808"/>
      <c r="AC32" s="808"/>
      <c r="AD32" s="1129"/>
      <c r="AE32" s="2112"/>
      <c r="AF32" s="2112"/>
      <c r="AG32" s="2112"/>
      <c r="AH32" s="2112"/>
      <c r="AI32" s="2112"/>
      <c r="AJ32" s="2112"/>
      <c r="AK32" s="461"/>
      <c r="AL32" s="808"/>
      <c r="AM32" s="2112" t="s">
        <v>4838</v>
      </c>
      <c r="AN32" s="808"/>
      <c r="AO32" s="808"/>
      <c r="AP32" s="808"/>
      <c r="AQ32" s="808"/>
      <c r="AR32" s="808"/>
      <c r="AS32" s="808"/>
      <c r="AT32" s="4698"/>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row>
    <row r="33" spans="1:79" s="2038" customFormat="1" ht="15.75">
      <c r="A33" s="461"/>
      <c r="B33" s="808"/>
      <c r="C33" s="3644"/>
      <c r="D33" s="7414"/>
      <c r="E33" s="7415"/>
      <c r="F33" s="7415"/>
      <c r="G33" s="7308"/>
      <c r="H33" s="7414"/>
      <c r="I33" s="7415"/>
      <c r="J33" s="7415"/>
      <c r="K33" s="7308"/>
      <c r="L33" s="8694" t="s">
        <v>4839</v>
      </c>
      <c r="M33" s="7334"/>
      <c r="N33" s="7334"/>
      <c r="O33" s="7334"/>
      <c r="P33" s="7334"/>
      <c r="Q33" s="7334"/>
      <c r="R33" s="7334"/>
      <c r="S33" s="9959"/>
      <c r="T33" s="9980"/>
      <c r="U33" s="9981"/>
      <c r="V33" s="9981"/>
      <c r="W33" s="9981"/>
      <c r="X33" s="9981"/>
      <c r="Y33" s="9981"/>
      <c r="Z33" s="9982"/>
      <c r="AA33" s="808"/>
      <c r="AB33" s="808"/>
      <c r="AC33" s="808"/>
      <c r="AD33" s="1129"/>
      <c r="AE33" s="2112"/>
      <c r="AF33" s="2112"/>
      <c r="AG33" s="2112"/>
      <c r="AH33" s="2112"/>
      <c r="AI33" s="2112"/>
      <c r="AJ33" s="2112"/>
      <c r="AK33" s="461"/>
      <c r="AL33" s="808"/>
      <c r="AM33" s="808"/>
      <c r="AN33" s="808"/>
      <c r="AO33" s="808"/>
      <c r="AP33" s="808"/>
      <c r="AQ33" s="808"/>
      <c r="AR33" s="808"/>
      <c r="AS33" s="808"/>
      <c r="AT33" s="4698"/>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row>
    <row r="34" spans="1:79" s="2038" customFormat="1" ht="15.75">
      <c r="A34" s="461"/>
      <c r="B34" s="808"/>
      <c r="C34" s="3644"/>
      <c r="D34" s="9960" t="s">
        <v>399</v>
      </c>
      <c r="E34" s="9961"/>
      <c r="F34" s="9961"/>
      <c r="G34" s="9962"/>
      <c r="H34" s="9963">
        <v>21750</v>
      </c>
      <c r="I34" s="9950"/>
      <c r="J34" s="9950"/>
      <c r="K34" s="9964"/>
      <c r="L34" s="9965">
        <v>0.5</v>
      </c>
      <c r="M34" s="9966"/>
      <c r="N34" s="9966"/>
      <c r="O34" s="9966"/>
      <c r="P34" s="9966">
        <v>0.5</v>
      </c>
      <c r="Q34" s="9966"/>
      <c r="R34" s="9966"/>
      <c r="S34" s="9966"/>
      <c r="T34" s="9966">
        <v>0.5</v>
      </c>
      <c r="U34" s="9966"/>
      <c r="V34" s="9966"/>
      <c r="W34" s="9966"/>
      <c r="X34" s="9966"/>
      <c r="Y34" s="9966"/>
      <c r="Z34" s="9967"/>
      <c r="AA34" s="808"/>
      <c r="AB34" s="808"/>
      <c r="AC34" s="808"/>
      <c r="AD34" s="1129"/>
      <c r="AE34" s="2112"/>
      <c r="AF34" s="2112"/>
      <c r="AG34" s="2112"/>
      <c r="AH34" s="2112"/>
      <c r="AI34" s="2112"/>
      <c r="AJ34" s="2112"/>
      <c r="AK34" s="461"/>
      <c r="AL34" s="808"/>
      <c r="AM34" s="1149"/>
      <c r="AN34" s="2118" t="s">
        <v>4840</v>
      </c>
      <c r="AO34" s="1142"/>
      <c r="AP34" s="1142"/>
      <c r="AQ34" s="1142"/>
      <c r="AR34" s="1143"/>
      <c r="AS34" s="808"/>
      <c r="AT34" s="4698"/>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row>
    <row r="35" spans="1:79" s="2038" customFormat="1" ht="15.75">
      <c r="A35" s="461"/>
      <c r="B35" s="808"/>
      <c r="C35" s="3644"/>
      <c r="D35" s="9951">
        <f>H34</f>
        <v>21750</v>
      </c>
      <c r="E35" s="9952"/>
      <c r="F35" s="9952"/>
      <c r="G35" s="9953"/>
      <c r="H35" s="9951">
        <v>23750</v>
      </c>
      <c r="I35" s="9952"/>
      <c r="J35" s="9952"/>
      <c r="K35" s="9953"/>
      <c r="L35" s="9954">
        <v>0.5</v>
      </c>
      <c r="M35" s="9955"/>
      <c r="N35" s="9955"/>
      <c r="O35" s="9955"/>
      <c r="P35" s="9955">
        <v>0.5</v>
      </c>
      <c r="Q35" s="9955"/>
      <c r="R35" s="9955"/>
      <c r="S35" s="9955"/>
      <c r="T35" s="9955">
        <v>0.2</v>
      </c>
      <c r="U35" s="9955"/>
      <c r="V35" s="9955"/>
      <c r="W35" s="9955"/>
      <c r="X35" s="9955"/>
      <c r="Y35" s="9955"/>
      <c r="Z35" s="9956"/>
      <c r="AA35" s="808"/>
      <c r="AB35" s="808"/>
      <c r="AC35" s="808"/>
      <c r="AD35" s="1129"/>
      <c r="AE35" s="2112"/>
      <c r="AF35" s="2112"/>
      <c r="AG35" s="2112"/>
      <c r="AH35" s="2112"/>
      <c r="AI35" s="9958">
        <f>IF(AB26,0,IF(File_Marr_Joint&lt;&gt;"",L29,IF(File_Head&lt;&gt;"",P29,W29)))</f>
        <v>0</v>
      </c>
      <c r="AJ35" s="9958"/>
      <c r="AK35" s="461"/>
      <c r="AL35" s="808"/>
      <c r="AM35" s="1150"/>
      <c r="AN35" s="2112" t="s">
        <v>4841</v>
      </c>
      <c r="AO35" s="808"/>
      <c r="AP35" s="808"/>
      <c r="AQ35" s="808"/>
      <c r="AR35" s="1151"/>
      <c r="AS35" s="808"/>
      <c r="AT35" s="4698"/>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row>
    <row r="36" spans="1:79" s="2038" customFormat="1" ht="15.75">
      <c r="A36" s="461"/>
      <c r="B36" s="808"/>
      <c r="C36" s="3644"/>
      <c r="D36" s="9951">
        <f t="shared" ref="D36:D43" si="0">H35</f>
        <v>23750</v>
      </c>
      <c r="E36" s="9952"/>
      <c r="F36" s="9952"/>
      <c r="G36" s="9953"/>
      <c r="H36" s="9951">
        <v>32625</v>
      </c>
      <c r="I36" s="9952"/>
      <c r="J36" s="9952"/>
      <c r="K36" s="9953"/>
      <c r="L36" s="9954">
        <v>0.5</v>
      </c>
      <c r="M36" s="9955"/>
      <c r="N36" s="9955"/>
      <c r="O36" s="9955"/>
      <c r="P36" s="9955">
        <v>0.5</v>
      </c>
      <c r="Q36" s="9955"/>
      <c r="R36" s="9955"/>
      <c r="S36" s="9955"/>
      <c r="T36" s="9955">
        <v>0.1</v>
      </c>
      <c r="U36" s="9955"/>
      <c r="V36" s="9955"/>
      <c r="W36" s="9955"/>
      <c r="X36" s="9955"/>
      <c r="Y36" s="9955"/>
      <c r="Z36" s="9956"/>
      <c r="AA36" s="808"/>
      <c r="AB36" s="808"/>
      <c r="AC36" s="808"/>
      <c r="AD36" s="1125">
        <v>9</v>
      </c>
      <c r="AE36" s="4864"/>
      <c r="AF36" s="2190"/>
      <c r="AG36" s="4865"/>
      <c r="AH36" s="4865" t="s">
        <v>4842</v>
      </c>
      <c r="AI36" s="9957" t="str">
        <f>IF(AB26,"",AI35*10)</f>
        <v/>
      </c>
      <c r="AJ36" s="9957"/>
      <c r="AK36" s="461"/>
      <c r="AL36" s="808"/>
      <c r="AM36" s="1150"/>
      <c r="AN36" s="808"/>
      <c r="AO36" s="808"/>
      <c r="AP36" s="808"/>
      <c r="AQ36" s="808"/>
      <c r="AR36" s="1151"/>
      <c r="AS36" s="808"/>
      <c r="AT36" s="4698"/>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row>
    <row r="37" spans="1:79" s="2038" customFormat="1" ht="15.75">
      <c r="A37" s="461"/>
      <c r="B37" s="808"/>
      <c r="C37" s="3644"/>
      <c r="D37" s="9951">
        <f t="shared" si="0"/>
        <v>32625</v>
      </c>
      <c r="E37" s="9952"/>
      <c r="F37" s="9952"/>
      <c r="G37" s="9953"/>
      <c r="H37" s="9951">
        <v>35625</v>
      </c>
      <c r="I37" s="9952"/>
      <c r="J37" s="9952"/>
      <c r="K37" s="9953"/>
      <c r="L37" s="9954">
        <v>0.5</v>
      </c>
      <c r="M37" s="9955"/>
      <c r="N37" s="9955"/>
      <c r="O37" s="9955"/>
      <c r="P37" s="9955">
        <v>0.2</v>
      </c>
      <c r="Q37" s="9955"/>
      <c r="R37" s="9955"/>
      <c r="S37" s="9955"/>
      <c r="T37" s="9955">
        <v>0.1</v>
      </c>
      <c r="U37" s="9955"/>
      <c r="V37" s="9955"/>
      <c r="W37" s="9955"/>
      <c r="X37" s="9955"/>
      <c r="Y37" s="9955"/>
      <c r="Z37" s="9956"/>
      <c r="AA37" s="808"/>
      <c r="AB37" s="808"/>
      <c r="AC37" s="808"/>
      <c r="AD37" s="1126"/>
      <c r="AE37" s="2112"/>
      <c r="AF37" s="2112"/>
      <c r="AG37" s="2112"/>
      <c r="AH37" s="2112"/>
      <c r="AI37" s="2112"/>
      <c r="AJ37" s="2112"/>
      <c r="AK37" s="461"/>
      <c r="AL37" s="808"/>
      <c r="AM37" s="1150"/>
      <c r="AN37" s="2716" t="s">
        <v>167</v>
      </c>
      <c r="AO37" s="892" t="s">
        <v>3632</v>
      </c>
      <c r="AP37" s="808"/>
      <c r="AQ37" s="808"/>
      <c r="AR37" s="1151"/>
      <c r="AS37" s="808"/>
      <c r="AT37" s="4698"/>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row>
    <row r="38" spans="1:79" s="2038" customFormat="1" ht="15.75">
      <c r="A38" s="461"/>
      <c r="B38" s="808"/>
      <c r="C38" s="3644"/>
      <c r="D38" s="9951">
        <f t="shared" si="0"/>
        <v>35625</v>
      </c>
      <c r="E38" s="9952"/>
      <c r="F38" s="9952"/>
      <c r="G38" s="9953"/>
      <c r="H38" s="9951">
        <v>36500</v>
      </c>
      <c r="I38" s="9952"/>
      <c r="J38" s="9952"/>
      <c r="K38" s="9953"/>
      <c r="L38" s="9954">
        <v>0.5</v>
      </c>
      <c r="M38" s="9955"/>
      <c r="N38" s="9955"/>
      <c r="O38" s="9955"/>
      <c r="P38" s="9955">
        <v>0.1</v>
      </c>
      <c r="Q38" s="9955"/>
      <c r="R38" s="9955"/>
      <c r="S38" s="9955"/>
      <c r="T38" s="9955">
        <v>0.1</v>
      </c>
      <c r="U38" s="9955"/>
      <c r="V38" s="9955"/>
      <c r="W38" s="9955"/>
      <c r="X38" s="9955"/>
      <c r="Y38" s="9955"/>
      <c r="Z38" s="9956"/>
      <c r="AA38" s="808"/>
      <c r="AB38" s="808"/>
      <c r="AC38" s="808"/>
      <c r="AD38" s="1126"/>
      <c r="AE38" s="2112"/>
      <c r="AF38" s="2112"/>
      <c r="AG38" s="2112"/>
      <c r="AH38" s="2112"/>
      <c r="AI38" s="2112"/>
      <c r="AJ38" s="2112"/>
      <c r="AK38" s="461"/>
      <c r="AL38" s="808"/>
      <c r="AM38" s="1150"/>
      <c r="AN38" s="808"/>
      <c r="AO38" s="892" t="s">
        <v>3633</v>
      </c>
      <c r="AP38" s="2716" t="s">
        <v>167</v>
      </c>
      <c r="AQ38" s="4863" t="str">
        <f>IF(AA44,"",Tax)</f>
        <v/>
      </c>
      <c r="AR38" s="1151"/>
      <c r="AS38" s="808"/>
      <c r="AT38" s="4698"/>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row>
    <row r="39" spans="1:79" s="2038" customFormat="1" ht="15.75">
      <c r="A39" s="461"/>
      <c r="B39" s="808"/>
      <c r="C39" s="3644"/>
      <c r="D39" s="9951">
        <f t="shared" si="0"/>
        <v>36500</v>
      </c>
      <c r="E39" s="9952"/>
      <c r="F39" s="9952"/>
      <c r="G39" s="9953"/>
      <c r="H39" s="9951">
        <v>43500</v>
      </c>
      <c r="I39" s="9952"/>
      <c r="J39" s="9952"/>
      <c r="K39" s="9953"/>
      <c r="L39" s="9954">
        <v>0.5</v>
      </c>
      <c r="M39" s="9955"/>
      <c r="N39" s="9955"/>
      <c r="O39" s="9955"/>
      <c r="P39" s="9955">
        <v>0.1</v>
      </c>
      <c r="Q39" s="9955"/>
      <c r="R39" s="9955"/>
      <c r="S39" s="9955"/>
      <c r="T39" s="9955">
        <v>0</v>
      </c>
      <c r="U39" s="9955"/>
      <c r="V39" s="9955"/>
      <c r="W39" s="9955"/>
      <c r="X39" s="9955"/>
      <c r="Y39" s="9955"/>
      <c r="Z39" s="9956"/>
      <c r="AA39" s="808"/>
      <c r="AB39" s="808"/>
      <c r="AC39" s="808"/>
      <c r="AD39" s="1126"/>
      <c r="AE39" s="2112"/>
      <c r="AF39" s="2112"/>
      <c r="AG39" s="2112"/>
      <c r="AH39" s="2112"/>
      <c r="AI39" s="2112"/>
      <c r="AJ39" s="2112"/>
      <c r="AK39" s="461"/>
      <c r="AL39" s="808"/>
      <c r="AM39" s="1150"/>
      <c r="AN39" s="2716"/>
      <c r="AO39" s="892"/>
      <c r="AP39" s="808"/>
      <c r="AQ39" s="808"/>
      <c r="AR39" s="1151"/>
      <c r="AS39" s="808"/>
      <c r="AT39" s="4698"/>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row>
    <row r="40" spans="1:79" s="2038" customFormat="1" ht="15.75">
      <c r="A40" s="461"/>
      <c r="B40" s="808"/>
      <c r="C40" s="3644"/>
      <c r="D40" s="9951">
        <f t="shared" si="0"/>
        <v>43500</v>
      </c>
      <c r="E40" s="9952"/>
      <c r="F40" s="9952"/>
      <c r="G40" s="9953"/>
      <c r="H40" s="9951">
        <v>47500</v>
      </c>
      <c r="I40" s="9952"/>
      <c r="J40" s="9952"/>
      <c r="K40" s="9953"/>
      <c r="L40" s="9954">
        <v>0.2</v>
      </c>
      <c r="M40" s="9955"/>
      <c r="N40" s="9955"/>
      <c r="O40" s="9955"/>
      <c r="P40" s="9955">
        <v>0.1</v>
      </c>
      <c r="Q40" s="9955"/>
      <c r="R40" s="9955"/>
      <c r="S40" s="9955"/>
      <c r="T40" s="9955">
        <v>0</v>
      </c>
      <c r="U40" s="9955"/>
      <c r="V40" s="9955"/>
      <c r="W40" s="9955"/>
      <c r="X40" s="9955"/>
      <c r="Y40" s="9955"/>
      <c r="Z40" s="9956"/>
      <c r="AA40" s="808"/>
      <c r="AB40" s="808"/>
      <c r="AC40" s="808"/>
      <c r="AD40" s="1126"/>
      <c r="AE40" s="2112"/>
      <c r="AF40" s="2112"/>
      <c r="AG40" s="2112"/>
      <c r="AH40" s="2112"/>
      <c r="AI40" s="2112"/>
      <c r="AJ40" s="2112"/>
      <c r="AK40" s="461"/>
      <c r="AL40" s="808"/>
      <c r="AM40" s="1150"/>
      <c r="AN40" s="2716" t="s">
        <v>171</v>
      </c>
      <c r="AO40" s="892" t="s">
        <v>4843</v>
      </c>
      <c r="AP40" s="808"/>
      <c r="AQ40" s="808"/>
      <c r="AR40" s="1151"/>
      <c r="AS40" s="808"/>
      <c r="AT40" s="4698"/>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row>
    <row r="41" spans="1:79" s="2038" customFormat="1" ht="15.75">
      <c r="A41" s="461"/>
      <c r="B41" s="808"/>
      <c r="C41" s="3644"/>
      <c r="D41" s="9951">
        <f t="shared" si="0"/>
        <v>47500</v>
      </c>
      <c r="E41" s="9952"/>
      <c r="F41" s="9952"/>
      <c r="G41" s="9953"/>
      <c r="H41" s="9951">
        <v>54750</v>
      </c>
      <c r="I41" s="9952"/>
      <c r="J41" s="9952"/>
      <c r="K41" s="9953"/>
      <c r="L41" s="9954">
        <v>0.1</v>
      </c>
      <c r="M41" s="9955"/>
      <c r="N41" s="9955"/>
      <c r="O41" s="9955"/>
      <c r="P41" s="9955">
        <v>0.1</v>
      </c>
      <c r="Q41" s="9955"/>
      <c r="R41" s="9955"/>
      <c r="S41" s="9955"/>
      <c r="T41" s="9955">
        <v>0</v>
      </c>
      <c r="U41" s="9955"/>
      <c r="V41" s="9955"/>
      <c r="W41" s="9955"/>
      <c r="X41" s="9955"/>
      <c r="Y41" s="9955"/>
      <c r="Z41" s="9956"/>
      <c r="AA41" s="808"/>
      <c r="AB41" s="808"/>
      <c r="AC41" s="808"/>
      <c r="AD41" s="1126"/>
      <c r="AE41" s="2112"/>
      <c r="AF41" s="2112"/>
      <c r="AG41" s="2112"/>
      <c r="AH41" s="2112"/>
      <c r="AI41" s="2112"/>
      <c r="AJ41" s="2112"/>
      <c r="AK41" s="461"/>
      <c r="AL41" s="808"/>
      <c r="AM41" s="1150"/>
      <c r="AN41" s="808"/>
      <c r="AO41" s="892" t="s">
        <v>4844</v>
      </c>
      <c r="AP41" s="2716" t="s">
        <v>171</v>
      </c>
      <c r="AQ41" s="4863" t="str">
        <f>IF(OR(AB26,AA44),"",SUM(Foreign_Tax_Credit,Care_Expenses,Education,Elderly_Credit,ROUND(F8978_Credit,0)))</f>
        <v/>
      </c>
      <c r="AR41" s="1151"/>
      <c r="AS41" s="808"/>
      <c r="AT41" s="4698"/>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2038" customFormat="1" ht="15.75">
      <c r="A42" s="461"/>
      <c r="B42" s="808"/>
      <c r="C42" s="3644"/>
      <c r="D42" s="9951">
        <f t="shared" si="0"/>
        <v>54750</v>
      </c>
      <c r="E42" s="9952"/>
      <c r="F42" s="9952"/>
      <c r="G42" s="9953"/>
      <c r="H42" s="9951">
        <v>73000</v>
      </c>
      <c r="I42" s="9952"/>
      <c r="J42" s="9952"/>
      <c r="K42" s="9953"/>
      <c r="L42" s="9954">
        <v>0.1</v>
      </c>
      <c r="M42" s="9955"/>
      <c r="N42" s="9955"/>
      <c r="O42" s="9955"/>
      <c r="P42" s="9955">
        <v>0</v>
      </c>
      <c r="Q42" s="9955"/>
      <c r="R42" s="9955"/>
      <c r="S42" s="9955"/>
      <c r="T42" s="9955">
        <v>0</v>
      </c>
      <c r="U42" s="9955"/>
      <c r="V42" s="9955"/>
      <c r="W42" s="9955"/>
      <c r="X42" s="9955"/>
      <c r="Y42" s="9955"/>
      <c r="Z42" s="9956"/>
      <c r="AA42" s="808"/>
      <c r="AB42" s="808"/>
      <c r="AC42" s="808"/>
      <c r="AD42" s="1126"/>
      <c r="AE42" s="2112"/>
      <c r="AF42" s="2112"/>
      <c r="AG42" s="2112"/>
      <c r="AH42" s="2112"/>
      <c r="AI42" s="2112"/>
      <c r="AJ42" s="2112"/>
      <c r="AK42" s="461"/>
      <c r="AL42" s="808"/>
      <c r="AM42" s="1150"/>
      <c r="AN42" s="808"/>
      <c r="AO42" s="808"/>
      <c r="AP42" s="808"/>
      <c r="AQ42" s="808"/>
      <c r="AR42" s="1151"/>
      <c r="AS42" s="808"/>
      <c r="AT42" s="4698"/>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s="2038" customFormat="1" ht="15.75">
      <c r="A43" s="461"/>
      <c r="B43" s="808"/>
      <c r="C43" s="3644"/>
      <c r="D43" s="9943">
        <f t="shared" si="0"/>
        <v>73000</v>
      </c>
      <c r="E43" s="9944"/>
      <c r="F43" s="9944"/>
      <c r="G43" s="9945"/>
      <c r="H43" s="9946" t="s">
        <v>399</v>
      </c>
      <c r="I43" s="9944"/>
      <c r="J43" s="9944"/>
      <c r="K43" s="9945"/>
      <c r="L43" s="9947">
        <v>0</v>
      </c>
      <c r="M43" s="9948"/>
      <c r="N43" s="9948"/>
      <c r="O43" s="9948"/>
      <c r="P43" s="9948">
        <v>0</v>
      </c>
      <c r="Q43" s="9948"/>
      <c r="R43" s="9948"/>
      <c r="S43" s="9948"/>
      <c r="T43" s="9948">
        <v>0</v>
      </c>
      <c r="U43" s="9948"/>
      <c r="V43" s="9948"/>
      <c r="W43" s="9948"/>
      <c r="X43" s="9948"/>
      <c r="Y43" s="9948"/>
      <c r="Z43" s="9949"/>
      <c r="AA43" s="808"/>
      <c r="AB43" s="808"/>
      <c r="AC43" s="808"/>
      <c r="AD43" s="1126"/>
      <c r="AE43" s="2112"/>
      <c r="AF43" s="2112"/>
      <c r="AG43" s="2112"/>
      <c r="AH43" s="2112"/>
      <c r="AI43" s="2112"/>
      <c r="AJ43" s="2112"/>
      <c r="AK43" s="461"/>
      <c r="AL43" s="808"/>
      <c r="AM43" s="1150"/>
      <c r="AN43" s="2716" t="s">
        <v>177</v>
      </c>
      <c r="AO43" s="892" t="s">
        <v>4845</v>
      </c>
      <c r="AP43" s="808"/>
      <c r="AQ43" s="808"/>
      <c r="AR43" s="1151"/>
      <c r="AS43" s="808"/>
      <c r="AT43" s="4698"/>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row>
    <row r="44" spans="1:79" s="2038" customFormat="1" ht="15.75">
      <c r="A44" s="461"/>
      <c r="B44" s="808"/>
      <c r="C44" s="1108"/>
      <c r="D44" s="9950" t="s">
        <v>4846</v>
      </c>
      <c r="E44" s="9950"/>
      <c r="F44" s="9950"/>
      <c r="G44" s="9950"/>
      <c r="H44" s="9950"/>
      <c r="I44" s="9950"/>
      <c r="J44" s="9950"/>
      <c r="K44" s="9950"/>
      <c r="L44" s="9950"/>
      <c r="M44" s="9950"/>
      <c r="N44" s="9950"/>
      <c r="O44" s="9950"/>
      <c r="P44" s="9950"/>
      <c r="Q44" s="9950"/>
      <c r="R44" s="9950"/>
      <c r="S44" s="9950"/>
      <c r="T44" s="9950"/>
      <c r="U44" s="9950"/>
      <c r="V44" s="9950"/>
      <c r="W44" s="9950"/>
      <c r="X44" s="9950"/>
      <c r="Y44" s="9950"/>
      <c r="Z44" s="9950"/>
      <c r="AA44" s="8168" t="b">
        <f>AI35=0</f>
        <v>1</v>
      </c>
      <c r="AB44" s="8168"/>
      <c r="AC44" s="9576"/>
      <c r="AD44" s="1126"/>
      <c r="AE44" s="2112"/>
      <c r="AF44" s="2112"/>
      <c r="AG44" s="2112"/>
      <c r="AH44" s="2112"/>
      <c r="AI44" s="2112"/>
      <c r="AJ44" s="2112"/>
      <c r="AK44" s="461"/>
      <c r="AL44" s="808"/>
      <c r="AM44" s="1150"/>
      <c r="AN44" s="808"/>
      <c r="AO44" s="892" t="s">
        <v>4847</v>
      </c>
      <c r="AP44" s="808"/>
      <c r="AQ44" s="900" t="b">
        <f>OR(AA44,AND(AQ41="",AQ38&lt;=0),AND(AQ41&lt;&gt;"",AQ38&lt;=AQ41))</f>
        <v>1</v>
      </c>
      <c r="AR44" s="1151"/>
      <c r="AS44" s="808"/>
      <c r="AT44" s="4698"/>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row>
    <row r="45" spans="1:79" s="2038" customFormat="1" ht="15" customHeight="1">
      <c r="A45" s="461"/>
      <c r="B45" s="808"/>
      <c r="C45" s="3644">
        <v>10</v>
      </c>
      <c r="D45" s="4601" t="s">
        <v>4848</v>
      </c>
      <c r="E45" s="808"/>
      <c r="F45" s="808"/>
      <c r="G45" s="808"/>
      <c r="H45" s="808"/>
      <c r="I45" s="808"/>
      <c r="J45" s="808"/>
      <c r="K45" s="808"/>
      <c r="L45" s="808"/>
      <c r="M45" s="808"/>
      <c r="N45" s="808"/>
      <c r="O45" s="808"/>
      <c r="P45" s="808"/>
      <c r="Q45" s="808"/>
      <c r="R45" s="808"/>
      <c r="S45" s="808"/>
      <c r="T45" s="808"/>
      <c r="U45" s="808"/>
      <c r="V45" s="808"/>
      <c r="W45" s="808"/>
      <c r="X45" s="808"/>
      <c r="Y45" s="808"/>
      <c r="Z45" s="808"/>
      <c r="AA45" s="808"/>
      <c r="AB45" s="808"/>
      <c r="AC45" s="3281"/>
      <c r="AD45" s="1125">
        <v>10</v>
      </c>
      <c r="AE45" s="9940" t="str">
        <f>IF(OR(AB26,AA44),"",ROUND(AE26*AI35,0))</f>
        <v/>
      </c>
      <c r="AF45" s="9941"/>
      <c r="AG45" s="9941"/>
      <c r="AH45" s="9941"/>
      <c r="AI45" s="9941"/>
      <c r="AJ45" s="9942"/>
      <c r="AK45" s="461"/>
      <c r="AL45" s="808"/>
      <c r="AM45" s="1150"/>
      <c r="AN45" s="808"/>
      <c r="AO45" s="892" t="s">
        <v>4849</v>
      </c>
      <c r="AP45" s="2716" t="s">
        <v>177</v>
      </c>
      <c r="AQ45" s="4863" t="str">
        <f>IF(AA44,"",IF(AQ41="",MAX(0,AQ38),SUM(AQ38,-AQ41)))</f>
        <v/>
      </c>
      <c r="AR45" s="1151"/>
      <c r="AS45" s="808"/>
      <c r="AT45" s="4698"/>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row>
    <row r="46" spans="1:79" s="2038" customFormat="1" ht="15.75">
      <c r="A46" s="461"/>
      <c r="B46" s="808"/>
      <c r="C46" s="3644">
        <v>11</v>
      </c>
      <c r="D46" s="1108" t="s">
        <v>4850</v>
      </c>
      <c r="E46" s="808"/>
      <c r="F46" s="808"/>
      <c r="G46" s="808"/>
      <c r="H46" s="808"/>
      <c r="I46" s="808"/>
      <c r="J46" s="808"/>
      <c r="K46" s="808"/>
      <c r="L46" s="808"/>
      <c r="M46" s="808"/>
      <c r="N46" s="808"/>
      <c r="O46" s="808"/>
      <c r="P46" s="808"/>
      <c r="Q46" s="808"/>
      <c r="R46" s="808"/>
      <c r="S46" s="808"/>
      <c r="T46" s="808"/>
      <c r="U46" s="808"/>
      <c r="V46" s="808"/>
      <c r="W46" s="808"/>
      <c r="X46" s="808"/>
      <c r="Y46" s="808"/>
      <c r="Z46" s="808"/>
      <c r="AA46" s="808"/>
      <c r="AB46" s="808"/>
      <c r="AC46" s="1151"/>
      <c r="AD46" s="1125">
        <v>11</v>
      </c>
      <c r="AE46" s="9940" t="str">
        <f>IF(OR(AA44,AQ44),"",AQ45)</f>
        <v/>
      </c>
      <c r="AF46" s="9941"/>
      <c r="AG46" s="9941"/>
      <c r="AH46" s="9941"/>
      <c r="AI46" s="9941"/>
      <c r="AJ46" s="9942"/>
      <c r="AK46" s="461"/>
      <c r="AL46" s="808"/>
      <c r="AM46" s="1154"/>
      <c r="AN46" s="1121"/>
      <c r="AO46" s="1121"/>
      <c r="AP46" s="1121"/>
      <c r="AQ46" s="1121"/>
      <c r="AR46" s="2391"/>
      <c r="AS46" s="808"/>
      <c r="AT46" s="4698"/>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row>
    <row r="47" spans="1:79" s="2038" customFormat="1" ht="15.75">
      <c r="A47" s="461"/>
      <c r="B47" s="808"/>
      <c r="C47" s="3644">
        <v>12</v>
      </c>
      <c r="D47" s="1108" t="s">
        <v>4851</v>
      </c>
      <c r="E47" s="808"/>
      <c r="F47" s="808"/>
      <c r="G47" s="808"/>
      <c r="H47" s="808"/>
      <c r="I47" s="808"/>
      <c r="J47" s="808"/>
      <c r="K47" s="808"/>
      <c r="L47" s="808"/>
      <c r="M47" s="808"/>
      <c r="N47" s="808"/>
      <c r="O47" s="808"/>
      <c r="P47" s="808"/>
      <c r="Q47" s="808"/>
      <c r="R47" s="808"/>
      <c r="S47" s="808"/>
      <c r="T47" s="808"/>
      <c r="U47" s="808"/>
      <c r="V47" s="808"/>
      <c r="W47" s="808"/>
      <c r="X47" s="808"/>
      <c r="Y47" s="808"/>
      <c r="Z47" s="808"/>
      <c r="AA47" s="808"/>
      <c r="AB47" s="808"/>
      <c r="AC47" s="1151"/>
      <c r="AD47" s="1126"/>
      <c r="AE47" s="808"/>
      <c r="AF47" s="808"/>
      <c r="AG47" s="808"/>
      <c r="AH47" s="808"/>
      <c r="AI47" s="808"/>
      <c r="AJ47" s="808"/>
      <c r="AK47" s="461"/>
      <c r="AL47" s="8802"/>
      <c r="AM47" s="8802"/>
      <c r="AN47" s="8802"/>
      <c r="AO47" s="808"/>
      <c r="AP47" s="808"/>
      <c r="AQ47" s="808"/>
      <c r="AR47" s="808"/>
      <c r="AS47" s="808"/>
      <c r="AT47" s="4698"/>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2038" customFormat="1" ht="15">
      <c r="A48" s="461"/>
      <c r="B48" s="808"/>
      <c r="C48" s="1124"/>
      <c r="D48" s="2112" t="s">
        <v>4852</v>
      </c>
      <c r="E48" s="808"/>
      <c r="F48" s="808"/>
      <c r="G48" s="808"/>
      <c r="H48" s="808"/>
      <c r="I48" s="808"/>
      <c r="J48" s="808"/>
      <c r="K48" s="808"/>
      <c r="L48" s="808"/>
      <c r="M48" s="808"/>
      <c r="N48" s="808"/>
      <c r="O48" s="808"/>
      <c r="P48" s="808"/>
      <c r="Q48" s="808"/>
      <c r="R48" s="808"/>
      <c r="S48" s="808"/>
      <c r="T48" s="808"/>
      <c r="U48" s="808"/>
      <c r="V48" s="808"/>
      <c r="W48" s="808"/>
      <c r="X48" s="808"/>
      <c r="Y48" s="808"/>
      <c r="Z48" s="808"/>
      <c r="AA48" s="808"/>
      <c r="AB48" s="808"/>
      <c r="AC48" s="1151"/>
      <c r="AD48" s="1125">
        <v>12</v>
      </c>
      <c r="AE48" s="9940" t="str">
        <f>IF(AL48&lt;&gt;"",ROUND(AL48,0),IF(OR(AA44,AQ44),"",MIN(AE45,AE46)))</f>
        <v/>
      </c>
      <c r="AF48" s="9941"/>
      <c r="AG48" s="9941"/>
      <c r="AH48" s="9941"/>
      <c r="AI48" s="9941"/>
      <c r="AJ48" s="9942"/>
      <c r="AK48" s="461"/>
      <c r="AL48" s="9602"/>
      <c r="AM48" s="9602"/>
      <c r="AN48" s="9602"/>
      <c r="AO48" s="808"/>
      <c r="AP48" s="808"/>
      <c r="AQ48" s="808"/>
      <c r="AR48" s="808"/>
      <c r="AS48" s="808"/>
      <c r="AT48" s="4698"/>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1:79" s="2038" customFormat="1" ht="15">
      <c r="A49" s="461"/>
      <c r="B49" s="808"/>
      <c r="C49" s="1124"/>
      <c r="D49" s="2112"/>
      <c r="E49" s="808"/>
      <c r="F49" s="808"/>
      <c r="G49" s="808"/>
      <c r="H49" s="808"/>
      <c r="I49" s="808"/>
      <c r="J49" s="808"/>
      <c r="K49" s="808"/>
      <c r="L49" s="808"/>
      <c r="M49" s="808"/>
      <c r="N49" s="808"/>
      <c r="O49" s="808"/>
      <c r="P49" s="808"/>
      <c r="Q49" s="808"/>
      <c r="R49" s="808"/>
      <c r="S49" s="808"/>
      <c r="T49" s="808"/>
      <c r="U49" s="808"/>
      <c r="V49" s="808"/>
      <c r="W49" s="808"/>
      <c r="X49" s="808"/>
      <c r="Y49" s="808"/>
      <c r="Z49" s="808"/>
      <c r="AA49" s="808"/>
      <c r="AB49" s="808"/>
      <c r="AC49" s="808"/>
      <c r="AD49" s="808"/>
      <c r="AE49" s="808"/>
      <c r="AF49" s="808"/>
      <c r="AG49" s="808"/>
      <c r="AH49" s="808"/>
      <c r="AI49" s="808"/>
      <c r="AJ49" s="808"/>
      <c r="AK49" s="461"/>
      <c r="AL49" s="808"/>
      <c r="AM49" s="808"/>
      <c r="AN49" s="808"/>
      <c r="AO49" s="808"/>
      <c r="AP49" s="808"/>
      <c r="AQ49" s="808"/>
      <c r="AR49" s="808"/>
      <c r="AS49" s="808"/>
      <c r="AT49" s="4698"/>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row>
    <row r="50" spans="1:79" s="2038" customFormat="1" ht="15">
      <c r="A50" s="461"/>
      <c r="B50" s="808"/>
      <c r="C50" s="1124"/>
      <c r="D50" s="2112" t="s">
        <v>4853</v>
      </c>
      <c r="E50" s="808"/>
      <c r="F50" s="808"/>
      <c r="G50" s="808"/>
      <c r="H50" s="808"/>
      <c r="I50" s="808"/>
      <c r="J50" s="808"/>
      <c r="K50" s="808"/>
      <c r="L50" s="808"/>
      <c r="M50" s="808"/>
      <c r="N50" s="808"/>
      <c r="O50" s="808"/>
      <c r="P50" s="808"/>
      <c r="Q50" s="808"/>
      <c r="R50" s="808"/>
      <c r="S50" s="808"/>
      <c r="T50" s="808"/>
      <c r="U50" s="808"/>
      <c r="V50" s="808"/>
      <c r="W50" s="808"/>
      <c r="X50" s="808"/>
      <c r="Y50" s="808"/>
      <c r="Z50" s="808"/>
      <c r="AA50" s="808"/>
      <c r="AB50" s="808"/>
      <c r="AC50" s="808"/>
      <c r="AD50" s="808"/>
      <c r="AE50" s="808"/>
      <c r="AF50" s="808"/>
      <c r="AG50" s="808"/>
      <c r="AH50" s="808"/>
      <c r="AI50" s="808"/>
      <c r="AJ50" s="808"/>
      <c r="AK50" s="461"/>
      <c r="AL50" s="808"/>
      <c r="AM50" s="808"/>
      <c r="AN50" s="808"/>
      <c r="AO50" s="808"/>
      <c r="AP50" s="808"/>
      <c r="AQ50" s="808"/>
      <c r="AR50" s="808"/>
      <c r="AS50" s="808"/>
      <c r="AT50" s="4698"/>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row>
    <row r="51" spans="1:79" s="2038" customFormat="1" ht="19.5" customHeight="1" thickBot="1">
      <c r="A51" s="461"/>
      <c r="B51" s="808"/>
      <c r="C51" s="1124"/>
      <c r="D51" s="2952" t="s">
        <v>4854</v>
      </c>
      <c r="E51" s="808"/>
      <c r="F51" s="808"/>
      <c r="G51" s="808"/>
      <c r="H51" s="808"/>
      <c r="I51" s="808"/>
      <c r="J51" s="808"/>
      <c r="K51" s="808"/>
      <c r="L51" s="808"/>
      <c r="M51" s="808"/>
      <c r="N51" s="808"/>
      <c r="O51" s="808"/>
      <c r="P51" s="808"/>
      <c r="Q51" s="808"/>
      <c r="R51" s="808"/>
      <c r="S51" s="808"/>
      <c r="T51" s="808"/>
      <c r="U51" s="808"/>
      <c r="V51" s="808"/>
      <c r="W51" s="808"/>
      <c r="X51" s="808"/>
      <c r="Y51" s="808"/>
      <c r="Z51" s="808"/>
      <c r="AA51" s="808"/>
      <c r="AB51" s="808"/>
      <c r="AC51" s="808"/>
      <c r="AD51" s="808"/>
      <c r="AE51" s="808"/>
      <c r="AF51" s="808"/>
      <c r="AG51" s="808"/>
      <c r="AH51" s="808"/>
      <c r="AI51" s="808"/>
      <c r="AJ51" s="808"/>
      <c r="AK51" s="461"/>
      <c r="AL51" s="808"/>
      <c r="AM51" s="808"/>
      <c r="AN51" s="808"/>
      <c r="AO51" s="808"/>
      <c r="AP51" s="808"/>
      <c r="AQ51" s="808"/>
      <c r="AR51" s="808"/>
      <c r="AS51" s="808"/>
      <c r="AT51" s="4698"/>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row>
    <row r="52" spans="1:79" ht="18" customHeight="1" thickTop="1">
      <c r="A52" s="461"/>
      <c r="B52" s="4866" t="s">
        <v>979</v>
      </c>
      <c r="C52" s="4745"/>
      <c r="D52" s="4745"/>
      <c r="E52" s="4745"/>
      <c r="F52" s="4745"/>
      <c r="G52" s="4745"/>
      <c r="H52" s="4745"/>
      <c r="I52" s="4745"/>
      <c r="J52" s="4745"/>
      <c r="K52" s="4745"/>
      <c r="L52" s="4745"/>
      <c r="M52" s="4745"/>
      <c r="N52" s="4745"/>
      <c r="O52" s="4745"/>
      <c r="P52" s="4745"/>
      <c r="Q52" s="963"/>
      <c r="R52" s="963"/>
      <c r="S52" s="963"/>
      <c r="T52" s="963"/>
      <c r="U52" s="4746"/>
      <c r="V52" s="963"/>
      <c r="W52" s="4331" t="s">
        <v>4855</v>
      </c>
      <c r="X52" s="963"/>
      <c r="Y52" s="963"/>
      <c r="Z52" s="963"/>
      <c r="AA52" s="963"/>
      <c r="AB52" s="963"/>
      <c r="AC52" s="963"/>
      <c r="AD52" s="963"/>
      <c r="AE52" s="963"/>
      <c r="AF52" s="963"/>
      <c r="AG52" s="963"/>
      <c r="AH52" s="4747" t="s">
        <v>4856</v>
      </c>
      <c r="AI52" s="963"/>
      <c r="AJ52" s="4747" t="str">
        <f>"("&amp;TaxYear&amp;")"</f>
        <v>(2023)</v>
      </c>
      <c r="AK52" s="461"/>
      <c r="AL52" s="2175"/>
      <c r="AM52" s="2175"/>
      <c r="AN52" s="808"/>
      <c r="AO52" s="808"/>
      <c r="AP52" s="808"/>
      <c r="AQ52" s="808"/>
      <c r="AR52" s="808"/>
      <c r="AS52" s="892"/>
      <c r="AT52" s="4698"/>
      <c r="AU52" s="2038"/>
      <c r="AV52" s="2038"/>
      <c r="AW52" s="2038"/>
      <c r="AX52" s="2038"/>
      <c r="AY52" s="2038"/>
      <c r="AZ52" s="2038"/>
      <c r="BA52" s="2038"/>
      <c r="BB52" s="2038"/>
      <c r="BD52" s="4742"/>
      <c r="BG52" s="4743"/>
      <c r="BH52" s="4597"/>
      <c r="BI52" s="1281"/>
      <c r="BJ52" s="2101"/>
      <c r="BK52" s="1281"/>
      <c r="BL52" s="1281"/>
      <c r="BM52" s="1281"/>
      <c r="BN52" s="1281"/>
      <c r="BO52" s="1281"/>
      <c r="BQ52" s="2690"/>
      <c r="BR52" s="2690"/>
      <c r="BS52" s="2690"/>
      <c r="BT52" s="2690"/>
      <c r="BU52" s="2690"/>
      <c r="BV52" s="2690"/>
      <c r="BW52" s="2690"/>
      <c r="BX52" s="2690"/>
      <c r="BY52" s="2690"/>
    </row>
    <row r="53" spans="1:79" ht="18" customHeight="1">
      <c r="A53" s="461"/>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c r="AD53" s="461"/>
      <c r="AE53" s="461"/>
      <c r="AF53" s="461"/>
      <c r="AG53" s="461"/>
      <c r="AH53" s="461"/>
      <c r="AI53" s="461"/>
      <c r="AJ53" s="461"/>
      <c r="AK53" s="461"/>
      <c r="AL53" s="2175"/>
      <c r="AM53" s="2175"/>
      <c r="AN53" s="808"/>
      <c r="AO53" s="808"/>
      <c r="AP53" s="808"/>
      <c r="AQ53" s="808"/>
      <c r="AR53" s="808"/>
      <c r="AS53" s="892"/>
      <c r="AT53" s="4698"/>
      <c r="AU53" s="2038"/>
      <c r="AV53" s="2038"/>
      <c r="AW53" s="2038"/>
      <c r="AX53" s="2038"/>
      <c r="AY53" s="2038"/>
      <c r="AZ53" s="2038"/>
      <c r="BA53" s="2038"/>
      <c r="BB53" s="2038"/>
      <c r="BD53" s="4742"/>
      <c r="BG53" s="4743"/>
      <c r="BH53" s="4597"/>
      <c r="BI53" s="1281"/>
      <c r="BJ53" s="2101"/>
      <c r="BK53" s="1281"/>
      <c r="BL53" s="1281"/>
      <c r="BM53" s="1281"/>
      <c r="BN53" s="1281"/>
      <c r="BO53" s="1281"/>
      <c r="BQ53" s="2690"/>
      <c r="BR53" s="2690"/>
      <c r="BS53" s="2690"/>
      <c r="BT53" s="2690"/>
      <c r="BU53" s="2690"/>
      <c r="BV53" s="2690"/>
      <c r="BW53" s="2690"/>
      <c r="BX53" s="2690"/>
      <c r="BY53" s="2690"/>
    </row>
    <row r="54" spans="1:79" s="2038" customFormat="1" ht="25.5" customHeight="1" thickBot="1">
      <c r="A54"/>
      <c r="B54" s="8"/>
      <c r="C54" s="8"/>
      <c r="D54" s="9"/>
      <c r="E54" s="9"/>
      <c r="F54" s="9"/>
      <c r="G54" s="9"/>
      <c r="H54" s="9"/>
      <c r="I54" s="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4749"/>
      <c r="AU54" s="2690"/>
      <c r="AV54" s="2690"/>
      <c r="AW54" s="2690"/>
      <c r="AX54" s="2690"/>
      <c r="AY54" s="2690"/>
      <c r="AZ54" s="2690"/>
      <c r="BA54" s="2690"/>
      <c r="BB54" s="2690"/>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row>
    <row r="55" spans="1:79" s="2038" customFormat="1" ht="13.5" thickBot="1">
      <c r="A55"/>
      <c r="B55" s="7762" t="s">
        <v>4857</v>
      </c>
      <c r="C55" s="7763"/>
      <c r="D55" s="7763"/>
      <c r="E55" s="7763"/>
      <c r="F55" s="7763"/>
      <c r="G55" s="7763"/>
      <c r="H55" s="7763"/>
      <c r="I55" s="7763"/>
      <c r="J55" s="7763"/>
      <c r="K55" s="7763"/>
      <c r="L55" s="7764"/>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4749"/>
      <c r="AU55" s="2690"/>
      <c r="AV55" s="2690"/>
      <c r="AW55" s="2690"/>
      <c r="AX55" s="2690"/>
      <c r="AY55" s="2690"/>
      <c r="AZ55" s="2690"/>
      <c r="BA55" s="2690"/>
      <c r="BB55" s="2690"/>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row>
    <row r="56" spans="1:79" s="2038" customFormat="1" ht="27" customHeight="1">
      <c r="A56"/>
      <c r="B56" s="364"/>
      <c r="C56" s="364"/>
      <c r="D56" s="365"/>
      <c r="E56" s="365"/>
      <c r="F56" s="365"/>
      <c r="G56" s="365"/>
      <c r="H56" s="365"/>
      <c r="I56" s="36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4749"/>
      <c r="AU56" s="2690"/>
      <c r="AV56" s="2690"/>
      <c r="AW56" s="2690"/>
      <c r="AX56" s="2690"/>
      <c r="AY56" s="2690"/>
      <c r="AZ56" s="2690"/>
      <c r="BA56" s="2690"/>
      <c r="BB56" s="2690"/>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row>
    <row r="57" spans="1:79" s="2038" customFormat="1" ht="13.5"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4749"/>
      <c r="AU57" s="2690"/>
      <c r="AV57" s="2690"/>
      <c r="AW57" s="2690"/>
      <c r="AX57" s="2690"/>
      <c r="AY57" s="2690"/>
      <c r="AZ57" s="2690"/>
      <c r="BA57" s="2690"/>
      <c r="BB57" s="2690"/>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row>
    <row r="58" spans="1:79" s="2038" customFormat="1">
      <c r="A58" s="39"/>
      <c r="B58" s="6517" t="s">
        <v>46</v>
      </c>
      <c r="C58" s="6518"/>
      <c r="D58" s="6518"/>
      <c r="E58" s="651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4749"/>
      <c r="AU58" s="2690"/>
      <c r="AV58" s="2690"/>
      <c r="AW58" s="2690"/>
      <c r="AX58" s="2690"/>
      <c r="AY58" s="2690"/>
      <c r="AZ58" s="2690"/>
      <c r="BA58" s="2690"/>
      <c r="BB58" s="2690"/>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row>
    <row r="59" spans="1:79" s="2038" customFormat="1">
      <c r="A59" s="39"/>
      <c r="B59" s="6520"/>
      <c r="C59" s="9831"/>
      <c r="D59" s="9831"/>
      <c r="E59" s="6522"/>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4749"/>
      <c r="AU59" s="2690"/>
      <c r="AV59" s="2690"/>
      <c r="AW59" s="2690"/>
      <c r="AX59" s="2690"/>
      <c r="AY59" s="2690"/>
      <c r="AZ59" s="2690"/>
      <c r="BA59" s="2690"/>
      <c r="BB59" s="2690"/>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row>
    <row r="60" spans="1:79" s="2038" customFormat="1" ht="13.5" thickBot="1">
      <c r="A60" s="39"/>
      <c r="B60" s="6523"/>
      <c r="C60" s="6524"/>
      <c r="D60" s="6524"/>
      <c r="E60" s="6525"/>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4749"/>
      <c r="AU60" s="2690"/>
      <c r="AV60" s="2690"/>
      <c r="AW60" s="2690"/>
      <c r="AX60" s="2690"/>
      <c r="AY60" s="2690"/>
      <c r="AZ60" s="2690"/>
      <c r="BA60" s="2690"/>
      <c r="BB60" s="2690"/>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row>
    <row r="61" spans="1:79" s="2038" customFormat="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4749"/>
      <c r="AU61" s="2690"/>
      <c r="AV61" s="2690"/>
      <c r="AW61" s="2690"/>
      <c r="AX61" s="2690"/>
      <c r="AY61" s="2690"/>
      <c r="AZ61" s="2690"/>
      <c r="BA61" s="2690"/>
      <c r="BB61" s="2690"/>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row>
    <row r="62" spans="1:79" s="2038" customForma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4749"/>
      <c r="AU62" s="2690"/>
      <c r="AV62" s="2690"/>
      <c r="AW62" s="2690"/>
      <c r="AX62" s="2690"/>
      <c r="AY62" s="2690"/>
      <c r="AZ62" s="2690"/>
      <c r="BA62" s="2690"/>
      <c r="BB62" s="2690"/>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row>
    <row r="63" spans="1:79" s="2038" customForma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4749"/>
      <c r="AU63" s="2690"/>
      <c r="AV63" s="2690"/>
      <c r="AW63" s="2690"/>
      <c r="AX63" s="2690"/>
      <c r="AY63" s="2690"/>
      <c r="AZ63" s="2690"/>
      <c r="BA63" s="2690"/>
      <c r="BB63" s="2690"/>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row>
    <row r="64" spans="1:79" s="2038" customForma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4749"/>
      <c r="AU64" s="2690"/>
      <c r="AV64" s="2690"/>
      <c r="AW64" s="2690"/>
      <c r="AX64" s="2690"/>
      <c r="AY64" s="2690"/>
      <c r="AZ64" s="2690"/>
      <c r="BA64" s="2690"/>
      <c r="BB64" s="2690"/>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row>
    <row r="65" spans="1:79" s="2038" customForma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4749"/>
      <c r="AU65" s="2690"/>
      <c r="AV65" s="2690"/>
      <c r="AW65" s="2690"/>
      <c r="AX65" s="2690"/>
      <c r="AY65" s="2690"/>
      <c r="AZ65" s="2690"/>
      <c r="BA65" s="2690"/>
      <c r="BB65" s="2690"/>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row>
    <row r="66" spans="1:79" s="2038" customForma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4749"/>
      <c r="AU66" s="2690"/>
      <c r="AV66" s="2690"/>
      <c r="AW66" s="2690"/>
      <c r="AX66" s="2690"/>
      <c r="AY66" s="2690"/>
      <c r="AZ66" s="2690"/>
      <c r="BA66" s="2690"/>
      <c r="BB66" s="2690"/>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row>
    <row r="67" spans="1:79" s="2038" customForma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4749"/>
      <c r="AU67" s="2690"/>
      <c r="AV67" s="2690"/>
      <c r="AW67" s="2690"/>
      <c r="AX67" s="2690"/>
      <c r="AY67" s="2690"/>
      <c r="AZ67" s="2690"/>
      <c r="BA67" s="2690"/>
      <c r="BB67" s="2690"/>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row>
    <row r="68" spans="1:79" s="2038" customForma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4749"/>
      <c r="AU68" s="2690"/>
      <c r="AV68" s="2690"/>
      <c r="AW68" s="2690"/>
      <c r="AX68" s="2690"/>
      <c r="AY68" s="2690"/>
      <c r="AZ68" s="2690"/>
      <c r="BA68" s="2690"/>
      <c r="BB68" s="2690"/>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row>
    <row r="69" spans="1:79" s="2038" customForma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4749"/>
      <c r="AU69" s="2690"/>
      <c r="AV69" s="2690"/>
      <c r="AW69" s="2690"/>
      <c r="AX69" s="2690"/>
      <c r="AY69" s="2690"/>
      <c r="AZ69" s="2690"/>
      <c r="BA69" s="2690"/>
      <c r="BB69" s="2690"/>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row>
  </sheetData>
  <sheetProtection algorithmName="SHA-512" hashValue="4JdINP/529ObR9KRTAT41FBnaelDjhPEe7X/Q+rYYn0OmOAVd+Iu/8uj/xxpwOkJcMHSRdWIVO2HeryoNKFb/A==" saltValue="W1GC2bFQZTOrM7/jakO9+A==" spinCount="100000" sheet="1" objects="1" scenarios="1"/>
  <mergeCells count="119">
    <mergeCell ref="D2:G3"/>
    <mergeCell ref="AC2:AJ2"/>
    <mergeCell ref="B3:C3"/>
    <mergeCell ref="I3:AB3"/>
    <mergeCell ref="AC3:AJ4"/>
    <mergeCell ref="I5:AB5"/>
    <mergeCell ref="AD5:AG5"/>
    <mergeCell ref="AH5:AI6"/>
    <mergeCell ref="I6:AB6"/>
    <mergeCell ref="AD6:AG6"/>
    <mergeCell ref="R15:S15"/>
    <mergeCell ref="T15:U15"/>
    <mergeCell ref="V15:W15"/>
    <mergeCell ref="Y15:AD15"/>
    <mergeCell ref="AE15:AJ15"/>
    <mergeCell ref="B8:X9"/>
    <mergeCell ref="Y8:AJ9"/>
    <mergeCell ref="V12:X12"/>
    <mergeCell ref="Y12:AA12"/>
    <mergeCell ref="AB12:AD12"/>
    <mergeCell ref="AE12:AG12"/>
    <mergeCell ref="AH12:AJ12"/>
    <mergeCell ref="AC16:AD16"/>
    <mergeCell ref="AI16:AJ16"/>
    <mergeCell ref="Y17:AD17"/>
    <mergeCell ref="AE17:AJ17"/>
    <mergeCell ref="Y19:AD19"/>
    <mergeCell ref="AE19:AJ19"/>
    <mergeCell ref="AC14:AD14"/>
    <mergeCell ref="AE14:AG14"/>
    <mergeCell ref="AH14:AJ14"/>
    <mergeCell ref="V25:W25"/>
    <mergeCell ref="Y25:AD25"/>
    <mergeCell ref="AE25:AJ25"/>
    <mergeCell ref="AB26:AC26"/>
    <mergeCell ref="AE26:AJ26"/>
    <mergeCell ref="X27:AC27"/>
    <mergeCell ref="Y20:AD20"/>
    <mergeCell ref="AE20:AJ20"/>
    <mergeCell ref="M21:N21"/>
    <mergeCell ref="Y23:AD23"/>
    <mergeCell ref="AE23:AJ23"/>
    <mergeCell ref="Y24:AD24"/>
    <mergeCell ref="AE24:AJ24"/>
    <mergeCell ref="L33:S33"/>
    <mergeCell ref="D34:G34"/>
    <mergeCell ref="H34:K34"/>
    <mergeCell ref="L34:O34"/>
    <mergeCell ref="P34:S34"/>
    <mergeCell ref="T34:Z34"/>
    <mergeCell ref="L29:O29"/>
    <mergeCell ref="P29:S29"/>
    <mergeCell ref="W29:Z29"/>
    <mergeCell ref="D30:K30"/>
    <mergeCell ref="L30:Z30"/>
    <mergeCell ref="D31:G33"/>
    <mergeCell ref="H31:K33"/>
    <mergeCell ref="L31:O32"/>
    <mergeCell ref="P31:S32"/>
    <mergeCell ref="T31:Z33"/>
    <mergeCell ref="D36:G36"/>
    <mergeCell ref="H36:K36"/>
    <mergeCell ref="L36:O36"/>
    <mergeCell ref="P36:S36"/>
    <mergeCell ref="T36:Z36"/>
    <mergeCell ref="AI36:AJ36"/>
    <mergeCell ref="D35:G35"/>
    <mergeCell ref="H35:K35"/>
    <mergeCell ref="L35:O35"/>
    <mergeCell ref="P35:S35"/>
    <mergeCell ref="T35:Z35"/>
    <mergeCell ref="AI35:AJ35"/>
    <mergeCell ref="D37:G37"/>
    <mergeCell ref="H37:K37"/>
    <mergeCell ref="L37:O37"/>
    <mergeCell ref="P37:S37"/>
    <mergeCell ref="T37:Z37"/>
    <mergeCell ref="D38:G38"/>
    <mergeCell ref="H38:K38"/>
    <mergeCell ref="L38:O38"/>
    <mergeCell ref="P38:S38"/>
    <mergeCell ref="T38:Z38"/>
    <mergeCell ref="L42:O42"/>
    <mergeCell ref="P42:S42"/>
    <mergeCell ref="T42:Z42"/>
    <mergeCell ref="D39:G39"/>
    <mergeCell ref="H39:K39"/>
    <mergeCell ref="L39:O39"/>
    <mergeCell ref="P39:S39"/>
    <mergeCell ref="T39:Z39"/>
    <mergeCell ref="D40:G40"/>
    <mergeCell ref="H40:K40"/>
    <mergeCell ref="L40:O40"/>
    <mergeCell ref="P40:S40"/>
    <mergeCell ref="T40:Z40"/>
    <mergeCell ref="AL27:AN27"/>
    <mergeCell ref="AL26:AN26"/>
    <mergeCell ref="AL25:AN25"/>
    <mergeCell ref="B55:L55"/>
    <mergeCell ref="B58:E60"/>
    <mergeCell ref="AA44:AC44"/>
    <mergeCell ref="AE45:AJ45"/>
    <mergeCell ref="AE46:AJ46"/>
    <mergeCell ref="AL47:AN47"/>
    <mergeCell ref="AE48:AJ48"/>
    <mergeCell ref="AL48:AN48"/>
    <mergeCell ref="D43:G43"/>
    <mergeCell ref="H43:K43"/>
    <mergeCell ref="L43:O43"/>
    <mergeCell ref="P43:S43"/>
    <mergeCell ref="T43:Z43"/>
    <mergeCell ref="D44:Z44"/>
    <mergeCell ref="D41:G41"/>
    <mergeCell ref="H41:K41"/>
    <mergeCell ref="L41:O41"/>
    <mergeCell ref="P41:S41"/>
    <mergeCell ref="T41:Z41"/>
    <mergeCell ref="D42:G42"/>
    <mergeCell ref="H42:K42"/>
  </mergeCells>
  <conditionalFormatting sqref="B8:K8">
    <cfRule type="expression" dxfId="358" priority="38">
      <formula>IF(NoColor,1,0)</formula>
    </cfRule>
  </conditionalFormatting>
  <conditionalFormatting sqref="D44:Z44">
    <cfRule type="expression" dxfId="357" priority="6">
      <formula>$AA$44</formula>
    </cfRule>
  </conditionalFormatting>
  <conditionalFormatting sqref="E12">
    <cfRule type="expression" dxfId="356" priority="13">
      <formula>AND($V$12,$AK$11="")</formula>
    </cfRule>
  </conditionalFormatting>
  <conditionalFormatting sqref="E14">
    <cfRule type="expression" dxfId="355" priority="11">
      <formula>AND($R$15,$AK$11="")</formula>
    </cfRule>
  </conditionalFormatting>
  <conditionalFormatting sqref="F11">
    <cfRule type="expression" dxfId="354" priority="14">
      <formula>AND($V$12,$AK$11="")</formula>
    </cfRule>
  </conditionalFormatting>
  <conditionalFormatting sqref="K26">
    <cfRule type="expression" dxfId="353" priority="7">
      <formula>$AB$26</formula>
    </cfRule>
  </conditionalFormatting>
  <conditionalFormatting sqref="Q22:R24">
    <cfRule type="expression" dxfId="352" priority="37">
      <formula>IF(NoColor,1,0)</formula>
    </cfRule>
  </conditionalFormatting>
  <conditionalFormatting sqref="V13:Y13">
    <cfRule type="expression" dxfId="351" priority="10">
      <formula>AND($AC$14,$AK$11="")</formula>
    </cfRule>
  </conditionalFormatting>
  <conditionalFormatting sqref="X27:AC27">
    <cfRule type="expression" dxfId="350" priority="20">
      <formula>IF(NoColor,1,0)</formula>
    </cfRule>
  </conditionalFormatting>
  <conditionalFormatting sqref="Y8">
    <cfRule type="expression" dxfId="349" priority="34">
      <formula>IF(NoColor,1,0)</formula>
    </cfRule>
  </conditionalFormatting>
  <conditionalFormatting sqref="Y22:Y25">
    <cfRule type="expression" dxfId="348" priority="28">
      <formula>IF(NoColor,1,0)</formula>
    </cfRule>
  </conditionalFormatting>
  <conditionalFormatting sqref="Y21:AC22">
    <cfRule type="expression" dxfId="347" priority="26">
      <formula>IF(NoColor,1,0)</formula>
    </cfRule>
  </conditionalFormatting>
  <conditionalFormatting sqref="Y17:AJ17">
    <cfRule type="expression" dxfId="346" priority="32">
      <formula>IF(NoColor,1,0)</formula>
    </cfRule>
  </conditionalFormatting>
  <conditionalFormatting sqref="Y19:AJ20">
    <cfRule type="expression" dxfId="345" priority="9">
      <formula>IF(NoColor,1,0)</formula>
    </cfRule>
  </conditionalFormatting>
  <conditionalFormatting sqref="AE22:AE26">
    <cfRule type="expression" dxfId="344" priority="4">
      <formula>IF(NoColor,1,0)</formula>
    </cfRule>
  </conditionalFormatting>
  <conditionalFormatting sqref="AE13:AF13">
    <cfRule type="expression" dxfId="343" priority="12">
      <formula>AND($R$15,$AK$11="")</formula>
    </cfRule>
  </conditionalFormatting>
  <conditionalFormatting sqref="AE26:AJ26">
    <cfRule type="expression" dxfId="342" priority="22">
      <formula>IF(NoColor,1,0)</formula>
    </cfRule>
  </conditionalFormatting>
  <conditionalFormatting sqref="AE45:AJ46">
    <cfRule type="expression" dxfId="341" priority="19">
      <formula>IF(NoColor,1,0)</formula>
    </cfRule>
  </conditionalFormatting>
  <conditionalFormatting sqref="AE48:AJ48">
    <cfRule type="expression" dxfId="340" priority="17">
      <formula>IF(NoColor,1,0)</formula>
    </cfRule>
  </conditionalFormatting>
  <conditionalFormatting sqref="AK11:AK12">
    <cfRule type="expression" dxfId="339" priority="15">
      <formula>OR($V$12,$R$15)</formula>
    </cfRule>
  </conditionalFormatting>
  <conditionalFormatting sqref="AL27:AN27">
    <cfRule type="expression" dxfId="338" priority="2">
      <formula>NoColor</formula>
    </cfRule>
  </conditionalFormatting>
  <conditionalFormatting sqref="AL48:AN48">
    <cfRule type="expression" dxfId="337" priority="1">
      <formula>NoColor</formula>
    </cfRule>
  </conditionalFormatting>
  <conditionalFormatting sqref="AO45">
    <cfRule type="expression" dxfId="336" priority="5">
      <formula>$AQ$44</formula>
    </cfRule>
  </conditionalFormatting>
  <hyperlinks>
    <hyperlink ref="C58:D60" location="'Table of Contents'!A1" display="Table of Contents" xr:uid="{00000000-0004-0000-2F00-000000000000}"/>
    <hyperlink ref="B55:H55" r:id="rId1" display="Download Form 1040 Schedule R" xr:uid="{00000000-0004-0000-2F00-000001000000}"/>
    <hyperlink ref="B55:I55" r:id="rId2" display="Download Form 1040 Form 8962" xr:uid="{00000000-0004-0000-2F00-000002000000}"/>
    <hyperlink ref="B55:L55" r:id="rId3" display="Download Form 8880 &amp; Instructions" xr:uid="{00000000-0004-0000-2F00-000003000000}"/>
  </hyperlinks>
  <pageMargins left="0.75" right="0.25" top="0.36" bottom="0.28999999999999998" header="0.36" footer="0.21"/>
  <pageSetup scale="68" fitToHeight="0" orientation="portrait" r:id="rId4"/>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T162"/>
  <sheetViews>
    <sheetView zoomScaleNormal="100" zoomScaleSheetLayoutView="130" workbookViewId="0"/>
  </sheetViews>
  <sheetFormatPr defaultRowHeight="12.75"/>
  <cols>
    <col min="1" max="1" width="2.42578125" style="39" customWidth="1"/>
    <col min="2" max="2" width="7.7109375" customWidth="1"/>
    <col min="3" max="3" width="10" customWidth="1"/>
    <col min="4" max="4" width="4.28515625" customWidth="1"/>
    <col min="5" max="5" width="8.42578125" customWidth="1"/>
    <col min="6" max="6" width="18.5703125" customWidth="1"/>
    <col min="7" max="7" width="8" customWidth="1"/>
    <col min="8" max="8" width="7" customWidth="1"/>
    <col min="9" max="9" width="8" customWidth="1"/>
    <col min="10" max="10" width="3.140625" customWidth="1"/>
    <col min="11" max="11" width="15.7109375" customWidth="1"/>
    <col min="12" max="12" width="3.7109375" customWidth="1"/>
    <col min="13" max="13" width="14.140625" customWidth="1"/>
    <col min="14" max="14" width="2.5703125" customWidth="1"/>
    <col min="15" max="15" width="3" customWidth="1"/>
    <col min="16" max="16" width="9.7109375" style="187" customWidth="1"/>
    <col min="17" max="17" width="15.42578125" customWidth="1"/>
    <col min="18" max="18" width="2.28515625" customWidth="1"/>
    <col min="19" max="19" width="6.7109375" style="2091" hidden="1" customWidth="1"/>
    <col min="20" max="20" width="6.28515625" style="2091" hidden="1" customWidth="1"/>
    <col min="21" max="22" width="7.42578125" style="2091" hidden="1" customWidth="1"/>
    <col min="23" max="23" width="3.28515625" style="2091" hidden="1" customWidth="1"/>
    <col min="24" max="24" width="13.42578125" style="163" hidden="1" customWidth="1"/>
    <col min="25" max="25" width="1.28515625" style="962" hidden="1" customWidth="1"/>
    <col min="26" max="26" width="3.85546875" style="2071" hidden="1" customWidth="1"/>
    <col min="27" max="27" width="1.28515625" style="962" hidden="1" customWidth="1"/>
    <col min="28" max="28" width="4.28515625" style="2071" hidden="1" customWidth="1"/>
    <col min="29" max="29" width="1.28515625" style="962" hidden="1" customWidth="1"/>
    <col min="30" max="30" width="2.7109375" style="2071" hidden="1" customWidth="1"/>
    <col min="31" max="31" width="1.28515625" style="962" hidden="1" customWidth="1"/>
    <col min="32" max="32" width="9.140625" style="2072" hidden="1" customWidth="1"/>
    <col min="33" max="33" width="3" style="962" hidden="1" customWidth="1"/>
    <col min="34" max="34" width="3" style="962" customWidth="1"/>
    <col min="35" max="36" width="7" style="962" hidden="1" customWidth="1"/>
    <col min="37" max="37" width="6.28515625" style="962" hidden="1" customWidth="1"/>
    <col min="38" max="38" width="3" style="962" customWidth="1"/>
    <col min="39" max="46" width="10.7109375" style="2038" customWidth="1"/>
  </cols>
  <sheetData>
    <row r="1" spans="1:46" ht="12" customHeight="1">
      <c r="A1" s="661"/>
      <c r="B1" s="659"/>
      <c r="C1" s="659"/>
      <c r="D1" s="659"/>
      <c r="E1" s="659"/>
      <c r="F1" s="659"/>
      <c r="G1" s="659"/>
      <c r="H1" s="659"/>
      <c r="I1" s="659"/>
      <c r="J1" s="659"/>
      <c r="K1" s="659"/>
      <c r="L1" s="660"/>
      <c r="M1" s="394"/>
      <c r="N1" s="394"/>
      <c r="O1" s="780"/>
      <c r="P1" s="2255"/>
      <c r="Q1" s="461"/>
      <c r="R1" s="780"/>
      <c r="S1" s="906"/>
      <c r="T1" s="906"/>
      <c r="U1" s="906"/>
      <c r="V1" s="906"/>
      <c r="W1" s="2264"/>
      <c r="X1" s="1009"/>
      <c r="Y1" s="1009"/>
      <c r="Z1" s="2087"/>
      <c r="AA1" s="1009"/>
      <c r="AB1" s="2087"/>
      <c r="AC1" s="1009"/>
      <c r="AD1" s="2087"/>
      <c r="AE1" s="1009"/>
      <c r="AF1" s="2088"/>
      <c r="AG1" s="1009"/>
      <c r="AH1" s="1009"/>
      <c r="AI1" s="1009"/>
      <c r="AJ1" s="1009"/>
      <c r="AK1" s="1009"/>
      <c r="AL1" s="1009"/>
      <c r="AM1" s="2037" t="s">
        <v>241</v>
      </c>
    </row>
    <row r="2" spans="1:46" ht="17.25" customHeight="1">
      <c r="A2" s="661"/>
      <c r="B2" s="1873"/>
      <c r="C2" s="1873"/>
      <c r="D2" s="1873"/>
      <c r="E2" s="3117" t="str">
        <f>IF(T5,"You can't deduct contributions if you are someone else's dependent.",IF(U5,"Your spouse can't deduct contributions if you are someone else's dependent.",IF(AND(File_Marr_Joint&lt;&gt;"",O7="",O8=""),"  Indicate in cells O9 &amp; O10 which taxpayer(s) are beneficiaries of an HSA",IF(O7="","  Indicate in cell O9 that you are the beneficiary of an HSA.",IF(AND(O7&lt;&gt;"",O8&lt;&gt;""),"  A separate Form 8889, for your spouse, is available below.","")))))</f>
        <v/>
      </c>
      <c r="F2" s="659"/>
      <c r="G2" s="659"/>
      <c r="H2" s="659"/>
      <c r="I2" s="659"/>
      <c r="J2" s="659"/>
      <c r="K2" s="659"/>
      <c r="L2" s="660"/>
      <c r="M2" s="394"/>
      <c r="N2" s="394"/>
      <c r="O2" s="3932"/>
      <c r="P2" s="3932"/>
      <c r="Q2" s="461"/>
      <c r="R2" s="780"/>
      <c r="S2" s="906"/>
      <c r="T2" s="906"/>
      <c r="U2" s="906"/>
      <c r="V2" s="906"/>
      <c r="W2" s="2264"/>
      <c r="X2" s="1009"/>
      <c r="Y2" s="1009"/>
      <c r="Z2" s="2087"/>
      <c r="AA2" s="1009"/>
      <c r="AB2" s="2087"/>
      <c r="AC2" s="1009"/>
      <c r="AD2" s="2087"/>
      <c r="AE2" s="1009"/>
      <c r="AF2" s="2088"/>
      <c r="AG2" s="1009"/>
      <c r="AH2" s="1009"/>
      <c r="AI2" s="1009"/>
      <c r="AJ2" s="1009"/>
      <c r="AK2" s="1009"/>
      <c r="AL2" s="1009"/>
    </row>
    <row r="3" spans="1:46" ht="13.5" customHeight="1">
      <c r="A3" s="662"/>
      <c r="B3" s="630"/>
      <c r="C3" s="394"/>
      <c r="D3" s="394"/>
      <c r="E3" s="394"/>
      <c r="F3" s="394"/>
      <c r="G3" s="606"/>
      <c r="H3" s="394"/>
      <c r="I3" s="394"/>
      <c r="J3" s="394"/>
      <c r="K3" s="394"/>
      <c r="L3" s="394"/>
      <c r="M3" s="394"/>
      <c r="N3" s="394"/>
      <c r="O3" s="3933"/>
      <c r="P3" s="2255"/>
      <c r="Q3" s="461"/>
      <c r="R3" s="780"/>
      <c r="S3" s="906"/>
      <c r="T3" s="10052" t="s">
        <v>4858</v>
      </c>
      <c r="U3" s="10052"/>
      <c r="V3" s="906"/>
      <c r="W3" s="2264"/>
      <c r="X3" s="1009"/>
      <c r="Y3" s="1009"/>
      <c r="Z3" s="2087"/>
      <c r="AA3" s="1009"/>
      <c r="AB3" s="2087"/>
      <c r="AC3" s="1009"/>
      <c r="AD3" s="2087"/>
      <c r="AE3" s="1009"/>
      <c r="AF3" s="2088"/>
      <c r="AG3" s="1009"/>
      <c r="AH3" s="1009"/>
      <c r="AI3" s="1009"/>
      <c r="AJ3" s="1009"/>
      <c r="AK3" s="1009"/>
      <c r="AL3" s="1009"/>
    </row>
    <row r="4" spans="1:46" ht="18">
      <c r="A4" s="66"/>
      <c r="B4" s="2574"/>
      <c r="C4" s="22"/>
      <c r="D4" s="83"/>
      <c r="E4" s="22"/>
      <c r="F4" s="22"/>
      <c r="G4" s="1633"/>
      <c r="H4" s="2128"/>
      <c r="I4" s="22"/>
      <c r="J4" s="22"/>
      <c r="K4" s="22"/>
      <c r="L4" s="9093" t="s">
        <v>2455</v>
      </c>
      <c r="M4" s="8773"/>
      <c r="N4" s="394"/>
      <c r="O4" s="878"/>
      <c r="P4" s="134"/>
      <c r="Q4" s="461"/>
      <c r="R4" s="780"/>
      <c r="S4" s="906"/>
      <c r="T4" s="2071" t="s">
        <v>605</v>
      </c>
      <c r="U4" s="2071" t="s">
        <v>606</v>
      </c>
      <c r="V4" s="906"/>
      <c r="W4" s="2264"/>
      <c r="X4" s="1009"/>
      <c r="Y4" s="1009"/>
      <c r="Z4" s="2087"/>
      <c r="AA4" s="1009"/>
      <c r="AB4" s="2087"/>
      <c r="AC4" s="1009"/>
      <c r="AD4" s="2087"/>
      <c r="AE4" s="1009"/>
      <c r="AF4" s="2088"/>
      <c r="AG4" s="1009"/>
      <c r="AH4" s="1009"/>
      <c r="AI4" s="1009"/>
      <c r="AJ4" s="1009"/>
      <c r="AK4" s="1009"/>
      <c r="AL4" s="1009"/>
    </row>
    <row r="5" spans="1:46" ht="21.75" customHeight="1">
      <c r="A5" s="66"/>
      <c r="B5" s="10035" t="s">
        <v>50</v>
      </c>
      <c r="C5" s="10036">
        <v>8889</v>
      </c>
      <c r="D5" s="10037"/>
      <c r="E5" s="8642" t="s">
        <v>4859</v>
      </c>
      <c r="F5" s="10040"/>
      <c r="G5" s="10040"/>
      <c r="H5" s="10040"/>
      <c r="I5" s="10040"/>
      <c r="J5" s="10040"/>
      <c r="K5" s="10041"/>
      <c r="L5" s="7716">
        <f>TaxYear</f>
        <v>2023</v>
      </c>
      <c r="M5" s="10026"/>
      <c r="N5" s="5699"/>
      <c r="O5" s="10068" t="s">
        <v>4863</v>
      </c>
      <c r="P5" s="10068"/>
      <c r="Q5" s="10072" t="s">
        <v>4860</v>
      </c>
      <c r="R5" s="892"/>
      <c r="S5" s="5722"/>
      <c r="T5" s="2771" t="b">
        <f>(DependentYOU&lt;&gt;"")</f>
        <v>0</v>
      </c>
      <c r="U5" s="2771" t="b">
        <f>(DependentSPOUSE&lt;&gt;"")</f>
        <v>0</v>
      </c>
      <c r="V5" s="5722"/>
      <c r="W5" s="1895"/>
      <c r="X5" s="3174"/>
      <c r="Y5" s="1009"/>
      <c r="Z5" s="2087"/>
      <c r="AA5" s="1009"/>
      <c r="AB5" s="2087"/>
      <c r="AC5" s="1009"/>
      <c r="AD5" s="2087"/>
      <c r="AE5" s="1009"/>
      <c r="AF5" s="2088"/>
      <c r="AG5" s="1009"/>
      <c r="AH5" s="1009"/>
      <c r="AI5" s="1009"/>
      <c r="AJ5" s="1009"/>
      <c r="AK5" s="1009"/>
      <c r="AL5" s="1009"/>
    </row>
    <row r="6" spans="1:46" ht="9.75" customHeight="1">
      <c r="A6" s="66"/>
      <c r="B6" s="7311"/>
      <c r="C6" s="10038"/>
      <c r="D6" s="10039"/>
      <c r="E6" s="7061"/>
      <c r="F6" s="9104"/>
      <c r="G6" s="9104"/>
      <c r="H6" s="9104"/>
      <c r="I6" s="9104"/>
      <c r="J6" s="9104"/>
      <c r="K6" s="9105"/>
      <c r="L6" s="10027"/>
      <c r="M6" s="10028"/>
      <c r="N6" s="448"/>
      <c r="O6" s="10068" t="s">
        <v>4867</v>
      </c>
      <c r="P6" s="10068"/>
      <c r="Q6" s="6847"/>
      <c r="R6" s="878"/>
      <c r="S6" s="2092"/>
      <c r="T6" s="2092"/>
      <c r="U6" s="2092"/>
      <c r="V6" s="2092"/>
      <c r="W6" s="2084"/>
      <c r="X6" s="878"/>
      <c r="Y6" s="1009"/>
      <c r="Z6" s="2087"/>
      <c r="AA6" s="1009"/>
      <c r="AB6" s="2087"/>
      <c r="AC6" s="1009"/>
      <c r="AD6" s="2087"/>
      <c r="AE6" s="1009"/>
      <c r="AF6" s="2088"/>
      <c r="AG6" s="1009"/>
      <c r="AH6" s="1009"/>
      <c r="AI6" s="1009"/>
      <c r="AJ6" s="1009"/>
      <c r="AK6" s="1009"/>
      <c r="AL6" s="1009"/>
    </row>
    <row r="7" spans="1:46" ht="12.75" customHeight="1">
      <c r="A7" s="66"/>
      <c r="B7" s="10012" t="s">
        <v>535</v>
      </c>
      <c r="C7" s="6848"/>
      <c r="D7" s="10013"/>
      <c r="E7" s="7061" t="s">
        <v>4861</v>
      </c>
      <c r="F7" s="9104"/>
      <c r="G7" s="9104"/>
      <c r="H7" s="9104"/>
      <c r="I7" s="9104"/>
      <c r="J7" s="9104"/>
      <c r="K7" s="9105"/>
      <c r="L7" s="10014" t="s">
        <v>4862</v>
      </c>
      <c r="M7" s="7690"/>
      <c r="N7" s="5699"/>
      <c r="O7" s="5973" t="s">
        <v>2268</v>
      </c>
      <c r="P7" s="2774" t="s">
        <v>605</v>
      </c>
      <c r="Q7" s="4579" t="b">
        <f>AND(O7&lt;&gt;"",O8&lt;&gt;"")</f>
        <v>0</v>
      </c>
      <c r="R7" s="878"/>
      <c r="S7" s="677"/>
      <c r="T7" s="677"/>
      <c r="U7" s="677"/>
      <c r="V7" s="677"/>
      <c r="W7" s="3622"/>
      <c r="X7" s="2298" t="s">
        <v>4864</v>
      </c>
      <c r="Y7" s="1009"/>
      <c r="Z7" s="2087"/>
      <c r="AA7" s="1009"/>
      <c r="AB7" s="2087"/>
      <c r="AC7" s="1009"/>
      <c r="AD7" s="2087"/>
      <c r="AE7" s="1009"/>
      <c r="AF7" s="2088"/>
      <c r="AG7" s="1009"/>
      <c r="AH7" s="1009"/>
      <c r="AI7" s="1009"/>
      <c r="AJ7" s="1009"/>
      <c r="AK7" s="1009"/>
      <c r="AL7" s="1009"/>
    </row>
    <row r="8" spans="1:46" ht="12.75" customHeight="1" thickBot="1">
      <c r="A8" s="66"/>
      <c r="B8" s="10015" t="s">
        <v>537</v>
      </c>
      <c r="C8" s="10016"/>
      <c r="D8" s="10017"/>
      <c r="E8" s="10018" t="s">
        <v>4865</v>
      </c>
      <c r="F8" s="10019"/>
      <c r="G8" s="10019"/>
      <c r="H8" s="10019"/>
      <c r="I8" s="10019"/>
      <c r="J8" s="10019"/>
      <c r="K8" s="10020"/>
      <c r="L8" s="10021" t="s">
        <v>4866</v>
      </c>
      <c r="M8" s="9469"/>
      <c r="N8" s="5699"/>
      <c r="O8" s="2790"/>
      <c r="P8" s="2774" t="s">
        <v>606</v>
      </c>
      <c r="Q8" s="10054" t="str">
        <f>IF(AND(O7="",O8=""),"Indicate HSA beneficiary here.",IF($Q$7,"A separate "&amp;CHAR(10)&amp;"Form 8889 is available below.",""))</f>
        <v/>
      </c>
      <c r="R8" s="892"/>
      <c r="S8" s="677"/>
      <c r="T8" s="677"/>
      <c r="U8" s="677"/>
      <c r="V8" s="677"/>
      <c r="W8" s="3622"/>
      <c r="X8" s="10053" t="s">
        <v>4868</v>
      </c>
      <c r="Y8" s="10053"/>
      <c r="Z8" s="7039"/>
      <c r="AA8" s="7039"/>
      <c r="AB8" s="7039"/>
      <c r="AC8" s="7039"/>
      <c r="AD8" s="7039"/>
      <c r="AE8" s="7039"/>
      <c r="AF8" s="7039"/>
      <c r="AG8" s="7039"/>
      <c r="AH8" s="2782"/>
      <c r="AI8" s="1009"/>
      <c r="AJ8" s="1009"/>
      <c r="AK8" s="1009"/>
      <c r="AL8" s="1009"/>
    </row>
    <row r="9" spans="1:46" ht="27" customHeight="1" thickBot="1">
      <c r="A9" s="66"/>
      <c r="B9" s="5073" t="s">
        <v>4869</v>
      </c>
      <c r="C9" s="128"/>
      <c r="D9" s="128"/>
      <c r="E9" s="111"/>
      <c r="F9" s="112"/>
      <c r="G9" s="20"/>
      <c r="H9" s="112"/>
      <c r="I9" s="112"/>
      <c r="J9" s="10031" t="s">
        <v>4870</v>
      </c>
      <c r="K9" s="10032"/>
      <c r="L9" s="10032"/>
      <c r="M9" s="10032"/>
      <c r="N9" s="5699"/>
      <c r="O9" s="780"/>
      <c r="P9" s="5975"/>
      <c r="Q9" s="10054"/>
      <c r="R9" s="892"/>
      <c r="S9" s="11"/>
      <c r="T9" s="11"/>
      <c r="U9" s="11"/>
      <c r="V9" s="11"/>
      <c r="W9" s="2085"/>
      <c r="X9" s="9138"/>
      <c r="Y9" s="9138"/>
      <c r="Z9" s="9138"/>
      <c r="AA9" s="9138"/>
      <c r="AB9" s="9138"/>
      <c r="AC9" s="9138"/>
      <c r="AD9" s="9138"/>
      <c r="AE9" s="9138"/>
      <c r="AF9" s="9138"/>
      <c r="AG9" s="9138"/>
      <c r="AH9" s="2782"/>
      <c r="AI9" s="1009"/>
      <c r="AJ9" s="1009"/>
      <c r="AK9" s="1009"/>
      <c r="AL9" s="1009"/>
    </row>
    <row r="10" spans="1:46" ht="15" customHeight="1">
      <c r="A10" s="66"/>
      <c r="B10" s="9127" t="str">
        <f>IF(O7&lt;&gt;"",NameYours,IF(O8&lt;&gt;"",NameSpouse,Names))</f>
        <v xml:space="preserve"> </v>
      </c>
      <c r="C10" s="6339"/>
      <c r="D10" s="6339"/>
      <c r="E10" s="6339"/>
      <c r="F10" s="6339"/>
      <c r="G10" s="6339"/>
      <c r="H10" s="6339"/>
      <c r="I10" s="6339"/>
      <c r="J10" s="7043">
        <f>IF(NoSSN,"",IF(M10&lt;&gt;"",SS_Yours,IF(M11&lt;&gt;"",SS_Spouse,SS_Yours)))</f>
        <v>1010001</v>
      </c>
      <c r="K10" s="7297"/>
      <c r="L10" s="7297"/>
      <c r="M10" s="7297"/>
      <c r="N10" s="5699"/>
      <c r="O10" s="892"/>
      <c r="P10" s="5976"/>
      <c r="Q10" s="10054"/>
      <c r="R10" s="892"/>
      <c r="S10" s="11"/>
      <c r="T10" s="11"/>
      <c r="U10" s="11"/>
      <c r="V10" s="11"/>
      <c r="W10" s="2085"/>
      <c r="X10" s="10055" t="s">
        <v>4871</v>
      </c>
      <c r="Y10" s="10056"/>
      <c r="Z10" s="10056"/>
      <c r="AA10" s="10056"/>
      <c r="AB10" s="10056"/>
      <c r="AC10" s="10056"/>
      <c r="AD10" s="10056"/>
      <c r="AE10" s="10056"/>
      <c r="AF10" s="10056"/>
      <c r="AG10" s="10057"/>
      <c r="AH10" s="2788"/>
      <c r="AI10" s="1009"/>
      <c r="AJ10" s="1009"/>
      <c r="AK10" s="1009"/>
      <c r="AL10" s="1009"/>
    </row>
    <row r="11" spans="1:46" ht="24.75" customHeight="1">
      <c r="A11" s="66"/>
      <c r="B11" s="2808" t="s">
        <v>4872</v>
      </c>
      <c r="C11" s="1247"/>
      <c r="D11" s="1247"/>
      <c r="E11" s="1247"/>
      <c r="F11" s="1247"/>
      <c r="G11" s="1247"/>
      <c r="H11" s="1247"/>
      <c r="I11" s="1247"/>
      <c r="J11" s="1849"/>
      <c r="K11" s="1849"/>
      <c r="L11" s="1247"/>
      <c r="M11" s="1247"/>
      <c r="N11" s="448"/>
      <c r="O11" s="892"/>
      <c r="P11" s="5977"/>
      <c r="Q11" s="5982"/>
      <c r="R11" s="892"/>
      <c r="S11" s="11"/>
      <c r="T11" s="11"/>
      <c r="U11" s="11"/>
      <c r="V11" s="11"/>
      <c r="W11" s="2085"/>
      <c r="X11" s="2075"/>
      <c r="Y11" s="892"/>
      <c r="Z11" s="10061" t="s">
        <v>4873</v>
      </c>
      <c r="AA11" s="892"/>
      <c r="AB11" s="10061" t="s">
        <v>4874</v>
      </c>
      <c r="AC11" s="892"/>
      <c r="AD11" s="10061" t="s">
        <v>4875</v>
      </c>
      <c r="AE11" s="892"/>
      <c r="AF11" s="2080"/>
      <c r="AG11" s="2081"/>
      <c r="AH11" s="892"/>
      <c r="AI11" s="1009"/>
      <c r="AJ11" s="1009"/>
      <c r="AK11" s="1009"/>
      <c r="AL11" s="1009"/>
    </row>
    <row r="12" spans="1:46" ht="15">
      <c r="A12" s="66"/>
      <c r="B12" s="3843" t="s">
        <v>2468</v>
      </c>
      <c r="C12" s="10042" t="s">
        <v>4876</v>
      </c>
      <c r="D12" s="10042"/>
      <c r="E12" s="10043"/>
      <c r="F12" s="10043"/>
      <c r="G12" s="10043"/>
      <c r="H12" s="10043"/>
      <c r="I12" s="10043"/>
      <c r="J12" s="10043"/>
      <c r="K12" s="10043"/>
      <c r="L12" s="10043"/>
      <c r="M12" s="10043"/>
      <c r="N12" s="5706"/>
      <c r="O12" s="892"/>
      <c r="P12" s="5980"/>
      <c r="Q12" s="461"/>
      <c r="R12" s="892"/>
      <c r="S12" s="904"/>
      <c r="T12" s="904"/>
      <c r="U12" s="904"/>
      <c r="V12" s="904"/>
      <c r="W12" s="1579"/>
      <c r="X12" s="3168"/>
      <c r="Y12" s="892"/>
      <c r="Z12" s="10062"/>
      <c r="AA12" s="892"/>
      <c r="AB12" s="10062"/>
      <c r="AC12" s="892"/>
      <c r="AD12" s="10062"/>
      <c r="AE12" s="892"/>
      <c r="AF12" s="2080"/>
      <c r="AG12" s="2081"/>
      <c r="AH12" s="892"/>
      <c r="AI12" s="1009"/>
      <c r="AJ12" s="1009"/>
      <c r="AK12" s="1009"/>
      <c r="AL12" s="1009"/>
    </row>
    <row r="13" spans="1:46" ht="12" customHeight="1">
      <c r="A13" s="66"/>
      <c r="B13" s="1850"/>
      <c r="C13" s="10083" t="s">
        <v>4877</v>
      </c>
      <c r="D13" s="10083"/>
      <c r="E13" s="10084"/>
      <c r="F13" s="10084"/>
      <c r="G13" s="10084"/>
      <c r="H13" s="10084"/>
      <c r="I13" s="10084"/>
      <c r="J13" s="10084"/>
      <c r="K13" s="10084"/>
      <c r="L13" s="10084"/>
      <c r="M13" s="10084"/>
      <c r="N13" s="5706"/>
      <c r="O13" s="892"/>
      <c r="P13" s="5978"/>
      <c r="Q13" s="388"/>
      <c r="R13" s="892"/>
      <c r="S13" s="904"/>
      <c r="T13" s="904"/>
      <c r="U13" s="904"/>
      <c r="V13" s="904"/>
      <c r="W13" s="1579"/>
      <c r="X13" s="3168"/>
      <c r="Y13" s="892"/>
      <c r="Z13" s="10062"/>
      <c r="AA13" s="892"/>
      <c r="AB13" s="10062"/>
      <c r="AC13" s="892"/>
      <c r="AD13" s="10062"/>
      <c r="AE13" s="892"/>
      <c r="AF13" s="2080"/>
      <c r="AG13" s="2081"/>
      <c r="AH13" s="892"/>
      <c r="AI13" s="1009"/>
      <c r="AJ13" s="1009"/>
      <c r="AK13" s="1009"/>
      <c r="AL13" s="1009"/>
    </row>
    <row r="14" spans="1:46" ht="6" customHeight="1">
      <c r="A14" s="66"/>
      <c r="B14" s="1851"/>
      <c r="C14" s="1852"/>
      <c r="D14" s="1852"/>
      <c r="E14" s="1853"/>
      <c r="F14" s="1853"/>
      <c r="G14" s="1853"/>
      <c r="H14" s="1853"/>
      <c r="I14" s="1853"/>
      <c r="J14" s="1853"/>
      <c r="K14" s="1853"/>
      <c r="L14" s="1853"/>
      <c r="M14" s="1853"/>
      <c r="N14" s="5706"/>
      <c r="O14" s="892"/>
      <c r="P14" s="5979"/>
      <c r="Q14" s="2572"/>
      <c r="R14" s="892"/>
      <c r="S14" s="904"/>
      <c r="T14" s="904"/>
      <c r="U14" s="904"/>
      <c r="V14" s="904"/>
      <c r="W14" s="1579"/>
      <c r="X14" s="3168"/>
      <c r="Y14" s="892"/>
      <c r="Z14" s="10062"/>
      <c r="AA14" s="892"/>
      <c r="AB14" s="10062"/>
      <c r="AC14" s="892"/>
      <c r="AD14" s="10062"/>
      <c r="AE14" s="892"/>
      <c r="AF14" s="2080"/>
      <c r="AG14" s="2081"/>
      <c r="AH14" s="892"/>
      <c r="AI14" s="1009"/>
      <c r="AJ14" s="1009"/>
      <c r="AK14" s="1009"/>
      <c r="AL14" s="1009"/>
    </row>
    <row r="15" spans="1:46" s="672" customFormat="1" ht="12" customHeight="1">
      <c r="A15" s="66"/>
      <c r="B15" s="124">
        <v>1</v>
      </c>
      <c r="C15" s="267" t="str">
        <f>"Check the box to indicate your coverage under a high-deductible health plan (HDHP) during "&amp;TaxYear</f>
        <v>Check the box to indicate your coverage under a high-deductible health plan (HDHP) during 2023</v>
      </c>
      <c r="D15" s="190"/>
      <c r="E15" s="159"/>
      <c r="F15" s="159"/>
      <c r="G15" s="160"/>
      <c r="H15" s="160"/>
      <c r="I15" s="160"/>
      <c r="J15" s="160"/>
      <c r="K15" s="124"/>
      <c r="L15" s="1856"/>
      <c r="M15" s="1854" t="s">
        <v>4878</v>
      </c>
      <c r="N15" s="449"/>
      <c r="O15" s="1604"/>
      <c r="P15" s="2135">
        <f>IF(L15&lt;&gt;"",1,0)</f>
        <v>0</v>
      </c>
      <c r="Q15" s="5974" t="str">
        <f>IF(P19=0,"Check one box.",IF(P19=2,"Check only one box.",""))</f>
        <v>Check one box.</v>
      </c>
      <c r="R15" s="1604"/>
      <c r="S15" s="183"/>
      <c r="T15" s="183"/>
      <c r="U15" s="183"/>
      <c r="V15" s="183"/>
      <c r="W15" s="1604"/>
      <c r="X15" s="2076"/>
      <c r="Y15" s="892"/>
      <c r="Z15" s="10062"/>
      <c r="AA15" s="892"/>
      <c r="AB15" s="10062"/>
      <c r="AC15" s="892"/>
      <c r="AD15" s="10062"/>
      <c r="AE15" s="892"/>
      <c r="AF15" s="2080"/>
      <c r="AG15" s="2081"/>
      <c r="AH15" s="892"/>
      <c r="AI15" s="1006"/>
      <c r="AJ15" s="1006"/>
      <c r="AK15" s="1006"/>
      <c r="AL15" s="1006"/>
      <c r="AM15" s="2038"/>
      <c r="AN15" s="2038"/>
      <c r="AO15" s="2038"/>
      <c r="AP15" s="2038"/>
      <c r="AQ15" s="2038"/>
      <c r="AR15" s="2038"/>
      <c r="AS15" s="2038"/>
      <c r="AT15" s="2038"/>
    </row>
    <row r="16" spans="1:46" s="672" customFormat="1" ht="5.25" customHeight="1">
      <c r="A16" s="66"/>
      <c r="B16" s="124"/>
      <c r="C16" s="10046" t="s">
        <v>810</v>
      </c>
      <c r="D16" s="7609"/>
      <c r="E16" s="7609"/>
      <c r="F16" s="1855"/>
      <c r="G16" s="1855"/>
      <c r="H16" s="1855"/>
      <c r="I16" s="1855"/>
      <c r="J16" s="1855"/>
      <c r="K16" s="1855"/>
      <c r="L16" s="124"/>
      <c r="M16" s="302"/>
      <c r="N16" s="449"/>
      <c r="O16" s="1604"/>
      <c r="P16" s="2135"/>
      <c r="Q16" s="461"/>
      <c r="R16" s="1604"/>
      <c r="S16" s="183"/>
      <c r="T16" s="183"/>
      <c r="U16" s="183"/>
      <c r="V16" s="183"/>
      <c r="W16" s="1604"/>
      <c r="X16" s="2076"/>
      <c r="Y16" s="892"/>
      <c r="Z16" s="10062"/>
      <c r="AA16" s="892"/>
      <c r="AB16" s="10062"/>
      <c r="AC16" s="892"/>
      <c r="AD16" s="10062"/>
      <c r="AE16" s="892"/>
      <c r="AF16" s="2080"/>
      <c r="AG16" s="2081"/>
      <c r="AH16" s="892"/>
      <c r="AI16" s="1006"/>
      <c r="AJ16" s="1006"/>
      <c r="AK16" s="1006"/>
      <c r="AL16" s="1006"/>
      <c r="AM16" s="2038"/>
      <c r="AN16" s="2038"/>
      <c r="AO16" s="2038"/>
      <c r="AP16" s="2038"/>
      <c r="AQ16" s="2038"/>
      <c r="AR16" s="2038"/>
      <c r="AS16" s="2038"/>
      <c r="AT16" s="2038"/>
    </row>
    <row r="17" spans="1:46" s="672" customFormat="1" ht="10.5" customHeight="1">
      <c r="A17" s="66"/>
      <c r="B17" s="124"/>
      <c r="C17" s="7609"/>
      <c r="D17" s="7609"/>
      <c r="E17" s="7609"/>
      <c r="F17" s="1855"/>
      <c r="G17" s="1855"/>
      <c r="H17" s="1855"/>
      <c r="I17" s="1855"/>
      <c r="J17" s="1855"/>
      <c r="K17" s="2573" t="s">
        <v>2405</v>
      </c>
      <c r="L17" s="1856"/>
      <c r="M17" s="1854" t="s">
        <v>4879</v>
      </c>
      <c r="N17" s="449"/>
      <c r="O17" s="1604"/>
      <c r="P17" s="2135">
        <f>IF(L17&lt;&gt;"",1,0)</f>
        <v>0</v>
      </c>
      <c r="Q17" s="911" t="b">
        <f>IF(P19=1,TRUE,FALSE)</f>
        <v>0</v>
      </c>
      <c r="R17" s="1604"/>
      <c r="S17" s="183"/>
      <c r="T17" s="183"/>
      <c r="U17" s="183"/>
      <c r="V17" s="183"/>
      <c r="W17" s="1604"/>
      <c r="X17" s="2076"/>
      <c r="Y17" s="892"/>
      <c r="Z17" s="10062"/>
      <c r="AA17" s="892"/>
      <c r="AB17" s="10062"/>
      <c r="AC17" s="892"/>
      <c r="AD17" s="10062"/>
      <c r="AE17" s="892"/>
      <c r="AF17" s="2080"/>
      <c r="AG17" s="2081"/>
      <c r="AH17" s="892"/>
      <c r="AI17" s="1006"/>
      <c r="AJ17" s="1006"/>
      <c r="AK17" s="1006"/>
      <c r="AL17" s="1006"/>
      <c r="AM17" s="2038"/>
      <c r="AN17" s="2038"/>
      <c r="AO17" s="2038"/>
      <c r="AP17" s="2038"/>
      <c r="AQ17" s="2038"/>
      <c r="AR17" s="2038"/>
      <c r="AS17" s="2038"/>
      <c r="AT17" s="2038"/>
    </row>
    <row r="18" spans="1:46" s="672" customFormat="1" ht="4.5" customHeight="1">
      <c r="A18" s="66"/>
      <c r="B18" s="124"/>
      <c r="C18" s="407"/>
      <c r="D18" s="407"/>
      <c r="E18" s="407"/>
      <c r="F18" s="1855"/>
      <c r="G18" s="1855"/>
      <c r="H18" s="1855"/>
      <c r="I18" s="1855"/>
      <c r="J18" s="1855"/>
      <c r="K18" s="954"/>
      <c r="L18" s="1857"/>
      <c r="M18" s="1854"/>
      <c r="N18" s="449"/>
      <c r="O18" s="1604"/>
      <c r="P18" s="2326"/>
      <c r="Q18" s="461"/>
      <c r="R18" s="1604"/>
      <c r="S18" s="183"/>
      <c r="T18" s="183"/>
      <c r="U18" s="183"/>
      <c r="V18" s="183"/>
      <c r="W18" s="1604"/>
      <c r="X18" s="2076"/>
      <c r="Y18" s="892"/>
      <c r="Z18" s="10062"/>
      <c r="AA18" s="892"/>
      <c r="AB18" s="10062"/>
      <c r="AC18" s="892"/>
      <c r="AD18" s="10062"/>
      <c r="AE18" s="892"/>
      <c r="AF18" s="2080"/>
      <c r="AG18" s="2081"/>
      <c r="AH18" s="892"/>
      <c r="AI18" s="1006"/>
      <c r="AJ18" s="1006"/>
      <c r="AK18" s="1006"/>
      <c r="AL18" s="1006"/>
      <c r="AM18" s="2038"/>
      <c r="AN18" s="2038"/>
      <c r="AO18" s="2038"/>
      <c r="AP18" s="2038"/>
      <c r="AQ18" s="2038"/>
      <c r="AR18" s="2038"/>
      <c r="AS18" s="2038"/>
      <c r="AT18" s="2038"/>
    </row>
    <row r="19" spans="1:46" s="672" customFormat="1" ht="12" customHeight="1">
      <c r="A19" s="66"/>
      <c r="B19" s="124">
        <v>2</v>
      </c>
      <c r="C19" s="267" t="str">
        <f>"HSA contributions you made for "&amp;TaxYear&amp;" (or those made on your behalf), including those made by the"</f>
        <v>HSA contributions you made for 2023 (or those made on your behalf), including those made by the</v>
      </c>
      <c r="D19" s="190"/>
      <c r="E19" s="159"/>
      <c r="F19" s="159"/>
      <c r="G19" s="160"/>
      <c r="H19" s="160"/>
      <c r="I19" s="160"/>
      <c r="J19" s="160"/>
      <c r="K19" s="124"/>
      <c r="L19" s="573"/>
      <c r="M19" s="5723"/>
      <c r="N19" s="449"/>
      <c r="O19" s="1604"/>
      <c r="P19" s="2135">
        <f>SUM(P15,P17)</f>
        <v>0</v>
      </c>
      <c r="Q19" s="388"/>
      <c r="R19" s="1604"/>
      <c r="S19" s="183"/>
      <c r="T19" s="183"/>
      <c r="U19" s="183"/>
      <c r="V19" s="183"/>
      <c r="W19" s="1604"/>
      <c r="X19" s="2076"/>
      <c r="Y19" s="892"/>
      <c r="Z19" s="10062"/>
      <c r="AA19" s="892"/>
      <c r="AB19" s="10062"/>
      <c r="AC19" s="892"/>
      <c r="AD19" s="10062"/>
      <c r="AE19" s="892"/>
      <c r="AF19" s="2080"/>
      <c r="AG19" s="2081"/>
      <c r="AH19" s="892"/>
      <c r="AI19" s="1006"/>
      <c r="AJ19" s="1006"/>
      <c r="AK19" s="1006"/>
      <c r="AL19" s="1006"/>
      <c r="AM19" s="2038"/>
      <c r="AN19" s="2038"/>
      <c r="AO19" s="2038"/>
      <c r="AP19" s="2038"/>
      <c r="AQ19" s="2038"/>
      <c r="AR19" s="2038"/>
      <c r="AS19" s="2038"/>
      <c r="AT19" s="2038"/>
    </row>
    <row r="20" spans="1:46" ht="12" customHeight="1">
      <c r="A20" s="66"/>
      <c r="B20" s="124"/>
      <c r="C20" s="267" t="str">
        <f>"unextended due date of your tax return that were for "&amp;TaxYear&amp;"."</f>
        <v>unextended due date of your tax return that were for 2023.</v>
      </c>
      <c r="D20" s="267"/>
      <c r="E20" s="159"/>
      <c r="F20" s="159"/>
      <c r="G20" s="160"/>
      <c r="H20" s="267" t="s">
        <v>4880</v>
      </c>
      <c r="I20" s="190"/>
      <c r="J20" s="160"/>
      <c r="K20" s="160"/>
      <c r="L20" s="396"/>
      <c r="M20" s="1412">
        <f>IF(M21="",0,ROUND(M21,0))</f>
        <v>0</v>
      </c>
      <c r="N20" s="5707"/>
      <c r="O20" s="814"/>
      <c r="P20" s="2326"/>
      <c r="Q20" s="388"/>
      <c r="R20" s="814"/>
      <c r="S20" s="183"/>
      <c r="T20" s="183"/>
      <c r="U20" s="183"/>
      <c r="V20" s="183"/>
      <c r="W20" s="1604"/>
      <c r="X20" s="2077"/>
      <c r="Y20" s="892"/>
      <c r="Z20" s="10062"/>
      <c r="AA20" s="892"/>
      <c r="AB20" s="10062"/>
      <c r="AC20" s="892"/>
      <c r="AD20" s="10062"/>
      <c r="AE20" s="892"/>
      <c r="AF20" s="2080"/>
      <c r="AG20" s="2081"/>
      <c r="AH20" s="892"/>
      <c r="AI20" s="1009"/>
      <c r="AJ20" s="2087" t="s">
        <v>605</v>
      </c>
      <c r="AK20" s="2087" t="s">
        <v>4881</v>
      </c>
      <c r="AL20" s="2087"/>
    </row>
    <row r="21" spans="1:46" ht="12" customHeight="1">
      <c r="A21" s="66"/>
      <c r="B21" s="124"/>
      <c r="C21" s="267" t="s">
        <v>4882</v>
      </c>
      <c r="D21" s="267"/>
      <c r="E21" s="159"/>
      <c r="F21" s="159"/>
      <c r="G21" s="160"/>
      <c r="H21" s="124"/>
      <c r="I21" s="124"/>
      <c r="J21" s="124"/>
      <c r="K21" s="124" t="s">
        <v>746</v>
      </c>
      <c r="L21" s="228">
        <f>B19</f>
        <v>2</v>
      </c>
      <c r="M21" s="976"/>
      <c r="N21" s="5707"/>
      <c r="O21" s="814"/>
      <c r="P21" s="2326"/>
      <c r="Q21" s="388"/>
      <c r="R21" s="814"/>
      <c r="S21" s="183" t="s">
        <v>858</v>
      </c>
      <c r="T21" s="183"/>
      <c r="U21" s="183" t="s">
        <v>4883</v>
      </c>
      <c r="V21" s="183" t="s">
        <v>3774</v>
      </c>
      <c r="W21" s="1604"/>
      <c r="X21" s="2078">
        <f>TaxYear</f>
        <v>2023</v>
      </c>
      <c r="Y21" s="892"/>
      <c r="Z21" s="10062"/>
      <c r="AA21" s="892"/>
      <c r="AB21" s="10062"/>
      <c r="AC21" s="892"/>
      <c r="AD21" s="10062"/>
      <c r="AE21" s="892"/>
      <c r="AF21" s="2080"/>
      <c r="AG21" s="2081"/>
      <c r="AH21" s="892"/>
      <c r="AI21" s="2087" t="s">
        <v>4883</v>
      </c>
      <c r="AJ21" s="2087" t="s">
        <v>3774</v>
      </c>
      <c r="AK21" s="2087" t="s">
        <v>3774</v>
      </c>
      <c r="AL21" s="2087"/>
    </row>
    <row r="22" spans="1:46" s="672" customFormat="1" ht="12" customHeight="1">
      <c r="A22" s="66"/>
      <c r="B22" s="124">
        <v>3</v>
      </c>
      <c r="C22" s="190" t="str">
        <f>"If  you  were under age "&amp;P22&amp;" at the  end of  "&amp;TaxYear&amp;" and, on"</f>
        <v>If  you  were under age 55 at the  end of  2023 and, on</v>
      </c>
      <c r="D22" s="190"/>
      <c r="E22" s="159"/>
      <c r="F22" s="159"/>
      <c r="G22" s="190" t="str">
        <f>" the first day of every month during "&amp;TaxYear&amp;", you"</f>
        <v xml:space="preserve"> the first day of every month during 2023, you</v>
      </c>
      <c r="H22" s="1866"/>
      <c r="I22" s="1866"/>
      <c r="J22" s="380"/>
      <c r="K22" s="190"/>
      <c r="L22" s="1859"/>
      <c r="M22" s="2073"/>
      <c r="N22" s="449"/>
      <c r="O22" s="1604"/>
      <c r="P22" s="2135">
        <v>55</v>
      </c>
      <c r="Q22" s="388"/>
      <c r="R22" s="1604"/>
      <c r="S22" s="2767" t="s">
        <v>4884</v>
      </c>
      <c r="T22" s="3523" t="s">
        <v>399</v>
      </c>
      <c r="U22" s="2768">
        <v>3850</v>
      </c>
      <c r="V22" s="2768">
        <v>7750</v>
      </c>
      <c r="W22" s="2086"/>
      <c r="X22" s="2079" t="s">
        <v>4885</v>
      </c>
      <c r="Y22" s="892"/>
      <c r="Z22" s="2083" t="s">
        <v>328</v>
      </c>
      <c r="AA22" s="892"/>
      <c r="AB22" s="2083" t="s">
        <v>4886</v>
      </c>
      <c r="AC22" s="892"/>
      <c r="AD22" s="2083" t="str">
        <f>IF(L17&lt;&gt;"","F","S")</f>
        <v>S</v>
      </c>
      <c r="AE22" s="892"/>
      <c r="AF22" s="2080">
        <f t="shared" ref="AF22:AF33" si="0">IF(OR(Z22="Y",Z22="y",AB22="N",AB22="n"),0,IF(OR(AD22="S",AD22="s"),$U$25,$V$25))</f>
        <v>4850</v>
      </c>
      <c r="AG22" s="2081"/>
      <c r="AH22" s="892"/>
      <c r="AI22" s="1006">
        <f t="shared" ref="AI22:AI33" si="1">IF(AD22="S",1,0)</f>
        <v>1</v>
      </c>
      <c r="AJ22" s="1006">
        <f t="shared" ref="AJ22:AJ33" si="2">IF(AND(OR(AB22="y",AB22="Y"),OR(AD22="f",AD22="F")),1,0)</f>
        <v>0</v>
      </c>
      <c r="AK22" s="1006">
        <f t="shared" ref="AK22:AK33" si="3">MIN(1,SUM(AJ22,AJ84))</f>
        <v>0</v>
      </c>
      <c r="AL22" s="1006"/>
      <c r="AM22" s="2038"/>
      <c r="AN22" s="2038"/>
      <c r="AO22" s="2038"/>
      <c r="AP22" s="2038"/>
      <c r="AQ22" s="2038"/>
      <c r="AR22" s="2038"/>
      <c r="AS22" s="2038"/>
      <c r="AT22" s="2038"/>
    </row>
    <row r="23" spans="1:46" ht="12" customHeight="1">
      <c r="A23" s="66"/>
      <c r="B23" s="124"/>
      <c r="C23" s="190" t="s">
        <v>4887</v>
      </c>
      <c r="D23" s="267"/>
      <c r="E23" s="159"/>
      <c r="F23" s="159"/>
      <c r="G23" s="160"/>
      <c r="H23" s="160"/>
      <c r="I23" s="160"/>
      <c r="J23" s="190"/>
      <c r="K23" s="3943" t="str">
        <f>"enter "&amp;TEXT($U$22,"$0,000")&amp; " ("&amp;TEXT($V$22,"$0,000")&amp;" for"</f>
        <v>enter $3,850 ($7,750 for</v>
      </c>
      <c r="L23" s="396"/>
      <c r="M23" s="2074"/>
      <c r="N23" s="5707"/>
      <c r="O23" s="814"/>
      <c r="P23" s="5981"/>
      <c r="Q23" s="388"/>
      <c r="R23" s="814"/>
      <c r="S23" s="2767" t="s">
        <v>4888</v>
      </c>
      <c r="T23" s="3523" t="s">
        <v>4889</v>
      </c>
      <c r="U23" s="2768">
        <f>SUM(U22,$S$33)</f>
        <v>4850</v>
      </c>
      <c r="V23" s="2768">
        <f>SUM(V22,$S$33)</f>
        <v>8750</v>
      </c>
      <c r="W23" s="2086"/>
      <c r="X23" s="2079" t="s">
        <v>4890</v>
      </c>
      <c r="Y23" s="892"/>
      <c r="Z23" s="2083" t="str">
        <f>Z22</f>
        <v>N</v>
      </c>
      <c r="AA23" s="892"/>
      <c r="AB23" s="2083" t="str">
        <f>AB22</f>
        <v>Y</v>
      </c>
      <c r="AC23" s="892"/>
      <c r="AD23" s="2083" t="str">
        <f>AD22</f>
        <v>S</v>
      </c>
      <c r="AE23" s="892"/>
      <c r="AF23" s="2080">
        <f t="shared" si="0"/>
        <v>4850</v>
      </c>
      <c r="AG23" s="2081"/>
      <c r="AH23" s="892"/>
      <c r="AI23" s="1006">
        <f t="shared" si="1"/>
        <v>1</v>
      </c>
      <c r="AJ23" s="1006">
        <f t="shared" si="2"/>
        <v>0</v>
      </c>
      <c r="AK23" s="1006">
        <f t="shared" si="3"/>
        <v>0</v>
      </c>
      <c r="AL23" s="1006"/>
    </row>
    <row r="24" spans="1:46" ht="12" customHeight="1">
      <c r="A24" s="66"/>
      <c r="B24" s="124"/>
      <c r="C24" s="190" t="s">
        <v>4891</v>
      </c>
      <c r="D24" s="267"/>
      <c r="E24" s="159"/>
      <c r="F24" s="190"/>
      <c r="G24" s="160"/>
      <c r="H24" s="124"/>
      <c r="I24" s="124"/>
      <c r="J24" s="124"/>
      <c r="K24" s="124" t="s">
        <v>752</v>
      </c>
      <c r="L24" s="228">
        <f>B22</f>
        <v>3</v>
      </c>
      <c r="M24" s="1982" t="str">
        <f>IF(Q24&lt;&gt;"",ROUND(Q24,0),IF(OR(NOT(F8889_Line1),AND(M21="",K34="",M27="")),"",AF35))</f>
        <v/>
      </c>
      <c r="N24" s="5707"/>
      <c r="O24" s="814"/>
      <c r="P24" s="2257"/>
      <c r="Q24" s="300"/>
      <c r="R24" s="814"/>
      <c r="S24" s="2767" t="s">
        <v>4888</v>
      </c>
      <c r="T24" s="2767" t="s">
        <v>4892</v>
      </c>
      <c r="U24" s="2768">
        <f>SUM(U22,S33)</f>
        <v>4850</v>
      </c>
      <c r="V24" s="2768">
        <f>V22</f>
        <v>7750</v>
      </c>
      <c r="W24" s="2086"/>
      <c r="X24" s="2079" t="s">
        <v>4893</v>
      </c>
      <c r="Y24" s="892"/>
      <c r="Z24" s="2083" t="str">
        <f t="shared" ref="Z24:Z33" si="4">Z23</f>
        <v>N</v>
      </c>
      <c r="AA24" s="892"/>
      <c r="AB24" s="2083" t="str">
        <f t="shared" ref="AB24:AB33" si="5">AB23</f>
        <v>Y</v>
      </c>
      <c r="AC24" s="892"/>
      <c r="AD24" s="2083" t="str">
        <f t="shared" ref="AD24:AD33" si="6">AD23</f>
        <v>S</v>
      </c>
      <c r="AE24" s="892"/>
      <c r="AF24" s="2080">
        <f t="shared" si="0"/>
        <v>4850</v>
      </c>
      <c r="AG24" s="2081"/>
      <c r="AH24" s="892"/>
      <c r="AI24" s="1006">
        <f t="shared" si="1"/>
        <v>1</v>
      </c>
      <c r="AJ24" s="1006">
        <f t="shared" si="2"/>
        <v>0</v>
      </c>
      <c r="AK24" s="1006">
        <f t="shared" si="3"/>
        <v>0</v>
      </c>
      <c r="AL24" s="1006"/>
    </row>
    <row r="25" spans="1:46" s="672" customFormat="1" ht="12" customHeight="1">
      <c r="A25" s="66"/>
      <c r="B25" s="124">
        <v>4</v>
      </c>
      <c r="C25" s="190" t="str">
        <f>"Enter the amount you and your employer contributed to your Archer MSAs for "&amp;TaxYear&amp;" from Form 8853,"</f>
        <v>Enter the amount you and your employer contributed to your Archer MSAs for 2023 from Form 8853,</v>
      </c>
      <c r="D25" s="190"/>
      <c r="E25" s="159"/>
      <c r="F25" s="159"/>
      <c r="G25" s="160"/>
      <c r="H25" s="160"/>
      <c r="I25" s="160"/>
      <c r="J25" s="160"/>
      <c r="K25" s="124"/>
      <c r="L25" s="1859"/>
      <c r="M25" s="2073"/>
      <c r="N25" s="449"/>
      <c r="O25" s="1604"/>
      <c r="P25" s="2326"/>
      <c r="Q25" s="388"/>
      <c r="R25" s="1604"/>
      <c r="S25" s="2767" t="str">
        <f>YourAge</f>
        <v>?</v>
      </c>
      <c r="T25" s="2768" t="str">
        <f>IF($S$25&lt;$P$22,T22,IF($AI$36,T23,T24))</f>
        <v>Single*</v>
      </c>
      <c r="U25" s="2768">
        <f>IF($S$25&lt;$P$22,U22,IF($AI$36,U23,U24))</f>
        <v>4850</v>
      </c>
      <c r="V25" s="2768">
        <f>IF($S$25&lt;$P$22,V22,IF($AI$36,V23,V24))</f>
        <v>8750</v>
      </c>
      <c r="W25" s="1604"/>
      <c r="X25" s="2079" t="s">
        <v>4894</v>
      </c>
      <c r="Y25" s="892"/>
      <c r="Z25" s="2083" t="str">
        <f t="shared" si="4"/>
        <v>N</v>
      </c>
      <c r="AA25" s="892"/>
      <c r="AB25" s="2083" t="str">
        <f t="shared" si="5"/>
        <v>Y</v>
      </c>
      <c r="AC25" s="892"/>
      <c r="AD25" s="2083" t="str">
        <f t="shared" si="6"/>
        <v>S</v>
      </c>
      <c r="AE25" s="892"/>
      <c r="AF25" s="2080">
        <f t="shared" si="0"/>
        <v>4850</v>
      </c>
      <c r="AG25" s="2081"/>
      <c r="AH25" s="892"/>
      <c r="AI25" s="1006">
        <f t="shared" si="1"/>
        <v>1</v>
      </c>
      <c r="AJ25" s="1006">
        <f t="shared" si="2"/>
        <v>0</v>
      </c>
      <c r="AK25" s="1006">
        <f t="shared" si="3"/>
        <v>0</v>
      </c>
      <c r="AL25" s="1006"/>
      <c r="AM25" s="2038"/>
      <c r="AN25" s="2038"/>
      <c r="AO25" s="2038"/>
      <c r="AP25" s="2038"/>
      <c r="AQ25" s="2038"/>
      <c r="AR25" s="2038"/>
      <c r="AS25" s="2038"/>
      <c r="AT25" s="2038"/>
    </row>
    <row r="26" spans="1:46" ht="12" customHeight="1">
      <c r="A26" s="66"/>
      <c r="B26" s="124"/>
      <c r="C26" s="190" t="str">
        <f>"lines 1 and 2. If you or your spouse had family coverage under an HDHP at any time during "&amp;TaxYear&amp;", also"</f>
        <v>lines 1 and 2. If you or your spouse had family coverage under an HDHP at any time during 2023, also</v>
      </c>
      <c r="D26" s="267"/>
      <c r="E26" s="159"/>
      <c r="F26" s="159"/>
      <c r="G26" s="160"/>
      <c r="H26" s="160"/>
      <c r="I26" s="160"/>
      <c r="J26" s="160"/>
      <c r="K26" s="160"/>
      <c r="L26" s="396"/>
      <c r="M26" s="2074"/>
      <c r="N26" s="5707"/>
      <c r="O26" s="814"/>
      <c r="P26" s="2257"/>
      <c r="Q26" s="388"/>
      <c r="R26" s="814"/>
      <c r="S26" s="462" t="s">
        <v>4895</v>
      </c>
      <c r="T26" s="183"/>
      <c r="U26" s="183"/>
      <c r="V26" s="183"/>
      <c r="W26" s="1604"/>
      <c r="X26" s="2079" t="s">
        <v>778</v>
      </c>
      <c r="Y26" s="892"/>
      <c r="Z26" s="2083" t="str">
        <f t="shared" si="4"/>
        <v>N</v>
      </c>
      <c r="AA26" s="892"/>
      <c r="AB26" s="2083" t="str">
        <f t="shared" si="5"/>
        <v>Y</v>
      </c>
      <c r="AC26" s="892"/>
      <c r="AD26" s="2083" t="str">
        <f t="shared" si="6"/>
        <v>S</v>
      </c>
      <c r="AE26" s="892"/>
      <c r="AF26" s="2080">
        <f t="shared" si="0"/>
        <v>4850</v>
      </c>
      <c r="AG26" s="2081"/>
      <c r="AH26" s="892"/>
      <c r="AI26" s="1006">
        <f t="shared" si="1"/>
        <v>1</v>
      </c>
      <c r="AJ26" s="1006">
        <f t="shared" si="2"/>
        <v>0</v>
      </c>
      <c r="AK26" s="1006">
        <f t="shared" si="3"/>
        <v>0</v>
      </c>
      <c r="AL26" s="1006"/>
    </row>
    <row r="27" spans="1:46" ht="12" customHeight="1" thickBot="1">
      <c r="A27" s="66"/>
      <c r="B27" s="124"/>
      <c r="C27" s="190" t="s">
        <v>4896</v>
      </c>
      <c r="D27" s="267"/>
      <c r="E27" s="159"/>
      <c r="F27" s="159"/>
      <c r="G27" s="160"/>
      <c r="H27" s="124"/>
      <c r="I27" s="124"/>
      <c r="J27" s="124"/>
      <c r="K27" s="124" t="s">
        <v>661</v>
      </c>
      <c r="L27" s="3746">
        <f>B25</f>
        <v>4</v>
      </c>
      <c r="M27" s="5074"/>
      <c r="N27" s="5707"/>
      <c r="O27" s="814"/>
      <c r="P27" s="2257"/>
      <c r="Q27" s="388"/>
      <c r="R27" s="814"/>
      <c r="S27" s="462"/>
      <c r="T27" s="183"/>
      <c r="U27" s="183"/>
      <c r="V27" s="183"/>
      <c r="W27" s="1604"/>
      <c r="X27" s="2079" t="s">
        <v>4897</v>
      </c>
      <c r="Y27" s="892"/>
      <c r="Z27" s="2083" t="str">
        <f t="shared" si="4"/>
        <v>N</v>
      </c>
      <c r="AA27" s="892"/>
      <c r="AB27" s="2083" t="str">
        <f t="shared" si="5"/>
        <v>Y</v>
      </c>
      <c r="AC27" s="892"/>
      <c r="AD27" s="2083" t="str">
        <f t="shared" si="6"/>
        <v>S</v>
      </c>
      <c r="AE27" s="892"/>
      <c r="AF27" s="2080">
        <f t="shared" si="0"/>
        <v>4850</v>
      </c>
      <c r="AG27" s="2081"/>
      <c r="AH27" s="892"/>
      <c r="AI27" s="1006">
        <f t="shared" si="1"/>
        <v>1</v>
      </c>
      <c r="AJ27" s="1006">
        <f t="shared" si="2"/>
        <v>0</v>
      </c>
      <c r="AK27" s="1006">
        <f t="shared" si="3"/>
        <v>0</v>
      </c>
      <c r="AL27" s="1006"/>
    </row>
    <row r="28" spans="1:46" ht="12.75" customHeight="1">
      <c r="A28" s="66"/>
      <c r="B28" s="124">
        <v>5</v>
      </c>
      <c r="C28" s="190" t="s">
        <v>2605</v>
      </c>
      <c r="D28" s="190"/>
      <c r="E28" s="159"/>
      <c r="F28" s="159"/>
      <c r="G28" s="160"/>
      <c r="H28" s="160"/>
      <c r="I28" s="160"/>
      <c r="J28" s="160"/>
      <c r="K28" s="859" t="s">
        <v>2162</v>
      </c>
      <c r="L28" s="5075">
        <f>B28</f>
        <v>5</v>
      </c>
      <c r="M28" s="5076">
        <f>MAX(0,SUM(M24,-M27))</f>
        <v>0</v>
      </c>
      <c r="N28" s="5707"/>
      <c r="O28" s="814"/>
      <c r="P28" s="2257"/>
      <c r="Q28" s="388"/>
      <c r="R28" s="892"/>
      <c r="S28" s="462"/>
      <c r="T28" s="779"/>
      <c r="U28" s="779" t="s">
        <v>4898</v>
      </c>
      <c r="V28" s="3" t="b">
        <f>AK56&gt;1</f>
        <v>0</v>
      </c>
      <c r="W28" s="1604"/>
      <c r="X28" s="2079" t="s">
        <v>4899</v>
      </c>
      <c r="Y28" s="892"/>
      <c r="Z28" s="2083" t="str">
        <f t="shared" si="4"/>
        <v>N</v>
      </c>
      <c r="AA28" s="892"/>
      <c r="AB28" s="2083" t="str">
        <f t="shared" si="5"/>
        <v>Y</v>
      </c>
      <c r="AC28" s="892"/>
      <c r="AD28" s="2083" t="str">
        <f t="shared" si="6"/>
        <v>S</v>
      </c>
      <c r="AE28" s="892"/>
      <c r="AF28" s="2080">
        <f t="shared" si="0"/>
        <v>4850</v>
      </c>
      <c r="AG28" s="2081"/>
      <c r="AH28" s="892"/>
      <c r="AI28" s="1006">
        <f t="shared" si="1"/>
        <v>1</v>
      </c>
      <c r="AJ28" s="1006">
        <f t="shared" si="2"/>
        <v>0</v>
      </c>
      <c r="AK28" s="1006">
        <f t="shared" si="3"/>
        <v>0</v>
      </c>
      <c r="AL28" s="1006"/>
    </row>
    <row r="29" spans="1:46" s="672" customFormat="1" ht="12" customHeight="1">
      <c r="A29" s="66"/>
      <c r="B29" s="124">
        <v>6</v>
      </c>
      <c r="C29" s="190" t="s">
        <v>4900</v>
      </c>
      <c r="D29" s="190"/>
      <c r="E29" s="159"/>
      <c r="F29" s="159"/>
      <c r="G29" s="160"/>
      <c r="H29" s="160"/>
      <c r="I29" s="160"/>
      <c r="J29" s="160"/>
      <c r="K29" s="124"/>
      <c r="L29" s="1859"/>
      <c r="M29" s="2323"/>
      <c r="N29" s="449"/>
      <c r="O29" s="814"/>
      <c r="P29" s="2257"/>
      <c r="Q29" s="388"/>
      <c r="R29" s="892"/>
      <c r="S29" s="183"/>
      <c r="T29" s="183"/>
      <c r="U29" s="10011" t="s">
        <v>4901</v>
      </c>
      <c r="V29" s="10011"/>
      <c r="W29" s="1604"/>
      <c r="X29" s="2079" t="s">
        <v>4902</v>
      </c>
      <c r="Y29" s="892"/>
      <c r="Z29" s="2083" t="str">
        <f t="shared" si="4"/>
        <v>N</v>
      </c>
      <c r="AA29" s="892"/>
      <c r="AB29" s="2083" t="str">
        <f t="shared" si="5"/>
        <v>Y</v>
      </c>
      <c r="AC29" s="892"/>
      <c r="AD29" s="2083" t="str">
        <f t="shared" si="6"/>
        <v>S</v>
      </c>
      <c r="AE29" s="892"/>
      <c r="AF29" s="2080">
        <f t="shared" si="0"/>
        <v>4850</v>
      </c>
      <c r="AG29" s="2081"/>
      <c r="AH29" s="892"/>
      <c r="AI29" s="1006">
        <f t="shared" si="1"/>
        <v>1</v>
      </c>
      <c r="AJ29" s="1006">
        <f t="shared" si="2"/>
        <v>0</v>
      </c>
      <c r="AK29" s="1006">
        <f t="shared" si="3"/>
        <v>0</v>
      </c>
      <c r="AL29" s="1006"/>
      <c r="AM29" s="2038"/>
      <c r="AN29" s="2038"/>
      <c r="AO29" s="2038"/>
      <c r="AP29" s="2038"/>
      <c r="AQ29" s="2038"/>
      <c r="AR29" s="2038"/>
      <c r="AS29" s="2038"/>
      <c r="AT29" s="2038"/>
    </row>
    <row r="30" spans="1:46" ht="12" customHeight="1">
      <c r="A30" s="66"/>
      <c r="B30" s="124"/>
      <c r="C30" s="190" t="str">
        <f>"coverage under an HDHP at any time during "&amp;TaxYear&amp;", see the instructions for the amount to"</f>
        <v>coverage under an HDHP at any time during 2023, see the instructions for the amount to</v>
      </c>
      <c r="D30" s="267"/>
      <c r="E30" s="159"/>
      <c r="F30" s="159"/>
      <c r="G30" s="160"/>
      <c r="H30" s="124"/>
      <c r="I30" s="124"/>
      <c r="J30" s="124"/>
      <c r="K30" s="132" t="s">
        <v>4903</v>
      </c>
      <c r="L30" s="228">
        <f>B29</f>
        <v>6</v>
      </c>
      <c r="M30" s="975" t="str">
        <f>IF(Q30&lt;&gt;"",ROUND(Q30,0),IF(NOT(Q17),"",IF(T31,U31,IF(T32,U32,M28))))</f>
        <v/>
      </c>
      <c r="N30" s="5707"/>
      <c r="O30" s="814"/>
      <c r="P30" s="2257"/>
      <c r="Q30" s="300"/>
      <c r="R30" s="1604"/>
      <c r="S30" s="2781" t="s">
        <v>874</v>
      </c>
      <c r="T30" s="2781" t="s">
        <v>4904</v>
      </c>
      <c r="U30" s="2767" t="s">
        <v>605</v>
      </c>
      <c r="V30" s="2785" t="s">
        <v>606</v>
      </c>
      <c r="W30" s="1604"/>
      <c r="X30" s="2079" t="s">
        <v>4905</v>
      </c>
      <c r="Y30" s="892"/>
      <c r="Z30" s="2083" t="str">
        <f t="shared" si="4"/>
        <v>N</v>
      </c>
      <c r="AA30" s="892"/>
      <c r="AB30" s="2083" t="str">
        <f t="shared" si="5"/>
        <v>Y</v>
      </c>
      <c r="AC30" s="892"/>
      <c r="AD30" s="2083" t="str">
        <f t="shared" si="6"/>
        <v>S</v>
      </c>
      <c r="AE30" s="892"/>
      <c r="AF30" s="2080">
        <f t="shared" si="0"/>
        <v>4850</v>
      </c>
      <c r="AG30" s="2081"/>
      <c r="AH30" s="892"/>
      <c r="AI30" s="1006">
        <f t="shared" si="1"/>
        <v>1</v>
      </c>
      <c r="AJ30" s="1006">
        <f t="shared" si="2"/>
        <v>0</v>
      </c>
      <c r="AK30" s="1006">
        <f t="shared" si="3"/>
        <v>0</v>
      </c>
      <c r="AL30" s="1006"/>
    </row>
    <row r="31" spans="1:46" ht="12" customHeight="1">
      <c r="A31" s="66"/>
      <c r="B31" s="124">
        <v>7</v>
      </c>
      <c r="C31" s="267" t="str">
        <f>"If you were age 55 or older at the end of "&amp;TaxYear&amp;", married, and you or your spouse had family coverage"</f>
        <v>If you were age 55 or older at the end of 2023, married, and you or your spouse had family coverage</v>
      </c>
      <c r="D31" s="190"/>
      <c r="E31" s="159"/>
      <c r="F31" s="159"/>
      <c r="G31" s="160"/>
      <c r="H31" s="160"/>
      <c r="I31" s="160"/>
      <c r="J31" s="160"/>
      <c r="K31" s="124"/>
      <c r="L31" s="1859"/>
      <c r="M31" s="5723"/>
      <c r="N31" s="449"/>
      <c r="O31" s="1604"/>
      <c r="P31" s="2326"/>
      <c r="Q31" s="388"/>
      <c r="R31" s="814"/>
      <c r="S31" s="183" t="s">
        <v>4906</v>
      </c>
      <c r="T31" s="183" t="b">
        <f>AND($Q$7,$V$28,$AK$56=12)</f>
        <v>0</v>
      </c>
      <c r="U31" s="2780" t="str">
        <f>IF(T31,ROUND(M28*$Z$40/100,0),"---")</f>
        <v>---</v>
      </c>
      <c r="V31" s="2786" t="str">
        <f>V91</f>
        <v>---</v>
      </c>
      <c r="W31" s="1604"/>
      <c r="X31" s="2079" t="s">
        <v>4907</v>
      </c>
      <c r="Y31" s="892"/>
      <c r="Z31" s="2083" t="str">
        <f t="shared" si="4"/>
        <v>N</v>
      </c>
      <c r="AA31" s="892"/>
      <c r="AB31" s="2083" t="str">
        <f t="shared" si="5"/>
        <v>Y</v>
      </c>
      <c r="AC31" s="892"/>
      <c r="AD31" s="2083" t="str">
        <f t="shared" si="6"/>
        <v>S</v>
      </c>
      <c r="AE31" s="892"/>
      <c r="AF31" s="2080">
        <f t="shared" si="0"/>
        <v>4850</v>
      </c>
      <c r="AG31" s="2081"/>
      <c r="AH31" s="892"/>
      <c r="AI31" s="1006">
        <f t="shared" si="1"/>
        <v>1</v>
      </c>
      <c r="AJ31" s="1006">
        <f t="shared" si="2"/>
        <v>0</v>
      </c>
      <c r="AK31" s="1006">
        <f t="shared" si="3"/>
        <v>0</v>
      </c>
      <c r="AL31" s="1006"/>
    </row>
    <row r="32" spans="1:46" s="672" customFormat="1" ht="12" customHeight="1">
      <c r="A32" s="66"/>
      <c r="B32" s="124"/>
      <c r="C32" s="267" t="str">
        <f>"under an HDHP at any time during "&amp;TaxYear&amp;", enter your additional contribution amount. See instructions"</f>
        <v>under an HDHP at any time during 2023, enter your additional contribution amount. See instructions</v>
      </c>
      <c r="D32" s="267"/>
      <c r="E32" s="159"/>
      <c r="F32" s="159"/>
      <c r="G32" s="160"/>
      <c r="H32" s="124"/>
      <c r="I32" s="124"/>
      <c r="J32" s="124"/>
      <c r="K32" s="859"/>
      <c r="L32" s="228">
        <f>B31</f>
        <v>7</v>
      </c>
      <c r="M32" s="975" t="str">
        <f>IF(Q32&lt;&gt;"",ROUND(Q32,0),IF(AND(F8889_Line1,OR(AJ35,AJ97),AJ36),ROUND((S33*AJ34)/12,0),""))</f>
        <v/>
      </c>
      <c r="N32" s="5707"/>
      <c r="O32" s="814"/>
      <c r="P32" s="2257"/>
      <c r="Q32" s="300"/>
      <c r="R32" s="1604"/>
      <c r="S32" s="183" t="s">
        <v>4908</v>
      </c>
      <c r="T32" s="183" t="b">
        <f>AND($Q$7,$V$28,$AK$56&gt;0,$AK$56&lt;12)</f>
        <v>0</v>
      </c>
      <c r="U32" s="1446" t="str">
        <f>IF(T32,ROUND(U37,0),"---")</f>
        <v>---</v>
      </c>
      <c r="V32" s="2786" t="str">
        <f>V92</f>
        <v>---</v>
      </c>
      <c r="W32" s="1604"/>
      <c r="X32" s="2079" t="s">
        <v>4909</v>
      </c>
      <c r="Y32" s="892"/>
      <c r="Z32" s="2083" t="str">
        <f t="shared" si="4"/>
        <v>N</v>
      </c>
      <c r="AA32" s="892"/>
      <c r="AB32" s="2083" t="str">
        <f t="shared" si="5"/>
        <v>Y</v>
      </c>
      <c r="AC32" s="892"/>
      <c r="AD32" s="2083" t="str">
        <f t="shared" si="6"/>
        <v>S</v>
      </c>
      <c r="AE32" s="892"/>
      <c r="AF32" s="2080">
        <f t="shared" si="0"/>
        <v>4850</v>
      </c>
      <c r="AG32" s="2081"/>
      <c r="AH32" s="892"/>
      <c r="AI32" s="1006">
        <f t="shared" si="1"/>
        <v>1</v>
      </c>
      <c r="AJ32" s="1006">
        <f t="shared" si="2"/>
        <v>0</v>
      </c>
      <c r="AK32" s="1006">
        <f t="shared" si="3"/>
        <v>0</v>
      </c>
      <c r="AL32" s="1006"/>
      <c r="AM32" s="2038"/>
      <c r="AN32" s="2038"/>
      <c r="AO32" s="2038"/>
      <c r="AP32" s="2038"/>
      <c r="AQ32" s="2038"/>
      <c r="AR32" s="2038"/>
      <c r="AS32" s="2038"/>
      <c r="AT32" s="2038"/>
    </row>
    <row r="33" spans="1:46" ht="12" customHeight="1" thickBot="1">
      <c r="A33" s="66"/>
      <c r="B33" s="124">
        <v>8</v>
      </c>
      <c r="C33" s="190" t="s">
        <v>4911</v>
      </c>
      <c r="D33" s="190"/>
      <c r="E33" s="159"/>
      <c r="F33" s="159"/>
      <c r="G33" s="160"/>
      <c r="H33" s="160"/>
      <c r="I33" s="160"/>
      <c r="J33" s="160"/>
      <c r="K33" s="859" t="s">
        <v>3763</v>
      </c>
      <c r="L33" s="228">
        <f>B33</f>
        <v>8</v>
      </c>
      <c r="M33" s="975">
        <f>SUM(M30,M32)</f>
        <v>0</v>
      </c>
      <c r="N33" s="5707"/>
      <c r="O33" s="1604"/>
      <c r="P33" s="2257"/>
      <c r="Q33" s="691"/>
      <c r="R33" s="814"/>
      <c r="S33" s="1446">
        <v>1000</v>
      </c>
      <c r="T33" s="183"/>
      <c r="U33" s="2779"/>
      <c r="V33" s="183"/>
      <c r="W33" s="1604"/>
      <c r="X33" s="2079" t="s">
        <v>4910</v>
      </c>
      <c r="Y33" s="892"/>
      <c r="Z33" s="2083" t="str">
        <f t="shared" si="4"/>
        <v>N</v>
      </c>
      <c r="AA33" s="892"/>
      <c r="AB33" s="2083" t="str">
        <f t="shared" si="5"/>
        <v>Y</v>
      </c>
      <c r="AC33" s="892"/>
      <c r="AD33" s="2083" t="str">
        <f t="shared" si="6"/>
        <v>S</v>
      </c>
      <c r="AE33" s="892"/>
      <c r="AF33" s="2082">
        <f t="shared" si="0"/>
        <v>4850</v>
      </c>
      <c r="AG33" s="2081"/>
      <c r="AH33" s="892"/>
      <c r="AI33" s="2311">
        <f t="shared" si="1"/>
        <v>1</v>
      </c>
      <c r="AJ33" s="2311">
        <f t="shared" si="2"/>
        <v>0</v>
      </c>
      <c r="AK33" s="2311">
        <f t="shared" si="3"/>
        <v>0</v>
      </c>
      <c r="AL33" s="1006"/>
    </row>
    <row r="34" spans="1:46" ht="12" customHeight="1" thickTop="1">
      <c r="A34" s="66"/>
      <c r="B34" s="124">
        <v>9</v>
      </c>
      <c r="C34" s="190" t="str">
        <f>"Employer contributions made to your HSAs for "&amp;TaxYear</f>
        <v>Employer contributions made to your HSAs for 2023</v>
      </c>
      <c r="D34" s="267"/>
      <c r="E34" s="159"/>
      <c r="F34" s="159"/>
      <c r="G34" s="992"/>
      <c r="H34" s="124"/>
      <c r="I34" s="124" t="s">
        <v>782</v>
      </c>
      <c r="J34" s="228">
        <f>B34</f>
        <v>9</v>
      </c>
      <c r="K34" s="976"/>
      <c r="L34" s="1860"/>
      <c r="M34" s="1027" t="str">
        <f>IF(File_Marr_Joint&lt;&gt;"",G32,IF(File_Marr_Sep&lt;&gt;"",G33,IF(OR(File_Single&lt;&gt;"",File_Head&lt;&gt;"",File_Qual_Widow&lt;&gt;""),G34,"---")))</f>
        <v>---</v>
      </c>
      <c r="N34" s="5707"/>
      <c r="O34" s="814"/>
      <c r="P34" s="2257"/>
      <c r="Q34" s="691"/>
      <c r="R34" s="814"/>
      <c r="S34" s="183" t="s">
        <v>1803</v>
      </c>
      <c r="T34" s="1446"/>
      <c r="U34" s="3655">
        <f>SUM(AJ57,-M27)</f>
        <v>0</v>
      </c>
      <c r="V34" s="3656">
        <f>V94</f>
        <v>0</v>
      </c>
      <c r="W34" s="1604"/>
      <c r="X34" s="10058" t="s">
        <v>4912</v>
      </c>
      <c r="Y34" s="10059"/>
      <c r="Z34" s="10060"/>
      <c r="AA34" s="10060"/>
      <c r="AB34" s="10060"/>
      <c r="AC34" s="10060"/>
      <c r="AD34" s="10060"/>
      <c r="AE34" s="10060"/>
      <c r="AF34" s="2080">
        <f>SUM(AF22:AF33)</f>
        <v>58200</v>
      </c>
      <c r="AG34" s="2081"/>
      <c r="AH34" s="892"/>
      <c r="AI34" s="1006">
        <f>SUM(AI22:AI33)</f>
        <v>12</v>
      </c>
      <c r="AJ34" s="1006">
        <f>SUM(AJ22:AJ33)</f>
        <v>0</v>
      </c>
      <c r="AK34" s="1006">
        <f>SUM(AK22:AK33)</f>
        <v>0</v>
      </c>
      <c r="AL34" s="1006"/>
    </row>
    <row r="35" spans="1:46" ht="12.75" customHeight="1" thickBot="1">
      <c r="A35" s="66"/>
      <c r="B35" s="124">
        <v>10</v>
      </c>
      <c r="C35" s="190" t="s">
        <v>4914</v>
      </c>
      <c r="D35" s="267"/>
      <c r="E35" s="159"/>
      <c r="F35" s="159"/>
      <c r="G35" s="992"/>
      <c r="H35" s="124"/>
      <c r="I35" s="124" t="s">
        <v>650</v>
      </c>
      <c r="J35" s="3747">
        <f>B35</f>
        <v>10</v>
      </c>
      <c r="K35" s="3944"/>
      <c r="L35" s="1860"/>
      <c r="M35" s="1027" t="str">
        <f>IF(File_Marr_Joint&lt;&gt;"",G33,IF(File_Marr_Sep&lt;&gt;"",G34,IF(OR(File_Single&lt;&gt;"",File_Head&lt;&gt;"",File_Qual_Widow&lt;&gt;""),G35,"---")))</f>
        <v>---</v>
      </c>
      <c r="N35" s="5707"/>
      <c r="O35" s="814"/>
      <c r="P35" s="2257"/>
      <c r="Q35" s="691"/>
      <c r="R35" s="1604"/>
      <c r="S35" s="183" t="s">
        <v>1822</v>
      </c>
      <c r="T35" s="183"/>
      <c r="U35" s="3655">
        <f>U34*Z40/100</f>
        <v>0</v>
      </c>
      <c r="V35" s="3656">
        <f>V95</f>
        <v>0</v>
      </c>
      <c r="W35" s="1604"/>
      <c r="X35" s="894"/>
      <c r="Y35" s="808"/>
      <c r="Z35" s="808"/>
      <c r="AA35" s="808"/>
      <c r="AB35" s="808"/>
      <c r="AC35" s="808"/>
      <c r="AD35" s="808"/>
      <c r="AE35" s="2777" t="s">
        <v>4913</v>
      </c>
      <c r="AF35" s="2080">
        <f>ROUND(AF34/12,0)</f>
        <v>4850</v>
      </c>
      <c r="AG35" s="2081"/>
      <c r="AH35" s="892"/>
      <c r="AI35" s="1006" t="b">
        <f>IF(AI34=12,TRUE,FALSE)</f>
        <v>1</v>
      </c>
      <c r="AJ35" s="1006" t="b">
        <f>IF(AJ34&gt;0,TRUE,FALSE)</f>
        <v>0</v>
      </c>
      <c r="AK35" s="1009"/>
      <c r="AL35" s="1009"/>
    </row>
    <row r="36" spans="1:46" ht="12" customHeight="1" thickBot="1">
      <c r="A36" s="66"/>
      <c r="B36" s="124">
        <v>11</v>
      </c>
      <c r="C36" s="190" t="s">
        <v>3238</v>
      </c>
      <c r="D36" s="190"/>
      <c r="E36" s="159"/>
      <c r="F36" s="159"/>
      <c r="G36" s="160"/>
      <c r="H36" s="160"/>
      <c r="I36" s="160"/>
      <c r="J36" s="160"/>
      <c r="K36" s="859" t="s">
        <v>4916</v>
      </c>
      <c r="L36" s="3746">
        <f>B36</f>
        <v>11</v>
      </c>
      <c r="M36" s="975">
        <f>SUM(K34,K35)</f>
        <v>0</v>
      </c>
      <c r="N36" s="5707"/>
      <c r="O36" s="1604"/>
      <c r="P36" s="2257"/>
      <c r="Q36" s="691"/>
      <c r="R36" s="814"/>
      <c r="S36" s="183" t="s">
        <v>4915</v>
      </c>
      <c r="T36" s="183"/>
      <c r="U36" s="3655">
        <f>SUM(U34,-V35)</f>
        <v>0</v>
      </c>
      <c r="V36" s="3656">
        <f>V96</f>
        <v>0</v>
      </c>
      <c r="W36" s="1604"/>
      <c r="X36" s="10063" t="str">
        <f>IF(YourAge="?","Enter your birthdate on sheet '1040'.","")</f>
        <v>Enter your birthdate on sheet '1040'.</v>
      </c>
      <c r="Y36" s="10064"/>
      <c r="Z36" s="10065"/>
      <c r="AA36" s="10065"/>
      <c r="AB36" s="10065"/>
      <c r="AC36" s="10065"/>
      <c r="AD36" s="10065"/>
      <c r="AE36" s="10065"/>
      <c r="AF36" s="10065"/>
      <c r="AG36" s="10066"/>
      <c r="AH36" s="2789"/>
      <c r="AI36" s="1006" t="b">
        <f>IF(AND(YourAge&gt;=P22,OR(AND(File_Marr_Joint&lt;&gt;"",AI35),File_Marr_Joint="")),TRUE,FALSE)</f>
        <v>1</v>
      </c>
      <c r="AJ36" s="1006" t="b">
        <f>IF(AND(YourAge&gt;=P22,File_Marr_Joint&lt;&gt;""),TRUE,FALSE)</f>
        <v>0</v>
      </c>
      <c r="AK36" s="1009"/>
      <c r="AL36" s="1009"/>
    </row>
    <row r="37" spans="1:46" ht="12" customHeight="1" thickBot="1">
      <c r="A37" s="66"/>
      <c r="B37" s="124">
        <v>12</v>
      </c>
      <c r="C37" s="190" t="s">
        <v>4918</v>
      </c>
      <c r="D37" s="190"/>
      <c r="E37" s="159"/>
      <c r="F37" s="159"/>
      <c r="G37" s="160"/>
      <c r="H37" s="160"/>
      <c r="I37" s="160"/>
      <c r="J37" s="160"/>
      <c r="K37" s="859" t="s">
        <v>4547</v>
      </c>
      <c r="L37" s="228">
        <f>B37</f>
        <v>12</v>
      </c>
      <c r="M37" s="975">
        <f>MAX(0,SUM(M33,-M36))</f>
        <v>0</v>
      </c>
      <c r="N37" s="5707"/>
      <c r="O37" s="1604"/>
      <c r="P37" s="2257"/>
      <c r="Q37" s="691"/>
      <c r="R37" s="814"/>
      <c r="S37" s="183" t="s">
        <v>4917</v>
      </c>
      <c r="T37" s="183"/>
      <c r="U37" s="3655">
        <f>U36</f>
        <v>0</v>
      </c>
      <c r="V37" s="3656">
        <f>V97</f>
        <v>0</v>
      </c>
      <c r="W37" s="1604"/>
      <c r="X37" s="1604"/>
      <c r="Y37" s="1009"/>
      <c r="Z37" s="2087"/>
      <c r="AA37" s="1009"/>
      <c r="AB37" s="2087"/>
      <c r="AC37" s="1009"/>
      <c r="AD37" s="2087"/>
      <c r="AE37" s="1009"/>
      <c r="AF37" s="2088"/>
      <c r="AG37" s="1009"/>
      <c r="AH37" s="1009"/>
      <c r="AI37" s="1009"/>
      <c r="AJ37" s="1009"/>
      <c r="AK37" s="1009"/>
      <c r="AL37" s="1009"/>
    </row>
    <row r="38" spans="1:46" ht="12.75" customHeight="1">
      <c r="A38" s="66"/>
      <c r="B38" s="124">
        <v>13</v>
      </c>
      <c r="C38" s="190" t="s">
        <v>4919</v>
      </c>
      <c r="D38" s="267"/>
      <c r="E38" s="159"/>
      <c r="F38" s="159"/>
      <c r="G38" s="160"/>
      <c r="H38" s="160"/>
      <c r="I38" s="160"/>
      <c r="J38" s="160"/>
      <c r="K38" s="859"/>
      <c r="L38" s="396">
        <f>B38</f>
        <v>13</v>
      </c>
      <c r="M38" s="977" t="str">
        <f>IF(Q38&lt;&gt;"",ROUND(Q38,0),IF(F8889_Line1,MIN(M20,M37),""))</f>
        <v/>
      </c>
      <c r="N38" s="5707"/>
      <c r="O38" s="1604"/>
      <c r="P38" s="590"/>
      <c r="Q38" s="300"/>
      <c r="R38" s="1604"/>
      <c r="S38" s="904"/>
      <c r="T38" s="904"/>
      <c r="U38" s="904"/>
      <c r="V38" s="904"/>
      <c r="W38" s="1604"/>
      <c r="X38" s="4573"/>
      <c r="Y38" s="1002"/>
      <c r="Z38" s="10067" t="s">
        <v>4901</v>
      </c>
      <c r="AA38" s="10067"/>
      <c r="AB38" s="10067"/>
      <c r="AC38" s="4571"/>
      <c r="AD38" s="1002"/>
      <c r="AE38" s="4572"/>
      <c r="AF38" s="1002"/>
      <c r="AG38" s="1003"/>
      <c r="AH38" s="1009"/>
      <c r="AI38" s="1009"/>
      <c r="AJ38" s="1009"/>
      <c r="AK38" s="1009"/>
      <c r="AL38" s="1009"/>
    </row>
    <row r="39" spans="1:46" s="672" customFormat="1" ht="12" customHeight="1">
      <c r="A39" s="66"/>
      <c r="B39" s="124"/>
      <c r="C39" s="190" t="s">
        <v>4920</v>
      </c>
      <c r="D39" s="267"/>
      <c r="E39" s="159"/>
      <c r="F39" s="159"/>
      <c r="G39" s="160"/>
      <c r="H39" s="160"/>
      <c r="I39" s="160"/>
      <c r="J39" s="160"/>
      <c r="K39" s="859"/>
      <c r="L39" s="1861"/>
      <c r="M39" s="2773" t="b">
        <f>IF(NOT(F8889_Line1),FALSE,IF(M21&gt;M38,TRUE,FALSE))</f>
        <v>0</v>
      </c>
      <c r="N39" s="5707"/>
      <c r="O39" s="3108"/>
      <c r="P39" s="1639"/>
      <c r="Q39" s="1868"/>
      <c r="R39" s="1604"/>
      <c r="S39" s="183"/>
      <c r="T39" s="183"/>
      <c r="U39" s="183"/>
      <c r="V39" s="183"/>
      <c r="W39" s="1604"/>
      <c r="X39" s="2077"/>
      <c r="Y39" s="1009"/>
      <c r="Z39" s="2087" t="s">
        <v>4011</v>
      </c>
      <c r="AA39" s="1009"/>
      <c r="AB39" s="2087" t="s">
        <v>4011</v>
      </c>
      <c r="AC39" s="1009"/>
      <c r="AD39" s="2087"/>
      <c r="AE39" s="1009"/>
      <c r="AF39" s="2088"/>
      <c r="AG39" s="1011"/>
      <c r="AH39" s="1009"/>
      <c r="AI39" s="1009"/>
      <c r="AJ39" s="1009"/>
      <c r="AK39" s="1009"/>
      <c r="AL39" s="1009"/>
      <c r="AM39" s="2038"/>
      <c r="AN39" s="2038"/>
      <c r="AO39" s="2038"/>
      <c r="AP39" s="2038"/>
      <c r="AQ39" s="2038"/>
      <c r="AR39" s="2038"/>
      <c r="AS39" s="2038"/>
      <c r="AT39" s="2038"/>
    </row>
    <row r="40" spans="1:46" ht="11.25" customHeight="1">
      <c r="A40" s="66"/>
      <c r="B40" s="3853" t="s">
        <v>982</v>
      </c>
      <c r="C40" s="10069" t="s">
        <v>5627</v>
      </c>
      <c r="D40" s="10069"/>
      <c r="E40" s="10069"/>
      <c r="F40" s="10069"/>
      <c r="G40" s="10069"/>
      <c r="H40" s="10069"/>
      <c r="I40" s="10069"/>
      <c r="J40" s="10069"/>
      <c r="K40" s="10069"/>
      <c r="L40" s="10069"/>
      <c r="M40" s="10069"/>
      <c r="N40" s="5706"/>
      <c r="O40" s="2772" t="str">
        <f>IF(M39,"Check here","")</f>
        <v/>
      </c>
      <c r="P40" s="2250"/>
      <c r="Q40" s="1868"/>
      <c r="R40" s="1604"/>
      <c r="S40" s="183"/>
      <c r="T40" s="183"/>
      <c r="U40" s="183"/>
      <c r="V40" s="183"/>
      <c r="W40" s="2070"/>
      <c r="X40" s="2778" t="s">
        <v>605</v>
      </c>
      <c r="Y40" s="1009"/>
      <c r="Z40" s="4574">
        <v>50</v>
      </c>
      <c r="AA40" s="1009"/>
      <c r="AB40" s="4575">
        <f>100-Z40</f>
        <v>50</v>
      </c>
      <c r="AC40" s="1009"/>
      <c r="AD40" s="4576" t="s">
        <v>606</v>
      </c>
      <c r="AE40" s="1009"/>
      <c r="AF40" s="2088"/>
      <c r="AG40" s="1011"/>
      <c r="AH40" s="1009"/>
      <c r="AI40" s="1009"/>
      <c r="AJ40" s="1009"/>
      <c r="AK40" s="1009"/>
      <c r="AL40" s="1009"/>
    </row>
    <row r="41" spans="1:46" ht="9" customHeight="1" thickBot="1">
      <c r="A41" s="66"/>
      <c r="B41" s="5959"/>
      <c r="C41" s="10070"/>
      <c r="D41" s="10070"/>
      <c r="E41" s="10070"/>
      <c r="F41" s="10070"/>
      <c r="G41" s="10070"/>
      <c r="H41" s="10070"/>
      <c r="I41" s="10070"/>
      <c r="J41" s="10070"/>
      <c r="K41" s="10070"/>
      <c r="L41" s="10070"/>
      <c r="M41" s="10070"/>
      <c r="N41" s="5706"/>
      <c r="O41" s="2772"/>
      <c r="P41" s="2250"/>
      <c r="Q41" s="1868"/>
      <c r="R41" s="1604"/>
      <c r="S41" s="183"/>
      <c r="T41" s="183"/>
      <c r="U41" s="183"/>
      <c r="V41" s="183"/>
      <c r="W41" s="2070"/>
      <c r="X41" s="4577"/>
      <c r="Y41" s="1644"/>
      <c r="Z41" s="4578"/>
      <c r="AA41" s="1644"/>
      <c r="AB41" s="4578"/>
      <c r="AC41" s="1644"/>
      <c r="AD41" s="2769"/>
      <c r="AE41" s="1644"/>
      <c r="AF41" s="2776"/>
      <c r="AG41" s="1645"/>
      <c r="AH41" s="1009"/>
      <c r="AI41" s="1009"/>
      <c r="AJ41" s="1009"/>
      <c r="AK41" s="1009"/>
      <c r="AL41" s="1009"/>
    </row>
    <row r="42" spans="1:46" ht="9.75" customHeight="1">
      <c r="A42" s="66"/>
      <c r="B42" s="1862"/>
      <c r="C42" s="10071"/>
      <c r="D42" s="10071"/>
      <c r="E42" s="10071"/>
      <c r="F42" s="10071"/>
      <c r="G42" s="10071"/>
      <c r="H42" s="10071"/>
      <c r="I42" s="10071"/>
      <c r="J42" s="10071"/>
      <c r="K42" s="10071"/>
      <c r="L42" s="10071"/>
      <c r="M42" s="10071"/>
      <c r="N42" s="5706"/>
      <c r="O42" s="2772" t="str">
        <f>IF(M39,"to remove","")</f>
        <v/>
      </c>
      <c r="P42" s="1858"/>
      <c r="Q42" s="461"/>
      <c r="R42" s="1604"/>
      <c r="S42" s="183"/>
      <c r="T42" s="183"/>
      <c r="U42" s="183"/>
      <c r="V42" s="183"/>
      <c r="W42" s="1604"/>
      <c r="X42" s="4569"/>
      <c r="Y42" s="1002"/>
      <c r="Z42" s="4570"/>
      <c r="AA42" s="1002"/>
      <c r="AB42" s="4570"/>
      <c r="AC42" s="1002"/>
      <c r="AD42" s="4571"/>
      <c r="AE42" s="1002"/>
      <c r="AF42" s="4572"/>
      <c r="AG42" s="1002"/>
      <c r="AH42" s="1009"/>
      <c r="AI42" s="1009"/>
      <c r="AJ42" s="1009"/>
      <c r="AK42" s="1009"/>
      <c r="AL42" s="1009"/>
    </row>
    <row r="43" spans="1:46" ht="12" customHeight="1">
      <c r="A43" s="66"/>
      <c r="B43" s="124" t="s">
        <v>3421</v>
      </c>
      <c r="C43" s="190" t="str">
        <f>"Total distributions you received in "&amp;TaxYear&amp;" from all HSAs (see instructions)"</f>
        <v>Total distributions you received in 2023 from all HSAs (see instructions)</v>
      </c>
      <c r="D43" s="190"/>
      <c r="E43" s="159"/>
      <c r="F43" s="159"/>
      <c r="G43" s="160"/>
      <c r="H43" s="160"/>
      <c r="I43" s="160"/>
      <c r="J43" s="160"/>
      <c r="K43" s="859" t="s">
        <v>4921</v>
      </c>
      <c r="L43" s="171" t="str">
        <f>B43</f>
        <v>14a</v>
      </c>
      <c r="M43" s="976"/>
      <c r="N43" s="5707"/>
      <c r="O43" s="2772" t="str">
        <f>IF(M39,"emphasis.","")</f>
        <v/>
      </c>
      <c r="P43" s="2257"/>
      <c r="Q43" s="691"/>
      <c r="R43" s="1604"/>
      <c r="S43" s="183"/>
      <c r="T43" s="183"/>
      <c r="U43" s="183"/>
      <c r="V43" s="183"/>
      <c r="W43" s="1994"/>
      <c r="X43" s="900"/>
      <c r="Y43" s="1745"/>
      <c r="Z43" s="4567"/>
      <c r="AA43" s="1745"/>
      <c r="AB43" s="4567"/>
      <c r="AC43" s="1745"/>
      <c r="AD43" s="4567"/>
      <c r="AE43" s="1745"/>
      <c r="AF43" s="4568"/>
      <c r="AG43" s="1745"/>
      <c r="AH43" s="1745"/>
      <c r="AI43" s="1745"/>
      <c r="AJ43" s="1745"/>
      <c r="AK43" s="1745"/>
      <c r="AL43" s="1745"/>
    </row>
    <row r="44" spans="1:46" ht="12.75" customHeight="1">
      <c r="A44" s="66"/>
      <c r="B44" s="124" t="s">
        <v>644</v>
      </c>
      <c r="C44" s="267" t="s">
        <v>4922</v>
      </c>
      <c r="D44" s="190"/>
      <c r="E44" s="159"/>
      <c r="F44" s="159"/>
      <c r="G44" s="160"/>
      <c r="H44" s="160"/>
      <c r="I44" s="160"/>
      <c r="J44" s="160"/>
      <c r="K44" s="124"/>
      <c r="L44" s="573"/>
      <c r="M44" s="5723"/>
      <c r="N44" s="449"/>
      <c r="O44" s="1604"/>
      <c r="P44" s="2326"/>
      <c r="Q44" s="388"/>
      <c r="R44" s="1604"/>
      <c r="S44" s="183"/>
      <c r="T44" s="183"/>
      <c r="U44" s="183"/>
      <c r="V44" s="183"/>
      <c r="W44" s="1994"/>
      <c r="X44" s="900"/>
      <c r="Y44" s="1745"/>
      <c r="Z44" s="4567"/>
      <c r="AA44" s="1745"/>
      <c r="AB44" s="4567"/>
      <c r="AC44" s="1745"/>
      <c r="AD44" s="4567"/>
      <c r="AE44" s="1745"/>
      <c r="AF44" s="4568"/>
      <c r="AG44" s="1745"/>
      <c r="AH44" s="1745"/>
      <c r="AI44" s="1745"/>
      <c r="AJ44" s="1745"/>
      <c r="AK44" s="1745"/>
      <c r="AL44" s="1745"/>
    </row>
    <row r="45" spans="1:46" s="672" customFormat="1" ht="12" customHeight="1">
      <c r="A45" s="66"/>
      <c r="B45" s="124"/>
      <c r="C45" s="267" t="s">
        <v>4923</v>
      </c>
      <c r="D45" s="267"/>
      <c r="E45" s="159"/>
      <c r="F45" s="159"/>
      <c r="G45" s="160"/>
      <c r="H45" s="160"/>
      <c r="I45" s="160"/>
      <c r="J45" s="160"/>
      <c r="K45" s="160"/>
      <c r="L45" s="155"/>
      <c r="M45" s="5720"/>
      <c r="N45" s="5707"/>
      <c r="O45" s="814"/>
      <c r="P45" s="2257"/>
      <c r="Q45" s="388"/>
      <c r="R45" s="814"/>
      <c r="S45" s="2093"/>
      <c r="T45" s="2093"/>
      <c r="U45" s="2093"/>
      <c r="V45" s="2093"/>
      <c r="W45" s="1994"/>
      <c r="X45" s="900"/>
      <c r="Y45" s="1745"/>
      <c r="Z45" s="4567"/>
      <c r="AA45" s="1745"/>
      <c r="AB45" s="4567"/>
      <c r="AC45" s="1745"/>
      <c r="AD45" s="4567"/>
      <c r="AE45" s="1745"/>
      <c r="AF45" s="4568"/>
      <c r="AG45" s="1745"/>
      <c r="AH45" s="1745"/>
      <c r="AI45" s="1745"/>
      <c r="AJ45" s="1745"/>
      <c r="AK45" s="1745"/>
      <c r="AL45" s="1745"/>
      <c r="AM45" s="2038"/>
      <c r="AN45" s="2038"/>
      <c r="AO45" s="2038"/>
      <c r="AP45" s="2038"/>
      <c r="AQ45" s="2038"/>
      <c r="AR45" s="2038"/>
      <c r="AS45" s="2038"/>
      <c r="AT45" s="2038"/>
    </row>
    <row r="46" spans="1:46" ht="12" customHeight="1" thickBot="1">
      <c r="A46" s="66"/>
      <c r="B46" s="124"/>
      <c r="C46" s="267" t="s">
        <v>4924</v>
      </c>
      <c r="D46" s="267"/>
      <c r="E46" s="159"/>
      <c r="F46" s="159"/>
      <c r="G46" s="160"/>
      <c r="H46" s="124"/>
      <c r="I46" s="124"/>
      <c r="J46" s="124"/>
      <c r="K46" s="859" t="s">
        <v>4925</v>
      </c>
      <c r="L46" s="848" t="s">
        <v>3422</v>
      </c>
      <c r="M46" s="976"/>
      <c r="N46" s="5707"/>
      <c r="O46" s="814"/>
      <c r="P46" s="2257"/>
      <c r="Q46" s="388"/>
      <c r="R46" s="814"/>
      <c r="S46" s="2093"/>
      <c r="T46" s="2093"/>
      <c r="U46" s="2093"/>
      <c r="V46" s="2093"/>
      <c r="W46" s="1994"/>
      <c r="X46" s="900"/>
      <c r="Y46" s="1745"/>
      <c r="Z46" s="4567"/>
      <c r="AA46" s="1745"/>
      <c r="AB46" s="4567"/>
      <c r="AC46" s="1745"/>
      <c r="AD46" s="4567"/>
      <c r="AE46" s="1745"/>
      <c r="AF46" s="4568"/>
      <c r="AG46" s="1745"/>
      <c r="AH46" s="1745"/>
      <c r="AI46" s="1745"/>
      <c r="AJ46" s="1745"/>
      <c r="AK46" s="1745"/>
      <c r="AL46" s="1745"/>
    </row>
    <row r="47" spans="1:46" ht="12" customHeight="1">
      <c r="A47" s="66"/>
      <c r="B47" s="124" t="s">
        <v>648</v>
      </c>
      <c r="C47" s="267" t="s">
        <v>4926</v>
      </c>
      <c r="D47" s="190"/>
      <c r="E47" s="159"/>
      <c r="F47" s="159"/>
      <c r="G47" s="160"/>
      <c r="H47" s="160"/>
      <c r="I47" s="160"/>
      <c r="J47" s="160"/>
      <c r="K47" s="859" t="s">
        <v>4927</v>
      </c>
      <c r="L47" s="171" t="s">
        <v>3423</v>
      </c>
      <c r="M47" s="975">
        <f>SUM(M43,-M46)</f>
        <v>0</v>
      </c>
      <c r="N47" s="5707"/>
      <c r="O47" s="1604"/>
      <c r="P47" s="2257"/>
      <c r="Q47" s="388"/>
      <c r="R47" s="1604"/>
      <c r="S47" s="904"/>
      <c r="T47" s="904"/>
      <c r="U47" s="904"/>
      <c r="V47" s="904"/>
      <c r="W47" s="1994"/>
      <c r="X47" s="900"/>
      <c r="Y47" s="1745"/>
      <c r="Z47" s="4567"/>
      <c r="AA47" s="1745"/>
      <c r="AB47" s="4567"/>
      <c r="AC47" s="1745"/>
      <c r="AD47" s="4567"/>
      <c r="AE47" s="1745"/>
      <c r="AF47" s="4568"/>
      <c r="AG47" s="1745"/>
      <c r="AH47" s="1745"/>
      <c r="AI47" s="1745"/>
      <c r="AJ47" s="1745"/>
      <c r="AK47" s="1745"/>
      <c r="AL47" s="1745"/>
    </row>
    <row r="48" spans="1:46" ht="12.75" customHeight="1" thickBot="1">
      <c r="A48" s="66"/>
      <c r="B48" s="124">
        <v>15</v>
      </c>
      <c r="C48" s="267" t="s">
        <v>4928</v>
      </c>
      <c r="D48" s="190"/>
      <c r="E48" s="159"/>
      <c r="F48" s="159"/>
      <c r="G48" s="160"/>
      <c r="H48" s="160"/>
      <c r="I48" s="160"/>
      <c r="J48" s="160"/>
      <c r="K48" s="859" t="s">
        <v>4929</v>
      </c>
      <c r="L48" s="3747">
        <f>B48</f>
        <v>15</v>
      </c>
      <c r="M48" s="3945"/>
      <c r="N48" s="5707"/>
      <c r="O48" s="1604"/>
      <c r="P48" s="2257"/>
      <c r="Q48" s="691"/>
      <c r="R48" s="1604"/>
      <c r="S48" s="904"/>
      <c r="T48" s="904"/>
      <c r="U48" s="904"/>
      <c r="V48" s="904"/>
      <c r="W48" s="1994"/>
      <c r="X48" s="900"/>
      <c r="Y48" s="1745"/>
      <c r="Z48" s="4567"/>
      <c r="AA48" s="1745"/>
      <c r="AB48" s="4567"/>
      <c r="AC48" s="1745"/>
      <c r="AD48" s="4567"/>
      <c r="AE48" s="1745"/>
      <c r="AF48" s="4568"/>
      <c r="AG48" s="1745"/>
      <c r="AH48" s="1745"/>
      <c r="AI48" s="1745"/>
      <c r="AJ48" s="1745"/>
      <c r="AK48" s="1745"/>
      <c r="AL48" s="1745"/>
    </row>
    <row r="49" spans="1:46" ht="13.5" customHeight="1">
      <c r="A49" s="66"/>
      <c r="B49" s="124">
        <v>16</v>
      </c>
      <c r="C49" s="267" t="s">
        <v>5628</v>
      </c>
      <c r="D49" s="190"/>
      <c r="E49" s="159"/>
      <c r="F49" s="159"/>
      <c r="G49" s="160"/>
      <c r="H49" s="160"/>
      <c r="I49" s="160"/>
      <c r="J49" s="160"/>
      <c r="K49" s="124"/>
      <c r="L49" s="155"/>
      <c r="M49" s="5720"/>
      <c r="N49" s="449"/>
      <c r="O49" s="1604"/>
      <c r="P49" s="2326"/>
      <c r="Q49" s="388"/>
      <c r="R49" s="1604"/>
      <c r="S49" s="183"/>
      <c r="T49" s="183"/>
      <c r="U49" s="183"/>
      <c r="V49" s="183"/>
      <c r="W49" s="1994"/>
      <c r="X49" s="900"/>
      <c r="Y49" s="1745"/>
      <c r="Z49" s="4567"/>
      <c r="AA49" s="1745"/>
      <c r="AB49" s="4567"/>
      <c r="AC49" s="1745"/>
      <c r="AD49" s="4567"/>
      <c r="AE49" s="1745"/>
      <c r="AF49" s="4568"/>
      <c r="AG49" s="1745"/>
      <c r="AH49" s="1745"/>
      <c r="AI49" s="1745"/>
      <c r="AJ49" s="1745"/>
      <c r="AK49" s="1745"/>
      <c r="AL49" s="1745"/>
    </row>
    <row r="50" spans="1:46" ht="12" customHeight="1">
      <c r="A50" s="66"/>
      <c r="B50" s="124"/>
      <c r="C50" s="267" t="s">
        <v>5629</v>
      </c>
      <c r="D50" s="267"/>
      <c r="E50" s="159"/>
      <c r="F50" s="159"/>
      <c r="G50" s="160"/>
      <c r="H50" s="124"/>
      <c r="I50" s="124"/>
      <c r="J50" s="124"/>
      <c r="K50" s="859" t="s">
        <v>661</v>
      </c>
      <c r="L50" s="228">
        <f>B49</f>
        <v>16</v>
      </c>
      <c r="M50" s="975">
        <f>IF(Q50&lt;&gt;"",ROUND(Q50,0),IF(SUM(M47,-M48)&lt;0,0,SUM(M47,-M48)))</f>
        <v>0</v>
      </c>
      <c r="N50" s="5707"/>
      <c r="O50" s="814"/>
      <c r="P50" s="2257"/>
      <c r="Q50" s="300"/>
      <c r="R50" s="814"/>
      <c r="S50" s="183"/>
      <c r="T50" s="183"/>
      <c r="U50" s="183"/>
      <c r="V50" s="183"/>
      <c r="W50" s="1994"/>
      <c r="X50" s="900"/>
      <c r="Y50" s="1745"/>
      <c r="Z50" s="4567"/>
      <c r="AA50" s="1745"/>
      <c r="AB50" s="4567"/>
      <c r="AC50" s="1745"/>
      <c r="AD50" s="4567"/>
      <c r="AE50" s="1745"/>
      <c r="AF50" s="4568"/>
      <c r="AG50" s="1745"/>
      <c r="AH50" s="1745"/>
      <c r="AI50" s="1745"/>
      <c r="AJ50" s="1745"/>
      <c r="AK50" s="1745"/>
      <c r="AL50" s="1745"/>
    </row>
    <row r="51" spans="1:46" ht="15.75" customHeight="1" thickBot="1">
      <c r="A51" s="66"/>
      <c r="B51" s="124" t="s">
        <v>1236</v>
      </c>
      <c r="C51" s="267" t="s">
        <v>5630</v>
      </c>
      <c r="D51" s="190"/>
      <c r="E51" s="159"/>
      <c r="F51" s="159"/>
      <c r="G51" s="160"/>
      <c r="H51" s="152" t="str">
        <f>"Exceptions to the Additional "&amp;TEXT($M$53,"0%")</f>
        <v>Exceptions to the Additional 20%</v>
      </c>
      <c r="I51" s="160"/>
      <c r="J51" s="160"/>
      <c r="K51" s="124"/>
      <c r="L51" s="1860"/>
      <c r="M51" s="5723"/>
      <c r="N51" s="449"/>
      <c r="O51" s="1604"/>
      <c r="P51" s="2326"/>
      <c r="Q51" s="1870" t="str">
        <f>IF($J$52&lt;&gt;"","Enter distributions","")</f>
        <v/>
      </c>
      <c r="R51" s="1604"/>
      <c r="S51" s="183"/>
      <c r="T51" s="183"/>
      <c r="U51" s="183"/>
      <c r="V51" s="183"/>
      <c r="W51" s="1994"/>
      <c r="X51" s="900"/>
      <c r="Y51" s="1745"/>
      <c r="Z51" s="4567"/>
      <c r="AA51" s="1745"/>
      <c r="AB51" s="4567"/>
      <c r="AC51" s="1745"/>
      <c r="AD51" s="4567"/>
      <c r="AE51" s="1745"/>
      <c r="AF51" s="4568"/>
      <c r="AG51" s="1745"/>
      <c r="AH51" s="1745"/>
      <c r="AI51" s="1745"/>
      <c r="AJ51" s="1745"/>
      <c r="AK51" s="1745"/>
      <c r="AL51" s="1745"/>
    </row>
    <row r="52" spans="1:46" s="672" customFormat="1" ht="14.25" customHeight="1" thickBot="1">
      <c r="A52" s="66"/>
      <c r="B52" s="124"/>
      <c r="C52" s="3379" t="s">
        <v>5631</v>
      </c>
      <c r="D52" s="3414"/>
      <c r="E52" s="159"/>
      <c r="F52" s="159"/>
      <c r="G52" s="160"/>
      <c r="H52" s="160"/>
      <c r="I52" s="859" t="s">
        <v>917</v>
      </c>
      <c r="J52" s="820"/>
      <c r="K52" s="160"/>
      <c r="L52" s="1860"/>
      <c r="M52" s="5720"/>
      <c r="N52" s="5707"/>
      <c r="O52" s="814"/>
      <c r="P52" s="2257"/>
      <c r="Q52" s="1870" t="str">
        <f>IF($J$52&lt;&gt;"","subject to","")</f>
        <v/>
      </c>
      <c r="R52" s="814"/>
      <c r="S52" s="183"/>
      <c r="T52" s="183"/>
      <c r="U52" s="183"/>
      <c r="V52" s="183"/>
      <c r="W52" s="1994"/>
      <c r="X52" s="900"/>
      <c r="Y52" s="1745"/>
      <c r="Z52" s="4567"/>
      <c r="AA52" s="1745"/>
      <c r="AB52" s="4567"/>
      <c r="AC52" s="1745"/>
      <c r="AD52" s="4567"/>
      <c r="AE52" s="1745"/>
      <c r="AF52" s="4568"/>
      <c r="AG52" s="1745"/>
      <c r="AH52" s="1745"/>
      <c r="AI52" s="1745"/>
      <c r="AJ52" s="1745"/>
      <c r="AK52" s="1745"/>
      <c r="AL52" s="1745"/>
      <c r="AM52" s="2038"/>
      <c r="AN52" s="2038"/>
      <c r="AO52" s="2038"/>
      <c r="AP52" s="2038"/>
      <c r="AQ52" s="2038"/>
      <c r="AR52" s="2038"/>
      <c r="AS52" s="2038"/>
      <c r="AT52" s="2038"/>
    </row>
    <row r="53" spans="1:46" ht="12" customHeight="1">
      <c r="A53" s="66"/>
      <c r="B53" s="124" t="s">
        <v>644</v>
      </c>
      <c r="C53" s="152" t="str">
        <f>"Additional "&amp;TEXT(M53,"0%")&amp;" tax"</f>
        <v>Additional 20% tax</v>
      </c>
      <c r="D53" s="190"/>
      <c r="E53" s="159"/>
      <c r="F53" s="267"/>
      <c r="G53" s="160"/>
      <c r="H53" s="160"/>
      <c r="I53" s="160"/>
      <c r="J53" s="160"/>
      <c r="K53" s="1865" t="str">
        <f>"(see instructions). Enter "&amp;TEXT($M$53,"0%")&amp;" ("&amp;TEXT($M$53,".00")&amp;") of the distributions included on line 16     "</f>
        <v xml:space="preserve">(see instructions). Enter 20% (.20) of the distributions included on line 16     </v>
      </c>
      <c r="L53" s="1860"/>
      <c r="M53" s="1027">
        <v>0.2</v>
      </c>
      <c r="N53" s="449"/>
      <c r="O53" s="1604"/>
      <c r="P53" s="2326"/>
      <c r="Q53" s="1870" t="str">
        <f>IF($J$52&lt;&gt;"","additional tax here:","")</f>
        <v/>
      </c>
      <c r="R53" s="1604"/>
      <c r="S53" s="183"/>
      <c r="T53" s="183"/>
      <c r="U53" s="183"/>
      <c r="V53" s="183"/>
      <c r="W53" s="1994"/>
      <c r="X53" s="900"/>
      <c r="Y53" s="1745"/>
      <c r="Z53" s="4567"/>
      <c r="AA53" s="1745"/>
      <c r="AB53" s="4567"/>
      <c r="AC53" s="1745"/>
      <c r="AD53" s="4567"/>
      <c r="AE53" s="1745"/>
      <c r="AF53" s="4568"/>
      <c r="AG53" s="1745"/>
      <c r="AH53" s="1745"/>
      <c r="AI53" s="1745"/>
      <c r="AJ53" s="1745"/>
      <c r="AK53" s="1745"/>
      <c r="AL53" s="1745"/>
    </row>
    <row r="54" spans="1:46" s="672" customFormat="1" ht="12" customHeight="1">
      <c r="A54" s="66"/>
      <c r="B54" s="124"/>
      <c r="C54" s="267" t="str">
        <f>"that are subject to the additional "&amp;TEXT($M$53,"0%")&amp;" tax. Also include this amount in the total on Schedule 2"</f>
        <v>that are subject to the additional 20% tax. Also include this amount in the total on Schedule 2</v>
      </c>
      <c r="D54" s="267"/>
      <c r="E54" s="159"/>
      <c r="F54" s="159"/>
      <c r="G54" s="160"/>
      <c r="H54" s="160"/>
      <c r="I54" s="160"/>
      <c r="J54" s="160"/>
      <c r="K54" s="160"/>
      <c r="L54" s="1860"/>
      <c r="M54" s="5720"/>
      <c r="N54" s="5707"/>
      <c r="O54" s="814"/>
      <c r="P54" s="2257"/>
      <c r="Q54" s="1871"/>
      <c r="R54" s="814"/>
      <c r="S54" s="183"/>
      <c r="T54" s="183"/>
      <c r="U54" s="183"/>
      <c r="V54" s="183"/>
      <c r="W54" s="1994"/>
      <c r="X54" s="900"/>
      <c r="Y54" s="1745"/>
      <c r="Z54" s="4567"/>
      <c r="AA54" s="1745"/>
      <c r="AB54" s="4567"/>
      <c r="AC54" s="1745"/>
      <c r="AD54" s="4567"/>
      <c r="AE54" s="1745"/>
      <c r="AF54" s="4568"/>
      <c r="AG54" s="1745"/>
      <c r="AH54" s="1745"/>
      <c r="AI54" s="1745"/>
      <c r="AJ54" s="1745"/>
      <c r="AK54" s="1745"/>
      <c r="AL54" s="1745"/>
      <c r="AM54" s="2038"/>
      <c r="AN54" s="2038"/>
      <c r="AO54" s="2038"/>
      <c r="AP54" s="2038"/>
      <c r="AQ54" s="2038"/>
      <c r="AR54" s="2038"/>
      <c r="AS54" s="2038"/>
      <c r="AT54" s="2038"/>
    </row>
    <row r="55" spans="1:46" ht="12" customHeight="1">
      <c r="A55" s="66"/>
      <c r="B55" s="124"/>
      <c r="C55" s="2809" t="s">
        <v>4930</v>
      </c>
      <c r="D55" s="267"/>
      <c r="E55" s="159"/>
      <c r="F55" s="159"/>
      <c r="G55" s="160"/>
      <c r="H55" s="160"/>
      <c r="I55" s="160"/>
      <c r="J55" s="160"/>
      <c r="K55" s="859"/>
      <c r="L55" s="228" t="s">
        <v>1237</v>
      </c>
      <c r="M55" s="975">
        <f>IF(Q55&lt;&gt;"",ROUND(Q55,0),IF($J$52&lt;&gt;"",ROUND($M$53*$Q$54,0),ROUND($M$53*M50,0)))</f>
        <v>0</v>
      </c>
      <c r="N55" s="5707"/>
      <c r="O55" s="1604"/>
      <c r="P55" s="590"/>
      <c r="Q55" s="300"/>
      <c r="R55" s="1604"/>
      <c r="S55" s="183"/>
      <c r="T55" s="183"/>
      <c r="U55" s="183"/>
      <c r="V55" s="183"/>
      <c r="W55" s="1994"/>
      <c r="X55" s="900"/>
      <c r="Y55" s="1745"/>
      <c r="Z55" s="4567"/>
      <c r="AA55" s="1745"/>
      <c r="AB55" s="4567"/>
      <c r="AC55" s="1745"/>
      <c r="AD55" s="4567"/>
      <c r="AE55" s="1745"/>
      <c r="AF55" s="4568"/>
      <c r="AG55" s="1745"/>
      <c r="AH55" s="1745"/>
      <c r="AI55" s="1745"/>
      <c r="AJ55" s="1745"/>
      <c r="AK55" s="1745"/>
      <c r="AL55" s="1745"/>
    </row>
    <row r="56" spans="1:46" s="163" customFormat="1" ht="15" customHeight="1">
      <c r="A56" s="66"/>
      <c r="B56" s="3852" t="s">
        <v>2243</v>
      </c>
      <c r="C56" s="10044" t="s">
        <v>4931</v>
      </c>
      <c r="D56" s="10044"/>
      <c r="E56" s="10045"/>
      <c r="F56" s="10045"/>
      <c r="G56" s="10045"/>
      <c r="H56" s="10045"/>
      <c r="I56" s="10045"/>
      <c r="J56" s="10045"/>
      <c r="K56" s="10045"/>
      <c r="L56" s="10045"/>
      <c r="M56" s="10045"/>
      <c r="N56" s="5706"/>
      <c r="O56" s="892"/>
      <c r="P56" s="2250"/>
      <c r="Q56" s="461"/>
      <c r="R56" s="892"/>
      <c r="S56" s="183"/>
      <c r="T56" s="183"/>
      <c r="U56" s="183"/>
      <c r="V56" s="183"/>
      <c r="W56" s="1994"/>
      <c r="X56" s="900"/>
      <c r="Y56" s="1745"/>
      <c r="Z56" s="4567"/>
      <c r="AA56" s="1745"/>
      <c r="AB56" s="4567"/>
      <c r="AC56" s="1745"/>
      <c r="AD56" s="4567"/>
      <c r="AE56" s="1745"/>
      <c r="AF56" s="4568"/>
      <c r="AG56" s="1745"/>
      <c r="AH56" s="1745"/>
      <c r="AI56" s="1745"/>
      <c r="AJ56" s="1745"/>
      <c r="AK56" s="1745"/>
      <c r="AL56" s="1745"/>
      <c r="AM56" s="2038"/>
      <c r="AN56" s="2038"/>
      <c r="AO56" s="2038"/>
      <c r="AP56" s="2038"/>
      <c r="AQ56" s="2038"/>
      <c r="AR56" s="2038"/>
      <c r="AS56" s="2038"/>
      <c r="AT56" s="2038"/>
    </row>
    <row r="57" spans="1:46" s="163" customFormat="1">
      <c r="A57" s="66"/>
      <c r="B57" s="1851"/>
      <c r="C57" s="10022" t="s">
        <v>4932</v>
      </c>
      <c r="D57" s="10022"/>
      <c r="E57" s="10023"/>
      <c r="F57" s="10023"/>
      <c r="G57" s="10023"/>
      <c r="H57" s="10023"/>
      <c r="I57" s="10023"/>
      <c r="J57" s="10023"/>
      <c r="K57" s="10023"/>
      <c r="L57" s="10023"/>
      <c r="M57" s="10023"/>
      <c r="N57" s="5706"/>
      <c r="O57" s="892"/>
      <c r="P57" s="1858"/>
      <c r="Q57" s="461"/>
      <c r="R57" s="892"/>
      <c r="S57" s="183"/>
      <c r="T57" s="183"/>
      <c r="U57" s="183"/>
      <c r="V57" s="183"/>
      <c r="W57" s="1994"/>
      <c r="X57" s="900"/>
      <c r="Y57" s="1745"/>
      <c r="Z57" s="4567"/>
      <c r="AA57" s="1745"/>
      <c r="AB57" s="4567"/>
      <c r="AC57" s="1745"/>
      <c r="AD57" s="4567"/>
      <c r="AE57" s="1745"/>
      <c r="AF57" s="4568"/>
      <c r="AG57" s="1745"/>
      <c r="AH57" s="1745"/>
      <c r="AI57" s="1745"/>
      <c r="AJ57" s="1745"/>
      <c r="AK57" s="1745"/>
      <c r="AL57" s="1745"/>
      <c r="AM57" s="2038"/>
      <c r="AN57" s="2038"/>
      <c r="AO57" s="2038"/>
      <c r="AP57" s="2038"/>
      <c r="AQ57" s="2038"/>
      <c r="AR57" s="2038"/>
      <c r="AS57" s="2038"/>
      <c r="AT57" s="2038"/>
    </row>
    <row r="58" spans="1:46" ht="12.75" customHeight="1">
      <c r="A58" s="66"/>
      <c r="B58" s="1862"/>
      <c r="C58" s="10024" t="s">
        <v>4933</v>
      </c>
      <c r="D58" s="10024"/>
      <c r="E58" s="10025"/>
      <c r="F58" s="10025"/>
      <c r="G58" s="10025"/>
      <c r="H58" s="10025"/>
      <c r="I58" s="10025"/>
      <c r="J58" s="10025"/>
      <c r="K58" s="10025"/>
      <c r="L58" s="10025"/>
      <c r="M58" s="10025"/>
      <c r="N58" s="5706"/>
      <c r="O58" s="892"/>
      <c r="P58" s="1858"/>
      <c r="Q58" s="461"/>
      <c r="R58" s="892"/>
      <c r="S58" s="183"/>
      <c r="T58" s="183"/>
      <c r="U58" s="183"/>
      <c r="V58" s="183"/>
      <c r="W58" s="1994"/>
      <c r="X58" s="900"/>
      <c r="Y58" s="1745"/>
      <c r="Z58" s="4567"/>
      <c r="AA58" s="1745"/>
      <c r="AB58" s="4567"/>
      <c r="AC58" s="1745"/>
      <c r="AD58" s="4567"/>
      <c r="AE58" s="1745"/>
      <c r="AF58" s="4568"/>
      <c r="AG58" s="1745"/>
      <c r="AH58" s="1745"/>
      <c r="AI58" s="1745"/>
      <c r="AJ58" s="1745"/>
      <c r="AK58" s="1745"/>
      <c r="AL58" s="1745"/>
    </row>
    <row r="59" spans="1:46" ht="12" customHeight="1">
      <c r="A59" s="66"/>
      <c r="B59" s="124">
        <v>18</v>
      </c>
      <c r="C59" s="267" t="s">
        <v>4934</v>
      </c>
      <c r="D59" s="190"/>
      <c r="E59" s="159"/>
      <c r="F59" s="159"/>
      <c r="G59" s="160"/>
      <c r="H59" s="160"/>
      <c r="I59" s="160"/>
      <c r="J59" s="160"/>
      <c r="K59" s="859" t="s">
        <v>985</v>
      </c>
      <c r="L59" s="228">
        <f>B59</f>
        <v>18</v>
      </c>
      <c r="M59" s="976"/>
      <c r="N59" s="449"/>
      <c r="O59" s="1604"/>
      <c r="P59" s="2326"/>
      <c r="Q59" s="691"/>
      <c r="R59" s="1604"/>
      <c r="S59" s="183"/>
      <c r="T59" s="183"/>
      <c r="U59" s="183"/>
      <c r="V59" s="183"/>
      <c r="W59" s="1994"/>
      <c r="X59" s="900"/>
      <c r="Y59" s="1745"/>
      <c r="Z59" s="4567"/>
      <c r="AA59" s="1745"/>
      <c r="AB59" s="4567"/>
      <c r="AC59" s="1745"/>
      <c r="AD59" s="4567"/>
      <c r="AE59" s="1745"/>
      <c r="AF59" s="4568"/>
      <c r="AG59" s="1745"/>
      <c r="AH59" s="1745"/>
      <c r="AI59" s="1745"/>
      <c r="AJ59" s="1745"/>
      <c r="AK59" s="1745"/>
      <c r="AL59" s="1745"/>
    </row>
    <row r="60" spans="1:46" s="672" customFormat="1" ht="12" customHeight="1">
      <c r="A60" s="66"/>
      <c r="B60" s="124">
        <v>19</v>
      </c>
      <c r="C60" s="267" t="s">
        <v>4935</v>
      </c>
      <c r="D60" s="190"/>
      <c r="E60" s="159"/>
      <c r="F60" s="159"/>
      <c r="G60" s="160"/>
      <c r="H60" s="160"/>
      <c r="I60" s="160"/>
      <c r="J60" s="160"/>
      <c r="K60" s="859" t="s">
        <v>705</v>
      </c>
      <c r="L60" s="228">
        <f>B60</f>
        <v>19</v>
      </c>
      <c r="M60" s="976"/>
      <c r="N60" s="449"/>
      <c r="O60" s="1604"/>
      <c r="P60" s="2326"/>
      <c r="Q60" s="691"/>
      <c r="R60" s="1604"/>
      <c r="S60" s="904"/>
      <c r="T60" s="904"/>
      <c r="U60" s="904"/>
      <c r="V60" s="904"/>
      <c r="W60" s="1994"/>
      <c r="X60" s="900"/>
      <c r="Y60" s="1745"/>
      <c r="Z60" s="4567"/>
      <c r="AA60" s="1745"/>
      <c r="AB60" s="4567"/>
      <c r="AC60" s="1745"/>
      <c r="AD60" s="4567"/>
      <c r="AE60" s="1745"/>
      <c r="AF60" s="4568"/>
      <c r="AG60" s="1745"/>
      <c r="AH60" s="1745"/>
      <c r="AI60" s="1745"/>
      <c r="AJ60" s="1745"/>
      <c r="AK60" s="1745"/>
      <c r="AL60" s="1745"/>
      <c r="AM60" s="2038"/>
      <c r="AN60" s="2038"/>
      <c r="AO60" s="2038"/>
      <c r="AP60" s="2038"/>
      <c r="AQ60" s="2038"/>
      <c r="AR60" s="2038"/>
      <c r="AS60" s="2038"/>
      <c r="AT60" s="2038"/>
    </row>
    <row r="61" spans="1:46" s="672" customFormat="1" ht="12" customHeight="1">
      <c r="A61" s="66"/>
      <c r="B61" s="124">
        <v>20</v>
      </c>
      <c r="C61" s="152" t="s">
        <v>4936</v>
      </c>
      <c r="D61" s="267"/>
      <c r="E61" s="159"/>
      <c r="F61" s="159"/>
      <c r="G61" s="160"/>
      <c r="H61" s="124"/>
      <c r="I61" s="124"/>
      <c r="J61" s="124"/>
      <c r="K61" s="859"/>
      <c r="L61" s="228">
        <f>B61</f>
        <v>20</v>
      </c>
      <c r="M61" s="975">
        <f>IF(Q61&lt;&gt;"",ROUND(Q61,0),SUM(M59,M60))</f>
        <v>0</v>
      </c>
      <c r="N61" s="5707"/>
      <c r="O61" s="814"/>
      <c r="P61" s="2257"/>
      <c r="Q61" s="300"/>
      <c r="R61" s="814"/>
      <c r="S61" s="183"/>
      <c r="T61" s="183"/>
      <c r="U61" s="183"/>
      <c r="V61" s="183"/>
      <c r="W61" s="1604"/>
      <c r="X61" s="814"/>
      <c r="Y61" s="1009"/>
      <c r="Z61" s="2087"/>
      <c r="AA61" s="1009"/>
      <c r="AB61" s="2087"/>
      <c r="AC61" s="1009"/>
      <c r="AD61" s="2087"/>
      <c r="AE61" s="1009"/>
      <c r="AF61" s="2088"/>
      <c r="AG61" s="1009"/>
      <c r="AH61" s="1009"/>
      <c r="AI61" s="1006"/>
      <c r="AJ61" s="1006"/>
      <c r="AK61" s="1006"/>
      <c r="AL61" s="1006"/>
      <c r="AM61" s="2038"/>
      <c r="AN61" s="2038"/>
      <c r="AO61" s="2038"/>
      <c r="AP61" s="2038"/>
      <c r="AQ61" s="2038"/>
      <c r="AR61" s="2038"/>
      <c r="AS61" s="2038"/>
      <c r="AT61" s="2038"/>
    </row>
    <row r="62" spans="1:46" ht="12" customHeight="1">
      <c r="A62" s="66"/>
      <c r="B62" s="124">
        <v>21</v>
      </c>
      <c r="C62" s="152" t="s">
        <v>4937</v>
      </c>
      <c r="D62" s="190"/>
      <c r="E62" s="267" t="str">
        <f>"Multiply line 20 by "&amp;TEXT(M62,"0%")&amp;" ("&amp;TEXT(M62,".00")&amp;"). Include this amount in the total on Schedule 2"</f>
        <v>Multiply line 20 by 10% (.10). Include this amount in the total on Schedule 2</v>
      </c>
      <c r="F62" s="159"/>
      <c r="G62" s="160"/>
      <c r="H62" s="160"/>
      <c r="I62" s="160"/>
      <c r="J62" s="160"/>
      <c r="K62" s="124"/>
      <c r="L62" s="1859"/>
      <c r="M62" s="1872">
        <v>0.1</v>
      </c>
      <c r="N62" s="449"/>
      <c r="O62" s="1604"/>
      <c r="P62" s="2326"/>
      <c r="Q62" s="388"/>
      <c r="R62" s="1604"/>
      <c r="S62" s="183"/>
      <c r="T62" s="183"/>
      <c r="U62" s="183"/>
      <c r="V62" s="183"/>
      <c r="W62" s="2264"/>
      <c r="X62" s="814"/>
      <c r="Y62" s="1009"/>
      <c r="Z62" s="2087"/>
      <c r="AA62" s="1009"/>
      <c r="AB62" s="2087"/>
      <c r="AC62" s="1009"/>
      <c r="AD62" s="2087"/>
      <c r="AE62" s="1009"/>
      <c r="AF62" s="2088"/>
      <c r="AG62" s="1009"/>
      <c r="AH62" s="1009"/>
      <c r="AI62" s="1009"/>
      <c r="AJ62" s="1009"/>
      <c r="AK62" s="1009"/>
      <c r="AL62" s="1009"/>
    </row>
    <row r="63" spans="1:46" s="672" customFormat="1" ht="12" customHeight="1" thickBot="1">
      <c r="A63" s="441"/>
      <c r="B63" s="2681"/>
      <c r="C63" s="2809" t="s">
        <v>4938</v>
      </c>
      <c r="D63" s="2809"/>
      <c r="E63" s="2802"/>
      <c r="F63" s="2802"/>
      <c r="G63" s="2803"/>
      <c r="H63" s="2681"/>
      <c r="I63" s="2681"/>
      <c r="J63" s="2681"/>
      <c r="K63" s="1869"/>
      <c r="L63" s="3856">
        <f>B62</f>
        <v>21</v>
      </c>
      <c r="M63" s="2804">
        <f>IF(Q63&lt;&gt;"",ROUND(Q63,0),M61*M62)</f>
        <v>0</v>
      </c>
      <c r="N63" s="5724"/>
      <c r="O63" s="1692"/>
      <c r="P63" s="5725"/>
      <c r="Q63" s="2805"/>
      <c r="R63" s="1692"/>
      <c r="S63" s="2771"/>
      <c r="T63" s="2771"/>
      <c r="U63" s="2771"/>
      <c r="V63" s="2771"/>
      <c r="W63" s="2358"/>
      <c r="X63" s="814"/>
      <c r="Y63" s="1009"/>
      <c r="Z63" s="2087"/>
      <c r="AA63" s="1009"/>
      <c r="AB63" s="2087"/>
      <c r="AC63" s="1009"/>
      <c r="AD63" s="2087"/>
      <c r="AE63" s="1009"/>
      <c r="AF63" s="2088"/>
      <c r="AG63" s="1009"/>
      <c r="AH63" s="1009"/>
      <c r="AI63" s="1009"/>
      <c r="AJ63" s="1009"/>
      <c r="AK63" s="1009"/>
      <c r="AL63" s="1009"/>
      <c r="AM63" s="2038"/>
      <c r="AN63" s="2038"/>
      <c r="AO63" s="2038"/>
      <c r="AP63" s="2038"/>
      <c r="AQ63" s="2038"/>
      <c r="AR63" s="2038"/>
      <c r="AS63" s="2038"/>
      <c r="AT63" s="2038"/>
    </row>
    <row r="64" spans="1:46" ht="15" customHeight="1">
      <c r="A64" s="66"/>
      <c r="B64" s="128" t="s">
        <v>979</v>
      </c>
      <c r="C64" s="184"/>
      <c r="D64" s="184"/>
      <c r="E64" s="184"/>
      <c r="F64" s="184"/>
      <c r="G64" s="373"/>
      <c r="H64" s="3854"/>
      <c r="I64" s="3854" t="s">
        <v>4939</v>
      </c>
      <c r="J64" s="470"/>
      <c r="K64" s="373"/>
      <c r="L64" s="374" t="s">
        <v>4940</v>
      </c>
      <c r="M64" s="692" t="str">
        <f>"  ("&amp;TaxYear&amp;")"</f>
        <v xml:space="preserve">  (2023)</v>
      </c>
      <c r="N64" s="454"/>
      <c r="O64" s="814"/>
      <c r="P64" s="2326"/>
      <c r="Q64" s="691"/>
      <c r="R64" s="814"/>
      <c r="S64" s="183"/>
      <c r="T64" s="183"/>
      <c r="U64" s="183"/>
      <c r="V64" s="183"/>
      <c r="W64" s="2084"/>
      <c r="X64" s="814"/>
      <c r="Y64" s="1009"/>
      <c r="Z64" s="2087"/>
      <c r="AA64" s="1009"/>
      <c r="AB64" s="2087"/>
      <c r="AC64" s="1009"/>
      <c r="AD64" s="2087"/>
      <c r="AE64" s="1009"/>
      <c r="AF64" s="2088"/>
      <c r="AG64" s="1009"/>
      <c r="AH64" s="1009"/>
      <c r="AI64" s="1009"/>
      <c r="AJ64" s="1009"/>
      <c r="AK64" s="1009"/>
      <c r="AL64" s="1009"/>
    </row>
    <row r="65" spans="1:46" s="163" customFormat="1" ht="15" customHeight="1">
      <c r="A65" s="66"/>
      <c r="B65" s="22"/>
      <c r="C65" s="22"/>
      <c r="D65" s="83"/>
      <c r="E65" s="3934"/>
      <c r="F65" s="3935"/>
      <c r="G65" s="1633"/>
      <c r="H65" s="3935"/>
      <c r="I65" s="3935"/>
      <c r="J65" s="3935"/>
      <c r="K65" s="3936"/>
      <c r="L65" s="9093" t="s">
        <v>2455</v>
      </c>
      <c r="M65" s="8773"/>
      <c r="N65" s="394"/>
      <c r="O65" s="780"/>
      <c r="P65" s="2255"/>
      <c r="Q65" s="6847"/>
      <c r="R65" s="780"/>
      <c r="S65" s="906"/>
      <c r="T65" s="906"/>
      <c r="U65" s="906"/>
      <c r="V65" s="906"/>
      <c r="W65" s="3622"/>
      <c r="X65" s="1009"/>
      <c r="Y65" s="1009"/>
      <c r="Z65" s="2087"/>
      <c r="AA65" s="1009"/>
      <c r="AB65" s="2087"/>
      <c r="AC65" s="1009"/>
      <c r="AD65" s="2087"/>
      <c r="AE65" s="1009"/>
      <c r="AF65" s="2088"/>
      <c r="AG65" s="1009"/>
      <c r="AH65" s="1009"/>
      <c r="AI65" s="1009"/>
      <c r="AJ65" s="1009"/>
      <c r="AK65" s="1009"/>
      <c r="AL65" s="1009"/>
      <c r="AM65" s="2038"/>
      <c r="AN65" s="2038"/>
      <c r="AO65" s="2038"/>
      <c r="AP65" s="2038"/>
      <c r="AQ65" s="2038"/>
      <c r="AR65" s="2038"/>
      <c r="AS65" s="2038"/>
      <c r="AT65" s="2038"/>
    </row>
    <row r="66" spans="1:46" ht="3.75" customHeight="1">
      <c r="A66" s="66"/>
      <c r="B66" s="10035" t="s">
        <v>50</v>
      </c>
      <c r="C66" s="10036">
        <v>8889</v>
      </c>
      <c r="D66" s="10037"/>
      <c r="E66" s="3934"/>
      <c r="F66" s="3935"/>
      <c r="G66" s="3935"/>
      <c r="H66" s="3935"/>
      <c r="I66" s="3935"/>
      <c r="J66" s="3935"/>
      <c r="K66" s="3936"/>
      <c r="L66" s="7716">
        <f>TaxYear</f>
        <v>2023</v>
      </c>
      <c r="M66" s="10026"/>
      <c r="N66" s="5699"/>
      <c r="O66" s="892"/>
      <c r="P66" s="5372"/>
      <c r="Q66" s="6847"/>
      <c r="R66" s="892"/>
      <c r="S66" s="906"/>
      <c r="T66" s="906"/>
      <c r="U66" s="906"/>
      <c r="V66" s="906"/>
      <c r="W66" s="2085"/>
      <c r="X66" s="1009"/>
      <c r="Y66" s="1009"/>
      <c r="Z66" s="2087"/>
      <c r="AA66" s="1009"/>
      <c r="AB66" s="2087"/>
      <c r="AC66" s="1009"/>
      <c r="AD66" s="2087"/>
      <c r="AE66" s="1009"/>
      <c r="AF66" s="2088"/>
      <c r="AG66" s="1009"/>
      <c r="AH66" s="1009"/>
      <c r="AI66" s="1009"/>
      <c r="AJ66" s="1009"/>
      <c r="AK66" s="1009"/>
      <c r="AL66" s="1009"/>
    </row>
    <row r="67" spans="1:46" ht="20.25">
      <c r="A67" s="66"/>
      <c r="B67" s="7311"/>
      <c r="C67" s="10038"/>
      <c r="D67" s="10039"/>
      <c r="E67" s="10029" t="s">
        <v>4859</v>
      </c>
      <c r="F67" s="9106"/>
      <c r="G67" s="9106"/>
      <c r="H67" s="9106"/>
      <c r="I67" s="9106"/>
      <c r="J67" s="9106"/>
      <c r="K67" s="10030"/>
      <c r="L67" s="10027"/>
      <c r="M67" s="10028"/>
      <c r="N67" s="448"/>
      <c r="O67" s="878"/>
      <c r="P67" s="134"/>
      <c r="Q67" s="10072" t="s">
        <v>4860</v>
      </c>
      <c r="R67" s="878"/>
      <c r="S67" s="5722"/>
      <c r="T67" s="5722"/>
      <c r="U67" s="5722"/>
      <c r="V67" s="5722"/>
      <c r="W67" s="2085"/>
      <c r="X67" s="3174"/>
      <c r="Y67" s="1009"/>
      <c r="Z67" s="2087"/>
      <c r="AA67" s="1009"/>
      <c r="AB67" s="2087"/>
      <c r="AC67" s="1009"/>
      <c r="AD67" s="2087"/>
      <c r="AE67" s="1009"/>
      <c r="AF67" s="2088"/>
      <c r="AG67" s="1009"/>
      <c r="AH67" s="1009"/>
      <c r="AI67" s="1009"/>
      <c r="AJ67" s="1009"/>
      <c r="AK67" s="1009"/>
      <c r="AL67" s="1009"/>
    </row>
    <row r="68" spans="1:46" ht="13.5" customHeight="1">
      <c r="A68" s="66"/>
      <c r="B68" s="10012" t="s">
        <v>535</v>
      </c>
      <c r="C68" s="6848"/>
      <c r="D68" s="10013"/>
      <c r="E68" s="7061" t="s">
        <v>4941</v>
      </c>
      <c r="F68" s="9104"/>
      <c r="G68" s="9104"/>
      <c r="H68" s="9104"/>
      <c r="I68" s="9104"/>
      <c r="J68" s="9104"/>
      <c r="K68" s="9105"/>
      <c r="L68" s="10014" t="s">
        <v>4862</v>
      </c>
      <c r="M68" s="7690"/>
      <c r="N68" s="5699"/>
      <c r="O68" s="878"/>
      <c r="P68" s="5372"/>
      <c r="Q68" s="6847"/>
      <c r="R68" s="878"/>
      <c r="S68" s="2092"/>
      <c r="T68" s="2092"/>
      <c r="U68" s="2092"/>
      <c r="V68" s="2092"/>
      <c r="W68" s="2085"/>
      <c r="X68" s="878"/>
      <c r="Y68" s="1009"/>
      <c r="Z68" s="2087"/>
      <c r="AA68" s="1009"/>
      <c r="AB68" s="2087"/>
      <c r="AC68" s="1009"/>
      <c r="AD68" s="2087"/>
      <c r="AE68" s="1009"/>
      <c r="AF68" s="2088"/>
      <c r="AG68" s="1009"/>
      <c r="AH68" s="1009"/>
      <c r="AI68" s="1009"/>
      <c r="AJ68" s="1009"/>
      <c r="AK68" s="1009"/>
      <c r="AL68" s="1009"/>
    </row>
    <row r="69" spans="1:46" ht="14.25" customHeight="1" thickBot="1">
      <c r="A69" s="66"/>
      <c r="B69" s="10015" t="s">
        <v>537</v>
      </c>
      <c r="C69" s="10016"/>
      <c r="D69" s="10017"/>
      <c r="E69" s="10073" t="s">
        <v>4942</v>
      </c>
      <c r="F69" s="10074"/>
      <c r="G69" s="10074"/>
      <c r="H69" s="10074"/>
      <c r="I69" s="10074"/>
      <c r="J69" s="10074"/>
      <c r="K69" s="10075"/>
      <c r="L69" s="10021" t="s">
        <v>4866</v>
      </c>
      <c r="M69" s="9469"/>
      <c r="N69" s="448"/>
      <c r="O69" s="892"/>
      <c r="P69" s="134"/>
      <c r="Q69" s="461"/>
      <c r="R69" s="892"/>
      <c r="S69" s="677"/>
      <c r="T69" s="677"/>
      <c r="U69" s="677"/>
      <c r="V69" s="677"/>
      <c r="W69" s="1579"/>
      <c r="X69" s="1571"/>
      <c r="Y69" s="1009"/>
      <c r="Z69" s="2087"/>
      <c r="AA69" s="1009"/>
      <c r="AB69" s="2087"/>
      <c r="AC69" s="1009"/>
      <c r="AD69" s="2087"/>
      <c r="AE69" s="1009"/>
      <c r="AF69" s="2088"/>
      <c r="AG69" s="1009"/>
      <c r="AH69" s="1009"/>
      <c r="AI69" s="1009"/>
      <c r="AJ69" s="1009"/>
      <c r="AK69" s="1009"/>
      <c r="AL69" s="1009"/>
    </row>
    <row r="70" spans="1:46" ht="12.75" customHeight="1">
      <c r="A70" s="66"/>
      <c r="B70" s="20" t="s">
        <v>4869</v>
      </c>
      <c r="C70" s="130"/>
      <c r="D70" s="130"/>
      <c r="E70" s="111"/>
      <c r="F70" s="112"/>
      <c r="G70" s="20"/>
      <c r="H70" s="112"/>
      <c r="I70" s="112"/>
      <c r="J70" s="10076" t="s">
        <v>4943</v>
      </c>
      <c r="K70" s="10077"/>
      <c r="L70" s="10080" t="str">
        <f>IF(NoSSN,"",IF(AND($Q$7,$O$8),SS_Spouse,""))</f>
        <v/>
      </c>
      <c r="M70" s="10081"/>
      <c r="N70" s="5699"/>
      <c r="O70" s="892"/>
      <c r="P70" s="5372"/>
      <c r="Q70" s="461"/>
      <c r="R70" s="892"/>
      <c r="S70" s="677"/>
      <c r="T70" s="677"/>
      <c r="U70" s="677"/>
      <c r="V70" s="677"/>
      <c r="W70" s="1579"/>
      <c r="X70" s="1571"/>
      <c r="Y70" s="1009"/>
      <c r="Z70" s="2087"/>
      <c r="AA70" s="1009"/>
      <c r="AB70" s="2087"/>
      <c r="AC70" s="1009"/>
      <c r="AD70" s="2087"/>
      <c r="AE70" s="1009"/>
      <c r="AF70" s="2088"/>
      <c r="AG70" s="1009"/>
      <c r="AH70" s="1009"/>
      <c r="AI70" s="1009"/>
      <c r="AJ70" s="1009"/>
      <c r="AK70" s="1009"/>
      <c r="AL70" s="1009"/>
    </row>
    <row r="71" spans="1:46" ht="12.75" customHeight="1" thickBot="1">
      <c r="A71" s="66"/>
      <c r="B71" s="9127" t="str">
        <f>IF(AND($Q$7,$O$8),NameSpouse,"")</f>
        <v/>
      </c>
      <c r="C71" s="6339"/>
      <c r="D71" s="6339"/>
      <c r="E71" s="6339"/>
      <c r="F71" s="6339"/>
      <c r="G71" s="6339"/>
      <c r="H71" s="6339"/>
      <c r="I71" s="6339"/>
      <c r="J71" s="10078"/>
      <c r="K71" s="10079"/>
      <c r="L71" s="6339"/>
      <c r="M71" s="6339"/>
      <c r="N71" s="448"/>
      <c r="O71" s="892"/>
      <c r="P71" s="134"/>
      <c r="Q71" s="461"/>
      <c r="R71" s="892"/>
      <c r="S71" s="11"/>
      <c r="T71" s="11"/>
      <c r="U71" s="11"/>
      <c r="V71" s="11"/>
      <c r="W71" s="1579"/>
      <c r="X71" s="2089"/>
      <c r="Y71" s="1009"/>
      <c r="Z71" s="2087"/>
      <c r="AA71" s="1009"/>
      <c r="AB71" s="2087"/>
      <c r="AC71" s="1009"/>
      <c r="AD71" s="2087"/>
      <c r="AE71" s="1009"/>
      <c r="AF71" s="2088"/>
      <c r="AG71" s="1009"/>
      <c r="AH71" s="1009"/>
      <c r="AI71" s="1009"/>
      <c r="AJ71" s="1009"/>
      <c r="AK71" s="1009"/>
      <c r="AL71" s="1009"/>
    </row>
    <row r="72" spans="1:46" ht="15" customHeight="1">
      <c r="A72" s="66"/>
      <c r="B72" s="1701" t="s">
        <v>4944</v>
      </c>
      <c r="C72" s="1247"/>
      <c r="D72" s="1247"/>
      <c r="E72" s="1247"/>
      <c r="F72" s="1247"/>
      <c r="G72" s="1247"/>
      <c r="H72" s="1247"/>
      <c r="I72" s="1247"/>
      <c r="J72" s="1849"/>
      <c r="K72" s="1849"/>
      <c r="L72" s="1247"/>
      <c r="M72" s="1247"/>
      <c r="N72" s="448"/>
      <c r="O72" s="892"/>
      <c r="P72" s="134"/>
      <c r="Q72" s="461"/>
      <c r="R72" s="892"/>
      <c r="S72" s="11"/>
      <c r="T72" s="11"/>
      <c r="U72" s="11"/>
      <c r="V72" s="11"/>
      <c r="W72" s="1604"/>
      <c r="X72" s="10055" t="s">
        <v>4871</v>
      </c>
      <c r="Y72" s="10056"/>
      <c r="Z72" s="10056"/>
      <c r="AA72" s="10056"/>
      <c r="AB72" s="10056"/>
      <c r="AC72" s="10056"/>
      <c r="AD72" s="10056"/>
      <c r="AE72" s="10056"/>
      <c r="AF72" s="10056"/>
      <c r="AG72" s="10057"/>
      <c r="AH72" s="2788"/>
      <c r="AI72" s="1009"/>
      <c r="AJ72" s="1009"/>
      <c r="AK72" s="1009"/>
      <c r="AL72" s="1009"/>
    </row>
    <row r="73" spans="1:46" ht="15" customHeight="1">
      <c r="A73" s="66"/>
      <c r="B73" s="1848" t="s">
        <v>2468</v>
      </c>
      <c r="C73" s="10033" t="s">
        <v>4945</v>
      </c>
      <c r="D73" s="10033"/>
      <c r="E73" s="10034"/>
      <c r="F73" s="10034"/>
      <c r="G73" s="10034"/>
      <c r="H73" s="10034"/>
      <c r="I73" s="10034"/>
      <c r="J73" s="10034"/>
      <c r="K73" s="10034"/>
      <c r="L73" s="10034"/>
      <c r="M73" s="10034"/>
      <c r="N73" s="5706"/>
      <c r="O73" s="892"/>
      <c r="P73" s="2250"/>
      <c r="Q73" s="461"/>
      <c r="R73" s="892"/>
      <c r="S73" s="11"/>
      <c r="T73" s="11"/>
      <c r="U73" s="11"/>
      <c r="V73" s="11"/>
      <c r="W73" s="1604"/>
      <c r="X73" s="2075"/>
      <c r="Y73" s="892"/>
      <c r="Z73" s="10061" t="s">
        <v>4873</v>
      </c>
      <c r="AA73" s="892"/>
      <c r="AB73" s="10061" t="s">
        <v>4874</v>
      </c>
      <c r="AC73" s="892"/>
      <c r="AD73" s="10061" t="s">
        <v>4875</v>
      </c>
      <c r="AE73" s="892"/>
      <c r="AF73" s="2080"/>
      <c r="AG73" s="2081"/>
      <c r="AH73" s="892"/>
      <c r="AI73" s="1009"/>
      <c r="AJ73" s="1009"/>
      <c r="AK73" s="1009"/>
      <c r="AL73" s="1009"/>
    </row>
    <row r="74" spans="1:46" ht="12" customHeight="1">
      <c r="A74" s="66"/>
      <c r="B74" s="1850"/>
      <c r="C74" s="10024" t="s">
        <v>4877</v>
      </c>
      <c r="D74" s="10024"/>
      <c r="E74" s="10025"/>
      <c r="F74" s="10025"/>
      <c r="G74" s="10025"/>
      <c r="H74" s="10025"/>
      <c r="I74" s="10025"/>
      <c r="J74" s="10025"/>
      <c r="K74" s="10025"/>
      <c r="L74" s="10025"/>
      <c r="M74" s="10025"/>
      <c r="N74" s="5706"/>
      <c r="O74" s="892"/>
      <c r="P74" s="2327">
        <f>SUM(P76,P78)</f>
        <v>0</v>
      </c>
      <c r="Q74" s="2791" t="b">
        <f>(P74=1)</f>
        <v>0</v>
      </c>
      <c r="R74" s="892"/>
      <c r="S74" s="904"/>
      <c r="T74" s="904"/>
      <c r="U74" s="904"/>
      <c r="V74" s="904"/>
      <c r="W74" s="1604"/>
      <c r="X74" s="3168"/>
      <c r="Y74" s="892"/>
      <c r="Z74" s="10062"/>
      <c r="AA74" s="892"/>
      <c r="AB74" s="10062"/>
      <c r="AC74" s="892"/>
      <c r="AD74" s="10062"/>
      <c r="AE74" s="892"/>
      <c r="AF74" s="2080"/>
      <c r="AG74" s="2081"/>
      <c r="AH74" s="892"/>
      <c r="AI74" s="1009"/>
      <c r="AJ74" s="1009"/>
      <c r="AK74" s="1009"/>
      <c r="AL74" s="1009"/>
    </row>
    <row r="75" spans="1:46" ht="3.75" customHeight="1">
      <c r="A75" s="66"/>
      <c r="B75" s="1851"/>
      <c r="C75" s="1852"/>
      <c r="D75" s="1852"/>
      <c r="E75" s="1853"/>
      <c r="F75" s="1853"/>
      <c r="G75" s="1853"/>
      <c r="H75" s="1853"/>
      <c r="I75" s="1853"/>
      <c r="J75" s="1853"/>
      <c r="K75" s="1853"/>
      <c r="L75" s="1853"/>
      <c r="M75" s="1853"/>
      <c r="N75" s="5706"/>
      <c r="O75" s="892"/>
      <c r="P75" s="2253"/>
      <c r="Q75" s="461"/>
      <c r="R75" s="892"/>
      <c r="S75" s="904"/>
      <c r="T75" s="904"/>
      <c r="U75" s="904"/>
      <c r="V75" s="904"/>
      <c r="W75" s="1604"/>
      <c r="X75" s="3168"/>
      <c r="Y75" s="892"/>
      <c r="Z75" s="10062"/>
      <c r="AA75" s="892"/>
      <c r="AB75" s="10062"/>
      <c r="AC75" s="892"/>
      <c r="AD75" s="10062"/>
      <c r="AE75" s="892"/>
      <c r="AF75" s="2080"/>
      <c r="AG75" s="2081"/>
      <c r="AH75" s="892"/>
      <c r="AI75" s="1009"/>
      <c r="AJ75" s="1009"/>
      <c r="AK75" s="1009"/>
      <c r="AL75" s="1009"/>
    </row>
    <row r="76" spans="1:46" ht="12" customHeight="1">
      <c r="A76" s="66"/>
      <c r="B76" s="124">
        <v>1</v>
      </c>
      <c r="C76" s="190" t="str">
        <f>"Check the box to indicate your coverage under a high-deductible health plan (HDHP) during "&amp;TaxYear</f>
        <v>Check the box to indicate your coverage under a high-deductible health plan (HDHP) during 2023</v>
      </c>
      <c r="D76" s="190"/>
      <c r="E76" s="159"/>
      <c r="F76" s="159"/>
      <c r="G76" s="160"/>
      <c r="H76" s="160"/>
      <c r="I76" s="160"/>
      <c r="J76" s="160"/>
      <c r="K76" s="124"/>
      <c r="L76" s="1856"/>
      <c r="M76" s="1854" t="s">
        <v>4878</v>
      </c>
      <c r="N76" s="449"/>
      <c r="O76" s="1604"/>
      <c r="P76" s="2328">
        <f>IF(L76&lt;&gt;"",1,0)</f>
        <v>0</v>
      </c>
      <c r="Q76" s="10047" t="str">
        <f>IF(P74=0,"Check one box.",IF(P74=2,"Check only one box.",""))</f>
        <v>Check one box.</v>
      </c>
      <c r="R76" s="1604"/>
      <c r="S76" s="904"/>
      <c r="T76" s="904"/>
      <c r="U76" s="904"/>
      <c r="V76" s="904"/>
      <c r="W76" s="1604"/>
      <c r="X76" s="3168"/>
      <c r="Y76" s="892"/>
      <c r="Z76" s="10062"/>
      <c r="AA76" s="892"/>
      <c r="AB76" s="10062"/>
      <c r="AC76" s="892"/>
      <c r="AD76" s="10062"/>
      <c r="AE76" s="892"/>
      <c r="AF76" s="2080"/>
      <c r="AG76" s="2081"/>
      <c r="AH76" s="892"/>
      <c r="AI76" s="1009"/>
      <c r="AJ76" s="1009"/>
      <c r="AK76" s="1009"/>
      <c r="AL76" s="1009"/>
    </row>
    <row r="77" spans="1:46" ht="6" customHeight="1">
      <c r="A77" s="66"/>
      <c r="B77" s="124"/>
      <c r="C77" s="10082" t="s">
        <v>810</v>
      </c>
      <c r="D77" s="6751"/>
      <c r="E77" s="6751"/>
      <c r="F77" s="1855"/>
      <c r="G77" s="1855"/>
      <c r="H77" s="1855"/>
      <c r="I77" s="1855"/>
      <c r="J77" s="1855"/>
      <c r="K77" s="1855"/>
      <c r="L77" s="124"/>
      <c r="M77" s="302"/>
      <c r="N77" s="449"/>
      <c r="O77" s="1604"/>
      <c r="P77" s="2328"/>
      <c r="Q77" s="10048"/>
      <c r="R77" s="1604"/>
      <c r="S77" s="183"/>
      <c r="T77" s="183"/>
      <c r="U77" s="183"/>
      <c r="V77" s="183"/>
      <c r="W77" s="1604"/>
      <c r="X77" s="2076"/>
      <c r="Y77" s="892"/>
      <c r="Z77" s="10062"/>
      <c r="AA77" s="892"/>
      <c r="AB77" s="10062"/>
      <c r="AC77" s="892"/>
      <c r="AD77" s="10062"/>
      <c r="AE77" s="892"/>
      <c r="AF77" s="2080"/>
      <c r="AG77" s="2081"/>
      <c r="AH77" s="892"/>
      <c r="AI77" s="1009"/>
      <c r="AJ77" s="1009"/>
      <c r="AK77" s="1009"/>
      <c r="AL77" s="1009"/>
    </row>
    <row r="78" spans="1:46" s="672" customFormat="1" ht="12" customHeight="1">
      <c r="A78" s="66"/>
      <c r="B78" s="124"/>
      <c r="C78" s="6751"/>
      <c r="D78" s="6751"/>
      <c r="E78" s="6751"/>
      <c r="F78" s="1855"/>
      <c r="G78" s="1855"/>
      <c r="H78" s="1855"/>
      <c r="I78" s="1855"/>
      <c r="J78" s="1855"/>
      <c r="K78" s="1869" t="s">
        <v>4946</v>
      </c>
      <c r="L78" s="1856"/>
      <c r="M78" s="1854" t="s">
        <v>4879</v>
      </c>
      <c r="N78" s="449"/>
      <c r="O78" s="1604"/>
      <c r="P78" s="2328">
        <f>IF(L78&lt;&gt;"",1,0)</f>
        <v>0</v>
      </c>
      <c r="Q78" s="10048"/>
      <c r="R78" s="1604"/>
      <c r="S78" s="183"/>
      <c r="T78" s="183"/>
      <c r="U78" s="183"/>
      <c r="V78" s="183"/>
      <c r="W78" s="1604"/>
      <c r="X78" s="2076"/>
      <c r="Y78" s="892"/>
      <c r="Z78" s="10062"/>
      <c r="AA78" s="892"/>
      <c r="AB78" s="10062"/>
      <c r="AC78" s="892"/>
      <c r="AD78" s="10062"/>
      <c r="AE78" s="892"/>
      <c r="AF78" s="2080"/>
      <c r="AG78" s="2081"/>
      <c r="AH78" s="892"/>
      <c r="AI78" s="1006"/>
      <c r="AJ78" s="1006"/>
      <c r="AK78" s="1006"/>
      <c r="AL78" s="1006"/>
      <c r="AM78" s="2038"/>
      <c r="AN78" s="2038"/>
      <c r="AO78" s="2038"/>
      <c r="AP78" s="2038"/>
      <c r="AQ78" s="2038"/>
      <c r="AR78" s="2038"/>
      <c r="AS78" s="2038"/>
      <c r="AT78" s="2038"/>
    </row>
    <row r="79" spans="1:46" s="672" customFormat="1" ht="5.25" customHeight="1">
      <c r="A79" s="66"/>
      <c r="B79" s="124"/>
      <c r="C79" s="407"/>
      <c r="D79" s="407"/>
      <c r="E79" s="407"/>
      <c r="F79" s="1855"/>
      <c r="G79" s="1855"/>
      <c r="H79" s="1855"/>
      <c r="I79" s="1855"/>
      <c r="J79" s="1855"/>
      <c r="K79" s="954"/>
      <c r="L79" s="1857"/>
      <c r="M79" s="1854"/>
      <c r="N79" s="449"/>
      <c r="O79" s="1604"/>
      <c r="P79" s="2326"/>
      <c r="Q79" s="388"/>
      <c r="R79" s="1604"/>
      <c r="S79" s="183"/>
      <c r="T79" s="183"/>
      <c r="U79" s="183"/>
      <c r="V79" s="183"/>
      <c r="W79" s="1604"/>
      <c r="X79" s="2076"/>
      <c r="Y79" s="892"/>
      <c r="Z79" s="10062"/>
      <c r="AA79" s="892"/>
      <c r="AB79" s="10062"/>
      <c r="AC79" s="892"/>
      <c r="AD79" s="10062"/>
      <c r="AE79" s="892"/>
      <c r="AF79" s="2080"/>
      <c r="AG79" s="2081"/>
      <c r="AH79" s="892"/>
      <c r="AI79" s="1006"/>
      <c r="AJ79" s="1006"/>
      <c r="AK79" s="1006"/>
      <c r="AL79" s="1006"/>
      <c r="AM79" s="2038"/>
      <c r="AN79" s="2038"/>
      <c r="AO79" s="2038"/>
      <c r="AP79" s="2038"/>
      <c r="AQ79" s="2038"/>
      <c r="AR79" s="2038"/>
      <c r="AS79" s="2038"/>
      <c r="AT79" s="2038"/>
    </row>
    <row r="80" spans="1:46" s="672" customFormat="1" ht="12" customHeight="1">
      <c r="A80" s="66"/>
      <c r="B80" s="124">
        <v>2</v>
      </c>
      <c r="C80" s="190" t="str">
        <f>"HSA contributions you made for "&amp;TaxYear&amp;" (or those made on your behalf), including those made"</f>
        <v>HSA contributions you made for 2023 (or those made on your behalf), including those made</v>
      </c>
      <c r="D80" s="190"/>
      <c r="E80" s="159"/>
      <c r="F80" s="159"/>
      <c r="G80" s="160"/>
      <c r="H80" s="160"/>
      <c r="I80" s="160"/>
      <c r="J80" s="160"/>
      <c r="K80" s="124"/>
      <c r="L80" s="573"/>
      <c r="M80" s="5723"/>
      <c r="N80" s="449"/>
      <c r="O80" s="1604"/>
      <c r="P80" s="2326"/>
      <c r="Q80" s="388"/>
      <c r="R80" s="1604"/>
      <c r="S80" s="183" t="s">
        <v>858</v>
      </c>
      <c r="T80" s="183"/>
      <c r="U80" s="183" t="s">
        <v>4883</v>
      </c>
      <c r="V80" s="183" t="s">
        <v>3774</v>
      </c>
      <c r="W80" s="1604"/>
      <c r="X80" s="2076"/>
      <c r="Y80" s="892"/>
      <c r="Z80" s="10062"/>
      <c r="AA80" s="892"/>
      <c r="AB80" s="10062"/>
      <c r="AC80" s="892"/>
      <c r="AD80" s="10062"/>
      <c r="AE80" s="892"/>
      <c r="AF80" s="2080"/>
      <c r="AG80" s="2081"/>
      <c r="AH80" s="892"/>
      <c r="AI80" s="1006"/>
      <c r="AJ80" s="1006"/>
      <c r="AK80" s="1006"/>
      <c r="AL80" s="1006"/>
      <c r="AM80" s="2038"/>
      <c r="AN80" s="2038"/>
      <c r="AO80" s="2038"/>
      <c r="AP80" s="2038"/>
      <c r="AQ80" s="2038"/>
      <c r="AR80" s="2038"/>
      <c r="AS80" s="2038"/>
      <c r="AT80" s="2038"/>
    </row>
    <row r="81" spans="1:46" s="672" customFormat="1">
      <c r="A81" s="66"/>
      <c r="B81" s="124"/>
      <c r="C81" s="190" t="str">
        <f>"from  January  1, "&amp;TaxYear+1&amp;",  through  April 15, "&amp;TaxYear+1&amp;"  that  were  for  "&amp;TaxYear&amp;"."</f>
        <v>from  January  1, 2024,  through  April 15, 2024  that  were  for  2023.</v>
      </c>
      <c r="D81" s="267"/>
      <c r="E81" s="159"/>
      <c r="F81" s="159"/>
      <c r="G81" s="160"/>
      <c r="H81" s="190"/>
      <c r="I81" s="190" t="s">
        <v>4947</v>
      </c>
      <c r="J81" s="160"/>
      <c r="K81" s="160"/>
      <c r="L81" s="396"/>
      <c r="M81" s="5720"/>
      <c r="N81" s="5707"/>
      <c r="O81" s="814"/>
      <c r="P81" s="2257"/>
      <c r="Q81" s="388"/>
      <c r="R81" s="814"/>
      <c r="S81" s="2767" t="s">
        <v>4884</v>
      </c>
      <c r="T81" s="3523" t="s">
        <v>399</v>
      </c>
      <c r="U81" s="2768">
        <f t="shared" ref="U81:V83" si="7">U22</f>
        <v>3850</v>
      </c>
      <c r="V81" s="2768">
        <f t="shared" si="7"/>
        <v>7750</v>
      </c>
      <c r="W81" s="1604"/>
      <c r="X81" s="2076"/>
      <c r="Y81" s="892"/>
      <c r="Z81" s="10062"/>
      <c r="AA81" s="892"/>
      <c r="AB81" s="10062"/>
      <c r="AC81" s="892"/>
      <c r="AD81" s="10062"/>
      <c r="AE81" s="892"/>
      <c r="AF81" s="2080"/>
      <c r="AG81" s="2081"/>
      <c r="AH81" s="892"/>
      <c r="AI81" s="1006"/>
      <c r="AJ81" s="1006"/>
      <c r="AK81" s="1006"/>
      <c r="AL81" s="1006"/>
      <c r="AM81" s="2038"/>
      <c r="AN81" s="2038"/>
      <c r="AO81" s="2038"/>
      <c r="AP81" s="2038"/>
      <c r="AQ81" s="2038"/>
      <c r="AR81" s="2038"/>
      <c r="AS81" s="2038"/>
      <c r="AT81" s="2038"/>
    </row>
    <row r="82" spans="1:46" s="672" customFormat="1" ht="12" customHeight="1">
      <c r="A82" s="66"/>
      <c r="B82" s="124"/>
      <c r="C82" s="190" t="s">
        <v>4948</v>
      </c>
      <c r="D82" s="267"/>
      <c r="E82" s="159"/>
      <c r="F82" s="159"/>
      <c r="G82" s="160"/>
      <c r="H82" s="124"/>
      <c r="I82" s="124"/>
      <c r="J82" s="124"/>
      <c r="K82" s="124" t="s">
        <v>654</v>
      </c>
      <c r="L82" s="228">
        <f>B80</f>
        <v>2</v>
      </c>
      <c r="M82" s="976"/>
      <c r="N82" s="5707"/>
      <c r="O82" s="814"/>
      <c r="P82" s="2257"/>
      <c r="Q82" s="388"/>
      <c r="R82" s="814"/>
      <c r="S82" s="2767" t="s">
        <v>4888</v>
      </c>
      <c r="T82" s="3523" t="s">
        <v>4889</v>
      </c>
      <c r="U82" s="2768">
        <f t="shared" si="7"/>
        <v>4850</v>
      </c>
      <c r="V82" s="2768">
        <f t="shared" si="7"/>
        <v>8750</v>
      </c>
      <c r="W82" s="1604"/>
      <c r="X82" s="2077"/>
      <c r="Y82" s="892"/>
      <c r="Z82" s="10062"/>
      <c r="AA82" s="892"/>
      <c r="AB82" s="10062"/>
      <c r="AC82" s="892"/>
      <c r="AD82" s="10062"/>
      <c r="AE82" s="892"/>
      <c r="AF82" s="2080"/>
      <c r="AG82" s="2081"/>
      <c r="AH82" s="892"/>
      <c r="AI82" s="1009"/>
      <c r="AJ82" s="2087" t="s">
        <v>605</v>
      </c>
      <c r="AK82" s="1006"/>
      <c r="AL82" s="1006"/>
      <c r="AM82" s="2038"/>
      <c r="AN82" s="2038"/>
      <c r="AO82" s="2038"/>
      <c r="AP82" s="2038"/>
      <c r="AQ82" s="2038"/>
      <c r="AR82" s="2038"/>
      <c r="AS82" s="2038"/>
      <c r="AT82" s="2038"/>
    </row>
    <row r="83" spans="1:46" ht="12" customHeight="1">
      <c r="A83" s="66"/>
      <c r="B83" s="124">
        <v>3</v>
      </c>
      <c r="C83" s="190" t="str">
        <f>"If  you  were under  age "&amp;P83&amp;" at the  end of  "&amp;TaxYear&amp;", and  on  the first day of"</f>
        <v>If  you  were under  age 55 at the  end of  2023, and  on  the first day of</v>
      </c>
      <c r="D83" s="190"/>
      <c r="E83" s="159"/>
      <c r="F83" s="159"/>
      <c r="G83" s="160"/>
      <c r="H83" s="1866"/>
      <c r="I83" s="1866" t="s">
        <v>4949</v>
      </c>
      <c r="J83" s="380" t="str">
        <f>"month during "&amp;TaxYear&amp;", you"</f>
        <v>month during 2023, you</v>
      </c>
      <c r="K83" s="190"/>
      <c r="L83" s="1859"/>
      <c r="M83" s="1863"/>
      <c r="N83" s="449"/>
      <c r="O83" s="1604"/>
      <c r="P83" s="2135">
        <f>P22</f>
        <v>55</v>
      </c>
      <c r="Q83" s="388"/>
      <c r="R83" s="1604"/>
      <c r="S83" s="2767" t="s">
        <v>4888</v>
      </c>
      <c r="T83" s="2767" t="s">
        <v>4892</v>
      </c>
      <c r="U83" s="2768">
        <f t="shared" si="7"/>
        <v>4850</v>
      </c>
      <c r="V83" s="2768">
        <f t="shared" si="7"/>
        <v>7750</v>
      </c>
      <c r="W83" s="1604"/>
      <c r="X83" s="2078">
        <f>TaxYear</f>
        <v>2023</v>
      </c>
      <c r="Y83" s="892"/>
      <c r="Z83" s="10062"/>
      <c r="AA83" s="892"/>
      <c r="AB83" s="10062"/>
      <c r="AC83" s="892"/>
      <c r="AD83" s="10062"/>
      <c r="AE83" s="892"/>
      <c r="AF83" s="2080"/>
      <c r="AG83" s="2081"/>
      <c r="AH83" s="892"/>
      <c r="AI83" s="2087" t="s">
        <v>4883</v>
      </c>
      <c r="AJ83" s="2087" t="s">
        <v>3774</v>
      </c>
      <c r="AK83" s="1009"/>
      <c r="AL83" s="1009"/>
    </row>
    <row r="84" spans="1:46" ht="12" customHeight="1">
      <c r="A84" s="66"/>
      <c r="B84" s="124"/>
      <c r="C84" s="190" t="s">
        <v>4887</v>
      </c>
      <c r="D84" s="267"/>
      <c r="E84" s="159"/>
      <c r="F84" s="159"/>
      <c r="G84" s="160"/>
      <c r="H84" s="160"/>
      <c r="I84" s="160"/>
      <c r="J84" s="190"/>
      <c r="K84" s="3946" t="str">
        <f>"enter "&amp;TEXT($U$22,"$0,000")&amp;" ("&amp;TEXT($V$22,"$0,000")&amp;" for"</f>
        <v>enter $3,850 ($7,750 for</v>
      </c>
      <c r="L84" s="396"/>
      <c r="M84" s="1864"/>
      <c r="N84" s="5707"/>
      <c r="O84" s="814"/>
      <c r="P84" s="2257"/>
      <c r="Q84" s="388"/>
      <c r="R84" s="814"/>
      <c r="S84" s="2767" t="str">
        <f>SpouseAge</f>
        <v>?</v>
      </c>
      <c r="T84" s="2768" t="str">
        <f>IF($S$84&lt;$P$83,T81,IF($AI$98,T82,T83))</f>
        <v>Single*</v>
      </c>
      <c r="U84" s="2768">
        <f>IF($S$84&lt;$P$83,U81,IF($AI$98,U82,U83))</f>
        <v>4850</v>
      </c>
      <c r="V84" s="2768">
        <f>IF($S$84&lt;$P$83,V81,IF($AI$98,V82,V83))</f>
        <v>8750</v>
      </c>
      <c r="W84" s="1604"/>
      <c r="X84" s="2079" t="s">
        <v>4885</v>
      </c>
      <c r="Y84" s="892"/>
      <c r="Z84" s="2083" t="s">
        <v>328</v>
      </c>
      <c r="AA84" s="892"/>
      <c r="AB84" s="2083" t="s">
        <v>4886</v>
      </c>
      <c r="AC84" s="892"/>
      <c r="AD84" s="2083" t="str">
        <f>IF(L78&lt;&gt;"","F","S")</f>
        <v>S</v>
      </c>
      <c r="AE84" s="892"/>
      <c r="AF84" s="2080">
        <f>IF(OR(Z84="Y",Z84="y"),0,IF(OR(AB84="N",AB84="n"),0,IF(AND(OR(AD84="F",AD84="f")),$V$84,$U$84)))</f>
        <v>4850</v>
      </c>
      <c r="AG84" s="2081"/>
      <c r="AH84" s="892"/>
      <c r="AI84" s="1006">
        <f t="shared" ref="AI84:AI95" si="8">IF(AD84="S",1,0)</f>
        <v>1</v>
      </c>
      <c r="AJ84" s="1006">
        <f t="shared" ref="AJ84:AJ95" si="9">IF(AND(OR(AB84="y",AB84="Y"),OR(AD84="f",AD84="F")),1,0)</f>
        <v>0</v>
      </c>
      <c r="AK84" s="1009"/>
      <c r="AL84" s="1009"/>
    </row>
    <row r="85" spans="1:46" s="672" customFormat="1" ht="12" customHeight="1">
      <c r="A85" s="66"/>
      <c r="B85" s="124"/>
      <c r="C85" s="190" t="s">
        <v>4950</v>
      </c>
      <c r="D85" s="267"/>
      <c r="E85" s="159"/>
      <c r="F85" s="190"/>
      <c r="G85" s="160"/>
      <c r="H85" s="124"/>
      <c r="I85" s="124"/>
      <c r="J85" s="124"/>
      <c r="K85" s="124" t="s">
        <v>709</v>
      </c>
      <c r="L85" s="228">
        <f>B83</f>
        <v>3</v>
      </c>
      <c r="M85" s="1982" t="str">
        <f>IF(Q85&lt;&gt;"",ROUND(Q85,0),IF(OR(NOT(Q74),M82=""),"",AF97))</f>
        <v/>
      </c>
      <c r="N85" s="5707"/>
      <c r="O85" s="814"/>
      <c r="P85" s="2257"/>
      <c r="Q85" s="300"/>
      <c r="R85" s="814"/>
      <c r="S85" s="462" t="s">
        <v>4895</v>
      </c>
      <c r="T85" s="183"/>
      <c r="U85" s="183"/>
      <c r="V85" s="183"/>
      <c r="W85" s="1604"/>
      <c r="X85" s="2079" t="s">
        <v>4890</v>
      </c>
      <c r="Y85" s="892"/>
      <c r="Z85" s="2083" t="str">
        <f>Z84</f>
        <v>N</v>
      </c>
      <c r="AA85" s="892"/>
      <c r="AB85" s="2083" t="str">
        <f>AB84</f>
        <v>Y</v>
      </c>
      <c r="AC85" s="892"/>
      <c r="AD85" s="2083" t="str">
        <f>AD84</f>
        <v>S</v>
      </c>
      <c r="AE85" s="892"/>
      <c r="AF85" s="2080">
        <f t="shared" ref="AF85:AF95" si="10">IF(OR(Z85="Y",Z85="y"),0,IF(OR(AB85="N",AB85="n"),0,IF(AND(OR(AD85="F",AD85="f")),$V$84,$U$84)))</f>
        <v>4850</v>
      </c>
      <c r="AG85" s="2081"/>
      <c r="AH85" s="892"/>
      <c r="AI85" s="1006">
        <f t="shared" si="8"/>
        <v>1</v>
      </c>
      <c r="AJ85" s="1006">
        <f t="shared" si="9"/>
        <v>0</v>
      </c>
      <c r="AK85" s="1006"/>
      <c r="AL85" s="1006"/>
      <c r="AM85" s="2038"/>
      <c r="AN85" s="2038"/>
      <c r="AO85" s="2038"/>
      <c r="AP85" s="2038"/>
      <c r="AQ85" s="2038"/>
      <c r="AR85" s="2038"/>
      <c r="AS85" s="2038"/>
      <c r="AT85" s="2038"/>
    </row>
    <row r="86" spans="1:46" ht="12" customHeight="1">
      <c r="A86" s="66"/>
      <c r="B86" s="124">
        <v>4</v>
      </c>
      <c r="C86" s="190" t="str">
        <f>"Enter the amount you and your employer contributed to your Archer MSAs for "&amp;TaxYear&amp;" from Form 8853,"</f>
        <v>Enter the amount you and your employer contributed to your Archer MSAs for 2023 from Form 8853,</v>
      </c>
      <c r="D86" s="190"/>
      <c r="E86" s="159"/>
      <c r="F86" s="159"/>
      <c r="G86" s="160"/>
      <c r="H86" s="160"/>
      <c r="I86" s="160"/>
      <c r="J86" s="160"/>
      <c r="K86" s="124"/>
      <c r="L86" s="1859"/>
      <c r="M86" s="5723"/>
      <c r="N86" s="449"/>
      <c r="O86" s="1604"/>
      <c r="P86" s="2326"/>
      <c r="Q86" s="388"/>
      <c r="R86" s="1604"/>
      <c r="S86" s="183"/>
      <c r="T86" s="183"/>
      <c r="U86" s="183"/>
      <c r="V86" s="183"/>
      <c r="W86" s="1604"/>
      <c r="X86" s="2079" t="s">
        <v>4893</v>
      </c>
      <c r="Y86" s="892"/>
      <c r="Z86" s="2083" t="str">
        <f t="shared" ref="Z86:Z95" si="11">Z85</f>
        <v>N</v>
      </c>
      <c r="AA86" s="892"/>
      <c r="AB86" s="2083" t="str">
        <f t="shared" ref="AB86:AB95" si="12">AB85</f>
        <v>Y</v>
      </c>
      <c r="AC86" s="892"/>
      <c r="AD86" s="2083" t="str">
        <f t="shared" ref="AD86:AD95" si="13">AD85</f>
        <v>S</v>
      </c>
      <c r="AE86" s="892"/>
      <c r="AF86" s="2080">
        <f t="shared" si="10"/>
        <v>4850</v>
      </c>
      <c r="AG86" s="2081"/>
      <c r="AH86" s="892"/>
      <c r="AI86" s="1006">
        <f t="shared" si="8"/>
        <v>1</v>
      </c>
      <c r="AJ86" s="1006">
        <f t="shared" si="9"/>
        <v>0</v>
      </c>
      <c r="AK86" s="1009"/>
      <c r="AL86" s="1009"/>
    </row>
    <row r="87" spans="1:46" ht="12" customHeight="1">
      <c r="A87" s="66"/>
      <c r="B87" s="124"/>
      <c r="C87" s="190" t="str">
        <f>"lines 1 and 2. If you or your spouse had family coverage under an HDHP at any time during "&amp;TaxYear&amp;", also"</f>
        <v>lines 1 and 2. If you or your spouse had family coverage under an HDHP at any time during 2023, also</v>
      </c>
      <c r="D87" s="267"/>
      <c r="E87" s="159"/>
      <c r="F87" s="159"/>
      <c r="G87" s="160"/>
      <c r="H87" s="160"/>
      <c r="I87" s="160"/>
      <c r="J87" s="160"/>
      <c r="K87" s="160"/>
      <c r="L87" s="396"/>
      <c r="M87" s="5720"/>
      <c r="N87" s="5707"/>
      <c r="O87" s="814"/>
      <c r="P87" s="2257"/>
      <c r="Q87" s="388"/>
      <c r="R87" s="892"/>
      <c r="S87" s="183"/>
      <c r="T87" s="183"/>
      <c r="U87" s="183"/>
      <c r="V87" s="183"/>
      <c r="W87" s="1604"/>
      <c r="X87" s="2079" t="s">
        <v>4894</v>
      </c>
      <c r="Y87" s="892"/>
      <c r="Z87" s="2083" t="str">
        <f t="shared" si="11"/>
        <v>N</v>
      </c>
      <c r="AA87" s="892"/>
      <c r="AB87" s="2083" t="str">
        <f t="shared" si="12"/>
        <v>Y</v>
      </c>
      <c r="AC87" s="892"/>
      <c r="AD87" s="2083" t="str">
        <f t="shared" si="13"/>
        <v>S</v>
      </c>
      <c r="AE87" s="892"/>
      <c r="AF87" s="2080">
        <f t="shared" si="10"/>
        <v>4850</v>
      </c>
      <c r="AG87" s="2081"/>
      <c r="AH87" s="892"/>
      <c r="AI87" s="1006">
        <f t="shared" si="8"/>
        <v>1</v>
      </c>
      <c r="AJ87" s="1006">
        <f t="shared" si="9"/>
        <v>0</v>
      </c>
      <c r="AK87" s="1009"/>
      <c r="AL87" s="1009"/>
    </row>
    <row r="88" spans="1:46" s="672" customFormat="1" ht="12" customHeight="1" thickBot="1">
      <c r="A88" s="66"/>
      <c r="B88" s="124"/>
      <c r="C88" s="190" t="s">
        <v>4896</v>
      </c>
      <c r="D88" s="267"/>
      <c r="E88" s="159"/>
      <c r="F88" s="159"/>
      <c r="G88" s="160"/>
      <c r="H88" s="124"/>
      <c r="I88" s="124"/>
      <c r="J88" s="124"/>
      <c r="K88" s="124" t="s">
        <v>650</v>
      </c>
      <c r="L88" s="228">
        <f>B86</f>
        <v>4</v>
      </c>
      <c r="M88" s="976"/>
      <c r="N88" s="5707"/>
      <c r="O88" s="814"/>
      <c r="P88" s="2257"/>
      <c r="Q88" s="388"/>
      <c r="R88" s="1604"/>
      <c r="S88" s="183"/>
      <c r="T88" s="183"/>
      <c r="U88" s="10011" t="s">
        <v>4901</v>
      </c>
      <c r="V88" s="10011"/>
      <c r="W88" s="1604"/>
      <c r="X88" s="2079" t="s">
        <v>778</v>
      </c>
      <c r="Y88" s="892"/>
      <c r="Z88" s="2083" t="str">
        <f t="shared" si="11"/>
        <v>N</v>
      </c>
      <c r="AA88" s="892"/>
      <c r="AB88" s="2083" t="str">
        <f t="shared" si="12"/>
        <v>Y</v>
      </c>
      <c r="AC88" s="892"/>
      <c r="AD88" s="2083" t="str">
        <f t="shared" si="13"/>
        <v>S</v>
      </c>
      <c r="AE88" s="892"/>
      <c r="AF88" s="2080">
        <f t="shared" si="10"/>
        <v>4850</v>
      </c>
      <c r="AG88" s="2081"/>
      <c r="AH88" s="892"/>
      <c r="AI88" s="1006">
        <f t="shared" si="8"/>
        <v>1</v>
      </c>
      <c r="AJ88" s="1006">
        <f t="shared" si="9"/>
        <v>0</v>
      </c>
      <c r="AK88" s="1006"/>
      <c r="AL88" s="1006"/>
      <c r="AM88" s="2038"/>
      <c r="AN88" s="2038"/>
      <c r="AO88" s="2038"/>
      <c r="AP88" s="2038"/>
      <c r="AQ88" s="2038"/>
      <c r="AR88" s="2038"/>
      <c r="AS88" s="2038"/>
      <c r="AT88" s="2038"/>
    </row>
    <row r="89" spans="1:46" ht="12" customHeight="1" thickBot="1">
      <c r="A89" s="66"/>
      <c r="B89" s="124">
        <v>5</v>
      </c>
      <c r="C89" s="190" t="s">
        <v>2605</v>
      </c>
      <c r="D89" s="190"/>
      <c r="E89" s="159"/>
      <c r="F89" s="159"/>
      <c r="G89" s="160"/>
      <c r="H89" s="160"/>
      <c r="I89" s="160"/>
      <c r="J89" s="160"/>
      <c r="K89" s="859" t="s">
        <v>670</v>
      </c>
      <c r="L89" s="228">
        <f>B89</f>
        <v>5</v>
      </c>
      <c r="M89" s="975">
        <f>MAX(0,SUM(M85,-M88))</f>
        <v>0</v>
      </c>
      <c r="N89" s="5707"/>
      <c r="O89" s="1604"/>
      <c r="P89" s="2257"/>
      <c r="Q89" s="388"/>
      <c r="R89" s="1604"/>
      <c r="S89" s="2784" t="s">
        <v>606</v>
      </c>
      <c r="T89" s="183"/>
      <c r="U89" s="2787">
        <f>$Z$40/100</f>
        <v>0.5</v>
      </c>
      <c r="V89" s="2783">
        <f>$AB$40/100</f>
        <v>0.5</v>
      </c>
      <c r="W89" s="1604"/>
      <c r="X89" s="2079" t="s">
        <v>4897</v>
      </c>
      <c r="Y89" s="892"/>
      <c r="Z89" s="2083" t="str">
        <f t="shared" si="11"/>
        <v>N</v>
      </c>
      <c r="AA89" s="892"/>
      <c r="AB89" s="2083" t="str">
        <f t="shared" si="12"/>
        <v>Y</v>
      </c>
      <c r="AC89" s="892"/>
      <c r="AD89" s="2083" t="str">
        <f t="shared" si="13"/>
        <v>S</v>
      </c>
      <c r="AE89" s="892"/>
      <c r="AF89" s="2080">
        <f t="shared" si="10"/>
        <v>4850</v>
      </c>
      <c r="AG89" s="2081"/>
      <c r="AH89" s="892"/>
      <c r="AI89" s="1006">
        <f t="shared" si="8"/>
        <v>1</v>
      </c>
      <c r="AJ89" s="1006">
        <f t="shared" si="9"/>
        <v>0</v>
      </c>
      <c r="AK89" s="1009"/>
      <c r="AL89" s="1009"/>
    </row>
    <row r="90" spans="1:46" ht="12" customHeight="1">
      <c r="A90" s="66"/>
      <c r="B90" s="124">
        <v>6</v>
      </c>
      <c r="C90" s="190" t="s">
        <v>4951</v>
      </c>
      <c r="D90" s="190"/>
      <c r="E90" s="159"/>
      <c r="F90" s="159"/>
      <c r="G90" s="160"/>
      <c r="H90" s="160"/>
      <c r="I90" s="160"/>
      <c r="J90" s="160"/>
      <c r="K90" s="124"/>
      <c r="L90" s="1859"/>
      <c r="M90" s="2323"/>
      <c r="N90" s="449"/>
      <c r="O90" s="1604"/>
      <c r="P90" s="2326"/>
      <c r="Q90" s="388"/>
      <c r="R90" s="814"/>
      <c r="S90" s="2781" t="s">
        <v>874</v>
      </c>
      <c r="T90" s="2781" t="s">
        <v>4904</v>
      </c>
      <c r="U90" s="2785" t="s">
        <v>605</v>
      </c>
      <c r="V90" s="2767" t="s">
        <v>606</v>
      </c>
      <c r="W90" s="1604"/>
      <c r="X90" s="2079" t="s">
        <v>4899</v>
      </c>
      <c r="Y90" s="892"/>
      <c r="Z90" s="2083" t="str">
        <f t="shared" si="11"/>
        <v>N</v>
      </c>
      <c r="AA90" s="892"/>
      <c r="AB90" s="2083" t="str">
        <f t="shared" si="12"/>
        <v>Y</v>
      </c>
      <c r="AC90" s="892"/>
      <c r="AD90" s="2083" t="str">
        <f t="shared" si="13"/>
        <v>S</v>
      </c>
      <c r="AE90" s="892"/>
      <c r="AF90" s="2080">
        <f t="shared" si="10"/>
        <v>4850</v>
      </c>
      <c r="AG90" s="2081"/>
      <c r="AH90" s="892"/>
      <c r="AI90" s="1006">
        <f t="shared" si="8"/>
        <v>1</v>
      </c>
      <c r="AJ90" s="1006">
        <f t="shared" si="9"/>
        <v>0</v>
      </c>
      <c r="AK90" s="1009"/>
      <c r="AL90" s="1009"/>
    </row>
    <row r="91" spans="1:46" ht="12.75" customHeight="1">
      <c r="A91" s="66"/>
      <c r="B91" s="124"/>
      <c r="C91" s="190" t="str">
        <f>"family coverage under an HDHP at any time during "&amp;TaxYear&amp;", see the instructions for the amount to"</f>
        <v>family coverage under an HDHP at any time during 2023, see the instructions for the amount to</v>
      </c>
      <c r="D91" s="267"/>
      <c r="E91" s="159"/>
      <c r="F91" s="159"/>
      <c r="G91" s="160"/>
      <c r="H91" s="160"/>
      <c r="I91" s="160"/>
      <c r="J91" s="160"/>
      <c r="K91" s="160"/>
      <c r="L91" s="396"/>
      <c r="M91" s="2324"/>
      <c r="N91" s="5707"/>
      <c r="O91" s="814"/>
      <c r="P91" s="2257"/>
      <c r="Q91" s="388"/>
      <c r="R91" s="814"/>
      <c r="S91" s="183" t="s">
        <v>4906</v>
      </c>
      <c r="T91" s="183" t="b">
        <f>AND($Q$7,$V$28,$AK$56=12)</f>
        <v>0</v>
      </c>
      <c r="U91" s="2786" t="str">
        <f>U31</f>
        <v>---</v>
      </c>
      <c r="V91" s="2780" t="str">
        <f>IF(T91,ROUND(M28*$AB$40/100,0),"---")</f>
        <v>---</v>
      </c>
      <c r="W91" s="1604"/>
      <c r="X91" s="2079" t="s">
        <v>4902</v>
      </c>
      <c r="Y91" s="892"/>
      <c r="Z91" s="2083" t="str">
        <f t="shared" si="11"/>
        <v>N</v>
      </c>
      <c r="AA91" s="892"/>
      <c r="AB91" s="2083" t="str">
        <f t="shared" si="12"/>
        <v>Y</v>
      </c>
      <c r="AC91" s="892"/>
      <c r="AD91" s="2083" t="str">
        <f t="shared" si="13"/>
        <v>S</v>
      </c>
      <c r="AE91" s="892"/>
      <c r="AF91" s="2080">
        <f t="shared" si="10"/>
        <v>4850</v>
      </c>
      <c r="AG91" s="2081"/>
      <c r="AH91" s="892"/>
      <c r="AI91" s="1006">
        <f t="shared" si="8"/>
        <v>1</v>
      </c>
      <c r="AJ91" s="1006">
        <f t="shared" si="9"/>
        <v>0</v>
      </c>
      <c r="AK91" s="1009"/>
      <c r="AL91" s="1009"/>
    </row>
    <row r="92" spans="1:46" s="672" customFormat="1" ht="12" customHeight="1">
      <c r="A92" s="66"/>
      <c r="B92" s="124"/>
      <c r="C92" s="190" t="s">
        <v>4952</v>
      </c>
      <c r="D92" s="267"/>
      <c r="E92" s="159"/>
      <c r="F92" s="159"/>
      <c r="G92" s="160"/>
      <c r="H92" s="124"/>
      <c r="I92" s="124"/>
      <c r="J92" s="124"/>
      <c r="K92" s="859" t="s">
        <v>2170</v>
      </c>
      <c r="L92" s="228">
        <f>B90</f>
        <v>6</v>
      </c>
      <c r="M92" s="975" t="str">
        <f>IF(Q92&lt;&gt;"",ROUND(Q92,0),IF(OR(AND(M82="",100=""),NOT(Q74)),"",IF(T91,V91,IF(T92,V92,M89))))</f>
        <v/>
      </c>
      <c r="N92" s="5707"/>
      <c r="O92" s="814"/>
      <c r="P92" s="2257"/>
      <c r="Q92" s="300"/>
      <c r="R92" s="814"/>
      <c r="S92" s="183" t="s">
        <v>4908</v>
      </c>
      <c r="T92" s="183" t="b">
        <f>AND($Q$7,$V$28,$AK$56&gt;0,$AK$56&lt;12)</f>
        <v>0</v>
      </c>
      <c r="U92" s="2786" t="str">
        <f>U32</f>
        <v>---</v>
      </c>
      <c r="V92" s="2780" t="str">
        <f>IF(T92,ROUND(V97,0),"---")</f>
        <v>---</v>
      </c>
      <c r="W92" s="1604"/>
      <c r="X92" s="2079" t="s">
        <v>4905</v>
      </c>
      <c r="Y92" s="892"/>
      <c r="Z92" s="2083" t="str">
        <f t="shared" si="11"/>
        <v>N</v>
      </c>
      <c r="AA92" s="892"/>
      <c r="AB92" s="2083" t="str">
        <f t="shared" si="12"/>
        <v>Y</v>
      </c>
      <c r="AC92" s="892"/>
      <c r="AD92" s="2083" t="str">
        <f t="shared" si="13"/>
        <v>S</v>
      </c>
      <c r="AE92" s="892"/>
      <c r="AF92" s="2080">
        <f t="shared" si="10"/>
        <v>4850</v>
      </c>
      <c r="AG92" s="2081"/>
      <c r="AH92" s="892"/>
      <c r="AI92" s="1006">
        <f t="shared" si="8"/>
        <v>1</v>
      </c>
      <c r="AJ92" s="1006">
        <f t="shared" si="9"/>
        <v>0</v>
      </c>
      <c r="AK92" s="1006"/>
      <c r="AL92" s="1006"/>
      <c r="AM92" s="2038"/>
      <c r="AN92" s="2038"/>
      <c r="AO92" s="2038"/>
      <c r="AP92" s="2038"/>
      <c r="AQ92" s="2038"/>
      <c r="AR92" s="2038"/>
      <c r="AS92" s="2038"/>
      <c r="AT92" s="2038"/>
    </row>
    <row r="93" spans="1:46" ht="12" customHeight="1">
      <c r="A93" s="66"/>
      <c r="B93" s="124">
        <v>7</v>
      </c>
      <c r="C93" s="267" t="str">
        <f>"If you were age 55 or older at the end of "&amp;TaxYear&amp;", married, and you or your spouse had family coverage"</f>
        <v>If you were age 55 or older at the end of 2023, married, and you or your spouse had family coverage</v>
      </c>
      <c r="D93" s="190"/>
      <c r="E93" s="159"/>
      <c r="F93" s="159"/>
      <c r="G93" s="160"/>
      <c r="H93" s="160"/>
      <c r="I93" s="160"/>
      <c r="J93" s="160"/>
      <c r="K93" s="124"/>
      <c r="L93" s="1859"/>
      <c r="M93" s="5723"/>
      <c r="N93" s="449"/>
      <c r="O93" s="1604"/>
      <c r="P93" s="2326"/>
      <c r="Q93" s="388"/>
      <c r="R93" s="1604"/>
      <c r="S93" s="1446">
        <f>S33</f>
        <v>1000</v>
      </c>
      <c r="T93" s="183"/>
      <c r="U93" s="183"/>
      <c r="V93" s="183"/>
      <c r="W93" s="1604"/>
      <c r="X93" s="2079" t="s">
        <v>4907</v>
      </c>
      <c r="Y93" s="892"/>
      <c r="Z93" s="2083" t="str">
        <f t="shared" si="11"/>
        <v>N</v>
      </c>
      <c r="AA93" s="892"/>
      <c r="AB93" s="2083" t="str">
        <f t="shared" si="12"/>
        <v>Y</v>
      </c>
      <c r="AC93" s="892"/>
      <c r="AD93" s="2083" t="str">
        <f t="shared" si="13"/>
        <v>S</v>
      </c>
      <c r="AE93" s="892"/>
      <c r="AF93" s="2080">
        <f t="shared" si="10"/>
        <v>4850</v>
      </c>
      <c r="AG93" s="2081"/>
      <c r="AH93" s="892"/>
      <c r="AI93" s="1006">
        <f t="shared" si="8"/>
        <v>1</v>
      </c>
      <c r="AJ93" s="1006">
        <f t="shared" si="9"/>
        <v>0</v>
      </c>
      <c r="AK93" s="1009"/>
      <c r="AL93" s="1009"/>
    </row>
    <row r="94" spans="1:46" ht="12" customHeight="1">
      <c r="A94" s="66"/>
      <c r="B94" s="124"/>
      <c r="C94" s="267" t="str">
        <f>"under an HDHP at any time during "&amp;TaxYear&amp;", enter your additional contribution amount. See instructions"</f>
        <v>under an HDHP at any time during 2023, enter your additional contribution amount. See instructions</v>
      </c>
      <c r="D94" s="267"/>
      <c r="E94" s="159"/>
      <c r="F94" s="159"/>
      <c r="G94" s="160"/>
      <c r="H94" s="124"/>
      <c r="I94" s="124"/>
      <c r="J94" s="124"/>
      <c r="K94" s="859"/>
      <c r="L94" s="228">
        <f>B93</f>
        <v>7</v>
      </c>
      <c r="M94" s="975" t="str">
        <f>IF(Q94&lt;&gt;"",ROUND(Q94,0),IF(AND(Q74,OR(AJ35,AJ97),AJ98),ROUND((S93*AJ96)/12,0),""))</f>
        <v/>
      </c>
      <c r="N94" s="5707"/>
      <c r="O94" s="814"/>
      <c r="P94" s="2257"/>
      <c r="Q94" s="300"/>
      <c r="R94" s="814"/>
      <c r="S94" s="183" t="s">
        <v>1803</v>
      </c>
      <c r="T94" s="1446"/>
      <c r="U94" s="3654">
        <f>U34</f>
        <v>0</v>
      </c>
      <c r="V94" s="3655">
        <f>SUM(AJ57,-M88)</f>
        <v>0</v>
      </c>
      <c r="W94" s="1604"/>
      <c r="X94" s="2079" t="s">
        <v>4909</v>
      </c>
      <c r="Y94" s="892"/>
      <c r="Z94" s="2083" t="str">
        <f t="shared" si="11"/>
        <v>N</v>
      </c>
      <c r="AA94" s="892"/>
      <c r="AB94" s="2083" t="str">
        <f t="shared" si="12"/>
        <v>Y</v>
      </c>
      <c r="AC94" s="892"/>
      <c r="AD94" s="2083" t="str">
        <f t="shared" si="13"/>
        <v>S</v>
      </c>
      <c r="AE94" s="892"/>
      <c r="AF94" s="2080">
        <f t="shared" si="10"/>
        <v>4850</v>
      </c>
      <c r="AG94" s="2081"/>
      <c r="AH94" s="892"/>
      <c r="AI94" s="1006">
        <f t="shared" si="8"/>
        <v>1</v>
      </c>
      <c r="AJ94" s="1006">
        <f t="shared" si="9"/>
        <v>0</v>
      </c>
      <c r="AK94" s="1009"/>
      <c r="AL94" s="1009"/>
    </row>
    <row r="95" spans="1:46" s="672" customFormat="1" ht="12" customHeight="1" thickBot="1">
      <c r="A95" s="66"/>
      <c r="B95" s="124">
        <v>8</v>
      </c>
      <c r="C95" s="190" t="s">
        <v>4911</v>
      </c>
      <c r="D95" s="190"/>
      <c r="E95" s="159"/>
      <c r="F95" s="159"/>
      <c r="G95" s="160"/>
      <c r="H95" s="160"/>
      <c r="I95" s="160"/>
      <c r="J95" s="160"/>
      <c r="K95" s="859" t="s">
        <v>2170</v>
      </c>
      <c r="L95" s="228">
        <f>B95</f>
        <v>8</v>
      </c>
      <c r="M95" s="975">
        <f>SUM(M92,M94)</f>
        <v>0</v>
      </c>
      <c r="N95" s="5707"/>
      <c r="O95" s="1604"/>
      <c r="P95" s="2257"/>
      <c r="Q95" s="691"/>
      <c r="R95" s="1604"/>
      <c r="S95" s="183" t="s">
        <v>1822</v>
      </c>
      <c r="T95" s="183"/>
      <c r="U95" s="3654">
        <f>U35</f>
        <v>0</v>
      </c>
      <c r="V95" s="3655">
        <f>V94*AB40/100</f>
        <v>0</v>
      </c>
      <c r="W95" s="1604"/>
      <c r="X95" s="2079" t="s">
        <v>4910</v>
      </c>
      <c r="Y95" s="892"/>
      <c r="Z95" s="2083" t="str">
        <f t="shared" si="11"/>
        <v>N</v>
      </c>
      <c r="AA95" s="892"/>
      <c r="AB95" s="2083" t="str">
        <f t="shared" si="12"/>
        <v>Y</v>
      </c>
      <c r="AC95" s="892"/>
      <c r="AD95" s="2083" t="str">
        <f t="shared" si="13"/>
        <v>S</v>
      </c>
      <c r="AE95" s="892"/>
      <c r="AF95" s="2082">
        <f t="shared" si="10"/>
        <v>4850</v>
      </c>
      <c r="AG95" s="2081"/>
      <c r="AH95" s="892"/>
      <c r="AI95" s="2311">
        <f t="shared" si="8"/>
        <v>1</v>
      </c>
      <c r="AJ95" s="2311">
        <f t="shared" si="9"/>
        <v>0</v>
      </c>
      <c r="AK95" s="1006"/>
      <c r="AL95" s="1006"/>
      <c r="AM95" s="2038"/>
      <c r="AN95" s="2038"/>
      <c r="AO95" s="2038"/>
      <c r="AP95" s="2038"/>
      <c r="AQ95" s="2038"/>
      <c r="AR95" s="2038"/>
      <c r="AS95" s="2038"/>
      <c r="AT95" s="2038"/>
    </row>
    <row r="96" spans="1:46" ht="12" customHeight="1" thickTop="1">
      <c r="A96" s="66"/>
      <c r="B96" s="124">
        <v>9</v>
      </c>
      <c r="C96" s="190" t="str">
        <f>"Employer contributions made to your HSAs for "&amp;TaxYear</f>
        <v>Employer contributions made to your HSAs for 2023</v>
      </c>
      <c r="D96" s="267"/>
      <c r="E96" s="159"/>
      <c r="F96" s="159"/>
      <c r="G96" s="992"/>
      <c r="H96" s="124"/>
      <c r="I96" s="124" t="s">
        <v>782</v>
      </c>
      <c r="J96" s="228">
        <f>B96</f>
        <v>9</v>
      </c>
      <c r="K96" s="976"/>
      <c r="L96" s="1860"/>
      <c r="M96" s="1027" t="str">
        <f>IF(File_Marr_Joint&lt;&gt;"",G94,IF(File_Marr_Sep&lt;&gt;"",G95,IF(OR(File_Single&lt;&gt;"",File_Head&lt;&gt;"",File_Qual_Widow&lt;&gt;""),G96,"---")))</f>
        <v>---</v>
      </c>
      <c r="N96" s="5707"/>
      <c r="O96" s="814"/>
      <c r="P96" s="2257"/>
      <c r="Q96" s="691"/>
      <c r="R96" s="814"/>
      <c r="S96" s="183" t="s">
        <v>4915</v>
      </c>
      <c r="T96" s="183"/>
      <c r="U96" s="3654">
        <f>U36</f>
        <v>0</v>
      </c>
      <c r="V96" s="3655">
        <f>SUM(V94,-U95)</f>
        <v>0</v>
      </c>
      <c r="W96" s="1604"/>
      <c r="X96" s="10058" t="s">
        <v>4912</v>
      </c>
      <c r="Y96" s="10059"/>
      <c r="Z96" s="10060"/>
      <c r="AA96" s="10060"/>
      <c r="AB96" s="10060"/>
      <c r="AC96" s="10060"/>
      <c r="AD96" s="10060"/>
      <c r="AE96" s="10060"/>
      <c r="AF96" s="2080">
        <f>SUM(AF84:AF95)</f>
        <v>58200</v>
      </c>
      <c r="AG96" s="2081"/>
      <c r="AH96" s="892"/>
      <c r="AI96" s="1006">
        <f>SUM(AI84:AI95)</f>
        <v>12</v>
      </c>
      <c r="AJ96" s="1006">
        <f>SUM(AJ84:AJ95)</f>
        <v>0</v>
      </c>
      <c r="AK96" s="1009"/>
      <c r="AL96" s="1009"/>
    </row>
    <row r="97" spans="1:46" ht="12" customHeight="1">
      <c r="A97" s="66"/>
      <c r="B97" s="124">
        <v>10</v>
      </c>
      <c r="C97" s="190" t="s">
        <v>4914</v>
      </c>
      <c r="D97" s="267"/>
      <c r="E97" s="159"/>
      <c r="F97" s="159"/>
      <c r="G97" s="992"/>
      <c r="H97" s="124"/>
      <c r="I97" s="124" t="s">
        <v>4953</v>
      </c>
      <c r="J97" s="228">
        <f>B97</f>
        <v>10</v>
      </c>
      <c r="K97" s="976"/>
      <c r="L97" s="1860"/>
      <c r="M97" s="1027" t="str">
        <f>IF(File_Marr_Joint&lt;&gt;"",G95,IF(File_Marr_Sep&lt;&gt;"",G96,IF(OR(File_Single&lt;&gt;"",File_Head&lt;&gt;"",File_Qual_Widow&lt;&gt;""),G97,"---")))</f>
        <v>---</v>
      </c>
      <c r="N97" s="5707"/>
      <c r="O97" s="814"/>
      <c r="P97" s="2257"/>
      <c r="Q97" s="691"/>
      <c r="R97" s="814"/>
      <c r="S97" s="183" t="s">
        <v>4917</v>
      </c>
      <c r="T97" s="183"/>
      <c r="U97" s="3654">
        <f>U37</f>
        <v>0</v>
      </c>
      <c r="V97" s="3655">
        <f>V96</f>
        <v>0</v>
      </c>
      <c r="W97" s="1604"/>
      <c r="X97" s="894"/>
      <c r="Y97" s="808"/>
      <c r="Z97" s="808"/>
      <c r="AA97" s="808"/>
      <c r="AB97" s="808"/>
      <c r="AC97" s="808"/>
      <c r="AD97" s="808"/>
      <c r="AE97" s="2777" t="s">
        <v>4913</v>
      </c>
      <c r="AF97" s="2080">
        <f>ROUND(AF96/12,0)</f>
        <v>4850</v>
      </c>
      <c r="AG97" s="2081"/>
      <c r="AH97" s="892"/>
      <c r="AI97" s="1006" t="b">
        <f>(AI96=12)</f>
        <v>1</v>
      </c>
      <c r="AJ97" s="1006" t="b">
        <f>AND(AJ96&gt;0,AJ96&lt;12)</f>
        <v>0</v>
      </c>
      <c r="AK97" s="1009"/>
      <c r="AL97" s="1009"/>
    </row>
    <row r="98" spans="1:46" ht="12.75" customHeight="1" thickBot="1">
      <c r="A98" s="66"/>
      <c r="B98" s="124">
        <v>11</v>
      </c>
      <c r="C98" s="190" t="s">
        <v>3238</v>
      </c>
      <c r="D98" s="190"/>
      <c r="E98" s="159"/>
      <c r="F98" s="159"/>
      <c r="G98" s="160"/>
      <c r="H98" s="160"/>
      <c r="I98" s="160"/>
      <c r="J98" s="160"/>
      <c r="K98" s="859" t="s">
        <v>4954</v>
      </c>
      <c r="L98" s="228">
        <f>B98</f>
        <v>11</v>
      </c>
      <c r="M98" s="975">
        <f>SUM(K96,K97)</f>
        <v>0</v>
      </c>
      <c r="N98" s="5707"/>
      <c r="O98" s="1604"/>
      <c r="P98" s="2257"/>
      <c r="Q98" s="691"/>
      <c r="R98" s="1604"/>
      <c r="S98" s="183"/>
      <c r="T98" s="183"/>
      <c r="U98" s="183"/>
      <c r="V98" s="183"/>
      <c r="W98" s="2070"/>
      <c r="X98" s="2775"/>
      <c r="Y98" s="1644"/>
      <c r="Z98" s="2769"/>
      <c r="AA98" s="1644"/>
      <c r="AB98" s="2769"/>
      <c r="AC98" s="1644"/>
      <c r="AD98" s="2769"/>
      <c r="AE98" s="1644"/>
      <c r="AF98" s="2776"/>
      <c r="AG98" s="1645"/>
      <c r="AH98" s="1009"/>
      <c r="AI98" s="1006" t="b">
        <f>AND(YourAge&gt;=P83,OR(AND(File_Marr_Joint&lt;&gt;"",AI97),File_Marr_Joint=""))</f>
        <v>1</v>
      </c>
      <c r="AJ98" s="1006" t="b">
        <f>AND(SpouseAge&gt;=P83,File_Marr_Joint&lt;&gt;"")</f>
        <v>0</v>
      </c>
      <c r="AK98" s="1009"/>
      <c r="AL98" s="1009"/>
    </row>
    <row r="99" spans="1:46" ht="12" customHeight="1" thickBot="1">
      <c r="A99" s="66"/>
      <c r="B99" s="124">
        <v>12</v>
      </c>
      <c r="C99" s="190" t="s">
        <v>4918</v>
      </c>
      <c r="D99" s="190"/>
      <c r="E99" s="159"/>
      <c r="F99" s="159"/>
      <c r="G99" s="160"/>
      <c r="H99" s="160"/>
      <c r="I99" s="160"/>
      <c r="J99" s="160"/>
      <c r="K99" s="859" t="s">
        <v>4547</v>
      </c>
      <c r="L99" s="228">
        <f>B99</f>
        <v>12</v>
      </c>
      <c r="M99" s="975">
        <f>MAX(0,SUM(M95,-M98))</f>
        <v>0</v>
      </c>
      <c r="N99" s="5707"/>
      <c r="O99" s="1604"/>
      <c r="P99" s="2257"/>
      <c r="Q99" s="691"/>
      <c r="R99" s="1604"/>
      <c r="S99" s="183"/>
      <c r="T99" s="183"/>
      <c r="U99" s="183"/>
      <c r="V99" s="183"/>
      <c r="W99" s="2070"/>
      <c r="X99" s="814"/>
      <c r="Y99" s="1009"/>
      <c r="Z99" s="2087"/>
      <c r="AA99" s="1009"/>
      <c r="AB99" s="2087"/>
      <c r="AC99" s="1009"/>
      <c r="AD99" s="2087"/>
      <c r="AE99" s="1009"/>
      <c r="AF99" s="2088"/>
      <c r="AG99" s="1009"/>
      <c r="AH99" s="1009"/>
      <c r="AI99" s="1009"/>
      <c r="AJ99" s="1009"/>
      <c r="AK99" s="1009"/>
      <c r="AL99" s="1009"/>
    </row>
    <row r="100" spans="1:46" ht="12" customHeight="1">
      <c r="A100" s="66"/>
      <c r="B100" s="124">
        <v>13</v>
      </c>
      <c r="C100" s="190" t="s">
        <v>4919</v>
      </c>
      <c r="D100" s="267"/>
      <c r="E100" s="159"/>
      <c r="F100" s="159"/>
      <c r="G100" s="160"/>
      <c r="H100" s="160"/>
      <c r="I100" s="160"/>
      <c r="J100" s="160"/>
      <c r="K100" s="859"/>
      <c r="L100" s="396">
        <f>B100</f>
        <v>13</v>
      </c>
      <c r="M100" s="977">
        <f>IF(Q100&lt;&gt;"",ROUND(Q100,0),IF(M82="",0,IF(Q74,MIN(M82,M99),"")))</f>
        <v>0</v>
      </c>
      <c r="N100" s="5707"/>
      <c r="O100" s="1604"/>
      <c r="P100" s="590"/>
      <c r="Q100" s="300"/>
      <c r="R100" s="1604"/>
      <c r="S100" s="183"/>
      <c r="T100" s="183"/>
      <c r="U100" s="183"/>
      <c r="V100" s="183"/>
      <c r="W100" s="1579"/>
      <c r="X100" s="10049" t="s">
        <v>4955</v>
      </c>
      <c r="Y100" s="10050"/>
      <c r="Z100" s="10050"/>
      <c r="AA100" s="10050"/>
      <c r="AB100" s="10050"/>
      <c r="AC100" s="10050"/>
      <c r="AD100" s="10050"/>
      <c r="AE100" s="10050"/>
      <c r="AF100" s="10050"/>
      <c r="AG100" s="10051"/>
      <c r="AH100" s="1009"/>
      <c r="AI100" s="1009"/>
      <c r="AJ100" s="1009"/>
      <c r="AK100" s="1009"/>
      <c r="AL100" s="1009"/>
    </row>
    <row r="101" spans="1:46" ht="12.75" customHeight="1">
      <c r="A101" s="66"/>
      <c r="B101" s="124"/>
      <c r="C101" s="190" t="s">
        <v>4920</v>
      </c>
      <c r="D101" s="267"/>
      <c r="E101" s="159"/>
      <c r="F101" s="159"/>
      <c r="G101" s="160"/>
      <c r="H101" s="160"/>
      <c r="I101" s="160"/>
      <c r="J101" s="160"/>
      <c r="K101" s="859"/>
      <c r="L101" s="1861"/>
      <c r="M101" s="2773" t="b">
        <f>IF(NOT(Q74),FALSE,IF(M82&gt;M100,TRUE,FALSE))</f>
        <v>0</v>
      </c>
      <c r="N101" s="5707"/>
      <c r="O101" s="3108"/>
      <c r="P101" s="1867"/>
      <c r="Q101" s="1868"/>
      <c r="R101" s="1604"/>
      <c r="S101" s="183"/>
      <c r="T101" s="183"/>
      <c r="U101" s="183"/>
      <c r="V101" s="183"/>
      <c r="W101" s="1604"/>
      <c r="X101" s="2078">
        <f>TaxYear</f>
        <v>2023</v>
      </c>
      <c r="Y101" s="1009"/>
      <c r="Z101" s="2087"/>
      <c r="AA101" s="1009"/>
      <c r="AB101" s="2087"/>
      <c r="AC101" s="1009"/>
      <c r="AD101" s="2087"/>
      <c r="AE101" s="1009"/>
      <c r="AF101" s="2088"/>
      <c r="AG101" s="1011"/>
      <c r="AH101" s="1009"/>
      <c r="AI101" s="2087" t="s">
        <v>4883</v>
      </c>
      <c r="AJ101" s="2087" t="s">
        <v>3774</v>
      </c>
      <c r="AK101" s="2087" t="s">
        <v>3774</v>
      </c>
      <c r="AL101" s="2087"/>
    </row>
    <row r="102" spans="1:46" s="672" customFormat="1" ht="12" customHeight="1">
      <c r="A102" s="66"/>
      <c r="B102" s="3853" t="s">
        <v>982</v>
      </c>
      <c r="C102" s="10069" t="s">
        <v>5627</v>
      </c>
      <c r="D102" s="10069"/>
      <c r="E102" s="10069"/>
      <c r="F102" s="10069"/>
      <c r="G102" s="10069"/>
      <c r="H102" s="10069"/>
      <c r="I102" s="10069"/>
      <c r="J102" s="10069"/>
      <c r="K102" s="10069"/>
      <c r="L102" s="10069"/>
      <c r="M102" s="10069"/>
      <c r="N102" s="5706"/>
      <c r="O102" s="2772" t="str">
        <f>IF(M101,"Check here","")</f>
        <v/>
      </c>
      <c r="P102" s="2250"/>
      <c r="Q102" s="1868"/>
      <c r="R102" s="1604"/>
      <c r="S102" s="2093"/>
      <c r="T102" s="2093"/>
      <c r="U102" s="2093"/>
      <c r="V102" s="2093"/>
      <c r="W102" s="1604"/>
      <c r="X102" s="2079" t="s">
        <v>4885</v>
      </c>
      <c r="Y102" s="1009"/>
      <c r="Z102" s="2087"/>
      <c r="AA102" s="2087"/>
      <c r="AB102" s="2087"/>
      <c r="AC102" s="1009"/>
      <c r="AD102" s="2770" t="str">
        <f>IF(OR(AD84="f",AD84="F"),"F","S")</f>
        <v>S</v>
      </c>
      <c r="AE102" s="1009"/>
      <c r="AF102" s="2080">
        <f>MAX(0,SUM(AF84,-$M$88))</f>
        <v>4850</v>
      </c>
      <c r="AG102" s="2081"/>
      <c r="AH102" s="892"/>
      <c r="AI102" s="2080">
        <f>IF(AD102="S",1,0)</f>
        <v>1</v>
      </c>
      <c r="AJ102" s="2080">
        <f>IF(AND(Z102&lt;&gt;"Y",LEFT(AD102,1)="F"),AF102,0)</f>
        <v>0</v>
      </c>
      <c r="AK102" s="1006">
        <f>MIN(1,SUM(AJ102,AJ172))</f>
        <v>0</v>
      </c>
      <c r="AL102" s="1006"/>
      <c r="AM102" s="2038"/>
      <c r="AN102" s="2038"/>
      <c r="AO102" s="2038"/>
      <c r="AP102" s="2038"/>
      <c r="AQ102" s="2038"/>
      <c r="AR102" s="2038"/>
      <c r="AS102" s="2038"/>
      <c r="AT102" s="2038"/>
    </row>
    <row r="103" spans="1:46" s="672" customFormat="1" ht="9.75" customHeight="1">
      <c r="A103" s="66"/>
      <c r="B103" s="5983"/>
      <c r="C103" s="10070"/>
      <c r="D103" s="10070"/>
      <c r="E103" s="10070"/>
      <c r="F103" s="10070"/>
      <c r="G103" s="10070"/>
      <c r="H103" s="10070"/>
      <c r="I103" s="10070"/>
      <c r="J103" s="10070"/>
      <c r="K103" s="10070"/>
      <c r="L103" s="10070"/>
      <c r="M103" s="10070"/>
      <c r="N103" s="5706"/>
      <c r="O103" s="2772"/>
      <c r="P103" s="2250"/>
      <c r="Q103" s="1868"/>
      <c r="R103" s="1604"/>
      <c r="S103" s="2093"/>
      <c r="T103" s="2093"/>
      <c r="U103" s="2093"/>
      <c r="V103" s="2093"/>
      <c r="W103" s="1604"/>
      <c r="X103" s="2079"/>
      <c r="Y103" s="1009"/>
      <c r="Z103" s="2087"/>
      <c r="AA103" s="2087"/>
      <c r="AB103" s="2087"/>
      <c r="AC103" s="1009"/>
      <c r="AD103" s="2770"/>
      <c r="AE103" s="1009"/>
      <c r="AF103" s="2080"/>
      <c r="AG103" s="2081"/>
      <c r="AH103" s="892"/>
      <c r="AI103" s="2080"/>
      <c r="AJ103" s="2080"/>
      <c r="AK103" s="1006"/>
      <c r="AL103" s="1006"/>
      <c r="AM103" s="2038"/>
      <c r="AN103" s="2038"/>
      <c r="AO103" s="2038"/>
      <c r="AP103" s="2038"/>
      <c r="AQ103" s="2038"/>
      <c r="AR103" s="2038"/>
      <c r="AS103" s="2038"/>
      <c r="AT103" s="2038"/>
    </row>
    <row r="104" spans="1:46" ht="9.75" customHeight="1" thickBot="1">
      <c r="A104" s="66"/>
      <c r="B104" s="1862"/>
      <c r="C104" s="10071"/>
      <c r="D104" s="10071"/>
      <c r="E104" s="10071"/>
      <c r="F104" s="10071"/>
      <c r="G104" s="10071"/>
      <c r="H104" s="10071"/>
      <c r="I104" s="10071"/>
      <c r="J104" s="10071"/>
      <c r="K104" s="10071"/>
      <c r="L104" s="10071"/>
      <c r="M104" s="10071"/>
      <c r="N104" s="5706"/>
      <c r="O104" s="2772" t="str">
        <f>IF(M101,"to remove","")</f>
        <v/>
      </c>
      <c r="P104" s="1858"/>
      <c r="Q104" s="461"/>
      <c r="R104" s="1604"/>
      <c r="S104" s="183"/>
      <c r="T104" s="183"/>
      <c r="U104" s="183"/>
      <c r="V104" s="183"/>
      <c r="W104" s="2070"/>
      <c r="X104" s="4577"/>
      <c r="Y104" s="1644"/>
      <c r="Z104" s="4578"/>
      <c r="AA104" s="1644"/>
      <c r="AB104" s="4578"/>
      <c r="AC104" s="1644"/>
      <c r="AD104" s="2769"/>
      <c r="AE104" s="1644"/>
      <c r="AF104" s="2776"/>
      <c r="AG104" s="1645"/>
      <c r="AH104" s="1009"/>
      <c r="AI104" s="1009"/>
      <c r="AJ104" s="1009"/>
      <c r="AK104" s="1009"/>
      <c r="AL104" s="1009"/>
    </row>
    <row r="105" spans="1:46">
      <c r="A105" s="66"/>
      <c r="B105" s="124" t="s">
        <v>3421</v>
      </c>
      <c r="C105" s="190" t="str">
        <f>"Total distributions you received in "&amp;TaxYear&amp;" from all HSAs (see instructions)"</f>
        <v>Total distributions you received in 2023 from all HSAs (see instructions)</v>
      </c>
      <c r="D105" s="190"/>
      <c r="E105" s="159"/>
      <c r="F105" s="159"/>
      <c r="G105" s="160"/>
      <c r="H105" s="160"/>
      <c r="I105" s="160"/>
      <c r="J105" s="160"/>
      <c r="K105" s="859" t="s">
        <v>4921</v>
      </c>
      <c r="L105" s="171" t="str">
        <f>B105</f>
        <v>14a</v>
      </c>
      <c r="M105" s="976"/>
      <c r="N105" s="5707"/>
      <c r="O105" s="2772" t="str">
        <f>IF(M101,"emphasis.","")</f>
        <v/>
      </c>
      <c r="P105" s="2257"/>
      <c r="Q105" s="691"/>
      <c r="R105" s="1604"/>
      <c r="S105" s="183"/>
      <c r="T105" s="183"/>
      <c r="U105" s="183"/>
      <c r="V105" s="183"/>
      <c r="W105" s="1604"/>
      <c r="X105" s="4569"/>
      <c r="Y105" s="1002"/>
      <c r="Z105" s="4570"/>
      <c r="AA105" s="1002"/>
      <c r="AB105" s="4570"/>
      <c r="AC105" s="1002"/>
      <c r="AD105" s="4571"/>
      <c r="AE105" s="1002"/>
      <c r="AF105" s="4572"/>
      <c r="AG105" s="1002"/>
      <c r="AH105" s="1009"/>
      <c r="AI105" s="1009"/>
      <c r="AJ105" s="1009"/>
      <c r="AK105" s="1009"/>
      <c r="AL105" s="1009"/>
    </row>
    <row r="106" spans="1:46">
      <c r="A106" s="66"/>
      <c r="B106" s="124" t="s">
        <v>644</v>
      </c>
      <c r="C106" s="267" t="s">
        <v>4922</v>
      </c>
      <c r="D106" s="190"/>
      <c r="E106" s="159"/>
      <c r="F106" s="159"/>
      <c r="G106" s="160"/>
      <c r="H106" s="160"/>
      <c r="I106" s="160"/>
      <c r="J106" s="160"/>
      <c r="K106" s="124"/>
      <c r="L106" s="573"/>
      <c r="M106" s="5723"/>
      <c r="N106" s="449"/>
      <c r="O106" s="1604"/>
      <c r="P106" s="2326"/>
      <c r="Q106" s="388"/>
      <c r="R106" s="1604"/>
      <c r="S106" s="904"/>
      <c r="T106" s="904"/>
      <c r="U106" s="904"/>
      <c r="V106" s="904"/>
      <c r="W106" s="1604"/>
      <c r="X106" s="2079" t="s">
        <v>4894</v>
      </c>
      <c r="Y106" s="1009"/>
      <c r="Z106" s="2087"/>
      <c r="AA106" s="2087"/>
      <c r="AB106" s="2087"/>
      <c r="AC106" s="1009"/>
      <c r="AD106" s="2770" t="str">
        <f t="shared" ref="AD106:AD114" si="14">IF(OR(AD87="f",AD87="F"),"F","S")</f>
        <v>S</v>
      </c>
      <c r="AE106" s="1009"/>
      <c r="AF106" s="2080">
        <f t="shared" ref="AF106:AF114" si="15">MAX(0,SUM(AF87,-$M$88))</f>
        <v>4850</v>
      </c>
      <c r="AG106" s="2081"/>
      <c r="AH106" s="892"/>
      <c r="AI106" s="2080">
        <f>IF(AD106="S",AF106,0)</f>
        <v>4850</v>
      </c>
      <c r="AJ106" s="2080">
        <f t="shared" ref="AJ106:AJ114" si="16">IF(AND(Z106&lt;&gt;"Y",LEFT(AD106,1)="F"),AF106,0)</f>
        <v>0</v>
      </c>
      <c r="AK106" s="1006">
        <f t="shared" ref="AK106:AK114" si="17">MIN(1,SUM(AJ106,AJ175))</f>
        <v>0</v>
      </c>
      <c r="AL106" s="1006"/>
    </row>
    <row r="107" spans="1:46" ht="12" customHeight="1">
      <c r="A107" s="66"/>
      <c r="B107" s="124"/>
      <c r="C107" s="267" t="s">
        <v>4923</v>
      </c>
      <c r="D107" s="267"/>
      <c r="E107" s="159"/>
      <c r="F107" s="159"/>
      <c r="G107" s="160"/>
      <c r="H107" s="160"/>
      <c r="I107" s="160"/>
      <c r="J107" s="160"/>
      <c r="K107" s="160"/>
      <c r="L107" s="155"/>
      <c r="M107" s="5720"/>
      <c r="N107" s="5707"/>
      <c r="O107" s="814"/>
      <c r="P107" s="2257"/>
      <c r="Q107" s="388"/>
      <c r="R107" s="814"/>
      <c r="S107" s="183"/>
      <c r="T107" s="183"/>
      <c r="U107" s="183"/>
      <c r="V107" s="183"/>
      <c r="W107" s="1604"/>
      <c r="X107" s="2079" t="s">
        <v>778</v>
      </c>
      <c r="Y107" s="1009"/>
      <c r="Z107" s="2087"/>
      <c r="AA107" s="2087"/>
      <c r="AB107" s="2087"/>
      <c r="AC107" s="1009"/>
      <c r="AD107" s="2770" t="str">
        <f t="shared" si="14"/>
        <v>S</v>
      </c>
      <c r="AE107" s="1009"/>
      <c r="AF107" s="2080">
        <f t="shared" si="15"/>
        <v>4850</v>
      </c>
      <c r="AG107" s="2081"/>
      <c r="AH107" s="892"/>
      <c r="AI107" s="2080">
        <f t="shared" ref="AI107:AI114" si="18">IF(AD107="S",AF107,0)</f>
        <v>4850</v>
      </c>
      <c r="AJ107" s="2080">
        <f t="shared" si="16"/>
        <v>0</v>
      </c>
      <c r="AK107" s="1006">
        <f t="shared" si="17"/>
        <v>0</v>
      </c>
      <c r="AL107" s="1006"/>
    </row>
    <row r="108" spans="1:46" ht="12.75" customHeight="1">
      <c r="A108" s="66"/>
      <c r="B108" s="124"/>
      <c r="C108" s="267" t="s">
        <v>4924</v>
      </c>
      <c r="D108" s="267"/>
      <c r="E108" s="159"/>
      <c r="F108" s="159"/>
      <c r="G108" s="160"/>
      <c r="H108" s="124"/>
      <c r="I108" s="124"/>
      <c r="J108" s="124"/>
      <c r="K108" s="859" t="s">
        <v>4925</v>
      </c>
      <c r="L108" s="171" t="s">
        <v>3422</v>
      </c>
      <c r="M108" s="976"/>
      <c r="N108" s="5707"/>
      <c r="O108" s="814"/>
      <c r="P108" s="2257"/>
      <c r="Q108" s="388"/>
      <c r="R108" s="814"/>
      <c r="S108" s="183"/>
      <c r="T108" s="183"/>
      <c r="U108" s="183"/>
      <c r="V108" s="183"/>
      <c r="W108" s="1604"/>
      <c r="X108" s="2079" t="s">
        <v>4897</v>
      </c>
      <c r="Y108" s="1009"/>
      <c r="Z108" s="2087"/>
      <c r="AA108" s="2087"/>
      <c r="AB108" s="2087"/>
      <c r="AC108" s="1009"/>
      <c r="AD108" s="2770" t="str">
        <f t="shared" si="14"/>
        <v>S</v>
      </c>
      <c r="AE108" s="1009"/>
      <c r="AF108" s="2080">
        <f t="shared" si="15"/>
        <v>4850</v>
      </c>
      <c r="AG108" s="2081"/>
      <c r="AH108" s="892"/>
      <c r="AI108" s="2080">
        <f t="shared" si="18"/>
        <v>4850</v>
      </c>
      <c r="AJ108" s="2080">
        <f t="shared" si="16"/>
        <v>0</v>
      </c>
      <c r="AK108" s="1006">
        <f t="shared" si="17"/>
        <v>0</v>
      </c>
      <c r="AL108" s="1006"/>
    </row>
    <row r="109" spans="1:46" s="672" customFormat="1" ht="12" customHeight="1">
      <c r="A109" s="66"/>
      <c r="B109" s="124" t="s">
        <v>648</v>
      </c>
      <c r="C109" s="267" t="s">
        <v>4926</v>
      </c>
      <c r="D109" s="190"/>
      <c r="E109" s="159"/>
      <c r="F109" s="159"/>
      <c r="G109" s="160"/>
      <c r="H109" s="160"/>
      <c r="I109" s="160"/>
      <c r="J109" s="160"/>
      <c r="K109" s="859" t="s">
        <v>4927</v>
      </c>
      <c r="L109" s="171" t="s">
        <v>3423</v>
      </c>
      <c r="M109" s="975">
        <f>SUM(M105,-M108)</f>
        <v>0</v>
      </c>
      <c r="N109" s="5707"/>
      <c r="O109" s="1604"/>
      <c r="P109" s="2257"/>
      <c r="Q109" s="388"/>
      <c r="R109" s="1604"/>
      <c r="S109" s="183"/>
      <c r="T109" s="183"/>
      <c r="U109" s="183"/>
      <c r="V109" s="183"/>
      <c r="W109" s="1604"/>
      <c r="X109" s="2079" t="s">
        <v>4899</v>
      </c>
      <c r="Y109" s="1009"/>
      <c r="Z109" s="2087"/>
      <c r="AA109" s="2087"/>
      <c r="AB109" s="2087"/>
      <c r="AC109" s="1009"/>
      <c r="AD109" s="2770" t="str">
        <f t="shared" si="14"/>
        <v>S</v>
      </c>
      <c r="AE109" s="1009"/>
      <c r="AF109" s="2080">
        <f t="shared" si="15"/>
        <v>4850</v>
      </c>
      <c r="AG109" s="2081"/>
      <c r="AH109" s="892"/>
      <c r="AI109" s="2080">
        <f t="shared" si="18"/>
        <v>4850</v>
      </c>
      <c r="AJ109" s="2080">
        <f t="shared" si="16"/>
        <v>0</v>
      </c>
      <c r="AK109" s="1006">
        <f t="shared" si="17"/>
        <v>0</v>
      </c>
      <c r="AL109" s="1006"/>
      <c r="AM109" s="2038"/>
      <c r="AN109" s="2038"/>
      <c r="AO109" s="2038"/>
      <c r="AP109" s="2038"/>
      <c r="AQ109" s="2038"/>
      <c r="AR109" s="2038"/>
      <c r="AS109" s="2038"/>
      <c r="AT109" s="2038"/>
    </row>
    <row r="110" spans="1:46" ht="12" customHeight="1">
      <c r="A110" s="66"/>
      <c r="B110" s="124">
        <v>15</v>
      </c>
      <c r="C110" s="267" t="s">
        <v>4928</v>
      </c>
      <c r="D110" s="190"/>
      <c r="E110" s="159"/>
      <c r="F110" s="159"/>
      <c r="G110" s="160"/>
      <c r="H110" s="160"/>
      <c r="I110" s="160"/>
      <c r="J110" s="160"/>
      <c r="K110" s="859" t="s">
        <v>4929</v>
      </c>
      <c r="L110" s="228">
        <f>B110</f>
        <v>15</v>
      </c>
      <c r="M110" s="976"/>
      <c r="N110" s="5707"/>
      <c r="O110" s="1604"/>
      <c r="P110" s="2257"/>
      <c r="Q110" s="691"/>
      <c r="R110" s="1604"/>
      <c r="S110" s="183"/>
      <c r="T110" s="183"/>
      <c r="U110" s="183"/>
      <c r="V110" s="183"/>
      <c r="W110" s="1604"/>
      <c r="X110" s="2079" t="s">
        <v>4902</v>
      </c>
      <c r="Y110" s="1009"/>
      <c r="Z110" s="2087"/>
      <c r="AA110" s="2087"/>
      <c r="AB110" s="2087"/>
      <c r="AC110" s="1009"/>
      <c r="AD110" s="2770" t="str">
        <f t="shared" si="14"/>
        <v>S</v>
      </c>
      <c r="AE110" s="1009"/>
      <c r="AF110" s="2080">
        <f t="shared" si="15"/>
        <v>4850</v>
      </c>
      <c r="AG110" s="2081"/>
      <c r="AH110" s="892"/>
      <c r="AI110" s="2080">
        <f t="shared" si="18"/>
        <v>4850</v>
      </c>
      <c r="AJ110" s="2080">
        <f t="shared" si="16"/>
        <v>0</v>
      </c>
      <c r="AK110" s="1006">
        <f t="shared" si="17"/>
        <v>0</v>
      </c>
      <c r="AL110" s="1006"/>
    </row>
    <row r="111" spans="1:46" ht="12" customHeight="1">
      <c r="A111" s="66"/>
      <c r="B111" s="124">
        <v>16</v>
      </c>
      <c r="C111" s="267" t="s">
        <v>5628</v>
      </c>
      <c r="D111" s="190"/>
      <c r="E111" s="159"/>
      <c r="F111" s="159"/>
      <c r="G111" s="160"/>
      <c r="H111" s="160"/>
      <c r="I111" s="160"/>
      <c r="J111" s="160"/>
      <c r="K111" s="124"/>
      <c r="L111" s="573"/>
      <c r="M111" s="5723"/>
      <c r="N111" s="449"/>
      <c r="O111" s="1604"/>
      <c r="P111" s="2326"/>
      <c r="Q111" s="388"/>
      <c r="R111" s="1604"/>
      <c r="S111" s="183"/>
      <c r="T111" s="183"/>
      <c r="U111" s="183"/>
      <c r="V111" s="183"/>
      <c r="W111" s="1604"/>
      <c r="X111" s="2079" t="s">
        <v>4905</v>
      </c>
      <c r="Y111" s="1009"/>
      <c r="Z111" s="2087"/>
      <c r="AA111" s="2087"/>
      <c r="AB111" s="2087"/>
      <c r="AC111" s="1009"/>
      <c r="AD111" s="2770" t="str">
        <f t="shared" si="14"/>
        <v>S</v>
      </c>
      <c r="AE111" s="1009"/>
      <c r="AF111" s="2080">
        <f t="shared" si="15"/>
        <v>4850</v>
      </c>
      <c r="AG111" s="2081"/>
      <c r="AH111" s="892"/>
      <c r="AI111" s="2080">
        <f t="shared" si="18"/>
        <v>4850</v>
      </c>
      <c r="AJ111" s="2080">
        <f t="shared" si="16"/>
        <v>0</v>
      </c>
      <c r="AK111" s="1006">
        <f t="shared" si="17"/>
        <v>0</v>
      </c>
      <c r="AL111" s="1006"/>
    </row>
    <row r="112" spans="1:46" ht="12.75" customHeight="1">
      <c r="A112" s="66"/>
      <c r="B112" s="124"/>
      <c r="C112" s="267" t="s">
        <v>5629</v>
      </c>
      <c r="D112" s="267"/>
      <c r="E112" s="159"/>
      <c r="F112" s="159"/>
      <c r="G112" s="160"/>
      <c r="H112" s="124"/>
      <c r="I112" s="124"/>
      <c r="J112" s="124"/>
      <c r="K112" s="859" t="s">
        <v>661</v>
      </c>
      <c r="L112" s="228">
        <f>B111</f>
        <v>16</v>
      </c>
      <c r="M112" s="975">
        <f>IF(Q112&lt;&gt;"",ROUND(Q112,0),IF(SUM(M109,-M110)&lt;0,0,SUM(M109,-M110)))</f>
        <v>0</v>
      </c>
      <c r="N112" s="5707"/>
      <c r="O112" s="814"/>
      <c r="P112" s="2257"/>
      <c r="Q112" s="300"/>
      <c r="R112" s="814"/>
      <c r="S112" s="183"/>
      <c r="T112" s="183"/>
      <c r="U112" s="183"/>
      <c r="V112" s="183"/>
      <c r="W112" s="1604"/>
      <c r="X112" s="2079" t="s">
        <v>4907</v>
      </c>
      <c r="Y112" s="1009"/>
      <c r="Z112" s="2087"/>
      <c r="AA112" s="2087"/>
      <c r="AB112" s="2087"/>
      <c r="AC112" s="1009"/>
      <c r="AD112" s="2770" t="str">
        <f t="shared" si="14"/>
        <v>S</v>
      </c>
      <c r="AE112" s="1009"/>
      <c r="AF112" s="2080">
        <f t="shared" si="15"/>
        <v>4850</v>
      </c>
      <c r="AG112" s="2081"/>
      <c r="AH112" s="892"/>
      <c r="AI112" s="2080">
        <f t="shared" si="18"/>
        <v>4850</v>
      </c>
      <c r="AJ112" s="2080">
        <f t="shared" si="16"/>
        <v>0</v>
      </c>
      <c r="AK112" s="1006">
        <f t="shared" si="17"/>
        <v>0</v>
      </c>
      <c r="AL112" s="1006"/>
    </row>
    <row r="113" spans="1:46" s="672" customFormat="1" ht="12.75" customHeight="1" thickBot="1">
      <c r="A113" s="66"/>
      <c r="B113" s="124" t="s">
        <v>1236</v>
      </c>
      <c r="C113" s="267" t="s">
        <v>5630</v>
      </c>
      <c r="D113" s="190"/>
      <c r="E113" s="159"/>
      <c r="F113" s="159"/>
      <c r="G113" s="160"/>
      <c r="H113" s="152" t="str">
        <f>"Exceptions to the Additional "&amp;TEXT($M$53,"0%")</f>
        <v>Exceptions to the Additional 20%</v>
      </c>
      <c r="I113" s="160"/>
      <c r="J113" s="160"/>
      <c r="K113" s="124"/>
      <c r="L113" s="1860"/>
      <c r="M113" s="5723"/>
      <c r="N113" s="449"/>
      <c r="O113" s="1604"/>
      <c r="P113" s="2326"/>
      <c r="Q113" s="1870" t="str">
        <f>IF(J114&lt;&gt;"","Enter distributions","")</f>
        <v/>
      </c>
      <c r="R113" s="1604"/>
      <c r="S113" s="183"/>
      <c r="T113" s="183"/>
      <c r="U113" s="183"/>
      <c r="V113" s="183"/>
      <c r="W113" s="1604"/>
      <c r="X113" s="2079" t="s">
        <v>4909</v>
      </c>
      <c r="Y113" s="1009"/>
      <c r="Z113" s="2087"/>
      <c r="AA113" s="2087"/>
      <c r="AB113" s="2087"/>
      <c r="AC113" s="1009"/>
      <c r="AD113" s="2770" t="str">
        <f t="shared" si="14"/>
        <v>S</v>
      </c>
      <c r="AE113" s="1009"/>
      <c r="AF113" s="2080">
        <f t="shared" si="15"/>
        <v>4850</v>
      </c>
      <c r="AG113" s="2081"/>
      <c r="AH113" s="892"/>
      <c r="AI113" s="2080">
        <f t="shared" si="18"/>
        <v>4850</v>
      </c>
      <c r="AJ113" s="2080">
        <f t="shared" si="16"/>
        <v>0</v>
      </c>
      <c r="AK113" s="1006">
        <f t="shared" si="17"/>
        <v>0</v>
      </c>
      <c r="AL113" s="1006"/>
      <c r="AM113" s="2038"/>
      <c r="AN113" s="2038"/>
      <c r="AO113" s="2038"/>
      <c r="AP113" s="2038"/>
      <c r="AQ113" s="2038"/>
      <c r="AR113" s="2038"/>
      <c r="AS113" s="2038"/>
      <c r="AT113" s="2038"/>
    </row>
    <row r="114" spans="1:46" ht="15.75" customHeight="1" thickBot="1">
      <c r="A114" s="66"/>
      <c r="B114" s="124"/>
      <c r="C114" s="3379" t="s">
        <v>5631</v>
      </c>
      <c r="D114" s="267"/>
      <c r="E114" s="159"/>
      <c r="F114" s="159"/>
      <c r="G114" s="160"/>
      <c r="H114" s="160"/>
      <c r="I114" s="859" t="s">
        <v>917</v>
      </c>
      <c r="J114" s="820"/>
      <c r="K114" s="160"/>
      <c r="L114" s="1860"/>
      <c r="M114" s="5720"/>
      <c r="N114" s="5707"/>
      <c r="O114" s="814"/>
      <c r="P114" s="2257"/>
      <c r="Q114" s="1870" t="str">
        <f>IF(J114&lt;&gt;"","subject to","")</f>
        <v/>
      </c>
      <c r="R114" s="814"/>
      <c r="S114" s="183"/>
      <c r="T114" s="183"/>
      <c r="U114" s="183"/>
      <c r="V114" s="183"/>
      <c r="W114" s="1604"/>
      <c r="X114" s="2079" t="s">
        <v>4910</v>
      </c>
      <c r="Y114" s="1009"/>
      <c r="Z114" s="2087"/>
      <c r="AA114" s="2087"/>
      <c r="AB114" s="2087"/>
      <c r="AC114" s="1009"/>
      <c r="AD114" s="2770" t="str">
        <f t="shared" si="14"/>
        <v>S</v>
      </c>
      <c r="AE114" s="1009"/>
      <c r="AF114" s="2082">
        <f t="shared" si="15"/>
        <v>4850</v>
      </c>
      <c r="AG114" s="2081"/>
      <c r="AH114" s="892"/>
      <c r="AI114" s="2082">
        <f t="shared" si="18"/>
        <v>4850</v>
      </c>
      <c r="AJ114" s="2082">
        <f t="shared" si="16"/>
        <v>0</v>
      </c>
      <c r="AK114" s="2311">
        <f t="shared" si="17"/>
        <v>0</v>
      </c>
      <c r="AL114" s="1006"/>
    </row>
    <row r="115" spans="1:46" ht="12" customHeight="1">
      <c r="A115" s="66"/>
      <c r="B115" s="124" t="s">
        <v>644</v>
      </c>
      <c r="C115" s="152" t="str">
        <f>"Additional "&amp;TEXT(M115,"0%")&amp;" tax"</f>
        <v>Additional 20% tax</v>
      </c>
      <c r="D115" s="190"/>
      <c r="E115" s="159"/>
      <c r="F115" s="267"/>
      <c r="G115" s="160"/>
      <c r="H115" s="160"/>
      <c r="I115" s="160"/>
      <c r="J115" s="160"/>
      <c r="K115" s="1865" t="str">
        <f>"(see instructions). Enter "&amp;TEXT($M$53,"0%")&amp;" ("&amp;TEXT($M$53,".00")&amp;") of the distributions included on line 16     "</f>
        <v xml:space="preserve">(see instructions). Enter 20% (.20) of the distributions included on line 16     </v>
      </c>
      <c r="L115" s="1860"/>
      <c r="M115" s="1027">
        <v>0.2</v>
      </c>
      <c r="N115" s="449"/>
      <c r="O115" s="1604"/>
      <c r="P115" s="2326"/>
      <c r="Q115" s="1870" t="str">
        <f>IF(J114&lt;&gt;"","additional tax here:","")</f>
        <v/>
      </c>
      <c r="R115" s="1604"/>
      <c r="S115" s="183"/>
      <c r="T115" s="183"/>
      <c r="U115" s="183"/>
      <c r="V115" s="183"/>
      <c r="W115" s="1604"/>
      <c r="X115" s="2076"/>
      <c r="Y115" s="1009"/>
      <c r="Z115" s="2087"/>
      <c r="AA115" s="2087"/>
      <c r="AB115" s="2087"/>
      <c r="AC115" s="1009"/>
      <c r="AD115" s="2087"/>
      <c r="AE115" s="1009"/>
      <c r="AF115" s="2080">
        <f>SUM(AF102:AF114)</f>
        <v>48500</v>
      </c>
      <c r="AG115" s="2081"/>
      <c r="AH115" s="892"/>
      <c r="AI115" s="2080">
        <f>SUM(AI102:AI114)</f>
        <v>43651</v>
      </c>
      <c r="AJ115" s="2080">
        <f>SUM(AJ102:AJ114)</f>
        <v>0</v>
      </c>
      <c r="AK115" s="1006">
        <f>SUM(AK102:AK114)</f>
        <v>0</v>
      </c>
      <c r="AL115" s="1006"/>
    </row>
    <row r="116" spans="1:46" s="672" customFormat="1">
      <c r="A116" s="66"/>
      <c r="B116" s="124"/>
      <c r="C116" s="267" t="str">
        <f>"that are subject to the additional "&amp;TEXT($M$53,"0%")&amp;" tax. Also include this amount in the total on Schedule 2"</f>
        <v>that are subject to the additional 20% tax. Also include this amount in the total on Schedule 2</v>
      </c>
      <c r="D116" s="267"/>
      <c r="E116" s="159"/>
      <c r="F116" s="159"/>
      <c r="G116" s="160"/>
      <c r="H116" s="160"/>
      <c r="I116" s="160"/>
      <c r="J116" s="160"/>
      <c r="K116" s="160"/>
      <c r="L116" s="1860"/>
      <c r="M116" s="5720"/>
      <c r="N116" s="5707"/>
      <c r="O116" s="814"/>
      <c r="P116" s="2257"/>
      <c r="Q116" s="1871"/>
      <c r="R116" s="814"/>
      <c r="S116" s="183"/>
      <c r="T116" s="183"/>
      <c r="U116" s="183"/>
      <c r="V116" s="183"/>
      <c r="W116" s="2070"/>
      <c r="X116" s="2077"/>
      <c r="Y116" s="2087"/>
      <c r="Z116" s="2087"/>
      <c r="AA116" s="2087"/>
      <c r="AB116" s="2087"/>
      <c r="AC116" s="2087"/>
      <c r="AD116" s="2087"/>
      <c r="AE116" s="1009"/>
      <c r="AF116" s="2080">
        <f>ROUND(AF115/12,0)</f>
        <v>4042</v>
      </c>
      <c r="AG116" s="2081"/>
      <c r="AH116" s="892"/>
      <c r="AI116" s="2080">
        <f>ROUND(AI115/12,0)</f>
        <v>3638</v>
      </c>
      <c r="AJ116" s="2080">
        <f>ROUND(AJ115/12,0)</f>
        <v>0</v>
      </c>
      <c r="AK116" s="1009"/>
      <c r="AL116" s="1009"/>
      <c r="AM116" s="2038"/>
      <c r="AN116" s="2038"/>
      <c r="AO116" s="2038"/>
      <c r="AP116" s="2038"/>
      <c r="AQ116" s="2038"/>
      <c r="AR116" s="2038"/>
      <c r="AS116" s="2038"/>
      <c r="AT116" s="2038"/>
    </row>
    <row r="117" spans="1:46" ht="12" customHeight="1" thickBot="1">
      <c r="A117" s="66"/>
      <c r="B117" s="124"/>
      <c r="C117" s="2809" t="s">
        <v>4930</v>
      </c>
      <c r="D117" s="267"/>
      <c r="E117" s="159"/>
      <c r="F117" s="159"/>
      <c r="G117" s="160"/>
      <c r="H117" s="160"/>
      <c r="I117" s="160"/>
      <c r="J117" s="160"/>
      <c r="K117" s="859" t="s">
        <v>740</v>
      </c>
      <c r="L117" s="228" t="s">
        <v>1237</v>
      </c>
      <c r="M117" s="975">
        <f>IF(Q117&lt;&gt;"",ROUND(Q117,0),IF(J114&lt;&gt;"",ROUND(M115*Q116,0),ROUND($M$53*M112,0)))</f>
        <v>0</v>
      </c>
      <c r="N117" s="5707"/>
      <c r="O117" s="1604"/>
      <c r="P117" s="590"/>
      <c r="Q117" s="300"/>
      <c r="R117" s="1604"/>
      <c r="S117" s="183"/>
      <c r="T117" s="183"/>
      <c r="U117" s="183"/>
      <c r="V117" s="183"/>
      <c r="W117" s="1604"/>
      <c r="X117" s="2775"/>
      <c r="Y117" s="1644"/>
      <c r="Z117" s="2769"/>
      <c r="AA117" s="1644"/>
      <c r="AB117" s="2769"/>
      <c r="AC117" s="1644"/>
      <c r="AD117" s="2769"/>
      <c r="AE117" s="1644"/>
      <c r="AF117" s="2776"/>
      <c r="AG117" s="1645"/>
      <c r="AH117" s="1009"/>
      <c r="AI117" s="1009"/>
      <c r="AJ117" s="1009"/>
      <c r="AK117" s="1009"/>
      <c r="AL117" s="1009"/>
    </row>
    <row r="118" spans="1:46" ht="12" customHeight="1">
      <c r="A118" s="66"/>
      <c r="B118" s="1848" t="s">
        <v>2243</v>
      </c>
      <c r="C118" s="10033" t="s">
        <v>4956</v>
      </c>
      <c r="D118" s="10033"/>
      <c r="E118" s="10034"/>
      <c r="F118" s="10034"/>
      <c r="G118" s="10034"/>
      <c r="H118" s="10034"/>
      <c r="I118" s="10034"/>
      <c r="J118" s="10034"/>
      <c r="K118" s="10034"/>
      <c r="L118" s="10034"/>
      <c r="M118" s="10034"/>
      <c r="N118" s="5706"/>
      <c r="O118" s="892"/>
      <c r="P118" s="2250"/>
      <c r="Q118" s="461"/>
      <c r="R118" s="892"/>
      <c r="S118" s="183"/>
      <c r="T118" s="183"/>
      <c r="U118" s="183"/>
      <c r="V118" s="183"/>
      <c r="W118" s="1604"/>
      <c r="X118" s="1604"/>
      <c r="Y118" s="1009"/>
      <c r="Z118" s="2087"/>
      <c r="AA118" s="1009"/>
      <c r="AB118" s="2087"/>
      <c r="AC118" s="1009"/>
      <c r="AD118" s="2087"/>
      <c r="AE118" s="1009"/>
      <c r="AF118" s="2088"/>
      <c r="AG118" s="1009"/>
      <c r="AH118" s="1009"/>
      <c r="AI118" s="1009"/>
      <c r="AJ118" s="1009"/>
      <c r="AK118" s="1009"/>
      <c r="AL118" s="1009"/>
    </row>
    <row r="119" spans="1:46" s="163" customFormat="1" ht="15" customHeight="1">
      <c r="A119" s="66"/>
      <c r="B119" s="1851"/>
      <c r="C119" s="10022" t="s">
        <v>4932</v>
      </c>
      <c r="D119" s="10022"/>
      <c r="E119" s="10023"/>
      <c r="F119" s="10023"/>
      <c r="G119" s="10023"/>
      <c r="H119" s="10023"/>
      <c r="I119" s="10023"/>
      <c r="J119" s="10023"/>
      <c r="K119" s="10023"/>
      <c r="L119" s="10023"/>
      <c r="M119" s="10023"/>
      <c r="N119" s="5706"/>
      <c r="O119" s="892"/>
      <c r="P119" s="1858"/>
      <c r="Q119" s="461"/>
      <c r="R119" s="892"/>
      <c r="S119" s="183"/>
      <c r="T119" s="183"/>
      <c r="U119" s="183"/>
      <c r="V119" s="183"/>
      <c r="W119" s="1579"/>
      <c r="X119" s="814"/>
      <c r="Y119" s="1009"/>
      <c r="Z119" s="2087"/>
      <c r="AA119" s="1009"/>
      <c r="AB119" s="2087"/>
      <c r="AC119" s="1009"/>
      <c r="AD119" s="2087"/>
      <c r="AE119" s="1009"/>
      <c r="AF119" s="2088"/>
      <c r="AG119" s="1009"/>
      <c r="AH119" s="1009"/>
      <c r="AI119" s="1009"/>
      <c r="AJ119" s="1009"/>
      <c r="AK119" s="1009"/>
      <c r="AL119" s="1009"/>
      <c r="AM119" s="2038"/>
      <c r="AN119" s="2038"/>
      <c r="AO119" s="2038"/>
      <c r="AP119" s="2038"/>
      <c r="AQ119" s="2038"/>
      <c r="AR119" s="2038"/>
      <c r="AS119" s="2038"/>
      <c r="AT119" s="2038"/>
    </row>
    <row r="120" spans="1:46" s="163" customFormat="1">
      <c r="A120" s="66"/>
      <c r="B120" s="1862"/>
      <c r="C120" s="10024" t="s">
        <v>4933</v>
      </c>
      <c r="D120" s="10024"/>
      <c r="E120" s="10025"/>
      <c r="F120" s="10025"/>
      <c r="G120" s="10025"/>
      <c r="H120" s="10025"/>
      <c r="I120" s="10025"/>
      <c r="J120" s="10025"/>
      <c r="K120" s="10025"/>
      <c r="L120" s="10025"/>
      <c r="M120" s="10025"/>
      <c r="N120" s="5706"/>
      <c r="O120" s="892"/>
      <c r="P120" s="1858"/>
      <c r="Q120" s="461"/>
      <c r="R120" s="892"/>
      <c r="S120" s="904"/>
      <c r="T120" s="904"/>
      <c r="U120" s="904"/>
      <c r="V120" s="904"/>
      <c r="W120" s="1604"/>
      <c r="X120" s="814"/>
      <c r="Y120" s="1009"/>
      <c r="Z120" s="2087"/>
      <c r="AA120" s="1009"/>
      <c r="AB120" s="2087"/>
      <c r="AC120" s="1009"/>
      <c r="AD120" s="2087"/>
      <c r="AE120" s="1009"/>
      <c r="AF120" s="2088"/>
      <c r="AG120" s="1009"/>
      <c r="AH120" s="1009"/>
      <c r="AI120" s="1009"/>
      <c r="AJ120" s="1009"/>
      <c r="AK120" s="1009"/>
      <c r="AL120" s="1009"/>
      <c r="AM120" s="2038"/>
      <c r="AN120" s="2038"/>
      <c r="AO120" s="2038"/>
      <c r="AP120" s="2038"/>
      <c r="AQ120" s="2038"/>
      <c r="AR120" s="2038"/>
      <c r="AS120" s="2038"/>
      <c r="AT120" s="2038"/>
    </row>
    <row r="121" spans="1:46">
      <c r="A121" s="66"/>
      <c r="B121" s="124">
        <v>18</v>
      </c>
      <c r="C121" s="267" t="s">
        <v>4934</v>
      </c>
      <c r="D121" s="190"/>
      <c r="E121" s="159"/>
      <c r="F121" s="159"/>
      <c r="G121" s="160"/>
      <c r="H121" s="160"/>
      <c r="I121" s="160"/>
      <c r="J121" s="160"/>
      <c r="K121" s="859" t="s">
        <v>985</v>
      </c>
      <c r="L121" s="228">
        <f>B121</f>
        <v>18</v>
      </c>
      <c r="M121" s="976"/>
      <c r="N121" s="449"/>
      <c r="O121" s="1604"/>
      <c r="P121" s="2326"/>
      <c r="Q121" s="691"/>
      <c r="R121" s="1604"/>
      <c r="S121" s="904"/>
      <c r="T121" s="904"/>
      <c r="U121" s="904"/>
      <c r="V121" s="904"/>
      <c r="W121" s="1604"/>
      <c r="X121" s="892"/>
      <c r="Y121" s="1009"/>
      <c r="Z121" s="2087"/>
      <c r="AA121" s="1009"/>
      <c r="AB121" s="2087"/>
      <c r="AC121" s="1009"/>
      <c r="AD121" s="2087"/>
      <c r="AE121" s="1009"/>
      <c r="AF121" s="2088"/>
      <c r="AG121" s="1009"/>
      <c r="AH121" s="1009"/>
      <c r="AI121" s="1009"/>
      <c r="AJ121" s="1009"/>
      <c r="AK121" s="1009"/>
      <c r="AL121" s="1009"/>
    </row>
    <row r="122" spans="1:46" ht="12" customHeight="1">
      <c r="A122" s="66"/>
      <c r="B122" s="2681">
        <v>19</v>
      </c>
      <c r="C122" s="2809" t="s">
        <v>4935</v>
      </c>
      <c r="D122" s="190"/>
      <c r="E122" s="159"/>
      <c r="F122" s="159"/>
      <c r="G122" s="160"/>
      <c r="H122" s="160"/>
      <c r="I122" s="160"/>
      <c r="J122" s="160"/>
      <c r="K122" s="859" t="s">
        <v>740</v>
      </c>
      <c r="L122" s="228">
        <f>B122</f>
        <v>19</v>
      </c>
      <c r="M122" s="976"/>
      <c r="N122" s="449"/>
      <c r="O122" s="1604"/>
      <c r="P122" s="2326"/>
      <c r="Q122" s="691"/>
      <c r="R122" s="1604"/>
      <c r="S122" s="183"/>
      <c r="T122" s="183"/>
      <c r="U122" s="183"/>
      <c r="V122" s="183"/>
      <c r="W122" s="1604"/>
      <c r="X122" s="892"/>
      <c r="Y122" s="1009"/>
      <c r="Z122" s="2087"/>
      <c r="AA122" s="1009"/>
      <c r="AB122" s="2087"/>
      <c r="AC122" s="1009"/>
      <c r="AD122" s="2087"/>
      <c r="AE122" s="1009"/>
      <c r="AF122" s="2088"/>
      <c r="AG122" s="1009"/>
      <c r="AH122" s="1009"/>
      <c r="AI122" s="1009"/>
      <c r="AJ122" s="1009"/>
      <c r="AK122" s="1009"/>
      <c r="AL122" s="1009"/>
    </row>
    <row r="123" spans="1:46" s="672" customFormat="1" ht="15.75" customHeight="1">
      <c r="A123" s="66"/>
      <c r="B123" s="124">
        <v>20</v>
      </c>
      <c r="C123" s="152" t="s">
        <v>4936</v>
      </c>
      <c r="D123" s="190"/>
      <c r="E123" s="267"/>
      <c r="F123" s="159"/>
      <c r="G123" s="160"/>
      <c r="H123" s="160"/>
      <c r="I123" s="160"/>
      <c r="J123" s="160"/>
      <c r="K123" s="859"/>
      <c r="L123" s="228">
        <f>B123</f>
        <v>20</v>
      </c>
      <c r="M123" s="975">
        <f>IF(Q123&lt;&gt;"",ROUND(Q123,0),SUM(M121,M122))</f>
        <v>0</v>
      </c>
      <c r="N123" s="5707"/>
      <c r="O123" s="814"/>
      <c r="P123" s="2257"/>
      <c r="Q123" s="300"/>
      <c r="R123" s="814"/>
      <c r="S123" s="183"/>
      <c r="T123" s="183"/>
      <c r="U123" s="183"/>
      <c r="V123" s="183"/>
      <c r="W123" s="1604"/>
      <c r="X123" s="814"/>
      <c r="Y123" s="1009"/>
      <c r="Z123" s="2087"/>
      <c r="AA123" s="1009"/>
      <c r="AB123" s="2087"/>
      <c r="AC123" s="1009"/>
      <c r="AD123" s="2087"/>
      <c r="AE123" s="1009"/>
      <c r="AF123" s="2088"/>
      <c r="AG123" s="1009"/>
      <c r="AH123" s="1009"/>
      <c r="AI123" s="1009"/>
      <c r="AJ123" s="1009"/>
      <c r="AK123" s="1009"/>
      <c r="AL123" s="1009"/>
      <c r="AM123" s="2038"/>
      <c r="AN123" s="2038"/>
      <c r="AO123" s="2038"/>
      <c r="AP123" s="2038"/>
      <c r="AQ123" s="2038"/>
      <c r="AR123" s="2038"/>
      <c r="AS123" s="2038"/>
      <c r="AT123" s="2038"/>
    </row>
    <row r="124" spans="1:46" s="672" customFormat="1" ht="12" customHeight="1">
      <c r="A124" s="66"/>
      <c r="B124" s="124">
        <v>21</v>
      </c>
      <c r="C124" s="152" t="s">
        <v>4937</v>
      </c>
      <c r="D124" s="2809"/>
      <c r="E124" s="267" t="str">
        <f>"Multiply line 20 by "&amp;TEXT(M124,"0%")&amp;" ("&amp;TEXT(M124,".00")&amp;"). Include this amount in the total on Schedule 2"</f>
        <v>Multiply line 20 by 10% (.10). Include this amount in the total on Schedule 2</v>
      </c>
      <c r="F124" s="2802"/>
      <c r="G124" s="2803"/>
      <c r="H124" s="2681"/>
      <c r="I124" s="2681"/>
      <c r="J124" s="2681"/>
      <c r="K124" s="1869"/>
      <c r="L124" s="1859"/>
      <c r="M124" s="1872">
        <v>0.1</v>
      </c>
      <c r="N124" s="449"/>
      <c r="O124" s="1604"/>
      <c r="P124" s="2326"/>
      <c r="Q124" s="388"/>
      <c r="R124" s="1604"/>
      <c r="S124" s="183"/>
      <c r="T124" s="183"/>
      <c r="U124" s="183"/>
      <c r="V124" s="183"/>
      <c r="W124" s="1604"/>
      <c r="X124" s="1604"/>
      <c r="Y124" s="1009"/>
      <c r="Z124" s="2087"/>
      <c r="AA124" s="1009"/>
      <c r="AB124" s="2087"/>
      <c r="AC124" s="1009"/>
      <c r="AD124" s="2087"/>
      <c r="AE124" s="1009"/>
      <c r="AF124" s="2088"/>
      <c r="AG124" s="1009"/>
      <c r="AH124" s="1009"/>
      <c r="AI124" s="1009"/>
      <c r="AJ124" s="1009"/>
      <c r="AK124" s="1009"/>
      <c r="AL124" s="1009"/>
      <c r="AM124" s="2038"/>
      <c r="AN124" s="2038"/>
      <c r="AO124" s="2038"/>
      <c r="AP124" s="2038"/>
      <c r="AQ124" s="2038"/>
      <c r="AR124" s="2038"/>
      <c r="AS124" s="2038"/>
      <c r="AT124" s="2038"/>
    </row>
    <row r="125" spans="1:46" ht="12" customHeight="1" thickBot="1">
      <c r="A125" s="66"/>
      <c r="B125" s="124"/>
      <c r="C125" s="2809" t="s">
        <v>4938</v>
      </c>
      <c r="D125" s="267"/>
      <c r="E125" s="159"/>
      <c r="F125" s="159"/>
      <c r="G125" s="160"/>
      <c r="H125" s="124"/>
      <c r="I125" s="124"/>
      <c r="J125" s="124"/>
      <c r="K125" s="859"/>
      <c r="L125" s="228">
        <f>B124</f>
        <v>21</v>
      </c>
      <c r="M125" s="975">
        <f>IF(Q125&lt;&gt;"",ROUND(Q125,0),M123*M124)</f>
        <v>0</v>
      </c>
      <c r="N125" s="5707"/>
      <c r="O125" s="814"/>
      <c r="P125" s="2257"/>
      <c r="Q125" s="300"/>
      <c r="R125" s="814"/>
      <c r="S125" s="183"/>
      <c r="T125" s="183"/>
      <c r="U125" s="183"/>
      <c r="V125" s="183"/>
      <c r="W125" s="1604"/>
      <c r="X125" s="814"/>
      <c r="Y125" s="1009"/>
      <c r="Z125" s="2087"/>
      <c r="AA125" s="1009"/>
      <c r="AB125" s="2087"/>
      <c r="AC125" s="1009"/>
      <c r="AD125" s="2087"/>
      <c r="AE125" s="1009"/>
      <c r="AF125" s="2088"/>
      <c r="AG125" s="1009"/>
      <c r="AH125" s="1009"/>
      <c r="AI125" s="1006"/>
      <c r="AJ125" s="1006"/>
      <c r="AK125" s="1006"/>
      <c r="AL125" s="1006"/>
    </row>
    <row r="126" spans="1:46" s="672" customFormat="1" ht="12" customHeight="1" thickBot="1">
      <c r="A126" s="66"/>
      <c r="B126" s="128" t="s">
        <v>979</v>
      </c>
      <c r="C126" s="184"/>
      <c r="D126" s="184"/>
      <c r="E126" s="184"/>
      <c r="F126" s="184"/>
      <c r="G126" s="373"/>
      <c r="H126" s="3854"/>
      <c r="I126" s="3854" t="s">
        <v>4939</v>
      </c>
      <c r="J126" s="470"/>
      <c r="K126" s="373"/>
      <c r="L126" s="374" t="s">
        <v>4957</v>
      </c>
      <c r="M126" s="692" t="str">
        <f>"  ("&amp;TaxYear&amp;")"</f>
        <v xml:space="preserve">  (2023)</v>
      </c>
      <c r="N126" s="454"/>
      <c r="O126" s="814"/>
      <c r="P126" s="2326"/>
      <c r="Q126" s="691"/>
      <c r="R126" s="814"/>
      <c r="S126" s="183"/>
      <c r="T126" s="183"/>
      <c r="U126" s="183"/>
      <c r="V126" s="183"/>
      <c r="W126" s="1604"/>
      <c r="X126" s="814"/>
      <c r="Y126" s="1009"/>
      <c r="Z126" s="2087"/>
      <c r="AA126" s="1009"/>
      <c r="AB126" s="2087"/>
      <c r="AC126" s="1009"/>
      <c r="AD126" s="2087"/>
      <c r="AE126" s="1009"/>
      <c r="AF126" s="2088"/>
      <c r="AG126" s="1009"/>
      <c r="AH126" s="1009"/>
      <c r="AI126" s="1009"/>
      <c r="AJ126" s="1009"/>
      <c r="AK126" s="1009"/>
      <c r="AL126" s="1009"/>
      <c r="AM126" s="2038"/>
      <c r="AN126" s="2038"/>
      <c r="AO126" s="2038"/>
      <c r="AP126" s="2038"/>
      <c r="AQ126" s="2038"/>
      <c r="AR126" s="2038"/>
      <c r="AS126" s="2038"/>
      <c r="AT126" s="2038"/>
    </row>
    <row r="127" spans="1:46" ht="14.25" customHeight="1" thickTop="1" thickBot="1">
      <c r="A127" s="66"/>
      <c r="B127" s="457"/>
      <c r="C127" s="378"/>
      <c r="D127" s="378"/>
      <c r="E127" s="66"/>
      <c r="F127" s="66"/>
      <c r="G127" s="66"/>
      <c r="H127" s="66"/>
      <c r="I127" s="66"/>
      <c r="J127" s="458"/>
      <c r="K127" s="458"/>
      <c r="L127" s="458"/>
      <c r="M127" s="458"/>
      <c r="N127" s="455"/>
      <c r="O127" s="814"/>
      <c r="P127" s="3855"/>
      <c r="Q127" s="691"/>
      <c r="R127" s="814"/>
      <c r="S127" s="183"/>
      <c r="T127" s="183"/>
      <c r="U127" s="183"/>
      <c r="V127" s="183"/>
      <c r="W127" s="1604"/>
      <c r="X127" s="814"/>
      <c r="Y127" s="1009"/>
      <c r="Z127" s="2087"/>
      <c r="AA127" s="1009"/>
      <c r="AB127" s="2087"/>
      <c r="AC127" s="1009"/>
      <c r="AD127" s="2087"/>
      <c r="AE127" s="1009"/>
      <c r="AF127" s="2088"/>
      <c r="AG127" s="1009"/>
      <c r="AH127" s="1009"/>
      <c r="AI127" s="1006"/>
      <c r="AJ127" s="1006"/>
      <c r="AK127" s="1006"/>
      <c r="AL127" s="1006"/>
    </row>
    <row r="128" spans="1:46" ht="12" customHeight="1" thickTop="1" thickBot="1">
      <c r="B128" s="118"/>
      <c r="C128" s="181"/>
      <c r="D128" s="181"/>
      <c r="E128" s="39"/>
      <c r="F128" s="39"/>
      <c r="G128" s="39"/>
      <c r="H128" s="39"/>
      <c r="I128" s="39"/>
      <c r="J128" s="185"/>
      <c r="K128" s="39"/>
      <c r="L128" s="1875"/>
      <c r="M128" s="39"/>
      <c r="N128" s="1874"/>
      <c r="O128" s="162"/>
      <c r="P128" s="1028"/>
      <c r="Q128" s="962"/>
      <c r="R128" s="162"/>
      <c r="S128" s="183"/>
      <c r="T128" s="183"/>
      <c r="U128" s="183"/>
      <c r="V128" s="183"/>
      <c r="W128" s="1604"/>
      <c r="X128" s="1604"/>
      <c r="Y128" s="1604"/>
      <c r="Z128" s="1604"/>
      <c r="AA128" s="1604"/>
      <c r="AB128" s="1604"/>
      <c r="AC128" s="1604"/>
      <c r="AD128" s="1604"/>
      <c r="AE128" s="1604"/>
      <c r="AF128" s="1604"/>
      <c r="AG128" s="1604"/>
      <c r="AH128" s="1604"/>
      <c r="AI128" s="183"/>
      <c r="AJ128" s="183"/>
      <c r="AK128" s="183"/>
      <c r="AL128" s="183"/>
    </row>
    <row r="129" spans="1:46" s="163" customFormat="1" ht="15" customHeight="1" thickTop="1" thickBot="1">
      <c r="A129" s="39"/>
      <c r="B129" s="118"/>
      <c r="C129" s="9088" t="s">
        <v>4958</v>
      </c>
      <c r="D129" s="9089"/>
      <c r="E129" s="9089"/>
      <c r="F129" s="9089"/>
      <c r="G129" s="9090"/>
      <c r="H129" s="185"/>
      <c r="I129" s="185"/>
      <c r="J129"/>
      <c r="K129" s="1876" t="s">
        <v>4959</v>
      </c>
      <c r="L129" s="1876"/>
      <c r="M129" s="918" t="s">
        <v>4960</v>
      </c>
      <c r="N129" s="1876"/>
      <c r="O129" s="162"/>
      <c r="P129" s="918"/>
      <c r="Q129" s="962"/>
      <c r="R129" s="162"/>
      <c r="S129" s="183"/>
      <c r="T129" s="183"/>
      <c r="U129" s="183"/>
      <c r="V129" s="183"/>
      <c r="W129" s="1604"/>
      <c r="X129" s="1604"/>
      <c r="Y129" s="1604"/>
      <c r="Z129" s="1604"/>
      <c r="AA129" s="1604"/>
      <c r="AB129" s="1604"/>
      <c r="AC129" s="1604"/>
      <c r="AD129" s="1604"/>
      <c r="AE129" s="1604"/>
      <c r="AF129" s="1604"/>
      <c r="AG129" s="1604"/>
      <c r="AH129" s="1604"/>
      <c r="AI129" s="183"/>
      <c r="AJ129" s="183"/>
      <c r="AK129" s="183"/>
      <c r="AL129" s="183"/>
      <c r="AM129" s="2038"/>
      <c r="AN129" s="2038"/>
      <c r="AO129" s="2038"/>
      <c r="AP129" s="2038"/>
      <c r="AQ129" s="2038"/>
      <c r="AR129" s="2038"/>
      <c r="AS129" s="2038"/>
      <c r="AT129" s="2038"/>
    </row>
    <row r="130" spans="1:46" s="163" customFormat="1" ht="15" customHeight="1" thickTop="1" thickBot="1">
      <c r="A130" s="39"/>
      <c r="B130" s="118"/>
      <c r="C130" s="181"/>
      <c r="D130" s="181"/>
      <c r="E130" s="39"/>
      <c r="F130" s="39"/>
      <c r="G130" s="185"/>
      <c r="H130" s="185"/>
      <c r="I130" s="185"/>
      <c r="J130"/>
      <c r="K130" s="887"/>
      <c r="L130" s="1874"/>
      <c r="M130" s="1874"/>
      <c r="N130" s="1874"/>
      <c r="O130" s="162"/>
      <c r="P130" s="918"/>
      <c r="Q130" s="962"/>
      <c r="R130" s="162"/>
      <c r="S130" s="183"/>
      <c r="T130" s="183"/>
      <c r="U130" s="183"/>
      <c r="V130" s="183"/>
      <c r="W130" s="183"/>
      <c r="X130" s="1604"/>
      <c r="Y130" s="1604"/>
      <c r="Z130" s="1604"/>
      <c r="AA130" s="1604"/>
      <c r="AB130" s="1604"/>
      <c r="AC130" s="1604"/>
      <c r="AD130" s="1604"/>
      <c r="AE130" s="1604"/>
      <c r="AF130" s="1604"/>
      <c r="AG130" s="1604"/>
      <c r="AH130" s="1604"/>
      <c r="AI130" s="183"/>
      <c r="AJ130" s="183"/>
      <c r="AK130" s="183"/>
      <c r="AL130" s="183"/>
      <c r="AM130" s="2038"/>
      <c r="AN130" s="2038"/>
      <c r="AO130" s="2038"/>
      <c r="AP130" s="2038"/>
      <c r="AQ130" s="2038"/>
      <c r="AR130" s="2038"/>
      <c r="AS130" s="2038"/>
      <c r="AT130" s="2038"/>
    </row>
    <row r="131" spans="1:46" s="163" customFormat="1" ht="24" customHeight="1" thickTop="1" thickBot="1">
      <c r="A131" s="39"/>
      <c r="B131" s="118"/>
      <c r="C131" s="9088" t="s">
        <v>4961</v>
      </c>
      <c r="D131" s="9089"/>
      <c r="E131" s="9089"/>
      <c r="F131" s="9089"/>
      <c r="G131" s="9090"/>
      <c r="H131" s="185"/>
      <c r="I131" s="185"/>
      <c r="J131"/>
      <c r="K131" s="918" t="s">
        <v>4962</v>
      </c>
      <c r="L131" s="1874"/>
      <c r="M131" s="1874" t="s">
        <v>4963</v>
      </c>
      <c r="N131" s="1874"/>
      <c r="O131" s="162"/>
      <c r="P131" s="918"/>
      <c r="Q131" s="962"/>
      <c r="R131" s="162"/>
      <c r="S131" s="183"/>
      <c r="T131" s="183"/>
      <c r="U131" s="183"/>
      <c r="V131" s="183"/>
      <c r="W131" s="183"/>
      <c r="X131" s="1604"/>
      <c r="Y131" s="1604"/>
      <c r="Z131" s="1604"/>
      <c r="AA131" s="1604"/>
      <c r="AB131" s="1604"/>
      <c r="AC131" s="1604"/>
      <c r="AD131" s="1604"/>
      <c r="AE131" s="1604"/>
      <c r="AF131" s="1604"/>
      <c r="AG131" s="1604"/>
      <c r="AH131" s="1604"/>
      <c r="AI131" s="183"/>
      <c r="AJ131" s="183"/>
      <c r="AK131" s="183"/>
      <c r="AL131" s="183"/>
      <c r="AM131" s="2038"/>
      <c r="AN131" s="2038"/>
      <c r="AO131" s="2038"/>
      <c r="AP131" s="2038"/>
      <c r="AQ131" s="2038"/>
      <c r="AR131" s="2038"/>
      <c r="AS131" s="2038"/>
      <c r="AT131" s="2038"/>
    </row>
    <row r="132" spans="1:46" s="163" customFormat="1" ht="15" customHeight="1" thickTop="1">
      <c r="A132" s="39"/>
      <c r="B132"/>
      <c r="C132"/>
      <c r="D132"/>
      <c r="E132"/>
      <c r="F132"/>
      <c r="G132"/>
      <c r="H132"/>
      <c r="I132"/>
      <c r="J132"/>
      <c r="K132"/>
      <c r="L132"/>
      <c r="M132"/>
      <c r="N132"/>
      <c r="O132" s="162"/>
      <c r="P132" s="918"/>
      <c r="Q132" s="962"/>
      <c r="R132" s="162"/>
      <c r="S132" s="183"/>
      <c r="T132" s="183"/>
      <c r="U132" s="183"/>
      <c r="V132" s="183"/>
      <c r="W132" s="183"/>
      <c r="X132" s="162"/>
      <c r="Y132" s="962"/>
      <c r="Z132" s="2071"/>
      <c r="AA132" s="962"/>
      <c r="AB132" s="2071"/>
      <c r="AC132" s="962"/>
      <c r="AD132" s="2071"/>
      <c r="AE132" s="962"/>
      <c r="AF132" s="2072"/>
      <c r="AG132" s="962"/>
      <c r="AH132" s="962"/>
      <c r="AI132" s="962"/>
      <c r="AJ132" s="962"/>
      <c r="AK132" s="962"/>
      <c r="AL132" s="962"/>
      <c r="AM132" s="2038"/>
      <c r="AN132" s="2038"/>
      <c r="AO132" s="2038"/>
      <c r="AP132" s="2038"/>
      <c r="AQ132" s="2038"/>
      <c r="AR132" s="2038"/>
      <c r="AS132" s="2038"/>
      <c r="AT132" s="2038"/>
    </row>
    <row r="133" spans="1:46" s="163" customFormat="1" ht="8.25" customHeight="1">
      <c r="A133" s="39"/>
      <c r="B133"/>
      <c r="C133"/>
      <c r="D133"/>
      <c r="E133"/>
      <c r="F133"/>
      <c r="G133"/>
      <c r="H133" s="1239"/>
      <c r="I133" s="1240"/>
      <c r="J133" s="1240"/>
      <c r="K133" s="1240"/>
      <c r="L133" s="1240"/>
      <c r="M133" s="1240"/>
      <c r="N133" s="1240"/>
      <c r="O133" s="3421"/>
      <c r="P133" s="918"/>
      <c r="Q133" s="962"/>
      <c r="R133" s="162"/>
      <c r="S133" s="183"/>
      <c r="T133" s="183"/>
      <c r="U133" s="183"/>
      <c r="V133" s="183"/>
      <c r="W133" s="183"/>
      <c r="X133" s="162"/>
      <c r="Y133" s="962"/>
      <c r="Z133" s="2071"/>
      <c r="AA133" s="962"/>
      <c r="AB133" s="2071"/>
      <c r="AC133" s="962"/>
      <c r="AD133" s="2071"/>
      <c r="AE133" s="962"/>
      <c r="AF133" s="2072"/>
      <c r="AG133" s="962"/>
      <c r="AH133" s="962"/>
      <c r="AI133" s="962"/>
      <c r="AJ133" s="962"/>
      <c r="AK133" s="962"/>
      <c r="AL133" s="962"/>
      <c r="AM133" s="2038"/>
      <c r="AN133" s="2038"/>
      <c r="AO133" s="2038"/>
      <c r="AP133" s="2038"/>
      <c r="AQ133" s="2038"/>
      <c r="AR133" s="2038"/>
      <c r="AS133" s="2038"/>
      <c r="AT133" s="2038"/>
    </row>
    <row r="134" spans="1:46" s="163" customFormat="1" ht="17.25" customHeight="1">
      <c r="A134" s="39"/>
      <c r="B134"/>
      <c r="C134"/>
      <c r="D134"/>
      <c r="E134"/>
      <c r="F134"/>
      <c r="G134"/>
      <c r="H134" s="1843"/>
      <c r="I134" s="780"/>
      <c r="J134" s="780"/>
      <c r="K134" s="4495" t="s">
        <v>248</v>
      </c>
      <c r="L134" s="780"/>
      <c r="M134" s="3416" t="s">
        <v>4964</v>
      </c>
      <c r="N134" s="780"/>
      <c r="O134" s="917"/>
      <c r="P134" s="918"/>
      <c r="Q134" s="962"/>
      <c r="R134" s="162"/>
      <c r="S134" s="183"/>
      <c r="T134" s="183"/>
      <c r="U134" s="183"/>
      <c r="V134" s="183"/>
      <c r="W134" s="183"/>
      <c r="X134" s="162"/>
      <c r="Y134" s="962"/>
      <c r="Z134" s="2071"/>
      <c r="AA134" s="962"/>
      <c r="AB134" s="2071"/>
      <c r="AC134" s="962"/>
      <c r="AD134" s="2071"/>
      <c r="AE134" s="962"/>
      <c r="AF134" s="2072"/>
      <c r="AG134" s="962"/>
      <c r="AH134" s="962"/>
      <c r="AI134" s="962"/>
      <c r="AJ134" s="962"/>
      <c r="AK134" s="962"/>
      <c r="AL134" s="962"/>
      <c r="AM134" s="2038"/>
      <c r="AN134" s="2038"/>
      <c r="AO134" s="2038"/>
      <c r="AP134" s="2038"/>
      <c r="AQ134" s="2038"/>
      <c r="AR134" s="2038"/>
      <c r="AS134" s="2038"/>
      <c r="AT134" s="2038"/>
    </row>
    <row r="135" spans="1:46" s="163" customFormat="1" ht="12.75" customHeight="1">
      <c r="A135" s="39"/>
      <c r="B135"/>
      <c r="C135"/>
      <c r="D135"/>
      <c r="E135"/>
      <c r="F135"/>
      <c r="G135"/>
      <c r="H135" s="1843"/>
      <c r="I135" s="780"/>
      <c r="J135" s="780"/>
      <c r="K135" s="780"/>
      <c r="L135" s="780"/>
      <c r="M135" s="3416"/>
      <c r="N135" s="780"/>
      <c r="O135" s="917"/>
      <c r="P135" s="918"/>
      <c r="Q135" s="962"/>
      <c r="R135" s="162"/>
      <c r="S135" s="183"/>
      <c r="T135" s="183"/>
      <c r="U135" s="183"/>
      <c r="V135" s="183"/>
      <c r="W135" s="183"/>
      <c r="X135" s="162"/>
      <c r="Y135" s="962"/>
      <c r="Z135" s="2071"/>
      <c r="AA135" s="962"/>
      <c r="AB135" s="2071"/>
      <c r="AC135" s="962"/>
      <c r="AD135" s="2071"/>
      <c r="AE135" s="962"/>
      <c r="AF135" s="2072"/>
      <c r="AG135" s="962"/>
      <c r="AH135" s="962"/>
      <c r="AI135" s="962"/>
      <c r="AJ135" s="962"/>
      <c r="AK135" s="962"/>
      <c r="AL135" s="962"/>
      <c r="AM135" s="2038"/>
      <c r="AN135" s="2038"/>
      <c r="AO135" s="2038"/>
      <c r="AP135" s="2038"/>
      <c r="AQ135" s="2038"/>
      <c r="AR135" s="2038"/>
      <c r="AS135" s="2038"/>
      <c r="AT135" s="2038"/>
    </row>
    <row r="136" spans="1:46" s="163" customFormat="1" ht="12.75" customHeight="1">
      <c r="A136" s="39"/>
      <c r="B136"/>
      <c r="C136"/>
      <c r="D136"/>
      <c r="E136"/>
      <c r="F136" s="962"/>
      <c r="G136"/>
      <c r="H136" s="1242"/>
      <c r="I136" s="1009" t="s">
        <v>4965</v>
      </c>
      <c r="J136" s="3417"/>
      <c r="K136" s="2625">
        <f>ROUND(SUM(M38,M100),0)</f>
        <v>0</v>
      </c>
      <c r="L136" s="780"/>
      <c r="M136" s="2361" t="s">
        <v>4966</v>
      </c>
      <c r="N136" s="780"/>
      <c r="O136" s="917"/>
      <c r="P136" s="918"/>
      <c r="Q136" s="962"/>
      <c r="R136" s="162"/>
      <c r="S136" s="183"/>
      <c r="T136" s="183"/>
      <c r="U136" s="183"/>
      <c r="V136" s="183"/>
      <c r="W136" s="183"/>
      <c r="X136" s="162"/>
      <c r="Y136" s="962"/>
      <c r="Z136" s="2071"/>
      <c r="AA136" s="962"/>
      <c r="AB136" s="2071"/>
      <c r="AC136" s="962"/>
      <c r="AD136" s="2071"/>
      <c r="AE136" s="962"/>
      <c r="AF136" s="2072"/>
      <c r="AG136" s="962"/>
      <c r="AH136" s="962"/>
      <c r="AI136" s="962"/>
      <c r="AJ136" s="962"/>
      <c r="AK136" s="962"/>
      <c r="AL136" s="962"/>
      <c r="AM136" s="2038"/>
      <c r="AN136" s="2038"/>
      <c r="AO136" s="2038"/>
      <c r="AP136" s="2038"/>
      <c r="AQ136" s="2038"/>
      <c r="AR136" s="2038"/>
      <c r="AS136" s="2038"/>
      <c r="AT136" s="2038"/>
    </row>
    <row r="137" spans="1:46" s="163" customFormat="1" ht="12.75" customHeight="1">
      <c r="A137" s="39"/>
      <c r="B137"/>
      <c r="C137"/>
      <c r="D137"/>
      <c r="E137"/>
      <c r="F137"/>
      <c r="G137"/>
      <c r="H137" s="1242"/>
      <c r="I137" s="780"/>
      <c r="J137" s="780"/>
      <c r="K137" s="3418" t="s">
        <v>4959</v>
      </c>
      <c r="L137" s="780"/>
      <c r="M137" s="2361"/>
      <c r="N137" s="780"/>
      <c r="O137" s="917"/>
      <c r="P137" s="918"/>
      <c r="Q137" s="962"/>
      <c r="R137" s="162"/>
      <c r="S137" s="183"/>
      <c r="T137" s="183"/>
      <c r="U137" s="183"/>
      <c r="V137" s="183"/>
      <c r="W137" s="183"/>
      <c r="X137" s="162"/>
      <c r="Y137" s="962"/>
      <c r="Z137" s="2071"/>
      <c r="AA137" s="962"/>
      <c r="AB137" s="2071"/>
      <c r="AC137" s="962"/>
      <c r="AD137" s="2071"/>
      <c r="AE137" s="962"/>
      <c r="AF137" s="2072"/>
      <c r="AG137" s="962"/>
      <c r="AH137" s="962"/>
      <c r="AI137" s="962"/>
      <c r="AJ137" s="962"/>
      <c r="AK137" s="962"/>
      <c r="AL137" s="962"/>
      <c r="AM137" s="2038"/>
      <c r="AN137" s="2038"/>
      <c r="AO137" s="2038"/>
      <c r="AP137" s="2038"/>
      <c r="AQ137" s="2038"/>
      <c r="AR137" s="2038"/>
      <c r="AS137" s="2038"/>
      <c r="AT137" s="2038"/>
    </row>
    <row r="138" spans="1:46" s="163" customFormat="1" ht="12.75" customHeight="1">
      <c r="A138" s="39"/>
      <c r="B138"/>
      <c r="C138"/>
      <c r="D138"/>
      <c r="E138"/>
      <c r="F138"/>
      <c r="G138"/>
      <c r="H138" s="1242"/>
      <c r="I138" s="780"/>
      <c r="J138" s="780"/>
      <c r="K138" s="780"/>
      <c r="L138" s="780"/>
      <c r="M138" s="2361"/>
      <c r="N138" s="780"/>
      <c r="O138" s="917"/>
      <c r="P138" s="918"/>
      <c r="Q138" s="962"/>
      <c r="R138" s="162"/>
      <c r="S138" s="183"/>
      <c r="T138" s="183"/>
      <c r="U138" s="183"/>
      <c r="V138" s="183"/>
      <c r="W138" s="906"/>
      <c r="X138" s="162"/>
      <c r="Y138" s="962"/>
      <c r="Z138" s="2071"/>
      <c r="AA138" s="962"/>
      <c r="AB138" s="2071"/>
      <c r="AC138" s="962"/>
      <c r="AD138" s="2071"/>
      <c r="AE138" s="962"/>
      <c r="AF138" s="2072"/>
      <c r="AG138" s="962"/>
      <c r="AH138" s="962"/>
      <c r="AI138" s="962"/>
      <c r="AJ138" s="962"/>
      <c r="AK138" s="962"/>
      <c r="AL138" s="962"/>
      <c r="AM138" s="2038"/>
      <c r="AN138" s="2038"/>
      <c r="AO138" s="2038"/>
      <c r="AP138" s="2038"/>
      <c r="AQ138" s="2038"/>
      <c r="AR138" s="2038"/>
      <c r="AS138" s="2038"/>
      <c r="AT138" s="2038"/>
    </row>
    <row r="139" spans="1:46" s="163" customFormat="1" ht="12.75" customHeight="1">
      <c r="A139" s="39"/>
      <c r="B139"/>
      <c r="C139"/>
      <c r="D139"/>
      <c r="E139"/>
      <c r="F139"/>
      <c r="G139"/>
      <c r="H139" s="1242"/>
      <c r="I139" s="1009" t="s">
        <v>4965</v>
      </c>
      <c r="J139" s="3417"/>
      <c r="K139" s="2625">
        <f>ROUND(SUM(M50,M112),0)</f>
        <v>0</v>
      </c>
      <c r="L139" s="780"/>
      <c r="M139" s="2361" t="s">
        <v>4967</v>
      </c>
      <c r="N139" s="780"/>
      <c r="O139" s="917"/>
      <c r="P139" s="918"/>
      <c r="Q139" s="962"/>
      <c r="R139" s="162"/>
      <c r="S139" s="183"/>
      <c r="T139" s="183"/>
      <c r="U139" s="183"/>
      <c r="V139" s="183"/>
      <c r="W139" s="906"/>
      <c r="X139" s="162"/>
      <c r="Y139" s="962"/>
      <c r="Z139" s="2071"/>
      <c r="AA139" s="962"/>
      <c r="AB139" s="2071"/>
      <c r="AC139" s="962"/>
      <c r="AD139" s="2071"/>
      <c r="AE139" s="962"/>
      <c r="AF139" s="2072"/>
      <c r="AG139" s="962"/>
      <c r="AH139" s="962"/>
      <c r="AI139" s="962"/>
      <c r="AJ139" s="962"/>
      <c r="AK139" s="962"/>
      <c r="AL139" s="962"/>
      <c r="AM139" s="2038"/>
      <c r="AN139" s="2038"/>
      <c r="AO139" s="2038"/>
      <c r="AP139" s="2038"/>
      <c r="AQ139" s="2038"/>
      <c r="AR139" s="2038"/>
      <c r="AS139" s="2038"/>
      <c r="AT139" s="2038"/>
    </row>
    <row r="140" spans="1:46" s="163" customFormat="1" ht="12.75" customHeight="1">
      <c r="A140" s="676"/>
      <c r="B140" s="962"/>
      <c r="C140" s="962"/>
      <c r="D140" s="962"/>
      <c r="E140" s="962"/>
      <c r="F140" s="962"/>
      <c r="G140" s="962"/>
      <c r="H140" s="1843"/>
      <c r="I140" s="1009"/>
      <c r="J140" s="1009"/>
      <c r="K140" s="3418" t="s">
        <v>4960</v>
      </c>
      <c r="L140" s="780"/>
      <c r="M140" s="2361"/>
      <c r="N140" s="3419"/>
      <c r="O140" s="1844"/>
      <c r="P140" s="918"/>
      <c r="Q140" s="962"/>
      <c r="R140" s="962"/>
      <c r="S140" s="183"/>
      <c r="T140" s="183"/>
      <c r="U140" s="183"/>
      <c r="V140" s="183"/>
      <c r="W140" s="906"/>
      <c r="X140" s="162"/>
      <c r="Y140" s="962"/>
      <c r="Z140" s="2071"/>
      <c r="AA140" s="962"/>
      <c r="AB140" s="2071"/>
      <c r="AC140" s="962"/>
      <c r="AD140" s="2071"/>
      <c r="AE140" s="962"/>
      <c r="AF140" s="2072"/>
      <c r="AG140" s="962"/>
      <c r="AH140" s="962"/>
      <c r="AI140" s="962"/>
      <c r="AJ140" s="962"/>
      <c r="AK140" s="962"/>
      <c r="AL140" s="962"/>
      <c r="AM140" s="2038"/>
      <c r="AN140" s="2038"/>
      <c r="AO140" s="2038"/>
      <c r="AP140" s="2038"/>
      <c r="AQ140" s="2038"/>
      <c r="AR140" s="2038"/>
      <c r="AS140" s="2038"/>
      <c r="AT140" s="2038"/>
    </row>
    <row r="141" spans="1:46" s="163" customFormat="1" ht="12.75" customHeight="1">
      <c r="A141" s="676"/>
      <c r="B141" s="962"/>
      <c r="C141" s="962"/>
      <c r="D141" s="962"/>
      <c r="E141" s="962"/>
      <c r="F141" s="962"/>
      <c r="G141" s="962"/>
      <c r="H141" s="1843"/>
      <c r="I141" s="1009"/>
      <c r="J141" s="1009"/>
      <c r="K141" s="780"/>
      <c r="L141" s="780"/>
      <c r="M141" s="2361"/>
      <c r="N141" s="1579"/>
      <c r="O141" s="1844"/>
      <c r="P141" s="918"/>
      <c r="Q141" s="962"/>
      <c r="R141" s="962"/>
      <c r="S141" s="183"/>
      <c r="T141" s="183"/>
      <c r="U141" s="183"/>
      <c r="V141" s="183"/>
      <c r="W141" s="906"/>
      <c r="X141" s="162"/>
      <c r="Y141" s="962"/>
      <c r="Z141" s="2071"/>
      <c r="AA141" s="962"/>
      <c r="AB141" s="2071"/>
      <c r="AC141" s="962"/>
      <c r="AD141" s="2071"/>
      <c r="AE141" s="962"/>
      <c r="AF141" s="2072"/>
      <c r="AG141" s="962"/>
      <c r="AH141" s="962"/>
      <c r="AI141" s="962"/>
      <c r="AJ141" s="962"/>
      <c r="AK141" s="962"/>
      <c r="AL141" s="962"/>
      <c r="AM141" s="2038"/>
      <c r="AN141" s="2038"/>
      <c r="AO141" s="2038"/>
      <c r="AP141" s="2038"/>
      <c r="AQ141" s="2038"/>
      <c r="AR141" s="2038"/>
      <c r="AS141" s="2038"/>
      <c r="AT141" s="2038"/>
    </row>
    <row r="142" spans="1:46" s="163" customFormat="1" ht="12.75" customHeight="1">
      <c r="A142" s="676"/>
      <c r="B142" s="962"/>
      <c r="C142" s="962"/>
      <c r="D142" s="962"/>
      <c r="E142" s="962"/>
      <c r="F142" s="962"/>
      <c r="G142" s="962"/>
      <c r="H142" s="1843"/>
      <c r="I142" s="1009" t="s">
        <v>4965</v>
      </c>
      <c r="J142" s="3417"/>
      <c r="K142" s="2625">
        <f>SUM(M55,M117)</f>
        <v>0</v>
      </c>
      <c r="L142" s="780"/>
      <c r="M142" s="2361" t="s">
        <v>4968</v>
      </c>
      <c r="N142" s="892"/>
      <c r="O142" s="1844"/>
      <c r="P142" s="918"/>
      <c r="Q142" s="962"/>
      <c r="R142" s="962"/>
      <c r="S142" s="906"/>
      <c r="T142" s="906"/>
      <c r="U142" s="906"/>
      <c r="V142" s="906"/>
      <c r="W142" s="906"/>
      <c r="X142" s="162"/>
      <c r="Y142" s="962"/>
      <c r="Z142" s="2071"/>
      <c r="AA142" s="962"/>
      <c r="AB142" s="2071"/>
      <c r="AC142" s="962"/>
      <c r="AD142" s="2071"/>
      <c r="AE142" s="962"/>
      <c r="AF142" s="2072"/>
      <c r="AG142" s="962"/>
      <c r="AH142" s="962"/>
      <c r="AI142" s="962"/>
      <c r="AJ142" s="962"/>
      <c r="AK142" s="962"/>
      <c r="AL142" s="962"/>
      <c r="AM142" s="2038"/>
      <c r="AN142" s="2038"/>
      <c r="AO142" s="2038"/>
      <c r="AP142" s="2038"/>
      <c r="AQ142" s="2038"/>
      <c r="AR142" s="2038"/>
      <c r="AS142" s="2038"/>
      <c r="AT142" s="2038"/>
    </row>
    <row r="143" spans="1:46" s="962" customFormat="1">
      <c r="A143" s="676"/>
      <c r="H143" s="1843"/>
      <c r="I143" s="1009"/>
      <c r="J143" s="1009"/>
      <c r="K143" s="3418" t="s">
        <v>4969</v>
      </c>
      <c r="L143" s="780"/>
      <c r="M143" s="2361"/>
      <c r="N143" s="1009"/>
      <c r="O143" s="1844"/>
      <c r="P143" s="918"/>
      <c r="S143" s="906"/>
      <c r="T143" s="906"/>
      <c r="U143" s="906"/>
      <c r="V143" s="906"/>
      <c r="W143" s="906"/>
      <c r="Z143" s="906"/>
      <c r="AB143" s="906"/>
      <c r="AD143" s="906"/>
      <c r="AF143" s="2072"/>
      <c r="AM143" s="2044"/>
      <c r="AN143" s="2044"/>
      <c r="AO143" s="2044"/>
      <c r="AP143" s="2044"/>
      <c r="AQ143" s="2044"/>
      <c r="AR143" s="2044"/>
      <c r="AS143" s="2044"/>
      <c r="AT143" s="2044"/>
    </row>
    <row r="144" spans="1:46" s="962" customFormat="1">
      <c r="A144" s="676"/>
      <c r="H144" s="1843"/>
      <c r="I144" s="1009"/>
      <c r="J144" s="1009"/>
      <c r="K144" s="3418"/>
      <c r="L144" s="780"/>
      <c r="M144" s="2361"/>
      <c r="N144" s="1009"/>
      <c r="O144" s="1844"/>
      <c r="P144" s="918"/>
      <c r="S144" s="906"/>
      <c r="T144" s="906"/>
      <c r="U144" s="906"/>
      <c r="V144" s="906"/>
      <c r="W144" s="906"/>
      <c r="Z144" s="906"/>
      <c r="AB144" s="906"/>
      <c r="AD144" s="906"/>
      <c r="AF144" s="2072"/>
      <c r="AM144" s="2044"/>
      <c r="AN144" s="2044"/>
      <c r="AO144" s="2044"/>
      <c r="AP144" s="2044"/>
      <c r="AQ144" s="2044"/>
      <c r="AR144" s="2044"/>
      <c r="AS144" s="2044"/>
      <c r="AT144" s="2044"/>
    </row>
    <row r="145" spans="1:46" s="962" customFormat="1" ht="12.75" customHeight="1">
      <c r="A145" s="39"/>
      <c r="B145"/>
      <c r="C145"/>
      <c r="D145"/>
      <c r="E145"/>
      <c r="F145"/>
      <c r="G145"/>
      <c r="H145" s="1242"/>
      <c r="I145" s="1009" t="s">
        <v>4965</v>
      </c>
      <c r="J145" s="3417"/>
      <c r="K145" s="2625">
        <f>ROUND(SUM(M61,M123),0)</f>
        <v>0</v>
      </c>
      <c r="L145" s="780"/>
      <c r="M145" s="2361" t="s">
        <v>4967</v>
      </c>
      <c r="N145" s="780"/>
      <c r="O145" s="917"/>
      <c r="P145" s="918"/>
      <c r="R145" s="162"/>
      <c r="S145" s="906"/>
      <c r="T145" s="906"/>
      <c r="U145" s="906"/>
      <c r="V145" s="906"/>
      <c r="W145" s="906"/>
      <c r="Z145" s="906"/>
      <c r="AB145" s="906"/>
      <c r="AD145" s="906"/>
      <c r="AF145" s="2072"/>
      <c r="AM145" s="2044"/>
      <c r="AN145" s="2044"/>
      <c r="AO145" s="2044"/>
      <c r="AP145" s="2044"/>
      <c r="AQ145" s="2044"/>
      <c r="AR145" s="2044"/>
      <c r="AS145" s="2044"/>
      <c r="AT145" s="2044"/>
    </row>
    <row r="146" spans="1:46" s="163" customFormat="1" ht="12.75" customHeight="1">
      <c r="A146" s="676"/>
      <c r="B146" s="962"/>
      <c r="C146" s="962"/>
      <c r="D146" s="962"/>
      <c r="E146" s="962"/>
      <c r="F146" s="962"/>
      <c r="G146" s="962"/>
      <c r="H146" s="1843"/>
      <c r="I146" s="1009"/>
      <c r="J146" s="1009"/>
      <c r="K146" s="3418" t="s">
        <v>2577</v>
      </c>
      <c r="L146" s="780"/>
      <c r="M146" s="2361"/>
      <c r="N146" s="3419"/>
      <c r="O146" s="1844"/>
      <c r="P146" s="918"/>
      <c r="Q146" s="962"/>
      <c r="R146" s="962"/>
      <c r="S146" s="183"/>
      <c r="T146" s="183"/>
      <c r="U146" s="183"/>
      <c r="V146" s="183"/>
      <c r="W146" s="906"/>
      <c r="X146" s="962"/>
      <c r="Y146" s="962"/>
      <c r="Z146" s="906"/>
      <c r="AA146" s="962"/>
      <c r="AB146" s="906"/>
      <c r="AC146" s="962"/>
      <c r="AD146" s="906"/>
      <c r="AE146" s="962"/>
      <c r="AF146" s="2072"/>
      <c r="AG146" s="962"/>
      <c r="AH146" s="962"/>
      <c r="AI146" s="962"/>
      <c r="AJ146" s="962"/>
      <c r="AK146" s="962"/>
      <c r="AL146" s="962"/>
      <c r="AM146" s="2038"/>
      <c r="AN146" s="2038"/>
      <c r="AO146" s="2038"/>
      <c r="AP146" s="2038"/>
      <c r="AQ146" s="2038"/>
      <c r="AR146" s="2038"/>
      <c r="AS146" s="2038"/>
      <c r="AT146" s="2038"/>
    </row>
    <row r="147" spans="1:46" s="163" customFormat="1" ht="12.75" customHeight="1">
      <c r="A147" s="676"/>
      <c r="B147" s="962"/>
      <c r="C147" s="962"/>
      <c r="D147" s="962"/>
      <c r="E147" s="962"/>
      <c r="F147" s="962"/>
      <c r="G147" s="962"/>
      <c r="H147" s="1843"/>
      <c r="I147" s="1009"/>
      <c r="J147" s="1009"/>
      <c r="K147" s="780"/>
      <c r="L147" s="780"/>
      <c r="M147" s="2361"/>
      <c r="N147" s="1579"/>
      <c r="O147" s="1844"/>
      <c r="P147" s="918"/>
      <c r="Q147" s="962"/>
      <c r="R147" s="962"/>
      <c r="S147" s="183"/>
      <c r="T147" s="183"/>
      <c r="U147" s="183"/>
      <c r="V147" s="183"/>
      <c r="W147" s="906"/>
      <c r="X147" s="162"/>
      <c r="Y147" s="962"/>
      <c r="Z147" s="2071"/>
      <c r="AA147" s="962"/>
      <c r="AB147" s="2071"/>
      <c r="AC147" s="962"/>
      <c r="AD147" s="2071"/>
      <c r="AE147" s="962"/>
      <c r="AF147" s="2072"/>
      <c r="AG147" s="962"/>
      <c r="AH147" s="962"/>
      <c r="AI147" s="962"/>
      <c r="AJ147" s="962"/>
      <c r="AK147" s="962"/>
      <c r="AL147" s="962"/>
      <c r="AM147" s="2038"/>
      <c r="AN147" s="2038"/>
      <c r="AO147" s="2038"/>
      <c r="AP147" s="2038"/>
      <c r="AQ147" s="2038"/>
      <c r="AR147" s="2038"/>
      <c r="AS147" s="2038"/>
      <c r="AT147" s="2038"/>
    </row>
    <row r="148" spans="1:46" s="163" customFormat="1" ht="12.75" customHeight="1">
      <c r="A148" s="676"/>
      <c r="B148" s="962"/>
      <c r="C148" s="962"/>
      <c r="D148" s="962"/>
      <c r="E148" s="962"/>
      <c r="F148" s="962"/>
      <c r="G148" s="962"/>
      <c r="H148" s="1843"/>
      <c r="I148" s="1009" t="s">
        <v>4965</v>
      </c>
      <c r="J148" s="3417"/>
      <c r="K148" s="2625">
        <f>SUM(M63,M125)</f>
        <v>0</v>
      </c>
      <c r="L148" s="780"/>
      <c r="M148" s="2361" t="s">
        <v>4970</v>
      </c>
      <c r="N148" s="892"/>
      <c r="O148" s="1844"/>
      <c r="P148" s="918"/>
      <c r="Q148" s="962"/>
      <c r="R148" s="962"/>
      <c r="S148" s="906"/>
      <c r="T148" s="906"/>
      <c r="U148" s="906"/>
      <c r="V148" s="906"/>
      <c r="W148" s="906"/>
      <c r="X148" s="162"/>
      <c r="Y148" s="962"/>
      <c r="Z148" s="2071"/>
      <c r="AA148" s="962"/>
      <c r="AB148" s="2071"/>
      <c r="AC148" s="962"/>
      <c r="AD148" s="2071"/>
      <c r="AE148" s="962"/>
      <c r="AF148" s="2072"/>
      <c r="AG148" s="962"/>
      <c r="AH148" s="962"/>
      <c r="AI148" s="962"/>
      <c r="AJ148" s="962"/>
      <c r="AK148" s="962"/>
      <c r="AL148" s="962"/>
      <c r="AM148" s="2038"/>
      <c r="AN148" s="2038"/>
      <c r="AO148" s="2038"/>
      <c r="AP148" s="2038"/>
      <c r="AQ148" s="2038"/>
      <c r="AR148" s="2038"/>
      <c r="AS148" s="2038"/>
      <c r="AT148" s="2038"/>
    </row>
    <row r="149" spans="1:46" s="962" customFormat="1">
      <c r="A149" s="676"/>
      <c r="H149" s="1843"/>
      <c r="I149" s="1009"/>
      <c r="J149" s="1009"/>
      <c r="K149" s="1579" t="s">
        <v>2713</v>
      </c>
      <c r="L149" s="780"/>
      <c r="M149" s="780"/>
      <c r="N149" s="1009"/>
      <c r="O149" s="1844"/>
      <c r="P149" s="918"/>
      <c r="S149" s="906"/>
      <c r="T149" s="906"/>
      <c r="U149" s="906"/>
      <c r="V149" s="906"/>
      <c r="W149" s="906"/>
      <c r="Z149" s="906"/>
      <c r="AB149" s="906"/>
      <c r="AD149" s="906"/>
      <c r="AF149" s="2072"/>
      <c r="AM149" s="2044"/>
      <c r="AN149" s="2044"/>
      <c r="AO149" s="2044"/>
      <c r="AP149" s="2044"/>
      <c r="AQ149" s="2044"/>
      <c r="AR149" s="2044"/>
      <c r="AS149" s="2044"/>
      <c r="AT149" s="2044"/>
    </row>
    <row r="150" spans="1:46" s="962" customFormat="1">
      <c r="A150" s="676"/>
      <c r="H150" s="1845"/>
      <c r="I150" s="1846"/>
      <c r="J150" s="1846"/>
      <c r="K150" s="3420"/>
      <c r="L150" s="1247"/>
      <c r="M150" s="1247"/>
      <c r="N150" s="1846"/>
      <c r="O150" s="1847"/>
      <c r="P150" s="918"/>
      <c r="S150" s="906"/>
      <c r="T150" s="906"/>
      <c r="U150" s="906"/>
      <c r="V150" s="906"/>
      <c r="W150" s="906"/>
      <c r="Z150" s="906"/>
      <c r="AB150" s="906"/>
      <c r="AD150" s="906"/>
      <c r="AF150" s="2072"/>
      <c r="AM150" s="2044"/>
      <c r="AN150" s="2044"/>
      <c r="AO150" s="2044"/>
      <c r="AP150" s="2044"/>
      <c r="AQ150" s="2044"/>
      <c r="AR150" s="2044"/>
      <c r="AS150" s="2044"/>
      <c r="AT150" s="2044"/>
    </row>
    <row r="151" spans="1:46" s="962" customFormat="1" ht="12.75" customHeight="1">
      <c r="A151" s="676"/>
      <c r="L151"/>
      <c r="M151"/>
      <c r="P151" s="918"/>
      <c r="S151" s="906"/>
      <c r="T151" s="906"/>
      <c r="U151" s="906"/>
      <c r="V151" s="906"/>
      <c r="W151" s="906"/>
      <c r="Z151" s="906"/>
      <c r="AB151" s="906"/>
      <c r="AD151" s="906"/>
      <c r="AF151" s="2072"/>
      <c r="AM151" s="2044"/>
      <c r="AN151" s="2044"/>
      <c r="AO151" s="2044"/>
      <c r="AP151" s="2044"/>
      <c r="AQ151" s="2044"/>
      <c r="AR151" s="2044"/>
      <c r="AS151" s="2044"/>
      <c r="AT151" s="2044"/>
    </row>
    <row r="152" spans="1:46" s="962" customFormat="1" ht="12.75" customHeight="1">
      <c r="A152" s="676"/>
      <c r="P152" s="918"/>
      <c r="S152" s="906"/>
      <c r="T152" s="906"/>
      <c r="U152" s="906"/>
      <c r="V152" s="906"/>
      <c r="W152" s="906"/>
      <c r="Z152" s="906"/>
      <c r="AB152" s="906"/>
      <c r="AD152" s="906"/>
      <c r="AF152" s="2072"/>
      <c r="AM152" s="2044"/>
      <c r="AN152" s="2044"/>
      <c r="AO152" s="2044"/>
      <c r="AP152" s="2044"/>
      <c r="AQ152" s="2044"/>
      <c r="AR152" s="2044"/>
      <c r="AS152" s="2044"/>
      <c r="AT152" s="2044"/>
    </row>
    <row r="153" spans="1:46" s="962" customFormat="1">
      <c r="A153" s="676"/>
      <c r="P153" s="906"/>
      <c r="S153" s="906"/>
      <c r="T153" s="906"/>
      <c r="U153" s="906"/>
      <c r="V153" s="906"/>
      <c r="W153" s="906"/>
      <c r="Z153" s="906"/>
      <c r="AB153" s="906"/>
      <c r="AD153" s="906"/>
      <c r="AF153" s="2072"/>
      <c r="AM153" s="2044"/>
      <c r="AN153" s="2044"/>
      <c r="AO153" s="2044"/>
      <c r="AP153" s="2044"/>
      <c r="AQ153" s="2044"/>
      <c r="AR153" s="2044"/>
      <c r="AS153" s="2044"/>
      <c r="AT153" s="2044"/>
    </row>
    <row r="154" spans="1:46" s="962" customFormat="1" ht="14.25" customHeight="1">
      <c r="A154" s="676"/>
      <c r="P154" s="906"/>
      <c r="S154" s="906"/>
      <c r="T154" s="906"/>
      <c r="U154" s="906"/>
      <c r="V154" s="906"/>
      <c r="W154" s="906"/>
      <c r="Z154" s="906"/>
      <c r="AB154" s="906"/>
      <c r="AD154" s="906"/>
      <c r="AF154" s="2072"/>
      <c r="AM154" s="2044"/>
      <c r="AN154" s="2044"/>
      <c r="AO154" s="2044"/>
      <c r="AP154" s="2044"/>
      <c r="AQ154" s="2044"/>
      <c r="AR154" s="2044"/>
      <c r="AS154" s="2044"/>
      <c r="AT154" s="2044"/>
    </row>
    <row r="155" spans="1:46" s="962" customFormat="1">
      <c r="A155" s="676"/>
      <c r="P155" s="906"/>
      <c r="S155" s="906"/>
      <c r="T155" s="906"/>
      <c r="U155" s="906"/>
      <c r="V155" s="906"/>
      <c r="W155" s="906"/>
      <c r="Z155" s="906"/>
      <c r="AB155" s="906"/>
      <c r="AD155" s="906"/>
      <c r="AF155" s="2072"/>
      <c r="AM155" s="2044"/>
      <c r="AN155" s="2044"/>
      <c r="AO155" s="2044"/>
      <c r="AP155" s="2044"/>
      <c r="AQ155" s="2044"/>
      <c r="AR155" s="2044"/>
      <c r="AS155" s="2044"/>
      <c r="AT155" s="2044"/>
    </row>
    <row r="156" spans="1:46" s="962" customFormat="1">
      <c r="A156" s="39"/>
      <c r="B156"/>
      <c r="C156"/>
      <c r="D156"/>
      <c r="E156"/>
      <c r="F156"/>
      <c r="G156"/>
      <c r="H156"/>
      <c r="I156"/>
      <c r="J156"/>
      <c r="K156"/>
      <c r="L156"/>
      <c r="M156"/>
      <c r="N156"/>
      <c r="O156"/>
      <c r="P156" s="187"/>
      <c r="Q156"/>
      <c r="R156"/>
      <c r="S156" s="906"/>
      <c r="T156" s="906"/>
      <c r="U156" s="906"/>
      <c r="V156" s="906"/>
      <c r="W156" s="906"/>
      <c r="Z156" s="906"/>
      <c r="AB156" s="906"/>
      <c r="AD156" s="906"/>
      <c r="AF156" s="2072"/>
      <c r="AM156" s="2044"/>
      <c r="AN156" s="2044"/>
      <c r="AO156" s="2044"/>
      <c r="AP156" s="2044"/>
      <c r="AQ156" s="2044"/>
      <c r="AR156" s="2044"/>
      <c r="AS156" s="2044"/>
      <c r="AT156" s="2044"/>
    </row>
    <row r="157" spans="1:46" s="962" customFormat="1">
      <c r="A157" s="39"/>
      <c r="B157"/>
      <c r="C157"/>
      <c r="D157"/>
      <c r="E157"/>
      <c r="F157"/>
      <c r="G157"/>
      <c r="H157"/>
      <c r="I157"/>
      <c r="J157"/>
      <c r="K157"/>
      <c r="L157"/>
      <c r="M157"/>
      <c r="N157"/>
      <c r="O157"/>
      <c r="P157" s="187"/>
      <c r="Q157"/>
      <c r="R157"/>
      <c r="S157" s="906"/>
      <c r="T157" s="906"/>
      <c r="U157" s="906"/>
      <c r="V157" s="906"/>
      <c r="W157" s="906"/>
      <c r="Z157" s="906"/>
      <c r="AB157" s="906"/>
      <c r="AD157" s="906"/>
      <c r="AF157" s="2072"/>
      <c r="AM157" s="2044"/>
      <c r="AN157" s="2044"/>
      <c r="AO157" s="2044"/>
      <c r="AP157" s="2044"/>
      <c r="AQ157" s="2044"/>
      <c r="AR157" s="2044"/>
      <c r="AS157" s="2044"/>
      <c r="AT157" s="2044"/>
    </row>
    <row r="158" spans="1:46" s="962" customFormat="1">
      <c r="A158" s="39"/>
      <c r="B158"/>
      <c r="C158"/>
      <c r="D158"/>
      <c r="E158"/>
      <c r="F158"/>
      <c r="G158"/>
      <c r="H158"/>
      <c r="I158"/>
      <c r="J158"/>
      <c r="K158"/>
      <c r="L158"/>
      <c r="M158"/>
      <c r="N158"/>
      <c r="O158"/>
      <c r="P158" s="187"/>
      <c r="Q158"/>
      <c r="R158"/>
      <c r="S158" s="906"/>
      <c r="T158" s="906"/>
      <c r="U158" s="906"/>
      <c r="V158" s="906"/>
      <c r="W158" s="906"/>
      <c r="Z158" s="906"/>
      <c r="AB158" s="906"/>
      <c r="AD158" s="906"/>
      <c r="AF158" s="2072"/>
      <c r="AM158" s="2044"/>
      <c r="AN158" s="2044"/>
      <c r="AO158" s="2044"/>
      <c r="AP158" s="2044"/>
      <c r="AQ158" s="2044"/>
      <c r="AR158" s="2044"/>
      <c r="AS158" s="2044"/>
      <c r="AT158" s="2044"/>
    </row>
    <row r="159" spans="1:46" s="163" customFormat="1">
      <c r="A159" s="39"/>
      <c r="B159"/>
      <c r="C159"/>
      <c r="D159"/>
      <c r="E159"/>
      <c r="F159"/>
      <c r="G159"/>
      <c r="H159"/>
      <c r="I159"/>
      <c r="J159"/>
      <c r="K159"/>
      <c r="L159"/>
      <c r="M159"/>
      <c r="N159"/>
      <c r="O159"/>
      <c r="P159" s="187"/>
      <c r="Q159"/>
      <c r="R159"/>
      <c r="S159" s="906"/>
      <c r="T159" s="906"/>
      <c r="U159" s="906"/>
      <c r="V159" s="906"/>
      <c r="W159" s="906"/>
      <c r="X159" s="962"/>
      <c r="Y159" s="962"/>
      <c r="Z159" s="906"/>
      <c r="AA159" s="962"/>
      <c r="AB159" s="906"/>
      <c r="AC159" s="962"/>
      <c r="AD159" s="906"/>
      <c r="AE159" s="962"/>
      <c r="AF159" s="2072"/>
      <c r="AG159" s="962"/>
      <c r="AH159" s="962"/>
      <c r="AI159" s="962"/>
      <c r="AJ159" s="962"/>
      <c r="AK159" s="962"/>
      <c r="AL159" s="962"/>
      <c r="AM159" s="2038"/>
      <c r="AN159" s="2038"/>
      <c r="AO159" s="2038"/>
      <c r="AP159" s="2038"/>
      <c r="AQ159" s="2038"/>
      <c r="AR159" s="2038"/>
      <c r="AS159" s="2038"/>
      <c r="AT159" s="2038"/>
    </row>
    <row r="160" spans="1:46" s="163" customFormat="1">
      <c r="A160" s="39"/>
      <c r="B160"/>
      <c r="C160"/>
      <c r="D160"/>
      <c r="E160"/>
      <c r="F160"/>
      <c r="G160"/>
      <c r="H160"/>
      <c r="I160"/>
      <c r="J160"/>
      <c r="K160" s="676"/>
      <c r="L160" s="962"/>
      <c r="M160" s="962"/>
      <c r="N160"/>
      <c r="O160"/>
      <c r="P160" s="187"/>
      <c r="Q160"/>
      <c r="R160"/>
      <c r="S160" s="906"/>
      <c r="T160" s="906"/>
      <c r="U160" s="906"/>
      <c r="V160" s="906"/>
      <c r="W160" s="906"/>
      <c r="X160" s="962"/>
      <c r="Y160" s="962"/>
      <c r="Z160" s="2071"/>
      <c r="AA160" s="962"/>
      <c r="AB160" s="2071"/>
      <c r="AC160" s="962"/>
      <c r="AD160" s="2071"/>
      <c r="AE160" s="962"/>
      <c r="AF160" s="2072"/>
      <c r="AG160" s="962"/>
      <c r="AH160" s="962"/>
      <c r="AI160" s="962"/>
      <c r="AJ160" s="962"/>
      <c r="AK160" s="962"/>
      <c r="AL160" s="962"/>
      <c r="AM160" s="2038"/>
      <c r="AN160" s="2038"/>
      <c r="AO160" s="2038"/>
      <c r="AP160" s="2038"/>
      <c r="AQ160" s="2038"/>
      <c r="AR160" s="2038"/>
      <c r="AS160" s="2038"/>
      <c r="AT160" s="2038"/>
    </row>
    <row r="161" spans="11:24">
      <c r="K161" s="962"/>
      <c r="L161" s="962"/>
      <c r="M161" s="962"/>
      <c r="S161" s="906"/>
      <c r="T161" s="906"/>
      <c r="U161" s="906"/>
      <c r="V161" s="906"/>
      <c r="W161" s="906"/>
      <c r="X161" s="962"/>
    </row>
    <row r="162" spans="11:24">
      <c r="K162" s="962"/>
      <c r="M162" s="962"/>
    </row>
  </sheetData>
  <sheetProtection algorithmName="SHA-512" hashValue="7lPxxf3RcPUdwJ2KdSJbhmI7DEs0JzIU8an8/RvYE3aYeVrUIyZeBMdkFjXLA1Hj/3G8x4EmzDYkxLpsD3BxuQ==" saltValue="4V2xcevkaQI5FzTlRjBUtA==" spinCount="100000" sheet="1" objects="1" scenarios="1"/>
  <mergeCells count="69">
    <mergeCell ref="O5:P5"/>
    <mergeCell ref="O6:P6"/>
    <mergeCell ref="C40:M42"/>
    <mergeCell ref="C102:M104"/>
    <mergeCell ref="Q5:Q6"/>
    <mergeCell ref="Q67:Q68"/>
    <mergeCell ref="C74:M74"/>
    <mergeCell ref="B69:D69"/>
    <mergeCell ref="E69:K69"/>
    <mergeCell ref="L69:M69"/>
    <mergeCell ref="J70:K71"/>
    <mergeCell ref="L70:M71"/>
    <mergeCell ref="B71:I71"/>
    <mergeCell ref="C77:E78"/>
    <mergeCell ref="B10:I10"/>
    <mergeCell ref="C13:M13"/>
    <mergeCell ref="X100:AG100"/>
    <mergeCell ref="T3:U3"/>
    <mergeCell ref="X8:AG9"/>
    <mergeCell ref="Q8:Q10"/>
    <mergeCell ref="X10:AG10"/>
    <mergeCell ref="X96:AE96"/>
    <mergeCell ref="AB11:AB21"/>
    <mergeCell ref="Z11:Z21"/>
    <mergeCell ref="AD11:AD21"/>
    <mergeCell ref="Z73:Z83"/>
    <mergeCell ref="AB73:AB83"/>
    <mergeCell ref="AD73:AD83"/>
    <mergeCell ref="X36:AG36"/>
    <mergeCell ref="X72:AG72"/>
    <mergeCell ref="X34:AE34"/>
    <mergeCell ref="Z38:AB38"/>
    <mergeCell ref="C118:M118"/>
    <mergeCell ref="C129:G129"/>
    <mergeCell ref="U88:V88"/>
    <mergeCell ref="Q76:Q78"/>
    <mergeCell ref="C131:G131"/>
    <mergeCell ref="C119:M119"/>
    <mergeCell ref="C120:M120"/>
    <mergeCell ref="C73:M73"/>
    <mergeCell ref="L4:M4"/>
    <mergeCell ref="B5:B6"/>
    <mergeCell ref="C5:D6"/>
    <mergeCell ref="E5:K5"/>
    <mergeCell ref="L5:M6"/>
    <mergeCell ref="E6:K6"/>
    <mergeCell ref="C12:M12"/>
    <mergeCell ref="C56:M56"/>
    <mergeCell ref="C16:E17"/>
    <mergeCell ref="B68:D68"/>
    <mergeCell ref="E68:K68"/>
    <mergeCell ref="L68:M68"/>
    <mergeCell ref="L65:M65"/>
    <mergeCell ref="B66:B67"/>
    <mergeCell ref="C66:D67"/>
    <mergeCell ref="U29:V29"/>
    <mergeCell ref="Q65:Q66"/>
    <mergeCell ref="B7:D7"/>
    <mergeCell ref="E7:K7"/>
    <mergeCell ref="L7:M7"/>
    <mergeCell ref="B8:D8"/>
    <mergeCell ref="E8:K8"/>
    <mergeCell ref="L8:M8"/>
    <mergeCell ref="C57:M57"/>
    <mergeCell ref="C58:M58"/>
    <mergeCell ref="L66:M67"/>
    <mergeCell ref="E67:K67"/>
    <mergeCell ref="J9:M9"/>
    <mergeCell ref="J10:M10"/>
  </mergeCells>
  <conditionalFormatting sqref="B10">
    <cfRule type="expression" dxfId="335" priority="133">
      <formula>IF(NoColor,1,0)</formula>
    </cfRule>
  </conditionalFormatting>
  <conditionalFormatting sqref="C39 C101">
    <cfRule type="expression" dxfId="334" priority="5067">
      <formula>IF(AND(NOT(NoColor),$M$39,$O$39=""),1,0)</formula>
    </cfRule>
  </conditionalFormatting>
  <conditionalFormatting sqref="J10">
    <cfRule type="expression" dxfId="333" priority="2">
      <formula>IF(NoColor,1,0)</formula>
    </cfRule>
  </conditionalFormatting>
  <conditionalFormatting sqref="J52">
    <cfRule type="expression" dxfId="332" priority="88">
      <formula>IF(NoColor,1,0)</formula>
    </cfRule>
  </conditionalFormatting>
  <conditionalFormatting sqref="J114">
    <cfRule type="expression" dxfId="331" priority="54">
      <formula>IF(NoColor,1,0)</formula>
    </cfRule>
  </conditionalFormatting>
  <conditionalFormatting sqref="K34:K35">
    <cfRule type="expression" dxfId="330" priority="76">
      <formula>IF(NoColor,1,0)</formula>
    </cfRule>
  </conditionalFormatting>
  <conditionalFormatting sqref="K96:K97">
    <cfRule type="expression" dxfId="329" priority="46">
      <formula>IF(NoColor,1,0)</formula>
    </cfRule>
  </conditionalFormatting>
  <conditionalFormatting sqref="L15">
    <cfRule type="expression" dxfId="328" priority="90">
      <formula>IF(NoColor,1,0)</formula>
    </cfRule>
  </conditionalFormatting>
  <conditionalFormatting sqref="L17">
    <cfRule type="expression" dxfId="327" priority="89">
      <formula>IF(NoColor,1,0)</formula>
    </cfRule>
  </conditionalFormatting>
  <conditionalFormatting sqref="L70 B71">
    <cfRule type="expression" dxfId="326" priority="64">
      <formula>IF(NoColor,1,0)</formula>
    </cfRule>
  </conditionalFormatting>
  <conditionalFormatting sqref="L76">
    <cfRule type="expression" dxfId="325" priority="56">
      <formula>IF(NoColor,1,0)</formula>
    </cfRule>
  </conditionalFormatting>
  <conditionalFormatting sqref="L78">
    <cfRule type="expression" dxfId="324" priority="55">
      <formula>IF(NoColor,1,0)</formula>
    </cfRule>
  </conditionalFormatting>
  <conditionalFormatting sqref="M21">
    <cfRule type="expression" dxfId="323" priority="107">
      <formula>IF(NoColor,1,0)</formula>
    </cfRule>
  </conditionalFormatting>
  <conditionalFormatting sqref="M24">
    <cfRule type="expression" dxfId="322" priority="82">
      <formula>IF(NoColor,1,0)</formula>
    </cfRule>
  </conditionalFormatting>
  <conditionalFormatting sqref="M27:M28">
    <cfRule type="expression" dxfId="321" priority="81">
      <formula>IF(NoColor,1,0)</formula>
    </cfRule>
  </conditionalFormatting>
  <conditionalFormatting sqref="M30">
    <cfRule type="expression" dxfId="320" priority="79">
      <formula>IF(NoColor,1,0)</formula>
    </cfRule>
  </conditionalFormatting>
  <conditionalFormatting sqref="M32:M33">
    <cfRule type="expression" dxfId="319" priority="32">
      <formula>IF(NoColor,1,0)</formula>
    </cfRule>
  </conditionalFormatting>
  <conditionalFormatting sqref="M36:M38">
    <cfRule type="expression" dxfId="318" priority="75">
      <formula>IF(NoColor,1,0)</formula>
    </cfRule>
  </conditionalFormatting>
  <conditionalFormatting sqref="M43">
    <cfRule type="expression" dxfId="317" priority="73">
      <formula>IF(NoColor,1,0)</formula>
    </cfRule>
  </conditionalFormatting>
  <conditionalFormatting sqref="M46:M48">
    <cfRule type="expression" dxfId="316" priority="70">
      <formula>IF(NoColor,1,0)</formula>
    </cfRule>
  </conditionalFormatting>
  <conditionalFormatting sqref="M50">
    <cfRule type="expression" dxfId="315" priority="91">
      <formula>IF(NoColor,1,0)</formula>
    </cfRule>
  </conditionalFormatting>
  <conditionalFormatting sqref="M55">
    <cfRule type="expression" dxfId="314" priority="68">
      <formula>IF(NoColor,1,0)</formula>
    </cfRule>
  </conditionalFormatting>
  <conditionalFormatting sqref="M59:M61">
    <cfRule type="expression" dxfId="313" priority="65">
      <formula>IF(NoColor,1,0)</formula>
    </cfRule>
  </conditionalFormatting>
  <conditionalFormatting sqref="M63">
    <cfRule type="expression" dxfId="312" priority="83">
      <formula>IF(NoColor,1,0)</formula>
    </cfRule>
  </conditionalFormatting>
  <conditionalFormatting sqref="M82">
    <cfRule type="expression" dxfId="311" priority="62">
      <formula>IF(NoColor,1,0)</formula>
    </cfRule>
  </conditionalFormatting>
  <conditionalFormatting sqref="M85">
    <cfRule type="expression" dxfId="310" priority="33">
      <formula>IF(NoColor,1,0)</formula>
    </cfRule>
  </conditionalFormatting>
  <conditionalFormatting sqref="M88:M89">
    <cfRule type="expression" dxfId="309" priority="50">
      <formula>IF(NoColor,1,0)</formula>
    </cfRule>
  </conditionalFormatting>
  <conditionalFormatting sqref="M92">
    <cfRule type="expression" dxfId="308" priority="16">
      <formula>NOT($Q$7)</formula>
    </cfRule>
    <cfRule type="expression" dxfId="307" priority="17">
      <formula>IF(NoColor,1,0)</formula>
    </cfRule>
  </conditionalFormatting>
  <conditionalFormatting sqref="M94:M95">
    <cfRule type="expression" dxfId="306" priority="30">
      <formula>IF(NoColor,1,0)</formula>
    </cfRule>
  </conditionalFormatting>
  <conditionalFormatting sqref="M98:M100">
    <cfRule type="expression" dxfId="305" priority="45">
      <formula>IF(NoColor,1,0)</formula>
    </cfRule>
  </conditionalFormatting>
  <conditionalFormatting sqref="M105">
    <cfRule type="expression" dxfId="304" priority="43">
      <formula>IF(NoColor,1,0)</formula>
    </cfRule>
  </conditionalFormatting>
  <conditionalFormatting sqref="M108:M110">
    <cfRule type="expression" dxfId="303" priority="40">
      <formula>IF(NoColor,1,0)</formula>
    </cfRule>
  </conditionalFormatting>
  <conditionalFormatting sqref="M112">
    <cfRule type="expression" dxfId="302" priority="57">
      <formula>IF(NoColor,1,0)</formula>
    </cfRule>
  </conditionalFormatting>
  <conditionalFormatting sqref="M117">
    <cfRule type="expression" dxfId="301" priority="39">
      <formula>IF(NoColor,1,0)</formula>
    </cfRule>
  </conditionalFormatting>
  <conditionalFormatting sqref="M121:M123">
    <cfRule type="expression" dxfId="300" priority="36">
      <formula>IF(NoColor,1,0)</formula>
    </cfRule>
  </conditionalFormatting>
  <conditionalFormatting sqref="M125">
    <cfRule type="expression" dxfId="299" priority="52">
      <formula>IF(NoColor,1,0)</formula>
    </cfRule>
  </conditionalFormatting>
  <conditionalFormatting sqref="O39">
    <cfRule type="expression" dxfId="298" priority="29">
      <formula>M39</formula>
    </cfRule>
  </conditionalFormatting>
  <conditionalFormatting sqref="O101">
    <cfRule type="expression" dxfId="297" priority="28">
      <formula>M101</formula>
    </cfRule>
  </conditionalFormatting>
  <conditionalFormatting sqref="O8:P10">
    <cfRule type="expression" dxfId="296" priority="21">
      <formula>NOT(File_Marr_Joint&lt;&gt;"")</formula>
    </cfRule>
  </conditionalFormatting>
  <conditionalFormatting sqref="Q54">
    <cfRule type="expression" dxfId="295" priority="67">
      <formula>IF(J52&lt;&gt;"",1,0)</formula>
    </cfRule>
  </conditionalFormatting>
  <conditionalFormatting sqref="Q116">
    <cfRule type="expression" dxfId="294" priority="38">
      <formula>IF(J114&lt;&gt;"",1,0)</formula>
    </cfRule>
  </conditionalFormatting>
  <conditionalFormatting sqref="U94:U97">
    <cfRule type="expression" dxfId="293" priority="19">
      <formula>NOT($Q$7)</formula>
    </cfRule>
  </conditionalFormatting>
  <conditionalFormatting sqref="X100:AG100">
    <cfRule type="expression" dxfId="292" priority="9">
      <formula>NOT($Q$7)</formula>
    </cfRule>
  </conditionalFormatting>
  <conditionalFormatting sqref="X38:AH42">
    <cfRule type="expression" dxfId="291" priority="3">
      <formula>NOT($Q$7)</formula>
    </cfRule>
  </conditionalFormatting>
  <conditionalFormatting sqref="X101:AH117">
    <cfRule type="expression" dxfId="290" priority="1">
      <formula>NOT($Q$7)</formula>
    </cfRule>
  </conditionalFormatting>
  <hyperlinks>
    <hyperlink ref="C129:G129" r:id="rId1" display="Download Form 8889" xr:uid="{00000000-0004-0000-3000-000000000000}"/>
    <hyperlink ref="C131:G131" r:id="rId2" display="Download Form 8889 Instructions" xr:uid="{00000000-0004-0000-3000-000001000000}"/>
  </hyperlinks>
  <pageMargins left="0.75" right="0.25" top="0.36" bottom="0.28999999999999998" header="0.36" footer="0.21"/>
  <pageSetup scale="89" fitToHeight="0" orientation="portrait" r:id="rId3"/>
  <rowBreaks count="1" manualBreakCount="1">
    <brk id="64" min="1" max="12" man="1"/>
  </rowBreak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4">
    <pageSetUpPr fitToPage="1"/>
  </sheetPr>
  <dimension ref="A1:BC123"/>
  <sheetViews>
    <sheetView zoomScaleNormal="100" zoomScaleSheetLayoutView="100" workbookViewId="0"/>
  </sheetViews>
  <sheetFormatPr defaultColWidth="3.7109375" defaultRowHeight="12.75"/>
  <cols>
    <col min="1" max="1" width="3.7109375" style="751" customWidth="1"/>
    <col min="2" max="2" width="4.140625" style="39" customWidth="1"/>
    <col min="3" max="3" width="2.28515625" style="39" customWidth="1"/>
    <col min="4" max="9" width="3.7109375" style="39" customWidth="1"/>
    <col min="10" max="10" width="4" style="39" customWidth="1"/>
    <col min="11" max="11" width="6.85546875" style="39" customWidth="1"/>
    <col min="12" max="12" width="4" style="39" customWidth="1"/>
    <col min="13" max="19" width="3.7109375" style="39" customWidth="1"/>
    <col min="20" max="23" width="3.85546875" style="39" customWidth="1"/>
    <col min="24" max="24" width="3.7109375" style="39" customWidth="1"/>
    <col min="25" max="26" width="5.42578125" style="39" customWidth="1"/>
    <col min="27" max="27" width="8.42578125" style="39" customWidth="1"/>
    <col min="28" max="28" width="6.42578125" style="39" customWidth="1"/>
    <col min="29" max="32" width="3.7109375" style="39" customWidth="1"/>
    <col min="33" max="33" width="6" style="745" customWidth="1"/>
    <col min="34" max="34" width="4.85546875" style="217" customWidth="1"/>
    <col min="35" max="35" width="8.5703125" style="217" bestFit="1" customWidth="1"/>
    <col min="36" max="36" width="29.28515625" style="39" customWidth="1"/>
    <col min="37" max="40" width="13.7109375" style="39" customWidth="1"/>
    <col min="41" max="41" width="10" style="39" customWidth="1"/>
    <col min="42" max="42" width="15.5703125" style="39" customWidth="1"/>
    <col min="43" max="43" width="15.42578125" style="39" customWidth="1"/>
    <col min="44" max="44" width="3.7109375" style="39"/>
    <col min="45" max="46" width="5" style="39" hidden="1" customWidth="1"/>
    <col min="47" max="47" width="0" style="39" hidden="1" customWidth="1"/>
    <col min="48" max="48" width="1.7109375" style="39" hidden="1" customWidth="1"/>
    <col min="49" max="49" width="5" style="39" hidden="1" customWidth="1"/>
    <col min="50" max="52" width="0" style="39" hidden="1" customWidth="1"/>
    <col min="53" max="55" width="7" style="39" hidden="1" customWidth="1"/>
    <col min="56" max="16384" width="3.7109375" style="39"/>
  </cols>
  <sheetData>
    <row r="1" spans="1:34">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row>
    <row r="2" spans="1:34">
      <c r="A2" s="66"/>
      <c r="B2" s="10173" t="s">
        <v>4971</v>
      </c>
      <c r="C2" s="10174"/>
      <c r="D2" s="10174"/>
      <c r="E2" s="10174"/>
      <c r="F2" s="10174"/>
      <c r="G2" s="10174"/>
      <c r="H2" s="10174"/>
      <c r="I2" s="10174"/>
      <c r="J2" s="10174"/>
      <c r="K2" s="10174"/>
      <c r="L2" s="793"/>
      <c r="M2" s="66"/>
      <c r="N2" s="66"/>
      <c r="O2" s="66"/>
      <c r="P2" s="66"/>
      <c r="Q2" s="66"/>
      <c r="R2" s="66"/>
      <c r="S2" s="66"/>
      <c r="T2" s="66"/>
      <c r="U2" s="66"/>
      <c r="V2" s="66"/>
      <c r="W2" s="66"/>
      <c r="X2" s="66"/>
      <c r="Y2" s="66"/>
      <c r="Z2" s="66"/>
      <c r="AA2" s="691"/>
      <c r="AB2" s="66"/>
      <c r="AC2" s="66"/>
      <c r="AD2" s="66"/>
      <c r="AE2" s="66"/>
      <c r="AF2" s="66"/>
      <c r="AG2" s="461"/>
    </row>
    <row r="3" spans="1:34">
      <c r="A3" s="461"/>
      <c r="B3" s="461"/>
      <c r="C3" s="461"/>
      <c r="D3" s="461"/>
      <c r="E3" s="461"/>
      <c r="F3" s="461"/>
      <c r="G3" s="461"/>
      <c r="H3" s="461"/>
      <c r="I3" s="461"/>
      <c r="J3" s="461"/>
      <c r="K3" s="461"/>
      <c r="L3" s="461"/>
      <c r="M3" s="461"/>
      <c r="N3" s="461"/>
      <c r="O3" s="461"/>
      <c r="P3" s="461"/>
      <c r="Q3" s="461"/>
      <c r="R3" s="461"/>
      <c r="S3" s="461"/>
      <c r="T3" s="461"/>
      <c r="U3" s="461"/>
      <c r="V3" s="461"/>
      <c r="W3" s="461"/>
      <c r="X3" s="461"/>
      <c r="Y3" s="461"/>
      <c r="Z3" s="461"/>
      <c r="AA3" s="461"/>
      <c r="AB3" s="461"/>
      <c r="AC3" s="461"/>
      <c r="AD3" s="461"/>
      <c r="AE3" s="461"/>
      <c r="AF3" s="461"/>
      <c r="AG3" s="461"/>
    </row>
    <row r="4" spans="1:34" ht="11.25" customHeight="1">
      <c r="A4" s="461"/>
      <c r="B4" s="10175" t="s">
        <v>4972</v>
      </c>
      <c r="C4" s="8769"/>
      <c r="D4" s="8769"/>
      <c r="E4" s="8769"/>
      <c r="F4" s="8769"/>
      <c r="G4" s="22"/>
      <c r="H4" s="10177" t="s">
        <v>4973</v>
      </c>
      <c r="I4" s="10178"/>
      <c r="J4" s="10178"/>
      <c r="K4" s="10178"/>
      <c r="L4" s="10178"/>
      <c r="M4" s="10178"/>
      <c r="N4" s="10178"/>
      <c r="O4" s="10178"/>
      <c r="P4" s="10178"/>
      <c r="Q4" s="10178"/>
      <c r="R4" s="10178"/>
      <c r="S4" s="10178"/>
      <c r="T4" s="10178"/>
      <c r="U4" s="10178"/>
      <c r="V4" s="10178"/>
      <c r="W4" s="10178"/>
      <c r="X4" s="10178"/>
      <c r="Y4" s="10178"/>
      <c r="Z4" s="10178"/>
      <c r="AA4" s="10179"/>
      <c r="AB4" s="7041" t="s">
        <v>576</v>
      </c>
      <c r="AC4" s="8773"/>
      <c r="AD4" s="8773"/>
      <c r="AE4" s="8773"/>
      <c r="AF4" s="8773"/>
      <c r="AG4" s="461"/>
      <c r="AH4" s="5726"/>
    </row>
    <row r="5" spans="1:34" ht="11.25" customHeight="1">
      <c r="A5" s="461"/>
      <c r="B5" s="8769"/>
      <c r="C5" s="8769"/>
      <c r="D5" s="8769"/>
      <c r="E5" s="8769"/>
      <c r="F5" s="8769"/>
      <c r="G5" s="22"/>
      <c r="H5" s="10180"/>
      <c r="I5" s="10178"/>
      <c r="J5" s="10178"/>
      <c r="K5" s="10178"/>
      <c r="L5" s="10178"/>
      <c r="M5" s="10178"/>
      <c r="N5" s="10178"/>
      <c r="O5" s="10178"/>
      <c r="P5" s="10178"/>
      <c r="Q5" s="10178"/>
      <c r="R5" s="10178"/>
      <c r="S5" s="10178"/>
      <c r="T5" s="10178"/>
      <c r="U5" s="10178"/>
      <c r="V5" s="10178"/>
      <c r="W5" s="10178"/>
      <c r="X5" s="10178"/>
      <c r="Y5" s="10178"/>
      <c r="Z5" s="10178"/>
      <c r="AA5" s="10179"/>
      <c r="AB5" s="10176">
        <f>TaxYear</f>
        <v>2023</v>
      </c>
      <c r="AC5" s="8769"/>
      <c r="AD5" s="8769"/>
      <c r="AE5" s="8769"/>
      <c r="AF5" s="8769"/>
      <c r="AG5" s="461"/>
      <c r="AH5" s="5726"/>
    </row>
    <row r="6" spans="1:34" ht="11.25" customHeight="1">
      <c r="A6" s="461"/>
      <c r="B6" s="8769"/>
      <c r="C6" s="8769"/>
      <c r="D6" s="8769"/>
      <c r="E6" s="8769"/>
      <c r="F6" s="8769"/>
      <c r="G6" s="22"/>
      <c r="H6" s="10181"/>
      <c r="I6" s="6466"/>
      <c r="J6" s="6466"/>
      <c r="K6" s="6466"/>
      <c r="L6" s="6466"/>
      <c r="M6" s="6466"/>
      <c r="N6" s="6466"/>
      <c r="O6" s="6466"/>
      <c r="P6" s="6466"/>
      <c r="Q6" s="6466"/>
      <c r="R6" s="6466"/>
      <c r="S6" s="6466"/>
      <c r="T6" s="6466"/>
      <c r="U6" s="6466"/>
      <c r="V6" s="6466"/>
      <c r="W6" s="6466"/>
      <c r="X6" s="6466"/>
      <c r="Y6" s="6466"/>
      <c r="Z6" s="6466"/>
      <c r="AA6" s="8614"/>
      <c r="AB6" s="8769"/>
      <c r="AC6" s="8769"/>
      <c r="AD6" s="8769"/>
      <c r="AE6" s="8769"/>
      <c r="AF6" s="8769"/>
      <c r="AG6" s="461"/>
      <c r="AH6" s="744"/>
    </row>
    <row r="7" spans="1:34" ht="11.25" customHeight="1">
      <c r="A7" s="461"/>
      <c r="B7" s="22"/>
      <c r="C7" s="22"/>
      <c r="D7" s="22"/>
      <c r="E7" s="22"/>
      <c r="F7" s="22"/>
      <c r="G7" s="22"/>
      <c r="H7" s="10182" t="s">
        <v>4974</v>
      </c>
      <c r="I7" s="10183"/>
      <c r="J7" s="10183"/>
      <c r="K7" s="10183"/>
      <c r="L7" s="10183"/>
      <c r="M7" s="10183"/>
      <c r="N7" s="10183"/>
      <c r="O7" s="10183"/>
      <c r="P7" s="10183"/>
      <c r="Q7" s="10183"/>
      <c r="R7" s="10183"/>
      <c r="S7" s="10183"/>
      <c r="T7" s="10183"/>
      <c r="U7" s="10183"/>
      <c r="V7" s="10183"/>
      <c r="W7" s="10183"/>
      <c r="X7" s="10183"/>
      <c r="Y7" s="10183"/>
      <c r="Z7" s="10183"/>
      <c r="AA7" s="10184"/>
      <c r="AB7" s="8769"/>
      <c r="AC7" s="8769"/>
      <c r="AD7" s="8769"/>
      <c r="AE7" s="8769"/>
      <c r="AF7" s="8769"/>
      <c r="AG7" s="461"/>
    </row>
    <row r="8" spans="1:34" ht="10.5" customHeight="1">
      <c r="A8" s="461"/>
      <c r="B8" s="29" t="s">
        <v>535</v>
      </c>
      <c r="C8" s="22"/>
      <c r="D8" s="22"/>
      <c r="E8" s="22"/>
      <c r="F8" s="22"/>
      <c r="G8" s="22"/>
      <c r="H8" s="10182" t="s">
        <v>5740</v>
      </c>
      <c r="I8" s="10183"/>
      <c r="J8" s="10183"/>
      <c r="K8" s="10183"/>
      <c r="L8" s="10183"/>
      <c r="M8" s="10183"/>
      <c r="N8" s="10183"/>
      <c r="O8" s="10183"/>
      <c r="P8" s="10183"/>
      <c r="Q8" s="10183"/>
      <c r="R8" s="10183"/>
      <c r="S8" s="10183"/>
      <c r="T8" s="10183"/>
      <c r="U8" s="10183"/>
      <c r="V8" s="10183"/>
      <c r="W8" s="10183"/>
      <c r="X8" s="10183"/>
      <c r="Y8" s="10183"/>
      <c r="Z8" s="10183"/>
      <c r="AA8" s="10184"/>
      <c r="AB8" s="10187" t="s">
        <v>2265</v>
      </c>
      <c r="AC8" s="10188"/>
      <c r="AD8" s="10188"/>
      <c r="AE8" s="8073" t="s">
        <v>4975</v>
      </c>
      <c r="AF8" s="8073"/>
      <c r="AG8" s="461"/>
    </row>
    <row r="9" spans="1:34" ht="10.5" customHeight="1" thickBot="1">
      <c r="A9" s="461"/>
      <c r="B9" s="28" t="s">
        <v>537</v>
      </c>
      <c r="C9" s="34"/>
      <c r="D9" s="34"/>
      <c r="E9" s="34"/>
      <c r="F9" s="34"/>
      <c r="G9" s="34"/>
      <c r="H9" s="10191"/>
      <c r="I9" s="10192"/>
      <c r="J9" s="10192"/>
      <c r="K9" s="10192"/>
      <c r="L9" s="10192"/>
      <c r="M9" s="10192"/>
      <c r="N9" s="10192"/>
      <c r="O9" s="10192"/>
      <c r="P9" s="10192"/>
      <c r="Q9" s="10192"/>
      <c r="R9" s="10192"/>
      <c r="S9" s="10192"/>
      <c r="T9" s="10192"/>
      <c r="U9" s="10192"/>
      <c r="V9" s="10192"/>
      <c r="W9" s="10192"/>
      <c r="X9" s="10192"/>
      <c r="Y9" s="10192"/>
      <c r="Z9" s="10192"/>
      <c r="AA9" s="10193"/>
      <c r="AB9" s="10189"/>
      <c r="AC9" s="10190"/>
      <c r="AD9" s="10190"/>
      <c r="AE9" s="8162"/>
      <c r="AF9" s="8162"/>
      <c r="AG9" s="461"/>
    </row>
    <row r="10" spans="1:34">
      <c r="A10" s="461"/>
      <c r="B10" s="29" t="s">
        <v>2208</v>
      </c>
      <c r="C10" s="22"/>
      <c r="D10" s="22"/>
      <c r="E10" s="22"/>
      <c r="F10" s="22"/>
      <c r="G10" s="22"/>
      <c r="H10" s="22"/>
      <c r="I10" s="22"/>
      <c r="J10" s="22"/>
      <c r="K10" s="22"/>
      <c r="L10" s="22"/>
      <c r="M10" s="22"/>
      <c r="N10" s="22"/>
      <c r="O10" s="22"/>
      <c r="P10" s="22"/>
      <c r="Q10" s="22"/>
      <c r="R10" s="22"/>
      <c r="S10" s="22"/>
      <c r="T10" s="22"/>
      <c r="U10" s="22"/>
      <c r="V10" s="852" t="s">
        <v>4976</v>
      </c>
      <c r="W10" s="22"/>
      <c r="X10" s="22"/>
      <c r="Y10" s="22"/>
      <c r="Z10" s="33"/>
      <c r="AA10" s="22"/>
      <c r="AB10" s="22"/>
      <c r="AC10" s="22"/>
      <c r="AD10" s="22"/>
      <c r="AE10" s="22"/>
      <c r="AF10" s="22"/>
      <c r="AG10" s="461"/>
    </row>
    <row r="11" spans="1:34" ht="16.5" thickBot="1">
      <c r="A11" s="461"/>
      <c r="B11" s="10160" t="str">
        <f>Names</f>
        <v/>
      </c>
      <c r="C11" s="10161"/>
      <c r="D11" s="10161"/>
      <c r="E11" s="10161"/>
      <c r="F11" s="10161"/>
      <c r="G11" s="10161"/>
      <c r="H11" s="10161"/>
      <c r="I11" s="10161"/>
      <c r="J11" s="10161"/>
      <c r="K11" s="10161"/>
      <c r="L11" s="10161"/>
      <c r="M11" s="10161"/>
      <c r="N11" s="10161"/>
      <c r="O11" s="10161"/>
      <c r="P11" s="10161"/>
      <c r="Q11" s="10161"/>
      <c r="R11" s="10161"/>
      <c r="S11" s="10161"/>
      <c r="T11" s="10161"/>
      <c r="U11" s="10162"/>
      <c r="V11" s="10163">
        <f>IF(NoSSN,"",SS_Yours)</f>
        <v>1010001</v>
      </c>
      <c r="W11" s="10164"/>
      <c r="X11" s="10164"/>
      <c r="Y11" s="10164"/>
      <c r="Z11" s="10164"/>
      <c r="AA11" s="10164"/>
      <c r="AB11" s="10164"/>
      <c r="AC11" s="10164"/>
      <c r="AD11" s="10164"/>
      <c r="AE11" s="10164"/>
      <c r="AF11" s="10164"/>
      <c r="AG11" s="461"/>
    </row>
    <row r="12" spans="1:34" ht="12.75" customHeight="1">
      <c r="A12" s="461"/>
      <c r="B12" s="10122" t="s">
        <v>4977</v>
      </c>
      <c r="C12" s="10123"/>
      <c r="D12" s="10123"/>
      <c r="E12" s="10123"/>
      <c r="F12" s="10123"/>
      <c r="G12" s="10123"/>
      <c r="H12" s="10123"/>
      <c r="I12" s="10123"/>
      <c r="J12" s="10123"/>
      <c r="K12" s="10123"/>
      <c r="L12" s="10123"/>
      <c r="M12" s="10123"/>
      <c r="N12" s="10123"/>
      <c r="O12" s="10123"/>
      <c r="P12" s="10123"/>
      <c r="Q12" s="10123"/>
      <c r="R12" s="10123"/>
      <c r="S12" s="10123"/>
      <c r="T12" s="10123"/>
      <c r="U12" s="10123"/>
      <c r="V12" s="10123"/>
      <c r="W12" s="10123"/>
      <c r="X12" s="10123"/>
      <c r="Y12" s="10123"/>
      <c r="Z12" s="10123"/>
      <c r="AA12" s="10123"/>
      <c r="AB12" s="10123"/>
      <c r="AC12" s="10123"/>
      <c r="AD12" s="10123"/>
      <c r="AE12" s="10123"/>
      <c r="AF12" s="10123"/>
      <c r="AG12" s="461"/>
    </row>
    <row r="13" spans="1:34" ht="12.75" customHeight="1">
      <c r="A13" s="461"/>
      <c r="B13" s="8117"/>
      <c r="C13" s="8117"/>
      <c r="D13" s="8117"/>
      <c r="E13" s="8117"/>
      <c r="F13" s="8117"/>
      <c r="G13" s="8117"/>
      <c r="H13" s="8117"/>
      <c r="I13" s="8117"/>
      <c r="J13" s="8117"/>
      <c r="K13" s="8117"/>
      <c r="L13" s="8117"/>
      <c r="M13" s="8117"/>
      <c r="N13" s="8117"/>
      <c r="O13" s="8117"/>
      <c r="P13" s="8117"/>
      <c r="Q13" s="8117"/>
      <c r="R13" s="8117"/>
      <c r="S13" s="8117"/>
      <c r="T13" s="8117"/>
      <c r="U13" s="8117"/>
      <c r="V13" s="8117"/>
      <c r="W13" s="8117"/>
      <c r="X13" s="8117"/>
      <c r="Y13" s="8117"/>
      <c r="Z13" s="8117"/>
      <c r="AA13" s="8117"/>
      <c r="AB13" s="8117"/>
      <c r="AC13" s="8117"/>
      <c r="AD13" s="8117"/>
      <c r="AE13" s="8117"/>
      <c r="AF13" s="8117"/>
      <c r="AG13" s="461"/>
    </row>
    <row r="14" spans="1:34" ht="12.75" customHeight="1">
      <c r="A14" s="461"/>
      <c r="B14" s="7956"/>
      <c r="C14" s="7956"/>
      <c r="D14" s="7956"/>
      <c r="E14" s="7956"/>
      <c r="F14" s="7956"/>
      <c r="G14" s="7956"/>
      <c r="H14" s="7956"/>
      <c r="I14" s="7956"/>
      <c r="J14" s="7956"/>
      <c r="K14" s="7956"/>
      <c r="L14" s="7956"/>
      <c r="M14" s="7956"/>
      <c r="N14" s="7956"/>
      <c r="O14" s="7956"/>
      <c r="P14" s="7956"/>
      <c r="Q14" s="7956"/>
      <c r="R14" s="7956"/>
      <c r="S14" s="7956"/>
      <c r="T14" s="7956"/>
      <c r="U14" s="7956"/>
      <c r="V14" s="7956"/>
      <c r="W14" s="7956"/>
      <c r="X14" s="7956"/>
      <c r="Y14" s="7956"/>
      <c r="Z14" s="7956"/>
      <c r="AA14" s="7956"/>
      <c r="AB14" s="7956"/>
      <c r="AC14" s="7956"/>
      <c r="AD14" s="7956"/>
      <c r="AE14" s="7956"/>
      <c r="AF14" s="7956"/>
      <c r="AG14" s="461"/>
    </row>
    <row r="15" spans="1:34" ht="3.75" customHeight="1">
      <c r="A15" s="46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61"/>
    </row>
    <row r="16" spans="1:34" ht="15">
      <c r="A16" s="461"/>
      <c r="B16" s="10158" t="s">
        <v>884</v>
      </c>
      <c r="C16" s="10159"/>
      <c r="D16" s="22"/>
      <c r="E16" s="235" t="s">
        <v>4978</v>
      </c>
      <c r="F16" s="22"/>
      <c r="G16" s="22"/>
      <c r="H16" s="22"/>
      <c r="I16" s="22"/>
      <c r="J16" s="22"/>
      <c r="K16" s="22"/>
      <c r="L16" s="22"/>
      <c r="M16" s="22"/>
      <c r="N16" s="22"/>
      <c r="O16" s="22"/>
      <c r="P16" s="22"/>
      <c r="Q16" s="22"/>
      <c r="R16" s="22"/>
      <c r="S16" s="22"/>
      <c r="T16" s="276" t="s">
        <v>4979</v>
      </c>
      <c r="U16" s="22"/>
      <c r="V16" s="22"/>
      <c r="W16" s="22"/>
      <c r="X16" s="276" t="s">
        <v>4980</v>
      </c>
      <c r="Y16" s="22"/>
      <c r="Z16" s="22"/>
      <c r="AA16" s="22"/>
      <c r="AB16" s="22"/>
      <c r="AC16" s="22"/>
      <c r="AD16" s="22"/>
      <c r="AE16" s="22"/>
      <c r="AF16" s="22"/>
      <c r="AG16" s="461" t="b">
        <f>IF(SUM(AG35:AG54)&gt;0,TRUE,FALSE)</f>
        <v>0</v>
      </c>
    </row>
    <row r="17" spans="1:55" ht="11.25" customHeight="1">
      <c r="A17" s="461"/>
      <c r="B17" s="22"/>
      <c r="C17" s="22"/>
      <c r="D17" s="22"/>
      <c r="E17" s="276" t="s">
        <v>4981</v>
      </c>
      <c r="F17" s="22"/>
      <c r="G17" s="22"/>
      <c r="H17" s="22"/>
      <c r="I17" s="22"/>
      <c r="J17" s="22"/>
      <c r="K17" s="22"/>
      <c r="L17" s="22"/>
      <c r="M17" s="22"/>
      <c r="N17" s="22"/>
      <c r="O17" s="22"/>
      <c r="P17" s="22"/>
      <c r="Q17" s="22"/>
      <c r="R17" s="22"/>
      <c r="S17" s="22"/>
      <c r="T17" s="276"/>
      <c r="U17" s="22"/>
      <c r="V17" s="22"/>
      <c r="W17" s="22"/>
      <c r="X17" s="61"/>
      <c r="Y17" s="22"/>
      <c r="Z17" s="22"/>
      <c r="AA17" s="22"/>
      <c r="AB17" s="22"/>
      <c r="AC17" s="22"/>
      <c r="AD17" s="22"/>
      <c r="AE17" s="22"/>
      <c r="AF17" s="22"/>
      <c r="AG17" s="461"/>
    </row>
    <row r="18" spans="1:55" s="182" customFormat="1" ht="13.5" customHeight="1">
      <c r="A18" s="2094"/>
      <c r="B18" s="276"/>
      <c r="C18" s="276"/>
      <c r="D18" s="276"/>
      <c r="E18" s="2095" t="s">
        <v>4982</v>
      </c>
      <c r="F18" s="276"/>
      <c r="G18" s="27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094"/>
      <c r="AH18" s="671"/>
      <c r="AI18" s="671"/>
    </row>
    <row r="19" spans="1:55" s="182" customFormat="1" ht="13.5" customHeight="1">
      <c r="A19" s="2094"/>
      <c r="B19" s="276"/>
      <c r="C19" s="276"/>
      <c r="D19" s="276"/>
      <c r="E19" s="276" t="s">
        <v>4983</v>
      </c>
      <c r="F19" s="276"/>
      <c r="G19" s="27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094"/>
      <c r="AH19" s="671"/>
      <c r="AI19" s="671"/>
    </row>
    <row r="20" spans="1:55" s="182" customFormat="1" ht="13.5" customHeight="1">
      <c r="A20" s="2094"/>
      <c r="B20" s="2096"/>
      <c r="C20" s="2096"/>
      <c r="D20" s="2096"/>
      <c r="E20" s="2096" t="s">
        <v>4984</v>
      </c>
      <c r="F20" s="2096"/>
      <c r="G20" s="2096"/>
      <c r="H20" s="2096"/>
      <c r="I20" s="2096"/>
      <c r="J20" s="2096"/>
      <c r="K20" s="2096"/>
      <c r="L20" s="2096"/>
      <c r="M20" s="2096"/>
      <c r="N20" s="2096"/>
      <c r="O20" s="2096"/>
      <c r="P20" s="2096"/>
      <c r="Q20" s="2096"/>
      <c r="R20" s="2096"/>
      <c r="S20" s="2096"/>
      <c r="T20" s="2096"/>
      <c r="U20" s="2096"/>
      <c r="V20" s="2096"/>
      <c r="W20" s="2096"/>
      <c r="X20" s="2096"/>
      <c r="Y20" s="2096"/>
      <c r="Z20" s="2096"/>
      <c r="AA20" s="2096"/>
      <c r="AB20" s="2096"/>
      <c r="AC20" s="2096"/>
      <c r="AD20" s="2096"/>
      <c r="AE20" s="2096"/>
      <c r="AF20" s="2096"/>
      <c r="AG20" s="2094"/>
      <c r="AH20" s="671"/>
      <c r="AI20" s="671"/>
    </row>
    <row r="21" spans="1:55">
      <c r="A21" s="461"/>
      <c r="B21" s="194" t="s">
        <v>4985</v>
      </c>
      <c r="C21" s="51"/>
      <c r="D21" s="51"/>
      <c r="E21" s="51"/>
      <c r="F21" s="51"/>
      <c r="G21" s="51"/>
      <c r="H21" s="51"/>
      <c r="I21" s="51"/>
      <c r="J21" s="51"/>
      <c r="K21" s="194"/>
      <c r="L21" s="194" t="s">
        <v>4986</v>
      </c>
      <c r="M21" s="51"/>
      <c r="N21" s="51"/>
      <c r="O21" s="51"/>
      <c r="P21" s="51"/>
      <c r="Q21" s="61" t="s">
        <v>4987</v>
      </c>
      <c r="R21" s="51"/>
      <c r="S21" s="51"/>
      <c r="T21" s="51"/>
      <c r="U21" s="51"/>
      <c r="V21" s="51"/>
      <c r="W21" s="51"/>
      <c r="X21" s="51"/>
      <c r="Y21" s="51"/>
      <c r="Z21" s="51"/>
      <c r="AA21" s="51"/>
      <c r="AB21" s="51"/>
      <c r="AC21" s="51"/>
      <c r="AD21" s="51"/>
      <c r="AE21" s="51"/>
      <c r="AF21" s="51"/>
      <c r="AG21" s="461"/>
    </row>
    <row r="22" spans="1:55">
      <c r="A22" s="461"/>
      <c r="B22" s="61" t="s">
        <v>4988</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61"/>
      <c r="BA22" s="10194" t="s">
        <v>4989</v>
      </c>
      <c r="BB22" s="6435"/>
      <c r="BC22" s="7427"/>
    </row>
    <row r="23" spans="1:55">
      <c r="A23" s="461"/>
      <c r="B23" s="61" t="s">
        <v>4990</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61"/>
      <c r="BA23" s="10195" t="s">
        <v>4991</v>
      </c>
      <c r="BB23" s="10195" t="s">
        <v>4992</v>
      </c>
      <c r="BC23" s="10195" t="s">
        <v>4993</v>
      </c>
    </row>
    <row r="24" spans="1:55" ht="4.5" customHeight="1" thickBot="1">
      <c r="A24" s="46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61"/>
      <c r="BA24" s="10196"/>
      <c r="BB24" s="10196"/>
      <c r="BC24" s="10196"/>
    </row>
    <row r="25" spans="1:55" ht="12" customHeight="1" thickBot="1">
      <c r="A25" s="461"/>
      <c r="B25" s="874">
        <f>IF(C25&lt;&gt;"",1,0)</f>
        <v>0</v>
      </c>
      <c r="C25" s="873"/>
      <c r="D25" s="683" t="s">
        <v>4994</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61"/>
      <c r="AJ25" s="10200"/>
      <c r="AK25" s="10201"/>
      <c r="AL25" s="10201"/>
      <c r="AM25" s="10201"/>
      <c r="AN25" s="10201"/>
      <c r="AO25" s="10201"/>
      <c r="AP25" s="10201"/>
      <c r="AQ25" s="10201"/>
      <c r="BA25" s="10196"/>
      <c r="BB25" s="10196"/>
      <c r="BC25" s="10196"/>
    </row>
    <row r="26" spans="1:55" ht="4.5" customHeight="1" thickBot="1">
      <c r="A26" s="461"/>
      <c r="B26" s="874"/>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61"/>
      <c r="BA26" s="10196"/>
      <c r="BB26" s="10196"/>
      <c r="BC26" s="10196"/>
    </row>
    <row r="27" spans="1:55" ht="11.25" customHeight="1" thickBot="1">
      <c r="A27" s="461"/>
      <c r="B27" s="874">
        <f>IF(C27&lt;&gt;"",1,0)</f>
        <v>0</v>
      </c>
      <c r="C27" s="873"/>
      <c r="D27" s="683" t="s">
        <v>4995</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61"/>
      <c r="AJ27" s="10200"/>
      <c r="AK27" s="10201"/>
      <c r="AL27" s="10201"/>
      <c r="AM27" s="10201"/>
      <c r="AN27" s="10201"/>
      <c r="AO27" s="10201"/>
      <c r="AP27" s="10201"/>
      <c r="AQ27" s="10201"/>
      <c r="BA27" s="10196"/>
      <c r="BB27" s="10196"/>
      <c r="BC27" s="10196"/>
    </row>
    <row r="28" spans="1:55" ht="4.5" customHeight="1" thickBot="1">
      <c r="A28" s="461"/>
      <c r="B28" s="874"/>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61"/>
      <c r="BA28" s="10196"/>
      <c r="BB28" s="10196"/>
      <c r="BC28" s="10196"/>
    </row>
    <row r="29" spans="1:55" ht="12" customHeight="1" thickBot="1">
      <c r="A29" s="461">
        <f>SUM(B25:B29)</f>
        <v>0</v>
      </c>
      <c r="B29" s="874">
        <f>IF(C29&lt;&gt;"",1,0)</f>
        <v>0</v>
      </c>
      <c r="C29" s="873"/>
      <c r="D29" s="683" t="s">
        <v>4996</v>
      </c>
      <c r="E29" s="51"/>
      <c r="F29" s="51"/>
      <c r="G29" s="51"/>
      <c r="H29" s="51"/>
      <c r="I29" s="51"/>
      <c r="J29" s="51"/>
      <c r="K29" s="51"/>
      <c r="L29" s="51"/>
      <c r="M29" s="51"/>
      <c r="N29" s="51"/>
      <c r="O29" s="51"/>
      <c r="P29" s="51"/>
      <c r="Q29" s="51"/>
      <c r="R29" s="10185" t="str">
        <f>IF(SpaceUsed_8949A_ST,"ERROR: DO NOT use the space bar to uncheck a box. Use the 'Delete' key.",IF(A29&gt;1,"Check only ONE box.",IF(OR(NoColor,A29&gt;0),"",IF(A29&lt;1,"Check ONE box.",""))))</f>
        <v>Check ONE box.</v>
      </c>
      <c r="S29" s="10186"/>
      <c r="T29" s="10186"/>
      <c r="U29" s="10186"/>
      <c r="V29" s="10186"/>
      <c r="W29" s="10186"/>
      <c r="X29" s="10186"/>
      <c r="Y29" s="10186"/>
      <c r="Z29" s="10186"/>
      <c r="AA29" s="10186"/>
      <c r="AB29" s="10186"/>
      <c r="AC29" s="10186"/>
      <c r="AD29" s="10186"/>
      <c r="AE29" s="10186"/>
      <c r="AF29" s="51"/>
      <c r="AG29" s="461"/>
      <c r="AH29" s="1028" t="b">
        <f>IF(OR(F8949ASBOXA=CHAR(32),F8949ASBOXB=CHAR(32),F8949ASBOXC=CHAR(32)),TRUE,FALSE)</f>
        <v>0</v>
      </c>
      <c r="AJ29" s="10200" t="s">
        <v>4997</v>
      </c>
      <c r="AK29" s="10201"/>
      <c r="AL29" s="10201"/>
      <c r="AM29" s="10201"/>
      <c r="AN29" s="10201"/>
      <c r="AO29" s="10201"/>
      <c r="AP29" s="10201"/>
      <c r="AQ29" s="10201"/>
      <c r="BA29" s="10196"/>
      <c r="BB29" s="10196"/>
      <c r="BC29" s="10196"/>
    </row>
    <row r="30" spans="1:55" ht="3.75" customHeight="1">
      <c r="A30" s="461"/>
      <c r="B30" s="195"/>
      <c r="C30" s="746"/>
      <c r="D30" s="195"/>
      <c r="E30" s="195"/>
      <c r="F30" s="195"/>
      <c r="G30" s="195"/>
      <c r="H30" s="195"/>
      <c r="I30" s="195"/>
      <c r="J30" s="195"/>
      <c r="K30" s="195"/>
      <c r="L30" s="195"/>
      <c r="M30" s="195"/>
      <c r="N30" s="746"/>
      <c r="O30" s="195"/>
      <c r="P30" s="195"/>
      <c r="Q30" s="195"/>
      <c r="R30" s="195"/>
      <c r="S30" s="195"/>
      <c r="T30" s="195"/>
      <c r="U30" s="195"/>
      <c r="V30" s="195"/>
      <c r="W30" s="195"/>
      <c r="X30" s="195"/>
      <c r="Y30" s="746"/>
      <c r="Z30" s="195"/>
      <c r="AA30" s="195"/>
      <c r="AB30" s="195"/>
      <c r="AC30" s="195"/>
      <c r="AD30" s="195"/>
      <c r="AE30" s="195"/>
      <c r="AF30" s="195"/>
      <c r="AG30" s="461"/>
      <c r="BA30" s="10196"/>
      <c r="BB30" s="10196"/>
      <c r="BC30" s="10196"/>
    </row>
    <row r="31" spans="1:55" ht="21" customHeight="1">
      <c r="A31" s="461"/>
      <c r="B31" s="10143">
        <v>1</v>
      </c>
      <c r="C31" s="10147" t="s">
        <v>4998</v>
      </c>
      <c r="D31" s="10148"/>
      <c r="E31" s="10148"/>
      <c r="F31" s="10148"/>
      <c r="G31" s="10148"/>
      <c r="H31" s="10148"/>
      <c r="I31" s="10149"/>
      <c r="J31" s="10155" t="s">
        <v>4999</v>
      </c>
      <c r="K31" s="7417"/>
      <c r="L31" s="7278"/>
      <c r="M31" s="10155" t="s">
        <v>5000</v>
      </c>
      <c r="N31" s="7417"/>
      <c r="O31" s="7417"/>
      <c r="P31" s="7278"/>
      <c r="Q31" s="10155" t="s">
        <v>5001</v>
      </c>
      <c r="R31" s="7417"/>
      <c r="S31" s="7417"/>
      <c r="T31" s="7278"/>
      <c r="U31" s="10092" t="s">
        <v>5002</v>
      </c>
      <c r="V31" s="10093"/>
      <c r="W31" s="10093"/>
      <c r="X31" s="10094"/>
      <c r="Y31" s="10102" t="s">
        <v>5003</v>
      </c>
      <c r="Z31" s="10103"/>
      <c r="AA31" s="10103"/>
      <c r="AB31" s="10104"/>
      <c r="AC31" s="10092" t="s">
        <v>5004</v>
      </c>
      <c r="AD31" s="10093"/>
      <c r="AE31" s="10093"/>
      <c r="AF31" s="10093"/>
      <c r="AG31" s="461"/>
      <c r="AJ31" s="10202" t="s">
        <v>5005</v>
      </c>
      <c r="AK31" s="10202" t="s">
        <v>5006</v>
      </c>
      <c r="AL31" s="10202" t="s">
        <v>5007</v>
      </c>
      <c r="AM31" s="10202" t="s">
        <v>5008</v>
      </c>
      <c r="AN31" s="10204" t="s">
        <v>5009</v>
      </c>
      <c r="AO31" s="10199" t="s">
        <v>5010</v>
      </c>
      <c r="AP31" s="7302"/>
      <c r="AQ31" s="10202" t="s">
        <v>5011</v>
      </c>
      <c r="BA31" s="10196"/>
      <c r="BB31" s="10196"/>
      <c r="BC31" s="10196"/>
    </row>
    <row r="32" spans="1:55" ht="21" customHeight="1">
      <c r="A32" s="461"/>
      <c r="B32" s="10144"/>
      <c r="C32" s="10150"/>
      <c r="D32" s="10151"/>
      <c r="E32" s="10151"/>
      <c r="F32" s="10151"/>
      <c r="G32" s="10151"/>
      <c r="H32" s="10151"/>
      <c r="I32" s="10152"/>
      <c r="J32" s="10156"/>
      <c r="K32" s="8454"/>
      <c r="L32" s="7280"/>
      <c r="M32" s="10156"/>
      <c r="N32" s="8454"/>
      <c r="O32" s="8454"/>
      <c r="P32" s="7280"/>
      <c r="Q32" s="10156"/>
      <c r="R32" s="8454"/>
      <c r="S32" s="8454"/>
      <c r="T32" s="7280"/>
      <c r="U32" s="10095"/>
      <c r="V32" s="10096"/>
      <c r="W32" s="10096"/>
      <c r="X32" s="10097"/>
      <c r="Y32" s="10105"/>
      <c r="Z32" s="10106"/>
      <c r="AA32" s="10106"/>
      <c r="AB32" s="10107"/>
      <c r="AC32" s="10095"/>
      <c r="AD32" s="10096"/>
      <c r="AE32" s="10096"/>
      <c r="AF32" s="10096"/>
      <c r="AG32" s="461"/>
      <c r="AJ32" s="10202"/>
      <c r="AK32" s="10202"/>
      <c r="AL32" s="10202"/>
      <c r="AM32" s="10202"/>
      <c r="AN32" s="10204"/>
      <c r="AO32" s="7414"/>
      <c r="AP32" s="7308"/>
      <c r="AQ32" s="10202"/>
      <c r="BA32" s="10196"/>
      <c r="BB32" s="10196"/>
      <c r="BC32" s="10196"/>
    </row>
    <row r="33" spans="1:55" ht="18" customHeight="1">
      <c r="A33" s="461"/>
      <c r="B33" s="10145"/>
      <c r="C33" s="10151"/>
      <c r="D33" s="10151"/>
      <c r="E33" s="10151"/>
      <c r="F33" s="10151"/>
      <c r="G33" s="10151"/>
      <c r="H33" s="10151"/>
      <c r="I33" s="10152"/>
      <c r="J33" s="7279"/>
      <c r="K33" s="8454"/>
      <c r="L33" s="7280"/>
      <c r="M33" s="7279"/>
      <c r="N33" s="8454"/>
      <c r="O33" s="8454"/>
      <c r="P33" s="7280"/>
      <c r="Q33" s="7279"/>
      <c r="R33" s="8454"/>
      <c r="S33" s="8454"/>
      <c r="T33" s="7280"/>
      <c r="U33" s="10098"/>
      <c r="V33" s="10096"/>
      <c r="W33" s="10096"/>
      <c r="X33" s="10097"/>
      <c r="Y33" s="7396" t="s">
        <v>5012</v>
      </c>
      <c r="Z33" s="7278"/>
      <c r="AA33" s="7396" t="s">
        <v>5013</v>
      </c>
      <c r="AB33" s="7451"/>
      <c r="AC33" s="10098"/>
      <c r="AD33" s="10096"/>
      <c r="AE33" s="10096"/>
      <c r="AF33" s="10096"/>
      <c r="AG33" s="461"/>
      <c r="AJ33" s="10203"/>
      <c r="AK33" s="10203"/>
      <c r="AL33" s="10203"/>
      <c r="AM33" s="10203"/>
      <c r="AN33" s="10205"/>
      <c r="AO33" s="10197" t="s">
        <v>5014</v>
      </c>
      <c r="AP33" s="7577" t="s">
        <v>5013</v>
      </c>
      <c r="AQ33" s="10203"/>
      <c r="BA33" s="10196"/>
      <c r="BB33" s="10196"/>
      <c r="BC33" s="10196"/>
    </row>
    <row r="34" spans="1:55" ht="18" customHeight="1">
      <c r="A34" s="461"/>
      <c r="B34" s="10146"/>
      <c r="C34" s="10153"/>
      <c r="D34" s="10153"/>
      <c r="E34" s="10153"/>
      <c r="F34" s="10153"/>
      <c r="G34" s="10153"/>
      <c r="H34" s="10153"/>
      <c r="I34" s="10154"/>
      <c r="J34" s="7281"/>
      <c r="K34" s="10157"/>
      <c r="L34" s="7282"/>
      <c r="M34" s="7281"/>
      <c r="N34" s="10157"/>
      <c r="O34" s="10157"/>
      <c r="P34" s="7282"/>
      <c r="Q34" s="7281"/>
      <c r="R34" s="10157"/>
      <c r="S34" s="10157"/>
      <c r="T34" s="7282"/>
      <c r="U34" s="10099"/>
      <c r="V34" s="10100"/>
      <c r="W34" s="10100"/>
      <c r="X34" s="10101"/>
      <c r="Y34" s="7281"/>
      <c r="Z34" s="7282"/>
      <c r="AA34" s="6734"/>
      <c r="AB34" s="7453"/>
      <c r="AC34" s="10099"/>
      <c r="AD34" s="10100"/>
      <c r="AE34" s="10100"/>
      <c r="AF34" s="10100"/>
      <c r="AG34" s="461"/>
      <c r="AJ34" s="10203"/>
      <c r="AK34" s="10203"/>
      <c r="AL34" s="10203"/>
      <c r="AM34" s="10203"/>
      <c r="AN34" s="10205"/>
      <c r="AO34" s="10198"/>
      <c r="AP34" s="10198"/>
      <c r="AQ34" s="10203"/>
      <c r="BA34" s="10196"/>
      <c r="BB34" s="10196"/>
      <c r="BC34" s="10196"/>
    </row>
    <row r="35" spans="1:55" ht="19.5" customHeight="1">
      <c r="A35" s="461">
        <f>IF(OR(Q35&lt;&gt;"",U35&lt;&gt;"",AC35&lt;&gt;""),1,0)</f>
        <v>0</v>
      </c>
      <c r="B35" s="10085" t="str">
        <f>IF(AJ35="","",AJ35)</f>
        <v/>
      </c>
      <c r="C35" s="9649"/>
      <c r="D35" s="9649"/>
      <c r="E35" s="9649"/>
      <c r="F35" s="9649"/>
      <c r="G35" s="9649"/>
      <c r="H35" s="9649"/>
      <c r="I35" s="9667"/>
      <c r="J35" s="10086" t="str">
        <f>IF(AK35="","",AK35)</f>
        <v/>
      </c>
      <c r="K35" s="10087"/>
      <c r="L35" s="10087"/>
      <c r="M35" s="10086" t="str">
        <f>IF(AL35="","",AL35)</f>
        <v/>
      </c>
      <c r="N35" s="10087"/>
      <c r="O35" s="10087"/>
      <c r="P35" s="10088"/>
      <c r="Q35" s="7143" t="str">
        <f>IF(AM35="","",AM35)</f>
        <v/>
      </c>
      <c r="R35" s="10090"/>
      <c r="S35" s="10090"/>
      <c r="T35" s="10091"/>
      <c r="U35" s="7143" t="str">
        <f>IF(AN35="","",AN35)</f>
        <v/>
      </c>
      <c r="V35" s="10090"/>
      <c r="W35" s="10090"/>
      <c r="X35" s="10091"/>
      <c r="Y35" s="10089" t="str">
        <f>IF(AO35&lt;&gt;"",AO35,"")</f>
        <v/>
      </c>
      <c r="Z35" s="6563"/>
      <c r="AA35" s="10089" t="str">
        <f>IF(AP35="","",AP35)</f>
        <v/>
      </c>
      <c r="AB35" s="6563"/>
      <c r="AC35" s="10138" t="str">
        <f>IF(AQ35&lt;&gt;"",AQ35,IF(AND(Q35="",U35=""),"",IF(AND(Q35&lt;&gt;"",U35=""),SUM(Q35,AA35),SUM(Q35,-U35,AA35))))</f>
        <v/>
      </c>
      <c r="AD35" s="10139"/>
      <c r="AE35" s="10139"/>
      <c r="AF35" s="10139"/>
      <c r="AG35" s="911">
        <f>IF(OR(J35="",M35=""),0,IF(OR(BA35,BB35,BC35),0,1))</f>
        <v>0</v>
      </c>
      <c r="AH35" s="5727"/>
      <c r="AI35" s="5727" t="e">
        <f t="shared" ref="AI35:AI54" si="0">M35-J35</f>
        <v>#VALUE!</v>
      </c>
      <c r="AJ35" s="853"/>
      <c r="AK35" s="857"/>
      <c r="AL35" s="857"/>
      <c r="AM35" s="855"/>
      <c r="AN35" s="855"/>
      <c r="AO35" s="856"/>
      <c r="AP35" s="855"/>
      <c r="AQ35" s="854"/>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61">
        <f t="shared" ref="A36:A54" si="1">IF(OR(Q36&lt;&gt;"",U36&lt;&gt;"",AC36&lt;&gt;""),1,0)</f>
        <v>0</v>
      </c>
      <c r="B36" s="10085" t="str">
        <f t="shared" ref="B36:B54" si="2">IF(AJ36="","",AJ36)</f>
        <v/>
      </c>
      <c r="C36" s="9649"/>
      <c r="D36" s="9649"/>
      <c r="E36" s="9649"/>
      <c r="F36" s="9649"/>
      <c r="G36" s="9649"/>
      <c r="H36" s="9649"/>
      <c r="I36" s="9667"/>
      <c r="J36" s="10086" t="str">
        <f t="shared" ref="J36:J54" si="3">IF(AK36="","",AK36)</f>
        <v/>
      </c>
      <c r="K36" s="10087"/>
      <c r="L36" s="10087"/>
      <c r="M36" s="10086" t="str">
        <f t="shared" ref="M36:M54" si="4">IF(AL36="","",AL36)</f>
        <v/>
      </c>
      <c r="N36" s="10087"/>
      <c r="O36" s="10087"/>
      <c r="P36" s="10088"/>
      <c r="Q36" s="7143" t="str">
        <f t="shared" ref="Q36:Q54" si="5">IF(AM36="","",AM36)</f>
        <v/>
      </c>
      <c r="R36" s="10090"/>
      <c r="S36" s="10090"/>
      <c r="T36" s="10091"/>
      <c r="U36" s="7143" t="str">
        <f t="shared" ref="U36:U54" si="6">IF(AN36="","",AN36)</f>
        <v/>
      </c>
      <c r="V36" s="10090"/>
      <c r="W36" s="10090"/>
      <c r="X36" s="10091"/>
      <c r="Y36" s="10089" t="str">
        <f>IF(AO36&lt;&gt;"",AO36,"")</f>
        <v/>
      </c>
      <c r="Z36" s="6563"/>
      <c r="AA36" s="10089" t="str">
        <f>IF(AP36="","",AP36)</f>
        <v/>
      </c>
      <c r="AB36" s="6563"/>
      <c r="AC36" s="10138" t="str">
        <f t="shared" ref="AC36:AC54" si="7">IF(AQ36&lt;&gt;"",AQ36,IF(AND(Q36="",U36=""),"",IF(AND(Q36&lt;&gt;"",U36=""),SUM(Q36,AA36),SUM(Q36,-U36,AA36))))</f>
        <v/>
      </c>
      <c r="AD36" s="10139"/>
      <c r="AE36" s="10139"/>
      <c r="AF36" s="10139"/>
      <c r="AG36" s="911">
        <f t="shared" ref="AG36:AG54" si="8">IF(OR(J36="",M36=""),0,IF(OR(BA36,BB36,BC36),0,1))</f>
        <v>0</v>
      </c>
      <c r="AH36" s="5727"/>
      <c r="AI36" s="5727" t="e">
        <f t="shared" si="0"/>
        <v>#VALUE!</v>
      </c>
      <c r="AJ36" s="853"/>
      <c r="AK36" s="857"/>
      <c r="AL36" s="857"/>
      <c r="AM36" s="855"/>
      <c r="AN36" s="855"/>
      <c r="AO36" s="856"/>
      <c r="AP36" s="855"/>
      <c r="AQ36" s="854"/>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61">
        <f t="shared" si="1"/>
        <v>0</v>
      </c>
      <c r="B37" s="10085" t="str">
        <f t="shared" si="2"/>
        <v/>
      </c>
      <c r="C37" s="9649"/>
      <c r="D37" s="9649"/>
      <c r="E37" s="9649"/>
      <c r="F37" s="9649"/>
      <c r="G37" s="9649"/>
      <c r="H37" s="9649"/>
      <c r="I37" s="9667"/>
      <c r="J37" s="10086" t="str">
        <f t="shared" si="3"/>
        <v/>
      </c>
      <c r="K37" s="10087"/>
      <c r="L37" s="10087"/>
      <c r="M37" s="10086" t="str">
        <f t="shared" si="4"/>
        <v/>
      </c>
      <c r="N37" s="10087"/>
      <c r="O37" s="10087"/>
      <c r="P37" s="10088"/>
      <c r="Q37" s="7143" t="str">
        <f t="shared" si="5"/>
        <v/>
      </c>
      <c r="R37" s="10090"/>
      <c r="S37" s="10090"/>
      <c r="T37" s="10091"/>
      <c r="U37" s="7143" t="str">
        <f t="shared" si="6"/>
        <v/>
      </c>
      <c r="V37" s="10090"/>
      <c r="W37" s="10090"/>
      <c r="X37" s="10091"/>
      <c r="Y37" s="10089" t="str">
        <f>IF(AO37&lt;&gt;"",AO37,"")</f>
        <v/>
      </c>
      <c r="Z37" s="6563"/>
      <c r="AA37" s="10089" t="str">
        <f>IF(AP37="","",AP37)</f>
        <v/>
      </c>
      <c r="AB37" s="6563"/>
      <c r="AC37" s="10138" t="str">
        <f t="shared" si="7"/>
        <v/>
      </c>
      <c r="AD37" s="10139"/>
      <c r="AE37" s="10139"/>
      <c r="AF37" s="10139"/>
      <c r="AG37" s="911">
        <f t="shared" si="8"/>
        <v>0</v>
      </c>
      <c r="AH37" s="5727"/>
      <c r="AI37" s="5727" t="e">
        <f t="shared" si="0"/>
        <v>#VALUE!</v>
      </c>
      <c r="AJ37" s="853"/>
      <c r="AK37" s="857"/>
      <c r="AL37" s="857"/>
      <c r="AM37" s="855"/>
      <c r="AN37" s="855"/>
      <c r="AO37" s="856"/>
      <c r="AP37" s="855"/>
      <c r="AQ37" s="854"/>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61">
        <f t="shared" si="1"/>
        <v>0</v>
      </c>
      <c r="B38" s="10085" t="str">
        <f t="shared" si="2"/>
        <v/>
      </c>
      <c r="C38" s="9649"/>
      <c r="D38" s="9649"/>
      <c r="E38" s="9649"/>
      <c r="F38" s="9649"/>
      <c r="G38" s="9649"/>
      <c r="H38" s="9649"/>
      <c r="I38" s="9667"/>
      <c r="J38" s="10086" t="str">
        <f t="shared" si="3"/>
        <v/>
      </c>
      <c r="K38" s="10087"/>
      <c r="L38" s="10087"/>
      <c r="M38" s="10086" t="str">
        <f t="shared" si="4"/>
        <v/>
      </c>
      <c r="N38" s="10087"/>
      <c r="O38" s="10087"/>
      <c r="P38" s="10088"/>
      <c r="Q38" s="7143" t="str">
        <f t="shared" si="5"/>
        <v/>
      </c>
      <c r="R38" s="10090"/>
      <c r="S38" s="10090"/>
      <c r="T38" s="10091"/>
      <c r="U38" s="7143" t="str">
        <f t="shared" si="6"/>
        <v/>
      </c>
      <c r="V38" s="10090"/>
      <c r="W38" s="10090"/>
      <c r="X38" s="10091"/>
      <c r="Y38" s="10089" t="str">
        <f t="shared" ref="Y38:Y54" si="18">IF(AO38&lt;&gt;"",AO38,"")</f>
        <v/>
      </c>
      <c r="Z38" s="6563"/>
      <c r="AA38" s="10089" t="str">
        <f t="shared" ref="AA38:AA54" si="19">IF(AP38="","",AP38)</f>
        <v/>
      </c>
      <c r="AB38" s="6563"/>
      <c r="AC38" s="10138" t="str">
        <f t="shared" si="7"/>
        <v/>
      </c>
      <c r="AD38" s="10139"/>
      <c r="AE38" s="10139"/>
      <c r="AF38" s="10139"/>
      <c r="AG38" s="911">
        <f t="shared" si="8"/>
        <v>0</v>
      </c>
      <c r="AH38" s="5727"/>
      <c r="AI38" s="5727" t="e">
        <f t="shared" si="0"/>
        <v>#VALUE!</v>
      </c>
      <c r="AJ38" s="853"/>
      <c r="AK38" s="857"/>
      <c r="AL38" s="857"/>
      <c r="AM38" s="855"/>
      <c r="AN38" s="855"/>
      <c r="AO38" s="856"/>
      <c r="AP38" s="855"/>
      <c r="AQ38" s="854"/>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61">
        <f t="shared" si="1"/>
        <v>0</v>
      </c>
      <c r="B39" s="10085" t="str">
        <f t="shared" si="2"/>
        <v/>
      </c>
      <c r="C39" s="9649"/>
      <c r="D39" s="9649"/>
      <c r="E39" s="9649"/>
      <c r="F39" s="9649"/>
      <c r="G39" s="9649"/>
      <c r="H39" s="9649"/>
      <c r="I39" s="9667"/>
      <c r="J39" s="10086" t="str">
        <f t="shared" si="3"/>
        <v/>
      </c>
      <c r="K39" s="10087"/>
      <c r="L39" s="10087"/>
      <c r="M39" s="10086" t="str">
        <f t="shared" si="4"/>
        <v/>
      </c>
      <c r="N39" s="10087"/>
      <c r="O39" s="10087"/>
      <c r="P39" s="10088"/>
      <c r="Q39" s="7143" t="str">
        <f t="shared" si="5"/>
        <v/>
      </c>
      <c r="R39" s="10090"/>
      <c r="S39" s="10090"/>
      <c r="T39" s="10091"/>
      <c r="U39" s="7143" t="str">
        <f t="shared" si="6"/>
        <v/>
      </c>
      <c r="V39" s="10090"/>
      <c r="W39" s="10090"/>
      <c r="X39" s="10091"/>
      <c r="Y39" s="10089" t="str">
        <f t="shared" si="18"/>
        <v/>
      </c>
      <c r="Z39" s="6563"/>
      <c r="AA39" s="10089" t="str">
        <f t="shared" si="19"/>
        <v/>
      </c>
      <c r="AB39" s="6563"/>
      <c r="AC39" s="10138" t="str">
        <f t="shared" si="7"/>
        <v/>
      </c>
      <c r="AD39" s="10139"/>
      <c r="AE39" s="10139"/>
      <c r="AF39" s="10139"/>
      <c r="AG39" s="911">
        <f t="shared" si="8"/>
        <v>0</v>
      </c>
      <c r="AH39" s="5727"/>
      <c r="AI39" s="5727" t="e">
        <f t="shared" si="0"/>
        <v>#VALUE!</v>
      </c>
      <c r="AJ39" s="853"/>
      <c r="AK39" s="857"/>
      <c r="AL39" s="857"/>
      <c r="AM39" s="855"/>
      <c r="AN39" s="855"/>
      <c r="AO39" s="856"/>
      <c r="AP39" s="855"/>
      <c r="AQ39" s="854"/>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61">
        <f t="shared" si="1"/>
        <v>0</v>
      </c>
      <c r="B40" s="10085" t="str">
        <f t="shared" si="2"/>
        <v/>
      </c>
      <c r="C40" s="9649"/>
      <c r="D40" s="9649"/>
      <c r="E40" s="9649"/>
      <c r="F40" s="9649"/>
      <c r="G40" s="9649"/>
      <c r="H40" s="9649"/>
      <c r="I40" s="9667"/>
      <c r="J40" s="10086" t="str">
        <f t="shared" si="3"/>
        <v/>
      </c>
      <c r="K40" s="10087"/>
      <c r="L40" s="10087"/>
      <c r="M40" s="10086" t="str">
        <f t="shared" si="4"/>
        <v/>
      </c>
      <c r="N40" s="10087"/>
      <c r="O40" s="10087"/>
      <c r="P40" s="10088"/>
      <c r="Q40" s="7143" t="str">
        <f t="shared" si="5"/>
        <v/>
      </c>
      <c r="R40" s="10090"/>
      <c r="S40" s="10090"/>
      <c r="T40" s="10091"/>
      <c r="U40" s="7143" t="str">
        <f t="shared" si="6"/>
        <v/>
      </c>
      <c r="V40" s="10090"/>
      <c r="W40" s="10090"/>
      <c r="X40" s="10091"/>
      <c r="Y40" s="10089" t="str">
        <f t="shared" si="18"/>
        <v/>
      </c>
      <c r="Z40" s="6563"/>
      <c r="AA40" s="10089" t="str">
        <f t="shared" si="19"/>
        <v/>
      </c>
      <c r="AB40" s="6563"/>
      <c r="AC40" s="10138" t="str">
        <f t="shared" si="7"/>
        <v/>
      </c>
      <c r="AD40" s="10139"/>
      <c r="AE40" s="10139"/>
      <c r="AF40" s="10139"/>
      <c r="AG40" s="911">
        <f t="shared" si="8"/>
        <v>0</v>
      </c>
      <c r="AH40" s="5727"/>
      <c r="AI40" s="5727" t="e">
        <f t="shared" si="0"/>
        <v>#VALUE!</v>
      </c>
      <c r="AJ40" s="853"/>
      <c r="AK40" s="857"/>
      <c r="AL40" s="857"/>
      <c r="AM40" s="855"/>
      <c r="AN40" s="855"/>
      <c r="AO40" s="856"/>
      <c r="AP40" s="855"/>
      <c r="AQ40" s="854"/>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61">
        <f t="shared" si="1"/>
        <v>0</v>
      </c>
      <c r="B41" s="10085" t="str">
        <f t="shared" si="2"/>
        <v/>
      </c>
      <c r="C41" s="9649"/>
      <c r="D41" s="9649"/>
      <c r="E41" s="9649"/>
      <c r="F41" s="9649"/>
      <c r="G41" s="9649"/>
      <c r="H41" s="9649"/>
      <c r="I41" s="9667"/>
      <c r="J41" s="10086" t="str">
        <f>IF(AK41="","",AK41)</f>
        <v/>
      </c>
      <c r="K41" s="10087"/>
      <c r="L41" s="10087"/>
      <c r="M41" s="10086" t="str">
        <f>IF(AL41="","",AL41)</f>
        <v/>
      </c>
      <c r="N41" s="10087"/>
      <c r="O41" s="10087"/>
      <c r="P41" s="10088"/>
      <c r="Q41" s="7143" t="str">
        <f t="shared" si="5"/>
        <v/>
      </c>
      <c r="R41" s="10090"/>
      <c r="S41" s="10090"/>
      <c r="T41" s="10091"/>
      <c r="U41" s="7143" t="str">
        <f t="shared" si="6"/>
        <v/>
      </c>
      <c r="V41" s="10090"/>
      <c r="W41" s="10090"/>
      <c r="X41" s="10091"/>
      <c r="Y41" s="10089" t="str">
        <f t="shared" si="18"/>
        <v/>
      </c>
      <c r="Z41" s="6563"/>
      <c r="AA41" s="10089" t="str">
        <f t="shared" si="19"/>
        <v/>
      </c>
      <c r="AB41" s="6563"/>
      <c r="AC41" s="10138" t="str">
        <f t="shared" si="7"/>
        <v/>
      </c>
      <c r="AD41" s="10139"/>
      <c r="AE41" s="10139"/>
      <c r="AF41" s="10139"/>
      <c r="AG41" s="911">
        <f t="shared" si="8"/>
        <v>0</v>
      </c>
      <c r="AH41" s="5727"/>
      <c r="AI41" s="5727" t="e">
        <f t="shared" si="0"/>
        <v>#VALUE!</v>
      </c>
      <c r="AJ41" s="853"/>
      <c r="AK41" s="857"/>
      <c r="AL41" s="857"/>
      <c r="AM41" s="855"/>
      <c r="AN41" s="855"/>
      <c r="AO41" s="856"/>
      <c r="AP41" s="855"/>
      <c r="AQ41" s="854"/>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61">
        <f t="shared" si="1"/>
        <v>0</v>
      </c>
      <c r="B42" s="10085" t="str">
        <f t="shared" si="2"/>
        <v/>
      </c>
      <c r="C42" s="9649"/>
      <c r="D42" s="9649"/>
      <c r="E42" s="9649"/>
      <c r="F42" s="9649"/>
      <c r="G42" s="9649"/>
      <c r="H42" s="9649"/>
      <c r="I42" s="9667"/>
      <c r="J42" s="10086" t="str">
        <f t="shared" si="3"/>
        <v/>
      </c>
      <c r="K42" s="10087"/>
      <c r="L42" s="10087"/>
      <c r="M42" s="10086" t="str">
        <f t="shared" si="4"/>
        <v/>
      </c>
      <c r="N42" s="10087"/>
      <c r="O42" s="10087"/>
      <c r="P42" s="10088"/>
      <c r="Q42" s="7143" t="str">
        <f t="shared" si="5"/>
        <v/>
      </c>
      <c r="R42" s="10090"/>
      <c r="S42" s="10090"/>
      <c r="T42" s="10091"/>
      <c r="U42" s="7143" t="str">
        <f t="shared" si="6"/>
        <v/>
      </c>
      <c r="V42" s="10090"/>
      <c r="W42" s="10090"/>
      <c r="X42" s="10091"/>
      <c r="Y42" s="10089" t="str">
        <f t="shared" si="18"/>
        <v/>
      </c>
      <c r="Z42" s="6563"/>
      <c r="AA42" s="10089" t="str">
        <f t="shared" si="19"/>
        <v/>
      </c>
      <c r="AB42" s="6563"/>
      <c r="AC42" s="10138" t="str">
        <f t="shared" si="7"/>
        <v/>
      </c>
      <c r="AD42" s="10139"/>
      <c r="AE42" s="10139"/>
      <c r="AF42" s="10139"/>
      <c r="AG42" s="911">
        <f t="shared" si="8"/>
        <v>0</v>
      </c>
      <c r="AH42" s="5727"/>
      <c r="AI42" s="5727" t="e">
        <f t="shared" si="0"/>
        <v>#VALUE!</v>
      </c>
      <c r="AJ42" s="853"/>
      <c r="AK42" s="857"/>
      <c r="AL42" s="857"/>
      <c r="AM42" s="855"/>
      <c r="AN42" s="855"/>
      <c r="AO42" s="856"/>
      <c r="AP42" s="855"/>
      <c r="AQ42" s="854"/>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61">
        <f t="shared" si="1"/>
        <v>0</v>
      </c>
      <c r="B43" s="10085" t="str">
        <f t="shared" si="2"/>
        <v/>
      </c>
      <c r="C43" s="9649"/>
      <c r="D43" s="9649"/>
      <c r="E43" s="9649"/>
      <c r="F43" s="9649"/>
      <c r="G43" s="9649"/>
      <c r="H43" s="9649"/>
      <c r="I43" s="9667"/>
      <c r="J43" s="10086" t="str">
        <f t="shared" si="3"/>
        <v/>
      </c>
      <c r="K43" s="10087"/>
      <c r="L43" s="10087"/>
      <c r="M43" s="10086" t="str">
        <f t="shared" si="4"/>
        <v/>
      </c>
      <c r="N43" s="10087"/>
      <c r="O43" s="10087"/>
      <c r="P43" s="10088"/>
      <c r="Q43" s="7143" t="str">
        <f t="shared" si="5"/>
        <v/>
      </c>
      <c r="R43" s="10090"/>
      <c r="S43" s="10090"/>
      <c r="T43" s="10091"/>
      <c r="U43" s="7143" t="str">
        <f t="shared" si="6"/>
        <v/>
      </c>
      <c r="V43" s="10090"/>
      <c r="W43" s="10090"/>
      <c r="X43" s="10091"/>
      <c r="Y43" s="10089" t="str">
        <f t="shared" si="18"/>
        <v/>
      </c>
      <c r="Z43" s="6563"/>
      <c r="AA43" s="10089" t="str">
        <f t="shared" si="19"/>
        <v/>
      </c>
      <c r="AB43" s="6563"/>
      <c r="AC43" s="10138" t="str">
        <f t="shared" si="7"/>
        <v/>
      </c>
      <c r="AD43" s="10139"/>
      <c r="AE43" s="10139"/>
      <c r="AF43" s="10139"/>
      <c r="AG43" s="911">
        <f t="shared" si="8"/>
        <v>0</v>
      </c>
      <c r="AH43" s="5727"/>
      <c r="AI43" s="5727" t="e">
        <f t="shared" si="0"/>
        <v>#VALUE!</v>
      </c>
      <c r="AJ43" s="853"/>
      <c r="AK43" s="857"/>
      <c r="AL43" s="857"/>
      <c r="AM43" s="855"/>
      <c r="AN43" s="855"/>
      <c r="AO43" s="856"/>
      <c r="AP43" s="855"/>
      <c r="AQ43" s="854"/>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61">
        <f t="shared" si="1"/>
        <v>0</v>
      </c>
      <c r="B44" s="10085" t="str">
        <f t="shared" si="2"/>
        <v/>
      </c>
      <c r="C44" s="9649"/>
      <c r="D44" s="9649"/>
      <c r="E44" s="9649"/>
      <c r="F44" s="9649"/>
      <c r="G44" s="9649"/>
      <c r="H44" s="9649"/>
      <c r="I44" s="9667"/>
      <c r="J44" s="10086" t="str">
        <f t="shared" si="3"/>
        <v/>
      </c>
      <c r="K44" s="10087"/>
      <c r="L44" s="10087"/>
      <c r="M44" s="10086" t="str">
        <f t="shared" si="4"/>
        <v/>
      </c>
      <c r="N44" s="10087"/>
      <c r="O44" s="10087"/>
      <c r="P44" s="10088"/>
      <c r="Q44" s="7143" t="str">
        <f t="shared" si="5"/>
        <v/>
      </c>
      <c r="R44" s="10090"/>
      <c r="S44" s="10090"/>
      <c r="T44" s="10091"/>
      <c r="U44" s="7143" t="str">
        <f t="shared" si="6"/>
        <v/>
      </c>
      <c r="V44" s="10090"/>
      <c r="W44" s="10090"/>
      <c r="X44" s="10091"/>
      <c r="Y44" s="10089" t="str">
        <f t="shared" si="18"/>
        <v/>
      </c>
      <c r="Z44" s="6563"/>
      <c r="AA44" s="10089" t="str">
        <f t="shared" si="19"/>
        <v/>
      </c>
      <c r="AB44" s="6563"/>
      <c r="AC44" s="10138" t="str">
        <f t="shared" si="7"/>
        <v/>
      </c>
      <c r="AD44" s="10139"/>
      <c r="AE44" s="10139"/>
      <c r="AF44" s="10139"/>
      <c r="AG44" s="911">
        <f t="shared" si="8"/>
        <v>0</v>
      </c>
      <c r="AH44" s="5727"/>
      <c r="AI44" s="5727" t="e">
        <f t="shared" si="0"/>
        <v>#VALUE!</v>
      </c>
      <c r="AJ44" s="853"/>
      <c r="AK44" s="857"/>
      <c r="AL44" s="857"/>
      <c r="AM44" s="855"/>
      <c r="AN44" s="855"/>
      <c r="AO44" s="856"/>
      <c r="AP44" s="855"/>
      <c r="AQ44" s="854"/>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61">
        <f t="shared" si="1"/>
        <v>0</v>
      </c>
      <c r="B45" s="10085" t="str">
        <f t="shared" si="2"/>
        <v/>
      </c>
      <c r="C45" s="9649"/>
      <c r="D45" s="9649"/>
      <c r="E45" s="9649"/>
      <c r="F45" s="9649"/>
      <c r="G45" s="9649"/>
      <c r="H45" s="9649"/>
      <c r="I45" s="9667"/>
      <c r="J45" s="10086" t="str">
        <f t="shared" si="3"/>
        <v/>
      </c>
      <c r="K45" s="10087"/>
      <c r="L45" s="10087"/>
      <c r="M45" s="10086" t="str">
        <f t="shared" si="4"/>
        <v/>
      </c>
      <c r="N45" s="10087"/>
      <c r="O45" s="10087"/>
      <c r="P45" s="10088"/>
      <c r="Q45" s="7143" t="str">
        <f t="shared" si="5"/>
        <v/>
      </c>
      <c r="R45" s="10090"/>
      <c r="S45" s="10090"/>
      <c r="T45" s="10091"/>
      <c r="U45" s="7143" t="str">
        <f t="shared" si="6"/>
        <v/>
      </c>
      <c r="V45" s="10090"/>
      <c r="W45" s="10090"/>
      <c r="X45" s="10091"/>
      <c r="Y45" s="10089" t="str">
        <f t="shared" si="18"/>
        <v/>
      </c>
      <c r="Z45" s="6563"/>
      <c r="AA45" s="10089" t="str">
        <f t="shared" si="19"/>
        <v/>
      </c>
      <c r="AB45" s="6563"/>
      <c r="AC45" s="10138" t="str">
        <f t="shared" si="7"/>
        <v/>
      </c>
      <c r="AD45" s="10139"/>
      <c r="AE45" s="10139"/>
      <c r="AF45" s="10139"/>
      <c r="AG45" s="911">
        <f t="shared" si="8"/>
        <v>0</v>
      </c>
      <c r="AH45" s="5727"/>
      <c r="AI45" s="5727" t="e">
        <f t="shared" si="0"/>
        <v>#VALUE!</v>
      </c>
      <c r="AJ45" s="853"/>
      <c r="AK45" s="857"/>
      <c r="AL45" s="857"/>
      <c r="AM45" s="855"/>
      <c r="AN45" s="855"/>
      <c r="AO45" s="856"/>
      <c r="AP45" s="855"/>
      <c r="AQ45" s="854"/>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61">
        <f t="shared" si="1"/>
        <v>0</v>
      </c>
      <c r="B46" s="10085" t="str">
        <f t="shared" si="2"/>
        <v/>
      </c>
      <c r="C46" s="9649"/>
      <c r="D46" s="9649"/>
      <c r="E46" s="9649"/>
      <c r="F46" s="9649"/>
      <c r="G46" s="9649"/>
      <c r="H46" s="9649"/>
      <c r="I46" s="9667"/>
      <c r="J46" s="10086" t="str">
        <f t="shared" si="3"/>
        <v/>
      </c>
      <c r="K46" s="10087"/>
      <c r="L46" s="10087"/>
      <c r="M46" s="10086" t="str">
        <f t="shared" si="4"/>
        <v/>
      </c>
      <c r="N46" s="10087"/>
      <c r="O46" s="10087"/>
      <c r="P46" s="10088"/>
      <c r="Q46" s="7143" t="str">
        <f t="shared" si="5"/>
        <v/>
      </c>
      <c r="R46" s="10090"/>
      <c r="S46" s="10090"/>
      <c r="T46" s="10091"/>
      <c r="U46" s="7143" t="str">
        <f t="shared" si="6"/>
        <v/>
      </c>
      <c r="V46" s="10090"/>
      <c r="W46" s="10090"/>
      <c r="X46" s="10091"/>
      <c r="Y46" s="10089" t="str">
        <f t="shared" si="18"/>
        <v/>
      </c>
      <c r="Z46" s="6563"/>
      <c r="AA46" s="10089" t="str">
        <f t="shared" si="19"/>
        <v/>
      </c>
      <c r="AB46" s="6563"/>
      <c r="AC46" s="10138" t="str">
        <f t="shared" si="7"/>
        <v/>
      </c>
      <c r="AD46" s="10139"/>
      <c r="AE46" s="10139"/>
      <c r="AF46" s="10139"/>
      <c r="AG46" s="911">
        <f t="shared" si="8"/>
        <v>0</v>
      </c>
      <c r="AH46" s="5727"/>
      <c r="AI46" s="5727" t="e">
        <f t="shared" si="0"/>
        <v>#VALUE!</v>
      </c>
      <c r="AJ46" s="853"/>
      <c r="AK46" s="857"/>
      <c r="AL46" s="857"/>
      <c r="AM46" s="855"/>
      <c r="AN46" s="855"/>
      <c r="AO46" s="856"/>
      <c r="AP46" s="855"/>
      <c r="AQ46" s="854"/>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61">
        <f t="shared" si="1"/>
        <v>0</v>
      </c>
      <c r="B47" s="10085" t="str">
        <f t="shared" si="2"/>
        <v/>
      </c>
      <c r="C47" s="9649"/>
      <c r="D47" s="9649"/>
      <c r="E47" s="9649"/>
      <c r="F47" s="9649"/>
      <c r="G47" s="9649"/>
      <c r="H47" s="9649"/>
      <c r="I47" s="9667"/>
      <c r="J47" s="10086" t="str">
        <f t="shared" si="3"/>
        <v/>
      </c>
      <c r="K47" s="10087"/>
      <c r="L47" s="10087"/>
      <c r="M47" s="10086" t="str">
        <f t="shared" si="4"/>
        <v/>
      </c>
      <c r="N47" s="10087"/>
      <c r="O47" s="10087"/>
      <c r="P47" s="10088"/>
      <c r="Q47" s="7143" t="str">
        <f t="shared" si="5"/>
        <v/>
      </c>
      <c r="R47" s="10090"/>
      <c r="S47" s="10090"/>
      <c r="T47" s="10091"/>
      <c r="U47" s="7143" t="str">
        <f t="shared" si="6"/>
        <v/>
      </c>
      <c r="V47" s="10090"/>
      <c r="W47" s="10090"/>
      <c r="X47" s="10091"/>
      <c r="Y47" s="10089" t="str">
        <f t="shared" si="18"/>
        <v/>
      </c>
      <c r="Z47" s="6563"/>
      <c r="AA47" s="10089" t="str">
        <f t="shared" si="19"/>
        <v/>
      </c>
      <c r="AB47" s="6563"/>
      <c r="AC47" s="10138" t="str">
        <f t="shared" si="7"/>
        <v/>
      </c>
      <c r="AD47" s="10139"/>
      <c r="AE47" s="10139"/>
      <c r="AF47" s="10139"/>
      <c r="AG47" s="911">
        <f t="shared" si="8"/>
        <v>0</v>
      </c>
      <c r="AH47" s="5727"/>
      <c r="AI47" s="5727" t="e">
        <f t="shared" si="0"/>
        <v>#VALUE!</v>
      </c>
      <c r="AJ47" s="853"/>
      <c r="AK47" s="857"/>
      <c r="AL47" s="857"/>
      <c r="AM47" s="855"/>
      <c r="AN47" s="855"/>
      <c r="AO47" s="856"/>
      <c r="AP47" s="855"/>
      <c r="AQ47" s="854"/>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61">
        <f t="shared" si="1"/>
        <v>0</v>
      </c>
      <c r="B48" s="10085" t="str">
        <f t="shared" si="2"/>
        <v/>
      </c>
      <c r="C48" s="9649"/>
      <c r="D48" s="9649"/>
      <c r="E48" s="9649"/>
      <c r="F48" s="9649"/>
      <c r="G48" s="9649"/>
      <c r="H48" s="9649"/>
      <c r="I48" s="9667"/>
      <c r="J48" s="10086" t="str">
        <f t="shared" si="3"/>
        <v/>
      </c>
      <c r="K48" s="10087"/>
      <c r="L48" s="10087"/>
      <c r="M48" s="10086" t="str">
        <f t="shared" si="4"/>
        <v/>
      </c>
      <c r="N48" s="10087"/>
      <c r="O48" s="10087"/>
      <c r="P48" s="10088"/>
      <c r="Q48" s="7143" t="str">
        <f t="shared" si="5"/>
        <v/>
      </c>
      <c r="R48" s="10090"/>
      <c r="S48" s="10090"/>
      <c r="T48" s="10091"/>
      <c r="U48" s="7143" t="str">
        <f t="shared" si="6"/>
        <v/>
      </c>
      <c r="V48" s="10090"/>
      <c r="W48" s="10090"/>
      <c r="X48" s="10091"/>
      <c r="Y48" s="10089" t="str">
        <f t="shared" si="18"/>
        <v/>
      </c>
      <c r="Z48" s="6563"/>
      <c r="AA48" s="10089" t="str">
        <f t="shared" si="19"/>
        <v/>
      </c>
      <c r="AB48" s="6563"/>
      <c r="AC48" s="10138" t="str">
        <f t="shared" si="7"/>
        <v/>
      </c>
      <c r="AD48" s="10139"/>
      <c r="AE48" s="10139"/>
      <c r="AF48" s="10139"/>
      <c r="AG48" s="911">
        <f t="shared" si="8"/>
        <v>0</v>
      </c>
      <c r="AH48" s="5727"/>
      <c r="AI48" s="5727" t="e">
        <f t="shared" si="0"/>
        <v>#VALUE!</v>
      </c>
      <c r="AJ48" s="853"/>
      <c r="AK48" s="857"/>
      <c r="AL48" s="857"/>
      <c r="AM48" s="855"/>
      <c r="AN48" s="855"/>
      <c r="AO48" s="856"/>
      <c r="AP48" s="855"/>
      <c r="AQ48" s="854"/>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61">
        <f t="shared" si="1"/>
        <v>0</v>
      </c>
      <c r="B49" s="10085" t="str">
        <f t="shared" si="2"/>
        <v/>
      </c>
      <c r="C49" s="9649"/>
      <c r="D49" s="9649"/>
      <c r="E49" s="9649"/>
      <c r="F49" s="9649"/>
      <c r="G49" s="9649"/>
      <c r="H49" s="9649"/>
      <c r="I49" s="9667"/>
      <c r="J49" s="10086" t="str">
        <f t="shared" si="3"/>
        <v/>
      </c>
      <c r="K49" s="10087"/>
      <c r="L49" s="10087"/>
      <c r="M49" s="10086" t="str">
        <f t="shared" si="4"/>
        <v/>
      </c>
      <c r="N49" s="10087"/>
      <c r="O49" s="10087"/>
      <c r="P49" s="10088"/>
      <c r="Q49" s="7143" t="str">
        <f t="shared" si="5"/>
        <v/>
      </c>
      <c r="R49" s="10090"/>
      <c r="S49" s="10090"/>
      <c r="T49" s="10091"/>
      <c r="U49" s="7143" t="str">
        <f t="shared" si="6"/>
        <v/>
      </c>
      <c r="V49" s="10090"/>
      <c r="W49" s="10090"/>
      <c r="X49" s="10091"/>
      <c r="Y49" s="10089" t="str">
        <f t="shared" si="18"/>
        <v/>
      </c>
      <c r="Z49" s="6563"/>
      <c r="AA49" s="10089" t="str">
        <f t="shared" si="19"/>
        <v/>
      </c>
      <c r="AB49" s="6563"/>
      <c r="AC49" s="10138" t="str">
        <f t="shared" si="7"/>
        <v/>
      </c>
      <c r="AD49" s="10139"/>
      <c r="AE49" s="10139"/>
      <c r="AF49" s="10139"/>
      <c r="AG49" s="911">
        <f t="shared" si="8"/>
        <v>0</v>
      </c>
      <c r="AH49" s="5727"/>
      <c r="AI49" s="5727" t="e">
        <f t="shared" si="0"/>
        <v>#VALUE!</v>
      </c>
      <c r="AJ49" s="853"/>
      <c r="AK49" s="857"/>
      <c r="AL49" s="857"/>
      <c r="AM49" s="855"/>
      <c r="AN49" s="855"/>
      <c r="AO49" s="856"/>
      <c r="AP49" s="855"/>
      <c r="AQ49" s="854"/>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61">
        <f t="shared" si="1"/>
        <v>0</v>
      </c>
      <c r="B50" s="10085" t="str">
        <f t="shared" si="2"/>
        <v/>
      </c>
      <c r="C50" s="9649"/>
      <c r="D50" s="9649"/>
      <c r="E50" s="9649"/>
      <c r="F50" s="9649"/>
      <c r="G50" s="9649"/>
      <c r="H50" s="9649"/>
      <c r="I50" s="9667"/>
      <c r="J50" s="10086" t="str">
        <f t="shared" si="3"/>
        <v/>
      </c>
      <c r="K50" s="10087"/>
      <c r="L50" s="10087"/>
      <c r="M50" s="10086" t="str">
        <f t="shared" si="4"/>
        <v/>
      </c>
      <c r="N50" s="10087"/>
      <c r="O50" s="10087"/>
      <c r="P50" s="10088"/>
      <c r="Q50" s="7143" t="str">
        <f t="shared" si="5"/>
        <v/>
      </c>
      <c r="R50" s="10090"/>
      <c r="S50" s="10090"/>
      <c r="T50" s="10091"/>
      <c r="U50" s="7143" t="str">
        <f t="shared" si="6"/>
        <v/>
      </c>
      <c r="V50" s="10090"/>
      <c r="W50" s="10090"/>
      <c r="X50" s="10091"/>
      <c r="Y50" s="10089" t="str">
        <f t="shared" si="18"/>
        <v/>
      </c>
      <c r="Z50" s="6563"/>
      <c r="AA50" s="10089" t="str">
        <f t="shared" si="19"/>
        <v/>
      </c>
      <c r="AB50" s="6563"/>
      <c r="AC50" s="10138" t="str">
        <f t="shared" si="7"/>
        <v/>
      </c>
      <c r="AD50" s="10139"/>
      <c r="AE50" s="10139"/>
      <c r="AF50" s="10139"/>
      <c r="AG50" s="911">
        <f t="shared" si="8"/>
        <v>0</v>
      </c>
      <c r="AH50" s="5727"/>
      <c r="AI50" s="5727" t="e">
        <f t="shared" si="0"/>
        <v>#VALUE!</v>
      </c>
      <c r="AJ50" s="853"/>
      <c r="AK50" s="857"/>
      <c r="AL50" s="857"/>
      <c r="AM50" s="855"/>
      <c r="AN50" s="855"/>
      <c r="AO50" s="856"/>
      <c r="AP50" s="855"/>
      <c r="AQ50" s="854"/>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61">
        <f t="shared" si="1"/>
        <v>0</v>
      </c>
      <c r="B51" s="10085" t="str">
        <f t="shared" si="2"/>
        <v/>
      </c>
      <c r="C51" s="9649"/>
      <c r="D51" s="9649"/>
      <c r="E51" s="9649"/>
      <c r="F51" s="9649"/>
      <c r="G51" s="9649"/>
      <c r="H51" s="9649"/>
      <c r="I51" s="9667"/>
      <c r="J51" s="10086" t="str">
        <f t="shared" si="3"/>
        <v/>
      </c>
      <c r="K51" s="10087"/>
      <c r="L51" s="10087"/>
      <c r="M51" s="10086" t="str">
        <f t="shared" si="4"/>
        <v/>
      </c>
      <c r="N51" s="10087"/>
      <c r="O51" s="10087"/>
      <c r="P51" s="10088"/>
      <c r="Q51" s="7143" t="str">
        <f t="shared" si="5"/>
        <v/>
      </c>
      <c r="R51" s="10090"/>
      <c r="S51" s="10090"/>
      <c r="T51" s="10091"/>
      <c r="U51" s="7143" t="str">
        <f t="shared" si="6"/>
        <v/>
      </c>
      <c r="V51" s="10090"/>
      <c r="W51" s="10090"/>
      <c r="X51" s="10091"/>
      <c r="Y51" s="10089" t="str">
        <f t="shared" si="18"/>
        <v/>
      </c>
      <c r="Z51" s="6563"/>
      <c r="AA51" s="10089" t="str">
        <f t="shared" si="19"/>
        <v/>
      </c>
      <c r="AB51" s="6563"/>
      <c r="AC51" s="10138" t="str">
        <f t="shared" si="7"/>
        <v/>
      </c>
      <c r="AD51" s="10139"/>
      <c r="AE51" s="10139"/>
      <c r="AF51" s="10139"/>
      <c r="AG51" s="911">
        <f t="shared" si="8"/>
        <v>0</v>
      </c>
      <c r="AH51" s="5727"/>
      <c r="AI51" s="5727" t="e">
        <f t="shared" si="0"/>
        <v>#VALUE!</v>
      </c>
      <c r="AJ51" s="853"/>
      <c r="AK51" s="857"/>
      <c r="AL51" s="857"/>
      <c r="AM51" s="855"/>
      <c r="AN51" s="855"/>
      <c r="AO51" s="856"/>
      <c r="AP51" s="855"/>
      <c r="AQ51" s="854"/>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61">
        <f t="shared" si="1"/>
        <v>0</v>
      </c>
      <c r="B52" s="10085" t="str">
        <f t="shared" si="2"/>
        <v/>
      </c>
      <c r="C52" s="9649"/>
      <c r="D52" s="9649"/>
      <c r="E52" s="9649"/>
      <c r="F52" s="9649"/>
      <c r="G52" s="9649"/>
      <c r="H52" s="9649"/>
      <c r="I52" s="9667"/>
      <c r="J52" s="10086" t="str">
        <f t="shared" si="3"/>
        <v/>
      </c>
      <c r="K52" s="10087"/>
      <c r="L52" s="10087"/>
      <c r="M52" s="10086" t="str">
        <f t="shared" si="4"/>
        <v/>
      </c>
      <c r="N52" s="10087"/>
      <c r="O52" s="10087"/>
      <c r="P52" s="10088"/>
      <c r="Q52" s="7143" t="str">
        <f>IF(AM52="","",AM52)</f>
        <v/>
      </c>
      <c r="R52" s="10090"/>
      <c r="S52" s="10090"/>
      <c r="T52" s="10091"/>
      <c r="U52" s="7143" t="str">
        <f t="shared" si="6"/>
        <v/>
      </c>
      <c r="V52" s="10090"/>
      <c r="W52" s="10090"/>
      <c r="X52" s="10091"/>
      <c r="Y52" s="10089" t="str">
        <f t="shared" si="18"/>
        <v/>
      </c>
      <c r="Z52" s="6563"/>
      <c r="AA52" s="10089" t="str">
        <f t="shared" si="19"/>
        <v/>
      </c>
      <c r="AB52" s="6563"/>
      <c r="AC52" s="10138" t="str">
        <f t="shared" si="7"/>
        <v/>
      </c>
      <c r="AD52" s="10139"/>
      <c r="AE52" s="10139"/>
      <c r="AF52" s="10139"/>
      <c r="AG52" s="911">
        <f t="shared" si="8"/>
        <v>0</v>
      </c>
      <c r="AH52" s="5727"/>
      <c r="AI52" s="5727" t="e">
        <f t="shared" si="0"/>
        <v>#VALUE!</v>
      </c>
      <c r="AJ52" s="853"/>
      <c r="AK52" s="857"/>
      <c r="AL52" s="857"/>
      <c r="AM52" s="855"/>
      <c r="AN52" s="855"/>
      <c r="AO52" s="856"/>
      <c r="AP52" s="855"/>
      <c r="AQ52" s="854"/>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61">
        <f t="shared" si="1"/>
        <v>0</v>
      </c>
      <c r="B53" s="10085" t="str">
        <f t="shared" si="2"/>
        <v/>
      </c>
      <c r="C53" s="9649"/>
      <c r="D53" s="9649"/>
      <c r="E53" s="9649"/>
      <c r="F53" s="9649"/>
      <c r="G53" s="9649"/>
      <c r="H53" s="9649"/>
      <c r="I53" s="9667"/>
      <c r="J53" s="10086" t="str">
        <f t="shared" si="3"/>
        <v/>
      </c>
      <c r="K53" s="10087"/>
      <c r="L53" s="10087"/>
      <c r="M53" s="10086" t="str">
        <f t="shared" si="4"/>
        <v/>
      </c>
      <c r="N53" s="10087"/>
      <c r="O53" s="10087"/>
      <c r="P53" s="10088"/>
      <c r="Q53" s="7143" t="str">
        <f t="shared" si="5"/>
        <v/>
      </c>
      <c r="R53" s="10090"/>
      <c r="S53" s="10090"/>
      <c r="T53" s="10091"/>
      <c r="U53" s="7143" t="str">
        <f t="shared" si="6"/>
        <v/>
      </c>
      <c r="V53" s="10090"/>
      <c r="W53" s="10090"/>
      <c r="X53" s="10091"/>
      <c r="Y53" s="10089" t="str">
        <f t="shared" si="18"/>
        <v/>
      </c>
      <c r="Z53" s="6563"/>
      <c r="AA53" s="10089" t="str">
        <f t="shared" si="19"/>
        <v/>
      </c>
      <c r="AB53" s="6563"/>
      <c r="AC53" s="10138" t="str">
        <f t="shared" si="7"/>
        <v/>
      </c>
      <c r="AD53" s="10139"/>
      <c r="AE53" s="10139"/>
      <c r="AF53" s="10139"/>
      <c r="AG53" s="911">
        <f t="shared" si="8"/>
        <v>0</v>
      </c>
      <c r="AH53" s="5727"/>
      <c r="AI53" s="5727" t="e">
        <f t="shared" si="0"/>
        <v>#VALUE!</v>
      </c>
      <c r="AJ53" s="853"/>
      <c r="AK53" s="857"/>
      <c r="AL53" s="857"/>
      <c r="AM53" s="855"/>
      <c r="AN53" s="855"/>
      <c r="AO53" s="856"/>
      <c r="AP53" s="855"/>
      <c r="AQ53" s="854"/>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61">
        <f t="shared" si="1"/>
        <v>0</v>
      </c>
      <c r="B54" s="10085" t="str">
        <f t="shared" si="2"/>
        <v/>
      </c>
      <c r="C54" s="9649"/>
      <c r="D54" s="9649"/>
      <c r="E54" s="9649"/>
      <c r="F54" s="9649"/>
      <c r="G54" s="9649"/>
      <c r="H54" s="9649"/>
      <c r="I54" s="9667"/>
      <c r="J54" s="10086" t="str">
        <f t="shared" si="3"/>
        <v/>
      </c>
      <c r="K54" s="10087"/>
      <c r="L54" s="10087"/>
      <c r="M54" s="10086" t="str">
        <f t="shared" si="4"/>
        <v/>
      </c>
      <c r="N54" s="10087"/>
      <c r="O54" s="10087"/>
      <c r="P54" s="10088"/>
      <c r="Q54" s="7143" t="str">
        <f t="shared" si="5"/>
        <v/>
      </c>
      <c r="R54" s="10090"/>
      <c r="S54" s="10090"/>
      <c r="T54" s="10091"/>
      <c r="U54" s="7143" t="str">
        <f t="shared" si="6"/>
        <v/>
      </c>
      <c r="V54" s="10090"/>
      <c r="W54" s="10090"/>
      <c r="X54" s="10091"/>
      <c r="Y54" s="10089" t="str">
        <f t="shared" si="18"/>
        <v/>
      </c>
      <c r="Z54" s="6563"/>
      <c r="AA54" s="10089" t="str">
        <f t="shared" si="19"/>
        <v/>
      </c>
      <c r="AB54" s="6563"/>
      <c r="AC54" s="10138" t="str">
        <f t="shared" si="7"/>
        <v/>
      </c>
      <c r="AD54" s="10139"/>
      <c r="AE54" s="10139"/>
      <c r="AF54" s="10139"/>
      <c r="AG54" s="911">
        <f t="shared" si="8"/>
        <v>0</v>
      </c>
      <c r="AH54" s="5727"/>
      <c r="AI54" s="5727" t="e">
        <f t="shared" si="0"/>
        <v>#VALUE!</v>
      </c>
      <c r="AJ54" s="853"/>
      <c r="AK54" s="857"/>
      <c r="AL54" s="857"/>
      <c r="AM54" s="855"/>
      <c r="AN54" s="855"/>
      <c r="AO54" s="856"/>
      <c r="AP54" s="855"/>
      <c r="AQ54" s="854"/>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61">
        <f>SUM(A35:A54)</f>
        <v>0</v>
      </c>
      <c r="B55" s="10108">
        <v>2</v>
      </c>
      <c r="C55" s="10110" t="s">
        <v>5015</v>
      </c>
      <c r="D55" s="10111"/>
      <c r="E55" s="10111"/>
      <c r="F55" s="10111"/>
      <c r="G55" s="10111"/>
      <c r="H55" s="10111"/>
      <c r="I55" s="10111"/>
      <c r="J55" s="10111"/>
      <c r="K55" s="10111"/>
      <c r="L55" s="10111"/>
      <c r="M55" s="10111"/>
      <c r="N55" s="10111"/>
      <c r="O55" s="10111"/>
      <c r="P55" s="10111"/>
      <c r="Q55" s="10113" t="str">
        <f>IF(A55=0,"",ROUND(SUM(Q35:Q54),0))</f>
        <v/>
      </c>
      <c r="R55" s="10114"/>
      <c r="S55" s="10114"/>
      <c r="T55" s="10115"/>
      <c r="U55" s="10113" t="str">
        <f>IF(A55=0,"",ROUND(SUM(U35:U54),0))</f>
        <v/>
      </c>
      <c r="V55" s="10124"/>
      <c r="W55" s="10124"/>
      <c r="X55" s="10133"/>
      <c r="Y55" s="10127"/>
      <c r="Z55" s="10128"/>
      <c r="AA55" s="10113" t="str">
        <f>IF(A55=0,"",ROUND(SUM(AA35:AA54),0))</f>
        <v/>
      </c>
      <c r="AB55" s="10115"/>
      <c r="AC55" s="10113" t="str">
        <f>IF(A55=0,"",ROUND(SUM(AC35:AC54),0))</f>
        <v/>
      </c>
      <c r="AD55" s="10124"/>
      <c r="AE55" s="10124"/>
      <c r="AF55" s="10124"/>
      <c r="AG55" s="461"/>
    </row>
    <row r="56" spans="1:55" ht="11.25" customHeight="1">
      <c r="A56" s="461"/>
      <c r="B56" s="10109"/>
      <c r="C56" s="10112"/>
      <c r="D56" s="10112"/>
      <c r="E56" s="10112"/>
      <c r="F56" s="10112"/>
      <c r="G56" s="10112"/>
      <c r="H56" s="10112"/>
      <c r="I56" s="10112"/>
      <c r="J56" s="10112"/>
      <c r="K56" s="10112"/>
      <c r="L56" s="10112"/>
      <c r="M56" s="10112"/>
      <c r="N56" s="10112"/>
      <c r="O56" s="10112"/>
      <c r="P56" s="10112"/>
      <c r="Q56" s="10116"/>
      <c r="R56" s="10117"/>
      <c r="S56" s="10117"/>
      <c r="T56" s="10118"/>
      <c r="U56" s="10125"/>
      <c r="V56" s="10126"/>
      <c r="W56" s="10126"/>
      <c r="X56" s="10134"/>
      <c r="Y56" s="10129"/>
      <c r="Z56" s="10130"/>
      <c r="AA56" s="10116"/>
      <c r="AB56" s="10118"/>
      <c r="AC56" s="10125"/>
      <c r="AD56" s="10126"/>
      <c r="AE56" s="10126"/>
      <c r="AF56" s="10126"/>
      <c r="AG56" s="461"/>
    </row>
    <row r="57" spans="1:55" ht="11.25" customHeight="1">
      <c r="A57" s="461"/>
      <c r="B57" s="10109"/>
      <c r="C57" s="10112"/>
      <c r="D57" s="10112"/>
      <c r="E57" s="10112"/>
      <c r="F57" s="10112"/>
      <c r="G57" s="10112"/>
      <c r="H57" s="10112"/>
      <c r="I57" s="10112"/>
      <c r="J57" s="10112"/>
      <c r="K57" s="10112"/>
      <c r="L57" s="10112"/>
      <c r="M57" s="10112"/>
      <c r="N57" s="10112"/>
      <c r="O57" s="10112"/>
      <c r="P57" s="10112"/>
      <c r="Q57" s="10116"/>
      <c r="R57" s="10117"/>
      <c r="S57" s="10117"/>
      <c r="T57" s="10118"/>
      <c r="U57" s="10125"/>
      <c r="V57" s="10126"/>
      <c r="W57" s="10126"/>
      <c r="X57" s="10134"/>
      <c r="Y57" s="10129"/>
      <c r="Z57" s="10130"/>
      <c r="AA57" s="10116"/>
      <c r="AB57" s="10118"/>
      <c r="AC57" s="10125"/>
      <c r="AD57" s="10126"/>
      <c r="AE57" s="10126"/>
      <c r="AF57" s="10126"/>
      <c r="AG57" s="461"/>
    </row>
    <row r="58" spans="1:55" ht="11.25" customHeight="1">
      <c r="A58" s="461"/>
      <c r="B58" s="10109"/>
      <c r="C58" s="10112"/>
      <c r="D58" s="10112"/>
      <c r="E58" s="10112"/>
      <c r="F58" s="10112"/>
      <c r="G58" s="10112"/>
      <c r="H58" s="10112"/>
      <c r="I58" s="10112"/>
      <c r="J58" s="10112"/>
      <c r="K58" s="10112"/>
      <c r="L58" s="10112"/>
      <c r="M58" s="10112"/>
      <c r="N58" s="10112"/>
      <c r="O58" s="10112"/>
      <c r="P58" s="10112"/>
      <c r="Q58" s="10116"/>
      <c r="R58" s="10117"/>
      <c r="S58" s="10117"/>
      <c r="T58" s="10118"/>
      <c r="U58" s="10125"/>
      <c r="V58" s="10126"/>
      <c r="W58" s="10126"/>
      <c r="X58" s="10134"/>
      <c r="Y58" s="10129"/>
      <c r="Z58" s="10130"/>
      <c r="AA58" s="10116"/>
      <c r="AB58" s="10118"/>
      <c r="AC58" s="10125"/>
      <c r="AD58" s="10126"/>
      <c r="AE58" s="10126"/>
      <c r="AF58" s="10126"/>
      <c r="AG58" s="461"/>
    </row>
    <row r="59" spans="1:55" ht="9" customHeight="1">
      <c r="A59" s="461"/>
      <c r="B59" s="10109"/>
      <c r="C59" s="10112"/>
      <c r="D59" s="10112"/>
      <c r="E59" s="10112"/>
      <c r="F59" s="10112"/>
      <c r="G59" s="10112"/>
      <c r="H59" s="10112"/>
      <c r="I59" s="10112"/>
      <c r="J59" s="10112"/>
      <c r="K59" s="10112"/>
      <c r="L59" s="10112"/>
      <c r="M59" s="10112"/>
      <c r="N59" s="10112"/>
      <c r="O59" s="10112"/>
      <c r="P59" s="10112"/>
      <c r="Q59" s="10119"/>
      <c r="R59" s="10120"/>
      <c r="S59" s="10120"/>
      <c r="T59" s="10121"/>
      <c r="U59" s="10135"/>
      <c r="V59" s="10136"/>
      <c r="W59" s="10136"/>
      <c r="X59" s="10137"/>
      <c r="Y59" s="10131"/>
      <c r="Z59" s="10132"/>
      <c r="AA59" s="10119"/>
      <c r="AB59" s="10121"/>
      <c r="AC59" s="10125"/>
      <c r="AD59" s="10126"/>
      <c r="AE59" s="10126"/>
      <c r="AF59" s="10126"/>
      <c r="AG59" s="461"/>
    </row>
    <row r="60" spans="1:55" ht="25.5" customHeight="1" thickBot="1">
      <c r="A60" s="461"/>
      <c r="B60" s="10140" t="s">
        <v>5016</v>
      </c>
      <c r="C60" s="10141"/>
      <c r="D60" s="10141"/>
      <c r="E60" s="10141"/>
      <c r="F60" s="10141"/>
      <c r="G60" s="10141"/>
      <c r="H60" s="10141"/>
      <c r="I60" s="10141"/>
      <c r="J60" s="10141"/>
      <c r="K60" s="10141"/>
      <c r="L60" s="10141"/>
      <c r="M60" s="10141"/>
      <c r="N60" s="10141"/>
      <c r="O60" s="10141"/>
      <c r="P60" s="10141"/>
      <c r="Q60" s="10141"/>
      <c r="R60" s="10141"/>
      <c r="S60" s="10141"/>
      <c r="T60" s="10141"/>
      <c r="U60" s="10142"/>
      <c r="V60" s="10142"/>
      <c r="W60" s="10142"/>
      <c r="X60" s="10142"/>
      <c r="Y60" s="10141"/>
      <c r="Z60" s="10141"/>
      <c r="AA60" s="10141"/>
      <c r="AB60" s="10141"/>
      <c r="AC60" s="10141"/>
      <c r="AD60" s="10141"/>
      <c r="AE60" s="10141"/>
      <c r="AF60" s="10141"/>
      <c r="AG60" s="461"/>
      <c r="AJ60" s="676"/>
    </row>
    <row r="61" spans="1:55" ht="16.5" thickTop="1">
      <c r="A61" s="461"/>
      <c r="B61" s="3858" t="s">
        <v>979</v>
      </c>
      <c r="C61" s="22"/>
      <c r="D61" s="22"/>
      <c r="E61" s="22"/>
      <c r="F61" s="22"/>
      <c r="G61" s="22"/>
      <c r="H61" s="22"/>
      <c r="I61" s="22"/>
      <c r="J61" s="22"/>
      <c r="K61" s="22"/>
      <c r="L61" s="22"/>
      <c r="M61" s="22"/>
      <c r="N61" s="22"/>
      <c r="O61" s="22"/>
      <c r="P61" s="22"/>
      <c r="Q61" s="22"/>
      <c r="R61" s="22"/>
      <c r="S61" s="22"/>
      <c r="T61" s="22"/>
      <c r="U61" s="337" t="s">
        <v>5017</v>
      </c>
      <c r="V61" s="22"/>
      <c r="W61" s="22"/>
      <c r="X61" s="22"/>
      <c r="Y61" s="22"/>
      <c r="Z61" s="22"/>
      <c r="AA61" s="22"/>
      <c r="AB61" s="22"/>
      <c r="AC61" s="22"/>
      <c r="AD61" s="705" t="s">
        <v>5018</v>
      </c>
      <c r="AE61" s="22"/>
      <c r="AF61" s="2822" t="str">
        <f>"("&amp;TaxYear&amp;")"</f>
        <v>(2023)</v>
      </c>
      <c r="AG61" s="461"/>
    </row>
    <row r="62" spans="1:55" ht="15.75">
      <c r="A62" s="461"/>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5019</v>
      </c>
      <c r="W62" s="38"/>
      <c r="X62" s="38"/>
      <c r="Y62" s="38"/>
      <c r="Z62" s="38"/>
      <c r="AA62" s="38"/>
      <c r="AB62" s="38"/>
      <c r="AC62" s="38"/>
      <c r="AD62" s="38"/>
      <c r="AE62" s="38"/>
      <c r="AF62" s="747" t="s">
        <v>981</v>
      </c>
      <c r="AG62" s="461"/>
    </row>
    <row r="63" spans="1:55">
      <c r="A63" s="461"/>
      <c r="B63" s="29" t="s">
        <v>5020</v>
      </c>
      <c r="C63" s="22"/>
      <c r="D63" s="22"/>
      <c r="E63" s="22"/>
      <c r="F63" s="22"/>
      <c r="G63" s="22"/>
      <c r="H63" s="22"/>
      <c r="I63" s="22"/>
      <c r="J63" s="22"/>
      <c r="K63" s="22"/>
      <c r="L63" s="22"/>
      <c r="M63" s="22"/>
      <c r="N63" s="22"/>
      <c r="O63" s="22"/>
      <c r="P63" s="22"/>
      <c r="Q63" s="22"/>
      <c r="R63" s="22"/>
      <c r="S63" s="22"/>
      <c r="T63" s="22"/>
      <c r="U63" s="22"/>
      <c r="V63" s="852" t="s">
        <v>4976</v>
      </c>
      <c r="W63" s="22"/>
      <c r="X63" s="22"/>
      <c r="Y63" s="22"/>
      <c r="Z63" s="33"/>
      <c r="AA63" s="22"/>
      <c r="AB63" s="22"/>
      <c r="AC63" s="22"/>
      <c r="AD63" s="22"/>
      <c r="AE63" s="22"/>
      <c r="AF63" s="22"/>
      <c r="AG63" s="461"/>
    </row>
    <row r="64" spans="1:55" ht="16.5" thickBot="1">
      <c r="A64" s="461"/>
      <c r="B64" s="10160" t="str">
        <f>Names</f>
        <v/>
      </c>
      <c r="C64" s="10161"/>
      <c r="D64" s="10161"/>
      <c r="E64" s="10161"/>
      <c r="F64" s="10161"/>
      <c r="G64" s="10161"/>
      <c r="H64" s="10161"/>
      <c r="I64" s="10161"/>
      <c r="J64" s="10161"/>
      <c r="K64" s="10161"/>
      <c r="L64" s="10161"/>
      <c r="M64" s="10161"/>
      <c r="N64" s="10161"/>
      <c r="O64" s="10161"/>
      <c r="P64" s="10161"/>
      <c r="Q64" s="10161"/>
      <c r="R64" s="10161"/>
      <c r="S64" s="10161"/>
      <c r="T64" s="10161"/>
      <c r="U64" s="10162"/>
      <c r="V64" s="10163">
        <f>IF(NoSSN,"",SS_Yours)</f>
        <v>1010001</v>
      </c>
      <c r="W64" s="10164"/>
      <c r="X64" s="10164"/>
      <c r="Y64" s="10164"/>
      <c r="Z64" s="10164"/>
      <c r="AA64" s="10164"/>
      <c r="AB64" s="10164"/>
      <c r="AC64" s="10164"/>
      <c r="AD64" s="10164"/>
      <c r="AE64" s="10164"/>
      <c r="AF64" s="10164"/>
      <c r="AG64" s="461"/>
    </row>
    <row r="65" spans="1:55" ht="12.75" customHeight="1">
      <c r="A65" s="461"/>
      <c r="B65" s="10122" t="s">
        <v>5741</v>
      </c>
      <c r="C65" s="10123"/>
      <c r="D65" s="10123"/>
      <c r="E65" s="10123"/>
      <c r="F65" s="10123"/>
      <c r="G65" s="10123"/>
      <c r="H65" s="10123"/>
      <c r="I65" s="10123"/>
      <c r="J65" s="10123"/>
      <c r="K65" s="10123"/>
      <c r="L65" s="10123"/>
      <c r="M65" s="10123"/>
      <c r="N65" s="10123"/>
      <c r="O65" s="10123"/>
      <c r="P65" s="10123"/>
      <c r="Q65" s="10123"/>
      <c r="R65" s="10123"/>
      <c r="S65" s="10123"/>
      <c r="T65" s="10123"/>
      <c r="U65" s="10123"/>
      <c r="V65" s="10123"/>
      <c r="W65" s="10123"/>
      <c r="X65" s="10123"/>
      <c r="Y65" s="10123"/>
      <c r="Z65" s="10123"/>
      <c r="AA65" s="10123"/>
      <c r="AB65" s="10123"/>
      <c r="AC65" s="10123"/>
      <c r="AD65" s="10123"/>
      <c r="AE65" s="10123"/>
      <c r="AF65" s="10123"/>
      <c r="AG65" s="461"/>
    </row>
    <row r="66" spans="1:55" ht="12.75" customHeight="1">
      <c r="A66" s="461"/>
      <c r="B66" s="8117"/>
      <c r="C66" s="8117"/>
      <c r="D66" s="8117"/>
      <c r="E66" s="8117"/>
      <c r="F66" s="8117"/>
      <c r="G66" s="8117"/>
      <c r="H66" s="8117"/>
      <c r="I66" s="8117"/>
      <c r="J66" s="8117"/>
      <c r="K66" s="8117"/>
      <c r="L66" s="8117"/>
      <c r="M66" s="8117"/>
      <c r="N66" s="8117"/>
      <c r="O66" s="8117"/>
      <c r="P66" s="8117"/>
      <c r="Q66" s="8117"/>
      <c r="R66" s="8117"/>
      <c r="S66" s="8117"/>
      <c r="T66" s="8117"/>
      <c r="U66" s="8117"/>
      <c r="V66" s="8117"/>
      <c r="W66" s="8117"/>
      <c r="X66" s="8117"/>
      <c r="Y66" s="8117"/>
      <c r="Z66" s="8117"/>
      <c r="AA66" s="8117"/>
      <c r="AB66" s="8117"/>
      <c r="AC66" s="8117"/>
      <c r="AD66" s="8117"/>
      <c r="AE66" s="8117"/>
      <c r="AF66" s="8117"/>
      <c r="AG66" s="461"/>
    </row>
    <row r="67" spans="1:55" ht="12.75" customHeight="1">
      <c r="A67" s="461"/>
      <c r="B67" s="7956"/>
      <c r="C67" s="7956"/>
      <c r="D67" s="7956"/>
      <c r="E67" s="7956"/>
      <c r="F67" s="7956"/>
      <c r="G67" s="7956"/>
      <c r="H67" s="7956"/>
      <c r="I67" s="7956"/>
      <c r="J67" s="7956"/>
      <c r="K67" s="7956"/>
      <c r="L67" s="7956"/>
      <c r="M67" s="7956"/>
      <c r="N67" s="7956"/>
      <c r="O67" s="7956"/>
      <c r="P67" s="7956"/>
      <c r="Q67" s="7956"/>
      <c r="R67" s="7956"/>
      <c r="S67" s="7956"/>
      <c r="T67" s="7956"/>
      <c r="U67" s="7956"/>
      <c r="V67" s="7956"/>
      <c r="W67" s="7956"/>
      <c r="X67" s="7956"/>
      <c r="Y67" s="7956"/>
      <c r="Z67" s="7956"/>
      <c r="AA67" s="7956"/>
      <c r="AB67" s="7956"/>
      <c r="AC67" s="7956"/>
      <c r="AD67" s="7956"/>
      <c r="AE67" s="7956"/>
      <c r="AF67" s="7956"/>
      <c r="AG67" s="461"/>
    </row>
    <row r="68" spans="1:55" ht="3.75" customHeight="1">
      <c r="A68" s="461"/>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61"/>
    </row>
    <row r="69" spans="1:55" ht="15">
      <c r="A69" s="461"/>
      <c r="B69" s="10158" t="s">
        <v>982</v>
      </c>
      <c r="C69" s="10159"/>
      <c r="D69" s="22"/>
      <c r="E69" s="235" t="s">
        <v>5021</v>
      </c>
      <c r="F69" s="276"/>
      <c r="G69" s="276"/>
      <c r="H69" s="276"/>
      <c r="I69" s="276"/>
      <c r="J69" s="276"/>
      <c r="K69" s="276"/>
      <c r="L69" s="276"/>
      <c r="M69" s="276"/>
      <c r="N69" s="276"/>
      <c r="O69" s="276"/>
      <c r="P69" s="235"/>
      <c r="Q69" s="276"/>
      <c r="R69" s="276"/>
      <c r="S69" s="276"/>
      <c r="T69" s="276" t="s">
        <v>5022</v>
      </c>
      <c r="U69" s="276"/>
      <c r="V69" s="276"/>
      <c r="W69" s="276"/>
      <c r="X69" s="276"/>
      <c r="Y69" s="276" t="s">
        <v>5023</v>
      </c>
      <c r="Z69" s="276"/>
      <c r="AA69" s="276"/>
      <c r="AB69" s="276"/>
      <c r="AC69" s="276"/>
      <c r="AD69" s="276"/>
      <c r="AE69" s="276"/>
      <c r="AF69" s="276"/>
      <c r="AG69" s="461" t="b">
        <f>IF(SUM(AG88:AG115)&gt;0,TRUE,FALSE)</f>
        <v>0</v>
      </c>
    </row>
    <row r="70" spans="1:55" ht="11.25" customHeight="1">
      <c r="A70" s="461"/>
      <c r="B70" s="22"/>
      <c r="C70" s="22"/>
      <c r="D70" s="22"/>
      <c r="E70" s="276" t="s">
        <v>5024</v>
      </c>
      <c r="F70" s="276"/>
      <c r="G70" s="276"/>
      <c r="H70" s="276"/>
      <c r="I70" s="276"/>
      <c r="J70" s="276"/>
      <c r="K70" s="276"/>
      <c r="L70" s="276"/>
      <c r="M70" s="276"/>
      <c r="N70" s="276"/>
      <c r="O70" s="276"/>
      <c r="P70" s="276"/>
      <c r="Q70" s="276"/>
      <c r="R70" s="276"/>
      <c r="S70" s="276"/>
      <c r="T70" s="276"/>
      <c r="U70" s="276"/>
      <c r="V70" s="276"/>
      <c r="W70" s="276"/>
      <c r="X70" s="276"/>
      <c r="Y70" s="276"/>
      <c r="Z70" s="276"/>
      <c r="AA70" s="276"/>
      <c r="AB70" s="276"/>
      <c r="AC70" s="276"/>
      <c r="AD70" s="276"/>
      <c r="AE70" s="276"/>
      <c r="AF70" s="276"/>
      <c r="AG70" s="461"/>
    </row>
    <row r="71" spans="1:55" ht="13.5" customHeight="1">
      <c r="A71" s="461"/>
      <c r="B71" s="22"/>
      <c r="C71" s="22"/>
      <c r="D71" s="22"/>
      <c r="E71" s="2095" t="s">
        <v>5025</v>
      </c>
      <c r="F71" s="22"/>
      <c r="G71" s="22"/>
      <c r="H71" s="22"/>
      <c r="I71" s="22"/>
      <c r="J71" s="22"/>
      <c r="K71" s="22"/>
      <c r="L71" s="22"/>
      <c r="M71" s="22"/>
      <c r="N71" s="22"/>
      <c r="O71" s="22"/>
      <c r="P71" s="22"/>
      <c r="Q71" s="22"/>
      <c r="R71" s="22"/>
      <c r="S71" s="22"/>
      <c r="T71" s="276"/>
      <c r="U71" s="22"/>
      <c r="V71" s="22"/>
      <c r="W71" s="22"/>
      <c r="X71" s="61"/>
      <c r="Y71" s="22"/>
      <c r="Z71" s="22"/>
      <c r="AA71" s="22"/>
      <c r="AB71" s="22"/>
      <c r="AC71" s="22"/>
      <c r="AD71" s="22"/>
      <c r="AE71" s="22"/>
      <c r="AF71" s="22"/>
      <c r="AG71" s="461"/>
    </row>
    <row r="72" spans="1:55" ht="13.5" customHeight="1">
      <c r="A72" s="461"/>
      <c r="B72" s="22"/>
      <c r="C72" s="22"/>
      <c r="D72" s="22"/>
      <c r="E72" s="276" t="s">
        <v>5026</v>
      </c>
      <c r="F72" s="22"/>
      <c r="G72" s="22"/>
      <c r="H72" s="22"/>
      <c r="I72" s="22"/>
      <c r="J72" s="22"/>
      <c r="K72" s="22"/>
      <c r="L72" s="22"/>
      <c r="M72" s="22"/>
      <c r="N72" s="22"/>
      <c r="O72" s="22"/>
      <c r="P72" s="22"/>
      <c r="Q72" s="22"/>
      <c r="R72" s="22"/>
      <c r="S72" s="22"/>
      <c r="T72" s="276"/>
      <c r="U72" s="22"/>
      <c r="V72" s="22"/>
      <c r="W72" s="22"/>
      <c r="X72" s="61"/>
      <c r="Y72" s="22"/>
      <c r="Z72" s="22"/>
      <c r="AA72" s="22"/>
      <c r="AB72" s="22"/>
      <c r="AC72" s="22"/>
      <c r="AD72" s="22"/>
      <c r="AE72" s="22"/>
      <c r="AF72" s="22"/>
      <c r="AG72" s="461"/>
    </row>
    <row r="73" spans="1:55" ht="13.5" customHeight="1">
      <c r="A73" s="461"/>
      <c r="B73" s="38"/>
      <c r="C73" s="38"/>
      <c r="D73" s="38"/>
      <c r="E73" s="2096" t="s">
        <v>5027</v>
      </c>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461"/>
    </row>
    <row r="74" spans="1:55">
      <c r="A74" s="461"/>
      <c r="B74" s="194" t="s">
        <v>5028</v>
      </c>
      <c r="C74" s="51"/>
      <c r="D74" s="51"/>
      <c r="E74" s="51"/>
      <c r="F74" s="51"/>
      <c r="G74" s="51"/>
      <c r="H74" s="51"/>
      <c r="I74" s="51"/>
      <c r="J74" s="51"/>
      <c r="K74" s="194" t="s">
        <v>4986</v>
      </c>
      <c r="L74" s="51"/>
      <c r="M74" s="51"/>
      <c r="N74" s="51"/>
      <c r="O74" s="51"/>
      <c r="P74" s="61" t="s">
        <v>5029</v>
      </c>
      <c r="Q74" s="51"/>
      <c r="R74" s="51"/>
      <c r="S74" s="51"/>
      <c r="T74" s="51"/>
      <c r="U74" s="51"/>
      <c r="V74" s="51"/>
      <c r="W74" s="51"/>
      <c r="X74" s="51"/>
      <c r="Y74" s="51"/>
      <c r="Z74" s="51"/>
      <c r="AA74" s="51"/>
      <c r="AB74" s="51"/>
      <c r="AC74" s="51"/>
      <c r="AD74" s="51"/>
      <c r="AE74" s="51"/>
      <c r="AF74" s="51"/>
      <c r="AG74" s="461"/>
    </row>
    <row r="75" spans="1:55">
      <c r="A75" s="461"/>
      <c r="B75" s="61" t="s">
        <v>5030</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61"/>
      <c r="BA75" s="10194" t="s">
        <v>4989</v>
      </c>
      <c r="BB75" s="6435"/>
      <c r="BC75" s="7427"/>
    </row>
    <row r="76" spans="1:55">
      <c r="A76" s="461"/>
      <c r="B76" s="61" t="s">
        <v>5031</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61"/>
      <c r="BA76" s="10195" t="s">
        <v>4991</v>
      </c>
      <c r="BB76" s="10195" t="s">
        <v>4992</v>
      </c>
      <c r="BC76" s="10195" t="s">
        <v>4993</v>
      </c>
    </row>
    <row r="77" spans="1:55" ht="4.5" customHeight="1" thickBot="1">
      <c r="A77" s="46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61"/>
      <c r="BA77" s="10196"/>
      <c r="BB77" s="10196"/>
      <c r="BC77" s="10196"/>
    </row>
    <row r="78" spans="1:55" ht="12" customHeight="1" thickBot="1">
      <c r="A78" s="461"/>
      <c r="B78" s="874">
        <f>IF(C78&lt;&gt;"",1,0)</f>
        <v>0</v>
      </c>
      <c r="C78" s="873"/>
      <c r="D78" s="683" t="s">
        <v>5032</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61"/>
      <c r="AJ78" s="10200"/>
      <c r="AK78" s="10201"/>
      <c r="AL78" s="10201"/>
      <c r="AM78" s="10201"/>
      <c r="AN78" s="10201"/>
      <c r="AO78" s="10201"/>
      <c r="AP78" s="10201"/>
      <c r="AQ78" s="10201"/>
      <c r="BA78" s="10196"/>
      <c r="BB78" s="10196"/>
      <c r="BC78" s="10196"/>
    </row>
    <row r="79" spans="1:55" ht="4.5" customHeight="1" thickBot="1">
      <c r="A79" s="461"/>
      <c r="B79" s="5728"/>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61"/>
      <c r="BA79" s="10196"/>
      <c r="BB79" s="10196"/>
      <c r="BC79" s="10196"/>
    </row>
    <row r="80" spans="1:55" ht="11.25" customHeight="1" thickBot="1">
      <c r="A80" s="461"/>
      <c r="B80" s="874">
        <f>IF(C80&lt;&gt;"",1,0)</f>
        <v>0</v>
      </c>
      <c r="C80" s="873"/>
      <c r="D80" s="683" t="s">
        <v>5033</v>
      </c>
      <c r="E80" s="51"/>
      <c r="F80" s="51"/>
      <c r="G80" s="51"/>
      <c r="H80" s="51"/>
      <c r="I80" s="51"/>
      <c r="J80" s="51"/>
      <c r="K80" s="51"/>
      <c r="L80" s="51"/>
      <c r="M80" s="51"/>
      <c r="N80" s="51"/>
      <c r="O80" s="51"/>
      <c r="P80" s="51"/>
      <c r="Q80" s="878"/>
      <c r="R80" s="878"/>
      <c r="S80" s="878"/>
      <c r="T80" s="878"/>
      <c r="U80" s="878"/>
      <c r="V80" s="878"/>
      <c r="W80" s="878"/>
      <c r="X80" s="878"/>
      <c r="Y80" s="878"/>
      <c r="Z80" s="878"/>
      <c r="AA80" s="878"/>
      <c r="AB80" s="878"/>
      <c r="AC80" s="878"/>
      <c r="AD80" s="878"/>
      <c r="AE80" s="51"/>
      <c r="AF80" s="51"/>
      <c r="AG80" s="461"/>
      <c r="AJ80" s="10200"/>
      <c r="AK80" s="10201"/>
      <c r="AL80" s="10201"/>
      <c r="AM80" s="10201"/>
      <c r="AN80" s="10201"/>
      <c r="AO80" s="10201"/>
      <c r="AP80" s="10201"/>
      <c r="AQ80" s="10201"/>
      <c r="BA80" s="10196"/>
      <c r="BB80" s="10196"/>
      <c r="BC80" s="10196"/>
    </row>
    <row r="81" spans="1:55" ht="4.5" customHeight="1" thickBot="1">
      <c r="A81" s="461"/>
      <c r="B81" s="5728"/>
      <c r="C81" s="51"/>
      <c r="D81" s="61"/>
      <c r="E81" s="51"/>
      <c r="F81" s="51"/>
      <c r="G81" s="51"/>
      <c r="H81" s="51"/>
      <c r="I81" s="51"/>
      <c r="J81" s="51"/>
      <c r="K81" s="51"/>
      <c r="L81" s="51"/>
      <c r="M81" s="51"/>
      <c r="N81" s="51"/>
      <c r="O81" s="51"/>
      <c r="P81" s="51"/>
      <c r="Q81" s="878"/>
      <c r="R81" s="878"/>
      <c r="S81" s="878"/>
      <c r="T81" s="878"/>
      <c r="U81" s="878"/>
      <c r="V81" s="878"/>
      <c r="W81" s="878"/>
      <c r="X81" s="878"/>
      <c r="Y81" s="878"/>
      <c r="Z81" s="878"/>
      <c r="AA81" s="878"/>
      <c r="AB81" s="878"/>
      <c r="AC81" s="878"/>
      <c r="AD81" s="878"/>
      <c r="AE81" s="51"/>
      <c r="AF81" s="51"/>
      <c r="AG81" s="461"/>
      <c r="BA81" s="10196"/>
      <c r="BB81" s="10196"/>
      <c r="BC81" s="10196"/>
    </row>
    <row r="82" spans="1:55" ht="12" customHeight="1" thickBot="1">
      <c r="A82" s="461">
        <f>SUM(B78:B82)</f>
        <v>0</v>
      </c>
      <c r="B82" s="874">
        <f>IF(C82&lt;&gt;"",1,0)</f>
        <v>0</v>
      </c>
      <c r="C82" s="873"/>
      <c r="D82" s="683" t="s">
        <v>5034</v>
      </c>
      <c r="E82" s="51"/>
      <c r="F82" s="51"/>
      <c r="G82" s="51"/>
      <c r="H82" s="51"/>
      <c r="I82" s="51"/>
      <c r="J82" s="51"/>
      <c r="K82" s="51"/>
      <c r="L82" s="51"/>
      <c r="M82" s="51"/>
      <c r="N82" s="51"/>
      <c r="O82" s="51"/>
      <c r="P82" s="51"/>
      <c r="Q82" s="879"/>
      <c r="R82" s="6282" t="str">
        <f>IF(SpaceUsed_8949A_LT,"ERROR: DO NOT use the space bar to uncheck a box. Use the 'Delete' key.",IF(A82&gt;1,"Check only ONE box.",IF(OR(NoColor,A82&gt;0),"",IF(A82&lt;1,"Check ONE box.",""))))</f>
        <v>Check ONE box.</v>
      </c>
      <c r="S82" s="10206"/>
      <c r="T82" s="10206"/>
      <c r="U82" s="10206"/>
      <c r="V82" s="10206"/>
      <c r="W82" s="10206"/>
      <c r="X82" s="10206"/>
      <c r="Y82" s="10206"/>
      <c r="Z82" s="10206"/>
      <c r="AA82" s="10206"/>
      <c r="AB82" s="10206"/>
      <c r="AC82" s="10206"/>
      <c r="AD82" s="10206"/>
      <c r="AE82" s="10206"/>
      <c r="AF82" s="51"/>
      <c r="AG82" s="461"/>
      <c r="AH82" s="1028" t="b">
        <f>IF(OR(F8949ALBOXA=CHAR(32),F8949ALBOXB=CHAR(32),F8949ALBOXC=CHAR(32)),TRUE,FALSE)</f>
        <v>0</v>
      </c>
      <c r="AJ82" s="10200" t="s">
        <v>4997</v>
      </c>
      <c r="AK82" s="10201"/>
      <c r="AL82" s="10201"/>
      <c r="AM82" s="10201"/>
      <c r="AN82" s="10201"/>
      <c r="AO82" s="10201"/>
      <c r="AP82" s="10201"/>
      <c r="AQ82" s="10201"/>
      <c r="BA82" s="10196"/>
      <c r="BB82" s="10196"/>
      <c r="BC82" s="10196"/>
    </row>
    <row r="83" spans="1:55" ht="3.75" customHeight="1">
      <c r="A83" s="461"/>
      <c r="B83" s="195"/>
      <c r="C83" s="746"/>
      <c r="D83" s="195"/>
      <c r="E83" s="195"/>
      <c r="F83" s="195"/>
      <c r="G83" s="195"/>
      <c r="H83" s="195"/>
      <c r="I83" s="195"/>
      <c r="J83" s="195"/>
      <c r="K83" s="195"/>
      <c r="L83" s="195"/>
      <c r="M83" s="195"/>
      <c r="N83" s="746"/>
      <c r="O83" s="195"/>
      <c r="P83" s="195"/>
      <c r="Q83" s="195"/>
      <c r="R83" s="195"/>
      <c r="S83" s="195"/>
      <c r="T83" s="195"/>
      <c r="U83" s="195"/>
      <c r="V83" s="195"/>
      <c r="W83" s="195"/>
      <c r="X83" s="195"/>
      <c r="Y83" s="746"/>
      <c r="Z83" s="195"/>
      <c r="AA83" s="195"/>
      <c r="AB83" s="195"/>
      <c r="AC83" s="195"/>
      <c r="AD83" s="195"/>
      <c r="AE83" s="195"/>
      <c r="AF83" s="195"/>
      <c r="AG83" s="461"/>
      <c r="BA83" s="10196"/>
      <c r="BB83" s="10196"/>
      <c r="BC83" s="10196"/>
    </row>
    <row r="84" spans="1:55" ht="21" customHeight="1">
      <c r="A84" s="461"/>
      <c r="B84" s="10143">
        <v>1</v>
      </c>
      <c r="C84" s="10147" t="s">
        <v>4998</v>
      </c>
      <c r="D84" s="10148"/>
      <c r="E84" s="10148"/>
      <c r="F84" s="10148"/>
      <c r="G84" s="10148"/>
      <c r="H84" s="10148"/>
      <c r="I84" s="10149"/>
      <c r="J84" s="10155" t="s">
        <v>5035</v>
      </c>
      <c r="K84" s="7417"/>
      <c r="L84" s="7278"/>
      <c r="M84" s="10155" t="s">
        <v>5000</v>
      </c>
      <c r="N84" s="7417"/>
      <c r="O84" s="7417"/>
      <c r="P84" s="7278"/>
      <c r="Q84" s="10155" t="s">
        <v>5001</v>
      </c>
      <c r="R84" s="7417"/>
      <c r="S84" s="7417"/>
      <c r="T84" s="7278"/>
      <c r="U84" s="10092" t="s">
        <v>5002</v>
      </c>
      <c r="V84" s="10093"/>
      <c r="W84" s="10093"/>
      <c r="X84" s="10094"/>
      <c r="Y84" s="10102" t="s">
        <v>5003</v>
      </c>
      <c r="Z84" s="10103"/>
      <c r="AA84" s="10103"/>
      <c r="AB84" s="10104"/>
      <c r="AC84" s="10092" t="s">
        <v>5004</v>
      </c>
      <c r="AD84" s="10093"/>
      <c r="AE84" s="10093"/>
      <c r="AF84" s="10093"/>
      <c r="AG84" s="461"/>
      <c r="AJ84" s="10202" t="s">
        <v>5005</v>
      </c>
      <c r="AK84" s="10202" t="s">
        <v>5006</v>
      </c>
      <c r="AL84" s="10202" t="s">
        <v>5007</v>
      </c>
      <c r="AM84" s="10202" t="s">
        <v>5008</v>
      </c>
      <c r="AN84" s="10204" t="s">
        <v>5009</v>
      </c>
      <c r="AO84" s="10199" t="s">
        <v>5010</v>
      </c>
      <c r="AP84" s="7302"/>
      <c r="AQ84" s="10202" t="s">
        <v>5036</v>
      </c>
      <c r="BA84" s="10196"/>
      <c r="BB84" s="10196"/>
      <c r="BC84" s="10196"/>
    </row>
    <row r="85" spans="1:55" ht="21" customHeight="1">
      <c r="A85" s="461"/>
      <c r="B85" s="10144"/>
      <c r="C85" s="10150"/>
      <c r="D85" s="10151"/>
      <c r="E85" s="10151"/>
      <c r="F85" s="10151"/>
      <c r="G85" s="10151"/>
      <c r="H85" s="10151"/>
      <c r="I85" s="10152"/>
      <c r="J85" s="10156"/>
      <c r="K85" s="8454"/>
      <c r="L85" s="7280"/>
      <c r="M85" s="10156"/>
      <c r="N85" s="8454"/>
      <c r="O85" s="8454"/>
      <c r="P85" s="7280"/>
      <c r="Q85" s="10156"/>
      <c r="R85" s="8454"/>
      <c r="S85" s="8454"/>
      <c r="T85" s="7280"/>
      <c r="U85" s="10095"/>
      <c r="V85" s="10096"/>
      <c r="W85" s="10096"/>
      <c r="X85" s="10097"/>
      <c r="Y85" s="10105"/>
      <c r="Z85" s="10106"/>
      <c r="AA85" s="10106"/>
      <c r="AB85" s="10107"/>
      <c r="AC85" s="10095"/>
      <c r="AD85" s="10096"/>
      <c r="AE85" s="10096"/>
      <c r="AF85" s="10096"/>
      <c r="AG85" s="461"/>
      <c r="AJ85" s="10202"/>
      <c r="AK85" s="10202"/>
      <c r="AL85" s="10202"/>
      <c r="AM85" s="10202"/>
      <c r="AN85" s="10204"/>
      <c r="AO85" s="7414"/>
      <c r="AP85" s="7308"/>
      <c r="AQ85" s="10202"/>
      <c r="BA85" s="10196"/>
      <c r="BB85" s="10196"/>
      <c r="BC85" s="10196"/>
    </row>
    <row r="86" spans="1:55" ht="18" customHeight="1">
      <c r="A86" s="461"/>
      <c r="B86" s="10145"/>
      <c r="C86" s="10151"/>
      <c r="D86" s="10151"/>
      <c r="E86" s="10151"/>
      <c r="F86" s="10151"/>
      <c r="G86" s="10151"/>
      <c r="H86" s="10151"/>
      <c r="I86" s="10152"/>
      <c r="J86" s="7279"/>
      <c r="K86" s="8454"/>
      <c r="L86" s="7280"/>
      <c r="M86" s="7279"/>
      <c r="N86" s="8454"/>
      <c r="O86" s="8454"/>
      <c r="P86" s="7280"/>
      <c r="Q86" s="7279"/>
      <c r="R86" s="8454"/>
      <c r="S86" s="8454"/>
      <c r="T86" s="7280"/>
      <c r="U86" s="10098"/>
      <c r="V86" s="10096"/>
      <c r="W86" s="10096"/>
      <c r="X86" s="10097"/>
      <c r="Y86" s="7396" t="s">
        <v>5012</v>
      </c>
      <c r="Z86" s="7278"/>
      <c r="AA86" s="7396" t="s">
        <v>5013</v>
      </c>
      <c r="AB86" s="7451"/>
      <c r="AC86" s="10098"/>
      <c r="AD86" s="10096"/>
      <c r="AE86" s="10096"/>
      <c r="AF86" s="10096"/>
      <c r="AG86" s="461"/>
      <c r="AJ86" s="10203"/>
      <c r="AK86" s="10203"/>
      <c r="AL86" s="10203"/>
      <c r="AM86" s="10203"/>
      <c r="AN86" s="10205"/>
      <c r="AO86" s="10197" t="s">
        <v>5014</v>
      </c>
      <c r="AP86" s="7577" t="s">
        <v>5013</v>
      </c>
      <c r="AQ86" s="10203"/>
      <c r="BA86" s="10196"/>
      <c r="BB86" s="10196"/>
      <c r="BC86" s="10196"/>
    </row>
    <row r="87" spans="1:55" ht="18" customHeight="1">
      <c r="A87" s="461"/>
      <c r="B87" s="10146"/>
      <c r="C87" s="10153"/>
      <c r="D87" s="10153"/>
      <c r="E87" s="10153"/>
      <c r="F87" s="10153"/>
      <c r="G87" s="10153"/>
      <c r="H87" s="10153"/>
      <c r="I87" s="10154"/>
      <c r="J87" s="7281"/>
      <c r="K87" s="10157"/>
      <c r="L87" s="7282"/>
      <c r="M87" s="7281"/>
      <c r="N87" s="10157"/>
      <c r="O87" s="10157"/>
      <c r="P87" s="7282"/>
      <c r="Q87" s="7281"/>
      <c r="R87" s="10157"/>
      <c r="S87" s="10157"/>
      <c r="T87" s="7282"/>
      <c r="U87" s="10099"/>
      <c r="V87" s="10100"/>
      <c r="W87" s="10100"/>
      <c r="X87" s="10101"/>
      <c r="Y87" s="7281"/>
      <c r="Z87" s="7282"/>
      <c r="AA87" s="6734"/>
      <c r="AB87" s="7453"/>
      <c r="AC87" s="10099"/>
      <c r="AD87" s="10100"/>
      <c r="AE87" s="10100"/>
      <c r="AF87" s="10100"/>
      <c r="AG87" s="461"/>
      <c r="AJ87" s="10203"/>
      <c r="AK87" s="10203"/>
      <c r="AL87" s="10203"/>
      <c r="AM87" s="10203"/>
      <c r="AN87" s="10205"/>
      <c r="AO87" s="10198"/>
      <c r="AP87" s="10198"/>
      <c r="AQ87" s="10203"/>
      <c r="BA87" s="10196"/>
      <c r="BB87" s="10196"/>
      <c r="BC87" s="10196"/>
    </row>
    <row r="88" spans="1:55" ht="19.5" customHeight="1">
      <c r="A88" s="461">
        <f>IF(OR(Q88&lt;&gt;"",U88&lt;&gt;"",AC88&lt;&gt;""),1,0)</f>
        <v>0</v>
      </c>
      <c r="B88" s="10085" t="str">
        <f>IF(AJ88="","",AJ88)</f>
        <v/>
      </c>
      <c r="C88" s="9649"/>
      <c r="D88" s="9649"/>
      <c r="E88" s="9649"/>
      <c r="F88" s="9649"/>
      <c r="G88" s="9649"/>
      <c r="H88" s="9649"/>
      <c r="I88" s="9667"/>
      <c r="J88" s="10086" t="str">
        <f>IF(AK88="","",AK88)</f>
        <v/>
      </c>
      <c r="K88" s="10087"/>
      <c r="L88" s="10087"/>
      <c r="M88" s="10086" t="str">
        <f>IF(AL88="","",AL88)</f>
        <v/>
      </c>
      <c r="N88" s="10087"/>
      <c r="O88" s="10087"/>
      <c r="P88" s="10088"/>
      <c r="Q88" s="7143" t="str">
        <f>IF(AM88="","",AM88)</f>
        <v/>
      </c>
      <c r="R88" s="10090"/>
      <c r="S88" s="10090"/>
      <c r="T88" s="10091"/>
      <c r="U88" s="7143" t="str">
        <f>IF(AN88="","",AN88)</f>
        <v/>
      </c>
      <c r="V88" s="10090"/>
      <c r="W88" s="10090"/>
      <c r="X88" s="10091"/>
      <c r="Y88" s="10089" t="str">
        <f>IF(AO88&lt;&gt;"",AO88,"")</f>
        <v/>
      </c>
      <c r="Z88" s="6563"/>
      <c r="AA88" s="10089" t="str">
        <f>IF(AP88="","",AP88)</f>
        <v/>
      </c>
      <c r="AB88" s="6563"/>
      <c r="AC88" s="10138" t="str">
        <f>IF(AQ88&lt;&gt;"",AQ88,IF(AND(Q88="",U88=""),"",IF(AND(Q88&lt;&gt;"",U88=""),SUM(Q88,AA88),SUM(Q88,-U88,AA88))))</f>
        <v/>
      </c>
      <c r="AD88" s="10139"/>
      <c r="AE88" s="10139"/>
      <c r="AF88" s="10139"/>
      <c r="AG88" s="911">
        <f>IF(OR(J88="",M88=""),0,IF(OR(BA88,BB88,BC88),1,0))</f>
        <v>0</v>
      </c>
      <c r="AH88" s="5727"/>
      <c r="AI88" s="5727" t="e">
        <f>M88-J88</f>
        <v>#VALUE!</v>
      </c>
      <c r="AJ88" s="853"/>
      <c r="AK88" s="857"/>
      <c r="AL88" s="857"/>
      <c r="AM88" s="855"/>
      <c r="AN88" s="855"/>
      <c r="AO88" s="856"/>
      <c r="AP88" s="855"/>
      <c r="AQ88" s="854"/>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61">
        <f t="shared" ref="A89:A115" si="20">IF(OR(Q89&lt;&gt;"",U89&lt;&gt;"",AC89&lt;&gt;""),1,0)</f>
        <v>0</v>
      </c>
      <c r="B89" s="10085" t="str">
        <f t="shared" ref="B89:B115" si="21">IF(AJ89="","",AJ89)</f>
        <v/>
      </c>
      <c r="C89" s="9649"/>
      <c r="D89" s="9649"/>
      <c r="E89" s="9649"/>
      <c r="F89" s="9649"/>
      <c r="G89" s="9649"/>
      <c r="H89" s="9649"/>
      <c r="I89" s="9667"/>
      <c r="J89" s="10086" t="str">
        <f t="shared" ref="J89:J115" si="22">IF(AK89="","",AK89)</f>
        <v/>
      </c>
      <c r="K89" s="10087"/>
      <c r="L89" s="10087"/>
      <c r="M89" s="10086" t="str">
        <f t="shared" ref="M89:M115" si="23">IF(AL89="","",AL89)</f>
        <v/>
      </c>
      <c r="N89" s="10087"/>
      <c r="O89" s="10087"/>
      <c r="P89" s="10088"/>
      <c r="Q89" s="7143" t="str">
        <f t="shared" ref="Q89:Q115" si="24">IF(AM89="","",AM89)</f>
        <v/>
      </c>
      <c r="R89" s="10090"/>
      <c r="S89" s="10090"/>
      <c r="T89" s="10091"/>
      <c r="U89" s="7143" t="str">
        <f t="shared" ref="U89:U115" si="25">IF(AN89="","",AN89)</f>
        <v/>
      </c>
      <c r="V89" s="10090"/>
      <c r="W89" s="10090"/>
      <c r="X89" s="10091"/>
      <c r="Y89" s="10089" t="str">
        <f t="shared" ref="Y89:Y115" si="26">IF(AO89&lt;&gt;"",AO89,"")</f>
        <v/>
      </c>
      <c r="Z89" s="6563"/>
      <c r="AA89" s="10089" t="str">
        <f t="shared" ref="AA89:AA115" si="27">IF(AP89="","",AP89)</f>
        <v/>
      </c>
      <c r="AB89" s="6563"/>
      <c r="AC89" s="10138" t="str">
        <f t="shared" ref="AC89:AC115" si="28">IF(AQ89&lt;&gt;"",AQ89,IF(AND(Q89="",U89=""),"",IF(AND(Q89&lt;&gt;"",U89=""),SUM(Q89,AA89),SUM(Q89,-U89,AA89))))</f>
        <v/>
      </c>
      <c r="AD89" s="10139"/>
      <c r="AE89" s="10139"/>
      <c r="AF89" s="10139"/>
      <c r="AG89" s="911">
        <f t="shared" ref="AG89:AG115" si="29">IF(OR(J89="",M89=""),0,IF(OR(BA89,BB89,BC89),1,0))</f>
        <v>0</v>
      </c>
      <c r="AH89" s="5727"/>
      <c r="AI89" s="5727" t="e">
        <f t="shared" ref="AI89:AI115" si="30">M89-J89</f>
        <v>#VALUE!</v>
      </c>
      <c r="AJ89" s="853"/>
      <c r="AK89" s="857"/>
      <c r="AL89" s="857"/>
      <c r="AM89" s="855"/>
      <c r="AN89" s="855"/>
      <c r="AO89" s="856"/>
      <c r="AP89" s="855"/>
      <c r="AQ89" s="854"/>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61">
        <f t="shared" si="20"/>
        <v>0</v>
      </c>
      <c r="B90" s="10085" t="str">
        <f t="shared" si="21"/>
        <v/>
      </c>
      <c r="C90" s="9649"/>
      <c r="D90" s="9649"/>
      <c r="E90" s="9649"/>
      <c r="F90" s="9649"/>
      <c r="G90" s="9649"/>
      <c r="H90" s="9649"/>
      <c r="I90" s="9667"/>
      <c r="J90" s="10086" t="str">
        <f t="shared" si="22"/>
        <v/>
      </c>
      <c r="K90" s="10087"/>
      <c r="L90" s="10087"/>
      <c r="M90" s="10086" t="str">
        <f t="shared" si="23"/>
        <v/>
      </c>
      <c r="N90" s="10087"/>
      <c r="O90" s="10087"/>
      <c r="P90" s="10088"/>
      <c r="Q90" s="7143" t="str">
        <f t="shared" si="24"/>
        <v/>
      </c>
      <c r="R90" s="10090"/>
      <c r="S90" s="10090"/>
      <c r="T90" s="10091"/>
      <c r="U90" s="7143" t="str">
        <f t="shared" si="25"/>
        <v/>
      </c>
      <c r="V90" s="10090"/>
      <c r="W90" s="10090"/>
      <c r="X90" s="10091"/>
      <c r="Y90" s="10089" t="str">
        <f t="shared" si="26"/>
        <v/>
      </c>
      <c r="Z90" s="6563"/>
      <c r="AA90" s="10089" t="str">
        <f t="shared" si="27"/>
        <v/>
      </c>
      <c r="AB90" s="6563"/>
      <c r="AC90" s="10138" t="str">
        <f t="shared" si="28"/>
        <v/>
      </c>
      <c r="AD90" s="10139"/>
      <c r="AE90" s="10139"/>
      <c r="AF90" s="10139"/>
      <c r="AG90" s="911">
        <f t="shared" si="29"/>
        <v>0</v>
      </c>
      <c r="AH90" s="5727"/>
      <c r="AI90" s="5727" t="e">
        <f t="shared" si="30"/>
        <v>#VALUE!</v>
      </c>
      <c r="AJ90" s="853"/>
      <c r="AK90" s="857"/>
      <c r="AL90" s="857"/>
      <c r="AM90" s="855"/>
      <c r="AN90" s="855"/>
      <c r="AO90" s="856"/>
      <c r="AP90" s="855"/>
      <c r="AQ90" s="854"/>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61">
        <f t="shared" si="20"/>
        <v>0</v>
      </c>
      <c r="B91" s="10085" t="str">
        <f t="shared" si="21"/>
        <v/>
      </c>
      <c r="C91" s="9649"/>
      <c r="D91" s="9649"/>
      <c r="E91" s="9649"/>
      <c r="F91" s="9649"/>
      <c r="G91" s="9649"/>
      <c r="H91" s="9649"/>
      <c r="I91" s="9667"/>
      <c r="J91" s="10086" t="str">
        <f t="shared" si="22"/>
        <v/>
      </c>
      <c r="K91" s="10087"/>
      <c r="L91" s="10087"/>
      <c r="M91" s="10086" t="str">
        <f t="shared" si="23"/>
        <v/>
      </c>
      <c r="N91" s="10087"/>
      <c r="O91" s="10087"/>
      <c r="P91" s="10088"/>
      <c r="Q91" s="7143" t="str">
        <f t="shared" si="24"/>
        <v/>
      </c>
      <c r="R91" s="10090"/>
      <c r="S91" s="10090"/>
      <c r="T91" s="10091"/>
      <c r="U91" s="7143" t="str">
        <f t="shared" si="25"/>
        <v/>
      </c>
      <c r="V91" s="10090"/>
      <c r="W91" s="10090"/>
      <c r="X91" s="10091"/>
      <c r="Y91" s="10089" t="str">
        <f t="shared" si="26"/>
        <v/>
      </c>
      <c r="Z91" s="6563"/>
      <c r="AA91" s="10089" t="str">
        <f t="shared" si="27"/>
        <v/>
      </c>
      <c r="AB91" s="6563"/>
      <c r="AC91" s="10138" t="str">
        <f t="shared" si="28"/>
        <v/>
      </c>
      <c r="AD91" s="10139"/>
      <c r="AE91" s="10139"/>
      <c r="AF91" s="10139"/>
      <c r="AG91" s="911">
        <f t="shared" si="29"/>
        <v>0</v>
      </c>
      <c r="AH91" s="5727"/>
      <c r="AI91" s="5727" t="e">
        <f t="shared" si="30"/>
        <v>#VALUE!</v>
      </c>
      <c r="AJ91" s="853"/>
      <c r="AK91" s="857"/>
      <c r="AL91" s="857"/>
      <c r="AM91" s="855"/>
      <c r="AN91" s="855"/>
      <c r="AO91" s="856"/>
      <c r="AP91" s="855"/>
      <c r="AQ91" s="854"/>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61">
        <f t="shared" si="20"/>
        <v>0</v>
      </c>
      <c r="B92" s="10085" t="str">
        <f t="shared" si="21"/>
        <v/>
      </c>
      <c r="C92" s="9649"/>
      <c r="D92" s="9649"/>
      <c r="E92" s="9649"/>
      <c r="F92" s="9649"/>
      <c r="G92" s="9649"/>
      <c r="H92" s="9649"/>
      <c r="I92" s="9667"/>
      <c r="J92" s="10086" t="str">
        <f t="shared" si="22"/>
        <v/>
      </c>
      <c r="K92" s="10087"/>
      <c r="L92" s="10087"/>
      <c r="M92" s="10086" t="str">
        <f t="shared" si="23"/>
        <v/>
      </c>
      <c r="N92" s="10087"/>
      <c r="O92" s="10087"/>
      <c r="P92" s="10088"/>
      <c r="Q92" s="7143" t="str">
        <f t="shared" si="24"/>
        <v/>
      </c>
      <c r="R92" s="10090"/>
      <c r="S92" s="10090"/>
      <c r="T92" s="10091"/>
      <c r="U92" s="7143" t="str">
        <f t="shared" si="25"/>
        <v/>
      </c>
      <c r="V92" s="10090"/>
      <c r="W92" s="10090"/>
      <c r="X92" s="10091"/>
      <c r="Y92" s="10089" t="str">
        <f t="shared" si="26"/>
        <v/>
      </c>
      <c r="Z92" s="6563"/>
      <c r="AA92" s="10089" t="str">
        <f t="shared" si="27"/>
        <v/>
      </c>
      <c r="AB92" s="6563"/>
      <c r="AC92" s="10138" t="str">
        <f t="shared" si="28"/>
        <v/>
      </c>
      <c r="AD92" s="10139"/>
      <c r="AE92" s="10139"/>
      <c r="AF92" s="10139"/>
      <c r="AG92" s="911">
        <f t="shared" si="29"/>
        <v>0</v>
      </c>
      <c r="AH92" s="5727"/>
      <c r="AI92" s="5727" t="e">
        <f t="shared" si="30"/>
        <v>#VALUE!</v>
      </c>
      <c r="AJ92" s="853"/>
      <c r="AK92" s="857"/>
      <c r="AL92" s="857"/>
      <c r="AM92" s="855"/>
      <c r="AN92" s="855"/>
      <c r="AO92" s="856"/>
      <c r="AP92" s="855"/>
      <c r="AQ92" s="854"/>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61">
        <f t="shared" si="20"/>
        <v>0</v>
      </c>
      <c r="B93" s="10085" t="str">
        <f t="shared" si="21"/>
        <v/>
      </c>
      <c r="C93" s="9649"/>
      <c r="D93" s="9649"/>
      <c r="E93" s="9649"/>
      <c r="F93" s="9649"/>
      <c r="G93" s="9649"/>
      <c r="H93" s="9649"/>
      <c r="I93" s="9667"/>
      <c r="J93" s="10086" t="str">
        <f t="shared" si="22"/>
        <v/>
      </c>
      <c r="K93" s="10087"/>
      <c r="L93" s="10087"/>
      <c r="M93" s="10086" t="str">
        <f t="shared" si="23"/>
        <v/>
      </c>
      <c r="N93" s="10087"/>
      <c r="O93" s="10087"/>
      <c r="P93" s="10088"/>
      <c r="Q93" s="7143" t="str">
        <f t="shared" si="24"/>
        <v/>
      </c>
      <c r="R93" s="10090"/>
      <c r="S93" s="10090"/>
      <c r="T93" s="10091"/>
      <c r="U93" s="7143" t="str">
        <f t="shared" si="25"/>
        <v/>
      </c>
      <c r="V93" s="10090"/>
      <c r="W93" s="10090"/>
      <c r="X93" s="10091"/>
      <c r="Y93" s="10089" t="str">
        <f t="shared" si="26"/>
        <v/>
      </c>
      <c r="Z93" s="6563"/>
      <c r="AA93" s="10089" t="str">
        <f t="shared" si="27"/>
        <v/>
      </c>
      <c r="AB93" s="6563"/>
      <c r="AC93" s="10138" t="str">
        <f t="shared" si="28"/>
        <v/>
      </c>
      <c r="AD93" s="10139"/>
      <c r="AE93" s="10139"/>
      <c r="AF93" s="10139"/>
      <c r="AG93" s="911">
        <f t="shared" si="29"/>
        <v>0</v>
      </c>
      <c r="AH93" s="5727"/>
      <c r="AI93" s="5727" t="e">
        <f t="shared" si="30"/>
        <v>#VALUE!</v>
      </c>
      <c r="AJ93" s="853"/>
      <c r="AK93" s="857"/>
      <c r="AL93" s="857"/>
      <c r="AM93" s="855"/>
      <c r="AN93" s="855"/>
      <c r="AO93" s="856"/>
      <c r="AP93" s="855"/>
      <c r="AQ93" s="854"/>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61">
        <f t="shared" si="20"/>
        <v>0</v>
      </c>
      <c r="B94" s="10085" t="str">
        <f t="shared" si="21"/>
        <v/>
      </c>
      <c r="C94" s="9649"/>
      <c r="D94" s="9649"/>
      <c r="E94" s="9649"/>
      <c r="F94" s="9649"/>
      <c r="G94" s="9649"/>
      <c r="H94" s="9649"/>
      <c r="I94" s="9667"/>
      <c r="J94" s="10086" t="str">
        <f t="shared" si="22"/>
        <v/>
      </c>
      <c r="K94" s="10087"/>
      <c r="L94" s="10087"/>
      <c r="M94" s="10086" t="str">
        <f t="shared" si="23"/>
        <v/>
      </c>
      <c r="N94" s="10087"/>
      <c r="O94" s="10087"/>
      <c r="P94" s="10088"/>
      <c r="Q94" s="7143" t="str">
        <f t="shared" si="24"/>
        <v/>
      </c>
      <c r="R94" s="10090"/>
      <c r="S94" s="10090"/>
      <c r="T94" s="10091"/>
      <c r="U94" s="7143" t="str">
        <f t="shared" si="25"/>
        <v/>
      </c>
      <c r="V94" s="10090"/>
      <c r="W94" s="10090"/>
      <c r="X94" s="10091"/>
      <c r="Y94" s="10089" t="str">
        <f t="shared" si="26"/>
        <v/>
      </c>
      <c r="Z94" s="6563"/>
      <c r="AA94" s="10089" t="str">
        <f t="shared" si="27"/>
        <v/>
      </c>
      <c r="AB94" s="6563"/>
      <c r="AC94" s="10138" t="str">
        <f t="shared" si="28"/>
        <v/>
      </c>
      <c r="AD94" s="10139"/>
      <c r="AE94" s="10139"/>
      <c r="AF94" s="10139"/>
      <c r="AG94" s="911">
        <f t="shared" si="29"/>
        <v>0</v>
      </c>
      <c r="AH94" s="5727"/>
      <c r="AI94" s="5727" t="e">
        <f t="shared" si="30"/>
        <v>#VALUE!</v>
      </c>
      <c r="AJ94" s="853"/>
      <c r="AK94" s="857"/>
      <c r="AL94" s="857"/>
      <c r="AM94" s="855"/>
      <c r="AN94" s="855"/>
      <c r="AO94" s="856"/>
      <c r="AP94" s="855"/>
      <c r="AQ94" s="854"/>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61">
        <f t="shared" si="20"/>
        <v>0</v>
      </c>
      <c r="B95" s="10085" t="str">
        <f t="shared" si="21"/>
        <v/>
      </c>
      <c r="C95" s="9649"/>
      <c r="D95" s="9649"/>
      <c r="E95" s="9649"/>
      <c r="F95" s="9649"/>
      <c r="G95" s="9649"/>
      <c r="H95" s="9649"/>
      <c r="I95" s="9667"/>
      <c r="J95" s="10086" t="str">
        <f t="shared" si="22"/>
        <v/>
      </c>
      <c r="K95" s="10087"/>
      <c r="L95" s="10087"/>
      <c r="M95" s="10086" t="str">
        <f t="shared" si="23"/>
        <v/>
      </c>
      <c r="N95" s="10087"/>
      <c r="O95" s="10087"/>
      <c r="P95" s="10088"/>
      <c r="Q95" s="7143" t="str">
        <f t="shared" si="24"/>
        <v/>
      </c>
      <c r="R95" s="10090"/>
      <c r="S95" s="10090"/>
      <c r="T95" s="10091"/>
      <c r="U95" s="7143" t="str">
        <f t="shared" si="25"/>
        <v/>
      </c>
      <c r="V95" s="10090"/>
      <c r="W95" s="10090"/>
      <c r="X95" s="10091"/>
      <c r="Y95" s="10089" t="str">
        <f t="shared" si="26"/>
        <v/>
      </c>
      <c r="Z95" s="6563"/>
      <c r="AA95" s="10089" t="str">
        <f t="shared" si="27"/>
        <v/>
      </c>
      <c r="AB95" s="6563"/>
      <c r="AC95" s="10138" t="str">
        <f t="shared" si="28"/>
        <v/>
      </c>
      <c r="AD95" s="10139"/>
      <c r="AE95" s="10139"/>
      <c r="AF95" s="10139"/>
      <c r="AG95" s="911">
        <f t="shared" si="29"/>
        <v>0</v>
      </c>
      <c r="AH95" s="5727"/>
      <c r="AI95" s="5727" t="e">
        <f t="shared" si="30"/>
        <v>#VALUE!</v>
      </c>
      <c r="AJ95" s="853"/>
      <c r="AK95" s="857"/>
      <c r="AL95" s="857"/>
      <c r="AM95" s="855"/>
      <c r="AN95" s="855"/>
      <c r="AO95" s="856"/>
      <c r="AP95" s="855"/>
      <c r="AQ95" s="854"/>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61">
        <f t="shared" si="20"/>
        <v>0</v>
      </c>
      <c r="B96" s="10085" t="str">
        <f t="shared" si="21"/>
        <v/>
      </c>
      <c r="C96" s="9649"/>
      <c r="D96" s="9649"/>
      <c r="E96" s="9649"/>
      <c r="F96" s="9649"/>
      <c r="G96" s="9649"/>
      <c r="H96" s="9649"/>
      <c r="I96" s="9667"/>
      <c r="J96" s="10086" t="str">
        <f t="shared" si="22"/>
        <v/>
      </c>
      <c r="K96" s="10087"/>
      <c r="L96" s="10087"/>
      <c r="M96" s="10086" t="str">
        <f t="shared" si="23"/>
        <v/>
      </c>
      <c r="N96" s="10087"/>
      <c r="O96" s="10087"/>
      <c r="P96" s="10088"/>
      <c r="Q96" s="7143" t="str">
        <f t="shared" si="24"/>
        <v/>
      </c>
      <c r="R96" s="10090"/>
      <c r="S96" s="10090"/>
      <c r="T96" s="10091"/>
      <c r="U96" s="7143" t="str">
        <f t="shared" si="25"/>
        <v/>
      </c>
      <c r="V96" s="10090"/>
      <c r="W96" s="10090"/>
      <c r="X96" s="10091"/>
      <c r="Y96" s="10089" t="str">
        <f t="shared" si="26"/>
        <v/>
      </c>
      <c r="Z96" s="6563"/>
      <c r="AA96" s="10089" t="str">
        <f t="shared" si="27"/>
        <v/>
      </c>
      <c r="AB96" s="6563"/>
      <c r="AC96" s="10138" t="str">
        <f t="shared" si="28"/>
        <v/>
      </c>
      <c r="AD96" s="10139"/>
      <c r="AE96" s="10139"/>
      <c r="AF96" s="10139"/>
      <c r="AG96" s="911">
        <f t="shared" si="29"/>
        <v>0</v>
      </c>
      <c r="AH96" s="5727"/>
      <c r="AI96" s="5727" t="e">
        <f t="shared" si="30"/>
        <v>#VALUE!</v>
      </c>
      <c r="AJ96" s="853"/>
      <c r="AK96" s="857"/>
      <c r="AL96" s="857"/>
      <c r="AM96" s="855"/>
      <c r="AN96" s="855"/>
      <c r="AO96" s="856"/>
      <c r="AP96" s="855"/>
      <c r="AQ96" s="854"/>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61">
        <f t="shared" si="20"/>
        <v>0</v>
      </c>
      <c r="B97" s="10085" t="str">
        <f t="shared" si="21"/>
        <v/>
      </c>
      <c r="C97" s="9649"/>
      <c r="D97" s="9649"/>
      <c r="E97" s="9649"/>
      <c r="F97" s="9649"/>
      <c r="G97" s="9649"/>
      <c r="H97" s="9649"/>
      <c r="I97" s="9667"/>
      <c r="J97" s="10086" t="str">
        <f t="shared" si="22"/>
        <v/>
      </c>
      <c r="K97" s="10087"/>
      <c r="L97" s="10087"/>
      <c r="M97" s="10086" t="str">
        <f t="shared" si="23"/>
        <v/>
      </c>
      <c r="N97" s="10087"/>
      <c r="O97" s="10087"/>
      <c r="P97" s="10088"/>
      <c r="Q97" s="7143" t="str">
        <f t="shared" si="24"/>
        <v/>
      </c>
      <c r="R97" s="10090"/>
      <c r="S97" s="10090"/>
      <c r="T97" s="10091"/>
      <c r="U97" s="7143" t="str">
        <f t="shared" si="25"/>
        <v/>
      </c>
      <c r="V97" s="10090"/>
      <c r="W97" s="10090"/>
      <c r="X97" s="10091"/>
      <c r="Y97" s="10089" t="str">
        <f t="shared" si="26"/>
        <v/>
      </c>
      <c r="Z97" s="6563"/>
      <c r="AA97" s="10089" t="str">
        <f t="shared" si="27"/>
        <v/>
      </c>
      <c r="AB97" s="6563"/>
      <c r="AC97" s="10138" t="str">
        <f t="shared" si="28"/>
        <v/>
      </c>
      <c r="AD97" s="10139"/>
      <c r="AE97" s="10139"/>
      <c r="AF97" s="10139"/>
      <c r="AG97" s="911">
        <f t="shared" si="29"/>
        <v>0</v>
      </c>
      <c r="AH97" s="5727"/>
      <c r="AI97" s="5727" t="e">
        <f t="shared" si="30"/>
        <v>#VALUE!</v>
      </c>
      <c r="AJ97" s="853"/>
      <c r="AK97" s="857"/>
      <c r="AL97" s="857"/>
      <c r="AM97" s="855"/>
      <c r="AN97" s="855"/>
      <c r="AO97" s="856"/>
      <c r="AP97" s="855"/>
      <c r="AQ97" s="854"/>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61">
        <f t="shared" si="20"/>
        <v>0</v>
      </c>
      <c r="B98" s="10085" t="str">
        <f t="shared" si="21"/>
        <v/>
      </c>
      <c r="C98" s="9649"/>
      <c r="D98" s="9649"/>
      <c r="E98" s="9649"/>
      <c r="F98" s="9649"/>
      <c r="G98" s="9649"/>
      <c r="H98" s="9649"/>
      <c r="I98" s="9667"/>
      <c r="J98" s="10086" t="str">
        <f t="shared" si="22"/>
        <v/>
      </c>
      <c r="K98" s="10087"/>
      <c r="L98" s="10087"/>
      <c r="M98" s="10086" t="str">
        <f t="shared" si="23"/>
        <v/>
      </c>
      <c r="N98" s="10087"/>
      <c r="O98" s="10087"/>
      <c r="P98" s="10088"/>
      <c r="Q98" s="7143" t="str">
        <f t="shared" si="24"/>
        <v/>
      </c>
      <c r="R98" s="10090"/>
      <c r="S98" s="10090"/>
      <c r="T98" s="10091"/>
      <c r="U98" s="7143" t="str">
        <f t="shared" si="25"/>
        <v/>
      </c>
      <c r="V98" s="10090"/>
      <c r="W98" s="10090"/>
      <c r="X98" s="10091"/>
      <c r="Y98" s="10089" t="str">
        <f t="shared" si="26"/>
        <v/>
      </c>
      <c r="Z98" s="6563"/>
      <c r="AA98" s="10089" t="str">
        <f t="shared" si="27"/>
        <v/>
      </c>
      <c r="AB98" s="6563"/>
      <c r="AC98" s="10138" t="str">
        <f t="shared" si="28"/>
        <v/>
      </c>
      <c r="AD98" s="10139"/>
      <c r="AE98" s="10139"/>
      <c r="AF98" s="10139"/>
      <c r="AG98" s="911">
        <f t="shared" si="29"/>
        <v>0</v>
      </c>
      <c r="AH98" s="5727"/>
      <c r="AI98" s="5727" t="e">
        <f t="shared" si="30"/>
        <v>#VALUE!</v>
      </c>
      <c r="AJ98" s="853"/>
      <c r="AK98" s="857"/>
      <c r="AL98" s="857"/>
      <c r="AM98" s="855"/>
      <c r="AN98" s="855"/>
      <c r="AO98" s="856"/>
      <c r="AP98" s="855"/>
      <c r="AQ98" s="854"/>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61">
        <f t="shared" si="20"/>
        <v>0</v>
      </c>
      <c r="B99" s="10085" t="str">
        <f t="shared" si="21"/>
        <v/>
      </c>
      <c r="C99" s="9649"/>
      <c r="D99" s="9649"/>
      <c r="E99" s="9649"/>
      <c r="F99" s="9649"/>
      <c r="G99" s="9649"/>
      <c r="H99" s="9649"/>
      <c r="I99" s="9667"/>
      <c r="J99" s="10086" t="str">
        <f t="shared" si="22"/>
        <v/>
      </c>
      <c r="K99" s="10087"/>
      <c r="L99" s="10087"/>
      <c r="M99" s="10086" t="str">
        <f t="shared" si="23"/>
        <v/>
      </c>
      <c r="N99" s="10087"/>
      <c r="O99" s="10087"/>
      <c r="P99" s="10088"/>
      <c r="Q99" s="7143" t="str">
        <f t="shared" si="24"/>
        <v/>
      </c>
      <c r="R99" s="10090"/>
      <c r="S99" s="10090"/>
      <c r="T99" s="10091"/>
      <c r="U99" s="7143" t="str">
        <f t="shared" si="25"/>
        <v/>
      </c>
      <c r="V99" s="10090"/>
      <c r="W99" s="10090"/>
      <c r="X99" s="10091"/>
      <c r="Y99" s="10089" t="str">
        <f t="shared" si="26"/>
        <v/>
      </c>
      <c r="Z99" s="6563"/>
      <c r="AA99" s="10089" t="str">
        <f t="shared" si="27"/>
        <v/>
      </c>
      <c r="AB99" s="6563"/>
      <c r="AC99" s="10138" t="str">
        <f t="shared" si="28"/>
        <v/>
      </c>
      <c r="AD99" s="10139"/>
      <c r="AE99" s="10139"/>
      <c r="AF99" s="10139"/>
      <c r="AG99" s="911">
        <f t="shared" si="29"/>
        <v>0</v>
      </c>
      <c r="AH99" s="5727"/>
      <c r="AI99" s="5727" t="e">
        <f t="shared" si="30"/>
        <v>#VALUE!</v>
      </c>
      <c r="AJ99" s="853"/>
      <c r="AK99" s="857"/>
      <c r="AL99" s="5950"/>
      <c r="AM99" s="855"/>
      <c r="AN99" s="855"/>
      <c r="AO99" s="856"/>
      <c r="AP99" s="855"/>
      <c r="AQ99" s="854"/>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61">
        <f t="shared" si="20"/>
        <v>0</v>
      </c>
      <c r="B100" s="10085" t="str">
        <f t="shared" si="21"/>
        <v/>
      </c>
      <c r="C100" s="9649"/>
      <c r="D100" s="9649"/>
      <c r="E100" s="9649"/>
      <c r="F100" s="9649"/>
      <c r="G100" s="9649"/>
      <c r="H100" s="9649"/>
      <c r="I100" s="9667"/>
      <c r="J100" s="10086" t="str">
        <f t="shared" si="22"/>
        <v/>
      </c>
      <c r="K100" s="10087"/>
      <c r="L100" s="10087"/>
      <c r="M100" s="10086" t="str">
        <f t="shared" si="23"/>
        <v/>
      </c>
      <c r="N100" s="10087"/>
      <c r="O100" s="10087"/>
      <c r="P100" s="10088"/>
      <c r="Q100" s="7143" t="str">
        <f t="shared" si="24"/>
        <v/>
      </c>
      <c r="R100" s="10090"/>
      <c r="S100" s="10090"/>
      <c r="T100" s="10091"/>
      <c r="U100" s="7143" t="str">
        <f t="shared" si="25"/>
        <v/>
      </c>
      <c r="V100" s="10090"/>
      <c r="W100" s="10090"/>
      <c r="X100" s="10091"/>
      <c r="Y100" s="10089" t="str">
        <f t="shared" si="26"/>
        <v/>
      </c>
      <c r="Z100" s="6563"/>
      <c r="AA100" s="10089" t="str">
        <f t="shared" si="27"/>
        <v/>
      </c>
      <c r="AB100" s="6563"/>
      <c r="AC100" s="10138" t="str">
        <f t="shared" si="28"/>
        <v/>
      </c>
      <c r="AD100" s="10139"/>
      <c r="AE100" s="10139"/>
      <c r="AF100" s="10139"/>
      <c r="AG100" s="911">
        <f t="shared" si="29"/>
        <v>0</v>
      </c>
      <c r="AH100" s="5727"/>
      <c r="AI100" s="5727" t="e">
        <f t="shared" si="30"/>
        <v>#VALUE!</v>
      </c>
      <c r="AJ100" s="853"/>
      <c r="AK100" s="857"/>
      <c r="AL100" s="857"/>
      <c r="AM100" s="855"/>
      <c r="AN100" s="855"/>
      <c r="AO100" s="856"/>
      <c r="AP100" s="855"/>
      <c r="AQ100" s="854"/>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61">
        <f t="shared" si="20"/>
        <v>0</v>
      </c>
      <c r="B101" s="10085" t="str">
        <f t="shared" si="21"/>
        <v/>
      </c>
      <c r="C101" s="9649"/>
      <c r="D101" s="9649"/>
      <c r="E101" s="9649"/>
      <c r="F101" s="9649"/>
      <c r="G101" s="9649"/>
      <c r="H101" s="9649"/>
      <c r="I101" s="9667"/>
      <c r="J101" s="10086" t="str">
        <f t="shared" si="22"/>
        <v/>
      </c>
      <c r="K101" s="10087"/>
      <c r="L101" s="10087"/>
      <c r="M101" s="10086" t="str">
        <f t="shared" si="23"/>
        <v/>
      </c>
      <c r="N101" s="10087"/>
      <c r="O101" s="10087"/>
      <c r="P101" s="10088"/>
      <c r="Q101" s="7143" t="str">
        <f t="shared" si="24"/>
        <v/>
      </c>
      <c r="R101" s="10090"/>
      <c r="S101" s="10090"/>
      <c r="T101" s="10091"/>
      <c r="U101" s="7143" t="str">
        <f t="shared" si="25"/>
        <v/>
      </c>
      <c r="V101" s="10090"/>
      <c r="W101" s="10090"/>
      <c r="X101" s="10091"/>
      <c r="Y101" s="10089" t="str">
        <f t="shared" si="26"/>
        <v/>
      </c>
      <c r="Z101" s="6563"/>
      <c r="AA101" s="10089" t="str">
        <f t="shared" si="27"/>
        <v/>
      </c>
      <c r="AB101" s="6563"/>
      <c r="AC101" s="10138" t="str">
        <f t="shared" si="28"/>
        <v/>
      </c>
      <c r="AD101" s="10139"/>
      <c r="AE101" s="10139"/>
      <c r="AF101" s="10139"/>
      <c r="AG101" s="911">
        <f t="shared" si="29"/>
        <v>0</v>
      </c>
      <c r="AH101" s="5727"/>
      <c r="AI101" s="5727" t="e">
        <f t="shared" si="30"/>
        <v>#VALUE!</v>
      </c>
      <c r="AJ101" s="853"/>
      <c r="AK101" s="857"/>
      <c r="AL101" s="857"/>
      <c r="AM101" s="5951"/>
      <c r="AN101" s="855"/>
      <c r="AO101" s="856"/>
      <c r="AP101" s="855"/>
      <c r="AQ101" s="854"/>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61">
        <f t="shared" si="20"/>
        <v>0</v>
      </c>
      <c r="B102" s="10085" t="str">
        <f t="shared" si="21"/>
        <v/>
      </c>
      <c r="C102" s="9649"/>
      <c r="D102" s="9649"/>
      <c r="E102" s="9649"/>
      <c r="F102" s="9649"/>
      <c r="G102" s="9649"/>
      <c r="H102" s="9649"/>
      <c r="I102" s="9667"/>
      <c r="J102" s="10086" t="str">
        <f t="shared" si="22"/>
        <v/>
      </c>
      <c r="K102" s="10087"/>
      <c r="L102" s="10087"/>
      <c r="M102" s="10086" t="str">
        <f t="shared" si="23"/>
        <v/>
      </c>
      <c r="N102" s="10087"/>
      <c r="O102" s="10087"/>
      <c r="P102" s="10088"/>
      <c r="Q102" s="7143" t="str">
        <f t="shared" si="24"/>
        <v/>
      </c>
      <c r="R102" s="10090"/>
      <c r="S102" s="10090"/>
      <c r="T102" s="10091"/>
      <c r="U102" s="7143" t="str">
        <f t="shared" si="25"/>
        <v/>
      </c>
      <c r="V102" s="10090"/>
      <c r="W102" s="10090"/>
      <c r="X102" s="10091"/>
      <c r="Y102" s="10089" t="str">
        <f t="shared" si="26"/>
        <v/>
      </c>
      <c r="Z102" s="6563"/>
      <c r="AA102" s="10089" t="str">
        <f t="shared" si="27"/>
        <v/>
      </c>
      <c r="AB102" s="6563"/>
      <c r="AC102" s="10138" t="str">
        <f t="shared" si="28"/>
        <v/>
      </c>
      <c r="AD102" s="10139"/>
      <c r="AE102" s="10139"/>
      <c r="AF102" s="10139"/>
      <c r="AG102" s="911">
        <f t="shared" si="29"/>
        <v>0</v>
      </c>
      <c r="AH102" s="5727"/>
      <c r="AI102" s="5727" t="e">
        <f t="shared" si="30"/>
        <v>#VALUE!</v>
      </c>
      <c r="AJ102" s="853"/>
      <c r="AK102" s="857"/>
      <c r="AL102" s="857"/>
      <c r="AM102" s="855"/>
      <c r="AN102" s="855"/>
      <c r="AO102" s="856"/>
      <c r="AP102" s="855"/>
      <c r="AQ102" s="854"/>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61">
        <f t="shared" si="20"/>
        <v>0</v>
      </c>
      <c r="B103" s="10085" t="str">
        <f t="shared" si="21"/>
        <v/>
      </c>
      <c r="C103" s="9649"/>
      <c r="D103" s="9649"/>
      <c r="E103" s="9649"/>
      <c r="F103" s="9649"/>
      <c r="G103" s="9649"/>
      <c r="H103" s="9649"/>
      <c r="I103" s="9667"/>
      <c r="J103" s="10086" t="str">
        <f t="shared" si="22"/>
        <v/>
      </c>
      <c r="K103" s="10087"/>
      <c r="L103" s="10087"/>
      <c r="M103" s="10086" t="str">
        <f t="shared" si="23"/>
        <v/>
      </c>
      <c r="N103" s="10087"/>
      <c r="O103" s="10087"/>
      <c r="P103" s="10088"/>
      <c r="Q103" s="7143" t="str">
        <f t="shared" si="24"/>
        <v/>
      </c>
      <c r="R103" s="10090"/>
      <c r="S103" s="10090"/>
      <c r="T103" s="10091"/>
      <c r="U103" s="7143" t="str">
        <f t="shared" si="25"/>
        <v/>
      </c>
      <c r="V103" s="10090"/>
      <c r="W103" s="10090"/>
      <c r="X103" s="10091"/>
      <c r="Y103" s="10089" t="str">
        <f t="shared" si="26"/>
        <v/>
      </c>
      <c r="Z103" s="6563"/>
      <c r="AA103" s="10089" t="str">
        <f t="shared" si="27"/>
        <v/>
      </c>
      <c r="AB103" s="6563"/>
      <c r="AC103" s="10138" t="str">
        <f t="shared" si="28"/>
        <v/>
      </c>
      <c r="AD103" s="10139"/>
      <c r="AE103" s="10139"/>
      <c r="AF103" s="10139"/>
      <c r="AG103" s="911">
        <f t="shared" si="29"/>
        <v>0</v>
      </c>
      <c r="AH103" s="5727"/>
      <c r="AI103" s="5727" t="e">
        <f t="shared" si="30"/>
        <v>#VALUE!</v>
      </c>
      <c r="AJ103" s="853"/>
      <c r="AK103" s="857"/>
      <c r="AL103" s="857"/>
      <c r="AM103" s="5951"/>
      <c r="AN103" s="855"/>
      <c r="AO103" s="856"/>
      <c r="AP103" s="855"/>
      <c r="AQ103" s="854"/>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61">
        <f t="shared" si="20"/>
        <v>0</v>
      </c>
      <c r="B104" s="10085" t="str">
        <f t="shared" si="21"/>
        <v/>
      </c>
      <c r="C104" s="9649"/>
      <c r="D104" s="9649"/>
      <c r="E104" s="9649"/>
      <c r="F104" s="9649"/>
      <c r="G104" s="9649"/>
      <c r="H104" s="9649"/>
      <c r="I104" s="9667"/>
      <c r="J104" s="10086" t="str">
        <f t="shared" si="22"/>
        <v/>
      </c>
      <c r="K104" s="10087"/>
      <c r="L104" s="10087"/>
      <c r="M104" s="10086" t="str">
        <f t="shared" si="23"/>
        <v/>
      </c>
      <c r="N104" s="10087"/>
      <c r="O104" s="10087"/>
      <c r="P104" s="10088"/>
      <c r="Q104" s="7143" t="str">
        <f t="shared" si="24"/>
        <v/>
      </c>
      <c r="R104" s="10090"/>
      <c r="S104" s="10090"/>
      <c r="T104" s="10091"/>
      <c r="U104" s="7143" t="str">
        <f t="shared" si="25"/>
        <v/>
      </c>
      <c r="V104" s="10090"/>
      <c r="W104" s="10090"/>
      <c r="X104" s="10091"/>
      <c r="Y104" s="10089" t="str">
        <f t="shared" si="26"/>
        <v/>
      </c>
      <c r="Z104" s="6563"/>
      <c r="AA104" s="10089" t="str">
        <f t="shared" si="27"/>
        <v/>
      </c>
      <c r="AB104" s="6563"/>
      <c r="AC104" s="10138" t="str">
        <f t="shared" si="28"/>
        <v/>
      </c>
      <c r="AD104" s="10139"/>
      <c r="AE104" s="10139"/>
      <c r="AF104" s="10139"/>
      <c r="AG104" s="911">
        <f t="shared" si="29"/>
        <v>0</v>
      </c>
      <c r="AH104" s="5727"/>
      <c r="AI104" s="5727" t="e">
        <f t="shared" si="30"/>
        <v>#VALUE!</v>
      </c>
      <c r="AJ104" s="853"/>
      <c r="AK104" s="857"/>
      <c r="AL104" s="857"/>
      <c r="AM104" s="855"/>
      <c r="AN104" s="855"/>
      <c r="AO104" s="856"/>
      <c r="AP104" s="855"/>
      <c r="AQ104" s="854"/>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61">
        <f t="shared" si="20"/>
        <v>0</v>
      </c>
      <c r="B105" s="10085" t="str">
        <f t="shared" si="21"/>
        <v/>
      </c>
      <c r="C105" s="9649"/>
      <c r="D105" s="9649"/>
      <c r="E105" s="9649"/>
      <c r="F105" s="9649"/>
      <c r="G105" s="9649"/>
      <c r="H105" s="9649"/>
      <c r="I105" s="9667"/>
      <c r="J105" s="10086" t="str">
        <f t="shared" si="22"/>
        <v/>
      </c>
      <c r="K105" s="10087"/>
      <c r="L105" s="10087"/>
      <c r="M105" s="10086" t="str">
        <f t="shared" si="23"/>
        <v/>
      </c>
      <c r="N105" s="10087"/>
      <c r="O105" s="10087"/>
      <c r="P105" s="10088"/>
      <c r="Q105" s="7143" t="str">
        <f t="shared" si="24"/>
        <v/>
      </c>
      <c r="R105" s="10090"/>
      <c r="S105" s="10090"/>
      <c r="T105" s="10091"/>
      <c r="U105" s="7143" t="str">
        <f t="shared" si="25"/>
        <v/>
      </c>
      <c r="V105" s="10090"/>
      <c r="W105" s="10090"/>
      <c r="X105" s="10091"/>
      <c r="Y105" s="10089" t="str">
        <f t="shared" si="26"/>
        <v/>
      </c>
      <c r="Z105" s="6563"/>
      <c r="AA105" s="10089" t="str">
        <f t="shared" si="27"/>
        <v/>
      </c>
      <c r="AB105" s="6563"/>
      <c r="AC105" s="10138" t="str">
        <f t="shared" si="28"/>
        <v/>
      </c>
      <c r="AD105" s="10139"/>
      <c r="AE105" s="10139"/>
      <c r="AF105" s="10139"/>
      <c r="AG105" s="911">
        <f t="shared" si="29"/>
        <v>0</v>
      </c>
      <c r="AH105" s="5727"/>
      <c r="AI105" s="5727" t="e">
        <f t="shared" si="30"/>
        <v>#VALUE!</v>
      </c>
      <c r="AJ105" s="853"/>
      <c r="AK105" s="857"/>
      <c r="AL105" s="857"/>
      <c r="AM105" s="855"/>
      <c r="AN105" s="855"/>
      <c r="AO105" s="856"/>
      <c r="AP105" s="855"/>
      <c r="AQ105" s="854"/>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61">
        <f t="shared" si="20"/>
        <v>0</v>
      </c>
      <c r="B106" s="10085" t="str">
        <f t="shared" si="21"/>
        <v/>
      </c>
      <c r="C106" s="9649"/>
      <c r="D106" s="9649"/>
      <c r="E106" s="9649"/>
      <c r="F106" s="9649"/>
      <c r="G106" s="9649"/>
      <c r="H106" s="9649"/>
      <c r="I106" s="9667"/>
      <c r="J106" s="10086" t="str">
        <f t="shared" si="22"/>
        <v/>
      </c>
      <c r="K106" s="10087"/>
      <c r="L106" s="10087"/>
      <c r="M106" s="10086" t="str">
        <f t="shared" si="23"/>
        <v/>
      </c>
      <c r="N106" s="10087"/>
      <c r="O106" s="10087"/>
      <c r="P106" s="10088"/>
      <c r="Q106" s="7143" t="str">
        <f t="shared" si="24"/>
        <v/>
      </c>
      <c r="R106" s="10090"/>
      <c r="S106" s="10090"/>
      <c r="T106" s="10091"/>
      <c r="U106" s="7143" t="str">
        <f t="shared" si="25"/>
        <v/>
      </c>
      <c r="V106" s="10090"/>
      <c r="W106" s="10090"/>
      <c r="X106" s="10091"/>
      <c r="Y106" s="10089" t="str">
        <f t="shared" si="26"/>
        <v/>
      </c>
      <c r="Z106" s="6563"/>
      <c r="AA106" s="10089" t="str">
        <f t="shared" si="27"/>
        <v/>
      </c>
      <c r="AB106" s="6563"/>
      <c r="AC106" s="10138" t="str">
        <f t="shared" si="28"/>
        <v/>
      </c>
      <c r="AD106" s="10139"/>
      <c r="AE106" s="10139"/>
      <c r="AF106" s="10139"/>
      <c r="AG106" s="911">
        <f t="shared" si="29"/>
        <v>0</v>
      </c>
      <c r="AH106" s="5727"/>
      <c r="AI106" s="5727" t="e">
        <f t="shared" si="30"/>
        <v>#VALUE!</v>
      </c>
      <c r="AJ106" s="853"/>
      <c r="AK106" s="857"/>
      <c r="AL106" s="857"/>
      <c r="AM106" s="855"/>
      <c r="AN106" s="855"/>
      <c r="AO106" s="856"/>
      <c r="AP106" s="855"/>
      <c r="AQ106" s="854"/>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61">
        <f t="shared" si="20"/>
        <v>0</v>
      </c>
      <c r="B107" s="10085" t="str">
        <f t="shared" si="21"/>
        <v/>
      </c>
      <c r="C107" s="9649"/>
      <c r="D107" s="9649"/>
      <c r="E107" s="9649"/>
      <c r="F107" s="9649"/>
      <c r="G107" s="9649"/>
      <c r="H107" s="9649"/>
      <c r="I107" s="9667"/>
      <c r="J107" s="10086" t="str">
        <f t="shared" si="22"/>
        <v/>
      </c>
      <c r="K107" s="10087"/>
      <c r="L107" s="10087"/>
      <c r="M107" s="10086" t="str">
        <f t="shared" si="23"/>
        <v/>
      </c>
      <c r="N107" s="10087"/>
      <c r="O107" s="10087"/>
      <c r="P107" s="10088"/>
      <c r="Q107" s="7143" t="str">
        <f t="shared" si="24"/>
        <v/>
      </c>
      <c r="R107" s="10090"/>
      <c r="S107" s="10090"/>
      <c r="T107" s="10091"/>
      <c r="U107" s="7143" t="str">
        <f t="shared" si="25"/>
        <v/>
      </c>
      <c r="V107" s="10090"/>
      <c r="W107" s="10090"/>
      <c r="X107" s="10091"/>
      <c r="Y107" s="10089" t="str">
        <f t="shared" si="26"/>
        <v/>
      </c>
      <c r="Z107" s="6563"/>
      <c r="AA107" s="10089" t="str">
        <f t="shared" si="27"/>
        <v/>
      </c>
      <c r="AB107" s="6563"/>
      <c r="AC107" s="10138" t="str">
        <f t="shared" si="28"/>
        <v/>
      </c>
      <c r="AD107" s="10139"/>
      <c r="AE107" s="10139"/>
      <c r="AF107" s="10139"/>
      <c r="AG107" s="911">
        <f t="shared" si="29"/>
        <v>0</v>
      </c>
      <c r="AH107" s="5727"/>
      <c r="AI107" s="5727" t="e">
        <f t="shared" si="30"/>
        <v>#VALUE!</v>
      </c>
      <c r="AJ107" s="853"/>
      <c r="AK107" s="857"/>
      <c r="AL107" s="857"/>
      <c r="AM107" s="855"/>
      <c r="AN107" s="855"/>
      <c r="AO107" s="856"/>
      <c r="AP107" s="855"/>
      <c r="AQ107" s="854"/>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61">
        <f t="shared" si="20"/>
        <v>0</v>
      </c>
      <c r="B108" s="10085" t="str">
        <f t="shared" si="21"/>
        <v/>
      </c>
      <c r="C108" s="9649"/>
      <c r="D108" s="9649"/>
      <c r="E108" s="9649"/>
      <c r="F108" s="9649"/>
      <c r="G108" s="9649"/>
      <c r="H108" s="9649"/>
      <c r="I108" s="9667"/>
      <c r="J108" s="10086" t="str">
        <f t="shared" si="22"/>
        <v/>
      </c>
      <c r="K108" s="10087"/>
      <c r="L108" s="10087"/>
      <c r="M108" s="10086" t="str">
        <f t="shared" si="23"/>
        <v/>
      </c>
      <c r="N108" s="10087"/>
      <c r="O108" s="10087"/>
      <c r="P108" s="10088"/>
      <c r="Q108" s="7143" t="str">
        <f t="shared" si="24"/>
        <v/>
      </c>
      <c r="R108" s="10090"/>
      <c r="S108" s="10090"/>
      <c r="T108" s="10091"/>
      <c r="U108" s="7143" t="str">
        <f t="shared" si="25"/>
        <v/>
      </c>
      <c r="V108" s="10090"/>
      <c r="W108" s="10090"/>
      <c r="X108" s="10091"/>
      <c r="Y108" s="10089" t="str">
        <f t="shared" si="26"/>
        <v/>
      </c>
      <c r="Z108" s="6563"/>
      <c r="AA108" s="10089" t="str">
        <f t="shared" si="27"/>
        <v/>
      </c>
      <c r="AB108" s="6563"/>
      <c r="AC108" s="10138" t="str">
        <f t="shared" si="28"/>
        <v/>
      </c>
      <c r="AD108" s="10139"/>
      <c r="AE108" s="10139"/>
      <c r="AF108" s="10139"/>
      <c r="AG108" s="911">
        <f t="shared" si="29"/>
        <v>0</v>
      </c>
      <c r="AH108" s="5727"/>
      <c r="AI108" s="5727" t="e">
        <f t="shared" si="30"/>
        <v>#VALUE!</v>
      </c>
      <c r="AJ108" s="853"/>
      <c r="AK108" s="857"/>
      <c r="AL108" s="857"/>
      <c r="AM108" s="855"/>
      <c r="AN108" s="855"/>
      <c r="AO108" s="856"/>
      <c r="AP108" s="855"/>
      <c r="AQ108" s="854"/>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61">
        <f t="shared" si="20"/>
        <v>0</v>
      </c>
      <c r="B109" s="10085" t="str">
        <f t="shared" si="21"/>
        <v/>
      </c>
      <c r="C109" s="9649"/>
      <c r="D109" s="9649"/>
      <c r="E109" s="9649"/>
      <c r="F109" s="9649"/>
      <c r="G109" s="9649"/>
      <c r="H109" s="9649"/>
      <c r="I109" s="9667"/>
      <c r="J109" s="10086" t="str">
        <f t="shared" si="22"/>
        <v/>
      </c>
      <c r="K109" s="10087"/>
      <c r="L109" s="10087"/>
      <c r="M109" s="10086" t="str">
        <f t="shared" si="23"/>
        <v/>
      </c>
      <c r="N109" s="10087"/>
      <c r="O109" s="10087"/>
      <c r="P109" s="10088"/>
      <c r="Q109" s="7143" t="str">
        <f t="shared" si="24"/>
        <v/>
      </c>
      <c r="R109" s="10090"/>
      <c r="S109" s="10090"/>
      <c r="T109" s="10091"/>
      <c r="U109" s="7143" t="str">
        <f t="shared" si="25"/>
        <v/>
      </c>
      <c r="V109" s="10090"/>
      <c r="W109" s="10090"/>
      <c r="X109" s="10091"/>
      <c r="Y109" s="10089" t="str">
        <f t="shared" si="26"/>
        <v/>
      </c>
      <c r="Z109" s="6563"/>
      <c r="AA109" s="10089" t="str">
        <f t="shared" si="27"/>
        <v/>
      </c>
      <c r="AB109" s="6563"/>
      <c r="AC109" s="10138" t="str">
        <f t="shared" si="28"/>
        <v/>
      </c>
      <c r="AD109" s="10139"/>
      <c r="AE109" s="10139"/>
      <c r="AF109" s="10139"/>
      <c r="AG109" s="911">
        <f t="shared" si="29"/>
        <v>0</v>
      </c>
      <c r="AH109" s="5727"/>
      <c r="AI109" s="5727" t="e">
        <f t="shared" si="30"/>
        <v>#VALUE!</v>
      </c>
      <c r="AJ109" s="853"/>
      <c r="AK109" s="857"/>
      <c r="AL109" s="857"/>
      <c r="AM109" s="855"/>
      <c r="AN109" s="855"/>
      <c r="AO109" s="856"/>
      <c r="AP109" s="855"/>
      <c r="AQ109" s="854"/>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61">
        <f t="shared" si="20"/>
        <v>0</v>
      </c>
      <c r="B110" s="10085" t="str">
        <f t="shared" si="21"/>
        <v/>
      </c>
      <c r="C110" s="9649"/>
      <c r="D110" s="9649"/>
      <c r="E110" s="9649"/>
      <c r="F110" s="9649"/>
      <c r="G110" s="9649"/>
      <c r="H110" s="9649"/>
      <c r="I110" s="9667"/>
      <c r="J110" s="10086" t="str">
        <f t="shared" si="22"/>
        <v/>
      </c>
      <c r="K110" s="10087"/>
      <c r="L110" s="10087"/>
      <c r="M110" s="10086" t="str">
        <f t="shared" si="23"/>
        <v/>
      </c>
      <c r="N110" s="10087"/>
      <c r="O110" s="10087"/>
      <c r="P110" s="10088"/>
      <c r="Q110" s="7143" t="str">
        <f t="shared" si="24"/>
        <v/>
      </c>
      <c r="R110" s="10090"/>
      <c r="S110" s="10090"/>
      <c r="T110" s="10091"/>
      <c r="U110" s="7143" t="str">
        <f t="shared" si="25"/>
        <v/>
      </c>
      <c r="V110" s="10090"/>
      <c r="W110" s="10090"/>
      <c r="X110" s="10091"/>
      <c r="Y110" s="10089" t="str">
        <f t="shared" si="26"/>
        <v/>
      </c>
      <c r="Z110" s="6563"/>
      <c r="AA110" s="10089" t="str">
        <f t="shared" si="27"/>
        <v/>
      </c>
      <c r="AB110" s="6563"/>
      <c r="AC110" s="10138" t="str">
        <f t="shared" si="28"/>
        <v/>
      </c>
      <c r="AD110" s="10139"/>
      <c r="AE110" s="10139"/>
      <c r="AF110" s="10139"/>
      <c r="AG110" s="911">
        <f t="shared" si="29"/>
        <v>0</v>
      </c>
      <c r="AH110" s="5727"/>
      <c r="AI110" s="5727" t="e">
        <f t="shared" si="30"/>
        <v>#VALUE!</v>
      </c>
      <c r="AJ110" s="853"/>
      <c r="AK110" s="857"/>
      <c r="AL110" s="857"/>
      <c r="AM110" s="855"/>
      <c r="AN110" s="855"/>
      <c r="AO110" s="856"/>
      <c r="AP110" s="5951"/>
      <c r="AQ110" s="854"/>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61">
        <f t="shared" si="20"/>
        <v>0</v>
      </c>
      <c r="B111" s="10085" t="str">
        <f t="shared" si="21"/>
        <v/>
      </c>
      <c r="C111" s="9649"/>
      <c r="D111" s="9649"/>
      <c r="E111" s="9649"/>
      <c r="F111" s="9649"/>
      <c r="G111" s="9649"/>
      <c r="H111" s="9649"/>
      <c r="I111" s="9667"/>
      <c r="J111" s="10086" t="str">
        <f t="shared" si="22"/>
        <v/>
      </c>
      <c r="K111" s="10087"/>
      <c r="L111" s="10087"/>
      <c r="M111" s="10086" t="str">
        <f t="shared" si="23"/>
        <v/>
      </c>
      <c r="N111" s="10087"/>
      <c r="O111" s="10087"/>
      <c r="P111" s="10088"/>
      <c r="Q111" s="7143" t="str">
        <f t="shared" si="24"/>
        <v/>
      </c>
      <c r="R111" s="10090"/>
      <c r="S111" s="10090"/>
      <c r="T111" s="10091"/>
      <c r="U111" s="7143" t="str">
        <f t="shared" si="25"/>
        <v/>
      </c>
      <c r="V111" s="10090"/>
      <c r="W111" s="10090"/>
      <c r="X111" s="10091"/>
      <c r="Y111" s="10089" t="str">
        <f t="shared" si="26"/>
        <v/>
      </c>
      <c r="Z111" s="6563"/>
      <c r="AA111" s="10089" t="str">
        <f t="shared" si="27"/>
        <v/>
      </c>
      <c r="AB111" s="6563"/>
      <c r="AC111" s="10138" t="str">
        <f t="shared" si="28"/>
        <v/>
      </c>
      <c r="AD111" s="10139"/>
      <c r="AE111" s="10139"/>
      <c r="AF111" s="10139"/>
      <c r="AG111" s="911">
        <f t="shared" si="29"/>
        <v>0</v>
      </c>
      <c r="AH111" s="5727"/>
      <c r="AI111" s="5727" t="e">
        <f t="shared" si="30"/>
        <v>#VALUE!</v>
      </c>
      <c r="AJ111" s="853"/>
      <c r="AK111" s="857"/>
      <c r="AL111" s="857"/>
      <c r="AM111" s="855"/>
      <c r="AN111" s="855"/>
      <c r="AO111" s="856"/>
      <c r="AP111" s="855"/>
      <c r="AQ111" s="854"/>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61">
        <f t="shared" si="20"/>
        <v>0</v>
      </c>
      <c r="B112" s="10085" t="str">
        <f t="shared" si="21"/>
        <v/>
      </c>
      <c r="C112" s="9649"/>
      <c r="D112" s="9649"/>
      <c r="E112" s="9649"/>
      <c r="F112" s="9649"/>
      <c r="G112" s="9649"/>
      <c r="H112" s="9649"/>
      <c r="I112" s="9667"/>
      <c r="J112" s="10086" t="str">
        <f t="shared" si="22"/>
        <v/>
      </c>
      <c r="K112" s="10087"/>
      <c r="L112" s="10087"/>
      <c r="M112" s="10086" t="str">
        <f t="shared" si="23"/>
        <v/>
      </c>
      <c r="N112" s="10087"/>
      <c r="O112" s="10087"/>
      <c r="P112" s="10088"/>
      <c r="Q112" s="7143" t="str">
        <f t="shared" si="24"/>
        <v/>
      </c>
      <c r="R112" s="10090"/>
      <c r="S112" s="10090"/>
      <c r="T112" s="10091"/>
      <c r="U112" s="7143" t="str">
        <f t="shared" si="25"/>
        <v/>
      </c>
      <c r="V112" s="10090"/>
      <c r="W112" s="10090"/>
      <c r="X112" s="10091"/>
      <c r="Y112" s="10089" t="str">
        <f t="shared" si="26"/>
        <v/>
      </c>
      <c r="Z112" s="6563"/>
      <c r="AA112" s="10089" t="str">
        <f t="shared" si="27"/>
        <v/>
      </c>
      <c r="AB112" s="6563"/>
      <c r="AC112" s="10138" t="str">
        <f t="shared" si="28"/>
        <v/>
      </c>
      <c r="AD112" s="10139"/>
      <c r="AE112" s="10139"/>
      <c r="AF112" s="10139"/>
      <c r="AG112" s="911">
        <f t="shared" si="29"/>
        <v>0</v>
      </c>
      <c r="AH112" s="5727"/>
      <c r="AI112" s="5727" t="e">
        <f t="shared" si="30"/>
        <v>#VALUE!</v>
      </c>
      <c r="AJ112" s="853"/>
      <c r="AK112" s="857"/>
      <c r="AL112" s="857"/>
      <c r="AM112" s="855"/>
      <c r="AN112" s="855"/>
      <c r="AO112" s="856"/>
      <c r="AP112" s="855"/>
      <c r="AQ112" s="5952"/>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61">
        <f t="shared" si="20"/>
        <v>0</v>
      </c>
      <c r="B113" s="10085" t="str">
        <f t="shared" si="21"/>
        <v/>
      </c>
      <c r="C113" s="9649"/>
      <c r="D113" s="9649"/>
      <c r="E113" s="9649"/>
      <c r="F113" s="9649"/>
      <c r="G113" s="9649"/>
      <c r="H113" s="9649"/>
      <c r="I113" s="9667"/>
      <c r="J113" s="10086" t="str">
        <f t="shared" si="22"/>
        <v/>
      </c>
      <c r="K113" s="10087"/>
      <c r="L113" s="10087"/>
      <c r="M113" s="10086" t="str">
        <f t="shared" si="23"/>
        <v/>
      </c>
      <c r="N113" s="10087"/>
      <c r="O113" s="10087"/>
      <c r="P113" s="10088"/>
      <c r="Q113" s="7143" t="str">
        <f t="shared" si="24"/>
        <v/>
      </c>
      <c r="R113" s="10090"/>
      <c r="S113" s="10090"/>
      <c r="T113" s="10091"/>
      <c r="U113" s="7143" t="str">
        <f t="shared" si="25"/>
        <v/>
      </c>
      <c r="V113" s="10090"/>
      <c r="W113" s="10090"/>
      <c r="X113" s="10091"/>
      <c r="Y113" s="10089" t="str">
        <f t="shared" si="26"/>
        <v/>
      </c>
      <c r="Z113" s="6563"/>
      <c r="AA113" s="10089" t="str">
        <f t="shared" si="27"/>
        <v/>
      </c>
      <c r="AB113" s="6563"/>
      <c r="AC113" s="10138" t="str">
        <f t="shared" si="28"/>
        <v/>
      </c>
      <c r="AD113" s="10139"/>
      <c r="AE113" s="10139"/>
      <c r="AF113" s="10139"/>
      <c r="AG113" s="911">
        <f t="shared" si="29"/>
        <v>0</v>
      </c>
      <c r="AH113" s="5727"/>
      <c r="AI113" s="5727" t="e">
        <f t="shared" si="30"/>
        <v>#VALUE!</v>
      </c>
      <c r="AJ113" s="853"/>
      <c r="AK113" s="857"/>
      <c r="AL113" s="857"/>
      <c r="AM113" s="855"/>
      <c r="AN113" s="855"/>
      <c r="AO113" s="856"/>
      <c r="AP113" s="855"/>
      <c r="AQ113" s="854"/>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61">
        <f t="shared" si="20"/>
        <v>0</v>
      </c>
      <c r="B114" s="10085" t="str">
        <f t="shared" si="21"/>
        <v/>
      </c>
      <c r="C114" s="9649"/>
      <c r="D114" s="9649"/>
      <c r="E114" s="9649"/>
      <c r="F114" s="9649"/>
      <c r="G114" s="9649"/>
      <c r="H114" s="9649"/>
      <c r="I114" s="9667"/>
      <c r="J114" s="10086" t="str">
        <f t="shared" si="22"/>
        <v/>
      </c>
      <c r="K114" s="10087"/>
      <c r="L114" s="10087"/>
      <c r="M114" s="10086" t="str">
        <f t="shared" si="23"/>
        <v/>
      </c>
      <c r="N114" s="10087"/>
      <c r="O114" s="10087"/>
      <c r="P114" s="10088"/>
      <c r="Q114" s="7143" t="str">
        <f t="shared" si="24"/>
        <v/>
      </c>
      <c r="R114" s="10090"/>
      <c r="S114" s="10090"/>
      <c r="T114" s="10091"/>
      <c r="U114" s="7143" t="str">
        <f t="shared" si="25"/>
        <v/>
      </c>
      <c r="V114" s="10090"/>
      <c r="W114" s="10090"/>
      <c r="X114" s="10091"/>
      <c r="Y114" s="10089" t="str">
        <f t="shared" si="26"/>
        <v/>
      </c>
      <c r="Z114" s="6563"/>
      <c r="AA114" s="10089" t="str">
        <f t="shared" si="27"/>
        <v/>
      </c>
      <c r="AB114" s="6563"/>
      <c r="AC114" s="10138" t="str">
        <f t="shared" si="28"/>
        <v/>
      </c>
      <c r="AD114" s="10139"/>
      <c r="AE114" s="10139"/>
      <c r="AF114" s="10139"/>
      <c r="AG114" s="911">
        <f t="shared" si="29"/>
        <v>0</v>
      </c>
      <c r="AH114" s="5727"/>
      <c r="AI114" s="5727" t="e">
        <f t="shared" si="30"/>
        <v>#VALUE!</v>
      </c>
      <c r="AJ114" s="853"/>
      <c r="AK114" s="857"/>
      <c r="AL114" s="857"/>
      <c r="AM114" s="855"/>
      <c r="AN114" s="855"/>
      <c r="AO114" s="856"/>
      <c r="AP114" s="855"/>
      <c r="AQ114" s="854"/>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61">
        <f t="shared" si="20"/>
        <v>0</v>
      </c>
      <c r="B115" s="10085" t="str">
        <f t="shared" si="21"/>
        <v/>
      </c>
      <c r="C115" s="9649"/>
      <c r="D115" s="9649"/>
      <c r="E115" s="9649"/>
      <c r="F115" s="9649"/>
      <c r="G115" s="9649"/>
      <c r="H115" s="9649"/>
      <c r="I115" s="9667"/>
      <c r="J115" s="10086" t="str">
        <f t="shared" si="22"/>
        <v/>
      </c>
      <c r="K115" s="10087"/>
      <c r="L115" s="10087"/>
      <c r="M115" s="10086" t="str">
        <f t="shared" si="23"/>
        <v/>
      </c>
      <c r="N115" s="10087"/>
      <c r="O115" s="10087"/>
      <c r="P115" s="10088"/>
      <c r="Q115" s="7143" t="str">
        <f t="shared" si="24"/>
        <v/>
      </c>
      <c r="R115" s="10090"/>
      <c r="S115" s="10090"/>
      <c r="T115" s="10091"/>
      <c r="U115" s="7143" t="str">
        <f t="shared" si="25"/>
        <v/>
      </c>
      <c r="V115" s="10090"/>
      <c r="W115" s="10090"/>
      <c r="X115" s="10091"/>
      <c r="Y115" s="10089" t="str">
        <f t="shared" si="26"/>
        <v/>
      </c>
      <c r="Z115" s="6563"/>
      <c r="AA115" s="10089" t="str">
        <f t="shared" si="27"/>
        <v/>
      </c>
      <c r="AB115" s="6563"/>
      <c r="AC115" s="10138" t="str">
        <f t="shared" si="28"/>
        <v/>
      </c>
      <c r="AD115" s="10139"/>
      <c r="AE115" s="10139"/>
      <c r="AF115" s="10139"/>
      <c r="AG115" s="911">
        <f t="shared" si="29"/>
        <v>0</v>
      </c>
      <c r="AH115" s="5727"/>
      <c r="AI115" s="5727" t="e">
        <f t="shared" si="30"/>
        <v>#VALUE!</v>
      </c>
      <c r="AJ115" s="853"/>
      <c r="AK115" s="857"/>
      <c r="AL115" s="857"/>
      <c r="AM115" s="855"/>
      <c r="AN115" s="855"/>
      <c r="AO115" s="856"/>
      <c r="AP115" s="855"/>
      <c r="AQ115" s="854"/>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61">
        <f>SUM(A88:A115)</f>
        <v>0</v>
      </c>
      <c r="B116" s="10168">
        <v>2</v>
      </c>
      <c r="C116" s="10110" t="s">
        <v>5037</v>
      </c>
      <c r="D116" s="10111"/>
      <c r="E116" s="10111"/>
      <c r="F116" s="10111"/>
      <c r="G116" s="10111"/>
      <c r="H116" s="10111"/>
      <c r="I116" s="10111"/>
      <c r="J116" s="10111"/>
      <c r="K116" s="10111"/>
      <c r="L116" s="10111"/>
      <c r="M116" s="10111"/>
      <c r="N116" s="10111"/>
      <c r="O116" s="10111"/>
      <c r="P116" s="10111"/>
      <c r="Q116" s="10113" t="str">
        <f>IF(A116=0,"",ROUND(SUM(Q88:Q115),0))</f>
        <v/>
      </c>
      <c r="R116" s="10114"/>
      <c r="S116" s="10114"/>
      <c r="T116" s="10115"/>
      <c r="U116" s="10113" t="str">
        <f>IF(A116=0,"",ROUND(SUM(U88:U115),0))</f>
        <v/>
      </c>
      <c r="V116" s="10124"/>
      <c r="W116" s="10124"/>
      <c r="X116" s="10133"/>
      <c r="Y116" s="10127"/>
      <c r="Z116" s="10128"/>
      <c r="AA116" s="10113" t="str">
        <f>IF(A116=0,"",ROUND(SUM(AA88:AA115),0))</f>
        <v/>
      </c>
      <c r="AB116" s="10115"/>
      <c r="AC116" s="10113" t="str">
        <f>IF(A116=0,"",ROUND(SUM(AC88:AC115),0))</f>
        <v/>
      </c>
      <c r="AD116" s="10124"/>
      <c r="AE116" s="10124"/>
      <c r="AF116" s="10124"/>
      <c r="AG116" s="461"/>
    </row>
    <row r="117" spans="1:55" ht="11.25" customHeight="1">
      <c r="A117" s="461"/>
      <c r="B117" s="10169"/>
      <c r="C117" s="10112"/>
      <c r="D117" s="10112"/>
      <c r="E117" s="10112"/>
      <c r="F117" s="10112"/>
      <c r="G117" s="10112"/>
      <c r="H117" s="10112"/>
      <c r="I117" s="10112"/>
      <c r="J117" s="10112"/>
      <c r="K117" s="10112"/>
      <c r="L117" s="10112"/>
      <c r="M117" s="10112"/>
      <c r="N117" s="10112"/>
      <c r="O117" s="10112"/>
      <c r="P117" s="10112"/>
      <c r="Q117" s="10116"/>
      <c r="R117" s="10117"/>
      <c r="S117" s="10117"/>
      <c r="T117" s="10118"/>
      <c r="U117" s="10125"/>
      <c r="V117" s="10126"/>
      <c r="W117" s="10126"/>
      <c r="X117" s="10134"/>
      <c r="Y117" s="10129"/>
      <c r="Z117" s="10130"/>
      <c r="AA117" s="10116"/>
      <c r="AB117" s="10118"/>
      <c r="AC117" s="10125"/>
      <c r="AD117" s="10126"/>
      <c r="AE117" s="10126"/>
      <c r="AF117" s="10126"/>
      <c r="AG117" s="461"/>
    </row>
    <row r="118" spans="1:55" ht="11.25" customHeight="1">
      <c r="A118" s="461"/>
      <c r="B118" s="10169"/>
      <c r="C118" s="10112"/>
      <c r="D118" s="10112"/>
      <c r="E118" s="10112"/>
      <c r="F118" s="10112"/>
      <c r="G118" s="10112"/>
      <c r="H118" s="10112"/>
      <c r="I118" s="10112"/>
      <c r="J118" s="10112"/>
      <c r="K118" s="10112"/>
      <c r="L118" s="10112"/>
      <c r="M118" s="10112"/>
      <c r="N118" s="10112"/>
      <c r="O118" s="10112"/>
      <c r="P118" s="10112"/>
      <c r="Q118" s="10116"/>
      <c r="R118" s="10117"/>
      <c r="S118" s="10117"/>
      <c r="T118" s="10118"/>
      <c r="U118" s="10125"/>
      <c r="V118" s="10126"/>
      <c r="W118" s="10126"/>
      <c r="X118" s="10134"/>
      <c r="Y118" s="10129"/>
      <c r="Z118" s="10130"/>
      <c r="AA118" s="10116"/>
      <c r="AB118" s="10118"/>
      <c r="AC118" s="10125"/>
      <c r="AD118" s="10126"/>
      <c r="AE118" s="10126"/>
      <c r="AF118" s="10126"/>
      <c r="AG118" s="461"/>
    </row>
    <row r="119" spans="1:55" ht="11.25" customHeight="1">
      <c r="A119" s="461"/>
      <c r="B119" s="10169"/>
      <c r="C119" s="10112"/>
      <c r="D119" s="10112"/>
      <c r="E119" s="10112"/>
      <c r="F119" s="10112"/>
      <c r="G119" s="10112"/>
      <c r="H119" s="10112"/>
      <c r="I119" s="10112"/>
      <c r="J119" s="10112"/>
      <c r="K119" s="10112"/>
      <c r="L119" s="10112"/>
      <c r="M119" s="10112"/>
      <c r="N119" s="10112"/>
      <c r="O119" s="10112"/>
      <c r="P119" s="10112"/>
      <c r="Q119" s="10116"/>
      <c r="R119" s="10117"/>
      <c r="S119" s="10117"/>
      <c r="T119" s="10118"/>
      <c r="U119" s="10125"/>
      <c r="V119" s="10126"/>
      <c r="W119" s="10126"/>
      <c r="X119" s="10134"/>
      <c r="Y119" s="10129"/>
      <c r="Z119" s="10130"/>
      <c r="AA119" s="10116"/>
      <c r="AB119" s="10118"/>
      <c r="AC119" s="10125"/>
      <c r="AD119" s="10126"/>
      <c r="AE119" s="10126"/>
      <c r="AF119" s="10126"/>
      <c r="AG119" s="461"/>
    </row>
    <row r="120" spans="1:55" ht="6" customHeight="1" thickBot="1">
      <c r="A120" s="461"/>
      <c r="B120" s="10169"/>
      <c r="C120" s="10112"/>
      <c r="D120" s="10112"/>
      <c r="E120" s="10112"/>
      <c r="F120" s="10112"/>
      <c r="G120" s="10112"/>
      <c r="H120" s="10112"/>
      <c r="I120" s="10112"/>
      <c r="J120" s="10112"/>
      <c r="K120" s="10112"/>
      <c r="L120" s="10112"/>
      <c r="M120" s="10112"/>
      <c r="N120" s="10112"/>
      <c r="O120" s="10112"/>
      <c r="P120" s="10112"/>
      <c r="Q120" s="10116"/>
      <c r="R120" s="10117"/>
      <c r="S120" s="10117"/>
      <c r="T120" s="10118"/>
      <c r="U120" s="10170"/>
      <c r="V120" s="10171"/>
      <c r="W120" s="10171"/>
      <c r="X120" s="10172"/>
      <c r="Y120" s="10131"/>
      <c r="Z120" s="10132"/>
      <c r="AA120" s="10119"/>
      <c r="AB120" s="10121"/>
      <c r="AC120" s="10125"/>
      <c r="AD120" s="10126"/>
      <c r="AE120" s="10126"/>
      <c r="AF120" s="10126"/>
      <c r="AG120" s="461"/>
    </row>
    <row r="121" spans="1:55" ht="25.5" customHeight="1" thickBot="1">
      <c r="A121" s="461"/>
      <c r="B121" s="10165" t="s">
        <v>5038</v>
      </c>
      <c r="C121" s="10166"/>
      <c r="D121" s="10166"/>
      <c r="E121" s="10166"/>
      <c r="F121" s="10166"/>
      <c r="G121" s="10166"/>
      <c r="H121" s="10166"/>
      <c r="I121" s="10166"/>
      <c r="J121" s="10166"/>
      <c r="K121" s="10166"/>
      <c r="L121" s="10166"/>
      <c r="M121" s="10166"/>
      <c r="N121" s="10166"/>
      <c r="O121" s="10166"/>
      <c r="P121" s="10166"/>
      <c r="Q121" s="10166"/>
      <c r="R121" s="10166"/>
      <c r="S121" s="10166"/>
      <c r="T121" s="10166"/>
      <c r="U121" s="10167"/>
      <c r="V121" s="10167"/>
      <c r="W121" s="10167"/>
      <c r="X121" s="10167"/>
      <c r="Y121" s="10166"/>
      <c r="Z121" s="10166"/>
      <c r="AA121" s="10166"/>
      <c r="AB121" s="10166"/>
      <c r="AC121" s="10166"/>
      <c r="AD121" s="10166"/>
      <c r="AE121" s="10166"/>
      <c r="AF121" s="10166"/>
      <c r="AG121" s="461"/>
    </row>
    <row r="122" spans="1:55" s="1998" customFormat="1" ht="14.25" customHeight="1" thickTop="1">
      <c r="A122" s="4010"/>
      <c r="B122" s="3858"/>
      <c r="C122" s="22"/>
      <c r="D122" s="22"/>
      <c r="E122" s="22"/>
      <c r="F122" s="22"/>
      <c r="G122" s="22"/>
      <c r="H122" s="22"/>
      <c r="I122" s="22"/>
      <c r="J122" s="22"/>
      <c r="K122" s="22"/>
      <c r="L122" s="22"/>
      <c r="M122" s="22"/>
      <c r="N122" s="22"/>
      <c r="O122" s="22"/>
      <c r="P122" s="22"/>
      <c r="Q122" s="22"/>
      <c r="R122" s="22"/>
      <c r="S122" s="22"/>
      <c r="T122" s="22"/>
      <c r="U122" s="337"/>
      <c r="V122" s="22"/>
      <c r="W122" s="22"/>
      <c r="X122" s="22"/>
      <c r="Y122" s="22"/>
      <c r="Z122" s="22"/>
      <c r="AA122" s="22"/>
      <c r="AB122" s="22"/>
      <c r="AC122" s="22"/>
      <c r="AD122" s="705" t="s">
        <v>5018</v>
      </c>
      <c r="AE122" s="22"/>
      <c r="AF122" s="2822" t="str">
        <f>"("&amp;TaxYear&amp;")"</f>
        <v>(2023)</v>
      </c>
      <c r="AG122" s="4010"/>
      <c r="AH122" s="3857"/>
      <c r="AI122" s="3857"/>
    </row>
    <row r="123" spans="1:55" ht="13.5" thickTop="1">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row>
  </sheetData>
  <sheetProtection algorithmName="SHA-512" hashValue="IPiakfjFqxpSMJRLy2fTUUnAJtXiqkhOjuK1ggZUDaoliUR4MsRi0e7Xg9ntIXEKV2M3RmaRwnsZAbuU8/rTkQ==" saltValue="MIb1Q0+nymkm32+HEH/NaQ==" spinCount="100000" sheet="1" objects="1" scenarios="1"/>
  <mergeCells count="47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B48:I48"/>
    <mergeCell ref="J51:L51"/>
    <mergeCell ref="B49:I49"/>
    <mergeCell ref="J49:L49"/>
    <mergeCell ref="M49:P49"/>
    <mergeCell ref="J48:L48"/>
    <mergeCell ref="M48:P48"/>
    <mergeCell ref="M51:P51"/>
    <mergeCell ref="Q51:T51"/>
    <mergeCell ref="B51:I51"/>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Y100:Z100"/>
    <mergeCell ref="Q102:T102"/>
    <mergeCell ref="U102:X102"/>
    <mergeCell ref="J104:L104"/>
    <mergeCell ref="M104:P104"/>
    <mergeCell ref="Q104:T104"/>
    <mergeCell ref="U104:X104"/>
    <mergeCell ref="M101:P101"/>
    <mergeCell ref="Q101:T101"/>
    <mergeCell ref="J101:L101"/>
    <mergeCell ref="U101:X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s>
  <conditionalFormatting sqref="B2">
    <cfRule type="expression" dxfId="289" priority="576" stopIfTrue="1">
      <formula>IF(OR($AG$16,$AG$69),1,0)</formula>
    </cfRule>
  </conditionalFormatting>
  <conditionalFormatting sqref="B21">
    <cfRule type="expression" dxfId="288" priority="3">
      <formula>AND(NOT(NoColor),A29=0)</formula>
    </cfRule>
  </conditionalFormatting>
  <conditionalFormatting sqref="B74">
    <cfRule type="expression" dxfId="287" priority="4">
      <formula>AND(NOT(NoColor),A82=0)</formula>
    </cfRule>
  </conditionalFormatting>
  <conditionalFormatting sqref="B11:AF11">
    <cfRule type="expression" dxfId="286" priority="33">
      <formula>IF(NoColor,1,0)</formula>
    </cfRule>
  </conditionalFormatting>
  <conditionalFormatting sqref="B35:AF54">
    <cfRule type="expression" dxfId="285" priority="29">
      <formula>IF(NoColor,1,0)</formula>
    </cfRule>
  </conditionalFormatting>
  <conditionalFormatting sqref="B64:AF64">
    <cfRule type="expression" dxfId="284" priority="26">
      <formula>IF(NoColor,1,0)</formula>
    </cfRule>
  </conditionalFormatting>
  <conditionalFormatting sqref="B88:AF115">
    <cfRule type="expression" dxfId="283" priority="1">
      <formula>IF(NoColor,1,0)</formula>
    </cfRule>
  </conditionalFormatting>
  <conditionalFormatting sqref="C25">
    <cfRule type="expression" dxfId="282" priority="32">
      <formula>IF(NoColor,1,0)</formula>
    </cfRule>
  </conditionalFormatting>
  <conditionalFormatting sqref="C27">
    <cfRule type="expression" dxfId="281" priority="14">
      <formula>IF(NoColor,1,0)</formula>
    </cfRule>
  </conditionalFormatting>
  <conditionalFormatting sqref="C29">
    <cfRule type="expression" dxfId="280" priority="13">
      <formula>IF(NoColor,1,0)</formula>
    </cfRule>
  </conditionalFormatting>
  <conditionalFormatting sqref="C78">
    <cfRule type="expression" dxfId="279" priority="25">
      <formula>IF(NoColor,1,0)</formula>
    </cfRule>
  </conditionalFormatting>
  <conditionalFormatting sqref="C80">
    <cfRule type="expression" dxfId="278" priority="12">
      <formula>IF(NoColor,1,0)</formula>
    </cfRule>
  </conditionalFormatting>
  <conditionalFormatting sqref="C82">
    <cfRule type="expression" dxfId="277" priority="11">
      <formula>IF(NoColor,1,0)</formula>
    </cfRule>
  </conditionalFormatting>
  <conditionalFormatting sqref="J35:J54">
    <cfRule type="expression" dxfId="276" priority="35" stopIfTrue="1">
      <formula>IF(AND($L$2="",AG35&lt;&gt;0),TRUE,FALSE)</formula>
    </cfRule>
  </conditionalFormatting>
  <conditionalFormatting sqref="J88:J115">
    <cfRule type="expression" dxfId="275" priority="22" stopIfTrue="1">
      <formula>IF(AND($L$2="",AG88&lt;&gt;0),TRUE,FALSE)</formula>
    </cfRule>
  </conditionalFormatting>
  <conditionalFormatting sqref="K74">
    <cfRule type="expression" dxfId="274" priority="5">
      <formula>IF($A$82&gt;1,1,0)</formula>
    </cfRule>
  </conditionalFormatting>
  <conditionalFormatting sqref="L2">
    <cfRule type="expression" dxfId="273" priority="575" stopIfTrue="1">
      <formula>IF(OR($AG$16,$AG$69),1,0)</formula>
    </cfRule>
  </conditionalFormatting>
  <conditionalFormatting sqref="L21">
    <cfRule type="expression" dxfId="272" priority="2">
      <formula>(A29&gt;1)</formula>
    </cfRule>
  </conditionalFormatting>
  <conditionalFormatting sqref="M35:M54">
    <cfRule type="expression" dxfId="271" priority="34" stopIfTrue="1">
      <formula>IF(AND($L$2="",AG35&gt;0),TRUE,FALSE)</formula>
    </cfRule>
  </conditionalFormatting>
  <conditionalFormatting sqref="M88:M115">
    <cfRule type="expression" dxfId="270" priority="21" stopIfTrue="1">
      <formula>IF(AND($L$2="",AG88&gt;0),TRUE,FALSE)</formula>
    </cfRule>
  </conditionalFormatting>
  <conditionalFormatting sqref="P69">
    <cfRule type="expression" dxfId="269" priority="537" stopIfTrue="1">
      <formula>IF(AND($L$2="",$AG$69),TRUE,FALSE)</formula>
    </cfRule>
  </conditionalFormatting>
  <conditionalFormatting sqref="Q55:X59">
    <cfRule type="expression" dxfId="268" priority="28">
      <formula>IF(NoColor,1,0)</formula>
    </cfRule>
  </conditionalFormatting>
  <conditionalFormatting sqref="Q116:X120">
    <cfRule type="expression" dxfId="267" priority="16">
      <formula>IF(NoColor,1,0)</formula>
    </cfRule>
  </conditionalFormatting>
  <conditionalFormatting sqref="T16:T19">
    <cfRule type="expression" dxfId="266" priority="129" stopIfTrue="1">
      <formula>IF(AND($L$2="",$AG$16),TRUE,FALSE)</formula>
    </cfRule>
  </conditionalFormatting>
  <conditionalFormatting sqref="T69">
    <cfRule type="expression" dxfId="265" priority="128" stopIfTrue="1">
      <formula>IF(AND($L$2="",$AG$69),TRUE,FALSE)</formula>
    </cfRule>
  </conditionalFormatting>
  <conditionalFormatting sqref="T70:T72">
    <cfRule type="expression" dxfId="264" priority="9" stopIfTrue="1">
      <formula>IF(AND($L$2="",$AG$16),TRUE,FALSE)</formula>
    </cfRule>
  </conditionalFormatting>
  <conditionalFormatting sqref="AA55:AF59">
    <cfRule type="expression" dxfId="263" priority="27">
      <formula>IF(NoColor,1,0)</formula>
    </cfRule>
  </conditionalFormatting>
  <conditionalFormatting sqref="AA116:AF120">
    <cfRule type="expression" dxfId="262" priority="15">
      <formula>IF(NoColor,1,0)</formula>
    </cfRule>
  </conditionalFormatting>
  <pageMargins left="0.75" right="0.25" top="0.36" bottom="0.28999999999999998" header="0.36" footer="0.21"/>
  <pageSetup scale="75" fitToHeight="0" orientation="portrait" r:id="rId1"/>
  <rowBreaks count="1" manualBreakCount="1">
    <brk id="61" min="1" max="31"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C123"/>
  <sheetViews>
    <sheetView zoomScaleNormal="100" zoomScaleSheetLayoutView="100" workbookViewId="0"/>
  </sheetViews>
  <sheetFormatPr defaultColWidth="3.7109375" defaultRowHeight="12.75"/>
  <cols>
    <col min="1" max="1" width="3.7109375" style="751" customWidth="1"/>
    <col min="2" max="2" width="4.140625" style="39" customWidth="1"/>
    <col min="3" max="3" width="2.28515625" style="39" customWidth="1"/>
    <col min="4" max="9" width="3.7109375" style="39" customWidth="1"/>
    <col min="10" max="10" width="4" style="39" customWidth="1"/>
    <col min="11" max="11" width="6.85546875" style="39" customWidth="1"/>
    <col min="12" max="12" width="4" style="39" customWidth="1"/>
    <col min="13" max="19" width="3.7109375" style="39" customWidth="1"/>
    <col min="20" max="23" width="3.85546875" style="39" customWidth="1"/>
    <col min="24" max="24" width="3.7109375" style="39" customWidth="1"/>
    <col min="25" max="26" width="5.42578125" style="39" customWidth="1"/>
    <col min="27" max="27" width="8.42578125" style="39" customWidth="1"/>
    <col min="28" max="28" width="6.42578125" style="39" customWidth="1"/>
    <col min="29" max="32" width="3.7109375" style="39" customWidth="1"/>
    <col min="33" max="33" width="6" style="904" customWidth="1"/>
    <col min="34" max="34" width="4.85546875" style="217" customWidth="1"/>
    <col min="35" max="35" width="8.5703125" style="217" bestFit="1" customWidth="1"/>
    <col min="36" max="36" width="29.28515625" style="39" customWidth="1"/>
    <col min="37" max="40" width="13.7109375" style="39" customWidth="1"/>
    <col min="41" max="41" width="10" style="39" customWidth="1"/>
    <col min="42" max="42" width="15.5703125" style="39" customWidth="1"/>
    <col min="43" max="43" width="15.42578125" style="39" customWidth="1"/>
    <col min="44" max="44" width="3.7109375" style="39"/>
    <col min="45" max="46" width="5" style="39" hidden="1" customWidth="1"/>
    <col min="47" max="47" width="0" style="39" hidden="1" customWidth="1"/>
    <col min="48" max="48" width="1.7109375" style="39" hidden="1" customWidth="1"/>
    <col min="49" max="49" width="5" style="39" hidden="1" customWidth="1"/>
    <col min="50" max="52" width="0" style="39" hidden="1" customWidth="1"/>
    <col min="53" max="55" width="7" style="39" hidden="1" customWidth="1"/>
    <col min="56" max="16384" width="3.7109375" style="39"/>
  </cols>
  <sheetData>
    <row r="1" spans="1:34">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697"/>
    </row>
    <row r="2" spans="1:34">
      <c r="A2" s="66"/>
      <c r="B2" s="10173" t="s">
        <v>4971</v>
      </c>
      <c r="C2" s="10174"/>
      <c r="D2" s="10174"/>
      <c r="E2" s="10174"/>
      <c r="F2" s="10174"/>
      <c r="G2" s="10174"/>
      <c r="H2" s="10174"/>
      <c r="I2" s="10174"/>
      <c r="J2" s="10174"/>
      <c r="K2" s="10174"/>
      <c r="L2" s="793"/>
      <c r="M2" s="66"/>
      <c r="N2" s="66"/>
      <c r="O2" s="66"/>
      <c r="P2" s="66"/>
      <c r="Q2" s="66"/>
      <c r="R2" s="66"/>
      <c r="S2" s="66"/>
      <c r="T2" s="66"/>
      <c r="U2" s="66"/>
      <c r="V2" s="66"/>
      <c r="W2" s="66"/>
      <c r="X2" s="66"/>
      <c r="Y2" s="66"/>
      <c r="Z2" s="66"/>
      <c r="AA2" s="691"/>
      <c r="AB2" s="66"/>
      <c r="AC2" s="66"/>
      <c r="AD2" s="66"/>
      <c r="AE2" s="66"/>
      <c r="AF2" s="66"/>
      <c r="AG2" s="697"/>
    </row>
    <row r="3" spans="1:34">
      <c r="A3" s="461"/>
      <c r="B3" s="461"/>
      <c r="C3" s="461"/>
      <c r="D3" s="461"/>
      <c r="E3" s="461"/>
      <c r="F3" s="461"/>
      <c r="G3" s="461"/>
      <c r="H3" s="461"/>
      <c r="I3" s="461"/>
      <c r="J3" s="461"/>
      <c r="K3" s="461"/>
      <c r="L3" s="461"/>
      <c r="M3" s="461"/>
      <c r="N3" s="461"/>
      <c r="O3" s="461"/>
      <c r="P3" s="461"/>
      <c r="Q3" s="461"/>
      <c r="R3" s="461"/>
      <c r="S3" s="461"/>
      <c r="T3" s="461"/>
      <c r="U3" s="461"/>
      <c r="V3" s="461"/>
      <c r="W3" s="461"/>
      <c r="X3" s="461"/>
      <c r="Y3" s="461"/>
      <c r="Z3" s="461"/>
      <c r="AA3" s="461"/>
      <c r="AB3" s="461"/>
      <c r="AC3" s="461"/>
      <c r="AD3" s="461"/>
      <c r="AE3" s="461"/>
      <c r="AF3" s="461"/>
      <c r="AG3" s="697"/>
    </row>
    <row r="4" spans="1:34" ht="11.25" customHeight="1">
      <c r="A4" s="461"/>
      <c r="B4" s="10175" t="s">
        <v>4972</v>
      </c>
      <c r="C4" s="8769"/>
      <c r="D4" s="8769"/>
      <c r="E4" s="8769"/>
      <c r="F4" s="8769"/>
      <c r="G4" s="22"/>
      <c r="H4" s="10177" t="s">
        <v>4973</v>
      </c>
      <c r="I4" s="10178"/>
      <c r="J4" s="10178"/>
      <c r="K4" s="10178"/>
      <c r="L4" s="10178"/>
      <c r="M4" s="10178"/>
      <c r="N4" s="10178"/>
      <c r="O4" s="10178"/>
      <c r="P4" s="10178"/>
      <c r="Q4" s="10178"/>
      <c r="R4" s="10178"/>
      <c r="S4" s="10178"/>
      <c r="T4" s="10178"/>
      <c r="U4" s="10178"/>
      <c r="V4" s="10178"/>
      <c r="W4" s="10178"/>
      <c r="X4" s="10178"/>
      <c r="Y4" s="10178"/>
      <c r="Z4" s="10178"/>
      <c r="AA4" s="10179"/>
      <c r="AB4" s="7041" t="s">
        <v>576</v>
      </c>
      <c r="AC4" s="8773"/>
      <c r="AD4" s="8773"/>
      <c r="AE4" s="8773"/>
      <c r="AF4" s="8773"/>
      <c r="AG4" s="697"/>
      <c r="AH4" s="5726"/>
    </row>
    <row r="5" spans="1:34" ht="11.25" customHeight="1">
      <c r="A5" s="461"/>
      <c r="B5" s="8769"/>
      <c r="C5" s="8769"/>
      <c r="D5" s="8769"/>
      <c r="E5" s="8769"/>
      <c r="F5" s="8769"/>
      <c r="G5" s="22"/>
      <c r="H5" s="10180"/>
      <c r="I5" s="10178"/>
      <c r="J5" s="10178"/>
      <c r="K5" s="10178"/>
      <c r="L5" s="10178"/>
      <c r="M5" s="10178"/>
      <c r="N5" s="10178"/>
      <c r="O5" s="10178"/>
      <c r="P5" s="10178"/>
      <c r="Q5" s="10178"/>
      <c r="R5" s="10178"/>
      <c r="S5" s="10178"/>
      <c r="T5" s="10178"/>
      <c r="U5" s="10178"/>
      <c r="V5" s="10178"/>
      <c r="W5" s="10178"/>
      <c r="X5" s="10178"/>
      <c r="Y5" s="10178"/>
      <c r="Z5" s="10178"/>
      <c r="AA5" s="10179"/>
      <c r="AB5" s="10176">
        <f>TaxYear</f>
        <v>2023</v>
      </c>
      <c r="AC5" s="8769"/>
      <c r="AD5" s="8769"/>
      <c r="AE5" s="8769"/>
      <c r="AF5" s="8769"/>
      <c r="AG5" s="697"/>
      <c r="AH5" s="5726"/>
    </row>
    <row r="6" spans="1:34" ht="11.25" customHeight="1">
      <c r="A6" s="461"/>
      <c r="B6" s="8769"/>
      <c r="C6" s="8769"/>
      <c r="D6" s="8769"/>
      <c r="E6" s="8769"/>
      <c r="F6" s="8769"/>
      <c r="G6" s="22"/>
      <c r="H6" s="10181"/>
      <c r="I6" s="6466"/>
      <c r="J6" s="6466"/>
      <c r="K6" s="6466"/>
      <c r="L6" s="6466"/>
      <c r="M6" s="6466"/>
      <c r="N6" s="6466"/>
      <c r="O6" s="6466"/>
      <c r="P6" s="6466"/>
      <c r="Q6" s="6466"/>
      <c r="R6" s="6466"/>
      <c r="S6" s="6466"/>
      <c r="T6" s="6466"/>
      <c r="U6" s="6466"/>
      <c r="V6" s="6466"/>
      <c r="W6" s="6466"/>
      <c r="X6" s="6466"/>
      <c r="Y6" s="6466"/>
      <c r="Z6" s="6466"/>
      <c r="AA6" s="8614"/>
      <c r="AB6" s="8769"/>
      <c r="AC6" s="8769"/>
      <c r="AD6" s="8769"/>
      <c r="AE6" s="8769"/>
      <c r="AF6" s="8769"/>
      <c r="AG6" s="697"/>
      <c r="AH6" s="744"/>
    </row>
    <row r="7" spans="1:34" ht="11.25" customHeight="1">
      <c r="A7" s="461"/>
      <c r="B7" s="22"/>
      <c r="C7" s="22"/>
      <c r="D7" s="22"/>
      <c r="E7" s="22"/>
      <c r="F7" s="22"/>
      <c r="G7" s="22"/>
      <c r="H7" s="10182" t="s">
        <v>4974</v>
      </c>
      <c r="I7" s="10183"/>
      <c r="J7" s="10183"/>
      <c r="K7" s="10183"/>
      <c r="L7" s="10183"/>
      <c r="M7" s="10183"/>
      <c r="N7" s="10183"/>
      <c r="O7" s="10183"/>
      <c r="P7" s="10183"/>
      <c r="Q7" s="10183"/>
      <c r="R7" s="10183"/>
      <c r="S7" s="10183"/>
      <c r="T7" s="10183"/>
      <c r="U7" s="10183"/>
      <c r="V7" s="10183"/>
      <c r="W7" s="10183"/>
      <c r="X7" s="10183"/>
      <c r="Y7" s="10183"/>
      <c r="Z7" s="10183"/>
      <c r="AA7" s="10184"/>
      <c r="AB7" s="8769"/>
      <c r="AC7" s="8769"/>
      <c r="AD7" s="8769"/>
      <c r="AE7" s="8769"/>
      <c r="AF7" s="8769"/>
      <c r="AG7" s="697"/>
    </row>
    <row r="8" spans="1:34" ht="10.5" customHeight="1">
      <c r="A8" s="461"/>
      <c r="B8" s="29" t="s">
        <v>535</v>
      </c>
      <c r="C8" s="22"/>
      <c r="D8" s="22"/>
      <c r="E8" s="22"/>
      <c r="F8" s="22"/>
      <c r="G8" s="22"/>
      <c r="H8" s="10182" t="s">
        <v>5740</v>
      </c>
      <c r="I8" s="10183"/>
      <c r="J8" s="10183"/>
      <c r="K8" s="10183"/>
      <c r="L8" s="10183"/>
      <c r="M8" s="10183"/>
      <c r="N8" s="10183"/>
      <c r="O8" s="10183"/>
      <c r="P8" s="10183"/>
      <c r="Q8" s="10183"/>
      <c r="R8" s="10183"/>
      <c r="S8" s="10183"/>
      <c r="T8" s="10183"/>
      <c r="U8" s="10183"/>
      <c r="V8" s="10183"/>
      <c r="W8" s="10183"/>
      <c r="X8" s="10183"/>
      <c r="Y8" s="10183"/>
      <c r="Z8" s="10183"/>
      <c r="AA8" s="10184"/>
      <c r="AB8" s="10187" t="s">
        <v>2265</v>
      </c>
      <c r="AC8" s="10207"/>
      <c r="AD8" s="10207"/>
      <c r="AE8" s="8073" t="s">
        <v>4975</v>
      </c>
      <c r="AF8" s="8073"/>
      <c r="AG8" s="697"/>
    </row>
    <row r="9" spans="1:34" ht="10.5" customHeight="1" thickBot="1">
      <c r="A9" s="461"/>
      <c r="B9" s="28" t="s">
        <v>537</v>
      </c>
      <c r="C9" s="34"/>
      <c r="D9" s="34"/>
      <c r="E9" s="34"/>
      <c r="F9" s="34"/>
      <c r="G9" s="34"/>
      <c r="H9" s="10191"/>
      <c r="I9" s="10192"/>
      <c r="J9" s="10192"/>
      <c r="K9" s="10192"/>
      <c r="L9" s="10192"/>
      <c r="M9" s="10192"/>
      <c r="N9" s="10192"/>
      <c r="O9" s="10192"/>
      <c r="P9" s="10192"/>
      <c r="Q9" s="10192"/>
      <c r="R9" s="10192"/>
      <c r="S9" s="10192"/>
      <c r="T9" s="10192"/>
      <c r="U9" s="10192"/>
      <c r="V9" s="10192"/>
      <c r="W9" s="10192"/>
      <c r="X9" s="10192"/>
      <c r="Y9" s="10192"/>
      <c r="Z9" s="10192"/>
      <c r="AA9" s="10193"/>
      <c r="AB9" s="10208"/>
      <c r="AC9" s="10209"/>
      <c r="AD9" s="10209"/>
      <c r="AE9" s="8162"/>
      <c r="AF9" s="8162"/>
      <c r="AG9" s="697"/>
    </row>
    <row r="10" spans="1:34">
      <c r="A10" s="461"/>
      <c r="B10" s="29" t="s">
        <v>2208</v>
      </c>
      <c r="C10" s="22"/>
      <c r="D10" s="22"/>
      <c r="E10" s="22"/>
      <c r="F10" s="22"/>
      <c r="G10" s="22"/>
      <c r="H10" s="22"/>
      <c r="I10" s="22"/>
      <c r="J10" s="22"/>
      <c r="K10" s="22"/>
      <c r="L10" s="22"/>
      <c r="M10" s="22"/>
      <c r="N10" s="22"/>
      <c r="O10" s="22"/>
      <c r="P10" s="22"/>
      <c r="Q10" s="22"/>
      <c r="R10" s="22"/>
      <c r="S10" s="22"/>
      <c r="T10" s="22"/>
      <c r="U10" s="22"/>
      <c r="V10" s="852" t="s">
        <v>4976</v>
      </c>
      <c r="W10" s="22"/>
      <c r="X10" s="22"/>
      <c r="Y10" s="22"/>
      <c r="Z10" s="33"/>
      <c r="AA10" s="22"/>
      <c r="AB10" s="22"/>
      <c r="AC10" s="22"/>
      <c r="AD10" s="22"/>
      <c r="AE10" s="22"/>
      <c r="AF10" s="22"/>
      <c r="AG10" s="697"/>
    </row>
    <row r="11" spans="1:34" ht="16.5" thickBot="1">
      <c r="A11" s="461"/>
      <c r="B11" s="10160" t="str">
        <f>Names</f>
        <v/>
      </c>
      <c r="C11" s="10161"/>
      <c r="D11" s="10161"/>
      <c r="E11" s="10161"/>
      <c r="F11" s="10161"/>
      <c r="G11" s="10161"/>
      <c r="H11" s="10161"/>
      <c r="I11" s="10161"/>
      <c r="J11" s="10161"/>
      <c r="K11" s="10161"/>
      <c r="L11" s="10161"/>
      <c r="M11" s="10161"/>
      <c r="N11" s="10161"/>
      <c r="O11" s="10161"/>
      <c r="P11" s="10161"/>
      <c r="Q11" s="10161"/>
      <c r="R11" s="10161"/>
      <c r="S11" s="10161"/>
      <c r="T11" s="10161"/>
      <c r="U11" s="10162"/>
      <c r="V11" s="10163">
        <f>IF(NoSSN,"",SS_Yours)</f>
        <v>1010001</v>
      </c>
      <c r="W11" s="10164"/>
      <c r="X11" s="10164"/>
      <c r="Y11" s="10164"/>
      <c r="Z11" s="10164"/>
      <c r="AA11" s="10164"/>
      <c r="AB11" s="10164"/>
      <c r="AC11" s="10164"/>
      <c r="AD11" s="10164"/>
      <c r="AE11" s="10164"/>
      <c r="AF11" s="10164"/>
      <c r="AG11" s="697"/>
    </row>
    <row r="12" spans="1:34" ht="12.75" customHeight="1">
      <c r="A12" s="461"/>
      <c r="B12" s="10122" t="s">
        <v>5039</v>
      </c>
      <c r="C12" s="10123"/>
      <c r="D12" s="10123"/>
      <c r="E12" s="10123"/>
      <c r="F12" s="10123"/>
      <c r="G12" s="10123"/>
      <c r="H12" s="10123"/>
      <c r="I12" s="10123"/>
      <c r="J12" s="10123"/>
      <c r="K12" s="10123"/>
      <c r="L12" s="10123"/>
      <c r="M12" s="10123"/>
      <c r="N12" s="10123"/>
      <c r="O12" s="10123"/>
      <c r="P12" s="10123"/>
      <c r="Q12" s="10123"/>
      <c r="R12" s="10123"/>
      <c r="S12" s="10123"/>
      <c r="T12" s="10123"/>
      <c r="U12" s="10123"/>
      <c r="V12" s="10123"/>
      <c r="W12" s="10123"/>
      <c r="X12" s="10123"/>
      <c r="Y12" s="10123"/>
      <c r="Z12" s="10123"/>
      <c r="AA12" s="10123"/>
      <c r="AB12" s="10123"/>
      <c r="AC12" s="10123"/>
      <c r="AD12" s="10123"/>
      <c r="AE12" s="10123"/>
      <c r="AF12" s="10123"/>
      <c r="AG12" s="697"/>
    </row>
    <row r="13" spans="1:34" ht="12.75" customHeight="1">
      <c r="A13" s="461"/>
      <c r="B13" s="8117"/>
      <c r="C13" s="8117"/>
      <c r="D13" s="8117"/>
      <c r="E13" s="8117"/>
      <c r="F13" s="8117"/>
      <c r="G13" s="8117"/>
      <c r="H13" s="8117"/>
      <c r="I13" s="8117"/>
      <c r="J13" s="8117"/>
      <c r="K13" s="8117"/>
      <c r="L13" s="8117"/>
      <c r="M13" s="8117"/>
      <c r="N13" s="8117"/>
      <c r="O13" s="8117"/>
      <c r="P13" s="8117"/>
      <c r="Q13" s="8117"/>
      <c r="R13" s="8117"/>
      <c r="S13" s="8117"/>
      <c r="T13" s="8117"/>
      <c r="U13" s="8117"/>
      <c r="V13" s="8117"/>
      <c r="W13" s="8117"/>
      <c r="X13" s="8117"/>
      <c r="Y13" s="8117"/>
      <c r="Z13" s="8117"/>
      <c r="AA13" s="8117"/>
      <c r="AB13" s="8117"/>
      <c r="AC13" s="8117"/>
      <c r="AD13" s="8117"/>
      <c r="AE13" s="8117"/>
      <c r="AF13" s="8117"/>
      <c r="AG13" s="697"/>
    </row>
    <row r="14" spans="1:34" ht="12.75" customHeight="1">
      <c r="A14" s="461"/>
      <c r="B14" s="7956"/>
      <c r="C14" s="7956"/>
      <c r="D14" s="7956"/>
      <c r="E14" s="7956"/>
      <c r="F14" s="7956"/>
      <c r="G14" s="7956"/>
      <c r="H14" s="7956"/>
      <c r="I14" s="7956"/>
      <c r="J14" s="7956"/>
      <c r="K14" s="7956"/>
      <c r="L14" s="7956"/>
      <c r="M14" s="7956"/>
      <c r="N14" s="7956"/>
      <c r="O14" s="7956"/>
      <c r="P14" s="7956"/>
      <c r="Q14" s="7956"/>
      <c r="R14" s="7956"/>
      <c r="S14" s="7956"/>
      <c r="T14" s="7956"/>
      <c r="U14" s="7956"/>
      <c r="V14" s="7956"/>
      <c r="W14" s="7956"/>
      <c r="X14" s="7956"/>
      <c r="Y14" s="7956"/>
      <c r="Z14" s="7956"/>
      <c r="AA14" s="7956"/>
      <c r="AB14" s="7956"/>
      <c r="AC14" s="7956"/>
      <c r="AD14" s="7956"/>
      <c r="AE14" s="7956"/>
      <c r="AF14" s="7956"/>
      <c r="AG14" s="697"/>
    </row>
    <row r="15" spans="1:34" ht="3.75" customHeight="1">
      <c r="A15" s="46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697"/>
    </row>
    <row r="16" spans="1:34" ht="15">
      <c r="A16" s="461"/>
      <c r="B16" s="10158" t="s">
        <v>884</v>
      </c>
      <c r="C16" s="10159"/>
      <c r="D16" s="22"/>
      <c r="E16" s="235" t="s">
        <v>4978</v>
      </c>
      <c r="F16" s="22"/>
      <c r="G16" s="22"/>
      <c r="H16" s="22"/>
      <c r="I16" s="22"/>
      <c r="J16" s="22"/>
      <c r="K16" s="22"/>
      <c r="L16" s="22"/>
      <c r="M16" s="22"/>
      <c r="N16" s="22"/>
      <c r="O16" s="22"/>
      <c r="P16" s="22"/>
      <c r="Q16" s="22"/>
      <c r="R16" s="22"/>
      <c r="S16" s="22"/>
      <c r="T16" s="276" t="s">
        <v>4979</v>
      </c>
      <c r="U16" s="22"/>
      <c r="V16" s="22"/>
      <c r="W16" s="22"/>
      <c r="X16" s="276" t="s">
        <v>4980</v>
      </c>
      <c r="Y16" s="22"/>
      <c r="Z16" s="22"/>
      <c r="AA16" s="22"/>
      <c r="AB16" s="22"/>
      <c r="AC16" s="22"/>
      <c r="AD16" s="22"/>
      <c r="AE16" s="22"/>
      <c r="AF16" s="22"/>
      <c r="AG16" s="911" t="b">
        <f>IF(SUM(AG35:AG54)&gt;0,TRUE,FALSE)</f>
        <v>0</v>
      </c>
    </row>
    <row r="17" spans="1:55" ht="11.25" customHeight="1">
      <c r="A17" s="461"/>
      <c r="B17" s="22"/>
      <c r="C17" s="22"/>
      <c r="D17" s="22"/>
      <c r="E17" s="276" t="s">
        <v>4981</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697"/>
    </row>
    <row r="18" spans="1:55" s="182" customFormat="1" ht="13.5" customHeight="1">
      <c r="A18" s="2094"/>
      <c r="B18" s="276"/>
      <c r="C18" s="276"/>
      <c r="D18" s="276"/>
      <c r="E18" s="2095" t="s">
        <v>4982</v>
      </c>
      <c r="F18" s="276"/>
      <c r="G18" s="27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094"/>
      <c r="AH18" s="671"/>
      <c r="AI18" s="671"/>
    </row>
    <row r="19" spans="1:55" s="182" customFormat="1" ht="13.5" customHeight="1">
      <c r="A19" s="2094"/>
      <c r="B19" s="276"/>
      <c r="C19" s="276"/>
      <c r="D19" s="276"/>
      <c r="E19" s="276" t="s">
        <v>4983</v>
      </c>
      <c r="F19" s="276"/>
      <c r="G19" s="27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094"/>
      <c r="AH19" s="671"/>
      <c r="AI19" s="671"/>
    </row>
    <row r="20" spans="1:55" s="182" customFormat="1" ht="13.5" customHeight="1">
      <c r="A20" s="2094"/>
      <c r="B20" s="2096"/>
      <c r="C20" s="2096"/>
      <c r="D20" s="2096"/>
      <c r="E20" s="2096" t="s">
        <v>4984</v>
      </c>
      <c r="F20" s="2096"/>
      <c r="G20" s="2096"/>
      <c r="H20" s="2096"/>
      <c r="I20" s="2096"/>
      <c r="J20" s="2096"/>
      <c r="K20" s="2096"/>
      <c r="L20" s="2096"/>
      <c r="M20" s="2096"/>
      <c r="N20" s="2096"/>
      <c r="O20" s="2096"/>
      <c r="P20" s="2096"/>
      <c r="Q20" s="2096"/>
      <c r="R20" s="2096"/>
      <c r="S20" s="2096"/>
      <c r="T20" s="2096"/>
      <c r="U20" s="2096"/>
      <c r="V20" s="2096"/>
      <c r="W20" s="2096"/>
      <c r="X20" s="2096"/>
      <c r="Y20" s="2096"/>
      <c r="Z20" s="2096"/>
      <c r="AA20" s="2096"/>
      <c r="AB20" s="2096"/>
      <c r="AC20" s="2096"/>
      <c r="AD20" s="2096"/>
      <c r="AE20" s="2096"/>
      <c r="AF20" s="2096"/>
      <c r="AG20" s="2094"/>
      <c r="AH20" s="671"/>
      <c r="AI20" s="671"/>
    </row>
    <row r="21" spans="1:55">
      <c r="A21" s="461"/>
      <c r="B21" s="194" t="s">
        <v>4985</v>
      </c>
      <c r="C21" s="51"/>
      <c r="D21" s="51"/>
      <c r="E21" s="51"/>
      <c r="F21" s="51"/>
      <c r="G21" s="51"/>
      <c r="H21" s="51"/>
      <c r="I21" s="51"/>
      <c r="J21" s="51"/>
      <c r="K21" s="194"/>
      <c r="L21" s="194" t="s">
        <v>4986</v>
      </c>
      <c r="M21" s="51"/>
      <c r="N21" s="51"/>
      <c r="O21" s="51"/>
      <c r="P21" s="51"/>
      <c r="Q21" s="61" t="s">
        <v>4987</v>
      </c>
      <c r="R21" s="51"/>
      <c r="S21" s="51"/>
      <c r="T21" s="51"/>
      <c r="U21" s="51"/>
      <c r="V21" s="51"/>
      <c r="W21" s="51"/>
      <c r="X21" s="51"/>
      <c r="Y21" s="51"/>
      <c r="Z21" s="51"/>
      <c r="AA21" s="51"/>
      <c r="AB21" s="51"/>
      <c r="AC21" s="51"/>
      <c r="AD21" s="51"/>
      <c r="AE21" s="51"/>
      <c r="AF21" s="51"/>
      <c r="AG21" s="697"/>
    </row>
    <row r="22" spans="1:55">
      <c r="A22" s="461"/>
      <c r="B22" s="61" t="s">
        <v>4988</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697"/>
      <c r="BA22" s="10194" t="s">
        <v>4989</v>
      </c>
      <c r="BB22" s="6435"/>
      <c r="BC22" s="7427"/>
    </row>
    <row r="23" spans="1:55">
      <c r="A23" s="461"/>
      <c r="B23" s="61" t="s">
        <v>4990</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697"/>
      <c r="BA23" s="10195" t="s">
        <v>4991</v>
      </c>
      <c r="BB23" s="10195" t="s">
        <v>4992</v>
      </c>
      <c r="BC23" s="10195" t="s">
        <v>4993</v>
      </c>
    </row>
    <row r="24" spans="1:55" ht="4.5" customHeight="1" thickBot="1">
      <c r="A24" s="46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697"/>
      <c r="BA24" s="10196"/>
      <c r="BB24" s="10196"/>
      <c r="BC24" s="10196"/>
    </row>
    <row r="25" spans="1:55" ht="12" customHeight="1" thickBot="1">
      <c r="A25" s="461"/>
      <c r="B25" s="874">
        <f>IF(C25&lt;&gt;"",1,0)</f>
        <v>0</v>
      </c>
      <c r="C25" s="873"/>
      <c r="D25" s="683" t="s">
        <v>4994</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697"/>
      <c r="AJ25" s="10200"/>
      <c r="AK25" s="10201"/>
      <c r="AL25" s="10201"/>
      <c r="AM25" s="10201"/>
      <c r="AN25" s="10201"/>
      <c r="AO25" s="10201"/>
      <c r="AP25" s="10201"/>
      <c r="AQ25" s="10201"/>
      <c r="BA25" s="10196"/>
      <c r="BB25" s="10196"/>
      <c r="BC25" s="10196"/>
    </row>
    <row r="26" spans="1:55" ht="4.5" customHeight="1" thickBot="1">
      <c r="A26" s="461"/>
      <c r="B26" s="874"/>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697"/>
      <c r="BA26" s="10196"/>
      <c r="BB26" s="10196"/>
      <c r="BC26" s="10196"/>
    </row>
    <row r="27" spans="1:55" ht="11.25" customHeight="1" thickBot="1">
      <c r="A27" s="461"/>
      <c r="B27" s="874">
        <f>IF(C27&lt;&gt;"",1,0)</f>
        <v>0</v>
      </c>
      <c r="C27" s="873"/>
      <c r="D27" s="683" t="s">
        <v>4995</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697"/>
      <c r="AJ27" s="10200"/>
      <c r="AK27" s="10201"/>
      <c r="AL27" s="10201"/>
      <c r="AM27" s="10201"/>
      <c r="AN27" s="10201"/>
      <c r="AO27" s="10201"/>
      <c r="AP27" s="10201"/>
      <c r="AQ27" s="10201"/>
      <c r="BA27" s="10196"/>
      <c r="BB27" s="10196"/>
      <c r="BC27" s="10196"/>
    </row>
    <row r="28" spans="1:55" ht="4.5" customHeight="1" thickBot="1">
      <c r="A28" s="461"/>
      <c r="B28" s="874"/>
      <c r="C28" s="51"/>
      <c r="D28" s="61"/>
      <c r="E28" s="51"/>
      <c r="F28" s="51"/>
      <c r="G28" s="51"/>
      <c r="H28" s="51"/>
      <c r="I28" s="51"/>
      <c r="J28" s="51"/>
      <c r="K28" s="51"/>
      <c r="L28" s="51"/>
      <c r="M28" s="51"/>
      <c r="N28" s="51"/>
      <c r="O28" s="51"/>
      <c r="P28" s="51"/>
      <c r="Q28" s="51"/>
      <c r="R28" s="10185"/>
      <c r="S28" s="10186"/>
      <c r="T28" s="10186"/>
      <c r="U28" s="10186"/>
      <c r="V28" s="10186"/>
      <c r="W28" s="10186"/>
      <c r="X28" s="10186"/>
      <c r="Y28" s="10186"/>
      <c r="Z28" s="10186"/>
      <c r="AA28" s="10186"/>
      <c r="AB28" s="10186"/>
      <c r="AC28" s="10186"/>
      <c r="AD28" s="10186"/>
      <c r="AE28" s="10186"/>
      <c r="AF28" s="51"/>
      <c r="AG28" s="697"/>
      <c r="BA28" s="10196"/>
      <c r="BB28" s="10196"/>
      <c r="BC28" s="10196"/>
    </row>
    <row r="29" spans="1:55" ht="12" customHeight="1" thickBot="1">
      <c r="A29" s="461">
        <f>SUM(B25:B29)</f>
        <v>0</v>
      </c>
      <c r="B29" s="874">
        <f>IF(C29&lt;&gt;"",1,0)</f>
        <v>0</v>
      </c>
      <c r="C29" s="873"/>
      <c r="D29" s="683" t="s">
        <v>4996</v>
      </c>
      <c r="E29" s="51"/>
      <c r="F29" s="51"/>
      <c r="G29" s="51"/>
      <c r="H29" s="51"/>
      <c r="I29" s="51"/>
      <c r="J29" s="51"/>
      <c r="K29" s="51"/>
      <c r="L29" s="51"/>
      <c r="M29" s="51"/>
      <c r="N29" s="51"/>
      <c r="O29" s="51"/>
      <c r="P29" s="51"/>
      <c r="Q29" s="51"/>
      <c r="R29" s="10185" t="str">
        <f>IF(SpaceUsed_8949B_ST,"ERROR: DO NOT use the space bar to uncheck a box. Use the 'Delete' key.",IF(A29&gt;1,"Check only ONE box.",IF(OR(NoColor,A29&gt;0),"",IF(A29&lt;1,"Check ONE box.",""))))</f>
        <v>Check ONE box.</v>
      </c>
      <c r="S29" s="10186"/>
      <c r="T29" s="10186"/>
      <c r="U29" s="10186"/>
      <c r="V29" s="10186"/>
      <c r="W29" s="10186"/>
      <c r="X29" s="10186"/>
      <c r="Y29" s="10186"/>
      <c r="Z29" s="10186"/>
      <c r="AA29" s="10186"/>
      <c r="AB29" s="10186"/>
      <c r="AC29" s="10186"/>
      <c r="AD29" s="10186"/>
      <c r="AE29" s="10186"/>
      <c r="AF29" s="51"/>
      <c r="AG29" s="697"/>
      <c r="AH29" s="1028" t="b">
        <f>IF(OR(F8949BSBOXA=CHAR(32),F8949BSBOXB=CHAR(32),F8949BSBOXC=CHAR(32)),TRUE,FALSE)</f>
        <v>0</v>
      </c>
      <c r="AJ29" s="10200" t="s">
        <v>4997</v>
      </c>
      <c r="AK29" s="10201"/>
      <c r="AL29" s="10201"/>
      <c r="AM29" s="10201"/>
      <c r="AN29" s="10201"/>
      <c r="AO29" s="10201"/>
      <c r="AP29" s="10201"/>
      <c r="AQ29" s="10201"/>
      <c r="BA29" s="10196"/>
      <c r="BB29" s="10196"/>
      <c r="BC29" s="10196"/>
    </row>
    <row r="30" spans="1:55" ht="3.75" customHeight="1">
      <c r="A30" s="461"/>
      <c r="B30" s="195"/>
      <c r="C30" s="746"/>
      <c r="D30" s="195"/>
      <c r="E30" s="195"/>
      <c r="F30" s="195"/>
      <c r="G30" s="195"/>
      <c r="H30" s="195"/>
      <c r="I30" s="195"/>
      <c r="J30" s="195"/>
      <c r="K30" s="195"/>
      <c r="L30" s="195"/>
      <c r="M30" s="195"/>
      <c r="N30" s="746"/>
      <c r="O30" s="195"/>
      <c r="P30" s="195"/>
      <c r="Q30" s="195"/>
      <c r="R30" s="195"/>
      <c r="S30" s="195"/>
      <c r="T30" s="195"/>
      <c r="U30" s="195"/>
      <c r="V30" s="195"/>
      <c r="W30" s="195"/>
      <c r="X30" s="195"/>
      <c r="Y30" s="746"/>
      <c r="Z30" s="195"/>
      <c r="AA30" s="195"/>
      <c r="AB30" s="195"/>
      <c r="AC30" s="195"/>
      <c r="AD30" s="195"/>
      <c r="AE30" s="195"/>
      <c r="AF30" s="195"/>
      <c r="AG30" s="697"/>
      <c r="BA30" s="10196"/>
      <c r="BB30" s="10196"/>
      <c r="BC30" s="10196"/>
    </row>
    <row r="31" spans="1:55" ht="21" customHeight="1">
      <c r="A31" s="461"/>
      <c r="B31" s="10143">
        <v>1</v>
      </c>
      <c r="C31" s="10147" t="s">
        <v>4998</v>
      </c>
      <c r="D31" s="10148"/>
      <c r="E31" s="10148"/>
      <c r="F31" s="10148"/>
      <c r="G31" s="10148"/>
      <c r="H31" s="10148"/>
      <c r="I31" s="10149"/>
      <c r="J31" s="10155" t="s">
        <v>4999</v>
      </c>
      <c r="K31" s="7417"/>
      <c r="L31" s="7278"/>
      <c r="M31" s="10155" t="s">
        <v>5000</v>
      </c>
      <c r="N31" s="7417"/>
      <c r="O31" s="7417"/>
      <c r="P31" s="7278"/>
      <c r="Q31" s="10155" t="s">
        <v>5001</v>
      </c>
      <c r="R31" s="7417"/>
      <c r="S31" s="7417"/>
      <c r="T31" s="7278"/>
      <c r="U31" s="10092" t="s">
        <v>5002</v>
      </c>
      <c r="V31" s="10093"/>
      <c r="W31" s="10093"/>
      <c r="X31" s="10094"/>
      <c r="Y31" s="10102" t="s">
        <v>5003</v>
      </c>
      <c r="Z31" s="10103"/>
      <c r="AA31" s="10103"/>
      <c r="AB31" s="10104"/>
      <c r="AC31" s="10092" t="s">
        <v>5004</v>
      </c>
      <c r="AD31" s="10093"/>
      <c r="AE31" s="10093"/>
      <c r="AF31" s="10093"/>
      <c r="AG31" s="697"/>
      <c r="AJ31" s="10202" t="s">
        <v>5005</v>
      </c>
      <c r="AK31" s="10202" t="s">
        <v>5006</v>
      </c>
      <c r="AL31" s="10202" t="s">
        <v>5007</v>
      </c>
      <c r="AM31" s="10202" t="s">
        <v>5008</v>
      </c>
      <c r="AN31" s="10204" t="s">
        <v>5009</v>
      </c>
      <c r="AO31" s="10199" t="s">
        <v>5010</v>
      </c>
      <c r="AP31" s="7302"/>
      <c r="AQ31" s="10202" t="s">
        <v>5011</v>
      </c>
      <c r="BA31" s="10196"/>
      <c r="BB31" s="10196"/>
      <c r="BC31" s="10196"/>
    </row>
    <row r="32" spans="1:55" ht="21" customHeight="1">
      <c r="A32" s="461"/>
      <c r="B32" s="10144"/>
      <c r="C32" s="10150"/>
      <c r="D32" s="10151"/>
      <c r="E32" s="10151"/>
      <c r="F32" s="10151"/>
      <c r="G32" s="10151"/>
      <c r="H32" s="10151"/>
      <c r="I32" s="10152"/>
      <c r="J32" s="10156"/>
      <c r="K32" s="8454"/>
      <c r="L32" s="7280"/>
      <c r="M32" s="10156"/>
      <c r="N32" s="8454"/>
      <c r="O32" s="8454"/>
      <c r="P32" s="7280"/>
      <c r="Q32" s="10156"/>
      <c r="R32" s="8454"/>
      <c r="S32" s="8454"/>
      <c r="T32" s="7280"/>
      <c r="U32" s="10095"/>
      <c r="V32" s="10096"/>
      <c r="W32" s="10096"/>
      <c r="X32" s="10097"/>
      <c r="Y32" s="10105"/>
      <c r="Z32" s="10106"/>
      <c r="AA32" s="10106"/>
      <c r="AB32" s="10107"/>
      <c r="AC32" s="10095"/>
      <c r="AD32" s="10096"/>
      <c r="AE32" s="10096"/>
      <c r="AF32" s="10096"/>
      <c r="AG32" s="697"/>
      <c r="AJ32" s="10202"/>
      <c r="AK32" s="10202"/>
      <c r="AL32" s="10202"/>
      <c r="AM32" s="10202"/>
      <c r="AN32" s="10204"/>
      <c r="AO32" s="7414"/>
      <c r="AP32" s="7308"/>
      <c r="AQ32" s="10202"/>
      <c r="BA32" s="10196"/>
      <c r="BB32" s="10196"/>
      <c r="BC32" s="10196"/>
    </row>
    <row r="33" spans="1:55" ht="18" customHeight="1">
      <c r="A33" s="461"/>
      <c r="B33" s="10145"/>
      <c r="C33" s="10151"/>
      <c r="D33" s="10151"/>
      <c r="E33" s="10151"/>
      <c r="F33" s="10151"/>
      <c r="G33" s="10151"/>
      <c r="H33" s="10151"/>
      <c r="I33" s="10152"/>
      <c r="J33" s="7279"/>
      <c r="K33" s="8454"/>
      <c r="L33" s="7280"/>
      <c r="M33" s="7279"/>
      <c r="N33" s="8454"/>
      <c r="O33" s="8454"/>
      <c r="P33" s="7280"/>
      <c r="Q33" s="7279"/>
      <c r="R33" s="8454"/>
      <c r="S33" s="8454"/>
      <c r="T33" s="7280"/>
      <c r="U33" s="10098"/>
      <c r="V33" s="10096"/>
      <c r="W33" s="10096"/>
      <c r="X33" s="10097"/>
      <c r="Y33" s="7396" t="s">
        <v>5012</v>
      </c>
      <c r="Z33" s="7278"/>
      <c r="AA33" s="7396" t="s">
        <v>5013</v>
      </c>
      <c r="AB33" s="7451"/>
      <c r="AC33" s="10098"/>
      <c r="AD33" s="10096"/>
      <c r="AE33" s="10096"/>
      <c r="AF33" s="10096"/>
      <c r="AG33" s="697"/>
      <c r="AJ33" s="10203"/>
      <c r="AK33" s="10203"/>
      <c r="AL33" s="10203"/>
      <c r="AM33" s="10203"/>
      <c r="AN33" s="10205"/>
      <c r="AO33" s="10197" t="s">
        <v>5014</v>
      </c>
      <c r="AP33" s="7577" t="s">
        <v>5013</v>
      </c>
      <c r="AQ33" s="10203"/>
      <c r="BA33" s="10196"/>
      <c r="BB33" s="10196"/>
      <c r="BC33" s="10196"/>
    </row>
    <row r="34" spans="1:55" ht="18" customHeight="1">
      <c r="A34" s="461"/>
      <c r="B34" s="10146"/>
      <c r="C34" s="10153"/>
      <c r="D34" s="10153"/>
      <c r="E34" s="10153"/>
      <c r="F34" s="10153"/>
      <c r="G34" s="10153"/>
      <c r="H34" s="10153"/>
      <c r="I34" s="10154"/>
      <c r="J34" s="7281"/>
      <c r="K34" s="10157"/>
      <c r="L34" s="7282"/>
      <c r="M34" s="7281"/>
      <c r="N34" s="10157"/>
      <c r="O34" s="10157"/>
      <c r="P34" s="7282"/>
      <c r="Q34" s="7281"/>
      <c r="R34" s="10157"/>
      <c r="S34" s="10157"/>
      <c r="T34" s="7282"/>
      <c r="U34" s="10099"/>
      <c r="V34" s="10100"/>
      <c r="W34" s="10100"/>
      <c r="X34" s="10101"/>
      <c r="Y34" s="7281"/>
      <c r="Z34" s="7282"/>
      <c r="AA34" s="6734"/>
      <c r="AB34" s="7453"/>
      <c r="AC34" s="10099"/>
      <c r="AD34" s="10100"/>
      <c r="AE34" s="10100"/>
      <c r="AF34" s="10100"/>
      <c r="AG34" s="697"/>
      <c r="AJ34" s="10203"/>
      <c r="AK34" s="10203"/>
      <c r="AL34" s="10203"/>
      <c r="AM34" s="10203"/>
      <c r="AN34" s="10205"/>
      <c r="AO34" s="10198"/>
      <c r="AP34" s="10198"/>
      <c r="AQ34" s="10203"/>
      <c r="BA34" s="10196"/>
      <c r="BB34" s="10196"/>
      <c r="BC34" s="10196"/>
    </row>
    <row r="35" spans="1:55" ht="19.5" customHeight="1">
      <c r="A35" s="461">
        <f>IF(OR(Q35&lt;&gt;"",U35&lt;&gt;"",AC35&lt;&gt;""),1,0)</f>
        <v>0</v>
      </c>
      <c r="B35" s="10085" t="str">
        <f t="shared" ref="B35:B54" si="0">IF(AJ35="","",AJ35)</f>
        <v/>
      </c>
      <c r="C35" s="9649"/>
      <c r="D35" s="9649"/>
      <c r="E35" s="9649"/>
      <c r="F35" s="9649"/>
      <c r="G35" s="9649"/>
      <c r="H35" s="9649"/>
      <c r="I35" s="9667"/>
      <c r="J35" s="10086" t="str">
        <f t="shared" ref="J35:J54" si="1">IF(AK35="","",AK35)</f>
        <v/>
      </c>
      <c r="K35" s="10087"/>
      <c r="L35" s="10087"/>
      <c r="M35" s="10086" t="str">
        <f t="shared" ref="M35:M54" si="2">IF(AL35="","",AL35)</f>
        <v/>
      </c>
      <c r="N35" s="10087"/>
      <c r="O35" s="10087"/>
      <c r="P35" s="10088"/>
      <c r="Q35" s="7143" t="str">
        <f t="shared" ref="Q35:Q54" si="3">IF(AM35="","",AM35)</f>
        <v/>
      </c>
      <c r="R35" s="10090"/>
      <c r="S35" s="10090"/>
      <c r="T35" s="10091"/>
      <c r="U35" s="7143" t="str">
        <f t="shared" ref="U35:U54" si="4">IF(AN35="","",AN35)</f>
        <v/>
      </c>
      <c r="V35" s="10090"/>
      <c r="W35" s="10090"/>
      <c r="X35" s="10091"/>
      <c r="Y35" s="10089" t="str">
        <f>IF(AO35&lt;&gt;"",AO35,"")</f>
        <v/>
      </c>
      <c r="Z35" s="6563"/>
      <c r="AA35" s="10089" t="str">
        <f>IF(AP35="","",AP35)</f>
        <v/>
      </c>
      <c r="AB35" s="6563"/>
      <c r="AC35" s="10138" t="str">
        <f>IF(AQ35&lt;&gt;"",AQ35,IF(AND(Q35="",U35=""),"",IF(AND(Q35&lt;&gt;"",U35=""),SUM(Q35,AA35),SUM(Q35,-U35,AA35))))</f>
        <v/>
      </c>
      <c r="AD35" s="10139"/>
      <c r="AE35" s="10139"/>
      <c r="AF35" s="10139"/>
      <c r="AG35" s="911">
        <f>IF(OR(J35="",M35=""),0,IF(OR(BA35,BB35,BC35),0,1))</f>
        <v>0</v>
      </c>
      <c r="AH35" s="5727"/>
      <c r="AI35" s="5727" t="e">
        <f t="shared" ref="AI35:AI54" si="5">M35-J35</f>
        <v>#VALUE!</v>
      </c>
      <c r="AJ35" s="853"/>
      <c r="AK35" s="857"/>
      <c r="AL35" s="857"/>
      <c r="AM35" s="855"/>
      <c r="AN35" s="855"/>
      <c r="AO35" s="856"/>
      <c r="AP35" s="855"/>
      <c r="AQ35" s="854"/>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61">
        <f t="shared" ref="A36:A54" si="6">IF(OR(Q36&lt;&gt;"",U36&lt;&gt;"",AC36&lt;&gt;""),1,0)</f>
        <v>0</v>
      </c>
      <c r="B36" s="10085" t="str">
        <f t="shared" si="0"/>
        <v/>
      </c>
      <c r="C36" s="9649"/>
      <c r="D36" s="9649"/>
      <c r="E36" s="9649"/>
      <c r="F36" s="9649"/>
      <c r="G36" s="9649"/>
      <c r="H36" s="9649"/>
      <c r="I36" s="9667"/>
      <c r="J36" s="10086" t="str">
        <f t="shared" si="1"/>
        <v/>
      </c>
      <c r="K36" s="10087"/>
      <c r="L36" s="10087"/>
      <c r="M36" s="10086" t="str">
        <f t="shared" si="2"/>
        <v/>
      </c>
      <c r="N36" s="10087"/>
      <c r="O36" s="10087"/>
      <c r="P36" s="10088"/>
      <c r="Q36" s="7143" t="str">
        <f t="shared" si="3"/>
        <v/>
      </c>
      <c r="R36" s="10090"/>
      <c r="S36" s="10090"/>
      <c r="T36" s="10091"/>
      <c r="U36" s="7143" t="str">
        <f t="shared" si="4"/>
        <v/>
      </c>
      <c r="V36" s="10090"/>
      <c r="W36" s="10090"/>
      <c r="X36" s="10091"/>
      <c r="Y36" s="10089" t="str">
        <f>IF(AO36&lt;&gt;"",AO36,"")</f>
        <v/>
      </c>
      <c r="Z36" s="6563"/>
      <c r="AA36" s="10089" t="str">
        <f>IF(AP36="","",AP36)</f>
        <v/>
      </c>
      <c r="AB36" s="6563"/>
      <c r="AC36" s="10138" t="str">
        <f t="shared" ref="AC36:AC54" si="7">IF(AQ36&lt;&gt;"",AQ36,IF(AND(Q36="",U36=""),"",IF(AND(Q36&lt;&gt;"",U36=""),SUM(Q36,AA36),SUM(Q36,-U36,AA36))))</f>
        <v/>
      </c>
      <c r="AD36" s="10139"/>
      <c r="AE36" s="10139"/>
      <c r="AF36" s="10139"/>
      <c r="AG36" s="911">
        <f t="shared" ref="AG36:AG54" si="8">IF(OR(J36="",M36=""),0,IF(OR(BA36,BB36,BC36),0,1))</f>
        <v>0</v>
      </c>
      <c r="AH36" s="5727"/>
      <c r="AI36" s="5727" t="e">
        <f t="shared" si="5"/>
        <v>#VALUE!</v>
      </c>
      <c r="AJ36" s="853"/>
      <c r="AK36" s="857"/>
      <c r="AL36" s="857"/>
      <c r="AM36" s="855"/>
      <c r="AN36" s="855"/>
      <c r="AO36" s="856"/>
      <c r="AP36" s="855"/>
      <c r="AQ36" s="854"/>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61">
        <f t="shared" si="6"/>
        <v>0</v>
      </c>
      <c r="B37" s="10085" t="str">
        <f t="shared" si="0"/>
        <v/>
      </c>
      <c r="C37" s="9649"/>
      <c r="D37" s="9649"/>
      <c r="E37" s="9649"/>
      <c r="F37" s="9649"/>
      <c r="G37" s="9649"/>
      <c r="H37" s="9649"/>
      <c r="I37" s="9667"/>
      <c r="J37" s="10086" t="str">
        <f t="shared" si="1"/>
        <v/>
      </c>
      <c r="K37" s="10087"/>
      <c r="L37" s="10087"/>
      <c r="M37" s="10086" t="str">
        <f t="shared" si="2"/>
        <v/>
      </c>
      <c r="N37" s="10087"/>
      <c r="O37" s="10087"/>
      <c r="P37" s="10088"/>
      <c r="Q37" s="7143" t="str">
        <f t="shared" si="3"/>
        <v/>
      </c>
      <c r="R37" s="10090"/>
      <c r="S37" s="10090"/>
      <c r="T37" s="10091"/>
      <c r="U37" s="7143" t="str">
        <f t="shared" si="4"/>
        <v/>
      </c>
      <c r="V37" s="10090"/>
      <c r="W37" s="10090"/>
      <c r="X37" s="10091"/>
      <c r="Y37" s="10089" t="str">
        <f>IF(AO37&lt;&gt;"",AO37,"")</f>
        <v/>
      </c>
      <c r="Z37" s="6563"/>
      <c r="AA37" s="10089" t="str">
        <f>IF(AP37="","",AP37)</f>
        <v/>
      </c>
      <c r="AB37" s="6563"/>
      <c r="AC37" s="10138" t="str">
        <f t="shared" si="7"/>
        <v/>
      </c>
      <c r="AD37" s="10139"/>
      <c r="AE37" s="10139"/>
      <c r="AF37" s="10139"/>
      <c r="AG37" s="911">
        <f t="shared" si="8"/>
        <v>0</v>
      </c>
      <c r="AH37" s="5727"/>
      <c r="AI37" s="5727" t="e">
        <f t="shared" si="5"/>
        <v>#VALUE!</v>
      </c>
      <c r="AJ37" s="853"/>
      <c r="AK37" s="857"/>
      <c r="AL37" s="857"/>
      <c r="AM37" s="855"/>
      <c r="AN37" s="855"/>
      <c r="AO37" s="856"/>
      <c r="AP37" s="855"/>
      <c r="AQ37" s="854"/>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61">
        <f t="shared" si="6"/>
        <v>0</v>
      </c>
      <c r="B38" s="10085" t="str">
        <f t="shared" si="0"/>
        <v/>
      </c>
      <c r="C38" s="9649"/>
      <c r="D38" s="9649"/>
      <c r="E38" s="9649"/>
      <c r="F38" s="9649"/>
      <c r="G38" s="9649"/>
      <c r="H38" s="9649"/>
      <c r="I38" s="9667"/>
      <c r="J38" s="10086" t="str">
        <f t="shared" si="1"/>
        <v/>
      </c>
      <c r="K38" s="10087"/>
      <c r="L38" s="10087"/>
      <c r="M38" s="10086" t="str">
        <f t="shared" si="2"/>
        <v/>
      </c>
      <c r="N38" s="10087"/>
      <c r="O38" s="10087"/>
      <c r="P38" s="10088"/>
      <c r="Q38" s="7143" t="str">
        <f t="shared" si="3"/>
        <v/>
      </c>
      <c r="R38" s="10090"/>
      <c r="S38" s="10090"/>
      <c r="T38" s="10091"/>
      <c r="U38" s="7143" t="str">
        <f t="shared" si="4"/>
        <v/>
      </c>
      <c r="V38" s="10090"/>
      <c r="W38" s="10090"/>
      <c r="X38" s="10091"/>
      <c r="Y38" s="10089" t="str">
        <f t="shared" ref="Y38:Y54" si="18">IF(AO38&lt;&gt;"",AO38,"")</f>
        <v/>
      </c>
      <c r="Z38" s="6563"/>
      <c r="AA38" s="10089" t="str">
        <f t="shared" ref="AA38:AA54" si="19">IF(AP38="","",AP38)</f>
        <v/>
      </c>
      <c r="AB38" s="6563"/>
      <c r="AC38" s="10138" t="str">
        <f t="shared" si="7"/>
        <v/>
      </c>
      <c r="AD38" s="10139"/>
      <c r="AE38" s="10139"/>
      <c r="AF38" s="10139"/>
      <c r="AG38" s="911">
        <f t="shared" si="8"/>
        <v>0</v>
      </c>
      <c r="AH38" s="5727"/>
      <c r="AI38" s="5727" t="e">
        <f t="shared" si="5"/>
        <v>#VALUE!</v>
      </c>
      <c r="AJ38" s="853"/>
      <c r="AK38" s="857"/>
      <c r="AL38" s="857"/>
      <c r="AM38" s="855"/>
      <c r="AN38" s="855"/>
      <c r="AO38" s="856"/>
      <c r="AP38" s="855"/>
      <c r="AQ38" s="854"/>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61">
        <f t="shared" si="6"/>
        <v>0</v>
      </c>
      <c r="B39" s="10085" t="str">
        <f t="shared" si="0"/>
        <v/>
      </c>
      <c r="C39" s="9649"/>
      <c r="D39" s="9649"/>
      <c r="E39" s="9649"/>
      <c r="F39" s="9649"/>
      <c r="G39" s="9649"/>
      <c r="H39" s="9649"/>
      <c r="I39" s="9667"/>
      <c r="J39" s="10086" t="str">
        <f t="shared" si="1"/>
        <v/>
      </c>
      <c r="K39" s="10087"/>
      <c r="L39" s="10087"/>
      <c r="M39" s="10086" t="str">
        <f t="shared" si="2"/>
        <v/>
      </c>
      <c r="N39" s="10087"/>
      <c r="O39" s="10087"/>
      <c r="P39" s="10088"/>
      <c r="Q39" s="7143" t="str">
        <f t="shared" si="3"/>
        <v/>
      </c>
      <c r="R39" s="10090"/>
      <c r="S39" s="10090"/>
      <c r="T39" s="10091"/>
      <c r="U39" s="7143" t="str">
        <f t="shared" si="4"/>
        <v/>
      </c>
      <c r="V39" s="10090"/>
      <c r="W39" s="10090"/>
      <c r="X39" s="10091"/>
      <c r="Y39" s="10089" t="str">
        <f t="shared" si="18"/>
        <v/>
      </c>
      <c r="Z39" s="6563"/>
      <c r="AA39" s="10089" t="str">
        <f t="shared" si="19"/>
        <v/>
      </c>
      <c r="AB39" s="6563"/>
      <c r="AC39" s="10138" t="str">
        <f t="shared" si="7"/>
        <v/>
      </c>
      <c r="AD39" s="10139"/>
      <c r="AE39" s="10139"/>
      <c r="AF39" s="10139"/>
      <c r="AG39" s="911">
        <f t="shared" si="8"/>
        <v>0</v>
      </c>
      <c r="AH39" s="5727"/>
      <c r="AI39" s="5727" t="e">
        <f t="shared" si="5"/>
        <v>#VALUE!</v>
      </c>
      <c r="AJ39" s="853"/>
      <c r="AK39" s="857"/>
      <c r="AL39" s="857"/>
      <c r="AM39" s="855"/>
      <c r="AN39" s="855"/>
      <c r="AO39" s="856"/>
      <c r="AP39" s="855"/>
      <c r="AQ39" s="854"/>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61">
        <f t="shared" si="6"/>
        <v>0</v>
      </c>
      <c r="B40" s="10085" t="str">
        <f t="shared" si="0"/>
        <v/>
      </c>
      <c r="C40" s="9649"/>
      <c r="D40" s="9649"/>
      <c r="E40" s="9649"/>
      <c r="F40" s="9649"/>
      <c r="G40" s="9649"/>
      <c r="H40" s="9649"/>
      <c r="I40" s="9667"/>
      <c r="J40" s="10086" t="str">
        <f t="shared" si="1"/>
        <v/>
      </c>
      <c r="K40" s="10087"/>
      <c r="L40" s="10087"/>
      <c r="M40" s="10086" t="str">
        <f t="shared" si="2"/>
        <v/>
      </c>
      <c r="N40" s="10087"/>
      <c r="O40" s="10087"/>
      <c r="P40" s="10088"/>
      <c r="Q40" s="7143" t="str">
        <f t="shared" si="3"/>
        <v/>
      </c>
      <c r="R40" s="10090"/>
      <c r="S40" s="10090"/>
      <c r="T40" s="10091"/>
      <c r="U40" s="7143" t="str">
        <f t="shared" si="4"/>
        <v/>
      </c>
      <c r="V40" s="10090"/>
      <c r="W40" s="10090"/>
      <c r="X40" s="10091"/>
      <c r="Y40" s="10089" t="str">
        <f t="shared" si="18"/>
        <v/>
      </c>
      <c r="Z40" s="6563"/>
      <c r="AA40" s="10089" t="str">
        <f t="shared" si="19"/>
        <v/>
      </c>
      <c r="AB40" s="6563"/>
      <c r="AC40" s="10138" t="str">
        <f t="shared" si="7"/>
        <v/>
      </c>
      <c r="AD40" s="10139"/>
      <c r="AE40" s="10139"/>
      <c r="AF40" s="10139"/>
      <c r="AG40" s="911">
        <f t="shared" si="8"/>
        <v>0</v>
      </c>
      <c r="AH40" s="5727"/>
      <c r="AI40" s="5727" t="e">
        <f t="shared" si="5"/>
        <v>#VALUE!</v>
      </c>
      <c r="AJ40" s="853"/>
      <c r="AK40" s="857"/>
      <c r="AL40" s="857"/>
      <c r="AM40" s="855"/>
      <c r="AN40" s="855"/>
      <c r="AO40" s="856"/>
      <c r="AP40" s="855"/>
      <c r="AQ40" s="854"/>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61">
        <f t="shared" si="6"/>
        <v>0</v>
      </c>
      <c r="B41" s="10085" t="str">
        <f t="shared" si="0"/>
        <v/>
      </c>
      <c r="C41" s="9649"/>
      <c r="D41" s="9649"/>
      <c r="E41" s="9649"/>
      <c r="F41" s="9649"/>
      <c r="G41" s="9649"/>
      <c r="H41" s="9649"/>
      <c r="I41" s="9667"/>
      <c r="J41" s="10086" t="str">
        <f t="shared" si="1"/>
        <v/>
      </c>
      <c r="K41" s="10087"/>
      <c r="L41" s="10087"/>
      <c r="M41" s="10086" t="str">
        <f t="shared" si="2"/>
        <v/>
      </c>
      <c r="N41" s="10087"/>
      <c r="O41" s="10087"/>
      <c r="P41" s="10088"/>
      <c r="Q41" s="7143" t="str">
        <f t="shared" si="3"/>
        <v/>
      </c>
      <c r="R41" s="10090"/>
      <c r="S41" s="10090"/>
      <c r="T41" s="10091"/>
      <c r="U41" s="7143" t="str">
        <f t="shared" si="4"/>
        <v/>
      </c>
      <c r="V41" s="10090"/>
      <c r="W41" s="10090"/>
      <c r="X41" s="10091"/>
      <c r="Y41" s="10089" t="str">
        <f t="shared" si="18"/>
        <v/>
      </c>
      <c r="Z41" s="6563"/>
      <c r="AA41" s="10089" t="str">
        <f t="shared" si="19"/>
        <v/>
      </c>
      <c r="AB41" s="6563"/>
      <c r="AC41" s="10138" t="str">
        <f t="shared" si="7"/>
        <v/>
      </c>
      <c r="AD41" s="10139"/>
      <c r="AE41" s="10139"/>
      <c r="AF41" s="10139"/>
      <c r="AG41" s="911">
        <f t="shared" si="8"/>
        <v>0</v>
      </c>
      <c r="AH41" s="5727"/>
      <c r="AI41" s="5727" t="e">
        <f t="shared" si="5"/>
        <v>#VALUE!</v>
      </c>
      <c r="AJ41" s="853"/>
      <c r="AK41" s="857"/>
      <c r="AL41" s="857"/>
      <c r="AM41" s="855"/>
      <c r="AN41" s="855"/>
      <c r="AO41" s="856"/>
      <c r="AP41" s="855"/>
      <c r="AQ41" s="854"/>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61">
        <f t="shared" si="6"/>
        <v>0</v>
      </c>
      <c r="B42" s="10085" t="str">
        <f t="shared" si="0"/>
        <v/>
      </c>
      <c r="C42" s="9649"/>
      <c r="D42" s="9649"/>
      <c r="E42" s="9649"/>
      <c r="F42" s="9649"/>
      <c r="G42" s="9649"/>
      <c r="H42" s="9649"/>
      <c r="I42" s="9667"/>
      <c r="J42" s="10086" t="str">
        <f t="shared" si="1"/>
        <v/>
      </c>
      <c r="K42" s="10087"/>
      <c r="L42" s="10087"/>
      <c r="M42" s="10086" t="str">
        <f t="shared" si="2"/>
        <v/>
      </c>
      <c r="N42" s="10087"/>
      <c r="O42" s="10087"/>
      <c r="P42" s="10088"/>
      <c r="Q42" s="7143" t="str">
        <f t="shared" si="3"/>
        <v/>
      </c>
      <c r="R42" s="10090"/>
      <c r="S42" s="10090"/>
      <c r="T42" s="10091"/>
      <c r="U42" s="7143" t="str">
        <f t="shared" si="4"/>
        <v/>
      </c>
      <c r="V42" s="10090"/>
      <c r="W42" s="10090"/>
      <c r="X42" s="10091"/>
      <c r="Y42" s="10089" t="str">
        <f t="shared" si="18"/>
        <v/>
      </c>
      <c r="Z42" s="6563"/>
      <c r="AA42" s="10089" t="str">
        <f t="shared" si="19"/>
        <v/>
      </c>
      <c r="AB42" s="6563"/>
      <c r="AC42" s="10138" t="str">
        <f t="shared" si="7"/>
        <v/>
      </c>
      <c r="AD42" s="10139"/>
      <c r="AE42" s="10139"/>
      <c r="AF42" s="10139"/>
      <c r="AG42" s="911">
        <f t="shared" si="8"/>
        <v>0</v>
      </c>
      <c r="AH42" s="5727"/>
      <c r="AI42" s="5727" t="e">
        <f t="shared" si="5"/>
        <v>#VALUE!</v>
      </c>
      <c r="AJ42" s="853"/>
      <c r="AK42" s="857"/>
      <c r="AL42" s="857"/>
      <c r="AM42" s="855"/>
      <c r="AN42" s="855"/>
      <c r="AO42" s="856"/>
      <c r="AP42" s="855"/>
      <c r="AQ42" s="854"/>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61">
        <f t="shared" si="6"/>
        <v>0</v>
      </c>
      <c r="B43" s="10085" t="str">
        <f t="shared" si="0"/>
        <v/>
      </c>
      <c r="C43" s="9649"/>
      <c r="D43" s="9649"/>
      <c r="E43" s="9649"/>
      <c r="F43" s="9649"/>
      <c r="G43" s="9649"/>
      <c r="H43" s="9649"/>
      <c r="I43" s="9667"/>
      <c r="J43" s="10086" t="str">
        <f t="shared" si="1"/>
        <v/>
      </c>
      <c r="K43" s="10087"/>
      <c r="L43" s="10087"/>
      <c r="M43" s="10086" t="str">
        <f t="shared" si="2"/>
        <v/>
      </c>
      <c r="N43" s="10087"/>
      <c r="O43" s="10087"/>
      <c r="P43" s="10088"/>
      <c r="Q43" s="7143" t="str">
        <f t="shared" si="3"/>
        <v/>
      </c>
      <c r="R43" s="10090"/>
      <c r="S43" s="10090"/>
      <c r="T43" s="10091"/>
      <c r="U43" s="7143" t="str">
        <f t="shared" si="4"/>
        <v/>
      </c>
      <c r="V43" s="10090"/>
      <c r="W43" s="10090"/>
      <c r="X43" s="10091"/>
      <c r="Y43" s="10089" t="str">
        <f t="shared" si="18"/>
        <v/>
      </c>
      <c r="Z43" s="6563"/>
      <c r="AA43" s="10089" t="str">
        <f t="shared" si="19"/>
        <v/>
      </c>
      <c r="AB43" s="6563"/>
      <c r="AC43" s="10138" t="str">
        <f t="shared" si="7"/>
        <v/>
      </c>
      <c r="AD43" s="10139"/>
      <c r="AE43" s="10139"/>
      <c r="AF43" s="10139"/>
      <c r="AG43" s="911">
        <f t="shared" si="8"/>
        <v>0</v>
      </c>
      <c r="AH43" s="5727"/>
      <c r="AI43" s="5727" t="e">
        <f t="shared" si="5"/>
        <v>#VALUE!</v>
      </c>
      <c r="AJ43" s="853"/>
      <c r="AK43" s="857"/>
      <c r="AL43" s="857"/>
      <c r="AM43" s="855"/>
      <c r="AN43" s="855"/>
      <c r="AO43" s="856"/>
      <c r="AP43" s="855"/>
      <c r="AQ43" s="854"/>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61">
        <f t="shared" si="6"/>
        <v>0</v>
      </c>
      <c r="B44" s="10085" t="str">
        <f t="shared" si="0"/>
        <v/>
      </c>
      <c r="C44" s="9649"/>
      <c r="D44" s="9649"/>
      <c r="E44" s="9649"/>
      <c r="F44" s="9649"/>
      <c r="G44" s="9649"/>
      <c r="H44" s="9649"/>
      <c r="I44" s="9667"/>
      <c r="J44" s="10086" t="str">
        <f t="shared" si="1"/>
        <v/>
      </c>
      <c r="K44" s="10087"/>
      <c r="L44" s="10087"/>
      <c r="M44" s="10086" t="str">
        <f t="shared" si="2"/>
        <v/>
      </c>
      <c r="N44" s="10087"/>
      <c r="O44" s="10087"/>
      <c r="P44" s="10088"/>
      <c r="Q44" s="7143" t="str">
        <f t="shared" si="3"/>
        <v/>
      </c>
      <c r="R44" s="10090"/>
      <c r="S44" s="10090"/>
      <c r="T44" s="10091"/>
      <c r="U44" s="7143" t="str">
        <f t="shared" si="4"/>
        <v/>
      </c>
      <c r="V44" s="10090"/>
      <c r="W44" s="10090"/>
      <c r="X44" s="10091"/>
      <c r="Y44" s="10089" t="str">
        <f t="shared" si="18"/>
        <v/>
      </c>
      <c r="Z44" s="6563"/>
      <c r="AA44" s="10089" t="str">
        <f t="shared" si="19"/>
        <v/>
      </c>
      <c r="AB44" s="6563"/>
      <c r="AC44" s="10138" t="str">
        <f t="shared" si="7"/>
        <v/>
      </c>
      <c r="AD44" s="10139"/>
      <c r="AE44" s="10139"/>
      <c r="AF44" s="10139"/>
      <c r="AG44" s="911">
        <f t="shared" si="8"/>
        <v>0</v>
      </c>
      <c r="AH44" s="5727"/>
      <c r="AI44" s="5727" t="e">
        <f t="shared" si="5"/>
        <v>#VALUE!</v>
      </c>
      <c r="AJ44" s="853"/>
      <c r="AK44" s="857"/>
      <c r="AL44" s="857"/>
      <c r="AM44" s="855"/>
      <c r="AN44" s="855"/>
      <c r="AO44" s="856"/>
      <c r="AP44" s="855"/>
      <c r="AQ44" s="854"/>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61">
        <f t="shared" si="6"/>
        <v>0</v>
      </c>
      <c r="B45" s="10085" t="str">
        <f t="shared" si="0"/>
        <v/>
      </c>
      <c r="C45" s="9649"/>
      <c r="D45" s="9649"/>
      <c r="E45" s="9649"/>
      <c r="F45" s="9649"/>
      <c r="G45" s="9649"/>
      <c r="H45" s="9649"/>
      <c r="I45" s="9667"/>
      <c r="J45" s="10086" t="str">
        <f t="shared" si="1"/>
        <v/>
      </c>
      <c r="K45" s="10087"/>
      <c r="L45" s="10087"/>
      <c r="M45" s="10086" t="str">
        <f t="shared" si="2"/>
        <v/>
      </c>
      <c r="N45" s="10087"/>
      <c r="O45" s="10087"/>
      <c r="P45" s="10088"/>
      <c r="Q45" s="7143" t="str">
        <f t="shared" si="3"/>
        <v/>
      </c>
      <c r="R45" s="10090"/>
      <c r="S45" s="10090"/>
      <c r="T45" s="10091"/>
      <c r="U45" s="7143" t="str">
        <f t="shared" si="4"/>
        <v/>
      </c>
      <c r="V45" s="10090"/>
      <c r="W45" s="10090"/>
      <c r="X45" s="10091"/>
      <c r="Y45" s="10089" t="str">
        <f t="shared" si="18"/>
        <v/>
      </c>
      <c r="Z45" s="6563"/>
      <c r="AA45" s="10089" t="str">
        <f t="shared" si="19"/>
        <v/>
      </c>
      <c r="AB45" s="6563"/>
      <c r="AC45" s="10138" t="str">
        <f t="shared" si="7"/>
        <v/>
      </c>
      <c r="AD45" s="10139"/>
      <c r="AE45" s="10139"/>
      <c r="AF45" s="10139"/>
      <c r="AG45" s="911">
        <f t="shared" si="8"/>
        <v>0</v>
      </c>
      <c r="AH45" s="5727"/>
      <c r="AI45" s="5727" t="e">
        <f t="shared" si="5"/>
        <v>#VALUE!</v>
      </c>
      <c r="AJ45" s="853"/>
      <c r="AK45" s="857"/>
      <c r="AL45" s="857"/>
      <c r="AM45" s="855"/>
      <c r="AN45" s="855"/>
      <c r="AO45" s="856"/>
      <c r="AP45" s="855"/>
      <c r="AQ45" s="854"/>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61">
        <f t="shared" si="6"/>
        <v>0</v>
      </c>
      <c r="B46" s="10085" t="str">
        <f t="shared" si="0"/>
        <v/>
      </c>
      <c r="C46" s="9649"/>
      <c r="D46" s="9649"/>
      <c r="E46" s="9649"/>
      <c r="F46" s="9649"/>
      <c r="G46" s="9649"/>
      <c r="H46" s="9649"/>
      <c r="I46" s="9667"/>
      <c r="J46" s="10086" t="str">
        <f t="shared" si="1"/>
        <v/>
      </c>
      <c r="K46" s="10087"/>
      <c r="L46" s="10087"/>
      <c r="M46" s="10086" t="str">
        <f t="shared" si="2"/>
        <v/>
      </c>
      <c r="N46" s="10087"/>
      <c r="O46" s="10087"/>
      <c r="P46" s="10088"/>
      <c r="Q46" s="7143" t="str">
        <f t="shared" si="3"/>
        <v/>
      </c>
      <c r="R46" s="10090"/>
      <c r="S46" s="10090"/>
      <c r="T46" s="10091"/>
      <c r="U46" s="7143" t="str">
        <f t="shared" si="4"/>
        <v/>
      </c>
      <c r="V46" s="10090"/>
      <c r="W46" s="10090"/>
      <c r="X46" s="10091"/>
      <c r="Y46" s="10089" t="str">
        <f t="shared" si="18"/>
        <v/>
      </c>
      <c r="Z46" s="6563"/>
      <c r="AA46" s="10089" t="str">
        <f t="shared" si="19"/>
        <v/>
      </c>
      <c r="AB46" s="6563"/>
      <c r="AC46" s="10138" t="str">
        <f t="shared" si="7"/>
        <v/>
      </c>
      <c r="AD46" s="10139"/>
      <c r="AE46" s="10139"/>
      <c r="AF46" s="10139"/>
      <c r="AG46" s="911">
        <f t="shared" si="8"/>
        <v>0</v>
      </c>
      <c r="AH46" s="5727"/>
      <c r="AI46" s="5727" t="e">
        <f t="shared" si="5"/>
        <v>#VALUE!</v>
      </c>
      <c r="AJ46" s="853"/>
      <c r="AK46" s="857"/>
      <c r="AL46" s="857"/>
      <c r="AM46" s="855"/>
      <c r="AN46" s="855"/>
      <c r="AO46" s="856"/>
      <c r="AP46" s="855"/>
      <c r="AQ46" s="854"/>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61">
        <f t="shared" si="6"/>
        <v>0</v>
      </c>
      <c r="B47" s="10085" t="str">
        <f t="shared" si="0"/>
        <v/>
      </c>
      <c r="C47" s="9649"/>
      <c r="D47" s="9649"/>
      <c r="E47" s="9649"/>
      <c r="F47" s="9649"/>
      <c r="G47" s="9649"/>
      <c r="H47" s="9649"/>
      <c r="I47" s="9667"/>
      <c r="J47" s="10086" t="str">
        <f t="shared" si="1"/>
        <v/>
      </c>
      <c r="K47" s="10087"/>
      <c r="L47" s="10087"/>
      <c r="M47" s="10086" t="str">
        <f t="shared" si="2"/>
        <v/>
      </c>
      <c r="N47" s="10087"/>
      <c r="O47" s="10087"/>
      <c r="P47" s="10088"/>
      <c r="Q47" s="7143" t="str">
        <f t="shared" si="3"/>
        <v/>
      </c>
      <c r="R47" s="10090"/>
      <c r="S47" s="10090"/>
      <c r="T47" s="10091"/>
      <c r="U47" s="7143" t="str">
        <f t="shared" si="4"/>
        <v/>
      </c>
      <c r="V47" s="10090"/>
      <c r="W47" s="10090"/>
      <c r="X47" s="10091"/>
      <c r="Y47" s="10089" t="str">
        <f t="shared" si="18"/>
        <v/>
      </c>
      <c r="Z47" s="6563"/>
      <c r="AA47" s="10089" t="str">
        <f t="shared" si="19"/>
        <v/>
      </c>
      <c r="AB47" s="6563"/>
      <c r="AC47" s="10138" t="str">
        <f t="shared" si="7"/>
        <v/>
      </c>
      <c r="AD47" s="10139"/>
      <c r="AE47" s="10139"/>
      <c r="AF47" s="10139"/>
      <c r="AG47" s="911">
        <f t="shared" si="8"/>
        <v>0</v>
      </c>
      <c r="AH47" s="5727"/>
      <c r="AI47" s="5727" t="e">
        <f t="shared" si="5"/>
        <v>#VALUE!</v>
      </c>
      <c r="AJ47" s="853"/>
      <c r="AK47" s="857"/>
      <c r="AL47" s="857"/>
      <c r="AM47" s="855"/>
      <c r="AN47" s="855"/>
      <c r="AO47" s="856"/>
      <c r="AP47" s="855"/>
      <c r="AQ47" s="854"/>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61">
        <f t="shared" si="6"/>
        <v>0</v>
      </c>
      <c r="B48" s="10085" t="str">
        <f t="shared" si="0"/>
        <v/>
      </c>
      <c r="C48" s="9649"/>
      <c r="D48" s="9649"/>
      <c r="E48" s="9649"/>
      <c r="F48" s="9649"/>
      <c r="G48" s="9649"/>
      <c r="H48" s="9649"/>
      <c r="I48" s="9667"/>
      <c r="J48" s="10086" t="str">
        <f t="shared" si="1"/>
        <v/>
      </c>
      <c r="K48" s="10087"/>
      <c r="L48" s="10087"/>
      <c r="M48" s="10086" t="str">
        <f t="shared" si="2"/>
        <v/>
      </c>
      <c r="N48" s="10087"/>
      <c r="O48" s="10087"/>
      <c r="P48" s="10088"/>
      <c r="Q48" s="7143" t="str">
        <f t="shared" si="3"/>
        <v/>
      </c>
      <c r="R48" s="10090"/>
      <c r="S48" s="10090"/>
      <c r="T48" s="10091"/>
      <c r="U48" s="7143" t="str">
        <f t="shared" si="4"/>
        <v/>
      </c>
      <c r="V48" s="10090"/>
      <c r="W48" s="10090"/>
      <c r="X48" s="10091"/>
      <c r="Y48" s="10089" t="str">
        <f t="shared" si="18"/>
        <v/>
      </c>
      <c r="Z48" s="6563"/>
      <c r="AA48" s="10089" t="str">
        <f t="shared" si="19"/>
        <v/>
      </c>
      <c r="AB48" s="6563"/>
      <c r="AC48" s="10138" t="str">
        <f t="shared" si="7"/>
        <v/>
      </c>
      <c r="AD48" s="10139"/>
      <c r="AE48" s="10139"/>
      <c r="AF48" s="10139"/>
      <c r="AG48" s="911">
        <f t="shared" si="8"/>
        <v>0</v>
      </c>
      <c r="AH48" s="5727"/>
      <c r="AI48" s="5727" t="e">
        <f t="shared" si="5"/>
        <v>#VALUE!</v>
      </c>
      <c r="AJ48" s="853"/>
      <c r="AK48" s="857"/>
      <c r="AL48" s="857"/>
      <c r="AM48" s="855"/>
      <c r="AN48" s="855"/>
      <c r="AO48" s="856"/>
      <c r="AP48" s="855"/>
      <c r="AQ48" s="854"/>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61">
        <f t="shared" si="6"/>
        <v>0</v>
      </c>
      <c r="B49" s="10085" t="str">
        <f t="shared" si="0"/>
        <v/>
      </c>
      <c r="C49" s="9649"/>
      <c r="D49" s="9649"/>
      <c r="E49" s="9649"/>
      <c r="F49" s="9649"/>
      <c r="G49" s="9649"/>
      <c r="H49" s="9649"/>
      <c r="I49" s="9667"/>
      <c r="J49" s="10086" t="str">
        <f t="shared" si="1"/>
        <v/>
      </c>
      <c r="K49" s="10087"/>
      <c r="L49" s="10087"/>
      <c r="M49" s="10086" t="str">
        <f t="shared" si="2"/>
        <v/>
      </c>
      <c r="N49" s="10087"/>
      <c r="O49" s="10087"/>
      <c r="P49" s="10088"/>
      <c r="Q49" s="7143" t="str">
        <f t="shared" si="3"/>
        <v/>
      </c>
      <c r="R49" s="10090"/>
      <c r="S49" s="10090"/>
      <c r="T49" s="10091"/>
      <c r="U49" s="7143" t="str">
        <f t="shared" si="4"/>
        <v/>
      </c>
      <c r="V49" s="10090"/>
      <c r="W49" s="10090"/>
      <c r="X49" s="10091"/>
      <c r="Y49" s="10089" t="str">
        <f t="shared" si="18"/>
        <v/>
      </c>
      <c r="Z49" s="6563"/>
      <c r="AA49" s="10089" t="str">
        <f t="shared" si="19"/>
        <v/>
      </c>
      <c r="AB49" s="6563"/>
      <c r="AC49" s="10138" t="str">
        <f t="shared" si="7"/>
        <v/>
      </c>
      <c r="AD49" s="10139"/>
      <c r="AE49" s="10139"/>
      <c r="AF49" s="10139"/>
      <c r="AG49" s="911">
        <f t="shared" si="8"/>
        <v>0</v>
      </c>
      <c r="AH49" s="5727"/>
      <c r="AI49" s="5727" t="e">
        <f t="shared" si="5"/>
        <v>#VALUE!</v>
      </c>
      <c r="AJ49" s="853"/>
      <c r="AK49" s="857"/>
      <c r="AL49" s="857"/>
      <c r="AM49" s="855"/>
      <c r="AN49" s="855"/>
      <c r="AO49" s="856"/>
      <c r="AP49" s="855"/>
      <c r="AQ49" s="854"/>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61">
        <f t="shared" si="6"/>
        <v>0</v>
      </c>
      <c r="B50" s="10085" t="str">
        <f t="shared" si="0"/>
        <v/>
      </c>
      <c r="C50" s="9649"/>
      <c r="D50" s="9649"/>
      <c r="E50" s="9649"/>
      <c r="F50" s="9649"/>
      <c r="G50" s="9649"/>
      <c r="H50" s="9649"/>
      <c r="I50" s="9667"/>
      <c r="J50" s="10086" t="str">
        <f t="shared" si="1"/>
        <v/>
      </c>
      <c r="K50" s="10087"/>
      <c r="L50" s="10087"/>
      <c r="M50" s="10086" t="str">
        <f t="shared" si="2"/>
        <v/>
      </c>
      <c r="N50" s="10087"/>
      <c r="O50" s="10087"/>
      <c r="P50" s="10088"/>
      <c r="Q50" s="7143" t="str">
        <f t="shared" si="3"/>
        <v/>
      </c>
      <c r="R50" s="10090"/>
      <c r="S50" s="10090"/>
      <c r="T50" s="10091"/>
      <c r="U50" s="7143" t="str">
        <f t="shared" si="4"/>
        <v/>
      </c>
      <c r="V50" s="10090"/>
      <c r="W50" s="10090"/>
      <c r="X50" s="10091"/>
      <c r="Y50" s="10089" t="str">
        <f t="shared" si="18"/>
        <v/>
      </c>
      <c r="Z50" s="6563"/>
      <c r="AA50" s="10089" t="str">
        <f t="shared" si="19"/>
        <v/>
      </c>
      <c r="AB50" s="6563"/>
      <c r="AC50" s="10138" t="str">
        <f t="shared" si="7"/>
        <v/>
      </c>
      <c r="AD50" s="10139"/>
      <c r="AE50" s="10139"/>
      <c r="AF50" s="10139"/>
      <c r="AG50" s="911">
        <f t="shared" si="8"/>
        <v>0</v>
      </c>
      <c r="AH50" s="5727"/>
      <c r="AI50" s="5727" t="e">
        <f t="shared" si="5"/>
        <v>#VALUE!</v>
      </c>
      <c r="AJ50" s="853"/>
      <c r="AK50" s="857"/>
      <c r="AL50" s="857"/>
      <c r="AM50" s="855"/>
      <c r="AN50" s="855"/>
      <c r="AO50" s="856"/>
      <c r="AP50" s="855"/>
      <c r="AQ50" s="854"/>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61">
        <f t="shared" si="6"/>
        <v>0</v>
      </c>
      <c r="B51" s="10085" t="str">
        <f t="shared" si="0"/>
        <v/>
      </c>
      <c r="C51" s="9649"/>
      <c r="D51" s="9649"/>
      <c r="E51" s="9649"/>
      <c r="F51" s="9649"/>
      <c r="G51" s="9649"/>
      <c r="H51" s="9649"/>
      <c r="I51" s="9667"/>
      <c r="J51" s="10086" t="str">
        <f t="shared" si="1"/>
        <v/>
      </c>
      <c r="K51" s="10087"/>
      <c r="L51" s="10087"/>
      <c r="M51" s="10086" t="str">
        <f t="shared" si="2"/>
        <v/>
      </c>
      <c r="N51" s="10087"/>
      <c r="O51" s="10087"/>
      <c r="P51" s="10088"/>
      <c r="Q51" s="7143" t="str">
        <f t="shared" si="3"/>
        <v/>
      </c>
      <c r="R51" s="10090"/>
      <c r="S51" s="10090"/>
      <c r="T51" s="10091"/>
      <c r="U51" s="7143" t="str">
        <f t="shared" si="4"/>
        <v/>
      </c>
      <c r="V51" s="10090"/>
      <c r="W51" s="10090"/>
      <c r="X51" s="10091"/>
      <c r="Y51" s="10089" t="str">
        <f t="shared" si="18"/>
        <v/>
      </c>
      <c r="Z51" s="6563"/>
      <c r="AA51" s="10089" t="str">
        <f t="shared" si="19"/>
        <v/>
      </c>
      <c r="AB51" s="6563"/>
      <c r="AC51" s="10138" t="str">
        <f t="shared" si="7"/>
        <v/>
      </c>
      <c r="AD51" s="10139"/>
      <c r="AE51" s="10139"/>
      <c r="AF51" s="10139"/>
      <c r="AG51" s="911">
        <f t="shared" si="8"/>
        <v>0</v>
      </c>
      <c r="AH51" s="5727"/>
      <c r="AI51" s="5727" t="e">
        <f t="shared" si="5"/>
        <v>#VALUE!</v>
      </c>
      <c r="AJ51" s="853"/>
      <c r="AK51" s="857"/>
      <c r="AL51" s="857"/>
      <c r="AM51" s="855"/>
      <c r="AN51" s="855"/>
      <c r="AO51" s="856"/>
      <c r="AP51" s="855"/>
      <c r="AQ51" s="854"/>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61">
        <f t="shared" si="6"/>
        <v>0</v>
      </c>
      <c r="B52" s="10085" t="str">
        <f t="shared" si="0"/>
        <v/>
      </c>
      <c r="C52" s="9649"/>
      <c r="D52" s="9649"/>
      <c r="E52" s="9649"/>
      <c r="F52" s="9649"/>
      <c r="G52" s="9649"/>
      <c r="H52" s="9649"/>
      <c r="I52" s="9667"/>
      <c r="J52" s="10086" t="str">
        <f t="shared" si="1"/>
        <v/>
      </c>
      <c r="K52" s="10087"/>
      <c r="L52" s="10087"/>
      <c r="M52" s="10086" t="str">
        <f t="shared" si="2"/>
        <v/>
      </c>
      <c r="N52" s="10087"/>
      <c r="O52" s="10087"/>
      <c r="P52" s="10088"/>
      <c r="Q52" s="7143" t="str">
        <f t="shared" si="3"/>
        <v/>
      </c>
      <c r="R52" s="10090"/>
      <c r="S52" s="10090"/>
      <c r="T52" s="10091"/>
      <c r="U52" s="7143" t="str">
        <f t="shared" si="4"/>
        <v/>
      </c>
      <c r="V52" s="10090"/>
      <c r="W52" s="10090"/>
      <c r="X52" s="10091"/>
      <c r="Y52" s="10089" t="str">
        <f t="shared" si="18"/>
        <v/>
      </c>
      <c r="Z52" s="6563"/>
      <c r="AA52" s="10089" t="str">
        <f t="shared" si="19"/>
        <v/>
      </c>
      <c r="AB52" s="6563"/>
      <c r="AC52" s="10138" t="str">
        <f t="shared" si="7"/>
        <v/>
      </c>
      <c r="AD52" s="10139"/>
      <c r="AE52" s="10139"/>
      <c r="AF52" s="10139"/>
      <c r="AG52" s="911">
        <f t="shared" si="8"/>
        <v>0</v>
      </c>
      <c r="AH52" s="5727"/>
      <c r="AI52" s="5727" t="e">
        <f t="shared" si="5"/>
        <v>#VALUE!</v>
      </c>
      <c r="AJ52" s="853"/>
      <c r="AK52" s="857"/>
      <c r="AL52" s="857"/>
      <c r="AM52" s="855"/>
      <c r="AN52" s="855"/>
      <c r="AO52" s="856"/>
      <c r="AP52" s="855"/>
      <c r="AQ52" s="854"/>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61">
        <f t="shared" si="6"/>
        <v>0</v>
      </c>
      <c r="B53" s="10085" t="str">
        <f t="shared" si="0"/>
        <v/>
      </c>
      <c r="C53" s="9649"/>
      <c r="D53" s="9649"/>
      <c r="E53" s="9649"/>
      <c r="F53" s="9649"/>
      <c r="G53" s="9649"/>
      <c r="H53" s="9649"/>
      <c r="I53" s="9667"/>
      <c r="J53" s="10086" t="str">
        <f t="shared" si="1"/>
        <v/>
      </c>
      <c r="K53" s="10087"/>
      <c r="L53" s="10087"/>
      <c r="M53" s="10086" t="str">
        <f t="shared" si="2"/>
        <v/>
      </c>
      <c r="N53" s="10087"/>
      <c r="O53" s="10087"/>
      <c r="P53" s="10088"/>
      <c r="Q53" s="7143" t="str">
        <f t="shared" si="3"/>
        <v/>
      </c>
      <c r="R53" s="10090"/>
      <c r="S53" s="10090"/>
      <c r="T53" s="10091"/>
      <c r="U53" s="7143" t="str">
        <f t="shared" si="4"/>
        <v/>
      </c>
      <c r="V53" s="10090"/>
      <c r="W53" s="10090"/>
      <c r="X53" s="10091"/>
      <c r="Y53" s="10089" t="str">
        <f t="shared" si="18"/>
        <v/>
      </c>
      <c r="Z53" s="6563"/>
      <c r="AA53" s="10089" t="str">
        <f t="shared" si="19"/>
        <v/>
      </c>
      <c r="AB53" s="6563"/>
      <c r="AC53" s="10138" t="str">
        <f t="shared" si="7"/>
        <v/>
      </c>
      <c r="AD53" s="10139"/>
      <c r="AE53" s="10139"/>
      <c r="AF53" s="10139"/>
      <c r="AG53" s="911">
        <f t="shared" si="8"/>
        <v>0</v>
      </c>
      <c r="AH53" s="5727"/>
      <c r="AI53" s="5727" t="e">
        <f t="shared" si="5"/>
        <v>#VALUE!</v>
      </c>
      <c r="AJ53" s="853"/>
      <c r="AK53" s="857"/>
      <c r="AL53" s="857"/>
      <c r="AM53" s="855"/>
      <c r="AN53" s="855"/>
      <c r="AO53" s="856"/>
      <c r="AP53" s="855"/>
      <c r="AQ53" s="854"/>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61">
        <f t="shared" si="6"/>
        <v>0</v>
      </c>
      <c r="B54" s="10085" t="str">
        <f t="shared" si="0"/>
        <v/>
      </c>
      <c r="C54" s="9649"/>
      <c r="D54" s="9649"/>
      <c r="E54" s="9649"/>
      <c r="F54" s="9649"/>
      <c r="G54" s="9649"/>
      <c r="H54" s="9649"/>
      <c r="I54" s="9667"/>
      <c r="J54" s="10086" t="str">
        <f t="shared" si="1"/>
        <v/>
      </c>
      <c r="K54" s="10087"/>
      <c r="L54" s="10087"/>
      <c r="M54" s="10086" t="str">
        <f t="shared" si="2"/>
        <v/>
      </c>
      <c r="N54" s="10087"/>
      <c r="O54" s="10087"/>
      <c r="P54" s="10088"/>
      <c r="Q54" s="7143" t="str">
        <f t="shared" si="3"/>
        <v/>
      </c>
      <c r="R54" s="10090"/>
      <c r="S54" s="10090"/>
      <c r="T54" s="10091"/>
      <c r="U54" s="7143" t="str">
        <f t="shared" si="4"/>
        <v/>
      </c>
      <c r="V54" s="10090"/>
      <c r="W54" s="10090"/>
      <c r="X54" s="10091"/>
      <c r="Y54" s="10089" t="str">
        <f t="shared" si="18"/>
        <v/>
      </c>
      <c r="Z54" s="6563"/>
      <c r="AA54" s="10089" t="str">
        <f t="shared" si="19"/>
        <v/>
      </c>
      <c r="AB54" s="6563"/>
      <c r="AC54" s="10138" t="str">
        <f t="shared" si="7"/>
        <v/>
      </c>
      <c r="AD54" s="10139"/>
      <c r="AE54" s="10139"/>
      <c r="AF54" s="10139"/>
      <c r="AG54" s="911">
        <f t="shared" si="8"/>
        <v>0</v>
      </c>
      <c r="AH54" s="5727"/>
      <c r="AI54" s="5727" t="e">
        <f t="shared" si="5"/>
        <v>#VALUE!</v>
      </c>
      <c r="AJ54" s="853"/>
      <c r="AK54" s="857"/>
      <c r="AL54" s="857"/>
      <c r="AM54" s="855"/>
      <c r="AN54" s="855"/>
      <c r="AO54" s="856"/>
      <c r="AP54" s="855"/>
      <c r="AQ54" s="854"/>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61">
        <f>SUM(A35:A54)</f>
        <v>0</v>
      </c>
      <c r="B55" s="10108">
        <v>2</v>
      </c>
      <c r="C55" s="10110" t="s">
        <v>5015</v>
      </c>
      <c r="D55" s="10111"/>
      <c r="E55" s="10111"/>
      <c r="F55" s="10111"/>
      <c r="G55" s="10111"/>
      <c r="H55" s="10111"/>
      <c r="I55" s="10111"/>
      <c r="J55" s="10111"/>
      <c r="K55" s="10111"/>
      <c r="L55" s="10111"/>
      <c r="M55" s="10111"/>
      <c r="N55" s="10111"/>
      <c r="O55" s="10111"/>
      <c r="P55" s="10111"/>
      <c r="Q55" s="10113" t="str">
        <f>IF(A55=0,"",ROUND(SUM(Q35:Q54),0))</f>
        <v/>
      </c>
      <c r="R55" s="10114"/>
      <c r="S55" s="10114"/>
      <c r="T55" s="10115"/>
      <c r="U55" s="10113" t="str">
        <f>IF(A55=0,"",ROUND(SUM(U35:U54),0))</f>
        <v/>
      </c>
      <c r="V55" s="10124"/>
      <c r="W55" s="10124"/>
      <c r="X55" s="10133"/>
      <c r="Y55" s="10127"/>
      <c r="Z55" s="10128"/>
      <c r="AA55" s="10113" t="str">
        <f>IF(A55=0,"",ROUND(SUM(AA35:AA54),0))</f>
        <v/>
      </c>
      <c r="AB55" s="10115"/>
      <c r="AC55" s="10113" t="str">
        <f>IF(A55=0,"",ROUND(SUM(AC35:AC54),0))</f>
        <v/>
      </c>
      <c r="AD55" s="10124"/>
      <c r="AE55" s="10124"/>
      <c r="AF55" s="10124"/>
      <c r="AG55" s="697"/>
    </row>
    <row r="56" spans="1:55" ht="11.25" customHeight="1">
      <c r="A56" s="461"/>
      <c r="B56" s="10109"/>
      <c r="C56" s="10112"/>
      <c r="D56" s="10112"/>
      <c r="E56" s="10112"/>
      <c r="F56" s="10112"/>
      <c r="G56" s="10112"/>
      <c r="H56" s="10112"/>
      <c r="I56" s="10112"/>
      <c r="J56" s="10112"/>
      <c r="K56" s="10112"/>
      <c r="L56" s="10112"/>
      <c r="M56" s="10112"/>
      <c r="N56" s="10112"/>
      <c r="O56" s="10112"/>
      <c r="P56" s="10112"/>
      <c r="Q56" s="10116"/>
      <c r="R56" s="10117"/>
      <c r="S56" s="10117"/>
      <c r="T56" s="10118"/>
      <c r="U56" s="10125"/>
      <c r="V56" s="10126"/>
      <c r="W56" s="10126"/>
      <c r="X56" s="10134"/>
      <c r="Y56" s="10129"/>
      <c r="Z56" s="10130"/>
      <c r="AA56" s="10116"/>
      <c r="AB56" s="10118"/>
      <c r="AC56" s="10125"/>
      <c r="AD56" s="10126"/>
      <c r="AE56" s="10126"/>
      <c r="AF56" s="10126"/>
      <c r="AG56" s="697"/>
    </row>
    <row r="57" spans="1:55" ht="11.25" customHeight="1">
      <c r="A57" s="461"/>
      <c r="B57" s="10109"/>
      <c r="C57" s="10112"/>
      <c r="D57" s="10112"/>
      <c r="E57" s="10112"/>
      <c r="F57" s="10112"/>
      <c r="G57" s="10112"/>
      <c r="H57" s="10112"/>
      <c r="I57" s="10112"/>
      <c r="J57" s="10112"/>
      <c r="K57" s="10112"/>
      <c r="L57" s="10112"/>
      <c r="M57" s="10112"/>
      <c r="N57" s="10112"/>
      <c r="O57" s="10112"/>
      <c r="P57" s="10112"/>
      <c r="Q57" s="10116"/>
      <c r="R57" s="10117"/>
      <c r="S57" s="10117"/>
      <c r="T57" s="10118"/>
      <c r="U57" s="10125"/>
      <c r="V57" s="10126"/>
      <c r="W57" s="10126"/>
      <c r="X57" s="10134"/>
      <c r="Y57" s="10129"/>
      <c r="Z57" s="10130"/>
      <c r="AA57" s="10116"/>
      <c r="AB57" s="10118"/>
      <c r="AC57" s="10125"/>
      <c r="AD57" s="10126"/>
      <c r="AE57" s="10126"/>
      <c r="AF57" s="10126"/>
      <c r="AG57" s="697"/>
    </row>
    <row r="58" spans="1:55" ht="11.25" customHeight="1">
      <c r="A58" s="461"/>
      <c r="B58" s="10109"/>
      <c r="C58" s="10112"/>
      <c r="D58" s="10112"/>
      <c r="E58" s="10112"/>
      <c r="F58" s="10112"/>
      <c r="G58" s="10112"/>
      <c r="H58" s="10112"/>
      <c r="I58" s="10112"/>
      <c r="J58" s="10112"/>
      <c r="K58" s="10112"/>
      <c r="L58" s="10112"/>
      <c r="M58" s="10112"/>
      <c r="N58" s="10112"/>
      <c r="O58" s="10112"/>
      <c r="P58" s="10112"/>
      <c r="Q58" s="10116"/>
      <c r="R58" s="10117"/>
      <c r="S58" s="10117"/>
      <c r="T58" s="10118"/>
      <c r="U58" s="10125"/>
      <c r="V58" s="10126"/>
      <c r="W58" s="10126"/>
      <c r="X58" s="10134"/>
      <c r="Y58" s="10129"/>
      <c r="Z58" s="10130"/>
      <c r="AA58" s="10116"/>
      <c r="AB58" s="10118"/>
      <c r="AC58" s="10125"/>
      <c r="AD58" s="10126"/>
      <c r="AE58" s="10126"/>
      <c r="AF58" s="10126"/>
      <c r="AG58" s="697"/>
    </row>
    <row r="59" spans="1:55" ht="9" customHeight="1">
      <c r="A59" s="461"/>
      <c r="B59" s="10109"/>
      <c r="C59" s="10112"/>
      <c r="D59" s="10112"/>
      <c r="E59" s="10112"/>
      <c r="F59" s="10112"/>
      <c r="G59" s="10112"/>
      <c r="H59" s="10112"/>
      <c r="I59" s="10112"/>
      <c r="J59" s="10112"/>
      <c r="K59" s="10112"/>
      <c r="L59" s="10112"/>
      <c r="M59" s="10112"/>
      <c r="N59" s="10112"/>
      <c r="O59" s="10112"/>
      <c r="P59" s="10112"/>
      <c r="Q59" s="10116"/>
      <c r="R59" s="10117"/>
      <c r="S59" s="10117"/>
      <c r="T59" s="10118"/>
      <c r="U59" s="10135"/>
      <c r="V59" s="10136"/>
      <c r="W59" s="10136"/>
      <c r="X59" s="10137"/>
      <c r="Y59" s="10131"/>
      <c r="Z59" s="10132"/>
      <c r="AA59" s="10119"/>
      <c r="AB59" s="10121"/>
      <c r="AC59" s="10125"/>
      <c r="AD59" s="10126"/>
      <c r="AE59" s="10126"/>
      <c r="AF59" s="10126"/>
      <c r="AG59" s="697"/>
    </row>
    <row r="60" spans="1:55" ht="25.5" customHeight="1" thickBot="1">
      <c r="A60" s="461"/>
      <c r="B60" s="10140" t="s">
        <v>5040</v>
      </c>
      <c r="C60" s="10141"/>
      <c r="D60" s="10141"/>
      <c r="E60" s="10141"/>
      <c r="F60" s="10141"/>
      <c r="G60" s="10141"/>
      <c r="H60" s="10141"/>
      <c r="I60" s="10141"/>
      <c r="J60" s="10141"/>
      <c r="K60" s="10141"/>
      <c r="L60" s="10141"/>
      <c r="M60" s="10141"/>
      <c r="N60" s="10141"/>
      <c r="O60" s="10141"/>
      <c r="P60" s="10141"/>
      <c r="Q60" s="10141"/>
      <c r="R60" s="10141"/>
      <c r="S60" s="10141"/>
      <c r="T60" s="10141"/>
      <c r="U60" s="10142"/>
      <c r="V60" s="10142"/>
      <c r="W60" s="10142"/>
      <c r="X60" s="10142"/>
      <c r="Y60" s="10141"/>
      <c r="Z60" s="10141"/>
      <c r="AA60" s="10141"/>
      <c r="AB60" s="10141"/>
      <c r="AC60" s="10141"/>
      <c r="AD60" s="10141"/>
      <c r="AE60" s="10141"/>
      <c r="AF60" s="10141"/>
      <c r="AG60" s="697"/>
      <c r="AJ60" s="676"/>
    </row>
    <row r="61" spans="1:55" ht="16.5" thickTop="1">
      <c r="A61" s="461"/>
      <c r="B61" s="3858" t="s">
        <v>979</v>
      </c>
      <c r="C61" s="22"/>
      <c r="D61" s="22"/>
      <c r="E61" s="22"/>
      <c r="F61" s="22"/>
      <c r="G61" s="22"/>
      <c r="H61" s="22"/>
      <c r="I61" s="22"/>
      <c r="J61" s="22"/>
      <c r="K61" s="22"/>
      <c r="L61" s="22"/>
      <c r="M61" s="22"/>
      <c r="N61" s="22"/>
      <c r="O61" s="22"/>
      <c r="P61" s="22"/>
      <c r="Q61" s="22"/>
      <c r="R61" s="22"/>
      <c r="S61" s="22"/>
      <c r="T61" s="22"/>
      <c r="U61" s="337" t="s">
        <v>5017</v>
      </c>
      <c r="V61" s="22"/>
      <c r="W61" s="22"/>
      <c r="X61" s="22"/>
      <c r="Y61" s="22"/>
      <c r="Z61" s="22"/>
      <c r="AA61" s="22"/>
      <c r="AB61" s="22"/>
      <c r="AC61" s="22"/>
      <c r="AD61" s="705" t="s">
        <v>5018</v>
      </c>
      <c r="AE61" s="22"/>
      <c r="AF61" s="2822" t="str">
        <f>"("&amp;TaxYear&amp;")"</f>
        <v>(2023)</v>
      </c>
      <c r="AG61" s="697"/>
    </row>
    <row r="62" spans="1:55" ht="15.75">
      <c r="A62" s="461"/>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5019</v>
      </c>
      <c r="W62" s="38"/>
      <c r="X62" s="38"/>
      <c r="Y62" s="38"/>
      <c r="Z62" s="38"/>
      <c r="AA62" s="38"/>
      <c r="AB62" s="38"/>
      <c r="AC62" s="38"/>
      <c r="AD62" s="38"/>
      <c r="AE62" s="38"/>
      <c r="AF62" s="747" t="s">
        <v>981</v>
      </c>
      <c r="AG62" s="697"/>
    </row>
    <row r="63" spans="1:55">
      <c r="A63" s="461"/>
      <c r="B63" s="29" t="s">
        <v>5020</v>
      </c>
      <c r="C63" s="22"/>
      <c r="D63" s="22"/>
      <c r="E63" s="22"/>
      <c r="F63" s="22"/>
      <c r="G63" s="22"/>
      <c r="H63" s="22"/>
      <c r="I63" s="22"/>
      <c r="J63" s="22"/>
      <c r="K63" s="22"/>
      <c r="L63" s="22"/>
      <c r="M63" s="22"/>
      <c r="N63" s="22"/>
      <c r="O63" s="22"/>
      <c r="P63" s="22"/>
      <c r="Q63" s="22"/>
      <c r="R63" s="22"/>
      <c r="S63" s="22"/>
      <c r="T63" s="22"/>
      <c r="U63" s="22"/>
      <c r="V63" s="852" t="s">
        <v>4976</v>
      </c>
      <c r="W63" s="22"/>
      <c r="X63" s="22"/>
      <c r="Y63" s="22"/>
      <c r="Z63" s="33"/>
      <c r="AA63" s="22"/>
      <c r="AB63" s="22"/>
      <c r="AC63" s="22"/>
      <c r="AD63" s="22"/>
      <c r="AE63" s="22"/>
      <c r="AF63" s="22"/>
      <c r="AG63" s="697"/>
    </row>
    <row r="64" spans="1:55" ht="16.5" thickBot="1">
      <c r="A64" s="461"/>
      <c r="B64" s="10160" t="str">
        <f>Names</f>
        <v/>
      </c>
      <c r="C64" s="10161"/>
      <c r="D64" s="10161"/>
      <c r="E64" s="10161"/>
      <c r="F64" s="10161"/>
      <c r="G64" s="10161"/>
      <c r="H64" s="10161"/>
      <c r="I64" s="10161"/>
      <c r="J64" s="10161"/>
      <c r="K64" s="10161"/>
      <c r="L64" s="10161"/>
      <c r="M64" s="10161"/>
      <c r="N64" s="10161"/>
      <c r="O64" s="10161"/>
      <c r="P64" s="10161"/>
      <c r="Q64" s="10161"/>
      <c r="R64" s="10161"/>
      <c r="S64" s="10161"/>
      <c r="T64" s="10161"/>
      <c r="U64" s="10162"/>
      <c r="V64" s="10163">
        <f>IF(NoSSN,"",SS_Yours)</f>
        <v>1010001</v>
      </c>
      <c r="W64" s="10164"/>
      <c r="X64" s="10164"/>
      <c r="Y64" s="10164"/>
      <c r="Z64" s="10164"/>
      <c r="AA64" s="10164"/>
      <c r="AB64" s="10164"/>
      <c r="AC64" s="10164"/>
      <c r="AD64" s="10164"/>
      <c r="AE64" s="10164"/>
      <c r="AF64" s="10164"/>
      <c r="AG64" s="697"/>
    </row>
    <row r="65" spans="1:55" ht="12.75" customHeight="1">
      <c r="A65" s="461"/>
      <c r="B65" s="10122" t="s">
        <v>5041</v>
      </c>
      <c r="C65" s="10123"/>
      <c r="D65" s="10123"/>
      <c r="E65" s="10123"/>
      <c r="F65" s="10123"/>
      <c r="G65" s="10123"/>
      <c r="H65" s="10123"/>
      <c r="I65" s="10123"/>
      <c r="J65" s="10123"/>
      <c r="K65" s="10123"/>
      <c r="L65" s="10123"/>
      <c r="M65" s="10123"/>
      <c r="N65" s="10123"/>
      <c r="O65" s="10123"/>
      <c r="P65" s="10123"/>
      <c r="Q65" s="10123"/>
      <c r="R65" s="10123"/>
      <c r="S65" s="10123"/>
      <c r="T65" s="10123"/>
      <c r="U65" s="10123"/>
      <c r="V65" s="10123"/>
      <c r="W65" s="10123"/>
      <c r="X65" s="10123"/>
      <c r="Y65" s="10123"/>
      <c r="Z65" s="10123"/>
      <c r="AA65" s="10123"/>
      <c r="AB65" s="10123"/>
      <c r="AC65" s="10123"/>
      <c r="AD65" s="10123"/>
      <c r="AE65" s="10123"/>
      <c r="AF65" s="10123"/>
      <c r="AG65" s="697"/>
    </row>
    <row r="66" spans="1:55" ht="12.75" customHeight="1">
      <c r="A66" s="461"/>
      <c r="B66" s="8117"/>
      <c r="C66" s="8117"/>
      <c r="D66" s="8117"/>
      <c r="E66" s="8117"/>
      <c r="F66" s="8117"/>
      <c r="G66" s="8117"/>
      <c r="H66" s="8117"/>
      <c r="I66" s="8117"/>
      <c r="J66" s="8117"/>
      <c r="K66" s="8117"/>
      <c r="L66" s="8117"/>
      <c r="M66" s="8117"/>
      <c r="N66" s="8117"/>
      <c r="O66" s="8117"/>
      <c r="P66" s="8117"/>
      <c r="Q66" s="8117"/>
      <c r="R66" s="8117"/>
      <c r="S66" s="8117"/>
      <c r="T66" s="8117"/>
      <c r="U66" s="8117"/>
      <c r="V66" s="8117"/>
      <c r="W66" s="8117"/>
      <c r="X66" s="8117"/>
      <c r="Y66" s="8117"/>
      <c r="Z66" s="8117"/>
      <c r="AA66" s="8117"/>
      <c r="AB66" s="8117"/>
      <c r="AC66" s="8117"/>
      <c r="AD66" s="8117"/>
      <c r="AE66" s="8117"/>
      <c r="AF66" s="8117"/>
      <c r="AG66" s="697"/>
    </row>
    <row r="67" spans="1:55" ht="12.75" customHeight="1">
      <c r="A67" s="461"/>
      <c r="B67" s="7956"/>
      <c r="C67" s="7956"/>
      <c r="D67" s="7956"/>
      <c r="E67" s="7956"/>
      <c r="F67" s="7956"/>
      <c r="G67" s="7956"/>
      <c r="H67" s="7956"/>
      <c r="I67" s="7956"/>
      <c r="J67" s="7956"/>
      <c r="K67" s="7956"/>
      <c r="L67" s="7956"/>
      <c r="M67" s="7956"/>
      <c r="N67" s="7956"/>
      <c r="O67" s="7956"/>
      <c r="P67" s="7956"/>
      <c r="Q67" s="7956"/>
      <c r="R67" s="7956"/>
      <c r="S67" s="7956"/>
      <c r="T67" s="7956"/>
      <c r="U67" s="7956"/>
      <c r="V67" s="7956"/>
      <c r="W67" s="7956"/>
      <c r="X67" s="7956"/>
      <c r="Y67" s="7956"/>
      <c r="Z67" s="7956"/>
      <c r="AA67" s="7956"/>
      <c r="AB67" s="7956"/>
      <c r="AC67" s="7956"/>
      <c r="AD67" s="7956"/>
      <c r="AE67" s="7956"/>
      <c r="AF67" s="7956"/>
      <c r="AG67" s="697"/>
    </row>
    <row r="68" spans="1:55" ht="3.75" customHeight="1">
      <c r="A68" s="461"/>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697"/>
    </row>
    <row r="69" spans="1:55" ht="15">
      <c r="A69" s="461"/>
      <c r="B69" s="10158" t="s">
        <v>982</v>
      </c>
      <c r="C69" s="10159"/>
      <c r="D69" s="22"/>
      <c r="E69" s="235" t="s">
        <v>5021</v>
      </c>
      <c r="F69" s="276"/>
      <c r="G69" s="276"/>
      <c r="H69" s="276"/>
      <c r="I69" s="276"/>
      <c r="J69" s="276"/>
      <c r="K69" s="276"/>
      <c r="L69" s="276"/>
      <c r="M69" s="276"/>
      <c r="N69" s="276"/>
      <c r="O69" s="276"/>
      <c r="P69" s="235"/>
      <c r="Q69" s="276"/>
      <c r="R69" s="276"/>
      <c r="S69" s="276"/>
      <c r="T69" s="276" t="s">
        <v>5022</v>
      </c>
      <c r="U69" s="276"/>
      <c r="V69" s="276"/>
      <c r="W69" s="276"/>
      <c r="X69" s="276"/>
      <c r="Y69" s="276" t="s">
        <v>5023</v>
      </c>
      <c r="Z69" s="276"/>
      <c r="AA69" s="276"/>
      <c r="AB69" s="276"/>
      <c r="AC69" s="276"/>
      <c r="AD69" s="276"/>
      <c r="AE69" s="276"/>
      <c r="AF69" s="276"/>
      <c r="AG69" s="911" t="b">
        <f>IF(SUM(AG88:AG115)&gt;0,TRUE,FALSE)</f>
        <v>0</v>
      </c>
    </row>
    <row r="70" spans="1:55" ht="11.25" customHeight="1">
      <c r="A70" s="461"/>
      <c r="B70" s="22"/>
      <c r="C70" s="22"/>
      <c r="D70" s="22"/>
      <c r="E70" s="276" t="s">
        <v>5024</v>
      </c>
      <c r="F70" s="276"/>
      <c r="G70" s="276"/>
      <c r="H70" s="276"/>
      <c r="I70" s="276"/>
      <c r="J70" s="276"/>
      <c r="K70" s="276"/>
      <c r="L70" s="276"/>
      <c r="M70" s="276"/>
      <c r="N70" s="276"/>
      <c r="O70" s="276"/>
      <c r="P70" s="276"/>
      <c r="Q70" s="276"/>
      <c r="R70" s="276"/>
      <c r="S70" s="276"/>
      <c r="T70" s="276"/>
      <c r="U70" s="276"/>
      <c r="V70" s="276"/>
      <c r="W70" s="276"/>
      <c r="X70" s="276"/>
      <c r="Y70" s="276"/>
      <c r="Z70" s="276"/>
      <c r="AA70" s="276"/>
      <c r="AB70" s="276"/>
      <c r="AC70" s="276"/>
      <c r="AD70" s="276"/>
      <c r="AE70" s="276"/>
      <c r="AF70" s="276"/>
      <c r="AG70" s="697"/>
    </row>
    <row r="71" spans="1:55" s="182" customFormat="1" ht="13.5" customHeight="1">
      <c r="A71" s="2094"/>
      <c r="B71" s="276"/>
      <c r="C71" s="276"/>
      <c r="D71" s="276"/>
      <c r="E71" s="2095" t="s">
        <v>5025</v>
      </c>
      <c r="F71" s="276"/>
      <c r="G71" s="276"/>
      <c r="H71" s="276"/>
      <c r="I71" s="276"/>
      <c r="J71" s="276"/>
      <c r="K71" s="276"/>
      <c r="L71" s="276"/>
      <c r="M71" s="276"/>
      <c r="N71" s="276"/>
      <c r="O71" s="276"/>
      <c r="P71" s="276"/>
      <c r="Q71" s="276"/>
      <c r="R71" s="276"/>
      <c r="S71" s="276"/>
      <c r="T71" s="276"/>
      <c r="U71" s="276"/>
      <c r="V71" s="276"/>
      <c r="W71" s="276"/>
      <c r="X71" s="276"/>
      <c r="Y71" s="276"/>
      <c r="Z71" s="276"/>
      <c r="AA71" s="276"/>
      <c r="AB71" s="276"/>
      <c r="AC71" s="276"/>
      <c r="AD71" s="276"/>
      <c r="AE71" s="276"/>
      <c r="AF71" s="276"/>
      <c r="AG71" s="2094"/>
      <c r="AH71" s="671"/>
      <c r="AI71" s="671"/>
    </row>
    <row r="72" spans="1:55" s="182" customFormat="1" ht="13.5" customHeight="1">
      <c r="A72" s="2094"/>
      <c r="B72" s="276"/>
      <c r="C72" s="276"/>
      <c r="D72" s="276"/>
      <c r="E72" s="276" t="s">
        <v>5026</v>
      </c>
      <c r="F72" s="276"/>
      <c r="G72" s="276"/>
      <c r="H72" s="276"/>
      <c r="I72" s="276"/>
      <c r="J72" s="276"/>
      <c r="K72" s="276"/>
      <c r="L72" s="276"/>
      <c r="M72" s="276"/>
      <c r="N72" s="276"/>
      <c r="O72" s="276"/>
      <c r="P72" s="276"/>
      <c r="Q72" s="276"/>
      <c r="R72" s="276"/>
      <c r="S72" s="276"/>
      <c r="T72" s="276"/>
      <c r="U72" s="276"/>
      <c r="V72" s="276"/>
      <c r="W72" s="276"/>
      <c r="X72" s="276"/>
      <c r="Y72" s="276"/>
      <c r="Z72" s="276"/>
      <c r="AA72" s="276"/>
      <c r="AB72" s="276"/>
      <c r="AC72" s="276"/>
      <c r="AD72" s="276"/>
      <c r="AE72" s="276"/>
      <c r="AF72" s="276"/>
      <c r="AG72" s="2094"/>
      <c r="AH72" s="671"/>
      <c r="AI72" s="671"/>
    </row>
    <row r="73" spans="1:55" s="182" customFormat="1" ht="13.5" customHeight="1">
      <c r="A73" s="2094"/>
      <c r="B73" s="2096"/>
      <c r="C73" s="2096"/>
      <c r="D73" s="2096"/>
      <c r="E73" s="2096" t="s">
        <v>5027</v>
      </c>
      <c r="F73" s="2096"/>
      <c r="G73" s="2096"/>
      <c r="H73" s="2096"/>
      <c r="I73" s="2096"/>
      <c r="J73" s="2096"/>
      <c r="K73" s="2096"/>
      <c r="L73" s="2096"/>
      <c r="M73" s="2096"/>
      <c r="N73" s="2096"/>
      <c r="O73" s="2096"/>
      <c r="P73" s="2096"/>
      <c r="Q73" s="2096"/>
      <c r="R73" s="2096"/>
      <c r="S73" s="2096"/>
      <c r="T73" s="2096"/>
      <c r="U73" s="2096"/>
      <c r="V73" s="2096"/>
      <c r="W73" s="2096"/>
      <c r="X73" s="2096"/>
      <c r="Y73" s="2096"/>
      <c r="Z73" s="2096"/>
      <c r="AA73" s="2096"/>
      <c r="AB73" s="2096"/>
      <c r="AC73" s="2096"/>
      <c r="AD73" s="2096"/>
      <c r="AE73" s="2096"/>
      <c r="AF73" s="2096"/>
      <c r="AG73" s="2094"/>
      <c r="AH73" s="671"/>
      <c r="AI73" s="671"/>
    </row>
    <row r="74" spans="1:55">
      <c r="A74" s="461"/>
      <c r="B74" s="194" t="s">
        <v>5028</v>
      </c>
      <c r="C74" s="51"/>
      <c r="D74" s="51"/>
      <c r="E74" s="51"/>
      <c r="F74" s="51"/>
      <c r="G74" s="51"/>
      <c r="H74" s="51"/>
      <c r="I74" s="51"/>
      <c r="J74" s="51"/>
      <c r="K74" s="194" t="s">
        <v>4986</v>
      </c>
      <c r="L74" s="51"/>
      <c r="M74" s="51"/>
      <c r="N74" s="51"/>
      <c r="O74" s="51"/>
      <c r="P74" s="61" t="s">
        <v>5029</v>
      </c>
      <c r="Q74" s="51"/>
      <c r="R74" s="51"/>
      <c r="S74" s="51"/>
      <c r="T74" s="51"/>
      <c r="U74" s="51"/>
      <c r="V74" s="51"/>
      <c r="W74" s="51"/>
      <c r="X74" s="51"/>
      <c r="Y74" s="51"/>
      <c r="Z74" s="51"/>
      <c r="AA74" s="51"/>
      <c r="AB74" s="51"/>
      <c r="AC74" s="51"/>
      <c r="AD74" s="51"/>
      <c r="AE74" s="51"/>
      <c r="AF74" s="51"/>
      <c r="AG74" s="697"/>
    </row>
    <row r="75" spans="1:55">
      <c r="A75" s="461"/>
      <c r="B75" s="61" t="s">
        <v>5030</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697"/>
      <c r="BA75" s="10194" t="s">
        <v>4989</v>
      </c>
      <c r="BB75" s="6435"/>
      <c r="BC75" s="7427"/>
    </row>
    <row r="76" spans="1:55">
      <c r="A76" s="461"/>
      <c r="B76" s="61" t="s">
        <v>5031</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697"/>
      <c r="BA76" s="10195" t="s">
        <v>4991</v>
      </c>
      <c r="BB76" s="10195" t="s">
        <v>4992</v>
      </c>
      <c r="BC76" s="10195" t="s">
        <v>4993</v>
      </c>
    </row>
    <row r="77" spans="1:55" ht="4.5" customHeight="1" thickBot="1">
      <c r="A77" s="46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697"/>
      <c r="BA77" s="10196"/>
      <c r="BB77" s="10196"/>
      <c r="BC77" s="10196"/>
    </row>
    <row r="78" spans="1:55" ht="12" customHeight="1" thickBot="1">
      <c r="A78" s="461"/>
      <c r="B78" s="874">
        <f>IF(C78&lt;&gt;"",1,0)</f>
        <v>0</v>
      </c>
      <c r="C78" s="873"/>
      <c r="D78" s="683" t="s">
        <v>5032</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697"/>
      <c r="AJ78" s="10200"/>
      <c r="AK78" s="10201"/>
      <c r="AL78" s="10201"/>
      <c r="AM78" s="10201"/>
      <c r="AN78" s="10201"/>
      <c r="AO78" s="10201"/>
      <c r="AP78" s="10201"/>
      <c r="AQ78" s="10201"/>
      <c r="BA78" s="10196"/>
      <c r="BB78" s="10196"/>
      <c r="BC78" s="10196"/>
    </row>
    <row r="79" spans="1:55" ht="4.5" customHeight="1" thickBot="1">
      <c r="A79" s="461"/>
      <c r="B79" s="5728"/>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697"/>
      <c r="BA79" s="10196"/>
      <c r="BB79" s="10196"/>
      <c r="BC79" s="10196"/>
    </row>
    <row r="80" spans="1:55" ht="11.25" customHeight="1" thickBot="1">
      <c r="A80" s="461"/>
      <c r="B80" s="874">
        <f>IF(C80&lt;&gt;"",1,0)</f>
        <v>0</v>
      </c>
      <c r="C80" s="873"/>
      <c r="D80" s="683" t="s">
        <v>5033</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697"/>
      <c r="AJ80" s="10200"/>
      <c r="AK80" s="10201"/>
      <c r="AL80" s="10201"/>
      <c r="AM80" s="10201"/>
      <c r="AN80" s="10201"/>
      <c r="AO80" s="10201"/>
      <c r="AP80" s="10201"/>
      <c r="AQ80" s="10201"/>
      <c r="BA80" s="10196"/>
      <c r="BB80" s="10196"/>
      <c r="BC80" s="10196"/>
    </row>
    <row r="81" spans="1:55" ht="4.5" customHeight="1" thickBot="1">
      <c r="A81" s="461"/>
      <c r="B81" s="5728"/>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697"/>
      <c r="BA81" s="10196"/>
      <c r="BB81" s="10196"/>
      <c r="BC81" s="10196"/>
    </row>
    <row r="82" spans="1:55" ht="12" customHeight="1" thickBot="1">
      <c r="A82" s="461">
        <f>SUM(B78:B82)</f>
        <v>0</v>
      </c>
      <c r="B82" s="874">
        <f>IF(C82&lt;&gt;"",1,0)</f>
        <v>0</v>
      </c>
      <c r="C82" s="873"/>
      <c r="D82" s="683" t="s">
        <v>5034</v>
      </c>
      <c r="E82" s="51"/>
      <c r="F82" s="51"/>
      <c r="G82" s="51"/>
      <c r="H82" s="51"/>
      <c r="I82" s="51"/>
      <c r="J82" s="51"/>
      <c r="K82" s="51"/>
      <c r="L82" s="51"/>
      <c r="M82" s="51"/>
      <c r="N82" s="51"/>
      <c r="O82" s="51"/>
      <c r="P82" s="51"/>
      <c r="Q82" s="51"/>
      <c r="R82" s="10185" t="str">
        <f>IF(SpaceUsed_8949B_LT,"ERROR: DO NOT use the space bar to uncheck a box. Use the 'Delete' key.",IF(A82&gt;1,"Check only ONE box.",IF(OR(NoColor,A82&gt;0),"",IF(A82&lt;1,"Check ONE box.",""))))</f>
        <v>Check ONE box.</v>
      </c>
      <c r="S82" s="10186"/>
      <c r="T82" s="10186"/>
      <c r="U82" s="10186"/>
      <c r="V82" s="10186"/>
      <c r="W82" s="10186"/>
      <c r="X82" s="10186"/>
      <c r="Y82" s="10186"/>
      <c r="Z82" s="10186"/>
      <c r="AA82" s="10186"/>
      <c r="AB82" s="10186"/>
      <c r="AC82" s="10186"/>
      <c r="AD82" s="10186"/>
      <c r="AE82" s="10186"/>
      <c r="AF82" s="51"/>
      <c r="AG82" s="697"/>
      <c r="AH82" s="1028" t="b">
        <f>IF(OR(F8949BLBOXA=CHAR(32),F8949BLBOXB=CHAR(32),F8949BLBOXC=CHAR(32)),TRUE,FALSE)</f>
        <v>0</v>
      </c>
      <c r="AJ82" s="10200" t="s">
        <v>4997</v>
      </c>
      <c r="AK82" s="10201"/>
      <c r="AL82" s="10201"/>
      <c r="AM82" s="10201"/>
      <c r="AN82" s="10201"/>
      <c r="AO82" s="10201"/>
      <c r="AP82" s="10201"/>
      <c r="AQ82" s="10201"/>
      <c r="BA82" s="10196"/>
      <c r="BB82" s="10196"/>
      <c r="BC82" s="10196"/>
    </row>
    <row r="83" spans="1:55" ht="3.75" customHeight="1">
      <c r="A83" s="461"/>
      <c r="B83" s="195"/>
      <c r="C83" s="746"/>
      <c r="D83" s="195"/>
      <c r="E83" s="195"/>
      <c r="F83" s="195"/>
      <c r="G83" s="195"/>
      <c r="H83" s="195"/>
      <c r="I83" s="195"/>
      <c r="J83" s="195"/>
      <c r="K83" s="195"/>
      <c r="L83" s="195"/>
      <c r="M83" s="195"/>
      <c r="N83" s="746"/>
      <c r="O83" s="195"/>
      <c r="P83" s="195"/>
      <c r="Q83" s="195"/>
      <c r="R83" s="195"/>
      <c r="S83" s="195"/>
      <c r="T83" s="195"/>
      <c r="U83" s="195"/>
      <c r="V83" s="195"/>
      <c r="W83" s="195"/>
      <c r="X83" s="195"/>
      <c r="Y83" s="746"/>
      <c r="Z83" s="195"/>
      <c r="AA83" s="195"/>
      <c r="AB83" s="195"/>
      <c r="AC83" s="195"/>
      <c r="AD83" s="195"/>
      <c r="AE83" s="195"/>
      <c r="AF83" s="195"/>
      <c r="AG83" s="697"/>
      <c r="BA83" s="10196"/>
      <c r="BB83" s="10196"/>
      <c r="BC83" s="10196"/>
    </row>
    <row r="84" spans="1:55" ht="21" customHeight="1">
      <c r="A84" s="461"/>
      <c r="B84" s="10143">
        <v>1</v>
      </c>
      <c r="C84" s="10147" t="s">
        <v>4998</v>
      </c>
      <c r="D84" s="10148"/>
      <c r="E84" s="10148"/>
      <c r="F84" s="10148"/>
      <c r="G84" s="10148"/>
      <c r="H84" s="10148"/>
      <c r="I84" s="10149"/>
      <c r="J84" s="10155" t="s">
        <v>5035</v>
      </c>
      <c r="K84" s="7417"/>
      <c r="L84" s="7278"/>
      <c r="M84" s="10155" t="s">
        <v>5000</v>
      </c>
      <c r="N84" s="7417"/>
      <c r="O84" s="7417"/>
      <c r="P84" s="7278"/>
      <c r="Q84" s="10155" t="s">
        <v>5001</v>
      </c>
      <c r="R84" s="7417"/>
      <c r="S84" s="7417"/>
      <c r="T84" s="7278"/>
      <c r="U84" s="10092" t="s">
        <v>5002</v>
      </c>
      <c r="V84" s="10093"/>
      <c r="W84" s="10093"/>
      <c r="X84" s="10094"/>
      <c r="Y84" s="10102" t="s">
        <v>5003</v>
      </c>
      <c r="Z84" s="10103"/>
      <c r="AA84" s="10103"/>
      <c r="AB84" s="10104"/>
      <c r="AC84" s="10092" t="s">
        <v>5004</v>
      </c>
      <c r="AD84" s="10093"/>
      <c r="AE84" s="10093"/>
      <c r="AF84" s="10093"/>
      <c r="AG84" s="697"/>
      <c r="AJ84" s="10202" t="s">
        <v>5005</v>
      </c>
      <c r="AK84" s="10202" t="s">
        <v>5006</v>
      </c>
      <c r="AL84" s="10202" t="s">
        <v>5007</v>
      </c>
      <c r="AM84" s="10202" t="s">
        <v>5008</v>
      </c>
      <c r="AN84" s="10204" t="s">
        <v>5009</v>
      </c>
      <c r="AO84" s="10199" t="s">
        <v>5010</v>
      </c>
      <c r="AP84" s="7302"/>
      <c r="AQ84" s="10202" t="s">
        <v>5036</v>
      </c>
      <c r="BA84" s="10196"/>
      <c r="BB84" s="10196"/>
      <c r="BC84" s="10196"/>
    </row>
    <row r="85" spans="1:55" ht="21" customHeight="1">
      <c r="A85" s="461"/>
      <c r="B85" s="10144"/>
      <c r="C85" s="10150"/>
      <c r="D85" s="10151"/>
      <c r="E85" s="10151"/>
      <c r="F85" s="10151"/>
      <c r="G85" s="10151"/>
      <c r="H85" s="10151"/>
      <c r="I85" s="10152"/>
      <c r="J85" s="10156"/>
      <c r="K85" s="8454"/>
      <c r="L85" s="7280"/>
      <c r="M85" s="10156"/>
      <c r="N85" s="8454"/>
      <c r="O85" s="8454"/>
      <c r="P85" s="7280"/>
      <c r="Q85" s="10156"/>
      <c r="R85" s="8454"/>
      <c r="S85" s="8454"/>
      <c r="T85" s="7280"/>
      <c r="U85" s="10095"/>
      <c r="V85" s="10096"/>
      <c r="W85" s="10096"/>
      <c r="X85" s="10097"/>
      <c r="Y85" s="10105"/>
      <c r="Z85" s="10106"/>
      <c r="AA85" s="10106"/>
      <c r="AB85" s="10107"/>
      <c r="AC85" s="10095"/>
      <c r="AD85" s="10096"/>
      <c r="AE85" s="10096"/>
      <c r="AF85" s="10096"/>
      <c r="AG85" s="697"/>
      <c r="AJ85" s="10202"/>
      <c r="AK85" s="10202"/>
      <c r="AL85" s="10202"/>
      <c r="AM85" s="10202"/>
      <c r="AN85" s="10204"/>
      <c r="AO85" s="7414"/>
      <c r="AP85" s="7308"/>
      <c r="AQ85" s="10202"/>
      <c r="BA85" s="10196"/>
      <c r="BB85" s="10196"/>
      <c r="BC85" s="10196"/>
    </row>
    <row r="86" spans="1:55" ht="18" customHeight="1">
      <c r="A86" s="461"/>
      <c r="B86" s="10145"/>
      <c r="C86" s="10151"/>
      <c r="D86" s="10151"/>
      <c r="E86" s="10151"/>
      <c r="F86" s="10151"/>
      <c r="G86" s="10151"/>
      <c r="H86" s="10151"/>
      <c r="I86" s="10152"/>
      <c r="J86" s="7279"/>
      <c r="K86" s="8454"/>
      <c r="L86" s="7280"/>
      <c r="M86" s="7279"/>
      <c r="N86" s="8454"/>
      <c r="O86" s="8454"/>
      <c r="P86" s="7280"/>
      <c r="Q86" s="7279"/>
      <c r="R86" s="8454"/>
      <c r="S86" s="8454"/>
      <c r="T86" s="7280"/>
      <c r="U86" s="10098"/>
      <c r="V86" s="10096"/>
      <c r="W86" s="10096"/>
      <c r="X86" s="10097"/>
      <c r="Y86" s="7396" t="s">
        <v>5012</v>
      </c>
      <c r="Z86" s="7278"/>
      <c r="AA86" s="7396" t="s">
        <v>5013</v>
      </c>
      <c r="AB86" s="7451"/>
      <c r="AC86" s="10098"/>
      <c r="AD86" s="10096"/>
      <c r="AE86" s="10096"/>
      <c r="AF86" s="10096"/>
      <c r="AG86" s="697"/>
      <c r="AJ86" s="10203"/>
      <c r="AK86" s="10203"/>
      <c r="AL86" s="10203"/>
      <c r="AM86" s="10203"/>
      <c r="AN86" s="10205"/>
      <c r="AO86" s="10197" t="s">
        <v>5014</v>
      </c>
      <c r="AP86" s="7577" t="s">
        <v>5013</v>
      </c>
      <c r="AQ86" s="10203"/>
      <c r="BA86" s="10196"/>
      <c r="BB86" s="10196"/>
      <c r="BC86" s="10196"/>
    </row>
    <row r="87" spans="1:55" ht="18" customHeight="1">
      <c r="A87" s="461"/>
      <c r="B87" s="10146"/>
      <c r="C87" s="10153"/>
      <c r="D87" s="10153"/>
      <c r="E87" s="10153"/>
      <c r="F87" s="10153"/>
      <c r="G87" s="10153"/>
      <c r="H87" s="10153"/>
      <c r="I87" s="10154"/>
      <c r="J87" s="7281"/>
      <c r="K87" s="10157"/>
      <c r="L87" s="7282"/>
      <c r="M87" s="7281"/>
      <c r="N87" s="10157"/>
      <c r="O87" s="10157"/>
      <c r="P87" s="7282"/>
      <c r="Q87" s="7281"/>
      <c r="R87" s="10157"/>
      <c r="S87" s="10157"/>
      <c r="T87" s="7282"/>
      <c r="U87" s="10099"/>
      <c r="V87" s="10100"/>
      <c r="W87" s="10100"/>
      <c r="X87" s="10101"/>
      <c r="Y87" s="7281"/>
      <c r="Z87" s="7282"/>
      <c r="AA87" s="6734"/>
      <c r="AB87" s="7453"/>
      <c r="AC87" s="10099"/>
      <c r="AD87" s="10100"/>
      <c r="AE87" s="10100"/>
      <c r="AF87" s="10100"/>
      <c r="AG87" s="697"/>
      <c r="AJ87" s="10203"/>
      <c r="AK87" s="10203"/>
      <c r="AL87" s="10203"/>
      <c r="AM87" s="10203"/>
      <c r="AN87" s="10205"/>
      <c r="AO87" s="10198"/>
      <c r="AP87" s="10198"/>
      <c r="AQ87" s="10203"/>
      <c r="BA87" s="10196"/>
      <c r="BB87" s="10196"/>
      <c r="BC87" s="10196"/>
    </row>
    <row r="88" spans="1:55" ht="19.5" customHeight="1">
      <c r="A88" s="461">
        <f>IF(OR(U88&lt;&gt;"",Y88&lt;&gt;"",AC88&lt;&gt;""),1,0)</f>
        <v>0</v>
      </c>
      <c r="B88" s="10085" t="str">
        <f t="shared" ref="B88:B115" si="20">IF(AJ88="","",AJ88)</f>
        <v/>
      </c>
      <c r="C88" s="9649"/>
      <c r="D88" s="9649"/>
      <c r="E88" s="9649"/>
      <c r="F88" s="9649"/>
      <c r="G88" s="9649"/>
      <c r="H88" s="9649"/>
      <c r="I88" s="9667"/>
      <c r="J88" s="10086" t="str">
        <f t="shared" ref="J88:J115" si="21">IF(AK88="","",AK88)</f>
        <v/>
      </c>
      <c r="K88" s="10087"/>
      <c r="L88" s="10087"/>
      <c r="M88" s="10086" t="str">
        <f t="shared" ref="M88:M115" si="22">IF(AL88="","",AL88)</f>
        <v/>
      </c>
      <c r="N88" s="10087"/>
      <c r="O88" s="10087"/>
      <c r="P88" s="10088"/>
      <c r="Q88" s="7143" t="str">
        <f t="shared" ref="Q88:Q115" si="23">IF(AM88="","",AM88)</f>
        <v/>
      </c>
      <c r="R88" s="10090"/>
      <c r="S88" s="10090"/>
      <c r="T88" s="10091"/>
      <c r="U88" s="7143" t="str">
        <f t="shared" ref="U88:U115" si="24">IF(AN88="","",AN88)</f>
        <v/>
      </c>
      <c r="V88" s="10090"/>
      <c r="W88" s="10090"/>
      <c r="X88" s="10091"/>
      <c r="Y88" s="10089" t="str">
        <f>IF(AO88&lt;&gt;"",AO88,"")</f>
        <v/>
      </c>
      <c r="Z88" s="6563"/>
      <c r="AA88" s="10089" t="str">
        <f>IF(AP88="","",AP88)</f>
        <v/>
      </c>
      <c r="AB88" s="6563"/>
      <c r="AC88" s="10138" t="str">
        <f>IF(AQ88&lt;&gt;"",AQ88,IF(AND(Q88="",U88=""),"",IF(AND(Q88&lt;&gt;"",U88=""),SUM(Q88,AA88),SUM(Q88,-U88,AA88))))</f>
        <v/>
      </c>
      <c r="AD88" s="10139"/>
      <c r="AE88" s="10139"/>
      <c r="AF88" s="10139"/>
      <c r="AG88" s="911">
        <f>IF(OR(J88="",M88=""),0,IF(OR(BA88,BB88,BC88),1,0))</f>
        <v>0</v>
      </c>
      <c r="AH88" s="5727"/>
      <c r="AI88" s="5727" t="e">
        <f>M88-J88</f>
        <v>#VALUE!</v>
      </c>
      <c r="AJ88" s="853"/>
      <c r="AK88" s="857"/>
      <c r="AL88" s="857"/>
      <c r="AM88" s="855"/>
      <c r="AN88" s="855"/>
      <c r="AO88" s="856"/>
      <c r="AP88" s="855"/>
      <c r="AQ88" s="854"/>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61">
        <f t="shared" ref="A89:A115" si="25">IF(OR(U89&lt;&gt;"",Y89&lt;&gt;"",AC89&lt;&gt;""),1,0)</f>
        <v>0</v>
      </c>
      <c r="B89" s="10085" t="str">
        <f t="shared" si="20"/>
        <v/>
      </c>
      <c r="C89" s="9649"/>
      <c r="D89" s="9649"/>
      <c r="E89" s="9649"/>
      <c r="F89" s="9649"/>
      <c r="G89" s="9649"/>
      <c r="H89" s="9649"/>
      <c r="I89" s="9667"/>
      <c r="J89" s="10086" t="str">
        <f t="shared" si="21"/>
        <v/>
      </c>
      <c r="K89" s="10087"/>
      <c r="L89" s="10087"/>
      <c r="M89" s="10086" t="str">
        <f t="shared" si="22"/>
        <v/>
      </c>
      <c r="N89" s="10087"/>
      <c r="O89" s="10087"/>
      <c r="P89" s="10088"/>
      <c r="Q89" s="7143" t="str">
        <f t="shared" si="23"/>
        <v/>
      </c>
      <c r="R89" s="10090"/>
      <c r="S89" s="10090"/>
      <c r="T89" s="10091"/>
      <c r="U89" s="7143" t="str">
        <f t="shared" si="24"/>
        <v/>
      </c>
      <c r="V89" s="10090"/>
      <c r="W89" s="10090"/>
      <c r="X89" s="10091"/>
      <c r="Y89" s="10089" t="str">
        <f t="shared" ref="Y89:Y115" si="26">IF(AO89&lt;&gt;"",AO89,"")</f>
        <v/>
      </c>
      <c r="Z89" s="6563"/>
      <c r="AA89" s="10089" t="str">
        <f t="shared" ref="AA89:AA115" si="27">IF(AP89="","",AP89)</f>
        <v/>
      </c>
      <c r="AB89" s="6563"/>
      <c r="AC89" s="10138" t="str">
        <f t="shared" ref="AC89:AC115" si="28">IF(AQ89&lt;&gt;"",AQ89,IF(AND(Q89="",U89=""),"",IF(AND(Q89&lt;&gt;"",U89=""),SUM(Q89,AA89),SUM(Q89,-U89,AA89))))</f>
        <v/>
      </c>
      <c r="AD89" s="10139"/>
      <c r="AE89" s="10139"/>
      <c r="AF89" s="10139"/>
      <c r="AG89" s="911">
        <f t="shared" ref="AG89:AG115" si="29">IF(OR(J89="",M89=""),0,IF(OR(BA89,BB89,BC89),1,0))</f>
        <v>0</v>
      </c>
      <c r="AH89" s="5727"/>
      <c r="AI89" s="5727" t="e">
        <f t="shared" ref="AI89:AI115" si="30">M89-J89</f>
        <v>#VALUE!</v>
      </c>
      <c r="AJ89" s="853"/>
      <c r="AK89" s="857"/>
      <c r="AL89" s="857"/>
      <c r="AM89" s="855"/>
      <c r="AN89" s="855"/>
      <c r="AO89" s="856"/>
      <c r="AP89" s="855"/>
      <c r="AQ89" s="854"/>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61">
        <f t="shared" si="25"/>
        <v>0</v>
      </c>
      <c r="B90" s="10085" t="str">
        <f t="shared" si="20"/>
        <v/>
      </c>
      <c r="C90" s="9649"/>
      <c r="D90" s="9649"/>
      <c r="E90" s="9649"/>
      <c r="F90" s="9649"/>
      <c r="G90" s="9649"/>
      <c r="H90" s="9649"/>
      <c r="I90" s="9667"/>
      <c r="J90" s="10086" t="str">
        <f t="shared" si="21"/>
        <v/>
      </c>
      <c r="K90" s="10087"/>
      <c r="L90" s="10087"/>
      <c r="M90" s="10086" t="str">
        <f t="shared" si="22"/>
        <v/>
      </c>
      <c r="N90" s="10087"/>
      <c r="O90" s="10087"/>
      <c r="P90" s="10088"/>
      <c r="Q90" s="7143" t="str">
        <f t="shared" si="23"/>
        <v/>
      </c>
      <c r="R90" s="10090"/>
      <c r="S90" s="10090"/>
      <c r="T90" s="10091"/>
      <c r="U90" s="7143" t="str">
        <f t="shared" si="24"/>
        <v/>
      </c>
      <c r="V90" s="10090"/>
      <c r="W90" s="10090"/>
      <c r="X90" s="10091"/>
      <c r="Y90" s="10089" t="str">
        <f t="shared" si="26"/>
        <v/>
      </c>
      <c r="Z90" s="6563"/>
      <c r="AA90" s="10089" t="str">
        <f t="shared" si="27"/>
        <v/>
      </c>
      <c r="AB90" s="6563"/>
      <c r="AC90" s="10138" t="str">
        <f t="shared" si="28"/>
        <v/>
      </c>
      <c r="AD90" s="10139"/>
      <c r="AE90" s="10139"/>
      <c r="AF90" s="10139"/>
      <c r="AG90" s="911">
        <f t="shared" si="29"/>
        <v>0</v>
      </c>
      <c r="AH90" s="5727"/>
      <c r="AI90" s="5727" t="e">
        <f t="shared" si="30"/>
        <v>#VALUE!</v>
      </c>
      <c r="AJ90" s="853"/>
      <c r="AK90" s="857"/>
      <c r="AL90" s="857"/>
      <c r="AM90" s="855"/>
      <c r="AN90" s="855"/>
      <c r="AO90" s="856"/>
      <c r="AP90" s="855"/>
      <c r="AQ90" s="854"/>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61">
        <f t="shared" si="25"/>
        <v>0</v>
      </c>
      <c r="B91" s="10085" t="str">
        <f t="shared" si="20"/>
        <v/>
      </c>
      <c r="C91" s="9649"/>
      <c r="D91" s="9649"/>
      <c r="E91" s="9649"/>
      <c r="F91" s="9649"/>
      <c r="G91" s="9649"/>
      <c r="H91" s="9649"/>
      <c r="I91" s="9667"/>
      <c r="J91" s="10086" t="str">
        <f t="shared" si="21"/>
        <v/>
      </c>
      <c r="K91" s="10087"/>
      <c r="L91" s="10087"/>
      <c r="M91" s="10086" t="str">
        <f t="shared" si="22"/>
        <v/>
      </c>
      <c r="N91" s="10087"/>
      <c r="O91" s="10087"/>
      <c r="P91" s="10088"/>
      <c r="Q91" s="7143" t="str">
        <f t="shared" si="23"/>
        <v/>
      </c>
      <c r="R91" s="10090"/>
      <c r="S91" s="10090"/>
      <c r="T91" s="10091"/>
      <c r="U91" s="7143" t="str">
        <f t="shared" si="24"/>
        <v/>
      </c>
      <c r="V91" s="10090"/>
      <c r="W91" s="10090"/>
      <c r="X91" s="10091"/>
      <c r="Y91" s="10089" t="str">
        <f t="shared" si="26"/>
        <v/>
      </c>
      <c r="Z91" s="6563"/>
      <c r="AA91" s="10089" t="str">
        <f t="shared" si="27"/>
        <v/>
      </c>
      <c r="AB91" s="6563"/>
      <c r="AC91" s="10138" t="str">
        <f t="shared" si="28"/>
        <v/>
      </c>
      <c r="AD91" s="10139"/>
      <c r="AE91" s="10139"/>
      <c r="AF91" s="10139"/>
      <c r="AG91" s="911">
        <f t="shared" si="29"/>
        <v>0</v>
      </c>
      <c r="AH91" s="5727"/>
      <c r="AI91" s="5727" t="e">
        <f t="shared" si="30"/>
        <v>#VALUE!</v>
      </c>
      <c r="AJ91" s="853"/>
      <c r="AK91" s="857"/>
      <c r="AL91" s="857"/>
      <c r="AM91" s="855"/>
      <c r="AN91" s="855"/>
      <c r="AO91" s="856"/>
      <c r="AP91" s="855"/>
      <c r="AQ91" s="854"/>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61">
        <f t="shared" si="25"/>
        <v>0</v>
      </c>
      <c r="B92" s="10085" t="str">
        <f t="shared" si="20"/>
        <v/>
      </c>
      <c r="C92" s="9649"/>
      <c r="D92" s="9649"/>
      <c r="E92" s="9649"/>
      <c r="F92" s="9649"/>
      <c r="G92" s="9649"/>
      <c r="H92" s="9649"/>
      <c r="I92" s="9667"/>
      <c r="J92" s="10086" t="str">
        <f t="shared" si="21"/>
        <v/>
      </c>
      <c r="K92" s="10087"/>
      <c r="L92" s="10087"/>
      <c r="M92" s="10086" t="str">
        <f t="shared" si="22"/>
        <v/>
      </c>
      <c r="N92" s="10087"/>
      <c r="O92" s="10087"/>
      <c r="P92" s="10088"/>
      <c r="Q92" s="7143" t="str">
        <f t="shared" si="23"/>
        <v/>
      </c>
      <c r="R92" s="10090"/>
      <c r="S92" s="10090"/>
      <c r="T92" s="10091"/>
      <c r="U92" s="7143" t="str">
        <f t="shared" si="24"/>
        <v/>
      </c>
      <c r="V92" s="10090"/>
      <c r="W92" s="10090"/>
      <c r="X92" s="10091"/>
      <c r="Y92" s="10089" t="str">
        <f t="shared" si="26"/>
        <v/>
      </c>
      <c r="Z92" s="6563"/>
      <c r="AA92" s="10089" t="str">
        <f t="shared" si="27"/>
        <v/>
      </c>
      <c r="AB92" s="6563"/>
      <c r="AC92" s="10138" t="str">
        <f t="shared" si="28"/>
        <v/>
      </c>
      <c r="AD92" s="10139"/>
      <c r="AE92" s="10139"/>
      <c r="AF92" s="10139"/>
      <c r="AG92" s="911">
        <f t="shared" si="29"/>
        <v>0</v>
      </c>
      <c r="AH92" s="5727"/>
      <c r="AI92" s="5727" t="e">
        <f t="shared" si="30"/>
        <v>#VALUE!</v>
      </c>
      <c r="AJ92" s="853"/>
      <c r="AK92" s="857"/>
      <c r="AL92" s="857"/>
      <c r="AM92" s="855"/>
      <c r="AN92" s="855"/>
      <c r="AO92" s="856"/>
      <c r="AP92" s="855"/>
      <c r="AQ92" s="854"/>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61">
        <f t="shared" si="25"/>
        <v>0</v>
      </c>
      <c r="B93" s="10085" t="str">
        <f t="shared" si="20"/>
        <v/>
      </c>
      <c r="C93" s="9649"/>
      <c r="D93" s="9649"/>
      <c r="E93" s="9649"/>
      <c r="F93" s="9649"/>
      <c r="G93" s="9649"/>
      <c r="H93" s="9649"/>
      <c r="I93" s="9667"/>
      <c r="J93" s="10086" t="str">
        <f t="shared" si="21"/>
        <v/>
      </c>
      <c r="K93" s="10087"/>
      <c r="L93" s="10087"/>
      <c r="M93" s="10086" t="str">
        <f t="shared" si="22"/>
        <v/>
      </c>
      <c r="N93" s="10087"/>
      <c r="O93" s="10087"/>
      <c r="P93" s="10088"/>
      <c r="Q93" s="7143" t="str">
        <f t="shared" si="23"/>
        <v/>
      </c>
      <c r="R93" s="10090"/>
      <c r="S93" s="10090"/>
      <c r="T93" s="10091"/>
      <c r="U93" s="7143" t="str">
        <f t="shared" si="24"/>
        <v/>
      </c>
      <c r="V93" s="10090"/>
      <c r="W93" s="10090"/>
      <c r="X93" s="10091"/>
      <c r="Y93" s="10089" t="str">
        <f t="shared" si="26"/>
        <v/>
      </c>
      <c r="Z93" s="6563"/>
      <c r="AA93" s="10089" t="str">
        <f t="shared" si="27"/>
        <v/>
      </c>
      <c r="AB93" s="6563"/>
      <c r="AC93" s="10138" t="str">
        <f t="shared" si="28"/>
        <v/>
      </c>
      <c r="AD93" s="10139"/>
      <c r="AE93" s="10139"/>
      <c r="AF93" s="10139"/>
      <c r="AG93" s="911">
        <f t="shared" si="29"/>
        <v>0</v>
      </c>
      <c r="AH93" s="5727"/>
      <c r="AI93" s="5727" t="e">
        <f t="shared" si="30"/>
        <v>#VALUE!</v>
      </c>
      <c r="AJ93" s="853"/>
      <c r="AK93" s="857"/>
      <c r="AL93" s="857"/>
      <c r="AM93" s="855"/>
      <c r="AN93" s="855"/>
      <c r="AO93" s="856"/>
      <c r="AP93" s="855"/>
      <c r="AQ93" s="854"/>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61">
        <f t="shared" si="25"/>
        <v>0</v>
      </c>
      <c r="B94" s="10085" t="str">
        <f t="shared" si="20"/>
        <v/>
      </c>
      <c r="C94" s="9649"/>
      <c r="D94" s="9649"/>
      <c r="E94" s="9649"/>
      <c r="F94" s="9649"/>
      <c r="G94" s="9649"/>
      <c r="H94" s="9649"/>
      <c r="I94" s="9667"/>
      <c r="J94" s="10086" t="str">
        <f t="shared" si="21"/>
        <v/>
      </c>
      <c r="K94" s="10087"/>
      <c r="L94" s="10087"/>
      <c r="M94" s="10086" t="str">
        <f t="shared" si="22"/>
        <v/>
      </c>
      <c r="N94" s="10087"/>
      <c r="O94" s="10087"/>
      <c r="P94" s="10088"/>
      <c r="Q94" s="7143" t="str">
        <f t="shared" si="23"/>
        <v/>
      </c>
      <c r="R94" s="10090"/>
      <c r="S94" s="10090"/>
      <c r="T94" s="10091"/>
      <c r="U94" s="7143" t="str">
        <f t="shared" si="24"/>
        <v/>
      </c>
      <c r="V94" s="10090"/>
      <c r="W94" s="10090"/>
      <c r="X94" s="10091"/>
      <c r="Y94" s="10089" t="str">
        <f t="shared" si="26"/>
        <v/>
      </c>
      <c r="Z94" s="6563"/>
      <c r="AA94" s="10089" t="str">
        <f t="shared" si="27"/>
        <v/>
      </c>
      <c r="AB94" s="6563"/>
      <c r="AC94" s="10138" t="str">
        <f t="shared" si="28"/>
        <v/>
      </c>
      <c r="AD94" s="10139"/>
      <c r="AE94" s="10139"/>
      <c r="AF94" s="10139"/>
      <c r="AG94" s="911">
        <f t="shared" si="29"/>
        <v>0</v>
      </c>
      <c r="AH94" s="5727"/>
      <c r="AI94" s="5727" t="e">
        <f t="shared" si="30"/>
        <v>#VALUE!</v>
      </c>
      <c r="AJ94" s="853"/>
      <c r="AK94" s="857"/>
      <c r="AL94" s="857"/>
      <c r="AM94" s="855"/>
      <c r="AN94" s="855"/>
      <c r="AO94" s="856"/>
      <c r="AP94" s="855"/>
      <c r="AQ94" s="854"/>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61">
        <f t="shared" si="25"/>
        <v>0</v>
      </c>
      <c r="B95" s="10085" t="str">
        <f t="shared" si="20"/>
        <v/>
      </c>
      <c r="C95" s="9649"/>
      <c r="D95" s="9649"/>
      <c r="E95" s="9649"/>
      <c r="F95" s="9649"/>
      <c r="G95" s="9649"/>
      <c r="H95" s="9649"/>
      <c r="I95" s="9667"/>
      <c r="J95" s="10086" t="str">
        <f t="shared" si="21"/>
        <v/>
      </c>
      <c r="K95" s="10087"/>
      <c r="L95" s="10087"/>
      <c r="M95" s="10086" t="str">
        <f t="shared" si="22"/>
        <v/>
      </c>
      <c r="N95" s="10087"/>
      <c r="O95" s="10087"/>
      <c r="P95" s="10088"/>
      <c r="Q95" s="7143" t="str">
        <f t="shared" si="23"/>
        <v/>
      </c>
      <c r="R95" s="10090"/>
      <c r="S95" s="10090"/>
      <c r="T95" s="10091"/>
      <c r="U95" s="7143" t="str">
        <f t="shared" si="24"/>
        <v/>
      </c>
      <c r="V95" s="10090"/>
      <c r="W95" s="10090"/>
      <c r="X95" s="10091"/>
      <c r="Y95" s="10089" t="str">
        <f t="shared" si="26"/>
        <v/>
      </c>
      <c r="Z95" s="6563"/>
      <c r="AA95" s="10089" t="str">
        <f t="shared" si="27"/>
        <v/>
      </c>
      <c r="AB95" s="6563"/>
      <c r="AC95" s="10138" t="str">
        <f t="shared" si="28"/>
        <v/>
      </c>
      <c r="AD95" s="10139"/>
      <c r="AE95" s="10139"/>
      <c r="AF95" s="10139"/>
      <c r="AG95" s="911">
        <f t="shared" si="29"/>
        <v>0</v>
      </c>
      <c r="AH95" s="5727"/>
      <c r="AI95" s="5727" t="e">
        <f t="shared" si="30"/>
        <v>#VALUE!</v>
      </c>
      <c r="AJ95" s="853"/>
      <c r="AK95" s="857"/>
      <c r="AL95" s="857"/>
      <c r="AM95" s="855"/>
      <c r="AN95" s="855"/>
      <c r="AO95" s="856"/>
      <c r="AP95" s="855"/>
      <c r="AQ95" s="854"/>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61">
        <f t="shared" si="25"/>
        <v>0</v>
      </c>
      <c r="B96" s="10085" t="str">
        <f t="shared" si="20"/>
        <v/>
      </c>
      <c r="C96" s="9649"/>
      <c r="D96" s="9649"/>
      <c r="E96" s="9649"/>
      <c r="F96" s="9649"/>
      <c r="G96" s="9649"/>
      <c r="H96" s="9649"/>
      <c r="I96" s="9667"/>
      <c r="J96" s="10086" t="str">
        <f t="shared" si="21"/>
        <v/>
      </c>
      <c r="K96" s="10087"/>
      <c r="L96" s="10087"/>
      <c r="M96" s="10086" t="str">
        <f t="shared" si="22"/>
        <v/>
      </c>
      <c r="N96" s="10087"/>
      <c r="O96" s="10087"/>
      <c r="P96" s="10088"/>
      <c r="Q96" s="7143" t="str">
        <f t="shared" si="23"/>
        <v/>
      </c>
      <c r="R96" s="10090"/>
      <c r="S96" s="10090"/>
      <c r="T96" s="10091"/>
      <c r="U96" s="7143" t="str">
        <f t="shared" si="24"/>
        <v/>
      </c>
      <c r="V96" s="10090"/>
      <c r="W96" s="10090"/>
      <c r="X96" s="10091"/>
      <c r="Y96" s="10089" t="str">
        <f t="shared" si="26"/>
        <v/>
      </c>
      <c r="Z96" s="6563"/>
      <c r="AA96" s="10089" t="str">
        <f t="shared" si="27"/>
        <v/>
      </c>
      <c r="AB96" s="6563"/>
      <c r="AC96" s="10138" t="str">
        <f t="shared" si="28"/>
        <v/>
      </c>
      <c r="AD96" s="10139"/>
      <c r="AE96" s="10139"/>
      <c r="AF96" s="10139"/>
      <c r="AG96" s="911">
        <f t="shared" si="29"/>
        <v>0</v>
      </c>
      <c r="AH96" s="5727"/>
      <c r="AI96" s="5727" t="e">
        <f t="shared" si="30"/>
        <v>#VALUE!</v>
      </c>
      <c r="AJ96" s="853"/>
      <c r="AK96" s="857"/>
      <c r="AL96" s="857"/>
      <c r="AM96" s="855"/>
      <c r="AN96" s="855"/>
      <c r="AO96" s="856"/>
      <c r="AP96" s="855"/>
      <c r="AQ96" s="854"/>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61">
        <f t="shared" si="25"/>
        <v>0</v>
      </c>
      <c r="B97" s="10085" t="str">
        <f t="shared" si="20"/>
        <v/>
      </c>
      <c r="C97" s="9649"/>
      <c r="D97" s="9649"/>
      <c r="E97" s="9649"/>
      <c r="F97" s="9649"/>
      <c r="G97" s="9649"/>
      <c r="H97" s="9649"/>
      <c r="I97" s="9667"/>
      <c r="J97" s="10086" t="str">
        <f t="shared" si="21"/>
        <v/>
      </c>
      <c r="K97" s="10087"/>
      <c r="L97" s="10087"/>
      <c r="M97" s="10086" t="str">
        <f t="shared" si="22"/>
        <v/>
      </c>
      <c r="N97" s="10087"/>
      <c r="O97" s="10087"/>
      <c r="P97" s="10088"/>
      <c r="Q97" s="7143" t="str">
        <f t="shared" si="23"/>
        <v/>
      </c>
      <c r="R97" s="10090"/>
      <c r="S97" s="10090"/>
      <c r="T97" s="10091"/>
      <c r="U97" s="7143" t="str">
        <f t="shared" si="24"/>
        <v/>
      </c>
      <c r="V97" s="10090"/>
      <c r="W97" s="10090"/>
      <c r="X97" s="10091"/>
      <c r="Y97" s="10089" t="str">
        <f t="shared" si="26"/>
        <v/>
      </c>
      <c r="Z97" s="6563"/>
      <c r="AA97" s="10089" t="str">
        <f t="shared" si="27"/>
        <v/>
      </c>
      <c r="AB97" s="6563"/>
      <c r="AC97" s="10138" t="str">
        <f t="shared" si="28"/>
        <v/>
      </c>
      <c r="AD97" s="10139"/>
      <c r="AE97" s="10139"/>
      <c r="AF97" s="10139"/>
      <c r="AG97" s="911">
        <f t="shared" si="29"/>
        <v>0</v>
      </c>
      <c r="AH97" s="5727"/>
      <c r="AI97" s="5727" t="e">
        <f t="shared" si="30"/>
        <v>#VALUE!</v>
      </c>
      <c r="AJ97" s="853"/>
      <c r="AK97" s="857"/>
      <c r="AL97" s="857"/>
      <c r="AM97" s="855"/>
      <c r="AN97" s="855"/>
      <c r="AO97" s="856"/>
      <c r="AP97" s="855"/>
      <c r="AQ97" s="854"/>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61">
        <f t="shared" si="25"/>
        <v>0</v>
      </c>
      <c r="B98" s="10085" t="str">
        <f t="shared" si="20"/>
        <v/>
      </c>
      <c r="C98" s="9649"/>
      <c r="D98" s="9649"/>
      <c r="E98" s="9649"/>
      <c r="F98" s="9649"/>
      <c r="G98" s="9649"/>
      <c r="H98" s="9649"/>
      <c r="I98" s="9667"/>
      <c r="J98" s="10086" t="str">
        <f t="shared" si="21"/>
        <v/>
      </c>
      <c r="K98" s="10087"/>
      <c r="L98" s="10087"/>
      <c r="M98" s="10086" t="str">
        <f t="shared" si="22"/>
        <v/>
      </c>
      <c r="N98" s="10087"/>
      <c r="O98" s="10087"/>
      <c r="P98" s="10088"/>
      <c r="Q98" s="7143" t="str">
        <f t="shared" si="23"/>
        <v/>
      </c>
      <c r="R98" s="10090"/>
      <c r="S98" s="10090"/>
      <c r="T98" s="10091"/>
      <c r="U98" s="7143" t="str">
        <f t="shared" si="24"/>
        <v/>
      </c>
      <c r="V98" s="10090"/>
      <c r="W98" s="10090"/>
      <c r="X98" s="10091"/>
      <c r="Y98" s="10089" t="str">
        <f t="shared" si="26"/>
        <v/>
      </c>
      <c r="Z98" s="6563"/>
      <c r="AA98" s="10089" t="str">
        <f t="shared" si="27"/>
        <v/>
      </c>
      <c r="AB98" s="6563"/>
      <c r="AC98" s="10138" t="str">
        <f t="shared" si="28"/>
        <v/>
      </c>
      <c r="AD98" s="10139"/>
      <c r="AE98" s="10139"/>
      <c r="AF98" s="10139"/>
      <c r="AG98" s="911">
        <f t="shared" si="29"/>
        <v>0</v>
      </c>
      <c r="AH98" s="5727"/>
      <c r="AI98" s="5727" t="e">
        <f t="shared" si="30"/>
        <v>#VALUE!</v>
      </c>
      <c r="AJ98" s="853"/>
      <c r="AK98" s="857"/>
      <c r="AL98" s="857"/>
      <c r="AM98" s="855"/>
      <c r="AN98" s="855"/>
      <c r="AO98" s="856"/>
      <c r="AP98" s="855"/>
      <c r="AQ98" s="854"/>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61">
        <f t="shared" si="25"/>
        <v>0</v>
      </c>
      <c r="B99" s="10085" t="str">
        <f t="shared" si="20"/>
        <v/>
      </c>
      <c r="C99" s="9649"/>
      <c r="D99" s="9649"/>
      <c r="E99" s="9649"/>
      <c r="F99" s="9649"/>
      <c r="G99" s="9649"/>
      <c r="H99" s="9649"/>
      <c r="I99" s="9667"/>
      <c r="J99" s="10086" t="str">
        <f t="shared" si="21"/>
        <v/>
      </c>
      <c r="K99" s="10087"/>
      <c r="L99" s="10087"/>
      <c r="M99" s="10086" t="str">
        <f t="shared" si="22"/>
        <v/>
      </c>
      <c r="N99" s="10087"/>
      <c r="O99" s="10087"/>
      <c r="P99" s="10088"/>
      <c r="Q99" s="7143" t="str">
        <f t="shared" si="23"/>
        <v/>
      </c>
      <c r="R99" s="10090"/>
      <c r="S99" s="10090"/>
      <c r="T99" s="10091"/>
      <c r="U99" s="7143" t="str">
        <f t="shared" si="24"/>
        <v/>
      </c>
      <c r="V99" s="10090"/>
      <c r="W99" s="10090"/>
      <c r="X99" s="10091"/>
      <c r="Y99" s="10089" t="str">
        <f t="shared" si="26"/>
        <v/>
      </c>
      <c r="Z99" s="6563"/>
      <c r="AA99" s="10089" t="str">
        <f t="shared" si="27"/>
        <v/>
      </c>
      <c r="AB99" s="6563"/>
      <c r="AC99" s="10138" t="str">
        <f t="shared" si="28"/>
        <v/>
      </c>
      <c r="AD99" s="10139"/>
      <c r="AE99" s="10139"/>
      <c r="AF99" s="10139"/>
      <c r="AG99" s="911">
        <f t="shared" si="29"/>
        <v>0</v>
      </c>
      <c r="AH99" s="5727"/>
      <c r="AI99" s="5727" t="e">
        <f t="shared" si="30"/>
        <v>#VALUE!</v>
      </c>
      <c r="AJ99" s="853"/>
      <c r="AK99" s="857"/>
      <c r="AL99" s="857"/>
      <c r="AM99" s="855"/>
      <c r="AN99" s="855"/>
      <c r="AO99" s="856"/>
      <c r="AP99" s="855"/>
      <c r="AQ99" s="854"/>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61">
        <f t="shared" si="25"/>
        <v>0</v>
      </c>
      <c r="B100" s="10085" t="str">
        <f t="shared" si="20"/>
        <v/>
      </c>
      <c r="C100" s="9649"/>
      <c r="D100" s="9649"/>
      <c r="E100" s="9649"/>
      <c r="F100" s="9649"/>
      <c r="G100" s="9649"/>
      <c r="H100" s="9649"/>
      <c r="I100" s="9667"/>
      <c r="J100" s="10086" t="str">
        <f t="shared" si="21"/>
        <v/>
      </c>
      <c r="K100" s="10087"/>
      <c r="L100" s="10087"/>
      <c r="M100" s="10086" t="str">
        <f t="shared" si="22"/>
        <v/>
      </c>
      <c r="N100" s="10087"/>
      <c r="O100" s="10087"/>
      <c r="P100" s="10088"/>
      <c r="Q100" s="7143" t="str">
        <f t="shared" si="23"/>
        <v/>
      </c>
      <c r="R100" s="10090"/>
      <c r="S100" s="10090"/>
      <c r="T100" s="10091"/>
      <c r="U100" s="7143" t="str">
        <f t="shared" si="24"/>
        <v/>
      </c>
      <c r="V100" s="10090"/>
      <c r="W100" s="10090"/>
      <c r="X100" s="10091"/>
      <c r="Y100" s="10089" t="str">
        <f t="shared" si="26"/>
        <v/>
      </c>
      <c r="Z100" s="6563"/>
      <c r="AA100" s="10089" t="str">
        <f t="shared" si="27"/>
        <v/>
      </c>
      <c r="AB100" s="6563"/>
      <c r="AC100" s="10138" t="str">
        <f t="shared" si="28"/>
        <v/>
      </c>
      <c r="AD100" s="10139"/>
      <c r="AE100" s="10139"/>
      <c r="AF100" s="10139"/>
      <c r="AG100" s="911">
        <f t="shared" si="29"/>
        <v>0</v>
      </c>
      <c r="AH100" s="5727"/>
      <c r="AI100" s="5727" t="e">
        <f t="shared" si="30"/>
        <v>#VALUE!</v>
      </c>
      <c r="AJ100" s="853"/>
      <c r="AK100" s="857"/>
      <c r="AL100" s="857"/>
      <c r="AM100" s="855"/>
      <c r="AN100" s="855"/>
      <c r="AO100" s="856"/>
      <c r="AP100" s="855"/>
      <c r="AQ100" s="854"/>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61">
        <f t="shared" si="25"/>
        <v>0</v>
      </c>
      <c r="B101" s="10085" t="str">
        <f t="shared" si="20"/>
        <v/>
      </c>
      <c r="C101" s="9649"/>
      <c r="D101" s="9649"/>
      <c r="E101" s="9649"/>
      <c r="F101" s="9649"/>
      <c r="G101" s="9649"/>
      <c r="H101" s="9649"/>
      <c r="I101" s="9667"/>
      <c r="J101" s="10086" t="str">
        <f t="shared" si="21"/>
        <v/>
      </c>
      <c r="K101" s="10087"/>
      <c r="L101" s="10087"/>
      <c r="M101" s="10086" t="str">
        <f t="shared" si="22"/>
        <v/>
      </c>
      <c r="N101" s="10087"/>
      <c r="O101" s="10087"/>
      <c r="P101" s="10088"/>
      <c r="Q101" s="7143" t="str">
        <f t="shared" si="23"/>
        <v/>
      </c>
      <c r="R101" s="10090"/>
      <c r="S101" s="10090"/>
      <c r="T101" s="10091"/>
      <c r="U101" s="7143" t="str">
        <f t="shared" si="24"/>
        <v/>
      </c>
      <c r="V101" s="10090"/>
      <c r="W101" s="10090"/>
      <c r="X101" s="10091"/>
      <c r="Y101" s="10089" t="str">
        <f t="shared" si="26"/>
        <v/>
      </c>
      <c r="Z101" s="6563"/>
      <c r="AA101" s="10089" t="str">
        <f t="shared" si="27"/>
        <v/>
      </c>
      <c r="AB101" s="6563"/>
      <c r="AC101" s="10138" t="str">
        <f t="shared" si="28"/>
        <v/>
      </c>
      <c r="AD101" s="10139"/>
      <c r="AE101" s="10139"/>
      <c r="AF101" s="10139"/>
      <c r="AG101" s="911">
        <f t="shared" si="29"/>
        <v>0</v>
      </c>
      <c r="AH101" s="5727"/>
      <c r="AI101" s="5727" t="e">
        <f t="shared" si="30"/>
        <v>#VALUE!</v>
      </c>
      <c r="AJ101" s="853"/>
      <c r="AK101" s="857"/>
      <c r="AL101" s="857"/>
      <c r="AM101" s="855"/>
      <c r="AN101" s="855"/>
      <c r="AO101" s="856"/>
      <c r="AP101" s="855"/>
      <c r="AQ101" s="854"/>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61">
        <f t="shared" si="25"/>
        <v>0</v>
      </c>
      <c r="B102" s="10085" t="str">
        <f t="shared" si="20"/>
        <v/>
      </c>
      <c r="C102" s="9649"/>
      <c r="D102" s="9649"/>
      <c r="E102" s="9649"/>
      <c r="F102" s="9649"/>
      <c r="G102" s="9649"/>
      <c r="H102" s="9649"/>
      <c r="I102" s="9667"/>
      <c r="J102" s="10086" t="str">
        <f t="shared" si="21"/>
        <v/>
      </c>
      <c r="K102" s="10087"/>
      <c r="L102" s="10087"/>
      <c r="M102" s="10086" t="str">
        <f t="shared" si="22"/>
        <v/>
      </c>
      <c r="N102" s="10087"/>
      <c r="O102" s="10087"/>
      <c r="P102" s="10088"/>
      <c r="Q102" s="7143" t="str">
        <f t="shared" si="23"/>
        <v/>
      </c>
      <c r="R102" s="10090"/>
      <c r="S102" s="10090"/>
      <c r="T102" s="10091"/>
      <c r="U102" s="7143" t="str">
        <f t="shared" si="24"/>
        <v/>
      </c>
      <c r="V102" s="10090"/>
      <c r="W102" s="10090"/>
      <c r="X102" s="10091"/>
      <c r="Y102" s="10089" t="str">
        <f t="shared" si="26"/>
        <v/>
      </c>
      <c r="Z102" s="6563"/>
      <c r="AA102" s="10089" t="str">
        <f t="shared" si="27"/>
        <v/>
      </c>
      <c r="AB102" s="6563"/>
      <c r="AC102" s="10138" t="str">
        <f t="shared" si="28"/>
        <v/>
      </c>
      <c r="AD102" s="10139"/>
      <c r="AE102" s="10139"/>
      <c r="AF102" s="10139"/>
      <c r="AG102" s="911">
        <f t="shared" si="29"/>
        <v>0</v>
      </c>
      <c r="AH102" s="5727"/>
      <c r="AI102" s="5727" t="e">
        <f t="shared" si="30"/>
        <v>#VALUE!</v>
      </c>
      <c r="AJ102" s="853"/>
      <c r="AK102" s="857"/>
      <c r="AL102" s="857"/>
      <c r="AM102" s="855"/>
      <c r="AN102" s="855"/>
      <c r="AO102" s="856"/>
      <c r="AP102" s="855"/>
      <c r="AQ102" s="854"/>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61">
        <f t="shared" si="25"/>
        <v>0</v>
      </c>
      <c r="B103" s="10085" t="str">
        <f t="shared" si="20"/>
        <v/>
      </c>
      <c r="C103" s="9649"/>
      <c r="D103" s="9649"/>
      <c r="E103" s="9649"/>
      <c r="F103" s="9649"/>
      <c r="G103" s="9649"/>
      <c r="H103" s="9649"/>
      <c r="I103" s="9667"/>
      <c r="J103" s="10086" t="str">
        <f t="shared" si="21"/>
        <v/>
      </c>
      <c r="K103" s="10087"/>
      <c r="L103" s="10087"/>
      <c r="M103" s="10086" t="str">
        <f t="shared" si="22"/>
        <v/>
      </c>
      <c r="N103" s="10087"/>
      <c r="O103" s="10087"/>
      <c r="P103" s="10088"/>
      <c r="Q103" s="7143" t="str">
        <f t="shared" si="23"/>
        <v/>
      </c>
      <c r="R103" s="10090"/>
      <c r="S103" s="10090"/>
      <c r="T103" s="10091"/>
      <c r="U103" s="7143" t="str">
        <f t="shared" si="24"/>
        <v/>
      </c>
      <c r="V103" s="10090"/>
      <c r="W103" s="10090"/>
      <c r="X103" s="10091"/>
      <c r="Y103" s="10089" t="str">
        <f t="shared" si="26"/>
        <v/>
      </c>
      <c r="Z103" s="6563"/>
      <c r="AA103" s="10089" t="str">
        <f t="shared" si="27"/>
        <v/>
      </c>
      <c r="AB103" s="6563"/>
      <c r="AC103" s="10138" t="str">
        <f t="shared" si="28"/>
        <v/>
      </c>
      <c r="AD103" s="10139"/>
      <c r="AE103" s="10139"/>
      <c r="AF103" s="10139"/>
      <c r="AG103" s="911">
        <f t="shared" si="29"/>
        <v>0</v>
      </c>
      <c r="AH103" s="5727"/>
      <c r="AI103" s="5727" t="e">
        <f t="shared" si="30"/>
        <v>#VALUE!</v>
      </c>
      <c r="AJ103" s="853"/>
      <c r="AK103" s="857"/>
      <c r="AL103" s="857"/>
      <c r="AM103" s="855"/>
      <c r="AN103" s="855"/>
      <c r="AO103" s="856"/>
      <c r="AP103" s="855"/>
      <c r="AQ103" s="854"/>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61">
        <f t="shared" si="25"/>
        <v>0</v>
      </c>
      <c r="B104" s="10085" t="str">
        <f t="shared" si="20"/>
        <v/>
      </c>
      <c r="C104" s="9649"/>
      <c r="D104" s="9649"/>
      <c r="E104" s="9649"/>
      <c r="F104" s="9649"/>
      <c r="G104" s="9649"/>
      <c r="H104" s="9649"/>
      <c r="I104" s="9667"/>
      <c r="J104" s="10086" t="str">
        <f t="shared" si="21"/>
        <v/>
      </c>
      <c r="K104" s="10087"/>
      <c r="L104" s="10087"/>
      <c r="M104" s="10086" t="str">
        <f t="shared" si="22"/>
        <v/>
      </c>
      <c r="N104" s="10087"/>
      <c r="O104" s="10087"/>
      <c r="P104" s="10088"/>
      <c r="Q104" s="7143" t="str">
        <f t="shared" si="23"/>
        <v/>
      </c>
      <c r="R104" s="10090"/>
      <c r="S104" s="10090"/>
      <c r="T104" s="10091"/>
      <c r="U104" s="7143" t="str">
        <f t="shared" si="24"/>
        <v/>
      </c>
      <c r="V104" s="10090"/>
      <c r="W104" s="10090"/>
      <c r="X104" s="10091"/>
      <c r="Y104" s="10089" t="str">
        <f t="shared" si="26"/>
        <v/>
      </c>
      <c r="Z104" s="6563"/>
      <c r="AA104" s="10089" t="str">
        <f t="shared" si="27"/>
        <v/>
      </c>
      <c r="AB104" s="6563"/>
      <c r="AC104" s="10138" t="str">
        <f t="shared" si="28"/>
        <v/>
      </c>
      <c r="AD104" s="10139"/>
      <c r="AE104" s="10139"/>
      <c r="AF104" s="10139"/>
      <c r="AG104" s="911">
        <f t="shared" si="29"/>
        <v>0</v>
      </c>
      <c r="AH104" s="5727"/>
      <c r="AI104" s="5727" t="e">
        <f t="shared" si="30"/>
        <v>#VALUE!</v>
      </c>
      <c r="AJ104" s="853"/>
      <c r="AK104" s="857"/>
      <c r="AL104" s="857"/>
      <c r="AM104" s="855"/>
      <c r="AN104" s="855"/>
      <c r="AO104" s="856"/>
      <c r="AP104" s="855"/>
      <c r="AQ104" s="854"/>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61">
        <f t="shared" si="25"/>
        <v>0</v>
      </c>
      <c r="B105" s="10085" t="str">
        <f t="shared" si="20"/>
        <v/>
      </c>
      <c r="C105" s="9649"/>
      <c r="D105" s="9649"/>
      <c r="E105" s="9649"/>
      <c r="F105" s="9649"/>
      <c r="G105" s="9649"/>
      <c r="H105" s="9649"/>
      <c r="I105" s="9667"/>
      <c r="J105" s="10086" t="str">
        <f t="shared" si="21"/>
        <v/>
      </c>
      <c r="K105" s="10087"/>
      <c r="L105" s="10087"/>
      <c r="M105" s="10086" t="str">
        <f t="shared" si="22"/>
        <v/>
      </c>
      <c r="N105" s="10087"/>
      <c r="O105" s="10087"/>
      <c r="P105" s="10088"/>
      <c r="Q105" s="7143" t="str">
        <f t="shared" si="23"/>
        <v/>
      </c>
      <c r="R105" s="10090"/>
      <c r="S105" s="10090"/>
      <c r="T105" s="10091"/>
      <c r="U105" s="7143" t="str">
        <f t="shared" si="24"/>
        <v/>
      </c>
      <c r="V105" s="10090"/>
      <c r="W105" s="10090"/>
      <c r="X105" s="10091"/>
      <c r="Y105" s="10089" t="str">
        <f t="shared" si="26"/>
        <v/>
      </c>
      <c r="Z105" s="6563"/>
      <c r="AA105" s="10089" t="str">
        <f t="shared" si="27"/>
        <v/>
      </c>
      <c r="AB105" s="6563"/>
      <c r="AC105" s="10138" t="str">
        <f t="shared" si="28"/>
        <v/>
      </c>
      <c r="AD105" s="10139"/>
      <c r="AE105" s="10139"/>
      <c r="AF105" s="10139"/>
      <c r="AG105" s="911">
        <f t="shared" si="29"/>
        <v>0</v>
      </c>
      <c r="AH105" s="5727"/>
      <c r="AI105" s="5727" t="e">
        <f t="shared" si="30"/>
        <v>#VALUE!</v>
      </c>
      <c r="AJ105" s="853"/>
      <c r="AK105" s="857"/>
      <c r="AL105" s="857"/>
      <c r="AM105" s="855"/>
      <c r="AN105" s="855"/>
      <c r="AO105" s="856"/>
      <c r="AP105" s="855"/>
      <c r="AQ105" s="854"/>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61">
        <f t="shared" si="25"/>
        <v>0</v>
      </c>
      <c r="B106" s="10085" t="str">
        <f t="shared" si="20"/>
        <v/>
      </c>
      <c r="C106" s="9649"/>
      <c r="D106" s="9649"/>
      <c r="E106" s="9649"/>
      <c r="F106" s="9649"/>
      <c r="G106" s="9649"/>
      <c r="H106" s="9649"/>
      <c r="I106" s="9667"/>
      <c r="J106" s="10086" t="str">
        <f t="shared" si="21"/>
        <v/>
      </c>
      <c r="K106" s="10087"/>
      <c r="L106" s="10087"/>
      <c r="M106" s="10086" t="str">
        <f t="shared" si="22"/>
        <v/>
      </c>
      <c r="N106" s="10087"/>
      <c r="O106" s="10087"/>
      <c r="P106" s="10088"/>
      <c r="Q106" s="7143" t="str">
        <f t="shared" si="23"/>
        <v/>
      </c>
      <c r="R106" s="10090"/>
      <c r="S106" s="10090"/>
      <c r="T106" s="10091"/>
      <c r="U106" s="7143" t="str">
        <f t="shared" si="24"/>
        <v/>
      </c>
      <c r="V106" s="10090"/>
      <c r="W106" s="10090"/>
      <c r="X106" s="10091"/>
      <c r="Y106" s="10089" t="str">
        <f t="shared" si="26"/>
        <v/>
      </c>
      <c r="Z106" s="6563"/>
      <c r="AA106" s="10089" t="str">
        <f t="shared" si="27"/>
        <v/>
      </c>
      <c r="AB106" s="6563"/>
      <c r="AC106" s="10138" t="str">
        <f t="shared" si="28"/>
        <v/>
      </c>
      <c r="AD106" s="10139"/>
      <c r="AE106" s="10139"/>
      <c r="AF106" s="10139"/>
      <c r="AG106" s="911">
        <f t="shared" si="29"/>
        <v>0</v>
      </c>
      <c r="AH106" s="5727"/>
      <c r="AI106" s="5727" t="e">
        <f t="shared" si="30"/>
        <v>#VALUE!</v>
      </c>
      <c r="AJ106" s="853"/>
      <c r="AK106" s="857"/>
      <c r="AL106" s="857"/>
      <c r="AM106" s="855"/>
      <c r="AN106" s="855"/>
      <c r="AO106" s="856"/>
      <c r="AP106" s="855"/>
      <c r="AQ106" s="854"/>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61">
        <f t="shared" si="25"/>
        <v>0</v>
      </c>
      <c r="B107" s="10085" t="str">
        <f t="shared" si="20"/>
        <v/>
      </c>
      <c r="C107" s="9649"/>
      <c r="D107" s="9649"/>
      <c r="E107" s="9649"/>
      <c r="F107" s="9649"/>
      <c r="G107" s="9649"/>
      <c r="H107" s="9649"/>
      <c r="I107" s="9667"/>
      <c r="J107" s="10086" t="str">
        <f t="shared" si="21"/>
        <v/>
      </c>
      <c r="K107" s="10087"/>
      <c r="L107" s="10087"/>
      <c r="M107" s="10086" t="str">
        <f t="shared" si="22"/>
        <v/>
      </c>
      <c r="N107" s="10087"/>
      <c r="O107" s="10087"/>
      <c r="P107" s="10088"/>
      <c r="Q107" s="7143" t="str">
        <f t="shared" si="23"/>
        <v/>
      </c>
      <c r="R107" s="10090"/>
      <c r="S107" s="10090"/>
      <c r="T107" s="10091"/>
      <c r="U107" s="7143" t="str">
        <f t="shared" si="24"/>
        <v/>
      </c>
      <c r="V107" s="10090"/>
      <c r="W107" s="10090"/>
      <c r="X107" s="10091"/>
      <c r="Y107" s="10089" t="str">
        <f t="shared" si="26"/>
        <v/>
      </c>
      <c r="Z107" s="6563"/>
      <c r="AA107" s="10089" t="str">
        <f t="shared" si="27"/>
        <v/>
      </c>
      <c r="AB107" s="6563"/>
      <c r="AC107" s="10138" t="str">
        <f t="shared" si="28"/>
        <v/>
      </c>
      <c r="AD107" s="10139"/>
      <c r="AE107" s="10139"/>
      <c r="AF107" s="10139"/>
      <c r="AG107" s="911">
        <f t="shared" si="29"/>
        <v>0</v>
      </c>
      <c r="AH107" s="5727"/>
      <c r="AI107" s="5727" t="e">
        <f t="shared" si="30"/>
        <v>#VALUE!</v>
      </c>
      <c r="AJ107" s="853"/>
      <c r="AK107" s="857"/>
      <c r="AL107" s="857"/>
      <c r="AM107" s="855"/>
      <c r="AN107" s="855"/>
      <c r="AO107" s="856"/>
      <c r="AP107" s="855"/>
      <c r="AQ107" s="854"/>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61">
        <f t="shared" si="25"/>
        <v>0</v>
      </c>
      <c r="B108" s="10085" t="str">
        <f t="shared" si="20"/>
        <v/>
      </c>
      <c r="C108" s="9649"/>
      <c r="D108" s="9649"/>
      <c r="E108" s="9649"/>
      <c r="F108" s="9649"/>
      <c r="G108" s="9649"/>
      <c r="H108" s="9649"/>
      <c r="I108" s="9667"/>
      <c r="J108" s="10086" t="str">
        <f t="shared" si="21"/>
        <v/>
      </c>
      <c r="K108" s="10087"/>
      <c r="L108" s="10087"/>
      <c r="M108" s="10086" t="str">
        <f t="shared" si="22"/>
        <v/>
      </c>
      <c r="N108" s="10087"/>
      <c r="O108" s="10087"/>
      <c r="P108" s="10088"/>
      <c r="Q108" s="7143" t="str">
        <f t="shared" si="23"/>
        <v/>
      </c>
      <c r="R108" s="10090"/>
      <c r="S108" s="10090"/>
      <c r="T108" s="10091"/>
      <c r="U108" s="7143" t="str">
        <f t="shared" si="24"/>
        <v/>
      </c>
      <c r="V108" s="10090"/>
      <c r="W108" s="10090"/>
      <c r="X108" s="10091"/>
      <c r="Y108" s="10089" t="str">
        <f t="shared" si="26"/>
        <v/>
      </c>
      <c r="Z108" s="6563"/>
      <c r="AA108" s="10089" t="str">
        <f t="shared" si="27"/>
        <v/>
      </c>
      <c r="AB108" s="6563"/>
      <c r="AC108" s="10138" t="str">
        <f t="shared" si="28"/>
        <v/>
      </c>
      <c r="AD108" s="10139"/>
      <c r="AE108" s="10139"/>
      <c r="AF108" s="10139"/>
      <c r="AG108" s="911">
        <f t="shared" si="29"/>
        <v>0</v>
      </c>
      <c r="AH108" s="5727"/>
      <c r="AI108" s="5727" t="e">
        <f t="shared" si="30"/>
        <v>#VALUE!</v>
      </c>
      <c r="AJ108" s="853"/>
      <c r="AK108" s="857"/>
      <c r="AL108" s="857"/>
      <c r="AM108" s="855"/>
      <c r="AN108" s="855"/>
      <c r="AO108" s="856"/>
      <c r="AP108" s="855"/>
      <c r="AQ108" s="854"/>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61">
        <f t="shared" si="25"/>
        <v>0</v>
      </c>
      <c r="B109" s="10085" t="str">
        <f t="shared" si="20"/>
        <v/>
      </c>
      <c r="C109" s="9649"/>
      <c r="D109" s="9649"/>
      <c r="E109" s="9649"/>
      <c r="F109" s="9649"/>
      <c r="G109" s="9649"/>
      <c r="H109" s="9649"/>
      <c r="I109" s="9667"/>
      <c r="J109" s="10086" t="str">
        <f t="shared" si="21"/>
        <v/>
      </c>
      <c r="K109" s="10087"/>
      <c r="L109" s="10087"/>
      <c r="M109" s="10086" t="str">
        <f t="shared" si="22"/>
        <v/>
      </c>
      <c r="N109" s="10087"/>
      <c r="O109" s="10087"/>
      <c r="P109" s="10088"/>
      <c r="Q109" s="7143" t="str">
        <f t="shared" si="23"/>
        <v/>
      </c>
      <c r="R109" s="10090"/>
      <c r="S109" s="10090"/>
      <c r="T109" s="10091"/>
      <c r="U109" s="7143" t="str">
        <f t="shared" si="24"/>
        <v/>
      </c>
      <c r="V109" s="10090"/>
      <c r="W109" s="10090"/>
      <c r="X109" s="10091"/>
      <c r="Y109" s="10089" t="str">
        <f t="shared" si="26"/>
        <v/>
      </c>
      <c r="Z109" s="6563"/>
      <c r="AA109" s="10089" t="str">
        <f t="shared" si="27"/>
        <v/>
      </c>
      <c r="AB109" s="6563"/>
      <c r="AC109" s="10138" t="str">
        <f t="shared" si="28"/>
        <v/>
      </c>
      <c r="AD109" s="10139"/>
      <c r="AE109" s="10139"/>
      <c r="AF109" s="10139"/>
      <c r="AG109" s="911">
        <f t="shared" si="29"/>
        <v>0</v>
      </c>
      <c r="AH109" s="5727"/>
      <c r="AI109" s="5727" t="e">
        <f t="shared" si="30"/>
        <v>#VALUE!</v>
      </c>
      <c r="AJ109" s="853"/>
      <c r="AK109" s="857"/>
      <c r="AL109" s="857"/>
      <c r="AM109" s="855"/>
      <c r="AN109" s="855"/>
      <c r="AO109" s="856"/>
      <c r="AP109" s="855"/>
      <c r="AQ109" s="854"/>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61">
        <f t="shared" si="25"/>
        <v>0</v>
      </c>
      <c r="B110" s="10085" t="str">
        <f t="shared" si="20"/>
        <v/>
      </c>
      <c r="C110" s="9649"/>
      <c r="D110" s="9649"/>
      <c r="E110" s="9649"/>
      <c r="F110" s="9649"/>
      <c r="G110" s="9649"/>
      <c r="H110" s="9649"/>
      <c r="I110" s="9667"/>
      <c r="J110" s="10086" t="str">
        <f t="shared" si="21"/>
        <v/>
      </c>
      <c r="K110" s="10087"/>
      <c r="L110" s="10087"/>
      <c r="M110" s="10086" t="str">
        <f t="shared" si="22"/>
        <v/>
      </c>
      <c r="N110" s="10087"/>
      <c r="O110" s="10087"/>
      <c r="P110" s="10088"/>
      <c r="Q110" s="7143" t="str">
        <f t="shared" si="23"/>
        <v/>
      </c>
      <c r="R110" s="10090"/>
      <c r="S110" s="10090"/>
      <c r="T110" s="10091"/>
      <c r="U110" s="7143" t="str">
        <f t="shared" si="24"/>
        <v/>
      </c>
      <c r="V110" s="10090"/>
      <c r="W110" s="10090"/>
      <c r="X110" s="10091"/>
      <c r="Y110" s="10089" t="str">
        <f t="shared" si="26"/>
        <v/>
      </c>
      <c r="Z110" s="6563"/>
      <c r="AA110" s="10089" t="str">
        <f t="shared" si="27"/>
        <v/>
      </c>
      <c r="AB110" s="6563"/>
      <c r="AC110" s="10138" t="str">
        <f t="shared" si="28"/>
        <v/>
      </c>
      <c r="AD110" s="10139"/>
      <c r="AE110" s="10139"/>
      <c r="AF110" s="10139"/>
      <c r="AG110" s="911">
        <f t="shared" si="29"/>
        <v>0</v>
      </c>
      <c r="AH110" s="5727"/>
      <c r="AI110" s="5727" t="e">
        <f t="shared" si="30"/>
        <v>#VALUE!</v>
      </c>
      <c r="AJ110" s="853"/>
      <c r="AK110" s="857"/>
      <c r="AL110" s="857"/>
      <c r="AM110" s="855"/>
      <c r="AN110" s="855"/>
      <c r="AO110" s="856"/>
      <c r="AP110" s="855"/>
      <c r="AQ110" s="854"/>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61">
        <f t="shared" si="25"/>
        <v>0</v>
      </c>
      <c r="B111" s="10085" t="str">
        <f t="shared" si="20"/>
        <v/>
      </c>
      <c r="C111" s="9649"/>
      <c r="D111" s="9649"/>
      <c r="E111" s="9649"/>
      <c r="F111" s="9649"/>
      <c r="G111" s="9649"/>
      <c r="H111" s="9649"/>
      <c r="I111" s="9667"/>
      <c r="J111" s="10086" t="str">
        <f t="shared" si="21"/>
        <v/>
      </c>
      <c r="K111" s="10087"/>
      <c r="L111" s="10087"/>
      <c r="M111" s="10086" t="str">
        <f t="shared" si="22"/>
        <v/>
      </c>
      <c r="N111" s="10087"/>
      <c r="O111" s="10087"/>
      <c r="P111" s="10088"/>
      <c r="Q111" s="7143" t="str">
        <f t="shared" si="23"/>
        <v/>
      </c>
      <c r="R111" s="10090"/>
      <c r="S111" s="10090"/>
      <c r="T111" s="10091"/>
      <c r="U111" s="7143" t="str">
        <f t="shared" si="24"/>
        <v/>
      </c>
      <c r="V111" s="10090"/>
      <c r="W111" s="10090"/>
      <c r="X111" s="10091"/>
      <c r="Y111" s="10089" t="str">
        <f t="shared" si="26"/>
        <v/>
      </c>
      <c r="Z111" s="6563"/>
      <c r="AA111" s="10089" t="str">
        <f t="shared" si="27"/>
        <v/>
      </c>
      <c r="AB111" s="6563"/>
      <c r="AC111" s="10138" t="str">
        <f t="shared" si="28"/>
        <v/>
      </c>
      <c r="AD111" s="10139"/>
      <c r="AE111" s="10139"/>
      <c r="AF111" s="10139"/>
      <c r="AG111" s="911">
        <f t="shared" si="29"/>
        <v>0</v>
      </c>
      <c r="AH111" s="5727"/>
      <c r="AI111" s="5727" t="e">
        <f t="shared" si="30"/>
        <v>#VALUE!</v>
      </c>
      <c r="AJ111" s="853"/>
      <c r="AK111" s="857"/>
      <c r="AL111" s="857"/>
      <c r="AM111" s="855"/>
      <c r="AN111" s="855"/>
      <c r="AO111" s="856"/>
      <c r="AP111" s="855"/>
      <c r="AQ111" s="854"/>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61">
        <f t="shared" si="25"/>
        <v>0</v>
      </c>
      <c r="B112" s="10085" t="str">
        <f t="shared" si="20"/>
        <v/>
      </c>
      <c r="C112" s="9649"/>
      <c r="D112" s="9649"/>
      <c r="E112" s="9649"/>
      <c r="F112" s="9649"/>
      <c r="G112" s="9649"/>
      <c r="H112" s="9649"/>
      <c r="I112" s="9667"/>
      <c r="J112" s="10086" t="str">
        <f t="shared" si="21"/>
        <v/>
      </c>
      <c r="K112" s="10087"/>
      <c r="L112" s="10087"/>
      <c r="M112" s="10086" t="str">
        <f t="shared" si="22"/>
        <v/>
      </c>
      <c r="N112" s="10087"/>
      <c r="O112" s="10087"/>
      <c r="P112" s="10088"/>
      <c r="Q112" s="7143" t="str">
        <f t="shared" si="23"/>
        <v/>
      </c>
      <c r="R112" s="10090"/>
      <c r="S112" s="10090"/>
      <c r="T112" s="10091"/>
      <c r="U112" s="7143" t="str">
        <f t="shared" si="24"/>
        <v/>
      </c>
      <c r="V112" s="10090"/>
      <c r="W112" s="10090"/>
      <c r="X112" s="10091"/>
      <c r="Y112" s="10089" t="str">
        <f t="shared" si="26"/>
        <v/>
      </c>
      <c r="Z112" s="6563"/>
      <c r="AA112" s="10089" t="str">
        <f t="shared" si="27"/>
        <v/>
      </c>
      <c r="AB112" s="6563"/>
      <c r="AC112" s="10138" t="str">
        <f t="shared" si="28"/>
        <v/>
      </c>
      <c r="AD112" s="10139"/>
      <c r="AE112" s="10139"/>
      <c r="AF112" s="10139"/>
      <c r="AG112" s="911">
        <f t="shared" si="29"/>
        <v>0</v>
      </c>
      <c r="AH112" s="5727"/>
      <c r="AI112" s="5727" t="e">
        <f t="shared" si="30"/>
        <v>#VALUE!</v>
      </c>
      <c r="AJ112" s="853"/>
      <c r="AK112" s="857"/>
      <c r="AL112" s="857"/>
      <c r="AM112" s="855"/>
      <c r="AN112" s="855"/>
      <c r="AO112" s="856"/>
      <c r="AP112" s="855"/>
      <c r="AQ112" s="854"/>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61">
        <f t="shared" si="25"/>
        <v>0</v>
      </c>
      <c r="B113" s="10085" t="str">
        <f t="shared" si="20"/>
        <v/>
      </c>
      <c r="C113" s="9649"/>
      <c r="D113" s="9649"/>
      <c r="E113" s="9649"/>
      <c r="F113" s="9649"/>
      <c r="G113" s="9649"/>
      <c r="H113" s="9649"/>
      <c r="I113" s="9667"/>
      <c r="J113" s="10086" t="str">
        <f t="shared" si="21"/>
        <v/>
      </c>
      <c r="K113" s="10087"/>
      <c r="L113" s="10087"/>
      <c r="M113" s="10086" t="str">
        <f t="shared" si="22"/>
        <v/>
      </c>
      <c r="N113" s="10087"/>
      <c r="O113" s="10087"/>
      <c r="P113" s="10088"/>
      <c r="Q113" s="7143" t="str">
        <f t="shared" si="23"/>
        <v/>
      </c>
      <c r="R113" s="10090"/>
      <c r="S113" s="10090"/>
      <c r="T113" s="10091"/>
      <c r="U113" s="7143" t="str">
        <f t="shared" si="24"/>
        <v/>
      </c>
      <c r="V113" s="10090"/>
      <c r="W113" s="10090"/>
      <c r="X113" s="10091"/>
      <c r="Y113" s="10089" t="str">
        <f t="shared" si="26"/>
        <v/>
      </c>
      <c r="Z113" s="6563"/>
      <c r="AA113" s="10089" t="str">
        <f t="shared" si="27"/>
        <v/>
      </c>
      <c r="AB113" s="6563"/>
      <c r="AC113" s="10138" t="str">
        <f t="shared" si="28"/>
        <v/>
      </c>
      <c r="AD113" s="10139"/>
      <c r="AE113" s="10139"/>
      <c r="AF113" s="10139"/>
      <c r="AG113" s="911">
        <f t="shared" si="29"/>
        <v>0</v>
      </c>
      <c r="AH113" s="5727"/>
      <c r="AI113" s="5727" t="e">
        <f t="shared" si="30"/>
        <v>#VALUE!</v>
      </c>
      <c r="AJ113" s="853"/>
      <c r="AK113" s="857"/>
      <c r="AL113" s="857"/>
      <c r="AM113" s="855"/>
      <c r="AN113" s="855"/>
      <c r="AO113" s="856"/>
      <c r="AP113" s="855"/>
      <c r="AQ113" s="854"/>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61">
        <f t="shared" si="25"/>
        <v>0</v>
      </c>
      <c r="B114" s="10085" t="str">
        <f t="shared" si="20"/>
        <v/>
      </c>
      <c r="C114" s="9649"/>
      <c r="D114" s="9649"/>
      <c r="E114" s="9649"/>
      <c r="F114" s="9649"/>
      <c r="G114" s="9649"/>
      <c r="H114" s="9649"/>
      <c r="I114" s="9667"/>
      <c r="J114" s="10086" t="str">
        <f t="shared" si="21"/>
        <v/>
      </c>
      <c r="K114" s="10087"/>
      <c r="L114" s="10087"/>
      <c r="M114" s="10086" t="str">
        <f t="shared" si="22"/>
        <v/>
      </c>
      <c r="N114" s="10087"/>
      <c r="O114" s="10087"/>
      <c r="P114" s="10088"/>
      <c r="Q114" s="7143" t="str">
        <f t="shared" si="23"/>
        <v/>
      </c>
      <c r="R114" s="10090"/>
      <c r="S114" s="10090"/>
      <c r="T114" s="10091"/>
      <c r="U114" s="7143" t="str">
        <f t="shared" si="24"/>
        <v/>
      </c>
      <c r="V114" s="10090"/>
      <c r="W114" s="10090"/>
      <c r="X114" s="10091"/>
      <c r="Y114" s="10089" t="str">
        <f t="shared" si="26"/>
        <v/>
      </c>
      <c r="Z114" s="6563"/>
      <c r="AA114" s="10089" t="str">
        <f t="shared" si="27"/>
        <v/>
      </c>
      <c r="AB114" s="6563"/>
      <c r="AC114" s="10138" t="str">
        <f t="shared" si="28"/>
        <v/>
      </c>
      <c r="AD114" s="10139"/>
      <c r="AE114" s="10139"/>
      <c r="AF114" s="10139"/>
      <c r="AG114" s="911">
        <f t="shared" si="29"/>
        <v>0</v>
      </c>
      <c r="AH114" s="5727"/>
      <c r="AI114" s="5727" t="e">
        <f t="shared" si="30"/>
        <v>#VALUE!</v>
      </c>
      <c r="AJ114" s="853"/>
      <c r="AK114" s="857"/>
      <c r="AL114" s="857"/>
      <c r="AM114" s="855"/>
      <c r="AN114" s="855"/>
      <c r="AO114" s="856"/>
      <c r="AP114" s="855"/>
      <c r="AQ114" s="854"/>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61">
        <f t="shared" si="25"/>
        <v>0</v>
      </c>
      <c r="B115" s="10085" t="str">
        <f t="shared" si="20"/>
        <v/>
      </c>
      <c r="C115" s="9649"/>
      <c r="D115" s="9649"/>
      <c r="E115" s="9649"/>
      <c r="F115" s="9649"/>
      <c r="G115" s="9649"/>
      <c r="H115" s="9649"/>
      <c r="I115" s="9667"/>
      <c r="J115" s="10086" t="str">
        <f t="shared" si="21"/>
        <v/>
      </c>
      <c r="K115" s="10087"/>
      <c r="L115" s="10087"/>
      <c r="M115" s="10086" t="str">
        <f t="shared" si="22"/>
        <v/>
      </c>
      <c r="N115" s="10087"/>
      <c r="O115" s="10087"/>
      <c r="P115" s="10088"/>
      <c r="Q115" s="7143" t="str">
        <f t="shared" si="23"/>
        <v/>
      </c>
      <c r="R115" s="10090"/>
      <c r="S115" s="10090"/>
      <c r="T115" s="10091"/>
      <c r="U115" s="7143" t="str">
        <f t="shared" si="24"/>
        <v/>
      </c>
      <c r="V115" s="10090"/>
      <c r="W115" s="10090"/>
      <c r="X115" s="10091"/>
      <c r="Y115" s="10089" t="str">
        <f t="shared" si="26"/>
        <v/>
      </c>
      <c r="Z115" s="6563"/>
      <c r="AA115" s="10089" t="str">
        <f t="shared" si="27"/>
        <v/>
      </c>
      <c r="AB115" s="6563"/>
      <c r="AC115" s="10138" t="str">
        <f t="shared" si="28"/>
        <v/>
      </c>
      <c r="AD115" s="10139"/>
      <c r="AE115" s="10139"/>
      <c r="AF115" s="10139"/>
      <c r="AG115" s="911">
        <f t="shared" si="29"/>
        <v>0</v>
      </c>
      <c r="AH115" s="5727"/>
      <c r="AI115" s="5727" t="e">
        <f t="shared" si="30"/>
        <v>#VALUE!</v>
      </c>
      <c r="AJ115" s="853"/>
      <c r="AK115" s="857"/>
      <c r="AL115" s="857"/>
      <c r="AM115" s="855"/>
      <c r="AN115" s="855"/>
      <c r="AO115" s="856"/>
      <c r="AP115" s="855"/>
      <c r="AQ115" s="854"/>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61">
        <f>SUM(A88:A115)</f>
        <v>0</v>
      </c>
      <c r="B116" s="10168">
        <v>2</v>
      </c>
      <c r="C116" s="10110" t="s">
        <v>5037</v>
      </c>
      <c r="D116" s="10111"/>
      <c r="E116" s="10111"/>
      <c r="F116" s="10111"/>
      <c r="G116" s="10111"/>
      <c r="H116" s="10111"/>
      <c r="I116" s="10111"/>
      <c r="J116" s="10111"/>
      <c r="K116" s="10111"/>
      <c r="L116" s="10111"/>
      <c r="M116" s="10111"/>
      <c r="N116" s="10111"/>
      <c r="O116" s="10111"/>
      <c r="P116" s="10111"/>
      <c r="Q116" s="10113" t="str">
        <f>IF(A116=0,"",ROUND(SUM(Q88:Q115),0))</f>
        <v/>
      </c>
      <c r="R116" s="10114"/>
      <c r="S116" s="10114"/>
      <c r="T116" s="10115"/>
      <c r="U116" s="10113" t="str">
        <f>IF(A116=0,"",ROUND(SUM(U88:U115),0))</f>
        <v/>
      </c>
      <c r="V116" s="10124"/>
      <c r="W116" s="10124"/>
      <c r="X116" s="10133"/>
      <c r="Y116" s="10127"/>
      <c r="Z116" s="10128"/>
      <c r="AA116" s="10113" t="str">
        <f>IF(A116=0,"",ROUND(SUM(AA88:AA115),0))</f>
        <v/>
      </c>
      <c r="AB116" s="10115"/>
      <c r="AC116" s="10113" t="str">
        <f>IF(A116=0,"",ROUND(SUM(AC88:AC115),0))</f>
        <v/>
      </c>
      <c r="AD116" s="10124"/>
      <c r="AE116" s="10124"/>
      <c r="AF116" s="10124"/>
      <c r="AG116" s="697"/>
    </row>
    <row r="117" spans="1:55" ht="11.25" customHeight="1">
      <c r="A117" s="461"/>
      <c r="B117" s="10169"/>
      <c r="C117" s="10112"/>
      <c r="D117" s="10112"/>
      <c r="E117" s="10112"/>
      <c r="F117" s="10112"/>
      <c r="G117" s="10112"/>
      <c r="H117" s="10112"/>
      <c r="I117" s="10112"/>
      <c r="J117" s="10112"/>
      <c r="K117" s="10112"/>
      <c r="L117" s="10112"/>
      <c r="M117" s="10112"/>
      <c r="N117" s="10112"/>
      <c r="O117" s="10112"/>
      <c r="P117" s="10112"/>
      <c r="Q117" s="10116"/>
      <c r="R117" s="10117"/>
      <c r="S117" s="10117"/>
      <c r="T117" s="10118"/>
      <c r="U117" s="10125"/>
      <c r="V117" s="10126"/>
      <c r="W117" s="10126"/>
      <c r="X117" s="10134"/>
      <c r="Y117" s="10129"/>
      <c r="Z117" s="10130"/>
      <c r="AA117" s="10116"/>
      <c r="AB117" s="10118"/>
      <c r="AC117" s="10125"/>
      <c r="AD117" s="10126"/>
      <c r="AE117" s="10126"/>
      <c r="AF117" s="10126"/>
      <c r="AG117" s="697"/>
    </row>
    <row r="118" spans="1:55" ht="11.25" customHeight="1">
      <c r="A118" s="461"/>
      <c r="B118" s="10169"/>
      <c r="C118" s="10112"/>
      <c r="D118" s="10112"/>
      <c r="E118" s="10112"/>
      <c r="F118" s="10112"/>
      <c r="G118" s="10112"/>
      <c r="H118" s="10112"/>
      <c r="I118" s="10112"/>
      <c r="J118" s="10112"/>
      <c r="K118" s="10112"/>
      <c r="L118" s="10112"/>
      <c r="M118" s="10112"/>
      <c r="N118" s="10112"/>
      <c r="O118" s="10112"/>
      <c r="P118" s="10112"/>
      <c r="Q118" s="10116"/>
      <c r="R118" s="10117"/>
      <c r="S118" s="10117"/>
      <c r="T118" s="10118"/>
      <c r="U118" s="10125"/>
      <c r="V118" s="10126"/>
      <c r="W118" s="10126"/>
      <c r="X118" s="10134"/>
      <c r="Y118" s="10129"/>
      <c r="Z118" s="10130"/>
      <c r="AA118" s="10116"/>
      <c r="AB118" s="10118"/>
      <c r="AC118" s="10125"/>
      <c r="AD118" s="10126"/>
      <c r="AE118" s="10126"/>
      <c r="AF118" s="10126"/>
      <c r="AG118" s="697"/>
    </row>
    <row r="119" spans="1:55" ht="11.25" customHeight="1">
      <c r="A119" s="461"/>
      <c r="B119" s="10169"/>
      <c r="C119" s="10112"/>
      <c r="D119" s="10112"/>
      <c r="E119" s="10112"/>
      <c r="F119" s="10112"/>
      <c r="G119" s="10112"/>
      <c r="H119" s="10112"/>
      <c r="I119" s="10112"/>
      <c r="J119" s="10112"/>
      <c r="K119" s="10112"/>
      <c r="L119" s="10112"/>
      <c r="M119" s="10112"/>
      <c r="N119" s="10112"/>
      <c r="O119" s="10112"/>
      <c r="P119" s="10112"/>
      <c r="Q119" s="10116"/>
      <c r="R119" s="10117"/>
      <c r="S119" s="10117"/>
      <c r="T119" s="10118"/>
      <c r="U119" s="10125"/>
      <c r="V119" s="10126"/>
      <c r="W119" s="10126"/>
      <c r="X119" s="10134"/>
      <c r="Y119" s="10129"/>
      <c r="Z119" s="10130"/>
      <c r="AA119" s="10116"/>
      <c r="AB119" s="10118"/>
      <c r="AC119" s="10125"/>
      <c r="AD119" s="10126"/>
      <c r="AE119" s="10126"/>
      <c r="AF119" s="10126"/>
      <c r="AG119" s="697"/>
    </row>
    <row r="120" spans="1:55" ht="6" customHeight="1" thickBot="1">
      <c r="A120" s="461"/>
      <c r="B120" s="10169"/>
      <c r="C120" s="10112"/>
      <c r="D120" s="10112"/>
      <c r="E120" s="10112"/>
      <c r="F120" s="10112"/>
      <c r="G120" s="10112"/>
      <c r="H120" s="10112"/>
      <c r="I120" s="10112"/>
      <c r="J120" s="10112"/>
      <c r="K120" s="10112"/>
      <c r="L120" s="10112"/>
      <c r="M120" s="10112"/>
      <c r="N120" s="10112"/>
      <c r="O120" s="10112"/>
      <c r="P120" s="10112"/>
      <c r="Q120" s="10116"/>
      <c r="R120" s="10117"/>
      <c r="S120" s="10117"/>
      <c r="T120" s="10118"/>
      <c r="U120" s="10170"/>
      <c r="V120" s="10171"/>
      <c r="W120" s="10171"/>
      <c r="X120" s="10172"/>
      <c r="Y120" s="10131"/>
      <c r="Z120" s="10132"/>
      <c r="AA120" s="10119"/>
      <c r="AB120" s="10121"/>
      <c r="AC120" s="10125"/>
      <c r="AD120" s="10126"/>
      <c r="AE120" s="10126"/>
      <c r="AF120" s="10126"/>
      <c r="AG120" s="697"/>
    </row>
    <row r="121" spans="1:55" ht="25.5" customHeight="1" thickBot="1">
      <c r="A121" s="461"/>
      <c r="B121" s="10165" t="s">
        <v>5038</v>
      </c>
      <c r="C121" s="10166"/>
      <c r="D121" s="10166"/>
      <c r="E121" s="10166"/>
      <c r="F121" s="10166"/>
      <c r="G121" s="10166"/>
      <c r="H121" s="10166"/>
      <c r="I121" s="10166"/>
      <c r="J121" s="10166"/>
      <c r="K121" s="10166"/>
      <c r="L121" s="10166"/>
      <c r="M121" s="10166"/>
      <c r="N121" s="10166"/>
      <c r="O121" s="10166"/>
      <c r="P121" s="10166"/>
      <c r="Q121" s="10166"/>
      <c r="R121" s="10166"/>
      <c r="S121" s="10166"/>
      <c r="T121" s="10166"/>
      <c r="U121" s="10167"/>
      <c r="V121" s="10167"/>
      <c r="W121" s="10167"/>
      <c r="X121" s="10167"/>
      <c r="Y121" s="10166"/>
      <c r="Z121" s="10166"/>
      <c r="AA121" s="10166"/>
      <c r="AB121" s="10166"/>
      <c r="AC121" s="10166"/>
      <c r="AD121" s="10166"/>
      <c r="AE121" s="10166"/>
      <c r="AF121" s="10166"/>
      <c r="AG121" s="697"/>
    </row>
    <row r="122" spans="1:55" ht="14.25" customHeight="1" thickTop="1">
      <c r="A122" s="461"/>
      <c r="B122" s="3858"/>
      <c r="C122" s="22"/>
      <c r="D122" s="22"/>
      <c r="E122" s="22"/>
      <c r="F122" s="22"/>
      <c r="G122" s="22"/>
      <c r="H122" s="22"/>
      <c r="I122" s="22"/>
      <c r="J122" s="22"/>
      <c r="K122" s="22"/>
      <c r="L122" s="22"/>
      <c r="M122" s="22"/>
      <c r="N122" s="22"/>
      <c r="O122" s="22"/>
      <c r="P122" s="22"/>
      <c r="Q122" s="22"/>
      <c r="R122" s="22"/>
      <c r="S122" s="22"/>
      <c r="T122" s="22"/>
      <c r="U122" s="337"/>
      <c r="V122" s="22"/>
      <c r="W122" s="22"/>
      <c r="X122" s="22"/>
      <c r="Y122" s="22"/>
      <c r="Z122" s="22"/>
      <c r="AA122" s="22"/>
      <c r="AB122" s="22"/>
      <c r="AC122" s="22"/>
      <c r="AD122" s="705" t="s">
        <v>5018</v>
      </c>
      <c r="AE122" s="22"/>
      <c r="AF122" s="2822" t="str">
        <f>"("&amp;TaxYear&amp;")"</f>
        <v>(2023)</v>
      </c>
      <c r="AG122" s="697"/>
    </row>
    <row r="123" spans="1:55">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697"/>
    </row>
  </sheetData>
  <sheetProtection algorithmName="SHA-512" hashValue="tmmnUKHTMmZuabqLgK+JxnlvGeILQdamWmJtPT9zWdJMOcsfSgv0SwDbkTnwSgyV3LGqScc7ciwZbCTioyxPBg==" saltValue="39trn43/qqQ86X/COuUw8w==" spinCount="100000" sheet="1" objects="1" scenarios="1"/>
  <mergeCells count="47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B2:K2"/>
    <mergeCell ref="B4:F6"/>
    <mergeCell ref="H4:AA6"/>
    <mergeCell ref="AB4:AF4"/>
    <mergeCell ref="AB5:AF7"/>
    <mergeCell ref="H7:AA7"/>
    <mergeCell ref="B16:C16"/>
    <mergeCell ref="Y35:Z35"/>
    <mergeCell ref="B12:AF14"/>
    <mergeCell ref="H8:AA9"/>
    <mergeCell ref="AB8:AD9"/>
    <mergeCell ref="AE8:AF9"/>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s>
  <conditionalFormatting sqref="B2">
    <cfRule type="expression" dxfId="261" priority="71" stopIfTrue="1">
      <formula>IF(OR($AG$16,$AG$69),1,0)</formula>
    </cfRule>
  </conditionalFormatting>
  <conditionalFormatting sqref="B21">
    <cfRule type="expression" dxfId="260" priority="11">
      <formula>AND(NOT(NoColor),A29=0)</formula>
    </cfRule>
  </conditionalFormatting>
  <conditionalFormatting sqref="B74">
    <cfRule type="expression" dxfId="259" priority="6">
      <formula>AND(NOT(NoColor),A82=0)</formula>
    </cfRule>
  </conditionalFormatting>
  <conditionalFormatting sqref="B11:AF11">
    <cfRule type="expression" dxfId="258" priority="53">
      <formula>IF(NoColor,1,0)</formula>
    </cfRule>
  </conditionalFormatting>
  <conditionalFormatting sqref="B35:AF54">
    <cfRule type="expression" dxfId="257" priority="17">
      <formula>IF(NoColor,1,0)</formula>
    </cfRule>
  </conditionalFormatting>
  <conditionalFormatting sqref="B64:AF64">
    <cfRule type="expression" dxfId="256" priority="35">
      <formula>IF(NoColor,1,0)</formula>
    </cfRule>
  </conditionalFormatting>
  <conditionalFormatting sqref="B88:AF115">
    <cfRule type="expression" dxfId="255" priority="1">
      <formula>IF(NoColor,1,0)</formula>
    </cfRule>
  </conditionalFormatting>
  <conditionalFormatting sqref="C25">
    <cfRule type="expression" dxfId="254" priority="19">
      <formula>IF(NoColor,1,0)</formula>
    </cfRule>
  </conditionalFormatting>
  <conditionalFormatting sqref="C27">
    <cfRule type="expression" dxfId="253" priority="51">
      <formula>IF(NoColor,1,0)</formula>
    </cfRule>
  </conditionalFormatting>
  <conditionalFormatting sqref="C29">
    <cfRule type="expression" dxfId="252" priority="18">
      <formula>IF(NoColor,1,0)</formula>
    </cfRule>
  </conditionalFormatting>
  <conditionalFormatting sqref="C78">
    <cfRule type="expression" dxfId="251" priority="34">
      <formula>IF(NoColor,1,0)</formula>
    </cfRule>
  </conditionalFormatting>
  <conditionalFormatting sqref="C80">
    <cfRule type="expression" dxfId="250" priority="15">
      <formula>IF(NoColor,1,0)</formula>
    </cfRule>
  </conditionalFormatting>
  <conditionalFormatting sqref="C82">
    <cfRule type="expression" dxfId="249" priority="14">
      <formula>IF(NoColor,1,0)</formula>
    </cfRule>
  </conditionalFormatting>
  <conditionalFormatting sqref="J35:J54">
    <cfRule type="expression" dxfId="248" priority="38" stopIfTrue="1">
      <formula>IF(AND($L$2="",AG35&lt;&gt;0),TRUE,FALSE)</formula>
    </cfRule>
  </conditionalFormatting>
  <conditionalFormatting sqref="J88:J115">
    <cfRule type="expression" dxfId="247" priority="30" stopIfTrue="1">
      <formula>IF(AND($L$2="",AG88&lt;&gt;0),TRUE,FALSE)</formula>
    </cfRule>
  </conditionalFormatting>
  <conditionalFormatting sqref="K74">
    <cfRule type="expression" dxfId="246" priority="7">
      <formula>IF($A$82&gt;1,1,0)</formula>
    </cfRule>
  </conditionalFormatting>
  <conditionalFormatting sqref="L2">
    <cfRule type="expression" dxfId="245" priority="70" stopIfTrue="1">
      <formula>IF(OR($AG$16,$AG$69),1,0)</formula>
    </cfRule>
  </conditionalFormatting>
  <conditionalFormatting sqref="L21">
    <cfRule type="expression" dxfId="244" priority="10">
      <formula>($A29&gt;1)</formula>
    </cfRule>
  </conditionalFormatting>
  <conditionalFormatting sqref="M35:M54">
    <cfRule type="expression" dxfId="243" priority="37" stopIfTrue="1">
      <formula>IF(AND($L$2="",AG35&gt;0),TRUE,FALSE)</formula>
    </cfRule>
  </conditionalFormatting>
  <conditionalFormatting sqref="M88:M115">
    <cfRule type="expression" dxfId="242" priority="31" stopIfTrue="1">
      <formula>IF(AND($L$2="",AG88&gt;0),TRUE,FALSE)</formula>
    </cfRule>
  </conditionalFormatting>
  <conditionalFormatting sqref="P69">
    <cfRule type="expression" dxfId="241" priority="4" stopIfTrue="1">
      <formula>IF(AND($L$2="",$AG$69),TRUE,FALSE)</formula>
    </cfRule>
  </conditionalFormatting>
  <conditionalFormatting sqref="Q55:X59">
    <cfRule type="expression" dxfId="240" priority="23">
      <formula>IF(NoColor,1,0)</formula>
    </cfRule>
  </conditionalFormatting>
  <conditionalFormatting sqref="Q116:X120">
    <cfRule type="expression" dxfId="239" priority="21">
      <formula>IF(NoColor,1,0)</formula>
    </cfRule>
  </conditionalFormatting>
  <conditionalFormatting sqref="T16">
    <cfRule type="expression" dxfId="238" priority="5" stopIfTrue="1">
      <formula>IF(AND($L$2="",$AG$16),TRUE,FALSE)</formula>
    </cfRule>
  </conditionalFormatting>
  <conditionalFormatting sqref="T69">
    <cfRule type="expression" dxfId="237" priority="3" stopIfTrue="1">
      <formula>IF(AND($L$2="",$AG$69),TRUE,FALSE)</formula>
    </cfRule>
  </conditionalFormatting>
  <conditionalFormatting sqref="T70">
    <cfRule type="expression" dxfId="236" priority="2" stopIfTrue="1">
      <formula>IF(AND($L$2="",$AG$16),TRUE,FALSE)</formula>
    </cfRule>
  </conditionalFormatting>
  <conditionalFormatting sqref="AA55:AF59">
    <cfRule type="expression" dxfId="235" priority="22">
      <formula>IF(NoColor,1,0)</formula>
    </cfRule>
  </conditionalFormatting>
  <conditionalFormatting sqref="AA116:AF120">
    <cfRule type="expression" dxfId="234" priority="20">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3"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2" stopIfTrue="1" id="{A592C3FD-D5A1-4036-B0CA-3734C6869B7F}">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C123"/>
  <sheetViews>
    <sheetView zoomScaleNormal="100" zoomScaleSheetLayoutView="100" workbookViewId="0"/>
  </sheetViews>
  <sheetFormatPr defaultColWidth="3.7109375" defaultRowHeight="12.75"/>
  <cols>
    <col min="1" max="1" width="3.7109375" style="751" customWidth="1"/>
    <col min="2" max="2" width="4.140625" style="39" customWidth="1"/>
    <col min="3" max="3" width="2.28515625" style="39" customWidth="1"/>
    <col min="4" max="9" width="3.7109375" style="39" customWidth="1"/>
    <col min="10" max="10" width="4" style="39" customWidth="1"/>
    <col min="11" max="11" width="6.85546875" style="39" customWidth="1"/>
    <col min="12" max="12" width="4" style="39" customWidth="1"/>
    <col min="13" max="19" width="3.7109375" style="39" customWidth="1"/>
    <col min="20" max="23" width="3.85546875" style="39" customWidth="1"/>
    <col min="24" max="24" width="3.7109375" style="39" customWidth="1"/>
    <col min="25" max="26" width="5.42578125" style="39" customWidth="1"/>
    <col min="27" max="27" width="8.42578125" style="39" customWidth="1"/>
    <col min="28" max="28" width="6.42578125" style="39" customWidth="1"/>
    <col min="29" max="32" width="3.7109375" style="39" customWidth="1"/>
    <col min="33" max="33" width="6" style="745" customWidth="1"/>
    <col min="34" max="34" width="4.85546875" style="217" customWidth="1"/>
    <col min="35" max="35" width="8.5703125" style="217" bestFit="1" customWidth="1"/>
    <col min="36" max="36" width="29.28515625" style="39" customWidth="1"/>
    <col min="37" max="40" width="13.7109375" style="39" customWidth="1"/>
    <col min="41" max="41" width="10" style="39" customWidth="1"/>
    <col min="42" max="42" width="15.5703125" style="39" customWidth="1"/>
    <col min="43" max="43" width="15.42578125" style="39" customWidth="1"/>
    <col min="44" max="44" width="3.7109375" style="39"/>
    <col min="45" max="46" width="5" style="39" hidden="1" customWidth="1"/>
    <col min="47" max="47" width="0" style="39" hidden="1" customWidth="1"/>
    <col min="48" max="48" width="1.7109375" style="39" hidden="1" customWidth="1"/>
    <col min="49" max="49" width="5" style="39" hidden="1" customWidth="1"/>
    <col min="50" max="52" width="0" style="39" hidden="1" customWidth="1"/>
    <col min="53" max="55" width="7" style="39" hidden="1" customWidth="1"/>
    <col min="56" max="16384" width="3.7109375" style="39"/>
  </cols>
  <sheetData>
    <row r="1" spans="1:34">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row>
    <row r="2" spans="1:34">
      <c r="A2" s="66"/>
      <c r="B2" s="10173" t="s">
        <v>4971</v>
      </c>
      <c r="C2" s="10174"/>
      <c r="D2" s="10174"/>
      <c r="E2" s="10174"/>
      <c r="F2" s="10174"/>
      <c r="G2" s="10174"/>
      <c r="H2" s="10174"/>
      <c r="I2" s="10174"/>
      <c r="J2" s="10174"/>
      <c r="K2" s="10174"/>
      <c r="L2" s="793"/>
      <c r="M2" s="66"/>
      <c r="N2" s="66"/>
      <c r="O2" s="66"/>
      <c r="P2" s="66"/>
      <c r="Q2" s="66"/>
      <c r="R2" s="66"/>
      <c r="S2" s="66"/>
      <c r="T2" s="66"/>
      <c r="U2" s="66"/>
      <c r="V2" s="66"/>
      <c r="W2" s="66"/>
      <c r="X2" s="66"/>
      <c r="Y2" s="66"/>
      <c r="Z2" s="66"/>
      <c r="AA2" s="691"/>
      <c r="AB2" s="66"/>
      <c r="AC2" s="66"/>
      <c r="AD2" s="66"/>
      <c r="AE2" s="66"/>
      <c r="AF2" s="66"/>
      <c r="AG2" s="461"/>
    </row>
    <row r="3" spans="1:34">
      <c r="A3" s="461"/>
      <c r="B3" s="461"/>
      <c r="C3" s="461"/>
      <c r="D3" s="461"/>
      <c r="E3" s="461"/>
      <c r="F3" s="461"/>
      <c r="G3" s="461"/>
      <c r="H3" s="461"/>
      <c r="I3" s="461"/>
      <c r="J3" s="461"/>
      <c r="K3" s="461"/>
      <c r="L3" s="461"/>
      <c r="M3" s="461"/>
      <c r="N3" s="461"/>
      <c r="O3" s="461"/>
      <c r="P3" s="461"/>
      <c r="Q3" s="461"/>
      <c r="R3" s="461"/>
      <c r="S3" s="461"/>
      <c r="T3" s="461"/>
      <c r="U3" s="461"/>
      <c r="V3" s="461"/>
      <c r="W3" s="461"/>
      <c r="X3" s="461"/>
      <c r="Y3" s="461"/>
      <c r="Z3" s="461"/>
      <c r="AA3" s="461"/>
      <c r="AB3" s="461"/>
      <c r="AC3" s="461"/>
      <c r="AD3" s="461"/>
      <c r="AE3" s="461"/>
      <c r="AF3" s="461"/>
      <c r="AG3" s="461"/>
    </row>
    <row r="4" spans="1:34" ht="11.25" customHeight="1">
      <c r="A4" s="461"/>
      <c r="B4" s="10175" t="s">
        <v>4972</v>
      </c>
      <c r="C4" s="8769"/>
      <c r="D4" s="8769"/>
      <c r="E4" s="8769"/>
      <c r="F4" s="8769"/>
      <c r="G4" s="22"/>
      <c r="H4" s="10177" t="s">
        <v>4973</v>
      </c>
      <c r="I4" s="10178"/>
      <c r="J4" s="10178"/>
      <c r="K4" s="10178"/>
      <c r="L4" s="10178"/>
      <c r="M4" s="10178"/>
      <c r="N4" s="10178"/>
      <c r="O4" s="10178"/>
      <c r="P4" s="10178"/>
      <c r="Q4" s="10178"/>
      <c r="R4" s="10178"/>
      <c r="S4" s="10178"/>
      <c r="T4" s="10178"/>
      <c r="U4" s="10178"/>
      <c r="V4" s="10178"/>
      <c r="W4" s="10178"/>
      <c r="X4" s="10178"/>
      <c r="Y4" s="10178"/>
      <c r="Z4" s="10178"/>
      <c r="AA4" s="10179"/>
      <c r="AB4" s="7041" t="s">
        <v>576</v>
      </c>
      <c r="AC4" s="8773"/>
      <c r="AD4" s="8773"/>
      <c r="AE4" s="8773"/>
      <c r="AF4" s="8773"/>
      <c r="AG4" s="461"/>
      <c r="AH4" s="5726"/>
    </row>
    <row r="5" spans="1:34" ht="11.25" customHeight="1">
      <c r="A5" s="461"/>
      <c r="B5" s="8769"/>
      <c r="C5" s="8769"/>
      <c r="D5" s="8769"/>
      <c r="E5" s="8769"/>
      <c r="F5" s="8769"/>
      <c r="G5" s="22"/>
      <c r="H5" s="10180"/>
      <c r="I5" s="10178"/>
      <c r="J5" s="10178"/>
      <c r="K5" s="10178"/>
      <c r="L5" s="10178"/>
      <c r="M5" s="10178"/>
      <c r="N5" s="10178"/>
      <c r="O5" s="10178"/>
      <c r="P5" s="10178"/>
      <c r="Q5" s="10178"/>
      <c r="R5" s="10178"/>
      <c r="S5" s="10178"/>
      <c r="T5" s="10178"/>
      <c r="U5" s="10178"/>
      <c r="V5" s="10178"/>
      <c r="W5" s="10178"/>
      <c r="X5" s="10178"/>
      <c r="Y5" s="10178"/>
      <c r="Z5" s="10178"/>
      <c r="AA5" s="10179"/>
      <c r="AB5" s="10176">
        <f>TaxYear</f>
        <v>2023</v>
      </c>
      <c r="AC5" s="8769"/>
      <c r="AD5" s="8769"/>
      <c r="AE5" s="8769"/>
      <c r="AF5" s="8769"/>
      <c r="AG5" s="461"/>
      <c r="AH5" s="5726"/>
    </row>
    <row r="6" spans="1:34" ht="11.25" customHeight="1">
      <c r="A6" s="461"/>
      <c r="B6" s="8769"/>
      <c r="C6" s="8769"/>
      <c r="D6" s="8769"/>
      <c r="E6" s="8769"/>
      <c r="F6" s="8769"/>
      <c r="G6" s="22"/>
      <c r="H6" s="10181"/>
      <c r="I6" s="6466"/>
      <c r="J6" s="6466"/>
      <c r="K6" s="6466"/>
      <c r="L6" s="6466"/>
      <c r="M6" s="6466"/>
      <c r="N6" s="6466"/>
      <c r="O6" s="6466"/>
      <c r="P6" s="6466"/>
      <c r="Q6" s="6466"/>
      <c r="R6" s="6466"/>
      <c r="S6" s="6466"/>
      <c r="T6" s="6466"/>
      <c r="U6" s="6466"/>
      <c r="V6" s="6466"/>
      <c r="W6" s="6466"/>
      <c r="X6" s="6466"/>
      <c r="Y6" s="6466"/>
      <c r="Z6" s="6466"/>
      <c r="AA6" s="8614"/>
      <c r="AB6" s="8769"/>
      <c r="AC6" s="8769"/>
      <c r="AD6" s="8769"/>
      <c r="AE6" s="8769"/>
      <c r="AF6" s="8769"/>
      <c r="AG6" s="461"/>
      <c r="AH6" s="744"/>
    </row>
    <row r="7" spans="1:34" ht="11.25" customHeight="1">
      <c r="A7" s="461"/>
      <c r="B7" s="22"/>
      <c r="C7" s="22"/>
      <c r="D7" s="22"/>
      <c r="E7" s="22"/>
      <c r="F7" s="22"/>
      <c r="G7" s="22"/>
      <c r="H7" s="10182" t="s">
        <v>4974</v>
      </c>
      <c r="I7" s="10183"/>
      <c r="J7" s="10183"/>
      <c r="K7" s="10183"/>
      <c r="L7" s="10183"/>
      <c r="M7" s="10183"/>
      <c r="N7" s="10183"/>
      <c r="O7" s="10183"/>
      <c r="P7" s="10183"/>
      <c r="Q7" s="10183"/>
      <c r="R7" s="10183"/>
      <c r="S7" s="10183"/>
      <c r="T7" s="10183"/>
      <c r="U7" s="10183"/>
      <c r="V7" s="10183"/>
      <c r="W7" s="10183"/>
      <c r="X7" s="10183"/>
      <c r="Y7" s="10183"/>
      <c r="Z7" s="10183"/>
      <c r="AA7" s="10184"/>
      <c r="AB7" s="8769"/>
      <c r="AC7" s="8769"/>
      <c r="AD7" s="8769"/>
      <c r="AE7" s="8769"/>
      <c r="AF7" s="8769"/>
      <c r="AG7" s="461"/>
    </row>
    <row r="8" spans="1:34" ht="10.5" customHeight="1">
      <c r="A8" s="461"/>
      <c r="B8" s="29" t="s">
        <v>535</v>
      </c>
      <c r="C8" s="22"/>
      <c r="D8" s="22"/>
      <c r="E8" s="22"/>
      <c r="F8" s="22"/>
      <c r="G8" s="22"/>
      <c r="H8" s="10182" t="s">
        <v>5740</v>
      </c>
      <c r="I8" s="10183"/>
      <c r="J8" s="10183"/>
      <c r="K8" s="10183"/>
      <c r="L8" s="10183"/>
      <c r="M8" s="10183"/>
      <c r="N8" s="10183"/>
      <c r="O8" s="10183"/>
      <c r="P8" s="10183"/>
      <c r="Q8" s="10183"/>
      <c r="R8" s="10183"/>
      <c r="S8" s="10183"/>
      <c r="T8" s="10183"/>
      <c r="U8" s="10183"/>
      <c r="V8" s="10183"/>
      <c r="W8" s="10183"/>
      <c r="X8" s="10183"/>
      <c r="Y8" s="10183"/>
      <c r="Z8" s="10183"/>
      <c r="AA8" s="10184"/>
      <c r="AB8" s="10187" t="s">
        <v>2265</v>
      </c>
      <c r="AC8" s="10207"/>
      <c r="AD8" s="10207"/>
      <c r="AE8" s="8073" t="s">
        <v>4975</v>
      </c>
      <c r="AF8" s="8073"/>
      <c r="AG8" s="461"/>
    </row>
    <row r="9" spans="1:34" ht="10.5" customHeight="1" thickBot="1">
      <c r="A9" s="461"/>
      <c r="B9" s="28" t="s">
        <v>537</v>
      </c>
      <c r="C9" s="34"/>
      <c r="D9" s="34"/>
      <c r="E9" s="34"/>
      <c r="F9" s="34"/>
      <c r="G9" s="34"/>
      <c r="H9" s="10191"/>
      <c r="I9" s="10192"/>
      <c r="J9" s="10192"/>
      <c r="K9" s="10192"/>
      <c r="L9" s="10192"/>
      <c r="M9" s="10192"/>
      <c r="N9" s="10192"/>
      <c r="O9" s="10192"/>
      <c r="P9" s="10192"/>
      <c r="Q9" s="10192"/>
      <c r="R9" s="10192"/>
      <c r="S9" s="10192"/>
      <c r="T9" s="10192"/>
      <c r="U9" s="10192"/>
      <c r="V9" s="10192"/>
      <c r="W9" s="10192"/>
      <c r="X9" s="10192"/>
      <c r="Y9" s="10192"/>
      <c r="Z9" s="10192"/>
      <c r="AA9" s="10193"/>
      <c r="AB9" s="10208"/>
      <c r="AC9" s="10209"/>
      <c r="AD9" s="10209"/>
      <c r="AE9" s="8162"/>
      <c r="AF9" s="8162"/>
      <c r="AG9" s="461"/>
    </row>
    <row r="10" spans="1:34">
      <c r="A10" s="461"/>
      <c r="B10" s="29" t="s">
        <v>2208</v>
      </c>
      <c r="C10" s="22"/>
      <c r="D10" s="22"/>
      <c r="E10" s="22"/>
      <c r="F10" s="22"/>
      <c r="G10" s="22"/>
      <c r="H10" s="22"/>
      <c r="I10" s="22"/>
      <c r="J10" s="22"/>
      <c r="K10" s="22"/>
      <c r="L10" s="22"/>
      <c r="M10" s="22"/>
      <c r="N10" s="22"/>
      <c r="O10" s="22"/>
      <c r="P10" s="22"/>
      <c r="Q10" s="22"/>
      <c r="R10" s="22"/>
      <c r="S10" s="22"/>
      <c r="T10" s="22"/>
      <c r="U10" s="22"/>
      <c r="V10" s="852" t="s">
        <v>4976</v>
      </c>
      <c r="W10" s="22"/>
      <c r="X10" s="22"/>
      <c r="Y10" s="22"/>
      <c r="Z10" s="33"/>
      <c r="AA10" s="22"/>
      <c r="AB10" s="22"/>
      <c r="AC10" s="22"/>
      <c r="AD10" s="22"/>
      <c r="AE10" s="22"/>
      <c r="AF10" s="22"/>
      <c r="AG10" s="461"/>
    </row>
    <row r="11" spans="1:34" ht="16.5" thickBot="1">
      <c r="A11" s="461"/>
      <c r="B11" s="10160" t="str">
        <f>Names</f>
        <v/>
      </c>
      <c r="C11" s="10161"/>
      <c r="D11" s="10161"/>
      <c r="E11" s="10161"/>
      <c r="F11" s="10161"/>
      <c r="G11" s="10161"/>
      <c r="H11" s="10161"/>
      <c r="I11" s="10161"/>
      <c r="J11" s="10161"/>
      <c r="K11" s="10161"/>
      <c r="L11" s="10161"/>
      <c r="M11" s="10161"/>
      <c r="N11" s="10161"/>
      <c r="O11" s="10161"/>
      <c r="P11" s="10161"/>
      <c r="Q11" s="10161"/>
      <c r="R11" s="10161"/>
      <c r="S11" s="10161"/>
      <c r="T11" s="10161"/>
      <c r="U11" s="10162"/>
      <c r="V11" s="10163">
        <f>IF(NoSSN,"",SS_Yours)</f>
        <v>1010001</v>
      </c>
      <c r="W11" s="10164"/>
      <c r="X11" s="10164"/>
      <c r="Y11" s="10164"/>
      <c r="Z11" s="10164"/>
      <c r="AA11" s="10164"/>
      <c r="AB11" s="10164"/>
      <c r="AC11" s="10164"/>
      <c r="AD11" s="10164"/>
      <c r="AE11" s="10164"/>
      <c r="AF11" s="10164"/>
      <c r="AG11" s="461"/>
    </row>
    <row r="12" spans="1:34" ht="12.75" customHeight="1">
      <c r="A12" s="461"/>
      <c r="B12" s="10122" t="s">
        <v>5039</v>
      </c>
      <c r="C12" s="10123"/>
      <c r="D12" s="10123"/>
      <c r="E12" s="10123"/>
      <c r="F12" s="10123"/>
      <c r="G12" s="10123"/>
      <c r="H12" s="10123"/>
      <c r="I12" s="10123"/>
      <c r="J12" s="10123"/>
      <c r="K12" s="10123"/>
      <c r="L12" s="10123"/>
      <c r="M12" s="10123"/>
      <c r="N12" s="10123"/>
      <c r="O12" s="10123"/>
      <c r="P12" s="10123"/>
      <c r="Q12" s="10123"/>
      <c r="R12" s="10123"/>
      <c r="S12" s="10123"/>
      <c r="T12" s="10123"/>
      <c r="U12" s="10123"/>
      <c r="V12" s="10123"/>
      <c r="W12" s="10123"/>
      <c r="X12" s="10123"/>
      <c r="Y12" s="10123"/>
      <c r="Z12" s="10123"/>
      <c r="AA12" s="10123"/>
      <c r="AB12" s="10123"/>
      <c r="AC12" s="10123"/>
      <c r="AD12" s="10123"/>
      <c r="AE12" s="10123"/>
      <c r="AF12" s="10123"/>
      <c r="AG12" s="461"/>
    </row>
    <row r="13" spans="1:34" ht="12.75" customHeight="1">
      <c r="A13" s="461"/>
      <c r="B13" s="8117"/>
      <c r="C13" s="8117"/>
      <c r="D13" s="8117"/>
      <c r="E13" s="8117"/>
      <c r="F13" s="8117"/>
      <c r="G13" s="8117"/>
      <c r="H13" s="8117"/>
      <c r="I13" s="8117"/>
      <c r="J13" s="8117"/>
      <c r="K13" s="8117"/>
      <c r="L13" s="8117"/>
      <c r="M13" s="8117"/>
      <c r="N13" s="8117"/>
      <c r="O13" s="8117"/>
      <c r="P13" s="8117"/>
      <c r="Q13" s="8117"/>
      <c r="R13" s="8117"/>
      <c r="S13" s="8117"/>
      <c r="T13" s="8117"/>
      <c r="U13" s="8117"/>
      <c r="V13" s="8117"/>
      <c r="W13" s="8117"/>
      <c r="X13" s="8117"/>
      <c r="Y13" s="8117"/>
      <c r="Z13" s="8117"/>
      <c r="AA13" s="8117"/>
      <c r="AB13" s="8117"/>
      <c r="AC13" s="8117"/>
      <c r="AD13" s="8117"/>
      <c r="AE13" s="8117"/>
      <c r="AF13" s="8117"/>
      <c r="AG13" s="461"/>
    </row>
    <row r="14" spans="1:34" ht="12.75" customHeight="1">
      <c r="A14" s="461"/>
      <c r="B14" s="7956"/>
      <c r="C14" s="7956"/>
      <c r="D14" s="7956"/>
      <c r="E14" s="7956"/>
      <c r="F14" s="7956"/>
      <c r="G14" s="7956"/>
      <c r="H14" s="7956"/>
      <c r="I14" s="7956"/>
      <c r="J14" s="7956"/>
      <c r="K14" s="7956"/>
      <c r="L14" s="7956"/>
      <c r="M14" s="7956"/>
      <c r="N14" s="7956"/>
      <c r="O14" s="7956"/>
      <c r="P14" s="7956"/>
      <c r="Q14" s="7956"/>
      <c r="R14" s="7956"/>
      <c r="S14" s="7956"/>
      <c r="T14" s="7956"/>
      <c r="U14" s="7956"/>
      <c r="V14" s="7956"/>
      <c r="W14" s="7956"/>
      <c r="X14" s="7956"/>
      <c r="Y14" s="7956"/>
      <c r="Z14" s="7956"/>
      <c r="AA14" s="7956"/>
      <c r="AB14" s="7956"/>
      <c r="AC14" s="7956"/>
      <c r="AD14" s="7956"/>
      <c r="AE14" s="7956"/>
      <c r="AF14" s="7956"/>
      <c r="AG14" s="461"/>
    </row>
    <row r="15" spans="1:34" ht="3.75" customHeight="1">
      <c r="A15" s="46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61"/>
    </row>
    <row r="16" spans="1:34" ht="15">
      <c r="A16" s="461"/>
      <c r="B16" s="10158" t="s">
        <v>884</v>
      </c>
      <c r="C16" s="10159"/>
      <c r="D16" s="22"/>
      <c r="E16" s="235" t="s">
        <v>4978</v>
      </c>
      <c r="F16" s="22"/>
      <c r="G16" s="22"/>
      <c r="H16" s="22"/>
      <c r="I16" s="22"/>
      <c r="J16" s="22"/>
      <c r="K16" s="22"/>
      <c r="L16" s="22"/>
      <c r="M16" s="22"/>
      <c r="N16" s="22"/>
      <c r="O16" s="22"/>
      <c r="P16" s="22"/>
      <c r="Q16" s="22"/>
      <c r="R16" s="22"/>
      <c r="S16" s="22"/>
      <c r="T16" s="276" t="s">
        <v>4979</v>
      </c>
      <c r="U16" s="22"/>
      <c r="V16" s="22"/>
      <c r="W16" s="22"/>
      <c r="X16" s="276" t="s">
        <v>4980</v>
      </c>
      <c r="Y16" s="22"/>
      <c r="Z16" s="22"/>
      <c r="AA16" s="22"/>
      <c r="AB16" s="22"/>
      <c r="AC16" s="22"/>
      <c r="AD16" s="22"/>
      <c r="AE16" s="22"/>
      <c r="AF16" s="22"/>
      <c r="AG16" s="461" t="b">
        <f>IF(SUM(AG35:AG54)&gt;0,TRUE,FALSE)</f>
        <v>0</v>
      </c>
    </row>
    <row r="17" spans="1:55" ht="11.25" customHeight="1">
      <c r="A17" s="461"/>
      <c r="B17" s="22"/>
      <c r="C17" s="22"/>
      <c r="D17" s="22"/>
      <c r="E17" s="276" t="s">
        <v>4981</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61"/>
    </row>
    <row r="18" spans="1:55" s="182" customFormat="1" ht="13.5" customHeight="1">
      <c r="A18" s="2094"/>
      <c r="B18" s="276"/>
      <c r="C18" s="276"/>
      <c r="D18" s="276"/>
      <c r="E18" s="2095" t="s">
        <v>4982</v>
      </c>
      <c r="F18" s="276"/>
      <c r="G18" s="27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094"/>
      <c r="AH18" s="671"/>
      <c r="AI18" s="671"/>
    </row>
    <row r="19" spans="1:55" s="182" customFormat="1" ht="13.5" customHeight="1">
      <c r="A19" s="2094"/>
      <c r="B19" s="276"/>
      <c r="C19" s="276"/>
      <c r="D19" s="276"/>
      <c r="E19" s="276" t="s">
        <v>4983</v>
      </c>
      <c r="F19" s="276"/>
      <c r="G19" s="27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094"/>
      <c r="AH19" s="671"/>
      <c r="AI19" s="671"/>
    </row>
    <row r="20" spans="1:55" s="182" customFormat="1" ht="13.5" customHeight="1">
      <c r="A20" s="2094"/>
      <c r="B20" s="2096"/>
      <c r="C20" s="2096"/>
      <c r="D20" s="2096"/>
      <c r="E20" s="2096" t="s">
        <v>4984</v>
      </c>
      <c r="F20" s="2096"/>
      <c r="G20" s="2096"/>
      <c r="H20" s="2096"/>
      <c r="I20" s="2096"/>
      <c r="J20" s="2096"/>
      <c r="K20" s="2096"/>
      <c r="L20" s="2096"/>
      <c r="M20" s="2096"/>
      <c r="N20" s="2096"/>
      <c r="O20" s="2096"/>
      <c r="P20" s="2096"/>
      <c r="Q20" s="2096"/>
      <c r="R20" s="2096"/>
      <c r="S20" s="2096"/>
      <c r="T20" s="2096"/>
      <c r="U20" s="2096"/>
      <c r="V20" s="2096"/>
      <c r="W20" s="2096"/>
      <c r="X20" s="2096"/>
      <c r="Y20" s="2096"/>
      <c r="Z20" s="2096"/>
      <c r="AA20" s="2096"/>
      <c r="AB20" s="2096"/>
      <c r="AC20" s="2096"/>
      <c r="AD20" s="2096"/>
      <c r="AE20" s="2096"/>
      <c r="AF20" s="2096"/>
      <c r="AG20" s="2094"/>
      <c r="AH20" s="671"/>
      <c r="AI20" s="671"/>
    </row>
    <row r="21" spans="1:55">
      <c r="A21" s="461"/>
      <c r="B21" s="194" t="s">
        <v>4985</v>
      </c>
      <c r="C21" s="51"/>
      <c r="D21" s="51"/>
      <c r="E21" s="51"/>
      <c r="F21" s="51"/>
      <c r="G21" s="51"/>
      <c r="H21" s="51"/>
      <c r="I21" s="51"/>
      <c r="J21" s="51"/>
      <c r="K21" s="194"/>
      <c r="L21" s="194" t="s">
        <v>4986</v>
      </c>
      <c r="M21" s="51"/>
      <c r="N21" s="51"/>
      <c r="O21" s="51"/>
      <c r="P21" s="51"/>
      <c r="Q21" s="61" t="s">
        <v>4987</v>
      </c>
      <c r="R21" s="51"/>
      <c r="S21" s="51"/>
      <c r="T21" s="51"/>
      <c r="U21" s="51"/>
      <c r="V21" s="51"/>
      <c r="W21" s="51"/>
      <c r="X21" s="51"/>
      <c r="Y21" s="51"/>
      <c r="Z21" s="51"/>
      <c r="AA21" s="51"/>
      <c r="AB21" s="51"/>
      <c r="AC21" s="51"/>
      <c r="AD21" s="51"/>
      <c r="AE21" s="51"/>
      <c r="AF21" s="51"/>
      <c r="AG21" s="461"/>
    </row>
    <row r="22" spans="1:55">
      <c r="A22" s="461"/>
      <c r="B22" s="61" t="s">
        <v>4988</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61"/>
      <c r="BA22" s="10194" t="s">
        <v>4989</v>
      </c>
      <c r="BB22" s="6435"/>
      <c r="BC22" s="7427"/>
    </row>
    <row r="23" spans="1:55">
      <c r="A23" s="461"/>
      <c r="B23" s="61" t="s">
        <v>4990</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61"/>
      <c r="BA23" s="10195" t="s">
        <v>4991</v>
      </c>
      <c r="BB23" s="10195" t="s">
        <v>4992</v>
      </c>
      <c r="BC23" s="10195" t="s">
        <v>4993</v>
      </c>
    </row>
    <row r="24" spans="1:55" ht="4.5" customHeight="1" thickBot="1">
      <c r="A24" s="46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61"/>
      <c r="BA24" s="10196"/>
      <c r="BB24" s="10196"/>
      <c r="BC24" s="10196"/>
    </row>
    <row r="25" spans="1:55" ht="12" customHeight="1" thickBot="1">
      <c r="A25" s="461"/>
      <c r="B25" s="874">
        <f>IF(C25&lt;&gt;"",1,0)</f>
        <v>0</v>
      </c>
      <c r="C25" s="873"/>
      <c r="D25" s="683" t="s">
        <v>4994</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61"/>
      <c r="AJ25" s="10200"/>
      <c r="AK25" s="10201"/>
      <c r="AL25" s="10201"/>
      <c r="AM25" s="10201"/>
      <c r="AN25" s="10201"/>
      <c r="AO25" s="10201"/>
      <c r="AP25" s="10201"/>
      <c r="AQ25" s="10201"/>
      <c r="BA25" s="10196"/>
      <c r="BB25" s="10196"/>
      <c r="BC25" s="10196"/>
    </row>
    <row r="26" spans="1:55" ht="4.5" customHeight="1" thickBot="1">
      <c r="A26" s="461"/>
      <c r="B26" s="874"/>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61"/>
      <c r="BA26" s="10196"/>
      <c r="BB26" s="10196"/>
      <c r="BC26" s="10196"/>
    </row>
    <row r="27" spans="1:55" ht="11.25" customHeight="1" thickBot="1">
      <c r="A27" s="461"/>
      <c r="B27" s="874">
        <f>IF(C27&lt;&gt;"",1,0)</f>
        <v>0</v>
      </c>
      <c r="C27" s="873"/>
      <c r="D27" s="683" t="s">
        <v>4995</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61"/>
      <c r="AJ27" s="10200"/>
      <c r="AK27" s="10201"/>
      <c r="AL27" s="10201"/>
      <c r="AM27" s="10201"/>
      <c r="AN27" s="10201"/>
      <c r="AO27" s="10201"/>
      <c r="AP27" s="10201"/>
      <c r="AQ27" s="10201"/>
      <c r="BA27" s="10196"/>
      <c r="BB27" s="10196"/>
      <c r="BC27" s="10196"/>
    </row>
    <row r="28" spans="1:55" ht="4.5" customHeight="1" thickBot="1">
      <c r="A28" s="461"/>
      <c r="B28" s="874"/>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61"/>
      <c r="BA28" s="10196"/>
      <c r="BB28" s="10196"/>
      <c r="BC28" s="10196"/>
    </row>
    <row r="29" spans="1:55" ht="12" customHeight="1" thickBot="1">
      <c r="A29" s="461">
        <f>SUM(B25:B29)</f>
        <v>0</v>
      </c>
      <c r="B29" s="874">
        <f>IF(C29&lt;&gt;"",1,0)</f>
        <v>0</v>
      </c>
      <c r="C29" s="873"/>
      <c r="D29" s="683" t="s">
        <v>4996</v>
      </c>
      <c r="E29" s="51"/>
      <c r="F29" s="51"/>
      <c r="G29" s="51"/>
      <c r="H29" s="51"/>
      <c r="I29" s="51"/>
      <c r="J29" s="51"/>
      <c r="K29" s="51"/>
      <c r="L29" s="51"/>
      <c r="M29" s="51"/>
      <c r="N29" s="51"/>
      <c r="O29" s="51"/>
      <c r="P29" s="51"/>
      <c r="Q29" s="51"/>
      <c r="R29" s="10185" t="str">
        <f>IF(SpaceUsed_8949C_ST,"ERROR: DO NOT use the space bar to uncheck a box. Use the 'Delete' key.",IF(A29&gt;1,"Check only ONE box.",IF(OR(NoColor,A29&gt;0),"",IF(A29&lt;1,"Check ONE box.",""))))</f>
        <v>Check ONE box.</v>
      </c>
      <c r="S29" s="10186"/>
      <c r="T29" s="10186"/>
      <c r="U29" s="10186"/>
      <c r="V29" s="10186"/>
      <c r="W29" s="10186"/>
      <c r="X29" s="10186"/>
      <c r="Y29" s="10186"/>
      <c r="Z29" s="10186"/>
      <c r="AA29" s="10186"/>
      <c r="AB29" s="10186"/>
      <c r="AC29" s="10186"/>
      <c r="AD29" s="10186"/>
      <c r="AE29" s="10186"/>
      <c r="AF29" s="51"/>
      <c r="AG29" s="461"/>
      <c r="AH29" s="1028" t="b">
        <f>IF(OR(F8949CSBOXA=CHAR(32),F8949CSBOXB=CHAR(32),F8949CSBOXC=CHAR(32)),TRUE,FALSE)</f>
        <v>0</v>
      </c>
      <c r="AJ29" s="10200" t="s">
        <v>4997</v>
      </c>
      <c r="AK29" s="10201"/>
      <c r="AL29" s="10201"/>
      <c r="AM29" s="10201"/>
      <c r="AN29" s="10201"/>
      <c r="AO29" s="10201"/>
      <c r="AP29" s="10201"/>
      <c r="AQ29" s="10201"/>
      <c r="BA29" s="10196"/>
      <c r="BB29" s="10196"/>
      <c r="BC29" s="10196"/>
    </row>
    <row r="30" spans="1:55" ht="3.75" customHeight="1">
      <c r="A30" s="461"/>
      <c r="B30" s="195"/>
      <c r="C30" s="746"/>
      <c r="D30" s="195"/>
      <c r="E30" s="195"/>
      <c r="F30" s="195"/>
      <c r="G30" s="195"/>
      <c r="H30" s="195"/>
      <c r="I30" s="195"/>
      <c r="J30" s="195"/>
      <c r="K30" s="195"/>
      <c r="L30" s="195"/>
      <c r="M30" s="195"/>
      <c r="N30" s="746"/>
      <c r="O30" s="195"/>
      <c r="P30" s="195"/>
      <c r="Q30" s="195"/>
      <c r="R30" s="195"/>
      <c r="S30" s="195"/>
      <c r="T30" s="195"/>
      <c r="U30" s="195"/>
      <c r="V30" s="195"/>
      <c r="W30" s="195"/>
      <c r="X30" s="195"/>
      <c r="Y30" s="746"/>
      <c r="Z30" s="195"/>
      <c r="AA30" s="195"/>
      <c r="AB30" s="195"/>
      <c r="AC30" s="195"/>
      <c r="AD30" s="195"/>
      <c r="AE30" s="195"/>
      <c r="AF30" s="195"/>
      <c r="AG30" s="461"/>
      <c r="BA30" s="10196"/>
      <c r="BB30" s="10196"/>
      <c r="BC30" s="10196"/>
    </row>
    <row r="31" spans="1:55" ht="21" customHeight="1">
      <c r="A31" s="461"/>
      <c r="B31" s="10143">
        <v>1</v>
      </c>
      <c r="C31" s="10147" t="s">
        <v>4998</v>
      </c>
      <c r="D31" s="10148"/>
      <c r="E31" s="10148"/>
      <c r="F31" s="10148"/>
      <c r="G31" s="10148"/>
      <c r="H31" s="10148"/>
      <c r="I31" s="10149"/>
      <c r="J31" s="10155" t="s">
        <v>4999</v>
      </c>
      <c r="K31" s="7417"/>
      <c r="L31" s="7278"/>
      <c r="M31" s="10155" t="s">
        <v>5000</v>
      </c>
      <c r="N31" s="7417"/>
      <c r="O31" s="7417"/>
      <c r="P31" s="7278"/>
      <c r="Q31" s="10155" t="s">
        <v>5001</v>
      </c>
      <c r="R31" s="7417"/>
      <c r="S31" s="7417"/>
      <c r="T31" s="7278"/>
      <c r="U31" s="10092" t="s">
        <v>5002</v>
      </c>
      <c r="V31" s="10093"/>
      <c r="W31" s="10093"/>
      <c r="X31" s="10094"/>
      <c r="Y31" s="10102" t="s">
        <v>5003</v>
      </c>
      <c r="Z31" s="10103"/>
      <c r="AA31" s="10103"/>
      <c r="AB31" s="10104"/>
      <c r="AC31" s="10092" t="s">
        <v>5004</v>
      </c>
      <c r="AD31" s="10093"/>
      <c r="AE31" s="10093"/>
      <c r="AF31" s="10093"/>
      <c r="AG31" s="461"/>
      <c r="AJ31" s="10202" t="s">
        <v>5005</v>
      </c>
      <c r="AK31" s="10202" t="s">
        <v>5006</v>
      </c>
      <c r="AL31" s="10202" t="s">
        <v>5007</v>
      </c>
      <c r="AM31" s="10202" t="s">
        <v>5008</v>
      </c>
      <c r="AN31" s="10204" t="s">
        <v>5009</v>
      </c>
      <c r="AO31" s="10199" t="s">
        <v>5010</v>
      </c>
      <c r="AP31" s="7302"/>
      <c r="AQ31" s="10202" t="s">
        <v>5011</v>
      </c>
      <c r="BA31" s="10196"/>
      <c r="BB31" s="10196"/>
      <c r="BC31" s="10196"/>
    </row>
    <row r="32" spans="1:55" ht="21" customHeight="1">
      <c r="A32" s="461"/>
      <c r="B32" s="10144"/>
      <c r="C32" s="10150"/>
      <c r="D32" s="10151"/>
      <c r="E32" s="10151"/>
      <c r="F32" s="10151"/>
      <c r="G32" s="10151"/>
      <c r="H32" s="10151"/>
      <c r="I32" s="10152"/>
      <c r="J32" s="10156"/>
      <c r="K32" s="8454"/>
      <c r="L32" s="7280"/>
      <c r="M32" s="10156"/>
      <c r="N32" s="8454"/>
      <c r="O32" s="8454"/>
      <c r="P32" s="7280"/>
      <c r="Q32" s="10156"/>
      <c r="R32" s="8454"/>
      <c r="S32" s="8454"/>
      <c r="T32" s="7280"/>
      <c r="U32" s="10095"/>
      <c r="V32" s="10096"/>
      <c r="W32" s="10096"/>
      <c r="X32" s="10097"/>
      <c r="Y32" s="10105"/>
      <c r="Z32" s="10106"/>
      <c r="AA32" s="10106"/>
      <c r="AB32" s="10107"/>
      <c r="AC32" s="10095"/>
      <c r="AD32" s="10096"/>
      <c r="AE32" s="10096"/>
      <c r="AF32" s="10096"/>
      <c r="AG32" s="461"/>
      <c r="AJ32" s="10202"/>
      <c r="AK32" s="10202"/>
      <c r="AL32" s="10202"/>
      <c r="AM32" s="10202"/>
      <c r="AN32" s="10204"/>
      <c r="AO32" s="7414"/>
      <c r="AP32" s="7308"/>
      <c r="AQ32" s="10202"/>
      <c r="BA32" s="10196"/>
      <c r="BB32" s="10196"/>
      <c r="BC32" s="10196"/>
    </row>
    <row r="33" spans="1:55" ht="18" customHeight="1">
      <c r="A33" s="461"/>
      <c r="B33" s="10145"/>
      <c r="C33" s="10151"/>
      <c r="D33" s="10151"/>
      <c r="E33" s="10151"/>
      <c r="F33" s="10151"/>
      <c r="G33" s="10151"/>
      <c r="H33" s="10151"/>
      <c r="I33" s="10152"/>
      <c r="J33" s="7279"/>
      <c r="K33" s="8454"/>
      <c r="L33" s="7280"/>
      <c r="M33" s="7279"/>
      <c r="N33" s="8454"/>
      <c r="O33" s="8454"/>
      <c r="P33" s="7280"/>
      <c r="Q33" s="7279"/>
      <c r="R33" s="8454"/>
      <c r="S33" s="8454"/>
      <c r="T33" s="7280"/>
      <c r="U33" s="10098"/>
      <c r="V33" s="10096"/>
      <c r="W33" s="10096"/>
      <c r="X33" s="10097"/>
      <c r="Y33" s="7396" t="s">
        <v>5012</v>
      </c>
      <c r="Z33" s="7278"/>
      <c r="AA33" s="7396" t="s">
        <v>5013</v>
      </c>
      <c r="AB33" s="7451"/>
      <c r="AC33" s="10098"/>
      <c r="AD33" s="10096"/>
      <c r="AE33" s="10096"/>
      <c r="AF33" s="10096"/>
      <c r="AG33" s="461"/>
      <c r="AJ33" s="10203"/>
      <c r="AK33" s="10203"/>
      <c r="AL33" s="10203"/>
      <c r="AM33" s="10203"/>
      <c r="AN33" s="10205"/>
      <c r="AO33" s="10197" t="s">
        <v>5014</v>
      </c>
      <c r="AP33" s="7577" t="s">
        <v>5013</v>
      </c>
      <c r="AQ33" s="10203"/>
      <c r="BA33" s="10196"/>
      <c r="BB33" s="10196"/>
      <c r="BC33" s="10196"/>
    </row>
    <row r="34" spans="1:55" ht="18" customHeight="1">
      <c r="A34" s="461"/>
      <c r="B34" s="10146"/>
      <c r="C34" s="10153"/>
      <c r="D34" s="10153"/>
      <c r="E34" s="10153"/>
      <c r="F34" s="10153"/>
      <c r="G34" s="10153"/>
      <c r="H34" s="10153"/>
      <c r="I34" s="10154"/>
      <c r="J34" s="7281"/>
      <c r="K34" s="10157"/>
      <c r="L34" s="7282"/>
      <c r="M34" s="7281"/>
      <c r="N34" s="10157"/>
      <c r="O34" s="10157"/>
      <c r="P34" s="7282"/>
      <c r="Q34" s="7281"/>
      <c r="R34" s="10157"/>
      <c r="S34" s="10157"/>
      <c r="T34" s="7282"/>
      <c r="U34" s="10099"/>
      <c r="V34" s="10100"/>
      <c r="W34" s="10100"/>
      <c r="X34" s="10101"/>
      <c r="Y34" s="7281"/>
      <c r="Z34" s="7282"/>
      <c r="AA34" s="6734"/>
      <c r="AB34" s="7453"/>
      <c r="AC34" s="10099"/>
      <c r="AD34" s="10100"/>
      <c r="AE34" s="10100"/>
      <c r="AF34" s="10100"/>
      <c r="AG34" s="461"/>
      <c r="AJ34" s="10203"/>
      <c r="AK34" s="10203"/>
      <c r="AL34" s="10203"/>
      <c r="AM34" s="10203"/>
      <c r="AN34" s="10205"/>
      <c r="AO34" s="10198"/>
      <c r="AP34" s="10198"/>
      <c r="AQ34" s="10203"/>
      <c r="BA34" s="10196"/>
      <c r="BB34" s="10196"/>
      <c r="BC34" s="10196"/>
    </row>
    <row r="35" spans="1:55" ht="19.5" customHeight="1">
      <c r="A35" s="461">
        <f>IF(OR(Q35&lt;&gt;"",U35&lt;&gt;"",AC35&lt;&gt;""),1,0)</f>
        <v>0</v>
      </c>
      <c r="B35" s="10085" t="str">
        <f t="shared" ref="B35:B54" si="0">IF(AJ35="","",AJ35)</f>
        <v/>
      </c>
      <c r="C35" s="9649"/>
      <c r="D35" s="9649"/>
      <c r="E35" s="9649"/>
      <c r="F35" s="9649"/>
      <c r="G35" s="9649"/>
      <c r="H35" s="9649"/>
      <c r="I35" s="9667"/>
      <c r="J35" s="10086" t="str">
        <f t="shared" ref="J35:J54" si="1">IF(AK35="","",AK35)</f>
        <v/>
      </c>
      <c r="K35" s="10087"/>
      <c r="L35" s="10087"/>
      <c r="M35" s="10086" t="str">
        <f t="shared" ref="M35:M54" si="2">IF(AL35="","",AL35)</f>
        <v/>
      </c>
      <c r="N35" s="10087"/>
      <c r="O35" s="10087"/>
      <c r="P35" s="10088"/>
      <c r="Q35" s="7143" t="str">
        <f t="shared" ref="Q35:Q54" si="3">IF(AM35="","",AM35)</f>
        <v/>
      </c>
      <c r="R35" s="10090"/>
      <c r="S35" s="10090"/>
      <c r="T35" s="10091"/>
      <c r="U35" s="7143" t="str">
        <f t="shared" ref="U35:U54" si="4">IF(AN35="","",AN35)</f>
        <v/>
      </c>
      <c r="V35" s="10090"/>
      <c r="W35" s="10090"/>
      <c r="X35" s="10091"/>
      <c r="Y35" s="10089" t="str">
        <f>IF(AO35&lt;&gt;"",AO35,"")</f>
        <v/>
      </c>
      <c r="Z35" s="6563"/>
      <c r="AA35" s="10089" t="str">
        <f>IF(AP35="","",AP35)</f>
        <v/>
      </c>
      <c r="AB35" s="6563"/>
      <c r="AC35" s="10138" t="str">
        <f>IF(AQ35&lt;&gt;"",AQ35,IF(AND(Q35="",U35=""),"",IF(AND(Q35&lt;&gt;"",U35=""),SUM(Q35,AA35),SUM(Q35,-U35,AA35))))</f>
        <v/>
      </c>
      <c r="AD35" s="10139"/>
      <c r="AE35" s="10139"/>
      <c r="AF35" s="10139"/>
      <c r="AG35" s="911">
        <f>IF(OR(J35="",M35=""),0,IF(OR(BA35,BB35,BC35),0,1))</f>
        <v>0</v>
      </c>
      <c r="AH35" s="5727"/>
      <c r="AI35" s="5727" t="e">
        <f t="shared" ref="AI35:AI54" si="5">M35-J35</f>
        <v>#VALUE!</v>
      </c>
      <c r="AJ35" s="853"/>
      <c r="AK35" s="857"/>
      <c r="AL35" s="857"/>
      <c r="AM35" s="855"/>
      <c r="AN35" s="855"/>
      <c r="AO35" s="856"/>
      <c r="AP35" s="855"/>
      <c r="AQ35" s="854"/>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61">
        <f t="shared" ref="A36:A54" si="6">IF(OR(Q36&lt;&gt;"",U36&lt;&gt;"",AC36&lt;&gt;""),1,0)</f>
        <v>0</v>
      </c>
      <c r="B36" s="10085" t="str">
        <f t="shared" si="0"/>
        <v/>
      </c>
      <c r="C36" s="9649"/>
      <c r="D36" s="9649"/>
      <c r="E36" s="9649"/>
      <c r="F36" s="9649"/>
      <c r="G36" s="9649"/>
      <c r="H36" s="9649"/>
      <c r="I36" s="9667"/>
      <c r="J36" s="10086" t="str">
        <f t="shared" si="1"/>
        <v/>
      </c>
      <c r="K36" s="10087"/>
      <c r="L36" s="10087"/>
      <c r="M36" s="10086" t="str">
        <f t="shared" si="2"/>
        <v/>
      </c>
      <c r="N36" s="10087"/>
      <c r="O36" s="10087"/>
      <c r="P36" s="10088"/>
      <c r="Q36" s="7143" t="str">
        <f t="shared" si="3"/>
        <v/>
      </c>
      <c r="R36" s="10090"/>
      <c r="S36" s="10090"/>
      <c r="T36" s="10091"/>
      <c r="U36" s="7143" t="str">
        <f t="shared" si="4"/>
        <v/>
      </c>
      <c r="V36" s="10090"/>
      <c r="W36" s="10090"/>
      <c r="X36" s="10091"/>
      <c r="Y36" s="10089" t="str">
        <f>IF(AO36&lt;&gt;"",AO36,"")</f>
        <v/>
      </c>
      <c r="Z36" s="6563"/>
      <c r="AA36" s="10089" t="str">
        <f>IF(AP36="","",AP36)</f>
        <v/>
      </c>
      <c r="AB36" s="6563"/>
      <c r="AC36" s="10138" t="str">
        <f t="shared" ref="AC36:AC54" si="7">IF(AQ36&lt;&gt;"",AQ36,IF(AND(Q36="",U36=""),"",IF(AND(Q36&lt;&gt;"",U36=""),SUM(Q36,AA36),SUM(Q36,-U36,AA36))))</f>
        <v/>
      </c>
      <c r="AD36" s="10139"/>
      <c r="AE36" s="10139"/>
      <c r="AF36" s="10139"/>
      <c r="AG36" s="911">
        <f t="shared" ref="AG36:AG54" si="8">IF(OR(J36="",M36=""),0,IF(OR(BA36,BB36,BC36),0,1))</f>
        <v>0</v>
      </c>
      <c r="AH36" s="5727"/>
      <c r="AI36" s="5727" t="e">
        <f t="shared" si="5"/>
        <v>#VALUE!</v>
      </c>
      <c r="AJ36" s="853"/>
      <c r="AK36" s="857"/>
      <c r="AL36" s="857"/>
      <c r="AM36" s="855"/>
      <c r="AN36" s="855"/>
      <c r="AO36" s="856"/>
      <c r="AP36" s="855"/>
      <c r="AQ36" s="854"/>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61">
        <f t="shared" si="6"/>
        <v>0</v>
      </c>
      <c r="B37" s="10085" t="str">
        <f t="shared" si="0"/>
        <v/>
      </c>
      <c r="C37" s="9649"/>
      <c r="D37" s="9649"/>
      <c r="E37" s="9649"/>
      <c r="F37" s="9649"/>
      <c r="G37" s="9649"/>
      <c r="H37" s="9649"/>
      <c r="I37" s="9667"/>
      <c r="J37" s="10086" t="str">
        <f t="shared" si="1"/>
        <v/>
      </c>
      <c r="K37" s="10087"/>
      <c r="L37" s="10087"/>
      <c r="M37" s="10086" t="str">
        <f t="shared" si="2"/>
        <v/>
      </c>
      <c r="N37" s="10087"/>
      <c r="O37" s="10087"/>
      <c r="P37" s="10088"/>
      <c r="Q37" s="7143" t="str">
        <f t="shared" si="3"/>
        <v/>
      </c>
      <c r="R37" s="10090"/>
      <c r="S37" s="10090"/>
      <c r="T37" s="10091"/>
      <c r="U37" s="7143" t="str">
        <f t="shared" si="4"/>
        <v/>
      </c>
      <c r="V37" s="10090"/>
      <c r="W37" s="10090"/>
      <c r="X37" s="10091"/>
      <c r="Y37" s="10089" t="str">
        <f>IF(AO37&lt;&gt;"",AO37,"")</f>
        <v/>
      </c>
      <c r="Z37" s="6563"/>
      <c r="AA37" s="10089" t="str">
        <f>IF(AP37="","",AP37)</f>
        <v/>
      </c>
      <c r="AB37" s="6563"/>
      <c r="AC37" s="10138" t="str">
        <f t="shared" si="7"/>
        <v/>
      </c>
      <c r="AD37" s="10139"/>
      <c r="AE37" s="10139"/>
      <c r="AF37" s="10139"/>
      <c r="AG37" s="911">
        <f t="shared" si="8"/>
        <v>0</v>
      </c>
      <c r="AH37" s="5727"/>
      <c r="AI37" s="5727" t="e">
        <f t="shared" si="5"/>
        <v>#VALUE!</v>
      </c>
      <c r="AJ37" s="853"/>
      <c r="AK37" s="857"/>
      <c r="AL37" s="857"/>
      <c r="AM37" s="855"/>
      <c r="AN37" s="855"/>
      <c r="AO37" s="856"/>
      <c r="AP37" s="855"/>
      <c r="AQ37" s="854"/>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61">
        <f t="shared" si="6"/>
        <v>0</v>
      </c>
      <c r="B38" s="10085" t="str">
        <f t="shared" si="0"/>
        <v/>
      </c>
      <c r="C38" s="9649"/>
      <c r="D38" s="9649"/>
      <c r="E38" s="9649"/>
      <c r="F38" s="9649"/>
      <c r="G38" s="9649"/>
      <c r="H38" s="9649"/>
      <c r="I38" s="9667"/>
      <c r="J38" s="10086" t="str">
        <f t="shared" si="1"/>
        <v/>
      </c>
      <c r="K38" s="10087"/>
      <c r="L38" s="10087"/>
      <c r="M38" s="10086" t="str">
        <f t="shared" si="2"/>
        <v/>
      </c>
      <c r="N38" s="10087"/>
      <c r="O38" s="10087"/>
      <c r="P38" s="10088"/>
      <c r="Q38" s="7143" t="str">
        <f t="shared" si="3"/>
        <v/>
      </c>
      <c r="R38" s="10090"/>
      <c r="S38" s="10090"/>
      <c r="T38" s="10091"/>
      <c r="U38" s="7143" t="str">
        <f t="shared" si="4"/>
        <v/>
      </c>
      <c r="V38" s="10090"/>
      <c r="W38" s="10090"/>
      <c r="X38" s="10091"/>
      <c r="Y38" s="10089" t="str">
        <f t="shared" ref="Y38:Y54" si="18">IF(AO38&lt;&gt;"",AO38,"")</f>
        <v/>
      </c>
      <c r="Z38" s="6563"/>
      <c r="AA38" s="10089" t="str">
        <f t="shared" ref="AA38:AA54" si="19">IF(AP38="","",AP38)</f>
        <v/>
      </c>
      <c r="AB38" s="6563"/>
      <c r="AC38" s="10138" t="str">
        <f t="shared" si="7"/>
        <v/>
      </c>
      <c r="AD38" s="10139"/>
      <c r="AE38" s="10139"/>
      <c r="AF38" s="10139"/>
      <c r="AG38" s="911">
        <f t="shared" si="8"/>
        <v>0</v>
      </c>
      <c r="AH38" s="5727"/>
      <c r="AI38" s="5727" t="e">
        <f t="shared" si="5"/>
        <v>#VALUE!</v>
      </c>
      <c r="AJ38" s="853"/>
      <c r="AK38" s="857"/>
      <c r="AL38" s="857"/>
      <c r="AM38" s="855"/>
      <c r="AN38" s="855"/>
      <c r="AO38" s="856"/>
      <c r="AP38" s="855"/>
      <c r="AQ38" s="854"/>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61">
        <f t="shared" si="6"/>
        <v>0</v>
      </c>
      <c r="B39" s="10085" t="str">
        <f t="shared" si="0"/>
        <v/>
      </c>
      <c r="C39" s="9649"/>
      <c r="D39" s="9649"/>
      <c r="E39" s="9649"/>
      <c r="F39" s="9649"/>
      <c r="G39" s="9649"/>
      <c r="H39" s="9649"/>
      <c r="I39" s="9667"/>
      <c r="J39" s="10086" t="str">
        <f t="shared" si="1"/>
        <v/>
      </c>
      <c r="K39" s="10087"/>
      <c r="L39" s="10087"/>
      <c r="M39" s="10086" t="str">
        <f t="shared" si="2"/>
        <v/>
      </c>
      <c r="N39" s="10087"/>
      <c r="O39" s="10087"/>
      <c r="P39" s="10088"/>
      <c r="Q39" s="7143" t="str">
        <f t="shared" si="3"/>
        <v/>
      </c>
      <c r="R39" s="10090"/>
      <c r="S39" s="10090"/>
      <c r="T39" s="10091"/>
      <c r="U39" s="7143" t="str">
        <f t="shared" si="4"/>
        <v/>
      </c>
      <c r="V39" s="10090"/>
      <c r="W39" s="10090"/>
      <c r="X39" s="10091"/>
      <c r="Y39" s="10089" t="str">
        <f t="shared" si="18"/>
        <v/>
      </c>
      <c r="Z39" s="6563"/>
      <c r="AA39" s="10089" t="str">
        <f t="shared" si="19"/>
        <v/>
      </c>
      <c r="AB39" s="6563"/>
      <c r="AC39" s="10138" t="str">
        <f t="shared" si="7"/>
        <v/>
      </c>
      <c r="AD39" s="10139"/>
      <c r="AE39" s="10139"/>
      <c r="AF39" s="10139"/>
      <c r="AG39" s="911">
        <f t="shared" si="8"/>
        <v>0</v>
      </c>
      <c r="AH39" s="5727"/>
      <c r="AI39" s="5727" t="e">
        <f t="shared" si="5"/>
        <v>#VALUE!</v>
      </c>
      <c r="AJ39" s="853"/>
      <c r="AK39" s="857"/>
      <c r="AL39" s="857"/>
      <c r="AM39" s="855"/>
      <c r="AN39" s="855"/>
      <c r="AO39" s="856"/>
      <c r="AP39" s="855"/>
      <c r="AQ39" s="854"/>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61">
        <f t="shared" si="6"/>
        <v>0</v>
      </c>
      <c r="B40" s="10085" t="str">
        <f t="shared" si="0"/>
        <v/>
      </c>
      <c r="C40" s="9649"/>
      <c r="D40" s="9649"/>
      <c r="E40" s="9649"/>
      <c r="F40" s="9649"/>
      <c r="G40" s="9649"/>
      <c r="H40" s="9649"/>
      <c r="I40" s="9667"/>
      <c r="J40" s="10086" t="str">
        <f t="shared" si="1"/>
        <v/>
      </c>
      <c r="K40" s="10087"/>
      <c r="L40" s="10087"/>
      <c r="M40" s="10086" t="str">
        <f t="shared" si="2"/>
        <v/>
      </c>
      <c r="N40" s="10087"/>
      <c r="O40" s="10087"/>
      <c r="P40" s="10088"/>
      <c r="Q40" s="7143" t="str">
        <f t="shared" si="3"/>
        <v/>
      </c>
      <c r="R40" s="10090"/>
      <c r="S40" s="10090"/>
      <c r="T40" s="10091"/>
      <c r="U40" s="7143" t="str">
        <f t="shared" si="4"/>
        <v/>
      </c>
      <c r="V40" s="10090"/>
      <c r="W40" s="10090"/>
      <c r="X40" s="10091"/>
      <c r="Y40" s="10089" t="str">
        <f t="shared" si="18"/>
        <v/>
      </c>
      <c r="Z40" s="6563"/>
      <c r="AA40" s="10089" t="str">
        <f t="shared" si="19"/>
        <v/>
      </c>
      <c r="AB40" s="6563"/>
      <c r="AC40" s="10138" t="str">
        <f t="shared" si="7"/>
        <v/>
      </c>
      <c r="AD40" s="10139"/>
      <c r="AE40" s="10139"/>
      <c r="AF40" s="10139"/>
      <c r="AG40" s="911">
        <f t="shared" si="8"/>
        <v>0</v>
      </c>
      <c r="AH40" s="5727"/>
      <c r="AI40" s="5727" t="e">
        <f t="shared" si="5"/>
        <v>#VALUE!</v>
      </c>
      <c r="AJ40" s="853"/>
      <c r="AK40" s="857"/>
      <c r="AL40" s="857"/>
      <c r="AM40" s="855"/>
      <c r="AN40" s="855"/>
      <c r="AO40" s="856"/>
      <c r="AP40" s="855"/>
      <c r="AQ40" s="854"/>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61">
        <f t="shared" si="6"/>
        <v>0</v>
      </c>
      <c r="B41" s="10085" t="str">
        <f t="shared" si="0"/>
        <v/>
      </c>
      <c r="C41" s="9649"/>
      <c r="D41" s="9649"/>
      <c r="E41" s="9649"/>
      <c r="F41" s="9649"/>
      <c r="G41" s="9649"/>
      <c r="H41" s="9649"/>
      <c r="I41" s="9667"/>
      <c r="J41" s="10086" t="str">
        <f t="shared" si="1"/>
        <v/>
      </c>
      <c r="K41" s="10087"/>
      <c r="L41" s="10087"/>
      <c r="M41" s="10086" t="str">
        <f t="shared" si="2"/>
        <v/>
      </c>
      <c r="N41" s="10087"/>
      <c r="O41" s="10087"/>
      <c r="P41" s="10088"/>
      <c r="Q41" s="7143" t="str">
        <f t="shared" si="3"/>
        <v/>
      </c>
      <c r="R41" s="10090"/>
      <c r="S41" s="10090"/>
      <c r="T41" s="10091"/>
      <c r="U41" s="7143" t="str">
        <f t="shared" si="4"/>
        <v/>
      </c>
      <c r="V41" s="10090"/>
      <c r="W41" s="10090"/>
      <c r="X41" s="10091"/>
      <c r="Y41" s="10089" t="str">
        <f t="shared" si="18"/>
        <v/>
      </c>
      <c r="Z41" s="6563"/>
      <c r="AA41" s="10089" t="str">
        <f t="shared" si="19"/>
        <v/>
      </c>
      <c r="AB41" s="6563"/>
      <c r="AC41" s="10138" t="str">
        <f t="shared" si="7"/>
        <v/>
      </c>
      <c r="AD41" s="10139"/>
      <c r="AE41" s="10139"/>
      <c r="AF41" s="10139"/>
      <c r="AG41" s="911">
        <f t="shared" si="8"/>
        <v>0</v>
      </c>
      <c r="AH41" s="5727"/>
      <c r="AI41" s="5727" t="e">
        <f t="shared" si="5"/>
        <v>#VALUE!</v>
      </c>
      <c r="AJ41" s="853"/>
      <c r="AK41" s="857"/>
      <c r="AL41" s="857"/>
      <c r="AM41" s="855"/>
      <c r="AN41" s="855"/>
      <c r="AO41" s="856"/>
      <c r="AP41" s="855"/>
      <c r="AQ41" s="854"/>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61">
        <f t="shared" si="6"/>
        <v>0</v>
      </c>
      <c r="B42" s="10085" t="str">
        <f t="shared" si="0"/>
        <v/>
      </c>
      <c r="C42" s="9649"/>
      <c r="D42" s="9649"/>
      <c r="E42" s="9649"/>
      <c r="F42" s="9649"/>
      <c r="G42" s="9649"/>
      <c r="H42" s="9649"/>
      <c r="I42" s="9667"/>
      <c r="J42" s="10086" t="str">
        <f t="shared" si="1"/>
        <v/>
      </c>
      <c r="K42" s="10087"/>
      <c r="L42" s="10087"/>
      <c r="M42" s="10086" t="str">
        <f t="shared" si="2"/>
        <v/>
      </c>
      <c r="N42" s="10087"/>
      <c r="O42" s="10087"/>
      <c r="P42" s="10088"/>
      <c r="Q42" s="7143" t="str">
        <f t="shared" si="3"/>
        <v/>
      </c>
      <c r="R42" s="10090"/>
      <c r="S42" s="10090"/>
      <c r="T42" s="10091"/>
      <c r="U42" s="7143" t="str">
        <f t="shared" si="4"/>
        <v/>
      </c>
      <c r="V42" s="10090"/>
      <c r="W42" s="10090"/>
      <c r="X42" s="10091"/>
      <c r="Y42" s="10089" t="str">
        <f t="shared" si="18"/>
        <v/>
      </c>
      <c r="Z42" s="6563"/>
      <c r="AA42" s="10089" t="str">
        <f t="shared" si="19"/>
        <v/>
      </c>
      <c r="AB42" s="6563"/>
      <c r="AC42" s="10138" t="str">
        <f t="shared" si="7"/>
        <v/>
      </c>
      <c r="AD42" s="10139"/>
      <c r="AE42" s="10139"/>
      <c r="AF42" s="10139"/>
      <c r="AG42" s="911">
        <f t="shared" si="8"/>
        <v>0</v>
      </c>
      <c r="AH42" s="5727"/>
      <c r="AI42" s="5727" t="e">
        <f t="shared" si="5"/>
        <v>#VALUE!</v>
      </c>
      <c r="AJ42" s="853"/>
      <c r="AK42" s="857"/>
      <c r="AL42" s="857"/>
      <c r="AM42" s="855"/>
      <c r="AN42" s="855"/>
      <c r="AO42" s="856"/>
      <c r="AP42" s="855"/>
      <c r="AQ42" s="854"/>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61">
        <f t="shared" si="6"/>
        <v>0</v>
      </c>
      <c r="B43" s="10085" t="str">
        <f t="shared" si="0"/>
        <v/>
      </c>
      <c r="C43" s="9649"/>
      <c r="D43" s="9649"/>
      <c r="E43" s="9649"/>
      <c r="F43" s="9649"/>
      <c r="G43" s="9649"/>
      <c r="H43" s="9649"/>
      <c r="I43" s="9667"/>
      <c r="J43" s="10086" t="str">
        <f t="shared" si="1"/>
        <v/>
      </c>
      <c r="K43" s="10087"/>
      <c r="L43" s="10087"/>
      <c r="M43" s="10086" t="str">
        <f t="shared" si="2"/>
        <v/>
      </c>
      <c r="N43" s="10087"/>
      <c r="O43" s="10087"/>
      <c r="P43" s="10088"/>
      <c r="Q43" s="7143" t="str">
        <f t="shared" si="3"/>
        <v/>
      </c>
      <c r="R43" s="10090"/>
      <c r="S43" s="10090"/>
      <c r="T43" s="10091"/>
      <c r="U43" s="7143" t="str">
        <f t="shared" si="4"/>
        <v/>
      </c>
      <c r="V43" s="10090"/>
      <c r="W43" s="10090"/>
      <c r="X43" s="10091"/>
      <c r="Y43" s="10089" t="str">
        <f t="shared" si="18"/>
        <v/>
      </c>
      <c r="Z43" s="6563"/>
      <c r="AA43" s="10089" t="str">
        <f t="shared" si="19"/>
        <v/>
      </c>
      <c r="AB43" s="6563"/>
      <c r="AC43" s="10138" t="str">
        <f t="shared" si="7"/>
        <v/>
      </c>
      <c r="AD43" s="10139"/>
      <c r="AE43" s="10139"/>
      <c r="AF43" s="10139"/>
      <c r="AG43" s="911">
        <f t="shared" si="8"/>
        <v>0</v>
      </c>
      <c r="AH43" s="5727"/>
      <c r="AI43" s="5727" t="e">
        <f t="shared" si="5"/>
        <v>#VALUE!</v>
      </c>
      <c r="AJ43" s="853"/>
      <c r="AK43" s="857"/>
      <c r="AL43" s="857"/>
      <c r="AM43" s="855"/>
      <c r="AN43" s="855"/>
      <c r="AO43" s="856"/>
      <c r="AP43" s="855"/>
      <c r="AQ43" s="854"/>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61">
        <f t="shared" si="6"/>
        <v>0</v>
      </c>
      <c r="B44" s="10085" t="str">
        <f t="shared" si="0"/>
        <v/>
      </c>
      <c r="C44" s="9649"/>
      <c r="D44" s="9649"/>
      <c r="E44" s="9649"/>
      <c r="F44" s="9649"/>
      <c r="G44" s="9649"/>
      <c r="H44" s="9649"/>
      <c r="I44" s="9667"/>
      <c r="J44" s="10086" t="str">
        <f t="shared" si="1"/>
        <v/>
      </c>
      <c r="K44" s="10087"/>
      <c r="L44" s="10087"/>
      <c r="M44" s="10086" t="str">
        <f t="shared" si="2"/>
        <v/>
      </c>
      <c r="N44" s="10087"/>
      <c r="O44" s="10087"/>
      <c r="P44" s="10088"/>
      <c r="Q44" s="7143" t="str">
        <f t="shared" si="3"/>
        <v/>
      </c>
      <c r="R44" s="10090"/>
      <c r="S44" s="10090"/>
      <c r="T44" s="10091"/>
      <c r="U44" s="7143" t="str">
        <f t="shared" si="4"/>
        <v/>
      </c>
      <c r="V44" s="10090"/>
      <c r="W44" s="10090"/>
      <c r="X44" s="10091"/>
      <c r="Y44" s="10089" t="str">
        <f t="shared" si="18"/>
        <v/>
      </c>
      <c r="Z44" s="6563"/>
      <c r="AA44" s="10089" t="str">
        <f t="shared" si="19"/>
        <v/>
      </c>
      <c r="AB44" s="6563"/>
      <c r="AC44" s="10138" t="str">
        <f t="shared" si="7"/>
        <v/>
      </c>
      <c r="AD44" s="10139"/>
      <c r="AE44" s="10139"/>
      <c r="AF44" s="10139"/>
      <c r="AG44" s="911">
        <f t="shared" si="8"/>
        <v>0</v>
      </c>
      <c r="AH44" s="5727"/>
      <c r="AI44" s="5727" t="e">
        <f t="shared" si="5"/>
        <v>#VALUE!</v>
      </c>
      <c r="AJ44" s="853"/>
      <c r="AK44" s="857"/>
      <c r="AL44" s="857"/>
      <c r="AM44" s="855"/>
      <c r="AN44" s="855"/>
      <c r="AO44" s="856"/>
      <c r="AP44" s="855"/>
      <c r="AQ44" s="854"/>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61">
        <f t="shared" si="6"/>
        <v>0</v>
      </c>
      <c r="B45" s="10085" t="str">
        <f t="shared" si="0"/>
        <v/>
      </c>
      <c r="C45" s="9649"/>
      <c r="D45" s="9649"/>
      <c r="E45" s="9649"/>
      <c r="F45" s="9649"/>
      <c r="G45" s="9649"/>
      <c r="H45" s="9649"/>
      <c r="I45" s="9667"/>
      <c r="J45" s="10086" t="str">
        <f t="shared" si="1"/>
        <v/>
      </c>
      <c r="K45" s="10087"/>
      <c r="L45" s="10087"/>
      <c r="M45" s="10086" t="str">
        <f t="shared" si="2"/>
        <v/>
      </c>
      <c r="N45" s="10087"/>
      <c r="O45" s="10087"/>
      <c r="P45" s="10088"/>
      <c r="Q45" s="7143" t="str">
        <f t="shared" si="3"/>
        <v/>
      </c>
      <c r="R45" s="10090"/>
      <c r="S45" s="10090"/>
      <c r="T45" s="10091"/>
      <c r="U45" s="7143" t="str">
        <f t="shared" si="4"/>
        <v/>
      </c>
      <c r="V45" s="10090"/>
      <c r="W45" s="10090"/>
      <c r="X45" s="10091"/>
      <c r="Y45" s="10089" t="str">
        <f t="shared" si="18"/>
        <v/>
      </c>
      <c r="Z45" s="6563"/>
      <c r="AA45" s="10089" t="str">
        <f t="shared" si="19"/>
        <v/>
      </c>
      <c r="AB45" s="6563"/>
      <c r="AC45" s="10138" t="str">
        <f t="shared" si="7"/>
        <v/>
      </c>
      <c r="AD45" s="10139"/>
      <c r="AE45" s="10139"/>
      <c r="AF45" s="10139"/>
      <c r="AG45" s="911">
        <f t="shared" si="8"/>
        <v>0</v>
      </c>
      <c r="AH45" s="5727"/>
      <c r="AI45" s="5727" t="e">
        <f t="shared" si="5"/>
        <v>#VALUE!</v>
      </c>
      <c r="AJ45" s="853"/>
      <c r="AK45" s="857"/>
      <c r="AL45" s="857"/>
      <c r="AM45" s="855"/>
      <c r="AN45" s="855"/>
      <c r="AO45" s="856"/>
      <c r="AP45" s="855"/>
      <c r="AQ45" s="854"/>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61">
        <f t="shared" si="6"/>
        <v>0</v>
      </c>
      <c r="B46" s="10085" t="str">
        <f t="shared" si="0"/>
        <v/>
      </c>
      <c r="C46" s="9649"/>
      <c r="D46" s="9649"/>
      <c r="E46" s="9649"/>
      <c r="F46" s="9649"/>
      <c r="G46" s="9649"/>
      <c r="H46" s="9649"/>
      <c r="I46" s="9667"/>
      <c r="J46" s="10086" t="str">
        <f t="shared" si="1"/>
        <v/>
      </c>
      <c r="K46" s="10087"/>
      <c r="L46" s="10087"/>
      <c r="M46" s="10086" t="str">
        <f t="shared" si="2"/>
        <v/>
      </c>
      <c r="N46" s="10087"/>
      <c r="O46" s="10087"/>
      <c r="P46" s="10088"/>
      <c r="Q46" s="7143" t="str">
        <f t="shared" si="3"/>
        <v/>
      </c>
      <c r="R46" s="10090"/>
      <c r="S46" s="10090"/>
      <c r="T46" s="10091"/>
      <c r="U46" s="7143" t="str">
        <f t="shared" si="4"/>
        <v/>
      </c>
      <c r="V46" s="10090"/>
      <c r="W46" s="10090"/>
      <c r="X46" s="10091"/>
      <c r="Y46" s="10089" t="str">
        <f t="shared" si="18"/>
        <v/>
      </c>
      <c r="Z46" s="6563"/>
      <c r="AA46" s="10089" t="str">
        <f t="shared" si="19"/>
        <v/>
      </c>
      <c r="AB46" s="6563"/>
      <c r="AC46" s="10138" t="str">
        <f t="shared" si="7"/>
        <v/>
      </c>
      <c r="AD46" s="10139"/>
      <c r="AE46" s="10139"/>
      <c r="AF46" s="10139"/>
      <c r="AG46" s="911">
        <f t="shared" si="8"/>
        <v>0</v>
      </c>
      <c r="AH46" s="5727"/>
      <c r="AI46" s="5727" t="e">
        <f t="shared" si="5"/>
        <v>#VALUE!</v>
      </c>
      <c r="AJ46" s="853"/>
      <c r="AK46" s="857"/>
      <c r="AL46" s="857"/>
      <c r="AM46" s="855"/>
      <c r="AN46" s="855"/>
      <c r="AO46" s="856"/>
      <c r="AP46" s="855"/>
      <c r="AQ46" s="854"/>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61">
        <f t="shared" si="6"/>
        <v>0</v>
      </c>
      <c r="B47" s="10085" t="str">
        <f t="shared" si="0"/>
        <v/>
      </c>
      <c r="C47" s="9649"/>
      <c r="D47" s="9649"/>
      <c r="E47" s="9649"/>
      <c r="F47" s="9649"/>
      <c r="G47" s="9649"/>
      <c r="H47" s="9649"/>
      <c r="I47" s="9667"/>
      <c r="J47" s="10086" t="str">
        <f t="shared" si="1"/>
        <v/>
      </c>
      <c r="K47" s="10087"/>
      <c r="L47" s="10087"/>
      <c r="M47" s="10086" t="str">
        <f t="shared" si="2"/>
        <v/>
      </c>
      <c r="N47" s="10087"/>
      <c r="O47" s="10087"/>
      <c r="P47" s="10088"/>
      <c r="Q47" s="7143" t="str">
        <f t="shared" si="3"/>
        <v/>
      </c>
      <c r="R47" s="10090"/>
      <c r="S47" s="10090"/>
      <c r="T47" s="10091"/>
      <c r="U47" s="7143" t="str">
        <f t="shared" si="4"/>
        <v/>
      </c>
      <c r="V47" s="10090"/>
      <c r="W47" s="10090"/>
      <c r="X47" s="10091"/>
      <c r="Y47" s="10089" t="str">
        <f t="shared" si="18"/>
        <v/>
      </c>
      <c r="Z47" s="6563"/>
      <c r="AA47" s="10089" t="str">
        <f t="shared" si="19"/>
        <v/>
      </c>
      <c r="AB47" s="6563"/>
      <c r="AC47" s="10138" t="str">
        <f t="shared" si="7"/>
        <v/>
      </c>
      <c r="AD47" s="10139"/>
      <c r="AE47" s="10139"/>
      <c r="AF47" s="10139"/>
      <c r="AG47" s="911">
        <f t="shared" si="8"/>
        <v>0</v>
      </c>
      <c r="AH47" s="5727"/>
      <c r="AI47" s="5727" t="e">
        <f t="shared" si="5"/>
        <v>#VALUE!</v>
      </c>
      <c r="AJ47" s="853"/>
      <c r="AK47" s="857"/>
      <c r="AL47" s="857"/>
      <c r="AM47" s="855"/>
      <c r="AN47" s="855"/>
      <c r="AO47" s="856"/>
      <c r="AP47" s="855"/>
      <c r="AQ47" s="854"/>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61">
        <f t="shared" si="6"/>
        <v>0</v>
      </c>
      <c r="B48" s="10085" t="str">
        <f t="shared" si="0"/>
        <v/>
      </c>
      <c r="C48" s="9649"/>
      <c r="D48" s="9649"/>
      <c r="E48" s="9649"/>
      <c r="F48" s="9649"/>
      <c r="G48" s="9649"/>
      <c r="H48" s="9649"/>
      <c r="I48" s="9667"/>
      <c r="J48" s="10086" t="str">
        <f t="shared" si="1"/>
        <v/>
      </c>
      <c r="K48" s="10087"/>
      <c r="L48" s="10087"/>
      <c r="M48" s="10086" t="str">
        <f t="shared" si="2"/>
        <v/>
      </c>
      <c r="N48" s="10087"/>
      <c r="O48" s="10087"/>
      <c r="P48" s="10088"/>
      <c r="Q48" s="7143" t="str">
        <f t="shared" si="3"/>
        <v/>
      </c>
      <c r="R48" s="10090"/>
      <c r="S48" s="10090"/>
      <c r="T48" s="10091"/>
      <c r="U48" s="7143" t="str">
        <f t="shared" si="4"/>
        <v/>
      </c>
      <c r="V48" s="10090"/>
      <c r="W48" s="10090"/>
      <c r="X48" s="10091"/>
      <c r="Y48" s="10089" t="str">
        <f t="shared" si="18"/>
        <v/>
      </c>
      <c r="Z48" s="6563"/>
      <c r="AA48" s="10089" t="str">
        <f t="shared" si="19"/>
        <v/>
      </c>
      <c r="AB48" s="6563"/>
      <c r="AC48" s="10138" t="str">
        <f t="shared" si="7"/>
        <v/>
      </c>
      <c r="AD48" s="10139"/>
      <c r="AE48" s="10139"/>
      <c r="AF48" s="10139"/>
      <c r="AG48" s="911">
        <f t="shared" si="8"/>
        <v>0</v>
      </c>
      <c r="AH48" s="5727"/>
      <c r="AI48" s="5727" t="e">
        <f t="shared" si="5"/>
        <v>#VALUE!</v>
      </c>
      <c r="AJ48" s="853"/>
      <c r="AK48" s="857"/>
      <c r="AL48" s="857"/>
      <c r="AM48" s="855"/>
      <c r="AN48" s="855"/>
      <c r="AO48" s="856"/>
      <c r="AP48" s="855"/>
      <c r="AQ48" s="854"/>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61">
        <f t="shared" si="6"/>
        <v>0</v>
      </c>
      <c r="B49" s="10085" t="str">
        <f t="shared" si="0"/>
        <v/>
      </c>
      <c r="C49" s="9649"/>
      <c r="D49" s="9649"/>
      <c r="E49" s="9649"/>
      <c r="F49" s="9649"/>
      <c r="G49" s="9649"/>
      <c r="H49" s="9649"/>
      <c r="I49" s="9667"/>
      <c r="J49" s="10086" t="str">
        <f t="shared" si="1"/>
        <v/>
      </c>
      <c r="K49" s="10087"/>
      <c r="L49" s="10087"/>
      <c r="M49" s="10086" t="str">
        <f t="shared" si="2"/>
        <v/>
      </c>
      <c r="N49" s="10087"/>
      <c r="O49" s="10087"/>
      <c r="P49" s="10088"/>
      <c r="Q49" s="7143" t="str">
        <f t="shared" si="3"/>
        <v/>
      </c>
      <c r="R49" s="10090"/>
      <c r="S49" s="10090"/>
      <c r="T49" s="10091"/>
      <c r="U49" s="7143" t="str">
        <f t="shared" si="4"/>
        <v/>
      </c>
      <c r="V49" s="10090"/>
      <c r="W49" s="10090"/>
      <c r="X49" s="10091"/>
      <c r="Y49" s="10089" t="str">
        <f t="shared" si="18"/>
        <v/>
      </c>
      <c r="Z49" s="6563"/>
      <c r="AA49" s="10089" t="str">
        <f t="shared" si="19"/>
        <v/>
      </c>
      <c r="AB49" s="6563"/>
      <c r="AC49" s="10138" t="str">
        <f t="shared" si="7"/>
        <v/>
      </c>
      <c r="AD49" s="10139"/>
      <c r="AE49" s="10139"/>
      <c r="AF49" s="10139"/>
      <c r="AG49" s="911">
        <f t="shared" si="8"/>
        <v>0</v>
      </c>
      <c r="AH49" s="5727"/>
      <c r="AI49" s="5727" t="e">
        <f t="shared" si="5"/>
        <v>#VALUE!</v>
      </c>
      <c r="AJ49" s="853"/>
      <c r="AK49" s="857"/>
      <c r="AL49" s="857"/>
      <c r="AM49" s="855"/>
      <c r="AN49" s="855"/>
      <c r="AO49" s="856"/>
      <c r="AP49" s="855"/>
      <c r="AQ49" s="854"/>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61">
        <f t="shared" si="6"/>
        <v>0</v>
      </c>
      <c r="B50" s="10085" t="str">
        <f t="shared" si="0"/>
        <v/>
      </c>
      <c r="C50" s="9649"/>
      <c r="D50" s="9649"/>
      <c r="E50" s="9649"/>
      <c r="F50" s="9649"/>
      <c r="G50" s="9649"/>
      <c r="H50" s="9649"/>
      <c r="I50" s="9667"/>
      <c r="J50" s="10086" t="str">
        <f t="shared" si="1"/>
        <v/>
      </c>
      <c r="K50" s="10087"/>
      <c r="L50" s="10087"/>
      <c r="M50" s="10086" t="str">
        <f t="shared" si="2"/>
        <v/>
      </c>
      <c r="N50" s="10087"/>
      <c r="O50" s="10087"/>
      <c r="P50" s="10088"/>
      <c r="Q50" s="7143" t="str">
        <f t="shared" si="3"/>
        <v/>
      </c>
      <c r="R50" s="10090"/>
      <c r="S50" s="10090"/>
      <c r="T50" s="10091"/>
      <c r="U50" s="7143" t="str">
        <f t="shared" si="4"/>
        <v/>
      </c>
      <c r="V50" s="10090"/>
      <c r="W50" s="10090"/>
      <c r="X50" s="10091"/>
      <c r="Y50" s="10089" t="str">
        <f t="shared" si="18"/>
        <v/>
      </c>
      <c r="Z50" s="6563"/>
      <c r="AA50" s="10089" t="str">
        <f t="shared" si="19"/>
        <v/>
      </c>
      <c r="AB50" s="6563"/>
      <c r="AC50" s="10138" t="str">
        <f t="shared" si="7"/>
        <v/>
      </c>
      <c r="AD50" s="10139"/>
      <c r="AE50" s="10139"/>
      <c r="AF50" s="10139"/>
      <c r="AG50" s="911">
        <f t="shared" si="8"/>
        <v>0</v>
      </c>
      <c r="AH50" s="5727"/>
      <c r="AI50" s="5727" t="e">
        <f t="shared" si="5"/>
        <v>#VALUE!</v>
      </c>
      <c r="AJ50" s="853"/>
      <c r="AK50" s="857"/>
      <c r="AL50" s="857"/>
      <c r="AM50" s="855"/>
      <c r="AN50" s="855"/>
      <c r="AO50" s="856"/>
      <c r="AP50" s="855"/>
      <c r="AQ50" s="854"/>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61">
        <f t="shared" si="6"/>
        <v>0</v>
      </c>
      <c r="B51" s="10085" t="str">
        <f t="shared" si="0"/>
        <v/>
      </c>
      <c r="C51" s="9649"/>
      <c r="D51" s="9649"/>
      <c r="E51" s="9649"/>
      <c r="F51" s="9649"/>
      <c r="G51" s="9649"/>
      <c r="H51" s="9649"/>
      <c r="I51" s="9667"/>
      <c r="J51" s="10086" t="str">
        <f t="shared" si="1"/>
        <v/>
      </c>
      <c r="K51" s="10087"/>
      <c r="L51" s="10087"/>
      <c r="M51" s="10086" t="str">
        <f t="shared" si="2"/>
        <v/>
      </c>
      <c r="N51" s="10087"/>
      <c r="O51" s="10087"/>
      <c r="P51" s="10088"/>
      <c r="Q51" s="7143" t="str">
        <f t="shared" si="3"/>
        <v/>
      </c>
      <c r="R51" s="10090"/>
      <c r="S51" s="10090"/>
      <c r="T51" s="10091"/>
      <c r="U51" s="7143" t="str">
        <f t="shared" si="4"/>
        <v/>
      </c>
      <c r="V51" s="10090"/>
      <c r="W51" s="10090"/>
      <c r="X51" s="10091"/>
      <c r="Y51" s="10089" t="str">
        <f t="shared" si="18"/>
        <v/>
      </c>
      <c r="Z51" s="6563"/>
      <c r="AA51" s="10089" t="str">
        <f t="shared" si="19"/>
        <v/>
      </c>
      <c r="AB51" s="6563"/>
      <c r="AC51" s="10138" t="str">
        <f t="shared" si="7"/>
        <v/>
      </c>
      <c r="AD51" s="10139"/>
      <c r="AE51" s="10139"/>
      <c r="AF51" s="10139"/>
      <c r="AG51" s="911">
        <f t="shared" si="8"/>
        <v>0</v>
      </c>
      <c r="AH51" s="5727"/>
      <c r="AI51" s="5727" t="e">
        <f t="shared" si="5"/>
        <v>#VALUE!</v>
      </c>
      <c r="AJ51" s="853"/>
      <c r="AK51" s="857"/>
      <c r="AL51" s="857"/>
      <c r="AM51" s="855"/>
      <c r="AN51" s="855"/>
      <c r="AO51" s="856"/>
      <c r="AP51" s="855"/>
      <c r="AQ51" s="854"/>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61">
        <f t="shared" si="6"/>
        <v>0</v>
      </c>
      <c r="B52" s="10085" t="str">
        <f t="shared" si="0"/>
        <v/>
      </c>
      <c r="C52" s="9649"/>
      <c r="D52" s="9649"/>
      <c r="E52" s="9649"/>
      <c r="F52" s="9649"/>
      <c r="G52" s="9649"/>
      <c r="H52" s="9649"/>
      <c r="I52" s="9667"/>
      <c r="J52" s="10086" t="str">
        <f t="shared" si="1"/>
        <v/>
      </c>
      <c r="K52" s="10087"/>
      <c r="L52" s="10087"/>
      <c r="M52" s="10086" t="str">
        <f t="shared" si="2"/>
        <v/>
      </c>
      <c r="N52" s="10087"/>
      <c r="O52" s="10087"/>
      <c r="P52" s="10088"/>
      <c r="Q52" s="7143" t="str">
        <f t="shared" si="3"/>
        <v/>
      </c>
      <c r="R52" s="10090"/>
      <c r="S52" s="10090"/>
      <c r="T52" s="10091"/>
      <c r="U52" s="7143" t="str">
        <f t="shared" si="4"/>
        <v/>
      </c>
      <c r="V52" s="10090"/>
      <c r="W52" s="10090"/>
      <c r="X52" s="10091"/>
      <c r="Y52" s="10089" t="str">
        <f t="shared" si="18"/>
        <v/>
      </c>
      <c r="Z52" s="6563"/>
      <c r="AA52" s="10089" t="str">
        <f t="shared" si="19"/>
        <v/>
      </c>
      <c r="AB52" s="6563"/>
      <c r="AC52" s="10138" t="str">
        <f t="shared" si="7"/>
        <v/>
      </c>
      <c r="AD52" s="10139"/>
      <c r="AE52" s="10139"/>
      <c r="AF52" s="10139"/>
      <c r="AG52" s="911">
        <f t="shared" si="8"/>
        <v>0</v>
      </c>
      <c r="AH52" s="5727"/>
      <c r="AI52" s="5727" t="e">
        <f t="shared" si="5"/>
        <v>#VALUE!</v>
      </c>
      <c r="AJ52" s="853"/>
      <c r="AK52" s="857"/>
      <c r="AL52" s="857"/>
      <c r="AM52" s="855"/>
      <c r="AN52" s="855"/>
      <c r="AO52" s="856"/>
      <c r="AP52" s="855"/>
      <c r="AQ52" s="854"/>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61">
        <f t="shared" si="6"/>
        <v>0</v>
      </c>
      <c r="B53" s="10085" t="str">
        <f t="shared" si="0"/>
        <v/>
      </c>
      <c r="C53" s="9649"/>
      <c r="D53" s="9649"/>
      <c r="E53" s="9649"/>
      <c r="F53" s="9649"/>
      <c r="G53" s="9649"/>
      <c r="H53" s="9649"/>
      <c r="I53" s="9667"/>
      <c r="J53" s="10086" t="str">
        <f t="shared" si="1"/>
        <v/>
      </c>
      <c r="K53" s="10087"/>
      <c r="L53" s="10087"/>
      <c r="M53" s="10086" t="str">
        <f t="shared" si="2"/>
        <v/>
      </c>
      <c r="N53" s="10087"/>
      <c r="O53" s="10087"/>
      <c r="P53" s="10088"/>
      <c r="Q53" s="7143" t="str">
        <f t="shared" si="3"/>
        <v/>
      </c>
      <c r="R53" s="10090"/>
      <c r="S53" s="10090"/>
      <c r="T53" s="10091"/>
      <c r="U53" s="7143" t="str">
        <f t="shared" si="4"/>
        <v/>
      </c>
      <c r="V53" s="10090"/>
      <c r="W53" s="10090"/>
      <c r="X53" s="10091"/>
      <c r="Y53" s="10089" t="str">
        <f t="shared" si="18"/>
        <v/>
      </c>
      <c r="Z53" s="6563"/>
      <c r="AA53" s="10089" t="str">
        <f t="shared" si="19"/>
        <v/>
      </c>
      <c r="AB53" s="6563"/>
      <c r="AC53" s="10138" t="str">
        <f t="shared" si="7"/>
        <v/>
      </c>
      <c r="AD53" s="10139"/>
      <c r="AE53" s="10139"/>
      <c r="AF53" s="10139"/>
      <c r="AG53" s="911">
        <f t="shared" si="8"/>
        <v>0</v>
      </c>
      <c r="AH53" s="5727"/>
      <c r="AI53" s="5727" t="e">
        <f t="shared" si="5"/>
        <v>#VALUE!</v>
      </c>
      <c r="AJ53" s="853"/>
      <c r="AK53" s="857"/>
      <c r="AL53" s="857"/>
      <c r="AM53" s="855"/>
      <c r="AN53" s="855"/>
      <c r="AO53" s="856"/>
      <c r="AP53" s="855"/>
      <c r="AQ53" s="854"/>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61">
        <f t="shared" si="6"/>
        <v>0</v>
      </c>
      <c r="B54" s="10085" t="str">
        <f t="shared" si="0"/>
        <v/>
      </c>
      <c r="C54" s="9649"/>
      <c r="D54" s="9649"/>
      <c r="E54" s="9649"/>
      <c r="F54" s="9649"/>
      <c r="G54" s="9649"/>
      <c r="H54" s="9649"/>
      <c r="I54" s="9667"/>
      <c r="J54" s="10086" t="str">
        <f t="shared" si="1"/>
        <v/>
      </c>
      <c r="K54" s="10087"/>
      <c r="L54" s="10087"/>
      <c r="M54" s="10086" t="str">
        <f t="shared" si="2"/>
        <v/>
      </c>
      <c r="N54" s="10087"/>
      <c r="O54" s="10087"/>
      <c r="P54" s="10088"/>
      <c r="Q54" s="7143" t="str">
        <f t="shared" si="3"/>
        <v/>
      </c>
      <c r="R54" s="10090"/>
      <c r="S54" s="10090"/>
      <c r="T54" s="10091"/>
      <c r="U54" s="7143" t="str">
        <f t="shared" si="4"/>
        <v/>
      </c>
      <c r="V54" s="10090"/>
      <c r="W54" s="10090"/>
      <c r="X54" s="10091"/>
      <c r="Y54" s="10089" t="str">
        <f t="shared" si="18"/>
        <v/>
      </c>
      <c r="Z54" s="6563"/>
      <c r="AA54" s="10089" t="str">
        <f t="shared" si="19"/>
        <v/>
      </c>
      <c r="AB54" s="6563"/>
      <c r="AC54" s="10138" t="str">
        <f t="shared" si="7"/>
        <v/>
      </c>
      <c r="AD54" s="10139"/>
      <c r="AE54" s="10139"/>
      <c r="AF54" s="10139"/>
      <c r="AG54" s="911">
        <f t="shared" si="8"/>
        <v>0</v>
      </c>
      <c r="AH54" s="5727"/>
      <c r="AI54" s="5727" t="e">
        <f t="shared" si="5"/>
        <v>#VALUE!</v>
      </c>
      <c r="AJ54" s="853"/>
      <c r="AK54" s="857"/>
      <c r="AL54" s="857"/>
      <c r="AM54" s="855"/>
      <c r="AN54" s="855"/>
      <c r="AO54" s="856"/>
      <c r="AP54" s="855"/>
      <c r="AQ54" s="854"/>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61">
        <f>SUM(A35:A54)</f>
        <v>0</v>
      </c>
      <c r="B55" s="10108">
        <v>2</v>
      </c>
      <c r="C55" s="10110" t="s">
        <v>5015</v>
      </c>
      <c r="D55" s="10111"/>
      <c r="E55" s="10111"/>
      <c r="F55" s="10111"/>
      <c r="G55" s="10111"/>
      <c r="H55" s="10111"/>
      <c r="I55" s="10111"/>
      <c r="J55" s="10111"/>
      <c r="K55" s="10111"/>
      <c r="L55" s="10111"/>
      <c r="M55" s="10111"/>
      <c r="N55" s="10111"/>
      <c r="O55" s="10111"/>
      <c r="P55" s="10111"/>
      <c r="Q55" s="10113" t="str">
        <f>IF(A55=0,"",ROUND(SUM(Q35:Q54),0))</f>
        <v/>
      </c>
      <c r="R55" s="10114"/>
      <c r="S55" s="10114"/>
      <c r="T55" s="10115"/>
      <c r="U55" s="10113" t="str">
        <f>IF(A55=0,"",ROUND(SUM(U35:U54),0))</f>
        <v/>
      </c>
      <c r="V55" s="10124"/>
      <c r="W55" s="10124"/>
      <c r="X55" s="10133"/>
      <c r="Y55" s="10127"/>
      <c r="Z55" s="10128"/>
      <c r="AA55" s="10113" t="str">
        <f>IF(A55=0,"",ROUND(SUM(AA35:AA54),0))</f>
        <v/>
      </c>
      <c r="AB55" s="10115"/>
      <c r="AC55" s="10113" t="str">
        <f>IF(A55=0,"",ROUND(SUM(AC35:AC54),0))</f>
        <v/>
      </c>
      <c r="AD55" s="10124"/>
      <c r="AE55" s="10124"/>
      <c r="AF55" s="10124"/>
      <c r="AG55" s="461"/>
    </row>
    <row r="56" spans="1:55" ht="11.25" customHeight="1">
      <c r="A56" s="461"/>
      <c r="B56" s="10109"/>
      <c r="C56" s="10112"/>
      <c r="D56" s="10112"/>
      <c r="E56" s="10112"/>
      <c r="F56" s="10112"/>
      <c r="G56" s="10112"/>
      <c r="H56" s="10112"/>
      <c r="I56" s="10112"/>
      <c r="J56" s="10112"/>
      <c r="K56" s="10112"/>
      <c r="L56" s="10112"/>
      <c r="M56" s="10112"/>
      <c r="N56" s="10112"/>
      <c r="O56" s="10112"/>
      <c r="P56" s="10112"/>
      <c r="Q56" s="10116"/>
      <c r="R56" s="10117"/>
      <c r="S56" s="10117"/>
      <c r="T56" s="10118"/>
      <c r="U56" s="10125"/>
      <c r="V56" s="10126"/>
      <c r="W56" s="10126"/>
      <c r="X56" s="10134"/>
      <c r="Y56" s="10129"/>
      <c r="Z56" s="10130"/>
      <c r="AA56" s="10116"/>
      <c r="AB56" s="10118"/>
      <c r="AC56" s="10125"/>
      <c r="AD56" s="10126"/>
      <c r="AE56" s="10126"/>
      <c r="AF56" s="10126"/>
      <c r="AG56" s="461"/>
    </row>
    <row r="57" spans="1:55" ht="11.25" customHeight="1">
      <c r="A57" s="461"/>
      <c r="B57" s="10109"/>
      <c r="C57" s="10112"/>
      <c r="D57" s="10112"/>
      <c r="E57" s="10112"/>
      <c r="F57" s="10112"/>
      <c r="G57" s="10112"/>
      <c r="H57" s="10112"/>
      <c r="I57" s="10112"/>
      <c r="J57" s="10112"/>
      <c r="K57" s="10112"/>
      <c r="L57" s="10112"/>
      <c r="M57" s="10112"/>
      <c r="N57" s="10112"/>
      <c r="O57" s="10112"/>
      <c r="P57" s="10112"/>
      <c r="Q57" s="10116"/>
      <c r="R57" s="10117"/>
      <c r="S57" s="10117"/>
      <c r="T57" s="10118"/>
      <c r="U57" s="10125"/>
      <c r="V57" s="10126"/>
      <c r="W57" s="10126"/>
      <c r="X57" s="10134"/>
      <c r="Y57" s="10129"/>
      <c r="Z57" s="10130"/>
      <c r="AA57" s="10116"/>
      <c r="AB57" s="10118"/>
      <c r="AC57" s="10125"/>
      <c r="AD57" s="10126"/>
      <c r="AE57" s="10126"/>
      <c r="AF57" s="10126"/>
      <c r="AG57" s="461"/>
    </row>
    <row r="58" spans="1:55" ht="11.25" customHeight="1">
      <c r="A58" s="461"/>
      <c r="B58" s="10109"/>
      <c r="C58" s="10112"/>
      <c r="D58" s="10112"/>
      <c r="E58" s="10112"/>
      <c r="F58" s="10112"/>
      <c r="G58" s="10112"/>
      <c r="H58" s="10112"/>
      <c r="I58" s="10112"/>
      <c r="J58" s="10112"/>
      <c r="K58" s="10112"/>
      <c r="L58" s="10112"/>
      <c r="M58" s="10112"/>
      <c r="N58" s="10112"/>
      <c r="O58" s="10112"/>
      <c r="P58" s="10112"/>
      <c r="Q58" s="10116"/>
      <c r="R58" s="10117"/>
      <c r="S58" s="10117"/>
      <c r="T58" s="10118"/>
      <c r="U58" s="10125"/>
      <c r="V58" s="10126"/>
      <c r="W58" s="10126"/>
      <c r="X58" s="10134"/>
      <c r="Y58" s="10129"/>
      <c r="Z58" s="10130"/>
      <c r="AA58" s="10116"/>
      <c r="AB58" s="10118"/>
      <c r="AC58" s="10125"/>
      <c r="AD58" s="10126"/>
      <c r="AE58" s="10126"/>
      <c r="AF58" s="10126"/>
      <c r="AG58" s="461"/>
    </row>
    <row r="59" spans="1:55" ht="9" customHeight="1">
      <c r="A59" s="461"/>
      <c r="B59" s="10109"/>
      <c r="C59" s="10112"/>
      <c r="D59" s="10112"/>
      <c r="E59" s="10112"/>
      <c r="F59" s="10112"/>
      <c r="G59" s="10112"/>
      <c r="H59" s="10112"/>
      <c r="I59" s="10112"/>
      <c r="J59" s="10112"/>
      <c r="K59" s="10112"/>
      <c r="L59" s="10112"/>
      <c r="M59" s="10112"/>
      <c r="N59" s="10112"/>
      <c r="O59" s="10112"/>
      <c r="P59" s="10112"/>
      <c r="Q59" s="10116"/>
      <c r="R59" s="10117"/>
      <c r="S59" s="10117"/>
      <c r="T59" s="10118"/>
      <c r="U59" s="10135"/>
      <c r="V59" s="10136"/>
      <c r="W59" s="10136"/>
      <c r="X59" s="10137"/>
      <c r="Y59" s="10131"/>
      <c r="Z59" s="10132"/>
      <c r="AA59" s="10119"/>
      <c r="AB59" s="10121"/>
      <c r="AC59" s="10125"/>
      <c r="AD59" s="10126"/>
      <c r="AE59" s="10126"/>
      <c r="AF59" s="10126"/>
      <c r="AG59" s="461"/>
    </row>
    <row r="60" spans="1:55" ht="25.5" customHeight="1" thickBot="1">
      <c r="A60" s="461"/>
      <c r="B60" s="10140" t="s">
        <v>5040</v>
      </c>
      <c r="C60" s="10141"/>
      <c r="D60" s="10141"/>
      <c r="E60" s="10141"/>
      <c r="F60" s="10141"/>
      <c r="G60" s="10141"/>
      <c r="H60" s="10141"/>
      <c r="I60" s="10141"/>
      <c r="J60" s="10141"/>
      <c r="K60" s="10141"/>
      <c r="L60" s="10141"/>
      <c r="M60" s="10141"/>
      <c r="N60" s="10141"/>
      <c r="O60" s="10141"/>
      <c r="P60" s="10141"/>
      <c r="Q60" s="10141"/>
      <c r="R60" s="10141"/>
      <c r="S60" s="10141"/>
      <c r="T60" s="10141"/>
      <c r="U60" s="10142"/>
      <c r="V60" s="10142"/>
      <c r="W60" s="10142"/>
      <c r="X60" s="10142"/>
      <c r="Y60" s="10141"/>
      <c r="Z60" s="10141"/>
      <c r="AA60" s="10141"/>
      <c r="AB60" s="10141"/>
      <c r="AC60" s="10141"/>
      <c r="AD60" s="10141"/>
      <c r="AE60" s="10141"/>
      <c r="AF60" s="10141"/>
      <c r="AG60" s="461"/>
      <c r="AJ60" s="676"/>
    </row>
    <row r="61" spans="1:55" ht="16.5" thickTop="1">
      <c r="A61" s="461"/>
      <c r="B61" s="3858" t="s">
        <v>979</v>
      </c>
      <c r="C61" s="22"/>
      <c r="D61" s="22"/>
      <c r="E61" s="22"/>
      <c r="F61" s="22"/>
      <c r="G61" s="22"/>
      <c r="H61" s="22"/>
      <c r="I61" s="22"/>
      <c r="J61" s="22"/>
      <c r="K61" s="22"/>
      <c r="L61" s="22"/>
      <c r="M61" s="22"/>
      <c r="N61" s="22"/>
      <c r="O61" s="22"/>
      <c r="P61" s="22"/>
      <c r="Q61" s="22"/>
      <c r="R61" s="22"/>
      <c r="S61" s="22"/>
      <c r="T61" s="22"/>
      <c r="U61" s="337" t="s">
        <v>5017</v>
      </c>
      <c r="V61" s="22"/>
      <c r="W61" s="22"/>
      <c r="X61" s="22"/>
      <c r="Y61" s="22"/>
      <c r="Z61" s="22"/>
      <c r="AA61" s="22"/>
      <c r="AB61" s="22"/>
      <c r="AC61" s="22"/>
      <c r="AD61" s="705" t="s">
        <v>5018</v>
      </c>
      <c r="AE61" s="22"/>
      <c r="AF61" s="2822" t="str">
        <f>"("&amp;TaxYear&amp;")"</f>
        <v>(2023)</v>
      </c>
      <c r="AG61" s="461"/>
    </row>
    <row r="62" spans="1:55" ht="15.75">
      <c r="A62" s="461"/>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5019</v>
      </c>
      <c r="W62" s="38"/>
      <c r="X62" s="38"/>
      <c r="Y62" s="38"/>
      <c r="Z62" s="38"/>
      <c r="AA62" s="38"/>
      <c r="AB62" s="38"/>
      <c r="AC62" s="38"/>
      <c r="AD62" s="38"/>
      <c r="AE62" s="38"/>
      <c r="AF62" s="747" t="s">
        <v>981</v>
      </c>
      <c r="AG62" s="461"/>
    </row>
    <row r="63" spans="1:55">
      <c r="A63" s="461"/>
      <c r="B63" s="29" t="s">
        <v>5020</v>
      </c>
      <c r="C63" s="22"/>
      <c r="D63" s="22"/>
      <c r="E63" s="22"/>
      <c r="F63" s="22"/>
      <c r="G63" s="22"/>
      <c r="H63" s="22"/>
      <c r="I63" s="22"/>
      <c r="J63" s="22"/>
      <c r="K63" s="22"/>
      <c r="L63" s="22"/>
      <c r="M63" s="22"/>
      <c r="N63" s="22"/>
      <c r="O63" s="22"/>
      <c r="P63" s="22"/>
      <c r="Q63" s="22"/>
      <c r="R63" s="22"/>
      <c r="S63" s="22"/>
      <c r="T63" s="22"/>
      <c r="U63" s="22"/>
      <c r="V63" s="852" t="s">
        <v>4976</v>
      </c>
      <c r="W63" s="22"/>
      <c r="X63" s="22"/>
      <c r="Y63" s="22"/>
      <c r="Z63" s="33"/>
      <c r="AA63" s="22"/>
      <c r="AB63" s="22"/>
      <c r="AC63" s="22"/>
      <c r="AD63" s="22"/>
      <c r="AE63" s="22"/>
      <c r="AF63" s="22"/>
      <c r="AG63" s="461"/>
    </row>
    <row r="64" spans="1:55" ht="16.5" thickBot="1">
      <c r="A64" s="461"/>
      <c r="B64" s="10160" t="str">
        <f>Names</f>
        <v/>
      </c>
      <c r="C64" s="10161"/>
      <c r="D64" s="10161"/>
      <c r="E64" s="10161"/>
      <c r="F64" s="10161"/>
      <c r="G64" s="10161"/>
      <c r="H64" s="10161"/>
      <c r="I64" s="10161"/>
      <c r="J64" s="10161"/>
      <c r="K64" s="10161"/>
      <c r="L64" s="10161"/>
      <c r="M64" s="10161"/>
      <c r="N64" s="10161"/>
      <c r="O64" s="10161"/>
      <c r="P64" s="10161"/>
      <c r="Q64" s="10161"/>
      <c r="R64" s="10161"/>
      <c r="S64" s="10161"/>
      <c r="T64" s="10161"/>
      <c r="U64" s="10162"/>
      <c r="V64" s="10163">
        <f>IF(NoSSN,"",SS_Yours)</f>
        <v>1010001</v>
      </c>
      <c r="W64" s="10164"/>
      <c r="X64" s="10164"/>
      <c r="Y64" s="10164"/>
      <c r="Z64" s="10164"/>
      <c r="AA64" s="10164"/>
      <c r="AB64" s="10164"/>
      <c r="AC64" s="10164"/>
      <c r="AD64" s="10164"/>
      <c r="AE64" s="10164"/>
      <c r="AF64" s="10164"/>
      <c r="AG64" s="461"/>
    </row>
    <row r="65" spans="1:55" ht="12.75" customHeight="1">
      <c r="A65" s="461"/>
      <c r="B65" s="10122" t="s">
        <v>5041</v>
      </c>
      <c r="C65" s="10123"/>
      <c r="D65" s="10123"/>
      <c r="E65" s="10123"/>
      <c r="F65" s="10123"/>
      <c r="G65" s="10123"/>
      <c r="H65" s="10123"/>
      <c r="I65" s="10123"/>
      <c r="J65" s="10123"/>
      <c r="K65" s="10123"/>
      <c r="L65" s="10123"/>
      <c r="M65" s="10123"/>
      <c r="N65" s="10123"/>
      <c r="O65" s="10123"/>
      <c r="P65" s="10123"/>
      <c r="Q65" s="10123"/>
      <c r="R65" s="10123"/>
      <c r="S65" s="10123"/>
      <c r="T65" s="10123"/>
      <c r="U65" s="10123"/>
      <c r="V65" s="10123"/>
      <c r="W65" s="10123"/>
      <c r="X65" s="10123"/>
      <c r="Y65" s="10123"/>
      <c r="Z65" s="10123"/>
      <c r="AA65" s="10123"/>
      <c r="AB65" s="10123"/>
      <c r="AC65" s="10123"/>
      <c r="AD65" s="10123"/>
      <c r="AE65" s="10123"/>
      <c r="AF65" s="10123"/>
      <c r="AG65" s="461"/>
    </row>
    <row r="66" spans="1:55" ht="12.75" customHeight="1">
      <c r="A66" s="461"/>
      <c r="B66" s="8117"/>
      <c r="C66" s="8117"/>
      <c r="D66" s="8117"/>
      <c r="E66" s="8117"/>
      <c r="F66" s="8117"/>
      <c r="G66" s="8117"/>
      <c r="H66" s="8117"/>
      <c r="I66" s="8117"/>
      <c r="J66" s="8117"/>
      <c r="K66" s="8117"/>
      <c r="L66" s="8117"/>
      <c r="M66" s="8117"/>
      <c r="N66" s="8117"/>
      <c r="O66" s="8117"/>
      <c r="P66" s="8117"/>
      <c r="Q66" s="8117"/>
      <c r="R66" s="8117"/>
      <c r="S66" s="8117"/>
      <c r="T66" s="8117"/>
      <c r="U66" s="8117"/>
      <c r="V66" s="8117"/>
      <c r="W66" s="8117"/>
      <c r="X66" s="8117"/>
      <c r="Y66" s="8117"/>
      <c r="Z66" s="8117"/>
      <c r="AA66" s="8117"/>
      <c r="AB66" s="8117"/>
      <c r="AC66" s="8117"/>
      <c r="AD66" s="8117"/>
      <c r="AE66" s="8117"/>
      <c r="AF66" s="8117"/>
      <c r="AG66" s="461"/>
    </row>
    <row r="67" spans="1:55" ht="12.75" customHeight="1">
      <c r="A67" s="461"/>
      <c r="B67" s="7956"/>
      <c r="C67" s="7956"/>
      <c r="D67" s="7956"/>
      <c r="E67" s="7956"/>
      <c r="F67" s="7956"/>
      <c r="G67" s="7956"/>
      <c r="H67" s="7956"/>
      <c r="I67" s="7956"/>
      <c r="J67" s="7956"/>
      <c r="K67" s="7956"/>
      <c r="L67" s="7956"/>
      <c r="M67" s="7956"/>
      <c r="N67" s="7956"/>
      <c r="O67" s="7956"/>
      <c r="P67" s="7956"/>
      <c r="Q67" s="7956"/>
      <c r="R67" s="7956"/>
      <c r="S67" s="7956"/>
      <c r="T67" s="7956"/>
      <c r="U67" s="7956"/>
      <c r="V67" s="7956"/>
      <c r="W67" s="7956"/>
      <c r="X67" s="7956"/>
      <c r="Y67" s="7956"/>
      <c r="Z67" s="7956"/>
      <c r="AA67" s="7956"/>
      <c r="AB67" s="7956"/>
      <c r="AC67" s="7956"/>
      <c r="AD67" s="7956"/>
      <c r="AE67" s="7956"/>
      <c r="AF67" s="7956"/>
      <c r="AG67" s="461"/>
    </row>
    <row r="68" spans="1:55" ht="3.75" customHeight="1">
      <c r="A68" s="461"/>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61"/>
    </row>
    <row r="69" spans="1:55" ht="15">
      <c r="A69" s="461"/>
      <c r="B69" s="10158" t="s">
        <v>982</v>
      </c>
      <c r="C69" s="10159"/>
      <c r="D69" s="22"/>
      <c r="E69" s="235" t="s">
        <v>5021</v>
      </c>
      <c r="F69" s="276"/>
      <c r="G69" s="276"/>
      <c r="H69" s="276"/>
      <c r="I69" s="276"/>
      <c r="J69" s="276"/>
      <c r="K69" s="276"/>
      <c r="L69" s="276"/>
      <c r="M69" s="276"/>
      <c r="N69" s="276"/>
      <c r="O69" s="276"/>
      <c r="P69" s="235"/>
      <c r="Q69" s="276"/>
      <c r="R69" s="276"/>
      <c r="S69" s="276"/>
      <c r="T69" s="276" t="s">
        <v>5022</v>
      </c>
      <c r="U69" s="276"/>
      <c r="V69" s="276"/>
      <c r="W69" s="276"/>
      <c r="X69" s="276"/>
      <c r="Y69" s="276" t="s">
        <v>5023</v>
      </c>
      <c r="Z69" s="276"/>
      <c r="AA69" s="276"/>
      <c r="AB69" s="276"/>
      <c r="AC69" s="276"/>
      <c r="AD69" s="276"/>
      <c r="AE69" s="276"/>
      <c r="AF69" s="276"/>
      <c r="AG69" s="461" t="b">
        <f>IF(SUM(AG88:AG115)&gt;0,TRUE,FALSE)</f>
        <v>0</v>
      </c>
    </row>
    <row r="70" spans="1:55" ht="11.25" customHeight="1">
      <c r="A70" s="461"/>
      <c r="B70" s="22"/>
      <c r="C70" s="22"/>
      <c r="D70" s="22"/>
      <c r="E70" s="276" t="s">
        <v>5024</v>
      </c>
      <c r="F70" s="276"/>
      <c r="G70" s="276"/>
      <c r="H70" s="276"/>
      <c r="I70" s="276"/>
      <c r="J70" s="276"/>
      <c r="K70" s="276"/>
      <c r="L70" s="276"/>
      <c r="M70" s="276"/>
      <c r="N70" s="276"/>
      <c r="O70" s="276"/>
      <c r="P70" s="276"/>
      <c r="Q70" s="276"/>
      <c r="R70" s="276"/>
      <c r="S70" s="276"/>
      <c r="T70" s="276"/>
      <c r="U70" s="276"/>
      <c r="V70" s="276"/>
      <c r="W70" s="276"/>
      <c r="X70" s="276"/>
      <c r="Y70" s="276"/>
      <c r="Z70" s="276"/>
      <c r="AA70" s="276"/>
      <c r="AB70" s="276"/>
      <c r="AC70" s="276"/>
      <c r="AD70" s="276"/>
      <c r="AE70" s="276"/>
      <c r="AF70" s="276"/>
      <c r="AG70" s="461"/>
    </row>
    <row r="71" spans="1:55" s="182" customFormat="1" ht="13.5" customHeight="1">
      <c r="A71" s="2094"/>
      <c r="B71" s="276"/>
      <c r="C71" s="276"/>
      <c r="D71" s="276"/>
      <c r="E71" s="2095" t="s">
        <v>5025</v>
      </c>
      <c r="F71" s="276"/>
      <c r="G71" s="276"/>
      <c r="H71" s="276"/>
      <c r="I71" s="276"/>
      <c r="J71" s="276"/>
      <c r="K71" s="276"/>
      <c r="L71" s="276"/>
      <c r="M71" s="276"/>
      <c r="N71" s="276"/>
      <c r="O71" s="276"/>
      <c r="P71" s="276"/>
      <c r="Q71" s="276"/>
      <c r="R71" s="276"/>
      <c r="S71" s="276"/>
      <c r="T71" s="276"/>
      <c r="U71" s="276"/>
      <c r="V71" s="276"/>
      <c r="W71" s="276"/>
      <c r="X71" s="276"/>
      <c r="Y71" s="276"/>
      <c r="Z71" s="276"/>
      <c r="AA71" s="276"/>
      <c r="AB71" s="276"/>
      <c r="AC71" s="276"/>
      <c r="AD71" s="276"/>
      <c r="AE71" s="276"/>
      <c r="AF71" s="276"/>
      <c r="AG71" s="2094"/>
      <c r="AH71" s="671"/>
      <c r="AI71" s="671"/>
    </row>
    <row r="72" spans="1:55" s="182" customFormat="1" ht="13.5" customHeight="1">
      <c r="A72" s="2094"/>
      <c r="B72" s="276"/>
      <c r="C72" s="276"/>
      <c r="D72" s="276"/>
      <c r="E72" s="276" t="s">
        <v>5026</v>
      </c>
      <c r="F72" s="276"/>
      <c r="G72" s="276"/>
      <c r="H72" s="276"/>
      <c r="I72" s="276"/>
      <c r="J72" s="276"/>
      <c r="K72" s="276"/>
      <c r="L72" s="276"/>
      <c r="M72" s="276"/>
      <c r="N72" s="276"/>
      <c r="O72" s="276"/>
      <c r="P72" s="276"/>
      <c r="Q72" s="276"/>
      <c r="R72" s="276"/>
      <c r="S72" s="276"/>
      <c r="T72" s="276"/>
      <c r="U72" s="276"/>
      <c r="V72" s="276"/>
      <c r="W72" s="276"/>
      <c r="X72" s="276"/>
      <c r="Y72" s="276"/>
      <c r="Z72" s="276"/>
      <c r="AA72" s="276"/>
      <c r="AB72" s="276"/>
      <c r="AC72" s="276"/>
      <c r="AD72" s="276"/>
      <c r="AE72" s="276"/>
      <c r="AF72" s="276"/>
      <c r="AG72" s="2094"/>
      <c r="AH72" s="671"/>
      <c r="AI72" s="671"/>
    </row>
    <row r="73" spans="1:55" s="182" customFormat="1" ht="13.5" customHeight="1">
      <c r="A73" s="2094"/>
      <c r="B73" s="2096"/>
      <c r="C73" s="2096"/>
      <c r="D73" s="2096"/>
      <c r="E73" s="2096" t="s">
        <v>5027</v>
      </c>
      <c r="F73" s="2096"/>
      <c r="G73" s="2096"/>
      <c r="H73" s="2096"/>
      <c r="I73" s="2096"/>
      <c r="J73" s="2096"/>
      <c r="K73" s="2096"/>
      <c r="L73" s="2096"/>
      <c r="M73" s="2096"/>
      <c r="N73" s="2096"/>
      <c r="O73" s="2096"/>
      <c r="P73" s="2096"/>
      <c r="Q73" s="2096"/>
      <c r="R73" s="2096"/>
      <c r="S73" s="2096"/>
      <c r="T73" s="2096"/>
      <c r="U73" s="2096"/>
      <c r="V73" s="2096"/>
      <c r="W73" s="2096"/>
      <c r="X73" s="2096"/>
      <c r="Y73" s="2096"/>
      <c r="Z73" s="2096"/>
      <c r="AA73" s="2096"/>
      <c r="AB73" s="2096"/>
      <c r="AC73" s="2096"/>
      <c r="AD73" s="2096"/>
      <c r="AE73" s="2096"/>
      <c r="AF73" s="2096"/>
      <c r="AG73" s="2094"/>
      <c r="AH73" s="671"/>
      <c r="AI73" s="671"/>
    </row>
    <row r="74" spans="1:55">
      <c r="A74" s="461"/>
      <c r="B74" s="194" t="s">
        <v>5028</v>
      </c>
      <c r="C74" s="51"/>
      <c r="D74" s="51"/>
      <c r="E74" s="51"/>
      <c r="F74" s="51"/>
      <c r="G74" s="51"/>
      <c r="H74" s="51"/>
      <c r="I74" s="51"/>
      <c r="J74" s="51"/>
      <c r="K74" s="194" t="s">
        <v>4986</v>
      </c>
      <c r="L74" s="51"/>
      <c r="M74" s="51"/>
      <c r="N74" s="51"/>
      <c r="O74" s="51"/>
      <c r="P74" s="61" t="s">
        <v>5029</v>
      </c>
      <c r="Q74" s="51"/>
      <c r="R74" s="51"/>
      <c r="S74" s="51"/>
      <c r="T74" s="51"/>
      <c r="U74" s="51"/>
      <c r="V74" s="51"/>
      <c r="W74" s="51"/>
      <c r="X74" s="51"/>
      <c r="Y74" s="51"/>
      <c r="Z74" s="51"/>
      <c r="AA74" s="51"/>
      <c r="AB74" s="51"/>
      <c r="AC74" s="51"/>
      <c r="AD74" s="51"/>
      <c r="AE74" s="51"/>
      <c r="AF74" s="51"/>
      <c r="AG74" s="461"/>
    </row>
    <row r="75" spans="1:55">
      <c r="A75" s="461"/>
      <c r="B75" s="61" t="s">
        <v>5030</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61"/>
      <c r="BA75" s="10194" t="s">
        <v>4989</v>
      </c>
      <c r="BB75" s="6435"/>
      <c r="BC75" s="7427"/>
    </row>
    <row r="76" spans="1:55">
      <c r="A76" s="461"/>
      <c r="B76" s="61" t="s">
        <v>5031</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61"/>
      <c r="BA76" s="10195" t="s">
        <v>4991</v>
      </c>
      <c r="BB76" s="10195" t="s">
        <v>4992</v>
      </c>
      <c r="BC76" s="10195" t="s">
        <v>4993</v>
      </c>
    </row>
    <row r="77" spans="1:55" ht="4.5" customHeight="1" thickBot="1">
      <c r="A77" s="46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61"/>
      <c r="BA77" s="10196"/>
      <c r="BB77" s="10196"/>
      <c r="BC77" s="10196"/>
    </row>
    <row r="78" spans="1:55" ht="12" customHeight="1" thickBot="1">
      <c r="A78" s="461"/>
      <c r="B78" s="874">
        <f>IF(C78&lt;&gt;"",1,0)</f>
        <v>0</v>
      </c>
      <c r="C78" s="873"/>
      <c r="D78" s="683" t="s">
        <v>5032</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61"/>
      <c r="AJ78" s="10200"/>
      <c r="AK78" s="10201"/>
      <c r="AL78" s="10201"/>
      <c r="AM78" s="10201"/>
      <c r="AN78" s="10201"/>
      <c r="AO78" s="10201"/>
      <c r="AP78" s="10201"/>
      <c r="AQ78" s="10201"/>
      <c r="BA78" s="10196"/>
      <c r="BB78" s="10196"/>
      <c r="BC78" s="10196"/>
    </row>
    <row r="79" spans="1:55" ht="4.5" customHeight="1" thickBot="1">
      <c r="A79" s="461"/>
      <c r="B79" s="5728"/>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61"/>
      <c r="BA79" s="10196"/>
      <c r="BB79" s="10196"/>
      <c r="BC79" s="10196"/>
    </row>
    <row r="80" spans="1:55" ht="11.25" customHeight="1" thickBot="1">
      <c r="A80" s="461"/>
      <c r="B80" s="874">
        <f>IF(C80&lt;&gt;"",1,0)</f>
        <v>0</v>
      </c>
      <c r="C80" s="873"/>
      <c r="D80" s="683" t="s">
        <v>5033</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61"/>
      <c r="AJ80" s="10200"/>
      <c r="AK80" s="10201"/>
      <c r="AL80" s="10201"/>
      <c r="AM80" s="10201"/>
      <c r="AN80" s="10201"/>
      <c r="AO80" s="10201"/>
      <c r="AP80" s="10201"/>
      <c r="AQ80" s="10201"/>
      <c r="BA80" s="10196"/>
      <c r="BB80" s="10196"/>
      <c r="BC80" s="10196"/>
    </row>
    <row r="81" spans="1:55" ht="4.5" customHeight="1" thickBot="1">
      <c r="A81" s="461"/>
      <c r="B81" s="5728"/>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61"/>
      <c r="BA81" s="10196"/>
      <c r="BB81" s="10196"/>
      <c r="BC81" s="10196"/>
    </row>
    <row r="82" spans="1:55" ht="12" customHeight="1" thickBot="1">
      <c r="A82" s="461">
        <f>SUM(B78:B82)</f>
        <v>0</v>
      </c>
      <c r="B82" s="874">
        <f>IF(C82&lt;&gt;"",1,0)</f>
        <v>0</v>
      </c>
      <c r="C82" s="873"/>
      <c r="D82" s="683" t="s">
        <v>5034</v>
      </c>
      <c r="E82" s="51"/>
      <c r="F82" s="51"/>
      <c r="G82" s="51"/>
      <c r="H82" s="51"/>
      <c r="I82" s="51"/>
      <c r="J82" s="51"/>
      <c r="K82" s="51"/>
      <c r="L82" s="51"/>
      <c r="M82" s="51"/>
      <c r="N82" s="51"/>
      <c r="O82" s="51"/>
      <c r="P82" s="51"/>
      <c r="Q82" s="51"/>
      <c r="R82" s="10185" t="str">
        <f>IF(SpaceUsed_8949C_LT,"ERROR: DO NOT use the space bar to uncheck a box. Use the 'Delete' key.",IF(A82&gt;1,"Check only ONE box.",IF(OR(NoColor,A82&gt;0),"",IF(A82&lt;1,"Check ONE box.",""))))</f>
        <v>Check ONE box.</v>
      </c>
      <c r="S82" s="10186"/>
      <c r="T82" s="10186"/>
      <c r="U82" s="10186"/>
      <c r="V82" s="10186"/>
      <c r="W82" s="10186"/>
      <c r="X82" s="10186"/>
      <c r="Y82" s="10186"/>
      <c r="Z82" s="10186"/>
      <c r="AA82" s="10186"/>
      <c r="AB82" s="10186"/>
      <c r="AC82" s="10186"/>
      <c r="AD82" s="10186"/>
      <c r="AE82" s="10186"/>
      <c r="AF82" s="51"/>
      <c r="AG82" s="461"/>
      <c r="AH82" s="1028" t="b">
        <f>IF(OR(F8949CLBOXA=CHAR(32),F8949CLBOXB=CHAR(32),F8949CLBOXC=CHAR(32)),TRUE,FALSE)</f>
        <v>0</v>
      </c>
      <c r="AJ82" s="10200" t="s">
        <v>4997</v>
      </c>
      <c r="AK82" s="10201"/>
      <c r="AL82" s="10201"/>
      <c r="AM82" s="10201"/>
      <c r="AN82" s="10201"/>
      <c r="AO82" s="10201"/>
      <c r="AP82" s="10201"/>
      <c r="AQ82" s="10201"/>
      <c r="BA82" s="10196"/>
      <c r="BB82" s="10196"/>
      <c r="BC82" s="10196"/>
    </row>
    <row r="83" spans="1:55" ht="3.75" customHeight="1">
      <c r="A83" s="461"/>
      <c r="B83" s="195"/>
      <c r="C83" s="746"/>
      <c r="D83" s="195"/>
      <c r="E83" s="195"/>
      <c r="F83" s="195"/>
      <c r="G83" s="195"/>
      <c r="H83" s="195"/>
      <c r="I83" s="195"/>
      <c r="J83" s="195"/>
      <c r="K83" s="195"/>
      <c r="L83" s="195"/>
      <c r="M83" s="195"/>
      <c r="N83" s="746"/>
      <c r="O83" s="195"/>
      <c r="P83" s="195"/>
      <c r="Q83" s="195"/>
      <c r="R83" s="195"/>
      <c r="S83" s="195"/>
      <c r="T83" s="195"/>
      <c r="U83" s="195"/>
      <c r="V83" s="195"/>
      <c r="W83" s="195"/>
      <c r="X83" s="195"/>
      <c r="Y83" s="746"/>
      <c r="Z83" s="195"/>
      <c r="AA83" s="195"/>
      <c r="AB83" s="195"/>
      <c r="AC83" s="195"/>
      <c r="AD83" s="195"/>
      <c r="AE83" s="195"/>
      <c r="AF83" s="195"/>
      <c r="AG83" s="461"/>
      <c r="BA83" s="10196"/>
      <c r="BB83" s="10196"/>
      <c r="BC83" s="10196"/>
    </row>
    <row r="84" spans="1:55" ht="21" customHeight="1">
      <c r="A84" s="461"/>
      <c r="B84" s="10143">
        <v>1</v>
      </c>
      <c r="C84" s="10147" t="s">
        <v>4998</v>
      </c>
      <c r="D84" s="10148"/>
      <c r="E84" s="10148"/>
      <c r="F84" s="10148"/>
      <c r="G84" s="10148"/>
      <c r="H84" s="10148"/>
      <c r="I84" s="10149"/>
      <c r="J84" s="10155" t="s">
        <v>5035</v>
      </c>
      <c r="K84" s="7417"/>
      <c r="L84" s="7278"/>
      <c r="M84" s="10155" t="s">
        <v>5000</v>
      </c>
      <c r="N84" s="7417"/>
      <c r="O84" s="7417"/>
      <c r="P84" s="7278"/>
      <c r="Q84" s="10155" t="s">
        <v>5001</v>
      </c>
      <c r="R84" s="7417"/>
      <c r="S84" s="7417"/>
      <c r="T84" s="7278"/>
      <c r="U84" s="10092" t="s">
        <v>5002</v>
      </c>
      <c r="V84" s="10093"/>
      <c r="W84" s="10093"/>
      <c r="X84" s="10094"/>
      <c r="Y84" s="10102" t="s">
        <v>5003</v>
      </c>
      <c r="Z84" s="10103"/>
      <c r="AA84" s="10103"/>
      <c r="AB84" s="10104"/>
      <c r="AC84" s="10092" t="s">
        <v>5004</v>
      </c>
      <c r="AD84" s="10093"/>
      <c r="AE84" s="10093"/>
      <c r="AF84" s="10093"/>
      <c r="AG84" s="461"/>
      <c r="AJ84" s="10202" t="s">
        <v>5005</v>
      </c>
      <c r="AK84" s="10202" t="s">
        <v>5006</v>
      </c>
      <c r="AL84" s="10202" t="s">
        <v>5007</v>
      </c>
      <c r="AM84" s="10202" t="s">
        <v>5008</v>
      </c>
      <c r="AN84" s="10204" t="s">
        <v>5009</v>
      </c>
      <c r="AO84" s="10199" t="s">
        <v>5010</v>
      </c>
      <c r="AP84" s="7302"/>
      <c r="AQ84" s="10202" t="s">
        <v>5036</v>
      </c>
      <c r="BA84" s="10196"/>
      <c r="BB84" s="10196"/>
      <c r="BC84" s="10196"/>
    </row>
    <row r="85" spans="1:55" ht="21" customHeight="1">
      <c r="A85" s="461"/>
      <c r="B85" s="10144"/>
      <c r="C85" s="10150"/>
      <c r="D85" s="10151"/>
      <c r="E85" s="10151"/>
      <c r="F85" s="10151"/>
      <c r="G85" s="10151"/>
      <c r="H85" s="10151"/>
      <c r="I85" s="10152"/>
      <c r="J85" s="10156"/>
      <c r="K85" s="8454"/>
      <c r="L85" s="7280"/>
      <c r="M85" s="10156"/>
      <c r="N85" s="8454"/>
      <c r="O85" s="8454"/>
      <c r="P85" s="7280"/>
      <c r="Q85" s="10156"/>
      <c r="R85" s="8454"/>
      <c r="S85" s="8454"/>
      <c r="T85" s="7280"/>
      <c r="U85" s="10095"/>
      <c r="V85" s="10096"/>
      <c r="W85" s="10096"/>
      <c r="X85" s="10097"/>
      <c r="Y85" s="10105"/>
      <c r="Z85" s="10106"/>
      <c r="AA85" s="10106"/>
      <c r="AB85" s="10107"/>
      <c r="AC85" s="10095"/>
      <c r="AD85" s="10096"/>
      <c r="AE85" s="10096"/>
      <c r="AF85" s="10096"/>
      <c r="AG85" s="461"/>
      <c r="AJ85" s="10202"/>
      <c r="AK85" s="10202"/>
      <c r="AL85" s="10202"/>
      <c r="AM85" s="10202"/>
      <c r="AN85" s="10204"/>
      <c r="AO85" s="7414"/>
      <c r="AP85" s="7308"/>
      <c r="AQ85" s="10202"/>
      <c r="BA85" s="10196"/>
      <c r="BB85" s="10196"/>
      <c r="BC85" s="10196"/>
    </row>
    <row r="86" spans="1:55" ht="18" customHeight="1">
      <c r="A86" s="461"/>
      <c r="B86" s="10145"/>
      <c r="C86" s="10151"/>
      <c r="D86" s="10151"/>
      <c r="E86" s="10151"/>
      <c r="F86" s="10151"/>
      <c r="G86" s="10151"/>
      <c r="H86" s="10151"/>
      <c r="I86" s="10152"/>
      <c r="J86" s="7279"/>
      <c r="K86" s="8454"/>
      <c r="L86" s="7280"/>
      <c r="M86" s="7279"/>
      <c r="N86" s="8454"/>
      <c r="O86" s="8454"/>
      <c r="P86" s="7280"/>
      <c r="Q86" s="7279"/>
      <c r="R86" s="8454"/>
      <c r="S86" s="8454"/>
      <c r="T86" s="7280"/>
      <c r="U86" s="10098"/>
      <c r="V86" s="10096"/>
      <c r="W86" s="10096"/>
      <c r="X86" s="10097"/>
      <c r="Y86" s="7396" t="s">
        <v>5012</v>
      </c>
      <c r="Z86" s="7278"/>
      <c r="AA86" s="7396" t="s">
        <v>5013</v>
      </c>
      <c r="AB86" s="7451"/>
      <c r="AC86" s="10098"/>
      <c r="AD86" s="10096"/>
      <c r="AE86" s="10096"/>
      <c r="AF86" s="10096"/>
      <c r="AG86" s="461"/>
      <c r="AJ86" s="10203"/>
      <c r="AK86" s="10203"/>
      <c r="AL86" s="10203"/>
      <c r="AM86" s="10203"/>
      <c r="AN86" s="10205"/>
      <c r="AO86" s="10197" t="s">
        <v>5014</v>
      </c>
      <c r="AP86" s="7577" t="s">
        <v>5013</v>
      </c>
      <c r="AQ86" s="10203"/>
      <c r="BA86" s="10196"/>
      <c r="BB86" s="10196"/>
      <c r="BC86" s="10196"/>
    </row>
    <row r="87" spans="1:55" ht="18" customHeight="1">
      <c r="A87" s="461"/>
      <c r="B87" s="10146"/>
      <c r="C87" s="10153"/>
      <c r="D87" s="10153"/>
      <c r="E87" s="10153"/>
      <c r="F87" s="10153"/>
      <c r="G87" s="10153"/>
      <c r="H87" s="10153"/>
      <c r="I87" s="10154"/>
      <c r="J87" s="7281"/>
      <c r="K87" s="10157"/>
      <c r="L87" s="7282"/>
      <c r="M87" s="7281"/>
      <c r="N87" s="10157"/>
      <c r="O87" s="10157"/>
      <c r="P87" s="7282"/>
      <c r="Q87" s="7281"/>
      <c r="R87" s="10157"/>
      <c r="S87" s="10157"/>
      <c r="T87" s="7282"/>
      <c r="U87" s="10099"/>
      <c r="V87" s="10100"/>
      <c r="W87" s="10100"/>
      <c r="X87" s="10101"/>
      <c r="Y87" s="7281"/>
      <c r="Z87" s="7282"/>
      <c r="AA87" s="6734"/>
      <c r="AB87" s="7453"/>
      <c r="AC87" s="10099"/>
      <c r="AD87" s="10100"/>
      <c r="AE87" s="10100"/>
      <c r="AF87" s="10100"/>
      <c r="AG87" s="461"/>
      <c r="AJ87" s="10203"/>
      <c r="AK87" s="10203"/>
      <c r="AL87" s="10203"/>
      <c r="AM87" s="10203"/>
      <c r="AN87" s="10205"/>
      <c r="AO87" s="10198"/>
      <c r="AP87" s="10198"/>
      <c r="AQ87" s="10203"/>
      <c r="BA87" s="10196"/>
      <c r="BB87" s="10196"/>
      <c r="BC87" s="10196"/>
    </row>
    <row r="88" spans="1:55" ht="19.5" customHeight="1">
      <c r="A88" s="461">
        <f>IF(OR(U88&lt;&gt;"",Y88&lt;&gt;"",AC88&lt;&gt;""),1,0)</f>
        <v>0</v>
      </c>
      <c r="B88" s="10085" t="str">
        <f t="shared" ref="B88:B115" si="20">IF(AJ88="","",AJ88)</f>
        <v/>
      </c>
      <c r="C88" s="9649"/>
      <c r="D88" s="9649"/>
      <c r="E88" s="9649"/>
      <c r="F88" s="9649"/>
      <c r="G88" s="9649"/>
      <c r="H88" s="9649"/>
      <c r="I88" s="9667"/>
      <c r="J88" s="10086" t="str">
        <f t="shared" ref="J88:J115" si="21">IF(AK88="","",AK88)</f>
        <v/>
      </c>
      <c r="K88" s="10087"/>
      <c r="L88" s="10087"/>
      <c r="M88" s="10086" t="str">
        <f t="shared" ref="M88:M115" si="22">IF(AL88="","",AL88)</f>
        <v/>
      </c>
      <c r="N88" s="10087"/>
      <c r="O88" s="10087"/>
      <c r="P88" s="10088"/>
      <c r="Q88" s="7143" t="str">
        <f t="shared" ref="Q88:Q115" si="23">IF(AM88="","",AM88)</f>
        <v/>
      </c>
      <c r="R88" s="10090"/>
      <c r="S88" s="10090"/>
      <c r="T88" s="10091"/>
      <c r="U88" s="7143" t="str">
        <f t="shared" ref="U88:U115" si="24">IF(AN88="","",AN88)</f>
        <v/>
      </c>
      <c r="V88" s="10090"/>
      <c r="W88" s="10090"/>
      <c r="X88" s="10091"/>
      <c r="Y88" s="10089" t="str">
        <f>IF(AO88&lt;&gt;"",AO88,"")</f>
        <v/>
      </c>
      <c r="Z88" s="6563"/>
      <c r="AA88" s="10089" t="str">
        <f>IF(AP88="","",AP88)</f>
        <v/>
      </c>
      <c r="AB88" s="6563"/>
      <c r="AC88" s="10138" t="str">
        <f>IF(AQ88&lt;&gt;"",AQ88,IF(AND(Q88="",U88=""),"",IF(AND(Q88&lt;&gt;"",U88=""),SUM(Q88,AA88),SUM(Q88,-U88,AA88))))</f>
        <v/>
      </c>
      <c r="AD88" s="10139"/>
      <c r="AE88" s="10139"/>
      <c r="AF88" s="10139"/>
      <c r="AG88" s="911">
        <f>IF(OR(J88="",M88=""),0,IF(OR(BA88,BB88,BC88),1,0))</f>
        <v>0</v>
      </c>
      <c r="AH88" s="5727"/>
      <c r="AI88" s="5727" t="e">
        <f>M88-J88</f>
        <v>#VALUE!</v>
      </c>
      <c r="AJ88" s="853"/>
      <c r="AK88" s="857"/>
      <c r="AL88" s="857"/>
      <c r="AM88" s="855"/>
      <c r="AN88" s="855"/>
      <c r="AO88" s="856"/>
      <c r="AP88" s="855"/>
      <c r="AQ88" s="854"/>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61">
        <f t="shared" ref="A89:A115" si="25">IF(OR(U89&lt;&gt;"",Y89&lt;&gt;"",AC89&lt;&gt;""),1,0)</f>
        <v>0</v>
      </c>
      <c r="B89" s="10085" t="str">
        <f t="shared" si="20"/>
        <v/>
      </c>
      <c r="C89" s="9649"/>
      <c r="D89" s="9649"/>
      <c r="E89" s="9649"/>
      <c r="F89" s="9649"/>
      <c r="G89" s="9649"/>
      <c r="H89" s="9649"/>
      <c r="I89" s="9667"/>
      <c r="J89" s="10086" t="str">
        <f t="shared" si="21"/>
        <v/>
      </c>
      <c r="K89" s="10087"/>
      <c r="L89" s="10087"/>
      <c r="M89" s="10086" t="str">
        <f t="shared" si="22"/>
        <v/>
      </c>
      <c r="N89" s="10087"/>
      <c r="O89" s="10087"/>
      <c r="P89" s="10088"/>
      <c r="Q89" s="7143" t="str">
        <f t="shared" si="23"/>
        <v/>
      </c>
      <c r="R89" s="10090"/>
      <c r="S89" s="10090"/>
      <c r="T89" s="10091"/>
      <c r="U89" s="7143" t="str">
        <f t="shared" si="24"/>
        <v/>
      </c>
      <c r="V89" s="10090"/>
      <c r="W89" s="10090"/>
      <c r="X89" s="10091"/>
      <c r="Y89" s="10089" t="str">
        <f t="shared" ref="Y89:Y115" si="26">IF(AO89&lt;&gt;"",AO89,"")</f>
        <v/>
      </c>
      <c r="Z89" s="6563"/>
      <c r="AA89" s="10089" t="str">
        <f t="shared" ref="AA89:AA115" si="27">IF(AP89="","",AP89)</f>
        <v/>
      </c>
      <c r="AB89" s="6563"/>
      <c r="AC89" s="10138" t="str">
        <f t="shared" ref="AC89:AC115" si="28">IF(AQ89&lt;&gt;"",AQ89,IF(AND(Q89="",U89=""),"",IF(AND(Q89&lt;&gt;"",U89=""),SUM(Q89,AA89),SUM(Q89,-U89,AA89))))</f>
        <v/>
      </c>
      <c r="AD89" s="10139"/>
      <c r="AE89" s="10139"/>
      <c r="AF89" s="10139"/>
      <c r="AG89" s="911">
        <f t="shared" ref="AG89:AG115" si="29">IF(OR(J89="",M89=""),0,IF(OR(BA89,BB89,BC89),1,0))</f>
        <v>0</v>
      </c>
      <c r="AH89" s="5727"/>
      <c r="AI89" s="5727" t="e">
        <f t="shared" ref="AI89:AI115" si="30">M89-J89</f>
        <v>#VALUE!</v>
      </c>
      <c r="AJ89" s="853"/>
      <c r="AK89" s="857"/>
      <c r="AL89" s="857"/>
      <c r="AM89" s="855"/>
      <c r="AN89" s="855"/>
      <c r="AO89" s="856"/>
      <c r="AP89" s="855"/>
      <c r="AQ89" s="854"/>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61">
        <f t="shared" si="25"/>
        <v>0</v>
      </c>
      <c r="B90" s="10085" t="str">
        <f t="shared" si="20"/>
        <v/>
      </c>
      <c r="C90" s="9649"/>
      <c r="D90" s="9649"/>
      <c r="E90" s="9649"/>
      <c r="F90" s="9649"/>
      <c r="G90" s="9649"/>
      <c r="H90" s="9649"/>
      <c r="I90" s="9667"/>
      <c r="J90" s="10086" t="str">
        <f t="shared" si="21"/>
        <v/>
      </c>
      <c r="K90" s="10087"/>
      <c r="L90" s="10087"/>
      <c r="M90" s="10086" t="str">
        <f t="shared" si="22"/>
        <v/>
      </c>
      <c r="N90" s="10087"/>
      <c r="O90" s="10087"/>
      <c r="P90" s="10088"/>
      <c r="Q90" s="7143" t="str">
        <f t="shared" si="23"/>
        <v/>
      </c>
      <c r="R90" s="10090"/>
      <c r="S90" s="10090"/>
      <c r="T90" s="10091"/>
      <c r="U90" s="7143" t="str">
        <f t="shared" si="24"/>
        <v/>
      </c>
      <c r="V90" s="10090"/>
      <c r="W90" s="10090"/>
      <c r="X90" s="10091"/>
      <c r="Y90" s="10089" t="str">
        <f t="shared" si="26"/>
        <v/>
      </c>
      <c r="Z90" s="6563"/>
      <c r="AA90" s="10089" t="str">
        <f t="shared" si="27"/>
        <v/>
      </c>
      <c r="AB90" s="6563"/>
      <c r="AC90" s="10138" t="str">
        <f t="shared" si="28"/>
        <v/>
      </c>
      <c r="AD90" s="10139"/>
      <c r="AE90" s="10139"/>
      <c r="AF90" s="10139"/>
      <c r="AG90" s="911">
        <f t="shared" si="29"/>
        <v>0</v>
      </c>
      <c r="AH90" s="5727"/>
      <c r="AI90" s="5727" t="e">
        <f t="shared" si="30"/>
        <v>#VALUE!</v>
      </c>
      <c r="AJ90" s="853"/>
      <c r="AK90" s="857"/>
      <c r="AL90" s="857"/>
      <c r="AM90" s="855"/>
      <c r="AN90" s="855"/>
      <c r="AO90" s="856"/>
      <c r="AP90" s="855"/>
      <c r="AQ90" s="854"/>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61">
        <f t="shared" si="25"/>
        <v>0</v>
      </c>
      <c r="B91" s="10085" t="str">
        <f t="shared" si="20"/>
        <v/>
      </c>
      <c r="C91" s="9649"/>
      <c r="D91" s="9649"/>
      <c r="E91" s="9649"/>
      <c r="F91" s="9649"/>
      <c r="G91" s="9649"/>
      <c r="H91" s="9649"/>
      <c r="I91" s="9667"/>
      <c r="J91" s="10086" t="str">
        <f t="shared" si="21"/>
        <v/>
      </c>
      <c r="K91" s="10087"/>
      <c r="L91" s="10087"/>
      <c r="M91" s="10086" t="str">
        <f t="shared" si="22"/>
        <v/>
      </c>
      <c r="N91" s="10087"/>
      <c r="O91" s="10087"/>
      <c r="P91" s="10088"/>
      <c r="Q91" s="7143" t="str">
        <f t="shared" si="23"/>
        <v/>
      </c>
      <c r="R91" s="10090"/>
      <c r="S91" s="10090"/>
      <c r="T91" s="10091"/>
      <c r="U91" s="7143" t="str">
        <f t="shared" si="24"/>
        <v/>
      </c>
      <c r="V91" s="10090"/>
      <c r="W91" s="10090"/>
      <c r="X91" s="10091"/>
      <c r="Y91" s="10089" t="str">
        <f t="shared" si="26"/>
        <v/>
      </c>
      <c r="Z91" s="6563"/>
      <c r="AA91" s="10089" t="str">
        <f t="shared" si="27"/>
        <v/>
      </c>
      <c r="AB91" s="6563"/>
      <c r="AC91" s="10138" t="str">
        <f t="shared" si="28"/>
        <v/>
      </c>
      <c r="AD91" s="10139"/>
      <c r="AE91" s="10139"/>
      <c r="AF91" s="10139"/>
      <c r="AG91" s="911">
        <f t="shared" si="29"/>
        <v>0</v>
      </c>
      <c r="AH91" s="5727"/>
      <c r="AI91" s="5727" t="e">
        <f t="shared" si="30"/>
        <v>#VALUE!</v>
      </c>
      <c r="AJ91" s="853"/>
      <c r="AK91" s="857"/>
      <c r="AL91" s="857"/>
      <c r="AM91" s="855"/>
      <c r="AN91" s="855"/>
      <c r="AO91" s="856"/>
      <c r="AP91" s="855"/>
      <c r="AQ91" s="854"/>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61">
        <f t="shared" si="25"/>
        <v>0</v>
      </c>
      <c r="B92" s="10085" t="str">
        <f t="shared" si="20"/>
        <v/>
      </c>
      <c r="C92" s="9649"/>
      <c r="D92" s="9649"/>
      <c r="E92" s="9649"/>
      <c r="F92" s="9649"/>
      <c r="G92" s="9649"/>
      <c r="H92" s="9649"/>
      <c r="I92" s="9667"/>
      <c r="J92" s="10086" t="str">
        <f t="shared" si="21"/>
        <v/>
      </c>
      <c r="K92" s="10087"/>
      <c r="L92" s="10087"/>
      <c r="M92" s="10086" t="str">
        <f t="shared" si="22"/>
        <v/>
      </c>
      <c r="N92" s="10087"/>
      <c r="O92" s="10087"/>
      <c r="P92" s="10088"/>
      <c r="Q92" s="7143" t="str">
        <f t="shared" si="23"/>
        <v/>
      </c>
      <c r="R92" s="10090"/>
      <c r="S92" s="10090"/>
      <c r="T92" s="10091"/>
      <c r="U92" s="7143" t="str">
        <f t="shared" si="24"/>
        <v/>
      </c>
      <c r="V92" s="10090"/>
      <c r="W92" s="10090"/>
      <c r="X92" s="10091"/>
      <c r="Y92" s="10089" t="str">
        <f t="shared" si="26"/>
        <v/>
      </c>
      <c r="Z92" s="6563"/>
      <c r="AA92" s="10089" t="str">
        <f t="shared" si="27"/>
        <v/>
      </c>
      <c r="AB92" s="6563"/>
      <c r="AC92" s="10138" t="str">
        <f t="shared" si="28"/>
        <v/>
      </c>
      <c r="AD92" s="10139"/>
      <c r="AE92" s="10139"/>
      <c r="AF92" s="10139"/>
      <c r="AG92" s="911">
        <f t="shared" si="29"/>
        <v>0</v>
      </c>
      <c r="AH92" s="5727"/>
      <c r="AI92" s="5727" t="e">
        <f t="shared" si="30"/>
        <v>#VALUE!</v>
      </c>
      <c r="AJ92" s="853"/>
      <c r="AK92" s="857"/>
      <c r="AL92" s="857"/>
      <c r="AM92" s="855"/>
      <c r="AN92" s="855"/>
      <c r="AO92" s="856"/>
      <c r="AP92" s="855"/>
      <c r="AQ92" s="854"/>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61">
        <f t="shared" si="25"/>
        <v>0</v>
      </c>
      <c r="B93" s="10085" t="str">
        <f t="shared" si="20"/>
        <v/>
      </c>
      <c r="C93" s="9649"/>
      <c r="D93" s="9649"/>
      <c r="E93" s="9649"/>
      <c r="F93" s="9649"/>
      <c r="G93" s="9649"/>
      <c r="H93" s="9649"/>
      <c r="I93" s="9667"/>
      <c r="J93" s="10086" t="str">
        <f t="shared" si="21"/>
        <v/>
      </c>
      <c r="K93" s="10087"/>
      <c r="L93" s="10087"/>
      <c r="M93" s="10086" t="str">
        <f t="shared" si="22"/>
        <v/>
      </c>
      <c r="N93" s="10087"/>
      <c r="O93" s="10087"/>
      <c r="P93" s="10088"/>
      <c r="Q93" s="7143" t="str">
        <f t="shared" si="23"/>
        <v/>
      </c>
      <c r="R93" s="10090"/>
      <c r="S93" s="10090"/>
      <c r="T93" s="10091"/>
      <c r="U93" s="7143" t="str">
        <f t="shared" si="24"/>
        <v/>
      </c>
      <c r="V93" s="10090"/>
      <c r="W93" s="10090"/>
      <c r="X93" s="10091"/>
      <c r="Y93" s="10089" t="str">
        <f t="shared" si="26"/>
        <v/>
      </c>
      <c r="Z93" s="6563"/>
      <c r="AA93" s="10089" t="str">
        <f t="shared" si="27"/>
        <v/>
      </c>
      <c r="AB93" s="6563"/>
      <c r="AC93" s="10138" t="str">
        <f t="shared" si="28"/>
        <v/>
      </c>
      <c r="AD93" s="10139"/>
      <c r="AE93" s="10139"/>
      <c r="AF93" s="10139"/>
      <c r="AG93" s="911">
        <f t="shared" si="29"/>
        <v>0</v>
      </c>
      <c r="AH93" s="5727"/>
      <c r="AI93" s="5727" t="e">
        <f t="shared" si="30"/>
        <v>#VALUE!</v>
      </c>
      <c r="AJ93" s="853"/>
      <c r="AK93" s="857"/>
      <c r="AL93" s="857"/>
      <c r="AM93" s="855"/>
      <c r="AN93" s="855"/>
      <c r="AO93" s="856"/>
      <c r="AP93" s="855"/>
      <c r="AQ93" s="854"/>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61">
        <f t="shared" si="25"/>
        <v>0</v>
      </c>
      <c r="B94" s="10085" t="str">
        <f t="shared" si="20"/>
        <v/>
      </c>
      <c r="C94" s="9649"/>
      <c r="D94" s="9649"/>
      <c r="E94" s="9649"/>
      <c r="F94" s="9649"/>
      <c r="G94" s="9649"/>
      <c r="H94" s="9649"/>
      <c r="I94" s="9667"/>
      <c r="J94" s="10086" t="str">
        <f t="shared" si="21"/>
        <v/>
      </c>
      <c r="K94" s="10087"/>
      <c r="L94" s="10087"/>
      <c r="M94" s="10086" t="str">
        <f t="shared" si="22"/>
        <v/>
      </c>
      <c r="N94" s="10087"/>
      <c r="O94" s="10087"/>
      <c r="P94" s="10088"/>
      <c r="Q94" s="7143" t="str">
        <f t="shared" si="23"/>
        <v/>
      </c>
      <c r="R94" s="10090"/>
      <c r="S94" s="10090"/>
      <c r="T94" s="10091"/>
      <c r="U94" s="7143" t="str">
        <f t="shared" si="24"/>
        <v/>
      </c>
      <c r="V94" s="10090"/>
      <c r="W94" s="10090"/>
      <c r="X94" s="10091"/>
      <c r="Y94" s="10089" t="str">
        <f t="shared" si="26"/>
        <v/>
      </c>
      <c r="Z94" s="6563"/>
      <c r="AA94" s="10089" t="str">
        <f t="shared" si="27"/>
        <v/>
      </c>
      <c r="AB94" s="6563"/>
      <c r="AC94" s="10138" t="str">
        <f t="shared" si="28"/>
        <v/>
      </c>
      <c r="AD94" s="10139"/>
      <c r="AE94" s="10139"/>
      <c r="AF94" s="10139"/>
      <c r="AG94" s="911">
        <f t="shared" si="29"/>
        <v>0</v>
      </c>
      <c r="AH94" s="5727"/>
      <c r="AI94" s="5727" t="e">
        <f t="shared" si="30"/>
        <v>#VALUE!</v>
      </c>
      <c r="AJ94" s="853"/>
      <c r="AK94" s="857"/>
      <c r="AL94" s="857"/>
      <c r="AM94" s="855"/>
      <c r="AN94" s="855"/>
      <c r="AO94" s="856"/>
      <c r="AP94" s="855"/>
      <c r="AQ94" s="854"/>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61">
        <f t="shared" si="25"/>
        <v>0</v>
      </c>
      <c r="B95" s="10085" t="str">
        <f t="shared" si="20"/>
        <v/>
      </c>
      <c r="C95" s="9649"/>
      <c r="D95" s="9649"/>
      <c r="E95" s="9649"/>
      <c r="F95" s="9649"/>
      <c r="G95" s="9649"/>
      <c r="H95" s="9649"/>
      <c r="I95" s="9667"/>
      <c r="J95" s="10086" t="str">
        <f t="shared" si="21"/>
        <v/>
      </c>
      <c r="K95" s="10087"/>
      <c r="L95" s="10087"/>
      <c r="M95" s="10086" t="str">
        <f t="shared" si="22"/>
        <v/>
      </c>
      <c r="N95" s="10087"/>
      <c r="O95" s="10087"/>
      <c r="P95" s="10088"/>
      <c r="Q95" s="7143" t="str">
        <f t="shared" si="23"/>
        <v/>
      </c>
      <c r="R95" s="10090"/>
      <c r="S95" s="10090"/>
      <c r="T95" s="10091"/>
      <c r="U95" s="7143" t="str">
        <f t="shared" si="24"/>
        <v/>
      </c>
      <c r="V95" s="10090"/>
      <c r="W95" s="10090"/>
      <c r="X95" s="10091"/>
      <c r="Y95" s="10089" t="str">
        <f t="shared" si="26"/>
        <v/>
      </c>
      <c r="Z95" s="6563"/>
      <c r="AA95" s="10089" t="str">
        <f t="shared" si="27"/>
        <v/>
      </c>
      <c r="AB95" s="6563"/>
      <c r="AC95" s="10138" t="str">
        <f t="shared" si="28"/>
        <v/>
      </c>
      <c r="AD95" s="10139"/>
      <c r="AE95" s="10139"/>
      <c r="AF95" s="10139"/>
      <c r="AG95" s="911">
        <f t="shared" si="29"/>
        <v>0</v>
      </c>
      <c r="AH95" s="5727"/>
      <c r="AI95" s="5727" t="e">
        <f t="shared" si="30"/>
        <v>#VALUE!</v>
      </c>
      <c r="AJ95" s="853"/>
      <c r="AK95" s="857"/>
      <c r="AL95" s="857"/>
      <c r="AM95" s="855"/>
      <c r="AN95" s="855"/>
      <c r="AO95" s="856"/>
      <c r="AP95" s="855"/>
      <c r="AQ95" s="854"/>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61">
        <f t="shared" si="25"/>
        <v>0</v>
      </c>
      <c r="B96" s="10085" t="str">
        <f t="shared" si="20"/>
        <v/>
      </c>
      <c r="C96" s="9649"/>
      <c r="D96" s="9649"/>
      <c r="E96" s="9649"/>
      <c r="F96" s="9649"/>
      <c r="G96" s="9649"/>
      <c r="H96" s="9649"/>
      <c r="I96" s="9667"/>
      <c r="J96" s="10086" t="str">
        <f t="shared" si="21"/>
        <v/>
      </c>
      <c r="K96" s="10087"/>
      <c r="L96" s="10087"/>
      <c r="M96" s="10086" t="str">
        <f t="shared" si="22"/>
        <v/>
      </c>
      <c r="N96" s="10087"/>
      <c r="O96" s="10087"/>
      <c r="P96" s="10088"/>
      <c r="Q96" s="7143" t="str">
        <f t="shared" si="23"/>
        <v/>
      </c>
      <c r="R96" s="10090"/>
      <c r="S96" s="10090"/>
      <c r="T96" s="10091"/>
      <c r="U96" s="7143" t="str">
        <f t="shared" si="24"/>
        <v/>
      </c>
      <c r="V96" s="10090"/>
      <c r="W96" s="10090"/>
      <c r="X96" s="10091"/>
      <c r="Y96" s="10089" t="str">
        <f t="shared" si="26"/>
        <v/>
      </c>
      <c r="Z96" s="6563"/>
      <c r="AA96" s="10089" t="str">
        <f t="shared" si="27"/>
        <v/>
      </c>
      <c r="AB96" s="6563"/>
      <c r="AC96" s="10138" t="str">
        <f t="shared" si="28"/>
        <v/>
      </c>
      <c r="AD96" s="10139"/>
      <c r="AE96" s="10139"/>
      <c r="AF96" s="10139"/>
      <c r="AG96" s="911">
        <f t="shared" si="29"/>
        <v>0</v>
      </c>
      <c r="AH96" s="5727"/>
      <c r="AI96" s="5727" t="e">
        <f t="shared" si="30"/>
        <v>#VALUE!</v>
      </c>
      <c r="AJ96" s="853"/>
      <c r="AK96" s="857"/>
      <c r="AL96" s="857"/>
      <c r="AM96" s="855"/>
      <c r="AN96" s="855"/>
      <c r="AO96" s="856"/>
      <c r="AP96" s="855"/>
      <c r="AQ96" s="854"/>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61">
        <f t="shared" si="25"/>
        <v>0</v>
      </c>
      <c r="B97" s="10085" t="str">
        <f t="shared" si="20"/>
        <v/>
      </c>
      <c r="C97" s="9649"/>
      <c r="D97" s="9649"/>
      <c r="E97" s="9649"/>
      <c r="F97" s="9649"/>
      <c r="G97" s="9649"/>
      <c r="H97" s="9649"/>
      <c r="I97" s="9667"/>
      <c r="J97" s="10086" t="str">
        <f t="shared" si="21"/>
        <v/>
      </c>
      <c r="K97" s="10087"/>
      <c r="L97" s="10087"/>
      <c r="M97" s="10086" t="str">
        <f t="shared" si="22"/>
        <v/>
      </c>
      <c r="N97" s="10087"/>
      <c r="O97" s="10087"/>
      <c r="P97" s="10088"/>
      <c r="Q97" s="7143" t="str">
        <f t="shared" si="23"/>
        <v/>
      </c>
      <c r="R97" s="10090"/>
      <c r="S97" s="10090"/>
      <c r="T97" s="10091"/>
      <c r="U97" s="7143" t="str">
        <f t="shared" si="24"/>
        <v/>
      </c>
      <c r="V97" s="10090"/>
      <c r="W97" s="10090"/>
      <c r="X97" s="10091"/>
      <c r="Y97" s="10089" t="str">
        <f t="shared" si="26"/>
        <v/>
      </c>
      <c r="Z97" s="6563"/>
      <c r="AA97" s="10089" t="str">
        <f t="shared" si="27"/>
        <v/>
      </c>
      <c r="AB97" s="6563"/>
      <c r="AC97" s="10138" t="str">
        <f t="shared" si="28"/>
        <v/>
      </c>
      <c r="AD97" s="10139"/>
      <c r="AE97" s="10139"/>
      <c r="AF97" s="10139"/>
      <c r="AG97" s="911">
        <f t="shared" si="29"/>
        <v>0</v>
      </c>
      <c r="AH97" s="5727"/>
      <c r="AI97" s="5727" t="e">
        <f t="shared" si="30"/>
        <v>#VALUE!</v>
      </c>
      <c r="AJ97" s="853"/>
      <c r="AK97" s="857"/>
      <c r="AL97" s="857"/>
      <c r="AM97" s="855"/>
      <c r="AN97" s="855"/>
      <c r="AO97" s="856"/>
      <c r="AP97" s="855"/>
      <c r="AQ97" s="854"/>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61">
        <f t="shared" si="25"/>
        <v>0</v>
      </c>
      <c r="B98" s="10085" t="str">
        <f t="shared" si="20"/>
        <v/>
      </c>
      <c r="C98" s="9649"/>
      <c r="D98" s="9649"/>
      <c r="E98" s="9649"/>
      <c r="F98" s="9649"/>
      <c r="G98" s="9649"/>
      <c r="H98" s="9649"/>
      <c r="I98" s="9667"/>
      <c r="J98" s="10086" t="str">
        <f t="shared" si="21"/>
        <v/>
      </c>
      <c r="K98" s="10087"/>
      <c r="L98" s="10087"/>
      <c r="M98" s="10086" t="str">
        <f t="shared" si="22"/>
        <v/>
      </c>
      <c r="N98" s="10087"/>
      <c r="O98" s="10087"/>
      <c r="P98" s="10088"/>
      <c r="Q98" s="7143" t="str">
        <f t="shared" si="23"/>
        <v/>
      </c>
      <c r="R98" s="10090"/>
      <c r="S98" s="10090"/>
      <c r="T98" s="10091"/>
      <c r="U98" s="7143" t="str">
        <f t="shared" si="24"/>
        <v/>
      </c>
      <c r="V98" s="10090"/>
      <c r="W98" s="10090"/>
      <c r="X98" s="10091"/>
      <c r="Y98" s="10089" t="str">
        <f t="shared" si="26"/>
        <v/>
      </c>
      <c r="Z98" s="6563"/>
      <c r="AA98" s="10089" t="str">
        <f t="shared" si="27"/>
        <v/>
      </c>
      <c r="AB98" s="6563"/>
      <c r="AC98" s="10138" t="str">
        <f t="shared" si="28"/>
        <v/>
      </c>
      <c r="AD98" s="10139"/>
      <c r="AE98" s="10139"/>
      <c r="AF98" s="10139"/>
      <c r="AG98" s="911">
        <f t="shared" si="29"/>
        <v>0</v>
      </c>
      <c r="AH98" s="5727"/>
      <c r="AI98" s="5727" t="e">
        <f t="shared" si="30"/>
        <v>#VALUE!</v>
      </c>
      <c r="AJ98" s="853"/>
      <c r="AK98" s="857"/>
      <c r="AL98" s="857"/>
      <c r="AM98" s="855"/>
      <c r="AN98" s="855"/>
      <c r="AO98" s="856"/>
      <c r="AP98" s="855"/>
      <c r="AQ98" s="854"/>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61">
        <f t="shared" si="25"/>
        <v>0</v>
      </c>
      <c r="B99" s="10085" t="str">
        <f t="shared" si="20"/>
        <v/>
      </c>
      <c r="C99" s="9649"/>
      <c r="D99" s="9649"/>
      <c r="E99" s="9649"/>
      <c r="F99" s="9649"/>
      <c r="G99" s="9649"/>
      <c r="H99" s="9649"/>
      <c r="I99" s="9667"/>
      <c r="J99" s="10086" t="str">
        <f t="shared" si="21"/>
        <v/>
      </c>
      <c r="K99" s="10087"/>
      <c r="L99" s="10087"/>
      <c r="M99" s="10086" t="str">
        <f t="shared" si="22"/>
        <v/>
      </c>
      <c r="N99" s="10087"/>
      <c r="O99" s="10087"/>
      <c r="P99" s="10088"/>
      <c r="Q99" s="7143" t="str">
        <f t="shared" si="23"/>
        <v/>
      </c>
      <c r="R99" s="10090"/>
      <c r="S99" s="10090"/>
      <c r="T99" s="10091"/>
      <c r="U99" s="7143" t="str">
        <f t="shared" si="24"/>
        <v/>
      </c>
      <c r="V99" s="10090"/>
      <c r="W99" s="10090"/>
      <c r="X99" s="10091"/>
      <c r="Y99" s="10089" t="str">
        <f t="shared" si="26"/>
        <v/>
      </c>
      <c r="Z99" s="6563"/>
      <c r="AA99" s="10089" t="str">
        <f t="shared" si="27"/>
        <v/>
      </c>
      <c r="AB99" s="6563"/>
      <c r="AC99" s="10138" t="str">
        <f t="shared" si="28"/>
        <v/>
      </c>
      <c r="AD99" s="10139"/>
      <c r="AE99" s="10139"/>
      <c r="AF99" s="10139"/>
      <c r="AG99" s="911">
        <f t="shared" si="29"/>
        <v>0</v>
      </c>
      <c r="AH99" s="5727"/>
      <c r="AI99" s="5727" t="e">
        <f t="shared" si="30"/>
        <v>#VALUE!</v>
      </c>
      <c r="AJ99" s="853"/>
      <c r="AK99" s="857"/>
      <c r="AL99" s="857"/>
      <c r="AM99" s="855"/>
      <c r="AN99" s="855"/>
      <c r="AO99" s="856"/>
      <c r="AP99" s="855"/>
      <c r="AQ99" s="854"/>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61">
        <f t="shared" si="25"/>
        <v>0</v>
      </c>
      <c r="B100" s="10085" t="str">
        <f t="shared" si="20"/>
        <v/>
      </c>
      <c r="C100" s="9649"/>
      <c r="D100" s="9649"/>
      <c r="E100" s="9649"/>
      <c r="F100" s="9649"/>
      <c r="G100" s="9649"/>
      <c r="H100" s="9649"/>
      <c r="I100" s="9667"/>
      <c r="J100" s="10086" t="str">
        <f t="shared" si="21"/>
        <v/>
      </c>
      <c r="K100" s="10087"/>
      <c r="L100" s="10087"/>
      <c r="M100" s="10086" t="str">
        <f t="shared" si="22"/>
        <v/>
      </c>
      <c r="N100" s="10087"/>
      <c r="O100" s="10087"/>
      <c r="P100" s="10088"/>
      <c r="Q100" s="7143" t="str">
        <f t="shared" si="23"/>
        <v/>
      </c>
      <c r="R100" s="10090"/>
      <c r="S100" s="10090"/>
      <c r="T100" s="10091"/>
      <c r="U100" s="7143" t="str">
        <f t="shared" si="24"/>
        <v/>
      </c>
      <c r="V100" s="10090"/>
      <c r="W100" s="10090"/>
      <c r="X100" s="10091"/>
      <c r="Y100" s="10089" t="str">
        <f t="shared" si="26"/>
        <v/>
      </c>
      <c r="Z100" s="6563"/>
      <c r="AA100" s="10089" t="str">
        <f t="shared" si="27"/>
        <v/>
      </c>
      <c r="AB100" s="6563"/>
      <c r="AC100" s="10138" t="str">
        <f t="shared" si="28"/>
        <v/>
      </c>
      <c r="AD100" s="10139"/>
      <c r="AE100" s="10139"/>
      <c r="AF100" s="10139"/>
      <c r="AG100" s="911">
        <f t="shared" si="29"/>
        <v>0</v>
      </c>
      <c r="AH100" s="5727"/>
      <c r="AI100" s="5727" t="e">
        <f t="shared" si="30"/>
        <v>#VALUE!</v>
      </c>
      <c r="AJ100" s="853"/>
      <c r="AK100" s="857"/>
      <c r="AL100" s="857"/>
      <c r="AM100" s="855"/>
      <c r="AN100" s="855"/>
      <c r="AO100" s="856"/>
      <c r="AP100" s="855"/>
      <c r="AQ100" s="854"/>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61">
        <f t="shared" si="25"/>
        <v>0</v>
      </c>
      <c r="B101" s="10085" t="str">
        <f t="shared" si="20"/>
        <v/>
      </c>
      <c r="C101" s="9649"/>
      <c r="D101" s="9649"/>
      <c r="E101" s="9649"/>
      <c r="F101" s="9649"/>
      <c r="G101" s="9649"/>
      <c r="H101" s="9649"/>
      <c r="I101" s="9667"/>
      <c r="J101" s="10086" t="str">
        <f t="shared" si="21"/>
        <v/>
      </c>
      <c r="K101" s="10087"/>
      <c r="L101" s="10087"/>
      <c r="M101" s="10086" t="str">
        <f t="shared" si="22"/>
        <v/>
      </c>
      <c r="N101" s="10087"/>
      <c r="O101" s="10087"/>
      <c r="P101" s="10088"/>
      <c r="Q101" s="7143" t="str">
        <f t="shared" si="23"/>
        <v/>
      </c>
      <c r="R101" s="10090"/>
      <c r="S101" s="10090"/>
      <c r="T101" s="10091"/>
      <c r="U101" s="7143" t="str">
        <f t="shared" si="24"/>
        <v/>
      </c>
      <c r="V101" s="10090"/>
      <c r="W101" s="10090"/>
      <c r="X101" s="10091"/>
      <c r="Y101" s="10089" t="str">
        <f t="shared" si="26"/>
        <v/>
      </c>
      <c r="Z101" s="6563"/>
      <c r="AA101" s="10089" t="str">
        <f t="shared" si="27"/>
        <v/>
      </c>
      <c r="AB101" s="6563"/>
      <c r="AC101" s="10138" t="str">
        <f t="shared" si="28"/>
        <v/>
      </c>
      <c r="AD101" s="10139"/>
      <c r="AE101" s="10139"/>
      <c r="AF101" s="10139"/>
      <c r="AG101" s="911">
        <f t="shared" si="29"/>
        <v>0</v>
      </c>
      <c r="AH101" s="5727"/>
      <c r="AI101" s="5727" t="e">
        <f t="shared" si="30"/>
        <v>#VALUE!</v>
      </c>
      <c r="AJ101" s="853"/>
      <c r="AK101" s="857"/>
      <c r="AL101" s="857"/>
      <c r="AM101" s="855"/>
      <c r="AN101" s="855"/>
      <c r="AO101" s="856"/>
      <c r="AP101" s="855"/>
      <c r="AQ101" s="854"/>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61">
        <f t="shared" si="25"/>
        <v>0</v>
      </c>
      <c r="B102" s="10085" t="str">
        <f t="shared" si="20"/>
        <v/>
      </c>
      <c r="C102" s="9649"/>
      <c r="D102" s="9649"/>
      <c r="E102" s="9649"/>
      <c r="F102" s="9649"/>
      <c r="G102" s="9649"/>
      <c r="H102" s="9649"/>
      <c r="I102" s="9667"/>
      <c r="J102" s="10086" t="str">
        <f t="shared" si="21"/>
        <v/>
      </c>
      <c r="K102" s="10087"/>
      <c r="L102" s="10087"/>
      <c r="M102" s="10086" t="str">
        <f t="shared" si="22"/>
        <v/>
      </c>
      <c r="N102" s="10087"/>
      <c r="O102" s="10087"/>
      <c r="P102" s="10088"/>
      <c r="Q102" s="7143" t="str">
        <f t="shared" si="23"/>
        <v/>
      </c>
      <c r="R102" s="10090"/>
      <c r="S102" s="10090"/>
      <c r="T102" s="10091"/>
      <c r="U102" s="7143" t="str">
        <f t="shared" si="24"/>
        <v/>
      </c>
      <c r="V102" s="10090"/>
      <c r="W102" s="10090"/>
      <c r="X102" s="10091"/>
      <c r="Y102" s="10089" t="str">
        <f t="shared" si="26"/>
        <v/>
      </c>
      <c r="Z102" s="6563"/>
      <c r="AA102" s="10089" t="str">
        <f t="shared" si="27"/>
        <v/>
      </c>
      <c r="AB102" s="6563"/>
      <c r="AC102" s="10138" t="str">
        <f t="shared" si="28"/>
        <v/>
      </c>
      <c r="AD102" s="10139"/>
      <c r="AE102" s="10139"/>
      <c r="AF102" s="10139"/>
      <c r="AG102" s="911">
        <f t="shared" si="29"/>
        <v>0</v>
      </c>
      <c r="AH102" s="5727"/>
      <c r="AI102" s="5727" t="e">
        <f t="shared" si="30"/>
        <v>#VALUE!</v>
      </c>
      <c r="AJ102" s="853"/>
      <c r="AK102" s="857"/>
      <c r="AL102" s="857"/>
      <c r="AM102" s="855"/>
      <c r="AN102" s="855"/>
      <c r="AO102" s="856"/>
      <c r="AP102" s="855"/>
      <c r="AQ102" s="854"/>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61">
        <f t="shared" si="25"/>
        <v>0</v>
      </c>
      <c r="B103" s="10085" t="str">
        <f t="shared" si="20"/>
        <v/>
      </c>
      <c r="C103" s="9649"/>
      <c r="D103" s="9649"/>
      <c r="E103" s="9649"/>
      <c r="F103" s="9649"/>
      <c r="G103" s="9649"/>
      <c r="H103" s="9649"/>
      <c r="I103" s="9667"/>
      <c r="J103" s="10086" t="str">
        <f t="shared" si="21"/>
        <v/>
      </c>
      <c r="K103" s="10087"/>
      <c r="L103" s="10087"/>
      <c r="M103" s="10086" t="str">
        <f t="shared" si="22"/>
        <v/>
      </c>
      <c r="N103" s="10087"/>
      <c r="O103" s="10087"/>
      <c r="P103" s="10088"/>
      <c r="Q103" s="7143" t="str">
        <f t="shared" si="23"/>
        <v/>
      </c>
      <c r="R103" s="10090"/>
      <c r="S103" s="10090"/>
      <c r="T103" s="10091"/>
      <c r="U103" s="7143" t="str">
        <f t="shared" si="24"/>
        <v/>
      </c>
      <c r="V103" s="10090"/>
      <c r="W103" s="10090"/>
      <c r="X103" s="10091"/>
      <c r="Y103" s="10089" t="str">
        <f t="shared" si="26"/>
        <v/>
      </c>
      <c r="Z103" s="6563"/>
      <c r="AA103" s="10089" t="str">
        <f t="shared" si="27"/>
        <v/>
      </c>
      <c r="AB103" s="6563"/>
      <c r="AC103" s="10138" t="str">
        <f t="shared" si="28"/>
        <v/>
      </c>
      <c r="AD103" s="10139"/>
      <c r="AE103" s="10139"/>
      <c r="AF103" s="10139"/>
      <c r="AG103" s="911">
        <f t="shared" si="29"/>
        <v>0</v>
      </c>
      <c r="AH103" s="5727"/>
      <c r="AI103" s="5727" t="e">
        <f t="shared" si="30"/>
        <v>#VALUE!</v>
      </c>
      <c r="AJ103" s="853"/>
      <c r="AK103" s="857"/>
      <c r="AL103" s="857"/>
      <c r="AM103" s="855"/>
      <c r="AN103" s="855"/>
      <c r="AO103" s="856"/>
      <c r="AP103" s="855"/>
      <c r="AQ103" s="854"/>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61">
        <f t="shared" si="25"/>
        <v>0</v>
      </c>
      <c r="B104" s="10085" t="str">
        <f t="shared" si="20"/>
        <v/>
      </c>
      <c r="C104" s="9649"/>
      <c r="D104" s="9649"/>
      <c r="E104" s="9649"/>
      <c r="F104" s="9649"/>
      <c r="G104" s="9649"/>
      <c r="H104" s="9649"/>
      <c r="I104" s="9667"/>
      <c r="J104" s="10086" t="str">
        <f t="shared" si="21"/>
        <v/>
      </c>
      <c r="K104" s="10087"/>
      <c r="L104" s="10087"/>
      <c r="M104" s="10086" t="str">
        <f t="shared" si="22"/>
        <v/>
      </c>
      <c r="N104" s="10087"/>
      <c r="O104" s="10087"/>
      <c r="P104" s="10088"/>
      <c r="Q104" s="7143" t="str">
        <f t="shared" si="23"/>
        <v/>
      </c>
      <c r="R104" s="10090"/>
      <c r="S104" s="10090"/>
      <c r="T104" s="10091"/>
      <c r="U104" s="7143" t="str">
        <f t="shared" si="24"/>
        <v/>
      </c>
      <c r="V104" s="10090"/>
      <c r="W104" s="10090"/>
      <c r="X104" s="10091"/>
      <c r="Y104" s="10089" t="str">
        <f t="shared" si="26"/>
        <v/>
      </c>
      <c r="Z104" s="6563"/>
      <c r="AA104" s="10089" t="str">
        <f t="shared" si="27"/>
        <v/>
      </c>
      <c r="AB104" s="6563"/>
      <c r="AC104" s="10138" t="str">
        <f t="shared" si="28"/>
        <v/>
      </c>
      <c r="AD104" s="10139"/>
      <c r="AE104" s="10139"/>
      <c r="AF104" s="10139"/>
      <c r="AG104" s="911">
        <f t="shared" si="29"/>
        <v>0</v>
      </c>
      <c r="AH104" s="5727"/>
      <c r="AI104" s="5727" t="e">
        <f t="shared" si="30"/>
        <v>#VALUE!</v>
      </c>
      <c r="AJ104" s="853"/>
      <c r="AK104" s="857"/>
      <c r="AL104" s="857"/>
      <c r="AM104" s="855"/>
      <c r="AN104" s="855"/>
      <c r="AO104" s="856"/>
      <c r="AP104" s="855"/>
      <c r="AQ104" s="854"/>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61">
        <f t="shared" si="25"/>
        <v>0</v>
      </c>
      <c r="B105" s="10085" t="str">
        <f t="shared" si="20"/>
        <v/>
      </c>
      <c r="C105" s="9649"/>
      <c r="D105" s="9649"/>
      <c r="E105" s="9649"/>
      <c r="F105" s="9649"/>
      <c r="G105" s="9649"/>
      <c r="H105" s="9649"/>
      <c r="I105" s="9667"/>
      <c r="J105" s="10086" t="str">
        <f t="shared" si="21"/>
        <v/>
      </c>
      <c r="K105" s="10087"/>
      <c r="L105" s="10087"/>
      <c r="M105" s="10086" t="str">
        <f t="shared" si="22"/>
        <v/>
      </c>
      <c r="N105" s="10087"/>
      <c r="O105" s="10087"/>
      <c r="P105" s="10088"/>
      <c r="Q105" s="7143" t="str">
        <f t="shared" si="23"/>
        <v/>
      </c>
      <c r="R105" s="10090"/>
      <c r="S105" s="10090"/>
      <c r="T105" s="10091"/>
      <c r="U105" s="7143" t="str">
        <f t="shared" si="24"/>
        <v/>
      </c>
      <c r="V105" s="10090"/>
      <c r="W105" s="10090"/>
      <c r="X105" s="10091"/>
      <c r="Y105" s="10089" t="str">
        <f t="shared" si="26"/>
        <v/>
      </c>
      <c r="Z105" s="6563"/>
      <c r="AA105" s="10089" t="str">
        <f t="shared" si="27"/>
        <v/>
      </c>
      <c r="AB105" s="6563"/>
      <c r="AC105" s="10138" t="str">
        <f t="shared" si="28"/>
        <v/>
      </c>
      <c r="AD105" s="10139"/>
      <c r="AE105" s="10139"/>
      <c r="AF105" s="10139"/>
      <c r="AG105" s="911">
        <f t="shared" si="29"/>
        <v>0</v>
      </c>
      <c r="AH105" s="5727"/>
      <c r="AI105" s="5727" t="e">
        <f t="shared" si="30"/>
        <v>#VALUE!</v>
      </c>
      <c r="AJ105" s="853"/>
      <c r="AK105" s="857"/>
      <c r="AL105" s="857"/>
      <c r="AM105" s="855"/>
      <c r="AN105" s="855"/>
      <c r="AO105" s="856"/>
      <c r="AP105" s="855"/>
      <c r="AQ105" s="854"/>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61">
        <f t="shared" si="25"/>
        <v>0</v>
      </c>
      <c r="B106" s="10085" t="str">
        <f t="shared" si="20"/>
        <v/>
      </c>
      <c r="C106" s="9649"/>
      <c r="D106" s="9649"/>
      <c r="E106" s="9649"/>
      <c r="F106" s="9649"/>
      <c r="G106" s="9649"/>
      <c r="H106" s="9649"/>
      <c r="I106" s="9667"/>
      <c r="J106" s="10086" t="str">
        <f t="shared" si="21"/>
        <v/>
      </c>
      <c r="K106" s="10087"/>
      <c r="L106" s="10087"/>
      <c r="M106" s="10086" t="str">
        <f t="shared" si="22"/>
        <v/>
      </c>
      <c r="N106" s="10087"/>
      <c r="O106" s="10087"/>
      <c r="P106" s="10088"/>
      <c r="Q106" s="7143" t="str">
        <f t="shared" si="23"/>
        <v/>
      </c>
      <c r="R106" s="10090"/>
      <c r="S106" s="10090"/>
      <c r="T106" s="10091"/>
      <c r="U106" s="7143" t="str">
        <f t="shared" si="24"/>
        <v/>
      </c>
      <c r="V106" s="10090"/>
      <c r="W106" s="10090"/>
      <c r="X106" s="10091"/>
      <c r="Y106" s="10089" t="str">
        <f t="shared" si="26"/>
        <v/>
      </c>
      <c r="Z106" s="6563"/>
      <c r="AA106" s="10089" t="str">
        <f t="shared" si="27"/>
        <v/>
      </c>
      <c r="AB106" s="6563"/>
      <c r="AC106" s="10138" t="str">
        <f t="shared" si="28"/>
        <v/>
      </c>
      <c r="AD106" s="10139"/>
      <c r="AE106" s="10139"/>
      <c r="AF106" s="10139"/>
      <c r="AG106" s="911">
        <f t="shared" si="29"/>
        <v>0</v>
      </c>
      <c r="AH106" s="5727"/>
      <c r="AI106" s="5727" t="e">
        <f t="shared" si="30"/>
        <v>#VALUE!</v>
      </c>
      <c r="AJ106" s="853"/>
      <c r="AK106" s="857"/>
      <c r="AL106" s="857"/>
      <c r="AM106" s="855"/>
      <c r="AN106" s="855"/>
      <c r="AO106" s="856"/>
      <c r="AP106" s="855"/>
      <c r="AQ106" s="854"/>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61">
        <f t="shared" si="25"/>
        <v>0</v>
      </c>
      <c r="B107" s="10085" t="str">
        <f t="shared" si="20"/>
        <v/>
      </c>
      <c r="C107" s="9649"/>
      <c r="D107" s="9649"/>
      <c r="E107" s="9649"/>
      <c r="F107" s="9649"/>
      <c r="G107" s="9649"/>
      <c r="H107" s="9649"/>
      <c r="I107" s="9667"/>
      <c r="J107" s="10086" t="str">
        <f t="shared" si="21"/>
        <v/>
      </c>
      <c r="K107" s="10087"/>
      <c r="L107" s="10087"/>
      <c r="M107" s="10086" t="str">
        <f t="shared" si="22"/>
        <v/>
      </c>
      <c r="N107" s="10087"/>
      <c r="O107" s="10087"/>
      <c r="P107" s="10088"/>
      <c r="Q107" s="7143" t="str">
        <f t="shared" si="23"/>
        <v/>
      </c>
      <c r="R107" s="10090"/>
      <c r="S107" s="10090"/>
      <c r="T107" s="10091"/>
      <c r="U107" s="7143" t="str">
        <f t="shared" si="24"/>
        <v/>
      </c>
      <c r="V107" s="10090"/>
      <c r="W107" s="10090"/>
      <c r="X107" s="10091"/>
      <c r="Y107" s="10089" t="str">
        <f t="shared" si="26"/>
        <v/>
      </c>
      <c r="Z107" s="6563"/>
      <c r="AA107" s="10089" t="str">
        <f t="shared" si="27"/>
        <v/>
      </c>
      <c r="AB107" s="6563"/>
      <c r="AC107" s="10138" t="str">
        <f t="shared" si="28"/>
        <v/>
      </c>
      <c r="AD107" s="10139"/>
      <c r="AE107" s="10139"/>
      <c r="AF107" s="10139"/>
      <c r="AG107" s="911">
        <f t="shared" si="29"/>
        <v>0</v>
      </c>
      <c r="AH107" s="5727"/>
      <c r="AI107" s="5727" t="e">
        <f t="shared" si="30"/>
        <v>#VALUE!</v>
      </c>
      <c r="AJ107" s="853"/>
      <c r="AK107" s="857"/>
      <c r="AL107" s="857"/>
      <c r="AM107" s="855"/>
      <c r="AN107" s="855"/>
      <c r="AO107" s="856"/>
      <c r="AP107" s="855"/>
      <c r="AQ107" s="854"/>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61">
        <f t="shared" si="25"/>
        <v>0</v>
      </c>
      <c r="B108" s="10085" t="str">
        <f t="shared" si="20"/>
        <v/>
      </c>
      <c r="C108" s="9649"/>
      <c r="D108" s="9649"/>
      <c r="E108" s="9649"/>
      <c r="F108" s="9649"/>
      <c r="G108" s="9649"/>
      <c r="H108" s="9649"/>
      <c r="I108" s="9667"/>
      <c r="J108" s="10086" t="str">
        <f t="shared" si="21"/>
        <v/>
      </c>
      <c r="K108" s="10087"/>
      <c r="L108" s="10087"/>
      <c r="M108" s="10086" t="str">
        <f t="shared" si="22"/>
        <v/>
      </c>
      <c r="N108" s="10087"/>
      <c r="O108" s="10087"/>
      <c r="P108" s="10088"/>
      <c r="Q108" s="7143" t="str">
        <f t="shared" si="23"/>
        <v/>
      </c>
      <c r="R108" s="10090"/>
      <c r="S108" s="10090"/>
      <c r="T108" s="10091"/>
      <c r="U108" s="7143" t="str">
        <f t="shared" si="24"/>
        <v/>
      </c>
      <c r="V108" s="10090"/>
      <c r="W108" s="10090"/>
      <c r="X108" s="10091"/>
      <c r="Y108" s="10089" t="str">
        <f t="shared" si="26"/>
        <v/>
      </c>
      <c r="Z108" s="6563"/>
      <c r="AA108" s="10089" t="str">
        <f t="shared" si="27"/>
        <v/>
      </c>
      <c r="AB108" s="6563"/>
      <c r="AC108" s="10138" t="str">
        <f t="shared" si="28"/>
        <v/>
      </c>
      <c r="AD108" s="10139"/>
      <c r="AE108" s="10139"/>
      <c r="AF108" s="10139"/>
      <c r="AG108" s="911">
        <f t="shared" si="29"/>
        <v>0</v>
      </c>
      <c r="AH108" s="5727"/>
      <c r="AI108" s="5727" t="e">
        <f t="shared" si="30"/>
        <v>#VALUE!</v>
      </c>
      <c r="AJ108" s="853"/>
      <c r="AK108" s="857"/>
      <c r="AL108" s="857"/>
      <c r="AM108" s="855"/>
      <c r="AN108" s="855"/>
      <c r="AO108" s="856"/>
      <c r="AP108" s="855"/>
      <c r="AQ108" s="854"/>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61">
        <f t="shared" si="25"/>
        <v>0</v>
      </c>
      <c r="B109" s="10085" t="str">
        <f t="shared" si="20"/>
        <v/>
      </c>
      <c r="C109" s="9649"/>
      <c r="D109" s="9649"/>
      <c r="E109" s="9649"/>
      <c r="F109" s="9649"/>
      <c r="G109" s="9649"/>
      <c r="H109" s="9649"/>
      <c r="I109" s="9667"/>
      <c r="J109" s="10086" t="str">
        <f t="shared" si="21"/>
        <v/>
      </c>
      <c r="K109" s="10087"/>
      <c r="L109" s="10087"/>
      <c r="M109" s="10086" t="str">
        <f t="shared" si="22"/>
        <v/>
      </c>
      <c r="N109" s="10087"/>
      <c r="O109" s="10087"/>
      <c r="P109" s="10088"/>
      <c r="Q109" s="7143" t="str">
        <f t="shared" si="23"/>
        <v/>
      </c>
      <c r="R109" s="10090"/>
      <c r="S109" s="10090"/>
      <c r="T109" s="10091"/>
      <c r="U109" s="7143" t="str">
        <f t="shared" si="24"/>
        <v/>
      </c>
      <c r="V109" s="10090"/>
      <c r="W109" s="10090"/>
      <c r="X109" s="10091"/>
      <c r="Y109" s="10089" t="str">
        <f t="shared" si="26"/>
        <v/>
      </c>
      <c r="Z109" s="6563"/>
      <c r="AA109" s="10089" t="str">
        <f t="shared" si="27"/>
        <v/>
      </c>
      <c r="AB109" s="6563"/>
      <c r="AC109" s="10138" t="str">
        <f t="shared" si="28"/>
        <v/>
      </c>
      <c r="AD109" s="10139"/>
      <c r="AE109" s="10139"/>
      <c r="AF109" s="10139"/>
      <c r="AG109" s="911">
        <f t="shared" si="29"/>
        <v>0</v>
      </c>
      <c r="AH109" s="5727"/>
      <c r="AI109" s="5727" t="e">
        <f t="shared" si="30"/>
        <v>#VALUE!</v>
      </c>
      <c r="AJ109" s="853"/>
      <c r="AK109" s="857"/>
      <c r="AL109" s="857"/>
      <c r="AM109" s="855"/>
      <c r="AN109" s="855"/>
      <c r="AO109" s="856"/>
      <c r="AP109" s="855"/>
      <c r="AQ109" s="854"/>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61">
        <f t="shared" si="25"/>
        <v>0</v>
      </c>
      <c r="B110" s="10085" t="str">
        <f t="shared" si="20"/>
        <v/>
      </c>
      <c r="C110" s="9649"/>
      <c r="D110" s="9649"/>
      <c r="E110" s="9649"/>
      <c r="F110" s="9649"/>
      <c r="G110" s="9649"/>
      <c r="H110" s="9649"/>
      <c r="I110" s="9667"/>
      <c r="J110" s="10086" t="str">
        <f t="shared" si="21"/>
        <v/>
      </c>
      <c r="K110" s="10087"/>
      <c r="L110" s="10087"/>
      <c r="M110" s="10086" t="str">
        <f t="shared" si="22"/>
        <v/>
      </c>
      <c r="N110" s="10087"/>
      <c r="O110" s="10087"/>
      <c r="P110" s="10088"/>
      <c r="Q110" s="7143" t="str">
        <f t="shared" si="23"/>
        <v/>
      </c>
      <c r="R110" s="10090"/>
      <c r="S110" s="10090"/>
      <c r="T110" s="10091"/>
      <c r="U110" s="7143" t="str">
        <f t="shared" si="24"/>
        <v/>
      </c>
      <c r="V110" s="10090"/>
      <c r="W110" s="10090"/>
      <c r="X110" s="10091"/>
      <c r="Y110" s="10089" t="str">
        <f t="shared" si="26"/>
        <v/>
      </c>
      <c r="Z110" s="6563"/>
      <c r="AA110" s="10089" t="str">
        <f t="shared" si="27"/>
        <v/>
      </c>
      <c r="AB110" s="6563"/>
      <c r="AC110" s="10138" t="str">
        <f t="shared" si="28"/>
        <v/>
      </c>
      <c r="AD110" s="10139"/>
      <c r="AE110" s="10139"/>
      <c r="AF110" s="10139"/>
      <c r="AG110" s="911">
        <f t="shared" si="29"/>
        <v>0</v>
      </c>
      <c r="AH110" s="5727"/>
      <c r="AI110" s="5727" t="e">
        <f t="shared" si="30"/>
        <v>#VALUE!</v>
      </c>
      <c r="AJ110" s="853"/>
      <c r="AK110" s="857"/>
      <c r="AL110" s="857"/>
      <c r="AM110" s="855"/>
      <c r="AN110" s="855"/>
      <c r="AO110" s="856"/>
      <c r="AP110" s="855"/>
      <c r="AQ110" s="854"/>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61">
        <f t="shared" si="25"/>
        <v>0</v>
      </c>
      <c r="B111" s="10085" t="str">
        <f t="shared" si="20"/>
        <v/>
      </c>
      <c r="C111" s="9649"/>
      <c r="D111" s="9649"/>
      <c r="E111" s="9649"/>
      <c r="F111" s="9649"/>
      <c r="G111" s="9649"/>
      <c r="H111" s="9649"/>
      <c r="I111" s="9667"/>
      <c r="J111" s="10086" t="str">
        <f t="shared" si="21"/>
        <v/>
      </c>
      <c r="K111" s="10087"/>
      <c r="L111" s="10087"/>
      <c r="M111" s="10086" t="str">
        <f t="shared" si="22"/>
        <v/>
      </c>
      <c r="N111" s="10087"/>
      <c r="O111" s="10087"/>
      <c r="P111" s="10088"/>
      <c r="Q111" s="7143" t="str">
        <f t="shared" si="23"/>
        <v/>
      </c>
      <c r="R111" s="10090"/>
      <c r="S111" s="10090"/>
      <c r="T111" s="10091"/>
      <c r="U111" s="7143" t="str">
        <f t="shared" si="24"/>
        <v/>
      </c>
      <c r="V111" s="10090"/>
      <c r="W111" s="10090"/>
      <c r="X111" s="10091"/>
      <c r="Y111" s="10089" t="str">
        <f t="shared" si="26"/>
        <v/>
      </c>
      <c r="Z111" s="6563"/>
      <c r="AA111" s="10089" t="str">
        <f t="shared" si="27"/>
        <v/>
      </c>
      <c r="AB111" s="6563"/>
      <c r="AC111" s="10138" t="str">
        <f t="shared" si="28"/>
        <v/>
      </c>
      <c r="AD111" s="10139"/>
      <c r="AE111" s="10139"/>
      <c r="AF111" s="10139"/>
      <c r="AG111" s="911">
        <f t="shared" si="29"/>
        <v>0</v>
      </c>
      <c r="AH111" s="5727"/>
      <c r="AI111" s="5727" t="e">
        <f t="shared" si="30"/>
        <v>#VALUE!</v>
      </c>
      <c r="AJ111" s="853"/>
      <c r="AK111" s="857"/>
      <c r="AL111" s="857"/>
      <c r="AM111" s="855"/>
      <c r="AN111" s="855"/>
      <c r="AO111" s="856"/>
      <c r="AP111" s="855"/>
      <c r="AQ111" s="854"/>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61">
        <f t="shared" si="25"/>
        <v>0</v>
      </c>
      <c r="B112" s="10085" t="str">
        <f t="shared" si="20"/>
        <v/>
      </c>
      <c r="C112" s="9649"/>
      <c r="D112" s="9649"/>
      <c r="E112" s="9649"/>
      <c r="F112" s="9649"/>
      <c r="G112" s="9649"/>
      <c r="H112" s="9649"/>
      <c r="I112" s="9667"/>
      <c r="J112" s="10086" t="str">
        <f t="shared" si="21"/>
        <v/>
      </c>
      <c r="K112" s="10087"/>
      <c r="L112" s="10087"/>
      <c r="M112" s="10086" t="str">
        <f t="shared" si="22"/>
        <v/>
      </c>
      <c r="N112" s="10087"/>
      <c r="O112" s="10087"/>
      <c r="P112" s="10088"/>
      <c r="Q112" s="7143" t="str">
        <f t="shared" si="23"/>
        <v/>
      </c>
      <c r="R112" s="10090"/>
      <c r="S112" s="10090"/>
      <c r="T112" s="10091"/>
      <c r="U112" s="7143" t="str">
        <f t="shared" si="24"/>
        <v/>
      </c>
      <c r="V112" s="10090"/>
      <c r="W112" s="10090"/>
      <c r="X112" s="10091"/>
      <c r="Y112" s="10089" t="str">
        <f t="shared" si="26"/>
        <v/>
      </c>
      <c r="Z112" s="6563"/>
      <c r="AA112" s="10089" t="str">
        <f t="shared" si="27"/>
        <v/>
      </c>
      <c r="AB112" s="6563"/>
      <c r="AC112" s="10138" t="str">
        <f t="shared" si="28"/>
        <v/>
      </c>
      <c r="AD112" s="10139"/>
      <c r="AE112" s="10139"/>
      <c r="AF112" s="10139"/>
      <c r="AG112" s="911">
        <f t="shared" si="29"/>
        <v>0</v>
      </c>
      <c r="AH112" s="5727"/>
      <c r="AI112" s="5727" t="e">
        <f t="shared" si="30"/>
        <v>#VALUE!</v>
      </c>
      <c r="AJ112" s="853"/>
      <c r="AK112" s="857"/>
      <c r="AL112" s="857"/>
      <c r="AM112" s="855"/>
      <c r="AN112" s="855"/>
      <c r="AO112" s="856"/>
      <c r="AP112" s="855"/>
      <c r="AQ112" s="854"/>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61">
        <f t="shared" si="25"/>
        <v>0</v>
      </c>
      <c r="B113" s="10085" t="str">
        <f t="shared" si="20"/>
        <v/>
      </c>
      <c r="C113" s="9649"/>
      <c r="D113" s="9649"/>
      <c r="E113" s="9649"/>
      <c r="F113" s="9649"/>
      <c r="G113" s="9649"/>
      <c r="H113" s="9649"/>
      <c r="I113" s="9667"/>
      <c r="J113" s="10086" t="str">
        <f t="shared" si="21"/>
        <v/>
      </c>
      <c r="K113" s="10087"/>
      <c r="L113" s="10087"/>
      <c r="M113" s="10086" t="str">
        <f t="shared" si="22"/>
        <v/>
      </c>
      <c r="N113" s="10087"/>
      <c r="O113" s="10087"/>
      <c r="P113" s="10088"/>
      <c r="Q113" s="7143" t="str">
        <f t="shared" si="23"/>
        <v/>
      </c>
      <c r="R113" s="10090"/>
      <c r="S113" s="10090"/>
      <c r="T113" s="10091"/>
      <c r="U113" s="7143" t="str">
        <f t="shared" si="24"/>
        <v/>
      </c>
      <c r="V113" s="10090"/>
      <c r="W113" s="10090"/>
      <c r="X113" s="10091"/>
      <c r="Y113" s="10089" t="str">
        <f t="shared" si="26"/>
        <v/>
      </c>
      <c r="Z113" s="6563"/>
      <c r="AA113" s="10089" t="str">
        <f t="shared" si="27"/>
        <v/>
      </c>
      <c r="AB113" s="6563"/>
      <c r="AC113" s="10138" t="str">
        <f t="shared" si="28"/>
        <v/>
      </c>
      <c r="AD113" s="10139"/>
      <c r="AE113" s="10139"/>
      <c r="AF113" s="10139"/>
      <c r="AG113" s="911">
        <f t="shared" si="29"/>
        <v>0</v>
      </c>
      <c r="AH113" s="5727"/>
      <c r="AI113" s="5727" t="e">
        <f t="shared" si="30"/>
        <v>#VALUE!</v>
      </c>
      <c r="AJ113" s="853"/>
      <c r="AK113" s="857"/>
      <c r="AL113" s="857"/>
      <c r="AM113" s="855"/>
      <c r="AN113" s="855"/>
      <c r="AO113" s="856"/>
      <c r="AP113" s="855"/>
      <c r="AQ113" s="854"/>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61">
        <f t="shared" si="25"/>
        <v>0</v>
      </c>
      <c r="B114" s="10085" t="str">
        <f t="shared" si="20"/>
        <v/>
      </c>
      <c r="C114" s="9649"/>
      <c r="D114" s="9649"/>
      <c r="E114" s="9649"/>
      <c r="F114" s="9649"/>
      <c r="G114" s="9649"/>
      <c r="H114" s="9649"/>
      <c r="I114" s="9667"/>
      <c r="J114" s="10086" t="str">
        <f t="shared" si="21"/>
        <v/>
      </c>
      <c r="K114" s="10087"/>
      <c r="L114" s="10087"/>
      <c r="M114" s="10086" t="str">
        <f t="shared" si="22"/>
        <v/>
      </c>
      <c r="N114" s="10087"/>
      <c r="O114" s="10087"/>
      <c r="P114" s="10088"/>
      <c r="Q114" s="7143" t="str">
        <f t="shared" si="23"/>
        <v/>
      </c>
      <c r="R114" s="10090"/>
      <c r="S114" s="10090"/>
      <c r="T114" s="10091"/>
      <c r="U114" s="7143" t="str">
        <f t="shared" si="24"/>
        <v/>
      </c>
      <c r="V114" s="10090"/>
      <c r="W114" s="10090"/>
      <c r="X114" s="10091"/>
      <c r="Y114" s="10089" t="str">
        <f t="shared" si="26"/>
        <v/>
      </c>
      <c r="Z114" s="6563"/>
      <c r="AA114" s="10089" t="str">
        <f t="shared" si="27"/>
        <v/>
      </c>
      <c r="AB114" s="6563"/>
      <c r="AC114" s="10138" t="str">
        <f t="shared" si="28"/>
        <v/>
      </c>
      <c r="AD114" s="10139"/>
      <c r="AE114" s="10139"/>
      <c r="AF114" s="10139"/>
      <c r="AG114" s="911">
        <f t="shared" si="29"/>
        <v>0</v>
      </c>
      <c r="AH114" s="5727"/>
      <c r="AI114" s="5727" t="e">
        <f t="shared" si="30"/>
        <v>#VALUE!</v>
      </c>
      <c r="AJ114" s="853"/>
      <c r="AK114" s="857"/>
      <c r="AL114" s="857"/>
      <c r="AM114" s="855"/>
      <c r="AN114" s="855"/>
      <c r="AO114" s="856"/>
      <c r="AP114" s="855"/>
      <c r="AQ114" s="854"/>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61">
        <f t="shared" si="25"/>
        <v>0</v>
      </c>
      <c r="B115" s="10085" t="str">
        <f t="shared" si="20"/>
        <v/>
      </c>
      <c r="C115" s="9649"/>
      <c r="D115" s="9649"/>
      <c r="E115" s="9649"/>
      <c r="F115" s="9649"/>
      <c r="G115" s="9649"/>
      <c r="H115" s="9649"/>
      <c r="I115" s="9667"/>
      <c r="J115" s="10086" t="str">
        <f t="shared" si="21"/>
        <v/>
      </c>
      <c r="K115" s="10087"/>
      <c r="L115" s="10087"/>
      <c r="M115" s="10086" t="str">
        <f t="shared" si="22"/>
        <v/>
      </c>
      <c r="N115" s="10087"/>
      <c r="O115" s="10087"/>
      <c r="P115" s="10088"/>
      <c r="Q115" s="7143" t="str">
        <f t="shared" si="23"/>
        <v/>
      </c>
      <c r="R115" s="10090"/>
      <c r="S115" s="10090"/>
      <c r="T115" s="10091"/>
      <c r="U115" s="7143" t="str">
        <f t="shared" si="24"/>
        <v/>
      </c>
      <c r="V115" s="10090"/>
      <c r="W115" s="10090"/>
      <c r="X115" s="10091"/>
      <c r="Y115" s="10089" t="str">
        <f t="shared" si="26"/>
        <v/>
      </c>
      <c r="Z115" s="6563"/>
      <c r="AA115" s="10089" t="str">
        <f t="shared" si="27"/>
        <v/>
      </c>
      <c r="AB115" s="6563"/>
      <c r="AC115" s="10138" t="str">
        <f t="shared" si="28"/>
        <v/>
      </c>
      <c r="AD115" s="10139"/>
      <c r="AE115" s="10139"/>
      <c r="AF115" s="10139"/>
      <c r="AG115" s="911">
        <f t="shared" si="29"/>
        <v>0</v>
      </c>
      <c r="AH115" s="5727"/>
      <c r="AI115" s="5727" t="e">
        <f t="shared" si="30"/>
        <v>#VALUE!</v>
      </c>
      <c r="AJ115" s="853"/>
      <c r="AK115" s="857"/>
      <c r="AL115" s="857"/>
      <c r="AM115" s="855"/>
      <c r="AN115" s="855"/>
      <c r="AO115" s="856"/>
      <c r="AP115" s="855"/>
      <c r="AQ115" s="854"/>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61">
        <f>SUM(A88:A115)</f>
        <v>0</v>
      </c>
      <c r="B116" s="10168">
        <v>2</v>
      </c>
      <c r="C116" s="10110" t="s">
        <v>5037</v>
      </c>
      <c r="D116" s="10111"/>
      <c r="E116" s="10111"/>
      <c r="F116" s="10111"/>
      <c r="G116" s="10111"/>
      <c r="H116" s="10111"/>
      <c r="I116" s="10111"/>
      <c r="J116" s="10111"/>
      <c r="K116" s="10111"/>
      <c r="L116" s="10111"/>
      <c r="M116" s="10111"/>
      <c r="N116" s="10111"/>
      <c r="O116" s="10111"/>
      <c r="P116" s="10111"/>
      <c r="Q116" s="10113" t="str">
        <f>IF(A116=0,"",ROUND(SUM(Q88:Q115),0))</f>
        <v/>
      </c>
      <c r="R116" s="10114"/>
      <c r="S116" s="10114"/>
      <c r="T116" s="10115"/>
      <c r="U116" s="10113" t="str">
        <f>IF(A116=0,"",ROUND(SUM(U88:U115),0))</f>
        <v/>
      </c>
      <c r="V116" s="10124"/>
      <c r="W116" s="10124"/>
      <c r="X116" s="10133"/>
      <c r="Y116" s="10127"/>
      <c r="Z116" s="10128"/>
      <c r="AA116" s="10113" t="str">
        <f>IF(A116=0,"",ROUND(SUM(AA88:AA115),0))</f>
        <v/>
      </c>
      <c r="AB116" s="10115"/>
      <c r="AC116" s="10113" t="str">
        <f>IF(A116=0,"",ROUND(SUM(AC88:AC115),0))</f>
        <v/>
      </c>
      <c r="AD116" s="10124"/>
      <c r="AE116" s="10124"/>
      <c r="AF116" s="10124"/>
      <c r="AG116" s="461"/>
    </row>
    <row r="117" spans="1:55" ht="11.25" customHeight="1">
      <c r="A117" s="461"/>
      <c r="B117" s="10169"/>
      <c r="C117" s="10112"/>
      <c r="D117" s="10112"/>
      <c r="E117" s="10112"/>
      <c r="F117" s="10112"/>
      <c r="G117" s="10112"/>
      <c r="H117" s="10112"/>
      <c r="I117" s="10112"/>
      <c r="J117" s="10112"/>
      <c r="K117" s="10112"/>
      <c r="L117" s="10112"/>
      <c r="M117" s="10112"/>
      <c r="N117" s="10112"/>
      <c r="O117" s="10112"/>
      <c r="P117" s="10112"/>
      <c r="Q117" s="10116"/>
      <c r="R117" s="10117"/>
      <c r="S117" s="10117"/>
      <c r="T117" s="10118"/>
      <c r="U117" s="10125"/>
      <c r="V117" s="10126"/>
      <c r="W117" s="10126"/>
      <c r="X117" s="10134"/>
      <c r="Y117" s="10129"/>
      <c r="Z117" s="10130"/>
      <c r="AA117" s="10116"/>
      <c r="AB117" s="10118"/>
      <c r="AC117" s="10125"/>
      <c r="AD117" s="10126"/>
      <c r="AE117" s="10126"/>
      <c r="AF117" s="10126"/>
      <c r="AG117" s="461"/>
    </row>
    <row r="118" spans="1:55" ht="11.25" customHeight="1">
      <c r="A118" s="461"/>
      <c r="B118" s="10169"/>
      <c r="C118" s="10112"/>
      <c r="D118" s="10112"/>
      <c r="E118" s="10112"/>
      <c r="F118" s="10112"/>
      <c r="G118" s="10112"/>
      <c r="H118" s="10112"/>
      <c r="I118" s="10112"/>
      <c r="J118" s="10112"/>
      <c r="K118" s="10112"/>
      <c r="L118" s="10112"/>
      <c r="M118" s="10112"/>
      <c r="N118" s="10112"/>
      <c r="O118" s="10112"/>
      <c r="P118" s="10112"/>
      <c r="Q118" s="10116"/>
      <c r="R118" s="10117"/>
      <c r="S118" s="10117"/>
      <c r="T118" s="10118"/>
      <c r="U118" s="10125"/>
      <c r="V118" s="10126"/>
      <c r="W118" s="10126"/>
      <c r="X118" s="10134"/>
      <c r="Y118" s="10129"/>
      <c r="Z118" s="10130"/>
      <c r="AA118" s="10116"/>
      <c r="AB118" s="10118"/>
      <c r="AC118" s="10125"/>
      <c r="AD118" s="10126"/>
      <c r="AE118" s="10126"/>
      <c r="AF118" s="10126"/>
      <c r="AG118" s="461"/>
    </row>
    <row r="119" spans="1:55" ht="11.25" customHeight="1">
      <c r="A119" s="461"/>
      <c r="B119" s="10169"/>
      <c r="C119" s="10112"/>
      <c r="D119" s="10112"/>
      <c r="E119" s="10112"/>
      <c r="F119" s="10112"/>
      <c r="G119" s="10112"/>
      <c r="H119" s="10112"/>
      <c r="I119" s="10112"/>
      <c r="J119" s="10112"/>
      <c r="K119" s="10112"/>
      <c r="L119" s="10112"/>
      <c r="M119" s="10112"/>
      <c r="N119" s="10112"/>
      <c r="O119" s="10112"/>
      <c r="P119" s="10112"/>
      <c r="Q119" s="10116"/>
      <c r="R119" s="10117"/>
      <c r="S119" s="10117"/>
      <c r="T119" s="10118"/>
      <c r="U119" s="10125"/>
      <c r="V119" s="10126"/>
      <c r="W119" s="10126"/>
      <c r="X119" s="10134"/>
      <c r="Y119" s="10129"/>
      <c r="Z119" s="10130"/>
      <c r="AA119" s="10116"/>
      <c r="AB119" s="10118"/>
      <c r="AC119" s="10125"/>
      <c r="AD119" s="10126"/>
      <c r="AE119" s="10126"/>
      <c r="AF119" s="10126"/>
      <c r="AG119" s="461"/>
    </row>
    <row r="120" spans="1:55" ht="6" customHeight="1">
      <c r="A120" s="461"/>
      <c r="B120" s="10169"/>
      <c r="C120" s="10112"/>
      <c r="D120" s="10112"/>
      <c r="E120" s="10112"/>
      <c r="F120" s="10112"/>
      <c r="G120" s="10112"/>
      <c r="H120" s="10112"/>
      <c r="I120" s="10112"/>
      <c r="J120" s="10112"/>
      <c r="K120" s="10112"/>
      <c r="L120" s="10112"/>
      <c r="M120" s="10112"/>
      <c r="N120" s="10112"/>
      <c r="O120" s="10112"/>
      <c r="P120" s="10112"/>
      <c r="Q120" s="10116"/>
      <c r="R120" s="10117"/>
      <c r="S120" s="10117"/>
      <c r="T120" s="10118"/>
      <c r="U120" s="10135"/>
      <c r="V120" s="10136"/>
      <c r="W120" s="10136"/>
      <c r="X120" s="10137"/>
      <c r="Y120" s="10131"/>
      <c r="Z120" s="10132"/>
      <c r="AA120" s="10119"/>
      <c r="AB120" s="10121"/>
      <c r="AC120" s="10125"/>
      <c r="AD120" s="10126"/>
      <c r="AE120" s="10126"/>
      <c r="AF120" s="10126"/>
      <c r="AG120" s="461"/>
    </row>
    <row r="121" spans="1:55" ht="25.5" customHeight="1" thickBot="1">
      <c r="A121" s="461"/>
      <c r="B121" s="10165" t="s">
        <v>5038</v>
      </c>
      <c r="C121" s="10166"/>
      <c r="D121" s="10166"/>
      <c r="E121" s="10166"/>
      <c r="F121" s="10166"/>
      <c r="G121" s="10166"/>
      <c r="H121" s="10166"/>
      <c r="I121" s="10166"/>
      <c r="J121" s="10166"/>
      <c r="K121" s="10166"/>
      <c r="L121" s="10166"/>
      <c r="M121" s="10166"/>
      <c r="N121" s="10166"/>
      <c r="O121" s="10166"/>
      <c r="P121" s="10166"/>
      <c r="Q121" s="10166"/>
      <c r="R121" s="10166"/>
      <c r="S121" s="10166"/>
      <c r="T121" s="10166"/>
      <c r="U121" s="10167"/>
      <c r="V121" s="10167"/>
      <c r="W121" s="10167"/>
      <c r="X121" s="10167"/>
      <c r="Y121" s="10166"/>
      <c r="Z121" s="10166"/>
      <c r="AA121" s="10166"/>
      <c r="AB121" s="10166"/>
      <c r="AC121" s="10166"/>
      <c r="AD121" s="10166"/>
      <c r="AE121" s="10166"/>
      <c r="AF121" s="10166"/>
      <c r="AG121" s="461"/>
    </row>
    <row r="122" spans="1:55" ht="14.25" customHeight="1" thickTop="1">
      <c r="A122" s="461"/>
      <c r="B122" s="3858"/>
      <c r="C122" s="22"/>
      <c r="D122" s="22"/>
      <c r="E122" s="22"/>
      <c r="F122" s="22"/>
      <c r="G122" s="22"/>
      <c r="H122" s="22"/>
      <c r="I122" s="22"/>
      <c r="J122" s="22"/>
      <c r="K122" s="22"/>
      <c r="L122" s="22"/>
      <c r="M122" s="22"/>
      <c r="N122" s="22"/>
      <c r="O122" s="22"/>
      <c r="P122" s="22"/>
      <c r="Q122" s="22"/>
      <c r="R122" s="22"/>
      <c r="S122" s="22"/>
      <c r="T122" s="22"/>
      <c r="U122" s="337"/>
      <c r="V122" s="22"/>
      <c r="W122" s="22"/>
      <c r="X122" s="22"/>
      <c r="Y122" s="22"/>
      <c r="Z122" s="22"/>
      <c r="AA122" s="22"/>
      <c r="AB122" s="22"/>
      <c r="AC122" s="22"/>
      <c r="AD122" s="705" t="s">
        <v>5018</v>
      </c>
      <c r="AE122" s="22"/>
      <c r="AF122" s="2822" t="str">
        <f>"("&amp;TaxYear&amp;")"</f>
        <v>(2023)</v>
      </c>
      <c r="AG122" s="461"/>
    </row>
    <row r="123" spans="1:55">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row>
  </sheetData>
  <sheetProtection algorithmName="SHA-512" hashValue="ZMKcNOdpRoJh8vRR0qhaJ+k5VqXzZG6m0yJn7o3MaZprxGJesRQj/7yQTMhXCYCgv2zfbUMkguFGir1do7A2cA==" saltValue="SycdWOPwvNj3K0yXM1tALw==" spinCount="100000" sheet="1" objects="1" scenarios="1"/>
  <mergeCells count="471">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C116:AF120"/>
    <mergeCell ref="AC113:AF113"/>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s>
  <conditionalFormatting sqref="B2">
    <cfRule type="expression" dxfId="231" priority="70" stopIfTrue="1">
      <formula>IF(OR($AG$16,$AG$69),1,0)</formula>
    </cfRule>
  </conditionalFormatting>
  <conditionalFormatting sqref="B21">
    <cfRule type="expression" dxfId="230" priority="7">
      <formula>AND(NOT(NoColor),A29=0)</formula>
    </cfRule>
  </conditionalFormatting>
  <conditionalFormatting sqref="B74">
    <cfRule type="expression" dxfId="229" priority="8">
      <formula>AND(NOT(NoColor),A82=0)</formula>
    </cfRule>
  </conditionalFormatting>
  <conditionalFormatting sqref="B11:AF11">
    <cfRule type="expression" dxfId="228" priority="52">
      <formula>IF(NoColor,1,0)</formula>
    </cfRule>
  </conditionalFormatting>
  <conditionalFormatting sqref="B35:AF54">
    <cfRule type="expression" dxfId="227" priority="19">
      <formula>IF(NoColor,1,0)</formula>
    </cfRule>
  </conditionalFormatting>
  <conditionalFormatting sqref="B64:AF64">
    <cfRule type="expression" dxfId="226" priority="45">
      <formula>IF(NoColor,1,0)</formula>
    </cfRule>
  </conditionalFormatting>
  <conditionalFormatting sqref="B88:AF115">
    <cfRule type="expression" dxfId="225" priority="20">
      <formula>IF(NoColor,1,0)</formula>
    </cfRule>
  </conditionalFormatting>
  <conditionalFormatting sqref="C25">
    <cfRule type="expression" dxfId="224" priority="21">
      <formula>IF(NoColor,1,0)</formula>
    </cfRule>
  </conditionalFormatting>
  <conditionalFormatting sqref="C27">
    <cfRule type="expression" dxfId="223" priority="16">
      <formula>IF(NoColor,1,0)</formula>
    </cfRule>
  </conditionalFormatting>
  <conditionalFormatting sqref="C29">
    <cfRule type="expression" dxfId="222" priority="15">
      <formula>IF(NoColor,1,0)</formula>
    </cfRule>
  </conditionalFormatting>
  <conditionalFormatting sqref="C78">
    <cfRule type="expression" dxfId="221" priority="31">
      <formula>IF(NoColor,1,0)</formula>
    </cfRule>
  </conditionalFormatting>
  <conditionalFormatting sqref="C80">
    <cfRule type="expression" dxfId="220" priority="18">
      <formula>IF(NoColor,1,0)</formula>
    </cfRule>
  </conditionalFormatting>
  <conditionalFormatting sqref="C82">
    <cfRule type="expression" dxfId="219" priority="17">
      <formula>IF(NoColor,1,0)</formula>
    </cfRule>
  </conditionalFormatting>
  <conditionalFormatting sqref="J35:J54">
    <cfRule type="expression" dxfId="218" priority="48" stopIfTrue="1">
      <formula>IF(AND($L$2="",AG35&lt;&gt;0),TRUE,FALSE)</formula>
    </cfRule>
  </conditionalFormatting>
  <conditionalFormatting sqref="J88:J115">
    <cfRule type="expression" dxfId="217" priority="41" stopIfTrue="1">
      <formula>IF(AND($L$2="",AG88&lt;&gt;0),TRUE,FALSE)</formula>
    </cfRule>
  </conditionalFormatting>
  <conditionalFormatting sqref="K74">
    <cfRule type="expression" dxfId="216" priority="12">
      <formula>(A$82&gt;1)</formula>
    </cfRule>
  </conditionalFormatting>
  <conditionalFormatting sqref="L2">
    <cfRule type="expression" dxfId="215" priority="69" stopIfTrue="1">
      <formula>IF(OR($AG$16,$AG$69),1,0)</formula>
    </cfRule>
  </conditionalFormatting>
  <conditionalFormatting sqref="L21">
    <cfRule type="expression" dxfId="214" priority="6">
      <formula>(A29&gt;1)</formula>
    </cfRule>
  </conditionalFormatting>
  <conditionalFormatting sqref="M35:M54">
    <cfRule type="expression" dxfId="213" priority="47" stopIfTrue="1">
      <formula>IF(AND($L$2="",AG35&gt;0),TRUE,FALSE)</formula>
    </cfRule>
  </conditionalFormatting>
  <conditionalFormatting sqref="M88:M115">
    <cfRule type="expression" dxfId="212" priority="40" stopIfTrue="1">
      <formula>IF(AND($L$2="",AG88&gt;0),TRUE,FALSE)</formula>
    </cfRule>
  </conditionalFormatting>
  <conditionalFormatting sqref="P69">
    <cfRule type="expression" dxfId="211" priority="4" stopIfTrue="1">
      <formula>IF(AND($L$2="",$AG$69),TRUE,FALSE)</formula>
    </cfRule>
  </conditionalFormatting>
  <conditionalFormatting sqref="Q55:X59">
    <cfRule type="expression" dxfId="210" priority="1">
      <formula>IF(NoColor,1,0)</formula>
    </cfRule>
  </conditionalFormatting>
  <conditionalFormatting sqref="Q116:X120">
    <cfRule type="expression" dxfId="209" priority="26">
      <formula>IF(NoColor,1,0)</formula>
    </cfRule>
  </conditionalFormatting>
  <conditionalFormatting sqref="T16">
    <cfRule type="expression" dxfId="208" priority="5" stopIfTrue="1">
      <formula>IF(AND($L$2="",$AG$16),TRUE,FALSE)</formula>
    </cfRule>
  </conditionalFormatting>
  <conditionalFormatting sqref="T69">
    <cfRule type="expression" dxfId="207" priority="3" stopIfTrue="1">
      <formula>IF(AND($L$2="",$AG$69),TRUE,FALSE)</formula>
    </cfRule>
  </conditionalFormatting>
  <conditionalFormatting sqref="T70">
    <cfRule type="expression" dxfId="206" priority="2" stopIfTrue="1">
      <formula>IF(AND($L$2="",$AG$16),TRUE,FALSE)</formula>
    </cfRule>
  </conditionalFormatting>
  <conditionalFormatting sqref="AA55:AF59">
    <cfRule type="expression" dxfId="205" priority="27">
      <formula>IF(NoColor,1,0)</formula>
    </cfRule>
  </conditionalFormatting>
  <conditionalFormatting sqref="AA116:AF120">
    <cfRule type="expression" dxfId="204" priority="25">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4"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3" stopIfTrue="1" id="{A2D9BE0A-FD70-42C9-87DB-4C17D8C57EB8}">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C123"/>
  <sheetViews>
    <sheetView zoomScaleNormal="100" zoomScaleSheetLayoutView="100" workbookViewId="0"/>
  </sheetViews>
  <sheetFormatPr defaultColWidth="3.7109375" defaultRowHeight="12.75"/>
  <cols>
    <col min="1" max="1" width="3.7109375" style="751" customWidth="1"/>
    <col min="2" max="2" width="4.140625" style="39" customWidth="1"/>
    <col min="3" max="3" width="2.28515625" style="39" customWidth="1"/>
    <col min="4" max="9" width="3.7109375" style="39" customWidth="1"/>
    <col min="10" max="10" width="4" style="39" customWidth="1"/>
    <col min="11" max="11" width="6.85546875" style="39" customWidth="1"/>
    <col min="12" max="12" width="4" style="39" customWidth="1"/>
    <col min="13" max="19" width="3.7109375" style="39" customWidth="1"/>
    <col min="20" max="23" width="3.85546875" style="39" customWidth="1"/>
    <col min="24" max="24" width="3.7109375" style="39" customWidth="1"/>
    <col min="25" max="26" width="5.42578125" style="39" customWidth="1"/>
    <col min="27" max="27" width="8.42578125" style="39" customWidth="1"/>
    <col min="28" max="28" width="6.42578125" style="39" customWidth="1"/>
    <col min="29" max="32" width="3.7109375" style="39" customWidth="1"/>
    <col min="33" max="33" width="6" style="745" customWidth="1"/>
    <col min="34" max="34" width="4.85546875" style="217" customWidth="1"/>
    <col min="35" max="35" width="8.5703125" style="217" bestFit="1" customWidth="1"/>
    <col min="36" max="36" width="29.28515625" style="39" customWidth="1"/>
    <col min="37" max="40" width="13.7109375" style="39" customWidth="1"/>
    <col min="41" max="41" width="10" style="39" customWidth="1"/>
    <col min="42" max="42" width="15.5703125" style="39" customWidth="1"/>
    <col min="43" max="43" width="15.42578125" style="39" customWidth="1"/>
    <col min="44" max="44" width="3.7109375" style="39"/>
    <col min="45" max="46" width="5" style="39" hidden="1" customWidth="1"/>
    <col min="47" max="47" width="0" style="39" hidden="1" customWidth="1"/>
    <col min="48" max="48" width="1.7109375" style="39" hidden="1" customWidth="1"/>
    <col min="49" max="49" width="5" style="39" hidden="1" customWidth="1"/>
    <col min="50" max="52" width="0" style="39" hidden="1" customWidth="1"/>
    <col min="53" max="55" width="7" style="39" hidden="1" customWidth="1"/>
    <col min="56" max="16384" width="3.7109375" style="39"/>
  </cols>
  <sheetData>
    <row r="1" spans="1:34">
      <c r="A1" s="461"/>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row>
    <row r="2" spans="1:34">
      <c r="A2" s="66"/>
      <c r="B2" s="10173" t="s">
        <v>4971</v>
      </c>
      <c r="C2" s="10174"/>
      <c r="D2" s="10174"/>
      <c r="E2" s="10174"/>
      <c r="F2" s="10174"/>
      <c r="G2" s="10174"/>
      <c r="H2" s="10174"/>
      <c r="I2" s="10174"/>
      <c r="J2" s="10174"/>
      <c r="K2" s="10174"/>
      <c r="L2" s="793"/>
      <c r="M2" s="66"/>
      <c r="N2" s="66"/>
      <c r="O2" s="66"/>
      <c r="P2" s="66"/>
      <c r="Q2" s="66"/>
      <c r="R2" s="66"/>
      <c r="S2" s="66"/>
      <c r="T2" s="66"/>
      <c r="U2" s="66"/>
      <c r="V2" s="66"/>
      <c r="W2" s="66"/>
      <c r="X2" s="66"/>
      <c r="Y2" s="66"/>
      <c r="Z2" s="66"/>
      <c r="AA2" s="691"/>
      <c r="AB2" s="66"/>
      <c r="AC2" s="66"/>
      <c r="AD2" s="66"/>
      <c r="AE2" s="66"/>
      <c r="AF2" s="66"/>
      <c r="AG2" s="461"/>
    </row>
    <row r="3" spans="1:34">
      <c r="A3" s="461"/>
      <c r="B3" s="461"/>
      <c r="C3" s="461"/>
      <c r="D3" s="461"/>
      <c r="E3" s="461"/>
      <c r="F3" s="461"/>
      <c r="G3" s="461"/>
      <c r="H3" s="461"/>
      <c r="I3" s="461"/>
      <c r="J3" s="461"/>
      <c r="K3" s="461"/>
      <c r="L3" s="461"/>
      <c r="M3" s="461"/>
      <c r="N3" s="461"/>
      <c r="O3" s="461"/>
      <c r="P3" s="461"/>
      <c r="Q3" s="461"/>
      <c r="R3" s="461"/>
      <c r="S3" s="461"/>
      <c r="T3" s="461"/>
      <c r="U3" s="461"/>
      <c r="V3" s="461"/>
      <c r="W3" s="461"/>
      <c r="X3" s="461"/>
      <c r="Y3" s="461"/>
      <c r="Z3" s="461"/>
      <c r="AA3" s="461"/>
      <c r="AB3" s="461"/>
      <c r="AC3" s="461"/>
      <c r="AD3" s="461"/>
      <c r="AE3" s="461"/>
      <c r="AF3" s="461"/>
      <c r="AG3" s="461"/>
    </row>
    <row r="4" spans="1:34" ht="11.25" customHeight="1">
      <c r="A4" s="461"/>
      <c r="B4" s="10175" t="s">
        <v>4972</v>
      </c>
      <c r="C4" s="8769"/>
      <c r="D4" s="8769"/>
      <c r="E4" s="8769"/>
      <c r="F4" s="8769"/>
      <c r="G4" s="22"/>
      <c r="H4" s="10177" t="s">
        <v>4973</v>
      </c>
      <c r="I4" s="10178"/>
      <c r="J4" s="10178"/>
      <c r="K4" s="10178"/>
      <c r="L4" s="10178"/>
      <c r="M4" s="10178"/>
      <c r="N4" s="10178"/>
      <c r="O4" s="10178"/>
      <c r="P4" s="10178"/>
      <c r="Q4" s="10178"/>
      <c r="R4" s="10178"/>
      <c r="S4" s="10178"/>
      <c r="T4" s="10178"/>
      <c r="U4" s="10178"/>
      <c r="V4" s="10178"/>
      <c r="W4" s="10178"/>
      <c r="X4" s="10178"/>
      <c r="Y4" s="10178"/>
      <c r="Z4" s="10178"/>
      <c r="AA4" s="10179"/>
      <c r="AB4" s="7041" t="s">
        <v>576</v>
      </c>
      <c r="AC4" s="8773"/>
      <c r="AD4" s="8773"/>
      <c r="AE4" s="8773"/>
      <c r="AF4" s="8773"/>
      <c r="AG4" s="461"/>
      <c r="AH4" s="5726"/>
    </row>
    <row r="5" spans="1:34" ht="11.25" customHeight="1">
      <c r="A5" s="461"/>
      <c r="B5" s="8769"/>
      <c r="C5" s="8769"/>
      <c r="D5" s="8769"/>
      <c r="E5" s="8769"/>
      <c r="F5" s="8769"/>
      <c r="G5" s="22"/>
      <c r="H5" s="10180"/>
      <c r="I5" s="10178"/>
      <c r="J5" s="10178"/>
      <c r="K5" s="10178"/>
      <c r="L5" s="10178"/>
      <c r="M5" s="10178"/>
      <c r="N5" s="10178"/>
      <c r="O5" s="10178"/>
      <c r="P5" s="10178"/>
      <c r="Q5" s="10178"/>
      <c r="R5" s="10178"/>
      <c r="S5" s="10178"/>
      <c r="T5" s="10178"/>
      <c r="U5" s="10178"/>
      <c r="V5" s="10178"/>
      <c r="W5" s="10178"/>
      <c r="X5" s="10178"/>
      <c r="Y5" s="10178"/>
      <c r="Z5" s="10178"/>
      <c r="AA5" s="10179"/>
      <c r="AB5" s="10176">
        <f>TaxYear</f>
        <v>2023</v>
      </c>
      <c r="AC5" s="8769"/>
      <c r="AD5" s="8769"/>
      <c r="AE5" s="8769"/>
      <c r="AF5" s="8769"/>
      <c r="AG5" s="461"/>
      <c r="AH5" s="5726"/>
    </row>
    <row r="6" spans="1:34" ht="11.25" customHeight="1">
      <c r="A6" s="461"/>
      <c r="B6" s="8769"/>
      <c r="C6" s="8769"/>
      <c r="D6" s="8769"/>
      <c r="E6" s="8769"/>
      <c r="F6" s="8769"/>
      <c r="G6" s="22"/>
      <c r="H6" s="10181"/>
      <c r="I6" s="6466"/>
      <c r="J6" s="6466"/>
      <c r="K6" s="6466"/>
      <c r="L6" s="6466"/>
      <c r="M6" s="6466"/>
      <c r="N6" s="6466"/>
      <c r="O6" s="6466"/>
      <c r="P6" s="6466"/>
      <c r="Q6" s="6466"/>
      <c r="R6" s="6466"/>
      <c r="S6" s="6466"/>
      <c r="T6" s="6466"/>
      <c r="U6" s="6466"/>
      <c r="V6" s="6466"/>
      <c r="W6" s="6466"/>
      <c r="X6" s="6466"/>
      <c r="Y6" s="6466"/>
      <c r="Z6" s="6466"/>
      <c r="AA6" s="8614"/>
      <c r="AB6" s="8769"/>
      <c r="AC6" s="8769"/>
      <c r="AD6" s="8769"/>
      <c r="AE6" s="8769"/>
      <c r="AF6" s="8769"/>
      <c r="AG6" s="461"/>
      <c r="AH6" s="744"/>
    </row>
    <row r="7" spans="1:34" ht="11.25" customHeight="1">
      <c r="A7" s="461"/>
      <c r="B7" s="22"/>
      <c r="C7" s="22"/>
      <c r="D7" s="22"/>
      <c r="E7" s="22"/>
      <c r="F7" s="22"/>
      <c r="G7" s="22"/>
      <c r="H7" s="10182" t="s">
        <v>4974</v>
      </c>
      <c r="I7" s="10183"/>
      <c r="J7" s="10183"/>
      <c r="K7" s="10183"/>
      <c r="L7" s="10183"/>
      <c r="M7" s="10183"/>
      <c r="N7" s="10183"/>
      <c r="O7" s="10183"/>
      <c r="P7" s="10183"/>
      <c r="Q7" s="10183"/>
      <c r="R7" s="10183"/>
      <c r="S7" s="10183"/>
      <c r="T7" s="10183"/>
      <c r="U7" s="10183"/>
      <c r="V7" s="10183"/>
      <c r="W7" s="10183"/>
      <c r="X7" s="10183"/>
      <c r="Y7" s="10183"/>
      <c r="Z7" s="10183"/>
      <c r="AA7" s="10184"/>
      <c r="AB7" s="8769"/>
      <c r="AC7" s="8769"/>
      <c r="AD7" s="8769"/>
      <c r="AE7" s="8769"/>
      <c r="AF7" s="8769"/>
      <c r="AG7" s="461"/>
    </row>
    <row r="8" spans="1:34" ht="10.5" customHeight="1">
      <c r="A8" s="461"/>
      <c r="B8" s="29" t="s">
        <v>535</v>
      </c>
      <c r="C8" s="22"/>
      <c r="D8" s="22"/>
      <c r="E8" s="22"/>
      <c r="F8" s="22"/>
      <c r="G8" s="22"/>
      <c r="H8" s="10182" t="s">
        <v>5740</v>
      </c>
      <c r="I8" s="10183"/>
      <c r="J8" s="10183"/>
      <c r="K8" s="10183"/>
      <c r="L8" s="10183"/>
      <c r="M8" s="10183"/>
      <c r="N8" s="10183"/>
      <c r="O8" s="10183"/>
      <c r="P8" s="10183"/>
      <c r="Q8" s="10183"/>
      <c r="R8" s="10183"/>
      <c r="S8" s="10183"/>
      <c r="T8" s="10183"/>
      <c r="U8" s="10183"/>
      <c r="V8" s="10183"/>
      <c r="W8" s="10183"/>
      <c r="X8" s="10183"/>
      <c r="Y8" s="10183"/>
      <c r="Z8" s="10183"/>
      <c r="AA8" s="10184"/>
      <c r="AB8" s="10187" t="s">
        <v>2265</v>
      </c>
      <c r="AC8" s="10207"/>
      <c r="AD8" s="10207"/>
      <c r="AE8" s="8073" t="s">
        <v>4975</v>
      </c>
      <c r="AF8" s="8073"/>
      <c r="AG8" s="461"/>
    </row>
    <row r="9" spans="1:34" ht="10.5" customHeight="1" thickBot="1">
      <c r="A9" s="461"/>
      <c r="B9" s="28" t="s">
        <v>537</v>
      </c>
      <c r="C9" s="34"/>
      <c r="D9" s="34"/>
      <c r="E9" s="34"/>
      <c r="F9" s="34"/>
      <c r="G9" s="34"/>
      <c r="H9" s="10191"/>
      <c r="I9" s="10192"/>
      <c r="J9" s="10192"/>
      <c r="K9" s="10192"/>
      <c r="L9" s="10192"/>
      <c r="M9" s="10192"/>
      <c r="N9" s="10192"/>
      <c r="O9" s="10192"/>
      <c r="P9" s="10192"/>
      <c r="Q9" s="10192"/>
      <c r="R9" s="10192"/>
      <c r="S9" s="10192"/>
      <c r="T9" s="10192"/>
      <c r="U9" s="10192"/>
      <c r="V9" s="10192"/>
      <c r="W9" s="10192"/>
      <c r="X9" s="10192"/>
      <c r="Y9" s="10192"/>
      <c r="Z9" s="10192"/>
      <c r="AA9" s="10193"/>
      <c r="AB9" s="10208"/>
      <c r="AC9" s="10209"/>
      <c r="AD9" s="10209"/>
      <c r="AE9" s="8162"/>
      <c r="AF9" s="8162"/>
      <c r="AG9" s="461"/>
    </row>
    <row r="10" spans="1:34">
      <c r="A10" s="461"/>
      <c r="B10" s="29" t="s">
        <v>2208</v>
      </c>
      <c r="C10" s="22"/>
      <c r="D10" s="22"/>
      <c r="E10" s="22"/>
      <c r="F10" s="22"/>
      <c r="G10" s="22"/>
      <c r="H10" s="22"/>
      <c r="I10" s="22"/>
      <c r="J10" s="22"/>
      <c r="K10" s="22"/>
      <c r="L10" s="22"/>
      <c r="M10" s="22"/>
      <c r="N10" s="22"/>
      <c r="O10" s="22"/>
      <c r="P10" s="22"/>
      <c r="Q10" s="22"/>
      <c r="R10" s="22"/>
      <c r="S10" s="22"/>
      <c r="T10" s="22"/>
      <c r="U10" s="22"/>
      <c r="V10" s="852" t="s">
        <v>4976</v>
      </c>
      <c r="W10" s="22"/>
      <c r="X10" s="22"/>
      <c r="Y10" s="22"/>
      <c r="Z10" s="33"/>
      <c r="AA10" s="22"/>
      <c r="AB10" s="22"/>
      <c r="AC10" s="22"/>
      <c r="AD10" s="22"/>
      <c r="AE10" s="22"/>
      <c r="AF10" s="22"/>
      <c r="AG10" s="461"/>
    </row>
    <row r="11" spans="1:34" ht="16.5" thickBot="1">
      <c r="A11" s="461"/>
      <c r="B11" s="10160" t="str">
        <f>Names</f>
        <v/>
      </c>
      <c r="C11" s="10161"/>
      <c r="D11" s="10161"/>
      <c r="E11" s="10161"/>
      <c r="F11" s="10161"/>
      <c r="G11" s="10161"/>
      <c r="H11" s="10161"/>
      <c r="I11" s="10161"/>
      <c r="J11" s="10161"/>
      <c r="K11" s="10161"/>
      <c r="L11" s="10161"/>
      <c r="M11" s="10161"/>
      <c r="N11" s="10161"/>
      <c r="O11" s="10161"/>
      <c r="P11" s="10161"/>
      <c r="Q11" s="10161"/>
      <c r="R11" s="10161"/>
      <c r="S11" s="10161"/>
      <c r="T11" s="10161"/>
      <c r="U11" s="10162"/>
      <c r="V11" s="10163">
        <f>IF(NoSSN,"",SS_Yours)</f>
        <v>1010001</v>
      </c>
      <c r="W11" s="10164"/>
      <c r="X11" s="10164"/>
      <c r="Y11" s="10164"/>
      <c r="Z11" s="10164"/>
      <c r="AA11" s="10164"/>
      <c r="AB11" s="10164"/>
      <c r="AC11" s="10164"/>
      <c r="AD11" s="10164"/>
      <c r="AE11" s="10164"/>
      <c r="AF11" s="10164"/>
      <c r="AG11" s="461"/>
    </row>
    <row r="12" spans="1:34" ht="12.75" customHeight="1">
      <c r="A12" s="461"/>
      <c r="B12" s="10122" t="s">
        <v>5039</v>
      </c>
      <c r="C12" s="10123"/>
      <c r="D12" s="10123"/>
      <c r="E12" s="10123"/>
      <c r="F12" s="10123"/>
      <c r="G12" s="10123"/>
      <c r="H12" s="10123"/>
      <c r="I12" s="10123"/>
      <c r="J12" s="10123"/>
      <c r="K12" s="10123"/>
      <c r="L12" s="10123"/>
      <c r="M12" s="10123"/>
      <c r="N12" s="10123"/>
      <c r="O12" s="10123"/>
      <c r="P12" s="10123"/>
      <c r="Q12" s="10123"/>
      <c r="R12" s="10123"/>
      <c r="S12" s="10123"/>
      <c r="T12" s="10123"/>
      <c r="U12" s="10123"/>
      <c r="V12" s="10123"/>
      <c r="W12" s="10123"/>
      <c r="X12" s="10123"/>
      <c r="Y12" s="10123"/>
      <c r="Z12" s="10123"/>
      <c r="AA12" s="10123"/>
      <c r="AB12" s="10123"/>
      <c r="AC12" s="10123"/>
      <c r="AD12" s="10123"/>
      <c r="AE12" s="10123"/>
      <c r="AF12" s="10123"/>
      <c r="AG12" s="461"/>
    </row>
    <row r="13" spans="1:34" ht="12.75" customHeight="1">
      <c r="A13" s="461"/>
      <c r="B13" s="8117"/>
      <c r="C13" s="8117"/>
      <c r="D13" s="8117"/>
      <c r="E13" s="8117"/>
      <c r="F13" s="8117"/>
      <c r="G13" s="8117"/>
      <c r="H13" s="8117"/>
      <c r="I13" s="8117"/>
      <c r="J13" s="8117"/>
      <c r="K13" s="8117"/>
      <c r="L13" s="8117"/>
      <c r="M13" s="8117"/>
      <c r="N13" s="8117"/>
      <c r="O13" s="8117"/>
      <c r="P13" s="8117"/>
      <c r="Q13" s="8117"/>
      <c r="R13" s="8117"/>
      <c r="S13" s="8117"/>
      <c r="T13" s="8117"/>
      <c r="U13" s="8117"/>
      <c r="V13" s="8117"/>
      <c r="W13" s="8117"/>
      <c r="X13" s="8117"/>
      <c r="Y13" s="8117"/>
      <c r="Z13" s="8117"/>
      <c r="AA13" s="8117"/>
      <c r="AB13" s="8117"/>
      <c r="AC13" s="8117"/>
      <c r="AD13" s="8117"/>
      <c r="AE13" s="8117"/>
      <c r="AF13" s="8117"/>
      <c r="AG13" s="461"/>
    </row>
    <row r="14" spans="1:34" ht="12.75" customHeight="1">
      <c r="A14" s="461"/>
      <c r="B14" s="7956"/>
      <c r="C14" s="7956"/>
      <c r="D14" s="7956"/>
      <c r="E14" s="7956"/>
      <c r="F14" s="7956"/>
      <c r="G14" s="7956"/>
      <c r="H14" s="7956"/>
      <c r="I14" s="7956"/>
      <c r="J14" s="7956"/>
      <c r="K14" s="7956"/>
      <c r="L14" s="7956"/>
      <c r="M14" s="7956"/>
      <c r="N14" s="7956"/>
      <c r="O14" s="7956"/>
      <c r="P14" s="7956"/>
      <c r="Q14" s="7956"/>
      <c r="R14" s="7956"/>
      <c r="S14" s="7956"/>
      <c r="T14" s="7956"/>
      <c r="U14" s="7956"/>
      <c r="V14" s="7956"/>
      <c r="W14" s="7956"/>
      <c r="X14" s="7956"/>
      <c r="Y14" s="7956"/>
      <c r="Z14" s="7956"/>
      <c r="AA14" s="7956"/>
      <c r="AB14" s="7956"/>
      <c r="AC14" s="7956"/>
      <c r="AD14" s="7956"/>
      <c r="AE14" s="7956"/>
      <c r="AF14" s="7956"/>
      <c r="AG14" s="461"/>
    </row>
    <row r="15" spans="1:34" ht="3.75" customHeight="1">
      <c r="A15" s="46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61"/>
    </row>
    <row r="16" spans="1:34" ht="15">
      <c r="A16" s="461"/>
      <c r="B16" s="10158" t="s">
        <v>884</v>
      </c>
      <c r="C16" s="10159"/>
      <c r="D16" s="22"/>
      <c r="E16" s="235" t="s">
        <v>4978</v>
      </c>
      <c r="F16" s="22"/>
      <c r="G16" s="22"/>
      <c r="H16" s="22"/>
      <c r="I16" s="22"/>
      <c r="J16" s="22"/>
      <c r="K16" s="22"/>
      <c r="L16" s="22"/>
      <c r="M16" s="22"/>
      <c r="N16" s="22"/>
      <c r="O16" s="22"/>
      <c r="P16" s="22"/>
      <c r="Q16" s="22"/>
      <c r="R16" s="22"/>
      <c r="S16" s="22"/>
      <c r="T16" s="276" t="s">
        <v>4979</v>
      </c>
      <c r="U16" s="22"/>
      <c r="V16" s="22"/>
      <c r="W16" s="22"/>
      <c r="X16" s="276" t="s">
        <v>4980</v>
      </c>
      <c r="Y16" s="22"/>
      <c r="Z16" s="22"/>
      <c r="AA16" s="22"/>
      <c r="AB16" s="22"/>
      <c r="AC16" s="22"/>
      <c r="AD16" s="22"/>
      <c r="AE16" s="22"/>
      <c r="AF16" s="22"/>
      <c r="AG16" s="461" t="b">
        <f>IF(SUM(AG35:AG54)&gt;0,TRUE,FALSE)</f>
        <v>0</v>
      </c>
    </row>
    <row r="17" spans="1:55" ht="11.25" customHeight="1">
      <c r="A17" s="461"/>
      <c r="B17" s="22"/>
      <c r="C17" s="22"/>
      <c r="D17" s="22"/>
      <c r="E17" s="276" t="s">
        <v>4981</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61"/>
    </row>
    <row r="18" spans="1:55" s="182" customFormat="1" ht="13.5" customHeight="1">
      <c r="A18" s="2094"/>
      <c r="B18" s="276"/>
      <c r="C18" s="276"/>
      <c r="D18" s="276"/>
      <c r="E18" s="2095" t="s">
        <v>4982</v>
      </c>
      <c r="F18" s="276"/>
      <c r="G18" s="276"/>
      <c r="H18" s="276"/>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094"/>
      <c r="AH18" s="671"/>
      <c r="AI18" s="671"/>
    </row>
    <row r="19" spans="1:55" s="182" customFormat="1" ht="13.5" customHeight="1">
      <c r="A19" s="2094"/>
      <c r="B19" s="276"/>
      <c r="C19" s="276"/>
      <c r="D19" s="276"/>
      <c r="E19" s="276" t="s">
        <v>4983</v>
      </c>
      <c r="F19" s="276"/>
      <c r="G19" s="276"/>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094"/>
      <c r="AH19" s="671"/>
      <c r="AI19" s="671"/>
    </row>
    <row r="20" spans="1:55" s="182" customFormat="1" ht="13.5" customHeight="1">
      <c r="A20" s="2094"/>
      <c r="B20" s="2096"/>
      <c r="C20" s="2096"/>
      <c r="D20" s="2096"/>
      <c r="E20" s="2096" t="s">
        <v>4984</v>
      </c>
      <c r="F20" s="2096"/>
      <c r="G20" s="2096"/>
      <c r="H20" s="2096"/>
      <c r="I20" s="2096"/>
      <c r="J20" s="2096"/>
      <c r="K20" s="2096"/>
      <c r="L20" s="2096"/>
      <c r="M20" s="2096"/>
      <c r="N20" s="2096"/>
      <c r="O20" s="2096"/>
      <c r="P20" s="2096"/>
      <c r="Q20" s="2096"/>
      <c r="R20" s="2096"/>
      <c r="S20" s="2096"/>
      <c r="T20" s="2096"/>
      <c r="U20" s="2096"/>
      <c r="V20" s="2096"/>
      <c r="W20" s="2096"/>
      <c r="X20" s="2096"/>
      <c r="Y20" s="2096"/>
      <c r="Z20" s="2096"/>
      <c r="AA20" s="2096"/>
      <c r="AB20" s="2096"/>
      <c r="AC20" s="2096"/>
      <c r="AD20" s="2096"/>
      <c r="AE20" s="2096"/>
      <c r="AF20" s="2096"/>
      <c r="AG20" s="2094"/>
      <c r="AH20" s="671"/>
      <c r="AI20" s="671"/>
    </row>
    <row r="21" spans="1:55">
      <c r="A21" s="461"/>
      <c r="B21" s="194" t="s">
        <v>4985</v>
      </c>
      <c r="C21" s="51"/>
      <c r="D21" s="51"/>
      <c r="E21" s="51"/>
      <c r="F21" s="51"/>
      <c r="G21" s="51"/>
      <c r="H21" s="51"/>
      <c r="I21" s="51"/>
      <c r="J21" s="51"/>
      <c r="K21" s="194"/>
      <c r="L21" s="194" t="s">
        <v>4986</v>
      </c>
      <c r="M21" s="51"/>
      <c r="N21" s="51"/>
      <c r="O21" s="51"/>
      <c r="P21" s="51"/>
      <c r="Q21" s="61" t="s">
        <v>4987</v>
      </c>
      <c r="R21" s="51"/>
      <c r="S21" s="51"/>
      <c r="T21" s="51"/>
      <c r="U21" s="51"/>
      <c r="V21" s="51"/>
      <c r="W21" s="51"/>
      <c r="X21" s="51"/>
      <c r="Y21" s="51"/>
      <c r="Z21" s="51"/>
      <c r="AA21" s="51"/>
      <c r="AB21" s="51"/>
      <c r="AC21" s="51"/>
      <c r="AD21" s="51"/>
      <c r="AE21" s="51"/>
      <c r="AF21" s="51"/>
      <c r="AG21" s="461"/>
    </row>
    <row r="22" spans="1:55">
      <c r="A22" s="461"/>
      <c r="B22" s="61" t="s">
        <v>4988</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61"/>
      <c r="BA22" s="10194" t="s">
        <v>4989</v>
      </c>
      <c r="BB22" s="6435"/>
      <c r="BC22" s="7427"/>
    </row>
    <row r="23" spans="1:55">
      <c r="A23" s="461"/>
      <c r="B23" s="61" t="s">
        <v>4990</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61"/>
      <c r="BA23" s="10195" t="s">
        <v>4991</v>
      </c>
      <c r="BB23" s="10195" t="s">
        <v>4992</v>
      </c>
      <c r="BC23" s="10195" t="s">
        <v>4993</v>
      </c>
    </row>
    <row r="24" spans="1:55" ht="4.5" customHeight="1" thickBot="1">
      <c r="A24" s="46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61"/>
      <c r="BA24" s="10196"/>
      <c r="BB24" s="10196"/>
      <c r="BC24" s="10196"/>
    </row>
    <row r="25" spans="1:55" ht="12" customHeight="1" thickBot="1">
      <c r="A25" s="461"/>
      <c r="B25" s="874">
        <f>IF(C25&lt;&gt;"",1,0)</f>
        <v>0</v>
      </c>
      <c r="C25" s="873"/>
      <c r="D25" s="683" t="s">
        <v>4994</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61"/>
      <c r="AJ25" s="10200"/>
      <c r="AK25" s="10201"/>
      <c r="AL25" s="10201"/>
      <c r="AM25" s="10201"/>
      <c r="AN25" s="10201"/>
      <c r="AO25" s="10201"/>
      <c r="AP25" s="10201"/>
      <c r="AQ25" s="10201"/>
      <c r="BA25" s="10196"/>
      <c r="BB25" s="10196"/>
      <c r="BC25" s="10196"/>
    </row>
    <row r="26" spans="1:55" ht="4.5" customHeight="1" thickBot="1">
      <c r="A26" s="461"/>
      <c r="B26" s="874"/>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61"/>
      <c r="BA26" s="10196"/>
      <c r="BB26" s="10196"/>
      <c r="BC26" s="10196"/>
    </row>
    <row r="27" spans="1:55" ht="11.25" customHeight="1" thickBot="1">
      <c r="A27" s="461"/>
      <c r="B27" s="874">
        <f>IF(C27&lt;&gt;"",1,0)</f>
        <v>0</v>
      </c>
      <c r="C27" s="873"/>
      <c r="D27" s="683" t="s">
        <v>4995</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61"/>
      <c r="AJ27" s="10200"/>
      <c r="AK27" s="10201"/>
      <c r="AL27" s="10201"/>
      <c r="AM27" s="10201"/>
      <c r="AN27" s="10201"/>
      <c r="AO27" s="10201"/>
      <c r="AP27" s="10201"/>
      <c r="AQ27" s="10201"/>
      <c r="BA27" s="10196"/>
      <c r="BB27" s="10196"/>
      <c r="BC27" s="10196"/>
    </row>
    <row r="28" spans="1:55" ht="4.5" customHeight="1" thickBot="1">
      <c r="A28" s="461"/>
      <c r="B28" s="874"/>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61"/>
      <c r="BA28" s="10196"/>
      <c r="BB28" s="10196"/>
      <c r="BC28" s="10196"/>
    </row>
    <row r="29" spans="1:55" ht="12" customHeight="1" thickBot="1">
      <c r="A29" s="461">
        <f>SUM(B25:B29)</f>
        <v>0</v>
      </c>
      <c r="B29" s="874">
        <f>IF(C29&lt;&gt;"",1,0)</f>
        <v>0</v>
      </c>
      <c r="C29" s="873"/>
      <c r="D29" s="683" t="s">
        <v>4996</v>
      </c>
      <c r="E29" s="51"/>
      <c r="F29" s="51"/>
      <c r="G29" s="51"/>
      <c r="H29" s="51"/>
      <c r="I29" s="51"/>
      <c r="J29" s="51"/>
      <c r="K29" s="51"/>
      <c r="L29" s="51"/>
      <c r="M29" s="51"/>
      <c r="N29" s="51"/>
      <c r="O29" s="51"/>
      <c r="P29" s="51"/>
      <c r="Q29" s="51"/>
      <c r="R29" s="10185" t="str">
        <f>IF(SpaceUsed_8949D_ST,"ERROR: DO NOT use the space bar to uncheck a box. Use the 'Delete' key.",IF(A29&gt;1,"Check only ONE box.",IF(OR(NoColor,A29&gt;0),"",IF(A29&lt;1,"Check ONE box.",""))))</f>
        <v>Check ONE box.</v>
      </c>
      <c r="S29" s="10186"/>
      <c r="T29" s="10186"/>
      <c r="U29" s="10186"/>
      <c r="V29" s="10186"/>
      <c r="W29" s="10186"/>
      <c r="X29" s="10186"/>
      <c r="Y29" s="10186"/>
      <c r="Z29" s="10186"/>
      <c r="AA29" s="10186"/>
      <c r="AB29" s="10186"/>
      <c r="AC29" s="10186"/>
      <c r="AD29" s="10186"/>
      <c r="AE29" s="10186"/>
      <c r="AF29" s="51"/>
      <c r="AG29" s="461"/>
      <c r="AH29" s="1028" t="b">
        <f>IF(OR(F8949DSBOXA=CHAR(32),F8949DSBOXB=CHAR(32),F8949DSBOXC=CHAR(32)),TRUE,FALSE)</f>
        <v>0</v>
      </c>
      <c r="AJ29" s="10200" t="s">
        <v>4997</v>
      </c>
      <c r="AK29" s="10201"/>
      <c r="AL29" s="10201"/>
      <c r="AM29" s="10201"/>
      <c r="AN29" s="10201"/>
      <c r="AO29" s="10201"/>
      <c r="AP29" s="10201"/>
      <c r="AQ29" s="10201"/>
      <c r="BA29" s="10196"/>
      <c r="BB29" s="10196"/>
      <c r="BC29" s="10196"/>
    </row>
    <row r="30" spans="1:55" ht="3.75" customHeight="1">
      <c r="A30" s="461"/>
      <c r="B30" s="195"/>
      <c r="C30" s="746"/>
      <c r="D30" s="195"/>
      <c r="E30" s="195"/>
      <c r="F30" s="195"/>
      <c r="G30" s="195"/>
      <c r="H30" s="195"/>
      <c r="I30" s="195"/>
      <c r="J30" s="195"/>
      <c r="K30" s="195"/>
      <c r="L30" s="195"/>
      <c r="M30" s="195"/>
      <c r="N30" s="746"/>
      <c r="O30" s="195"/>
      <c r="P30" s="195"/>
      <c r="Q30" s="195"/>
      <c r="R30" s="195"/>
      <c r="S30" s="195"/>
      <c r="T30" s="195"/>
      <c r="U30" s="195"/>
      <c r="V30" s="195"/>
      <c r="W30" s="195"/>
      <c r="X30" s="195"/>
      <c r="Y30" s="746"/>
      <c r="Z30" s="195"/>
      <c r="AA30" s="195"/>
      <c r="AB30" s="195"/>
      <c r="AC30" s="195"/>
      <c r="AD30" s="195"/>
      <c r="AE30" s="195"/>
      <c r="AF30" s="195"/>
      <c r="AG30" s="461"/>
      <c r="BA30" s="10196"/>
      <c r="BB30" s="10196"/>
      <c r="BC30" s="10196"/>
    </row>
    <row r="31" spans="1:55" ht="21" customHeight="1">
      <c r="A31" s="461"/>
      <c r="B31" s="10143">
        <v>1</v>
      </c>
      <c r="C31" s="10147" t="s">
        <v>4998</v>
      </c>
      <c r="D31" s="10148"/>
      <c r="E31" s="10148"/>
      <c r="F31" s="10148"/>
      <c r="G31" s="10148"/>
      <c r="H31" s="10148"/>
      <c r="I31" s="10149"/>
      <c r="J31" s="10155" t="s">
        <v>4999</v>
      </c>
      <c r="K31" s="7417"/>
      <c r="L31" s="7278"/>
      <c r="M31" s="10155" t="s">
        <v>5000</v>
      </c>
      <c r="N31" s="7417"/>
      <c r="O31" s="7417"/>
      <c r="P31" s="7278"/>
      <c r="Q31" s="10155" t="s">
        <v>5001</v>
      </c>
      <c r="R31" s="7417"/>
      <c r="S31" s="7417"/>
      <c r="T31" s="7278"/>
      <c r="U31" s="10092" t="s">
        <v>5002</v>
      </c>
      <c r="V31" s="10093"/>
      <c r="W31" s="10093"/>
      <c r="X31" s="10094"/>
      <c r="Y31" s="10102" t="s">
        <v>5003</v>
      </c>
      <c r="Z31" s="10103"/>
      <c r="AA31" s="10103"/>
      <c r="AB31" s="10104"/>
      <c r="AC31" s="10092" t="s">
        <v>5004</v>
      </c>
      <c r="AD31" s="10093"/>
      <c r="AE31" s="10093"/>
      <c r="AF31" s="10093"/>
      <c r="AG31" s="461"/>
      <c r="AJ31" s="10202" t="s">
        <v>5005</v>
      </c>
      <c r="AK31" s="10202" t="s">
        <v>5006</v>
      </c>
      <c r="AL31" s="10202" t="s">
        <v>5007</v>
      </c>
      <c r="AM31" s="10202" t="s">
        <v>5008</v>
      </c>
      <c r="AN31" s="10204" t="s">
        <v>5009</v>
      </c>
      <c r="AO31" s="10199" t="s">
        <v>5010</v>
      </c>
      <c r="AP31" s="7302"/>
      <c r="AQ31" s="10202" t="s">
        <v>5011</v>
      </c>
      <c r="BA31" s="10196"/>
      <c r="BB31" s="10196"/>
      <c r="BC31" s="10196"/>
    </row>
    <row r="32" spans="1:55" ht="21" customHeight="1">
      <c r="A32" s="461"/>
      <c r="B32" s="10144"/>
      <c r="C32" s="10150"/>
      <c r="D32" s="10151"/>
      <c r="E32" s="10151"/>
      <c r="F32" s="10151"/>
      <c r="G32" s="10151"/>
      <c r="H32" s="10151"/>
      <c r="I32" s="10152"/>
      <c r="J32" s="10156"/>
      <c r="K32" s="8454"/>
      <c r="L32" s="7280"/>
      <c r="M32" s="10156"/>
      <c r="N32" s="8454"/>
      <c r="O32" s="8454"/>
      <c r="P32" s="7280"/>
      <c r="Q32" s="10156"/>
      <c r="R32" s="8454"/>
      <c r="S32" s="8454"/>
      <c r="T32" s="7280"/>
      <c r="U32" s="10095"/>
      <c r="V32" s="10096"/>
      <c r="W32" s="10096"/>
      <c r="X32" s="10097"/>
      <c r="Y32" s="10105"/>
      <c r="Z32" s="10106"/>
      <c r="AA32" s="10106"/>
      <c r="AB32" s="10107"/>
      <c r="AC32" s="10095"/>
      <c r="AD32" s="10096"/>
      <c r="AE32" s="10096"/>
      <c r="AF32" s="10096"/>
      <c r="AG32" s="461"/>
      <c r="AJ32" s="10202"/>
      <c r="AK32" s="10202"/>
      <c r="AL32" s="10202"/>
      <c r="AM32" s="10202"/>
      <c r="AN32" s="10204"/>
      <c r="AO32" s="7414"/>
      <c r="AP32" s="7308"/>
      <c r="AQ32" s="10202"/>
      <c r="BA32" s="10196"/>
      <c r="BB32" s="10196"/>
      <c r="BC32" s="10196"/>
    </row>
    <row r="33" spans="1:55" ht="18" customHeight="1">
      <c r="A33" s="461"/>
      <c r="B33" s="10145"/>
      <c r="C33" s="10151"/>
      <c r="D33" s="10151"/>
      <c r="E33" s="10151"/>
      <c r="F33" s="10151"/>
      <c r="G33" s="10151"/>
      <c r="H33" s="10151"/>
      <c r="I33" s="10152"/>
      <c r="J33" s="7279"/>
      <c r="K33" s="8454"/>
      <c r="L33" s="7280"/>
      <c r="M33" s="7279"/>
      <c r="N33" s="8454"/>
      <c r="O33" s="8454"/>
      <c r="P33" s="7280"/>
      <c r="Q33" s="7279"/>
      <c r="R33" s="8454"/>
      <c r="S33" s="8454"/>
      <c r="T33" s="7280"/>
      <c r="U33" s="10098"/>
      <c r="V33" s="10096"/>
      <c r="W33" s="10096"/>
      <c r="X33" s="10097"/>
      <c r="Y33" s="7396" t="s">
        <v>5012</v>
      </c>
      <c r="Z33" s="7278"/>
      <c r="AA33" s="7396" t="s">
        <v>5013</v>
      </c>
      <c r="AB33" s="7451"/>
      <c r="AC33" s="10098"/>
      <c r="AD33" s="10096"/>
      <c r="AE33" s="10096"/>
      <c r="AF33" s="10096"/>
      <c r="AG33" s="461"/>
      <c r="AJ33" s="10203"/>
      <c r="AK33" s="10203"/>
      <c r="AL33" s="10203"/>
      <c r="AM33" s="10203"/>
      <c r="AN33" s="10205"/>
      <c r="AO33" s="10197" t="s">
        <v>5014</v>
      </c>
      <c r="AP33" s="7577" t="s">
        <v>5013</v>
      </c>
      <c r="AQ33" s="10203"/>
      <c r="BA33" s="10196"/>
      <c r="BB33" s="10196"/>
      <c r="BC33" s="10196"/>
    </row>
    <row r="34" spans="1:55" ht="18" customHeight="1">
      <c r="A34" s="461"/>
      <c r="B34" s="10146"/>
      <c r="C34" s="10153"/>
      <c r="D34" s="10153"/>
      <c r="E34" s="10153"/>
      <c r="F34" s="10153"/>
      <c r="G34" s="10153"/>
      <c r="H34" s="10153"/>
      <c r="I34" s="10154"/>
      <c r="J34" s="7281"/>
      <c r="K34" s="10157"/>
      <c r="L34" s="7282"/>
      <c r="M34" s="7281"/>
      <c r="N34" s="10157"/>
      <c r="O34" s="10157"/>
      <c r="P34" s="7282"/>
      <c r="Q34" s="7281"/>
      <c r="R34" s="10157"/>
      <c r="S34" s="10157"/>
      <c r="T34" s="7282"/>
      <c r="U34" s="10099"/>
      <c r="V34" s="10100"/>
      <c r="W34" s="10100"/>
      <c r="X34" s="10101"/>
      <c r="Y34" s="7281"/>
      <c r="Z34" s="7282"/>
      <c r="AA34" s="6734"/>
      <c r="AB34" s="7453"/>
      <c r="AC34" s="10099"/>
      <c r="AD34" s="10100"/>
      <c r="AE34" s="10100"/>
      <c r="AF34" s="10100"/>
      <c r="AG34" s="461"/>
      <c r="AJ34" s="10203"/>
      <c r="AK34" s="10203"/>
      <c r="AL34" s="10203"/>
      <c r="AM34" s="10203"/>
      <c r="AN34" s="10205"/>
      <c r="AO34" s="10198"/>
      <c r="AP34" s="10198"/>
      <c r="AQ34" s="10203"/>
      <c r="BA34" s="10196"/>
      <c r="BB34" s="10196"/>
      <c r="BC34" s="10196"/>
    </row>
    <row r="35" spans="1:55" ht="19.5" customHeight="1">
      <c r="A35" s="461">
        <f>IF(OR(Q35&lt;&gt;"",U35&lt;&gt;"",AC35&lt;&gt;""),1,0)</f>
        <v>0</v>
      </c>
      <c r="B35" s="10085" t="str">
        <f>IF(AJ35="","",AJ35)</f>
        <v/>
      </c>
      <c r="C35" s="9649"/>
      <c r="D35" s="9649"/>
      <c r="E35" s="9649"/>
      <c r="F35" s="9649"/>
      <c r="G35" s="9649"/>
      <c r="H35" s="9649"/>
      <c r="I35" s="9667"/>
      <c r="J35" s="10086" t="str">
        <f>IF(AK35="","",AK35)</f>
        <v/>
      </c>
      <c r="K35" s="10087"/>
      <c r="L35" s="10087"/>
      <c r="M35" s="10086" t="str">
        <f>IF(AL35="","",AL35)</f>
        <v/>
      </c>
      <c r="N35" s="10087"/>
      <c r="O35" s="10087"/>
      <c r="P35" s="10088"/>
      <c r="Q35" s="7143" t="str">
        <f>IF(AM35="","",AM35)</f>
        <v/>
      </c>
      <c r="R35" s="10090"/>
      <c r="S35" s="10090"/>
      <c r="T35" s="10091"/>
      <c r="U35" s="7143" t="str">
        <f>IF(AN35="","",AN35)</f>
        <v/>
      </c>
      <c r="V35" s="10090"/>
      <c r="W35" s="10090"/>
      <c r="X35" s="10091"/>
      <c r="Y35" s="10089" t="str">
        <f>IF(AO35&lt;&gt;"",AO35,"")</f>
        <v/>
      </c>
      <c r="Z35" s="6563"/>
      <c r="AA35" s="10089" t="str">
        <f>IF(AP35="","",AP35)</f>
        <v/>
      </c>
      <c r="AB35" s="6563"/>
      <c r="AC35" s="10138" t="str">
        <f>IF(AQ35&lt;&gt;"",AQ35,IF(AND(Q35="",U35=""),"",IF(AND(Q35&lt;&gt;"",U35=""),SUM(Q35,AA35),SUM(Q35,-U35,AA35))))</f>
        <v/>
      </c>
      <c r="AD35" s="10139"/>
      <c r="AE35" s="10139"/>
      <c r="AF35" s="10139"/>
      <c r="AG35" s="911">
        <f>IF(OR(J35="",M35=""),0,IF(OR(BA35,BB35,BC35),0,1))</f>
        <v>0</v>
      </c>
      <c r="AH35" s="5727"/>
      <c r="AI35" s="5727" t="e">
        <f t="shared" ref="AI35:AI54" si="0">M35-J35</f>
        <v>#VALUE!</v>
      </c>
      <c r="AJ35" s="853"/>
      <c r="AK35" s="857"/>
      <c r="AL35" s="857"/>
      <c r="AM35" s="855"/>
      <c r="AN35" s="855"/>
      <c r="AO35" s="856"/>
      <c r="AP35" s="855"/>
      <c r="AQ35" s="854"/>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61">
        <f t="shared" ref="A36:A54" si="1">IF(OR(Q36&lt;&gt;"",U36&lt;&gt;"",AC36&lt;&gt;""),1,0)</f>
        <v>0</v>
      </c>
      <c r="B36" s="10085" t="str">
        <f t="shared" ref="B36:B54" si="2">IF(AJ36="","",AJ36)</f>
        <v/>
      </c>
      <c r="C36" s="9649"/>
      <c r="D36" s="9649"/>
      <c r="E36" s="9649"/>
      <c r="F36" s="9649"/>
      <c r="G36" s="9649"/>
      <c r="H36" s="9649"/>
      <c r="I36" s="9667"/>
      <c r="J36" s="10086" t="str">
        <f t="shared" ref="J36:J54" si="3">IF(AK36="","",AK36)</f>
        <v/>
      </c>
      <c r="K36" s="10087"/>
      <c r="L36" s="10087"/>
      <c r="M36" s="10086" t="str">
        <f t="shared" ref="M36:M54" si="4">IF(AL36="","",AL36)</f>
        <v/>
      </c>
      <c r="N36" s="10087"/>
      <c r="O36" s="10087"/>
      <c r="P36" s="10088"/>
      <c r="Q36" s="7143" t="str">
        <f t="shared" ref="Q36:Q54" si="5">IF(AM36="","",AM36)</f>
        <v/>
      </c>
      <c r="R36" s="10090"/>
      <c r="S36" s="10090"/>
      <c r="T36" s="10091"/>
      <c r="U36" s="7143" t="str">
        <f t="shared" ref="U36:U54" si="6">IF(AN36="","",AN36)</f>
        <v/>
      </c>
      <c r="V36" s="10090"/>
      <c r="W36" s="10090"/>
      <c r="X36" s="10091"/>
      <c r="Y36" s="10089" t="str">
        <f>IF(AO36&lt;&gt;"",AO36,"")</f>
        <v/>
      </c>
      <c r="Z36" s="6563"/>
      <c r="AA36" s="10089" t="str">
        <f>IF(AP36="","",AP36)</f>
        <v/>
      </c>
      <c r="AB36" s="6563"/>
      <c r="AC36" s="10138" t="str">
        <f t="shared" ref="AC36:AC54" si="7">IF(AQ36&lt;&gt;"",AQ36,IF(AND(Q36="",U36=""),"",IF(AND(Q36&lt;&gt;"",U36=""),SUM(Q36,AA36),SUM(Q36,-U36,AA36))))</f>
        <v/>
      </c>
      <c r="AD36" s="10139"/>
      <c r="AE36" s="10139"/>
      <c r="AF36" s="10139"/>
      <c r="AG36" s="911">
        <f t="shared" ref="AG36:AG54" si="8">IF(OR(J36="",M36=""),0,IF(OR(BA36,BB36,BC36),0,1))</f>
        <v>0</v>
      </c>
      <c r="AH36" s="5727"/>
      <c r="AI36" s="5727" t="e">
        <f t="shared" si="0"/>
        <v>#VALUE!</v>
      </c>
      <c r="AJ36" s="853"/>
      <c r="AK36" s="857"/>
      <c r="AL36" s="857"/>
      <c r="AM36" s="855"/>
      <c r="AN36" s="855"/>
      <c r="AO36" s="856"/>
      <c r="AP36" s="855"/>
      <c r="AQ36" s="854"/>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61">
        <f t="shared" si="1"/>
        <v>0</v>
      </c>
      <c r="B37" s="10085" t="str">
        <f t="shared" si="2"/>
        <v/>
      </c>
      <c r="C37" s="9649"/>
      <c r="D37" s="9649"/>
      <c r="E37" s="9649"/>
      <c r="F37" s="9649"/>
      <c r="G37" s="9649"/>
      <c r="H37" s="9649"/>
      <c r="I37" s="9667"/>
      <c r="J37" s="10086" t="str">
        <f t="shared" si="3"/>
        <v/>
      </c>
      <c r="K37" s="10087"/>
      <c r="L37" s="10087"/>
      <c r="M37" s="10086" t="str">
        <f t="shared" si="4"/>
        <v/>
      </c>
      <c r="N37" s="10087"/>
      <c r="O37" s="10087"/>
      <c r="P37" s="10088"/>
      <c r="Q37" s="7143" t="str">
        <f t="shared" si="5"/>
        <v/>
      </c>
      <c r="R37" s="10090"/>
      <c r="S37" s="10090"/>
      <c r="T37" s="10091"/>
      <c r="U37" s="7143" t="str">
        <f t="shared" si="6"/>
        <v/>
      </c>
      <c r="V37" s="10090"/>
      <c r="W37" s="10090"/>
      <c r="X37" s="10091"/>
      <c r="Y37" s="10089" t="str">
        <f>IF(AO37&lt;&gt;"",AO37,"")</f>
        <v/>
      </c>
      <c r="Z37" s="6563"/>
      <c r="AA37" s="10089" t="str">
        <f>IF(AP37="","",AP37)</f>
        <v/>
      </c>
      <c r="AB37" s="6563"/>
      <c r="AC37" s="10138" t="str">
        <f t="shared" si="7"/>
        <v/>
      </c>
      <c r="AD37" s="10139"/>
      <c r="AE37" s="10139"/>
      <c r="AF37" s="10139"/>
      <c r="AG37" s="911">
        <f t="shared" si="8"/>
        <v>0</v>
      </c>
      <c r="AH37" s="5727"/>
      <c r="AI37" s="5727" t="e">
        <f t="shared" si="0"/>
        <v>#VALUE!</v>
      </c>
      <c r="AJ37" s="853"/>
      <c r="AK37" s="857"/>
      <c r="AL37" s="857"/>
      <c r="AM37" s="855"/>
      <c r="AN37" s="855"/>
      <c r="AO37" s="856"/>
      <c r="AP37" s="855"/>
      <c r="AQ37" s="854"/>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61">
        <f t="shared" si="1"/>
        <v>0</v>
      </c>
      <c r="B38" s="10085" t="str">
        <f t="shared" si="2"/>
        <v/>
      </c>
      <c r="C38" s="9649"/>
      <c r="D38" s="9649"/>
      <c r="E38" s="9649"/>
      <c r="F38" s="9649"/>
      <c r="G38" s="9649"/>
      <c r="H38" s="9649"/>
      <c r="I38" s="9667"/>
      <c r="J38" s="10086" t="str">
        <f t="shared" si="3"/>
        <v/>
      </c>
      <c r="K38" s="10087"/>
      <c r="L38" s="10087"/>
      <c r="M38" s="10086" t="str">
        <f t="shared" si="4"/>
        <v/>
      </c>
      <c r="N38" s="10087"/>
      <c r="O38" s="10087"/>
      <c r="P38" s="10088"/>
      <c r="Q38" s="7143" t="str">
        <f t="shared" si="5"/>
        <v/>
      </c>
      <c r="R38" s="10090"/>
      <c r="S38" s="10090"/>
      <c r="T38" s="10091"/>
      <c r="U38" s="7143" t="str">
        <f t="shared" si="6"/>
        <v/>
      </c>
      <c r="V38" s="10090"/>
      <c r="W38" s="10090"/>
      <c r="X38" s="10091"/>
      <c r="Y38" s="10089" t="str">
        <f t="shared" ref="Y38:Y54" si="18">IF(AO38&lt;&gt;"",AO38,"")</f>
        <v/>
      </c>
      <c r="Z38" s="6563"/>
      <c r="AA38" s="10089" t="str">
        <f t="shared" ref="AA38:AA54" si="19">IF(AP38="","",AP38)</f>
        <v/>
      </c>
      <c r="AB38" s="6563"/>
      <c r="AC38" s="10138" t="str">
        <f t="shared" si="7"/>
        <v/>
      </c>
      <c r="AD38" s="10139"/>
      <c r="AE38" s="10139"/>
      <c r="AF38" s="10139"/>
      <c r="AG38" s="911">
        <f t="shared" si="8"/>
        <v>0</v>
      </c>
      <c r="AH38" s="5727"/>
      <c r="AI38" s="5727" t="e">
        <f t="shared" si="0"/>
        <v>#VALUE!</v>
      </c>
      <c r="AJ38" s="853"/>
      <c r="AK38" s="857"/>
      <c r="AL38" s="857"/>
      <c r="AM38" s="855"/>
      <c r="AN38" s="855"/>
      <c r="AO38" s="856"/>
      <c r="AP38" s="855"/>
      <c r="AQ38" s="854"/>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61">
        <f t="shared" si="1"/>
        <v>0</v>
      </c>
      <c r="B39" s="10085" t="str">
        <f t="shared" si="2"/>
        <v/>
      </c>
      <c r="C39" s="9649"/>
      <c r="D39" s="9649"/>
      <c r="E39" s="9649"/>
      <c r="F39" s="9649"/>
      <c r="G39" s="9649"/>
      <c r="H39" s="9649"/>
      <c r="I39" s="9667"/>
      <c r="J39" s="10086" t="str">
        <f t="shared" si="3"/>
        <v/>
      </c>
      <c r="K39" s="10087"/>
      <c r="L39" s="10087"/>
      <c r="M39" s="10086" t="str">
        <f t="shared" si="4"/>
        <v/>
      </c>
      <c r="N39" s="10087"/>
      <c r="O39" s="10087"/>
      <c r="P39" s="10088"/>
      <c r="Q39" s="7143" t="str">
        <f t="shared" si="5"/>
        <v/>
      </c>
      <c r="R39" s="10090"/>
      <c r="S39" s="10090"/>
      <c r="T39" s="10091"/>
      <c r="U39" s="7143" t="str">
        <f t="shared" si="6"/>
        <v/>
      </c>
      <c r="V39" s="10090"/>
      <c r="W39" s="10090"/>
      <c r="X39" s="10091"/>
      <c r="Y39" s="10089" t="str">
        <f t="shared" si="18"/>
        <v/>
      </c>
      <c r="Z39" s="6563"/>
      <c r="AA39" s="10089" t="str">
        <f t="shared" si="19"/>
        <v/>
      </c>
      <c r="AB39" s="6563"/>
      <c r="AC39" s="10138" t="str">
        <f t="shared" si="7"/>
        <v/>
      </c>
      <c r="AD39" s="10139"/>
      <c r="AE39" s="10139"/>
      <c r="AF39" s="10139"/>
      <c r="AG39" s="911">
        <f t="shared" si="8"/>
        <v>0</v>
      </c>
      <c r="AH39" s="5727"/>
      <c r="AI39" s="5727" t="e">
        <f t="shared" si="0"/>
        <v>#VALUE!</v>
      </c>
      <c r="AJ39" s="853"/>
      <c r="AK39" s="857"/>
      <c r="AL39" s="857"/>
      <c r="AM39" s="855"/>
      <c r="AN39" s="855"/>
      <c r="AO39" s="856"/>
      <c r="AP39" s="855"/>
      <c r="AQ39" s="854"/>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61">
        <f t="shared" si="1"/>
        <v>0</v>
      </c>
      <c r="B40" s="10085" t="str">
        <f t="shared" si="2"/>
        <v/>
      </c>
      <c r="C40" s="9649"/>
      <c r="D40" s="9649"/>
      <c r="E40" s="9649"/>
      <c r="F40" s="9649"/>
      <c r="G40" s="9649"/>
      <c r="H40" s="9649"/>
      <c r="I40" s="9667"/>
      <c r="J40" s="10086" t="str">
        <f t="shared" si="3"/>
        <v/>
      </c>
      <c r="K40" s="10087"/>
      <c r="L40" s="10087"/>
      <c r="M40" s="10086" t="str">
        <f t="shared" si="4"/>
        <v/>
      </c>
      <c r="N40" s="10087"/>
      <c r="O40" s="10087"/>
      <c r="P40" s="10088"/>
      <c r="Q40" s="7143" t="str">
        <f t="shared" si="5"/>
        <v/>
      </c>
      <c r="R40" s="10090"/>
      <c r="S40" s="10090"/>
      <c r="T40" s="10091"/>
      <c r="U40" s="7143" t="str">
        <f t="shared" si="6"/>
        <v/>
      </c>
      <c r="V40" s="10090"/>
      <c r="W40" s="10090"/>
      <c r="X40" s="10091"/>
      <c r="Y40" s="10089" t="str">
        <f t="shared" si="18"/>
        <v/>
      </c>
      <c r="Z40" s="6563"/>
      <c r="AA40" s="10089" t="str">
        <f t="shared" si="19"/>
        <v/>
      </c>
      <c r="AB40" s="6563"/>
      <c r="AC40" s="10138" t="str">
        <f t="shared" si="7"/>
        <v/>
      </c>
      <c r="AD40" s="10139"/>
      <c r="AE40" s="10139"/>
      <c r="AF40" s="10139"/>
      <c r="AG40" s="911">
        <f t="shared" si="8"/>
        <v>0</v>
      </c>
      <c r="AH40" s="5727"/>
      <c r="AI40" s="5727" t="e">
        <f t="shared" si="0"/>
        <v>#VALUE!</v>
      </c>
      <c r="AJ40" s="853"/>
      <c r="AK40" s="857"/>
      <c r="AL40" s="857"/>
      <c r="AM40" s="855"/>
      <c r="AN40" s="855"/>
      <c r="AO40" s="856"/>
      <c r="AP40" s="855"/>
      <c r="AQ40" s="854"/>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61">
        <f t="shared" si="1"/>
        <v>0</v>
      </c>
      <c r="B41" s="10085" t="str">
        <f t="shared" si="2"/>
        <v/>
      </c>
      <c r="C41" s="9649"/>
      <c r="D41" s="9649"/>
      <c r="E41" s="9649"/>
      <c r="F41" s="9649"/>
      <c r="G41" s="9649"/>
      <c r="H41" s="9649"/>
      <c r="I41" s="9667"/>
      <c r="J41" s="10086" t="str">
        <f t="shared" si="3"/>
        <v/>
      </c>
      <c r="K41" s="10087"/>
      <c r="L41" s="10087"/>
      <c r="M41" s="10086" t="str">
        <f t="shared" si="4"/>
        <v/>
      </c>
      <c r="N41" s="10087"/>
      <c r="O41" s="10087"/>
      <c r="P41" s="10088"/>
      <c r="Q41" s="7143" t="str">
        <f t="shared" si="5"/>
        <v/>
      </c>
      <c r="R41" s="10090"/>
      <c r="S41" s="10090"/>
      <c r="T41" s="10091"/>
      <c r="U41" s="7143" t="str">
        <f t="shared" si="6"/>
        <v/>
      </c>
      <c r="V41" s="10090"/>
      <c r="W41" s="10090"/>
      <c r="X41" s="10091"/>
      <c r="Y41" s="10089" t="str">
        <f t="shared" si="18"/>
        <v/>
      </c>
      <c r="Z41" s="6563"/>
      <c r="AA41" s="10089" t="str">
        <f t="shared" si="19"/>
        <v/>
      </c>
      <c r="AB41" s="6563"/>
      <c r="AC41" s="10138" t="str">
        <f t="shared" si="7"/>
        <v/>
      </c>
      <c r="AD41" s="10139"/>
      <c r="AE41" s="10139"/>
      <c r="AF41" s="10139"/>
      <c r="AG41" s="911">
        <f t="shared" si="8"/>
        <v>0</v>
      </c>
      <c r="AH41" s="5727"/>
      <c r="AI41" s="5727" t="e">
        <f t="shared" si="0"/>
        <v>#VALUE!</v>
      </c>
      <c r="AJ41" s="853"/>
      <c r="AK41" s="857"/>
      <c r="AL41" s="857"/>
      <c r="AM41" s="855"/>
      <c r="AN41" s="855"/>
      <c r="AO41" s="856"/>
      <c r="AP41" s="855"/>
      <c r="AQ41" s="854"/>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61">
        <f t="shared" si="1"/>
        <v>0</v>
      </c>
      <c r="B42" s="10085" t="str">
        <f t="shared" si="2"/>
        <v/>
      </c>
      <c r="C42" s="9649"/>
      <c r="D42" s="9649"/>
      <c r="E42" s="9649"/>
      <c r="F42" s="9649"/>
      <c r="G42" s="9649"/>
      <c r="H42" s="9649"/>
      <c r="I42" s="9667"/>
      <c r="J42" s="10086" t="str">
        <f t="shared" si="3"/>
        <v/>
      </c>
      <c r="K42" s="10087"/>
      <c r="L42" s="10087"/>
      <c r="M42" s="10086" t="str">
        <f t="shared" si="4"/>
        <v/>
      </c>
      <c r="N42" s="10087"/>
      <c r="O42" s="10087"/>
      <c r="P42" s="10088"/>
      <c r="Q42" s="7143" t="str">
        <f t="shared" si="5"/>
        <v/>
      </c>
      <c r="R42" s="10090"/>
      <c r="S42" s="10090"/>
      <c r="T42" s="10091"/>
      <c r="U42" s="7143" t="str">
        <f t="shared" si="6"/>
        <v/>
      </c>
      <c r="V42" s="10090"/>
      <c r="W42" s="10090"/>
      <c r="X42" s="10091"/>
      <c r="Y42" s="10089" t="str">
        <f t="shared" si="18"/>
        <v/>
      </c>
      <c r="Z42" s="6563"/>
      <c r="AA42" s="10089" t="str">
        <f t="shared" si="19"/>
        <v/>
      </c>
      <c r="AB42" s="6563"/>
      <c r="AC42" s="10138" t="str">
        <f t="shared" si="7"/>
        <v/>
      </c>
      <c r="AD42" s="10139"/>
      <c r="AE42" s="10139"/>
      <c r="AF42" s="10139"/>
      <c r="AG42" s="911">
        <f t="shared" si="8"/>
        <v>0</v>
      </c>
      <c r="AH42" s="5727"/>
      <c r="AI42" s="5727" t="e">
        <f t="shared" si="0"/>
        <v>#VALUE!</v>
      </c>
      <c r="AJ42" s="853"/>
      <c r="AK42" s="857"/>
      <c r="AL42" s="857"/>
      <c r="AM42" s="855"/>
      <c r="AN42" s="855"/>
      <c r="AO42" s="856"/>
      <c r="AP42" s="855"/>
      <c r="AQ42" s="854"/>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61">
        <f t="shared" si="1"/>
        <v>0</v>
      </c>
      <c r="B43" s="10085" t="str">
        <f t="shared" si="2"/>
        <v/>
      </c>
      <c r="C43" s="9649"/>
      <c r="D43" s="9649"/>
      <c r="E43" s="9649"/>
      <c r="F43" s="9649"/>
      <c r="G43" s="9649"/>
      <c r="H43" s="9649"/>
      <c r="I43" s="9667"/>
      <c r="J43" s="10086" t="str">
        <f t="shared" si="3"/>
        <v/>
      </c>
      <c r="K43" s="10087"/>
      <c r="L43" s="10087"/>
      <c r="M43" s="10086" t="str">
        <f t="shared" si="4"/>
        <v/>
      </c>
      <c r="N43" s="10087"/>
      <c r="O43" s="10087"/>
      <c r="P43" s="10088"/>
      <c r="Q43" s="7143" t="str">
        <f t="shared" si="5"/>
        <v/>
      </c>
      <c r="R43" s="10090"/>
      <c r="S43" s="10090"/>
      <c r="T43" s="10091"/>
      <c r="U43" s="7143" t="str">
        <f t="shared" si="6"/>
        <v/>
      </c>
      <c r="V43" s="10090"/>
      <c r="W43" s="10090"/>
      <c r="X43" s="10091"/>
      <c r="Y43" s="10089" t="str">
        <f t="shared" si="18"/>
        <v/>
      </c>
      <c r="Z43" s="6563"/>
      <c r="AA43" s="10089" t="str">
        <f t="shared" si="19"/>
        <v/>
      </c>
      <c r="AB43" s="6563"/>
      <c r="AC43" s="10138" t="str">
        <f t="shared" si="7"/>
        <v/>
      </c>
      <c r="AD43" s="10139"/>
      <c r="AE43" s="10139"/>
      <c r="AF43" s="10139"/>
      <c r="AG43" s="911">
        <f t="shared" si="8"/>
        <v>0</v>
      </c>
      <c r="AH43" s="5727"/>
      <c r="AI43" s="5727" t="e">
        <f t="shared" si="0"/>
        <v>#VALUE!</v>
      </c>
      <c r="AJ43" s="853"/>
      <c r="AK43" s="857"/>
      <c r="AL43" s="857"/>
      <c r="AM43" s="855"/>
      <c r="AN43" s="855"/>
      <c r="AO43" s="856"/>
      <c r="AP43" s="855"/>
      <c r="AQ43" s="854"/>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61">
        <f t="shared" si="1"/>
        <v>0</v>
      </c>
      <c r="B44" s="10085" t="str">
        <f t="shared" si="2"/>
        <v/>
      </c>
      <c r="C44" s="9649"/>
      <c r="D44" s="9649"/>
      <c r="E44" s="9649"/>
      <c r="F44" s="9649"/>
      <c r="G44" s="9649"/>
      <c r="H44" s="9649"/>
      <c r="I44" s="9667"/>
      <c r="J44" s="10086" t="str">
        <f t="shared" si="3"/>
        <v/>
      </c>
      <c r="K44" s="10087"/>
      <c r="L44" s="10087"/>
      <c r="M44" s="10086" t="str">
        <f t="shared" si="4"/>
        <v/>
      </c>
      <c r="N44" s="10087"/>
      <c r="O44" s="10087"/>
      <c r="P44" s="10088"/>
      <c r="Q44" s="7143" t="str">
        <f t="shared" si="5"/>
        <v/>
      </c>
      <c r="R44" s="10090"/>
      <c r="S44" s="10090"/>
      <c r="T44" s="10091"/>
      <c r="U44" s="7143" t="str">
        <f t="shared" si="6"/>
        <v/>
      </c>
      <c r="V44" s="10090"/>
      <c r="W44" s="10090"/>
      <c r="X44" s="10091"/>
      <c r="Y44" s="10089" t="str">
        <f t="shared" si="18"/>
        <v/>
      </c>
      <c r="Z44" s="6563"/>
      <c r="AA44" s="10089" t="str">
        <f t="shared" si="19"/>
        <v/>
      </c>
      <c r="AB44" s="6563"/>
      <c r="AC44" s="10138" t="str">
        <f t="shared" si="7"/>
        <v/>
      </c>
      <c r="AD44" s="10139"/>
      <c r="AE44" s="10139"/>
      <c r="AF44" s="10139"/>
      <c r="AG44" s="911">
        <f t="shared" si="8"/>
        <v>0</v>
      </c>
      <c r="AH44" s="5727"/>
      <c r="AI44" s="5727" t="e">
        <f t="shared" si="0"/>
        <v>#VALUE!</v>
      </c>
      <c r="AJ44" s="853"/>
      <c r="AK44" s="857"/>
      <c r="AL44" s="857"/>
      <c r="AM44" s="855"/>
      <c r="AN44" s="855"/>
      <c r="AO44" s="856"/>
      <c r="AP44" s="855"/>
      <c r="AQ44" s="854"/>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61">
        <f t="shared" si="1"/>
        <v>0</v>
      </c>
      <c r="B45" s="10085" t="str">
        <f t="shared" si="2"/>
        <v/>
      </c>
      <c r="C45" s="9649"/>
      <c r="D45" s="9649"/>
      <c r="E45" s="9649"/>
      <c r="F45" s="9649"/>
      <c r="G45" s="9649"/>
      <c r="H45" s="9649"/>
      <c r="I45" s="9667"/>
      <c r="J45" s="10086" t="str">
        <f t="shared" si="3"/>
        <v/>
      </c>
      <c r="K45" s="10087"/>
      <c r="L45" s="10087"/>
      <c r="M45" s="10086" t="str">
        <f t="shared" si="4"/>
        <v/>
      </c>
      <c r="N45" s="10087"/>
      <c r="O45" s="10087"/>
      <c r="P45" s="10088"/>
      <c r="Q45" s="7143" t="str">
        <f t="shared" si="5"/>
        <v/>
      </c>
      <c r="R45" s="10090"/>
      <c r="S45" s="10090"/>
      <c r="T45" s="10091"/>
      <c r="U45" s="7143" t="str">
        <f t="shared" si="6"/>
        <v/>
      </c>
      <c r="V45" s="10090"/>
      <c r="W45" s="10090"/>
      <c r="X45" s="10091"/>
      <c r="Y45" s="10089" t="str">
        <f t="shared" si="18"/>
        <v/>
      </c>
      <c r="Z45" s="6563"/>
      <c r="AA45" s="10089" t="str">
        <f t="shared" si="19"/>
        <v/>
      </c>
      <c r="AB45" s="6563"/>
      <c r="AC45" s="10138" t="str">
        <f t="shared" si="7"/>
        <v/>
      </c>
      <c r="AD45" s="10139"/>
      <c r="AE45" s="10139"/>
      <c r="AF45" s="10139"/>
      <c r="AG45" s="911">
        <f t="shared" si="8"/>
        <v>0</v>
      </c>
      <c r="AH45" s="5727"/>
      <c r="AI45" s="5727" t="e">
        <f t="shared" si="0"/>
        <v>#VALUE!</v>
      </c>
      <c r="AJ45" s="853"/>
      <c r="AK45" s="857"/>
      <c r="AL45" s="857"/>
      <c r="AM45" s="855"/>
      <c r="AN45" s="855"/>
      <c r="AO45" s="856"/>
      <c r="AP45" s="855"/>
      <c r="AQ45" s="854"/>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61">
        <f t="shared" si="1"/>
        <v>0</v>
      </c>
      <c r="B46" s="10085" t="str">
        <f t="shared" si="2"/>
        <v/>
      </c>
      <c r="C46" s="9649"/>
      <c r="D46" s="9649"/>
      <c r="E46" s="9649"/>
      <c r="F46" s="9649"/>
      <c r="G46" s="9649"/>
      <c r="H46" s="9649"/>
      <c r="I46" s="9667"/>
      <c r="J46" s="10086" t="str">
        <f t="shared" si="3"/>
        <v/>
      </c>
      <c r="K46" s="10087"/>
      <c r="L46" s="10087"/>
      <c r="M46" s="10086" t="str">
        <f t="shared" si="4"/>
        <v/>
      </c>
      <c r="N46" s="10087"/>
      <c r="O46" s="10087"/>
      <c r="P46" s="10088"/>
      <c r="Q46" s="7143" t="str">
        <f t="shared" si="5"/>
        <v/>
      </c>
      <c r="R46" s="10090"/>
      <c r="S46" s="10090"/>
      <c r="T46" s="10091"/>
      <c r="U46" s="7143" t="str">
        <f t="shared" si="6"/>
        <v/>
      </c>
      <c r="V46" s="10090"/>
      <c r="W46" s="10090"/>
      <c r="X46" s="10091"/>
      <c r="Y46" s="10089" t="str">
        <f t="shared" si="18"/>
        <v/>
      </c>
      <c r="Z46" s="6563"/>
      <c r="AA46" s="10089" t="str">
        <f t="shared" si="19"/>
        <v/>
      </c>
      <c r="AB46" s="6563"/>
      <c r="AC46" s="10138" t="str">
        <f t="shared" si="7"/>
        <v/>
      </c>
      <c r="AD46" s="10139"/>
      <c r="AE46" s="10139"/>
      <c r="AF46" s="10139"/>
      <c r="AG46" s="911">
        <f t="shared" si="8"/>
        <v>0</v>
      </c>
      <c r="AH46" s="5727"/>
      <c r="AI46" s="5727" t="e">
        <f t="shared" si="0"/>
        <v>#VALUE!</v>
      </c>
      <c r="AJ46" s="853"/>
      <c r="AK46" s="857"/>
      <c r="AL46" s="857"/>
      <c r="AM46" s="855"/>
      <c r="AN46" s="855"/>
      <c r="AO46" s="856"/>
      <c r="AP46" s="855"/>
      <c r="AQ46" s="854"/>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61">
        <f t="shared" si="1"/>
        <v>0</v>
      </c>
      <c r="B47" s="10085" t="str">
        <f t="shared" si="2"/>
        <v/>
      </c>
      <c r="C47" s="9649"/>
      <c r="D47" s="9649"/>
      <c r="E47" s="9649"/>
      <c r="F47" s="9649"/>
      <c r="G47" s="9649"/>
      <c r="H47" s="9649"/>
      <c r="I47" s="9667"/>
      <c r="J47" s="10086" t="str">
        <f t="shared" si="3"/>
        <v/>
      </c>
      <c r="K47" s="10087"/>
      <c r="L47" s="10087"/>
      <c r="M47" s="10086" t="str">
        <f t="shared" si="4"/>
        <v/>
      </c>
      <c r="N47" s="10087"/>
      <c r="O47" s="10087"/>
      <c r="P47" s="10088"/>
      <c r="Q47" s="7143" t="str">
        <f t="shared" si="5"/>
        <v/>
      </c>
      <c r="R47" s="10090"/>
      <c r="S47" s="10090"/>
      <c r="T47" s="10091"/>
      <c r="U47" s="7143" t="str">
        <f t="shared" si="6"/>
        <v/>
      </c>
      <c r="V47" s="10090"/>
      <c r="W47" s="10090"/>
      <c r="X47" s="10091"/>
      <c r="Y47" s="10089" t="str">
        <f t="shared" si="18"/>
        <v/>
      </c>
      <c r="Z47" s="6563"/>
      <c r="AA47" s="10089" t="str">
        <f t="shared" si="19"/>
        <v/>
      </c>
      <c r="AB47" s="6563"/>
      <c r="AC47" s="10138" t="str">
        <f t="shared" si="7"/>
        <v/>
      </c>
      <c r="AD47" s="10139"/>
      <c r="AE47" s="10139"/>
      <c r="AF47" s="10139"/>
      <c r="AG47" s="911">
        <f t="shared" si="8"/>
        <v>0</v>
      </c>
      <c r="AH47" s="5727"/>
      <c r="AI47" s="5727" t="e">
        <f t="shared" si="0"/>
        <v>#VALUE!</v>
      </c>
      <c r="AJ47" s="853"/>
      <c r="AK47" s="857"/>
      <c r="AL47" s="857"/>
      <c r="AM47" s="855"/>
      <c r="AN47" s="855"/>
      <c r="AO47" s="856"/>
      <c r="AP47" s="855"/>
      <c r="AQ47" s="854"/>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61">
        <f t="shared" si="1"/>
        <v>0</v>
      </c>
      <c r="B48" s="10085" t="str">
        <f t="shared" si="2"/>
        <v/>
      </c>
      <c r="C48" s="9649"/>
      <c r="D48" s="9649"/>
      <c r="E48" s="9649"/>
      <c r="F48" s="9649"/>
      <c r="G48" s="9649"/>
      <c r="H48" s="9649"/>
      <c r="I48" s="9667"/>
      <c r="J48" s="10086" t="str">
        <f t="shared" si="3"/>
        <v/>
      </c>
      <c r="K48" s="10087"/>
      <c r="L48" s="10087"/>
      <c r="M48" s="10086" t="str">
        <f t="shared" si="4"/>
        <v/>
      </c>
      <c r="N48" s="10087"/>
      <c r="O48" s="10087"/>
      <c r="P48" s="10088"/>
      <c r="Q48" s="7143" t="str">
        <f t="shared" si="5"/>
        <v/>
      </c>
      <c r="R48" s="10090"/>
      <c r="S48" s="10090"/>
      <c r="T48" s="10091"/>
      <c r="U48" s="7143" t="str">
        <f t="shared" si="6"/>
        <v/>
      </c>
      <c r="V48" s="10090"/>
      <c r="W48" s="10090"/>
      <c r="X48" s="10091"/>
      <c r="Y48" s="10089" t="str">
        <f t="shared" si="18"/>
        <v/>
      </c>
      <c r="Z48" s="6563"/>
      <c r="AA48" s="10089" t="str">
        <f t="shared" si="19"/>
        <v/>
      </c>
      <c r="AB48" s="6563"/>
      <c r="AC48" s="10138" t="str">
        <f t="shared" si="7"/>
        <v/>
      </c>
      <c r="AD48" s="10139"/>
      <c r="AE48" s="10139"/>
      <c r="AF48" s="10139"/>
      <c r="AG48" s="911">
        <f t="shared" si="8"/>
        <v>0</v>
      </c>
      <c r="AH48" s="5727"/>
      <c r="AI48" s="5727" t="e">
        <f t="shared" si="0"/>
        <v>#VALUE!</v>
      </c>
      <c r="AJ48" s="853"/>
      <c r="AK48" s="857"/>
      <c r="AL48" s="857"/>
      <c r="AM48" s="855"/>
      <c r="AN48" s="855"/>
      <c r="AO48" s="856"/>
      <c r="AP48" s="855"/>
      <c r="AQ48" s="854"/>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61">
        <f t="shared" si="1"/>
        <v>0</v>
      </c>
      <c r="B49" s="10085" t="str">
        <f t="shared" si="2"/>
        <v/>
      </c>
      <c r="C49" s="9649"/>
      <c r="D49" s="9649"/>
      <c r="E49" s="9649"/>
      <c r="F49" s="9649"/>
      <c r="G49" s="9649"/>
      <c r="H49" s="9649"/>
      <c r="I49" s="9667"/>
      <c r="J49" s="10086" t="str">
        <f t="shared" si="3"/>
        <v/>
      </c>
      <c r="K49" s="10087"/>
      <c r="L49" s="10087"/>
      <c r="M49" s="10086" t="str">
        <f t="shared" si="4"/>
        <v/>
      </c>
      <c r="N49" s="10087"/>
      <c r="O49" s="10087"/>
      <c r="P49" s="10088"/>
      <c r="Q49" s="7143" t="str">
        <f t="shared" si="5"/>
        <v/>
      </c>
      <c r="R49" s="10090"/>
      <c r="S49" s="10090"/>
      <c r="T49" s="10091"/>
      <c r="U49" s="7143" t="str">
        <f t="shared" si="6"/>
        <v/>
      </c>
      <c r="V49" s="10090"/>
      <c r="W49" s="10090"/>
      <c r="X49" s="10091"/>
      <c r="Y49" s="10089" t="str">
        <f t="shared" si="18"/>
        <v/>
      </c>
      <c r="Z49" s="6563"/>
      <c r="AA49" s="10089" t="str">
        <f t="shared" si="19"/>
        <v/>
      </c>
      <c r="AB49" s="6563"/>
      <c r="AC49" s="10138" t="str">
        <f t="shared" si="7"/>
        <v/>
      </c>
      <c r="AD49" s="10139"/>
      <c r="AE49" s="10139"/>
      <c r="AF49" s="10139"/>
      <c r="AG49" s="911">
        <f t="shared" si="8"/>
        <v>0</v>
      </c>
      <c r="AH49" s="5727"/>
      <c r="AI49" s="5727" t="e">
        <f t="shared" si="0"/>
        <v>#VALUE!</v>
      </c>
      <c r="AJ49" s="853"/>
      <c r="AK49" s="857"/>
      <c r="AL49" s="857"/>
      <c r="AM49" s="855"/>
      <c r="AN49" s="855"/>
      <c r="AO49" s="856"/>
      <c r="AP49" s="855"/>
      <c r="AQ49" s="854"/>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61">
        <f t="shared" si="1"/>
        <v>0</v>
      </c>
      <c r="B50" s="10085" t="str">
        <f t="shared" si="2"/>
        <v/>
      </c>
      <c r="C50" s="9649"/>
      <c r="D50" s="9649"/>
      <c r="E50" s="9649"/>
      <c r="F50" s="9649"/>
      <c r="G50" s="9649"/>
      <c r="H50" s="9649"/>
      <c r="I50" s="9667"/>
      <c r="J50" s="10086" t="str">
        <f t="shared" si="3"/>
        <v/>
      </c>
      <c r="K50" s="10087"/>
      <c r="L50" s="10087"/>
      <c r="M50" s="10086" t="str">
        <f t="shared" si="4"/>
        <v/>
      </c>
      <c r="N50" s="10087"/>
      <c r="O50" s="10087"/>
      <c r="P50" s="10088"/>
      <c r="Q50" s="7143" t="str">
        <f t="shared" si="5"/>
        <v/>
      </c>
      <c r="R50" s="10090"/>
      <c r="S50" s="10090"/>
      <c r="T50" s="10091"/>
      <c r="U50" s="7143" t="str">
        <f t="shared" si="6"/>
        <v/>
      </c>
      <c r="V50" s="10090"/>
      <c r="W50" s="10090"/>
      <c r="X50" s="10091"/>
      <c r="Y50" s="10089" t="str">
        <f t="shared" si="18"/>
        <v/>
      </c>
      <c r="Z50" s="6563"/>
      <c r="AA50" s="10089" t="str">
        <f t="shared" si="19"/>
        <v/>
      </c>
      <c r="AB50" s="6563"/>
      <c r="AC50" s="10138" t="str">
        <f t="shared" si="7"/>
        <v/>
      </c>
      <c r="AD50" s="10139"/>
      <c r="AE50" s="10139"/>
      <c r="AF50" s="10139"/>
      <c r="AG50" s="911">
        <f t="shared" si="8"/>
        <v>0</v>
      </c>
      <c r="AH50" s="5727"/>
      <c r="AI50" s="5727" t="e">
        <f t="shared" si="0"/>
        <v>#VALUE!</v>
      </c>
      <c r="AJ50" s="853"/>
      <c r="AK50" s="857"/>
      <c r="AL50" s="857"/>
      <c r="AM50" s="855"/>
      <c r="AN50" s="855"/>
      <c r="AO50" s="856"/>
      <c r="AP50" s="855"/>
      <c r="AQ50" s="854"/>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61">
        <f t="shared" si="1"/>
        <v>0</v>
      </c>
      <c r="B51" s="10085" t="str">
        <f t="shared" si="2"/>
        <v/>
      </c>
      <c r="C51" s="9649"/>
      <c r="D51" s="9649"/>
      <c r="E51" s="9649"/>
      <c r="F51" s="9649"/>
      <c r="G51" s="9649"/>
      <c r="H51" s="9649"/>
      <c r="I51" s="9667"/>
      <c r="J51" s="10086" t="str">
        <f t="shared" si="3"/>
        <v/>
      </c>
      <c r="K51" s="10087"/>
      <c r="L51" s="10087"/>
      <c r="M51" s="10086" t="str">
        <f t="shared" si="4"/>
        <v/>
      </c>
      <c r="N51" s="10087"/>
      <c r="O51" s="10087"/>
      <c r="P51" s="10088"/>
      <c r="Q51" s="7143" t="str">
        <f t="shared" si="5"/>
        <v/>
      </c>
      <c r="R51" s="10090"/>
      <c r="S51" s="10090"/>
      <c r="T51" s="10091"/>
      <c r="U51" s="7143" t="str">
        <f t="shared" si="6"/>
        <v/>
      </c>
      <c r="V51" s="10090"/>
      <c r="W51" s="10090"/>
      <c r="X51" s="10091"/>
      <c r="Y51" s="10089" t="str">
        <f t="shared" si="18"/>
        <v/>
      </c>
      <c r="Z51" s="6563"/>
      <c r="AA51" s="10089" t="str">
        <f t="shared" si="19"/>
        <v/>
      </c>
      <c r="AB51" s="6563"/>
      <c r="AC51" s="10138" t="str">
        <f t="shared" si="7"/>
        <v/>
      </c>
      <c r="AD51" s="10139"/>
      <c r="AE51" s="10139"/>
      <c r="AF51" s="10139"/>
      <c r="AG51" s="911">
        <f t="shared" si="8"/>
        <v>0</v>
      </c>
      <c r="AH51" s="5727"/>
      <c r="AI51" s="5727" t="e">
        <f t="shared" si="0"/>
        <v>#VALUE!</v>
      </c>
      <c r="AJ51" s="853"/>
      <c r="AK51" s="857"/>
      <c r="AL51" s="857"/>
      <c r="AM51" s="855"/>
      <c r="AN51" s="855"/>
      <c r="AO51" s="856"/>
      <c r="AP51" s="855"/>
      <c r="AQ51" s="854"/>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61">
        <f t="shared" si="1"/>
        <v>0</v>
      </c>
      <c r="B52" s="10085" t="str">
        <f t="shared" si="2"/>
        <v/>
      </c>
      <c r="C52" s="9649"/>
      <c r="D52" s="9649"/>
      <c r="E52" s="9649"/>
      <c r="F52" s="9649"/>
      <c r="G52" s="9649"/>
      <c r="H52" s="9649"/>
      <c r="I52" s="9667"/>
      <c r="J52" s="10086" t="str">
        <f t="shared" si="3"/>
        <v/>
      </c>
      <c r="K52" s="10087"/>
      <c r="L52" s="10087"/>
      <c r="M52" s="10086" t="str">
        <f t="shared" si="4"/>
        <v/>
      </c>
      <c r="N52" s="10087"/>
      <c r="O52" s="10087"/>
      <c r="P52" s="10088"/>
      <c r="Q52" s="7143" t="str">
        <f t="shared" si="5"/>
        <v/>
      </c>
      <c r="R52" s="10090"/>
      <c r="S52" s="10090"/>
      <c r="T52" s="10091"/>
      <c r="U52" s="7143" t="str">
        <f t="shared" si="6"/>
        <v/>
      </c>
      <c r="V52" s="10090"/>
      <c r="W52" s="10090"/>
      <c r="X52" s="10091"/>
      <c r="Y52" s="10089" t="str">
        <f t="shared" si="18"/>
        <v/>
      </c>
      <c r="Z52" s="6563"/>
      <c r="AA52" s="10089" t="str">
        <f t="shared" si="19"/>
        <v/>
      </c>
      <c r="AB52" s="6563"/>
      <c r="AC52" s="10138" t="str">
        <f t="shared" si="7"/>
        <v/>
      </c>
      <c r="AD52" s="10139"/>
      <c r="AE52" s="10139"/>
      <c r="AF52" s="10139"/>
      <c r="AG52" s="911">
        <f t="shared" si="8"/>
        <v>0</v>
      </c>
      <c r="AH52" s="5727"/>
      <c r="AI52" s="5727" t="e">
        <f t="shared" si="0"/>
        <v>#VALUE!</v>
      </c>
      <c r="AJ52" s="853"/>
      <c r="AK52" s="857"/>
      <c r="AL52" s="857"/>
      <c r="AM52" s="855"/>
      <c r="AN52" s="855"/>
      <c r="AO52" s="856"/>
      <c r="AP52" s="855"/>
      <c r="AQ52" s="854"/>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61">
        <f t="shared" si="1"/>
        <v>0</v>
      </c>
      <c r="B53" s="10085" t="str">
        <f t="shared" si="2"/>
        <v/>
      </c>
      <c r="C53" s="9649"/>
      <c r="D53" s="9649"/>
      <c r="E53" s="9649"/>
      <c r="F53" s="9649"/>
      <c r="G53" s="9649"/>
      <c r="H53" s="9649"/>
      <c r="I53" s="9667"/>
      <c r="J53" s="10086" t="str">
        <f t="shared" si="3"/>
        <v/>
      </c>
      <c r="K53" s="10087"/>
      <c r="L53" s="10087"/>
      <c r="M53" s="10086" t="str">
        <f t="shared" si="4"/>
        <v/>
      </c>
      <c r="N53" s="10087"/>
      <c r="O53" s="10087"/>
      <c r="P53" s="10088"/>
      <c r="Q53" s="7143" t="str">
        <f t="shared" si="5"/>
        <v/>
      </c>
      <c r="R53" s="10090"/>
      <c r="S53" s="10090"/>
      <c r="T53" s="10091"/>
      <c r="U53" s="7143" t="str">
        <f t="shared" si="6"/>
        <v/>
      </c>
      <c r="V53" s="10090"/>
      <c r="W53" s="10090"/>
      <c r="X53" s="10091"/>
      <c r="Y53" s="10089" t="str">
        <f t="shared" si="18"/>
        <v/>
      </c>
      <c r="Z53" s="6563"/>
      <c r="AA53" s="10089" t="str">
        <f t="shared" si="19"/>
        <v/>
      </c>
      <c r="AB53" s="6563"/>
      <c r="AC53" s="10138" t="str">
        <f t="shared" si="7"/>
        <v/>
      </c>
      <c r="AD53" s="10139"/>
      <c r="AE53" s="10139"/>
      <c r="AF53" s="10139"/>
      <c r="AG53" s="911">
        <f t="shared" si="8"/>
        <v>0</v>
      </c>
      <c r="AH53" s="5727"/>
      <c r="AI53" s="5727" t="e">
        <f t="shared" si="0"/>
        <v>#VALUE!</v>
      </c>
      <c r="AJ53" s="853"/>
      <c r="AK53" s="857"/>
      <c r="AL53" s="857"/>
      <c r="AM53" s="855"/>
      <c r="AN53" s="855"/>
      <c r="AO53" s="856"/>
      <c r="AP53" s="855"/>
      <c r="AQ53" s="854"/>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61">
        <f t="shared" si="1"/>
        <v>0</v>
      </c>
      <c r="B54" s="10085" t="str">
        <f t="shared" si="2"/>
        <v/>
      </c>
      <c r="C54" s="9649"/>
      <c r="D54" s="9649"/>
      <c r="E54" s="9649"/>
      <c r="F54" s="9649"/>
      <c r="G54" s="9649"/>
      <c r="H54" s="9649"/>
      <c r="I54" s="9667"/>
      <c r="J54" s="10086" t="str">
        <f t="shared" si="3"/>
        <v/>
      </c>
      <c r="K54" s="10087"/>
      <c r="L54" s="10087"/>
      <c r="M54" s="10086" t="str">
        <f t="shared" si="4"/>
        <v/>
      </c>
      <c r="N54" s="10087"/>
      <c r="O54" s="10087"/>
      <c r="P54" s="10088"/>
      <c r="Q54" s="7143" t="str">
        <f t="shared" si="5"/>
        <v/>
      </c>
      <c r="R54" s="10090"/>
      <c r="S54" s="10090"/>
      <c r="T54" s="10091"/>
      <c r="U54" s="7143" t="str">
        <f t="shared" si="6"/>
        <v/>
      </c>
      <c r="V54" s="10090"/>
      <c r="W54" s="10090"/>
      <c r="X54" s="10091"/>
      <c r="Y54" s="10089" t="str">
        <f t="shared" si="18"/>
        <v/>
      </c>
      <c r="Z54" s="6563"/>
      <c r="AA54" s="10089" t="str">
        <f t="shared" si="19"/>
        <v/>
      </c>
      <c r="AB54" s="6563"/>
      <c r="AC54" s="10138" t="str">
        <f t="shared" si="7"/>
        <v/>
      </c>
      <c r="AD54" s="10139"/>
      <c r="AE54" s="10139"/>
      <c r="AF54" s="10139"/>
      <c r="AG54" s="911">
        <f t="shared" si="8"/>
        <v>0</v>
      </c>
      <c r="AH54" s="5727"/>
      <c r="AI54" s="5727" t="e">
        <f t="shared" si="0"/>
        <v>#VALUE!</v>
      </c>
      <c r="AJ54" s="853"/>
      <c r="AK54" s="857"/>
      <c r="AL54" s="857"/>
      <c r="AM54" s="855"/>
      <c r="AN54" s="855"/>
      <c r="AO54" s="856"/>
      <c r="AP54" s="855"/>
      <c r="AQ54" s="854"/>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61">
        <f>SUM(A35:A54)</f>
        <v>0</v>
      </c>
      <c r="B55" s="10108">
        <v>2</v>
      </c>
      <c r="C55" s="10110" t="s">
        <v>5015</v>
      </c>
      <c r="D55" s="10111"/>
      <c r="E55" s="10111"/>
      <c r="F55" s="10111"/>
      <c r="G55" s="10111"/>
      <c r="H55" s="10111"/>
      <c r="I55" s="10111"/>
      <c r="J55" s="10111"/>
      <c r="K55" s="10111"/>
      <c r="L55" s="10111"/>
      <c r="M55" s="10111"/>
      <c r="N55" s="10111"/>
      <c r="O55" s="10111"/>
      <c r="P55" s="10111"/>
      <c r="Q55" s="10113" t="str">
        <f>IF(A55=0,"",ROUND(SUM(Q35:Q54),0))</f>
        <v/>
      </c>
      <c r="R55" s="10114"/>
      <c r="S55" s="10114"/>
      <c r="T55" s="10115"/>
      <c r="U55" s="10113" t="str">
        <f>IF(A55=0,"",ROUND(SUM(U35:U54),0))</f>
        <v/>
      </c>
      <c r="V55" s="10124"/>
      <c r="W55" s="10124"/>
      <c r="X55" s="10133"/>
      <c r="Y55" s="10127"/>
      <c r="Z55" s="10128"/>
      <c r="AA55" s="10113" t="str">
        <f>IF(A55=0,"",ROUND(SUM(AA35:AA54),0))</f>
        <v/>
      </c>
      <c r="AB55" s="10115"/>
      <c r="AC55" s="10113" t="str">
        <f>IF(A55=0,"",ROUND(SUM(AC35:AC54),0))</f>
        <v/>
      </c>
      <c r="AD55" s="10124"/>
      <c r="AE55" s="10124"/>
      <c r="AF55" s="10124"/>
      <c r="AG55" s="461"/>
    </row>
    <row r="56" spans="1:55" ht="11.25" customHeight="1">
      <c r="A56" s="461"/>
      <c r="B56" s="10109"/>
      <c r="C56" s="10112"/>
      <c r="D56" s="10112"/>
      <c r="E56" s="10112"/>
      <c r="F56" s="10112"/>
      <c r="G56" s="10112"/>
      <c r="H56" s="10112"/>
      <c r="I56" s="10112"/>
      <c r="J56" s="10112"/>
      <c r="K56" s="10112"/>
      <c r="L56" s="10112"/>
      <c r="M56" s="10112"/>
      <c r="N56" s="10112"/>
      <c r="O56" s="10112"/>
      <c r="P56" s="10112"/>
      <c r="Q56" s="10116"/>
      <c r="R56" s="10117"/>
      <c r="S56" s="10117"/>
      <c r="T56" s="10118"/>
      <c r="U56" s="10125"/>
      <c r="V56" s="10126"/>
      <c r="W56" s="10126"/>
      <c r="X56" s="10134"/>
      <c r="Y56" s="10129"/>
      <c r="Z56" s="10130"/>
      <c r="AA56" s="10116"/>
      <c r="AB56" s="10118"/>
      <c r="AC56" s="10125"/>
      <c r="AD56" s="10126"/>
      <c r="AE56" s="10126"/>
      <c r="AF56" s="10126"/>
      <c r="AG56" s="461"/>
    </row>
    <row r="57" spans="1:55" ht="11.25" customHeight="1">
      <c r="A57" s="461"/>
      <c r="B57" s="10109"/>
      <c r="C57" s="10112"/>
      <c r="D57" s="10112"/>
      <c r="E57" s="10112"/>
      <c r="F57" s="10112"/>
      <c r="G57" s="10112"/>
      <c r="H57" s="10112"/>
      <c r="I57" s="10112"/>
      <c r="J57" s="10112"/>
      <c r="K57" s="10112"/>
      <c r="L57" s="10112"/>
      <c r="M57" s="10112"/>
      <c r="N57" s="10112"/>
      <c r="O57" s="10112"/>
      <c r="P57" s="10112"/>
      <c r="Q57" s="10116"/>
      <c r="R57" s="10117"/>
      <c r="S57" s="10117"/>
      <c r="T57" s="10118"/>
      <c r="U57" s="10125"/>
      <c r="V57" s="10126"/>
      <c r="W57" s="10126"/>
      <c r="X57" s="10134"/>
      <c r="Y57" s="10129"/>
      <c r="Z57" s="10130"/>
      <c r="AA57" s="10116"/>
      <c r="AB57" s="10118"/>
      <c r="AC57" s="10125"/>
      <c r="AD57" s="10126"/>
      <c r="AE57" s="10126"/>
      <c r="AF57" s="10126"/>
      <c r="AG57" s="461"/>
    </row>
    <row r="58" spans="1:55" ht="11.25" customHeight="1">
      <c r="A58" s="461"/>
      <c r="B58" s="10109"/>
      <c r="C58" s="10112"/>
      <c r="D58" s="10112"/>
      <c r="E58" s="10112"/>
      <c r="F58" s="10112"/>
      <c r="G58" s="10112"/>
      <c r="H58" s="10112"/>
      <c r="I58" s="10112"/>
      <c r="J58" s="10112"/>
      <c r="K58" s="10112"/>
      <c r="L58" s="10112"/>
      <c r="M58" s="10112"/>
      <c r="N58" s="10112"/>
      <c r="O58" s="10112"/>
      <c r="P58" s="10112"/>
      <c r="Q58" s="10116"/>
      <c r="R58" s="10117"/>
      <c r="S58" s="10117"/>
      <c r="T58" s="10118"/>
      <c r="U58" s="10125"/>
      <c r="V58" s="10126"/>
      <c r="W58" s="10126"/>
      <c r="X58" s="10134"/>
      <c r="Y58" s="10129"/>
      <c r="Z58" s="10130"/>
      <c r="AA58" s="10116"/>
      <c r="AB58" s="10118"/>
      <c r="AC58" s="10125"/>
      <c r="AD58" s="10126"/>
      <c r="AE58" s="10126"/>
      <c r="AF58" s="10126"/>
      <c r="AG58" s="461"/>
    </row>
    <row r="59" spans="1:55" ht="9" customHeight="1">
      <c r="A59" s="461"/>
      <c r="B59" s="10109"/>
      <c r="C59" s="10112"/>
      <c r="D59" s="10112"/>
      <c r="E59" s="10112"/>
      <c r="F59" s="10112"/>
      <c r="G59" s="10112"/>
      <c r="H59" s="10112"/>
      <c r="I59" s="10112"/>
      <c r="J59" s="10112"/>
      <c r="K59" s="10112"/>
      <c r="L59" s="10112"/>
      <c r="M59" s="10112"/>
      <c r="N59" s="10112"/>
      <c r="O59" s="10112"/>
      <c r="P59" s="10112"/>
      <c r="Q59" s="10116"/>
      <c r="R59" s="10117"/>
      <c r="S59" s="10117"/>
      <c r="T59" s="10118"/>
      <c r="U59" s="10135"/>
      <c r="V59" s="10136"/>
      <c r="W59" s="10136"/>
      <c r="X59" s="10137"/>
      <c r="Y59" s="10131"/>
      <c r="Z59" s="10132"/>
      <c r="AA59" s="10119"/>
      <c r="AB59" s="10121"/>
      <c r="AC59" s="10125"/>
      <c r="AD59" s="10126"/>
      <c r="AE59" s="10126"/>
      <c r="AF59" s="10126"/>
      <c r="AG59" s="461"/>
    </row>
    <row r="60" spans="1:55" ht="25.5" customHeight="1" thickBot="1">
      <c r="A60" s="461"/>
      <c r="B60" s="10140" t="s">
        <v>5040</v>
      </c>
      <c r="C60" s="10141"/>
      <c r="D60" s="10141"/>
      <c r="E60" s="10141"/>
      <c r="F60" s="10141"/>
      <c r="G60" s="10141"/>
      <c r="H60" s="10141"/>
      <c r="I60" s="10141"/>
      <c r="J60" s="10141"/>
      <c r="K60" s="10141"/>
      <c r="L60" s="10141"/>
      <c r="M60" s="10141"/>
      <c r="N60" s="10141"/>
      <c r="O60" s="10141"/>
      <c r="P60" s="10141"/>
      <c r="Q60" s="10141"/>
      <c r="R60" s="10141"/>
      <c r="S60" s="10141"/>
      <c r="T60" s="10141"/>
      <c r="U60" s="10142"/>
      <c r="V60" s="10142"/>
      <c r="W60" s="10142"/>
      <c r="X60" s="10142"/>
      <c r="Y60" s="10141"/>
      <c r="Z60" s="10141"/>
      <c r="AA60" s="10141"/>
      <c r="AB60" s="10141"/>
      <c r="AC60" s="10141"/>
      <c r="AD60" s="10141"/>
      <c r="AE60" s="10141"/>
      <c r="AF60" s="10141"/>
      <c r="AG60" s="461"/>
      <c r="AJ60" s="676"/>
    </row>
    <row r="61" spans="1:55" ht="16.5" thickTop="1">
      <c r="A61" s="461"/>
      <c r="B61" s="3858" t="s">
        <v>979</v>
      </c>
      <c r="C61" s="22"/>
      <c r="D61" s="22"/>
      <c r="E61" s="22"/>
      <c r="F61" s="22"/>
      <c r="G61" s="22"/>
      <c r="H61" s="22"/>
      <c r="I61" s="22"/>
      <c r="J61" s="22"/>
      <c r="K61" s="22"/>
      <c r="L61" s="22"/>
      <c r="M61" s="22"/>
      <c r="N61" s="22"/>
      <c r="O61" s="22"/>
      <c r="P61" s="22"/>
      <c r="Q61" s="22"/>
      <c r="R61" s="22"/>
      <c r="S61" s="22"/>
      <c r="T61" s="22"/>
      <c r="U61" s="337" t="s">
        <v>5017</v>
      </c>
      <c r="V61" s="22"/>
      <c r="W61" s="22"/>
      <c r="X61" s="22"/>
      <c r="Y61" s="22"/>
      <c r="Z61" s="22"/>
      <c r="AA61" s="22"/>
      <c r="AB61" s="22"/>
      <c r="AC61" s="22"/>
      <c r="AD61" s="705" t="s">
        <v>5018</v>
      </c>
      <c r="AE61" s="22"/>
      <c r="AF61" s="2822" t="str">
        <f>"("&amp;TaxYear&amp;")"</f>
        <v>(2023)</v>
      </c>
      <c r="AG61" s="461"/>
    </row>
    <row r="62" spans="1:55" ht="15.75">
      <c r="A62" s="461"/>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5019</v>
      </c>
      <c r="W62" s="38"/>
      <c r="X62" s="38"/>
      <c r="Y62" s="38"/>
      <c r="Z62" s="38"/>
      <c r="AA62" s="38"/>
      <c r="AB62" s="38"/>
      <c r="AC62" s="38"/>
      <c r="AD62" s="38"/>
      <c r="AE62" s="38"/>
      <c r="AF62" s="747" t="s">
        <v>981</v>
      </c>
      <c r="AG62" s="461"/>
    </row>
    <row r="63" spans="1:55">
      <c r="A63" s="461"/>
      <c r="B63" s="29" t="s">
        <v>5020</v>
      </c>
      <c r="C63" s="22"/>
      <c r="D63" s="22"/>
      <c r="E63" s="22"/>
      <c r="F63" s="22"/>
      <c r="G63" s="22"/>
      <c r="H63" s="22"/>
      <c r="I63" s="22"/>
      <c r="J63" s="22"/>
      <c r="K63" s="22"/>
      <c r="L63" s="22"/>
      <c r="M63" s="22"/>
      <c r="N63" s="22"/>
      <c r="O63" s="22"/>
      <c r="P63" s="22"/>
      <c r="Q63" s="22"/>
      <c r="R63" s="22"/>
      <c r="S63" s="22"/>
      <c r="T63" s="22"/>
      <c r="U63" s="22"/>
      <c r="V63" s="852" t="s">
        <v>4976</v>
      </c>
      <c r="W63" s="22"/>
      <c r="X63" s="22"/>
      <c r="Y63" s="22"/>
      <c r="Z63" s="33"/>
      <c r="AA63" s="22"/>
      <c r="AB63" s="22"/>
      <c r="AC63" s="22"/>
      <c r="AD63" s="22"/>
      <c r="AE63" s="22"/>
      <c r="AF63" s="22"/>
      <c r="AG63" s="461"/>
    </row>
    <row r="64" spans="1:55" ht="16.5" thickBot="1">
      <c r="A64" s="461"/>
      <c r="B64" s="10160" t="str">
        <f>Names</f>
        <v/>
      </c>
      <c r="C64" s="10161"/>
      <c r="D64" s="10161"/>
      <c r="E64" s="10161"/>
      <c r="F64" s="10161"/>
      <c r="G64" s="10161"/>
      <c r="H64" s="10161"/>
      <c r="I64" s="10161"/>
      <c r="J64" s="10161"/>
      <c r="K64" s="10161"/>
      <c r="L64" s="10161"/>
      <c r="M64" s="10161"/>
      <c r="N64" s="10161"/>
      <c r="O64" s="10161"/>
      <c r="P64" s="10161"/>
      <c r="Q64" s="10161"/>
      <c r="R64" s="10161"/>
      <c r="S64" s="10161"/>
      <c r="T64" s="10161"/>
      <c r="U64" s="10162"/>
      <c r="V64" s="10163">
        <f>IF(NoSSN,"",SS_Yours)</f>
        <v>1010001</v>
      </c>
      <c r="W64" s="10164"/>
      <c r="X64" s="10164"/>
      <c r="Y64" s="10164"/>
      <c r="Z64" s="10164"/>
      <c r="AA64" s="10164"/>
      <c r="AB64" s="10164"/>
      <c r="AC64" s="10164"/>
      <c r="AD64" s="10164"/>
      <c r="AE64" s="10164"/>
      <c r="AF64" s="10164"/>
      <c r="AG64" s="461"/>
    </row>
    <row r="65" spans="1:55" ht="12.75" customHeight="1">
      <c r="A65" s="461"/>
      <c r="B65" s="10122" t="s">
        <v>5041</v>
      </c>
      <c r="C65" s="10123"/>
      <c r="D65" s="10123"/>
      <c r="E65" s="10123"/>
      <c r="F65" s="10123"/>
      <c r="G65" s="10123"/>
      <c r="H65" s="10123"/>
      <c r="I65" s="10123"/>
      <c r="J65" s="10123"/>
      <c r="K65" s="10123"/>
      <c r="L65" s="10123"/>
      <c r="M65" s="10123"/>
      <c r="N65" s="10123"/>
      <c r="O65" s="10123"/>
      <c r="P65" s="10123"/>
      <c r="Q65" s="10123"/>
      <c r="R65" s="10123"/>
      <c r="S65" s="10123"/>
      <c r="T65" s="10123"/>
      <c r="U65" s="10123"/>
      <c r="V65" s="10123"/>
      <c r="W65" s="10123"/>
      <c r="X65" s="10123"/>
      <c r="Y65" s="10123"/>
      <c r="Z65" s="10123"/>
      <c r="AA65" s="10123"/>
      <c r="AB65" s="10123"/>
      <c r="AC65" s="10123"/>
      <c r="AD65" s="10123"/>
      <c r="AE65" s="10123"/>
      <c r="AF65" s="10123"/>
      <c r="AG65" s="461"/>
    </row>
    <row r="66" spans="1:55" ht="12.75" customHeight="1">
      <c r="A66" s="461"/>
      <c r="B66" s="8117"/>
      <c r="C66" s="8117"/>
      <c r="D66" s="8117"/>
      <c r="E66" s="8117"/>
      <c r="F66" s="8117"/>
      <c r="G66" s="8117"/>
      <c r="H66" s="8117"/>
      <c r="I66" s="8117"/>
      <c r="J66" s="8117"/>
      <c r="K66" s="8117"/>
      <c r="L66" s="8117"/>
      <c r="M66" s="8117"/>
      <c r="N66" s="8117"/>
      <c r="O66" s="8117"/>
      <c r="P66" s="8117"/>
      <c r="Q66" s="8117"/>
      <c r="R66" s="8117"/>
      <c r="S66" s="8117"/>
      <c r="T66" s="8117"/>
      <c r="U66" s="8117"/>
      <c r="V66" s="8117"/>
      <c r="W66" s="8117"/>
      <c r="X66" s="8117"/>
      <c r="Y66" s="8117"/>
      <c r="Z66" s="8117"/>
      <c r="AA66" s="8117"/>
      <c r="AB66" s="8117"/>
      <c r="AC66" s="8117"/>
      <c r="AD66" s="8117"/>
      <c r="AE66" s="8117"/>
      <c r="AF66" s="8117"/>
      <c r="AG66" s="461"/>
    </row>
    <row r="67" spans="1:55" ht="12.75" customHeight="1">
      <c r="A67" s="461"/>
      <c r="B67" s="7956"/>
      <c r="C67" s="7956"/>
      <c r="D67" s="7956"/>
      <c r="E67" s="7956"/>
      <c r="F67" s="7956"/>
      <c r="G67" s="7956"/>
      <c r="H67" s="7956"/>
      <c r="I67" s="7956"/>
      <c r="J67" s="7956"/>
      <c r="K67" s="7956"/>
      <c r="L67" s="7956"/>
      <c r="M67" s="7956"/>
      <c r="N67" s="7956"/>
      <c r="O67" s="7956"/>
      <c r="P67" s="7956"/>
      <c r="Q67" s="7956"/>
      <c r="R67" s="7956"/>
      <c r="S67" s="7956"/>
      <c r="T67" s="7956"/>
      <c r="U67" s="7956"/>
      <c r="V67" s="7956"/>
      <c r="W67" s="7956"/>
      <c r="X67" s="7956"/>
      <c r="Y67" s="7956"/>
      <c r="Z67" s="7956"/>
      <c r="AA67" s="7956"/>
      <c r="AB67" s="7956"/>
      <c r="AC67" s="7956"/>
      <c r="AD67" s="7956"/>
      <c r="AE67" s="7956"/>
      <c r="AF67" s="7956"/>
      <c r="AG67" s="461"/>
    </row>
    <row r="68" spans="1:55" ht="3.75" customHeight="1">
      <c r="A68" s="461"/>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61"/>
    </row>
    <row r="69" spans="1:55" ht="15">
      <c r="A69" s="461"/>
      <c r="B69" s="10158" t="s">
        <v>982</v>
      </c>
      <c r="C69" s="10159"/>
      <c r="D69" s="22"/>
      <c r="E69" s="235" t="s">
        <v>5021</v>
      </c>
      <c r="F69" s="276"/>
      <c r="G69" s="276"/>
      <c r="H69" s="276"/>
      <c r="I69" s="276"/>
      <c r="J69" s="276"/>
      <c r="K69" s="276"/>
      <c r="L69" s="276"/>
      <c r="M69" s="276"/>
      <c r="N69" s="276"/>
      <c r="O69" s="276"/>
      <c r="P69" s="235"/>
      <c r="Q69" s="276"/>
      <c r="R69" s="276"/>
      <c r="S69" s="276"/>
      <c r="T69" s="276" t="s">
        <v>5022</v>
      </c>
      <c r="U69" s="276"/>
      <c r="V69" s="276"/>
      <c r="W69" s="276"/>
      <c r="X69" s="276"/>
      <c r="Y69" s="276" t="s">
        <v>5023</v>
      </c>
      <c r="Z69" s="276"/>
      <c r="AA69" s="276"/>
      <c r="AB69" s="276"/>
      <c r="AC69" s="276"/>
      <c r="AD69" s="276"/>
      <c r="AE69" s="276"/>
      <c r="AF69" s="276"/>
      <c r="AG69" s="461" t="b">
        <f>IF(SUM(AG88:AG115)&gt;0,TRUE,FALSE)</f>
        <v>0</v>
      </c>
    </row>
    <row r="70" spans="1:55" ht="11.25" customHeight="1">
      <c r="A70" s="461"/>
      <c r="B70" s="22"/>
      <c r="C70" s="22"/>
      <c r="D70" s="22"/>
      <c r="E70" s="276" t="s">
        <v>5024</v>
      </c>
      <c r="F70" s="276"/>
      <c r="G70" s="276"/>
      <c r="H70" s="276"/>
      <c r="I70" s="276"/>
      <c r="J70" s="276"/>
      <c r="K70" s="276"/>
      <c r="L70" s="276"/>
      <c r="M70" s="276"/>
      <c r="N70" s="276"/>
      <c r="O70" s="276"/>
      <c r="P70" s="276"/>
      <c r="Q70" s="276"/>
      <c r="R70" s="276"/>
      <c r="S70" s="276"/>
      <c r="T70" s="276"/>
      <c r="U70" s="276"/>
      <c r="V70" s="276"/>
      <c r="W70" s="276"/>
      <c r="X70" s="276"/>
      <c r="Y70" s="276"/>
      <c r="Z70" s="276"/>
      <c r="AA70" s="276"/>
      <c r="AB70" s="276"/>
      <c r="AC70" s="276"/>
      <c r="AD70" s="276"/>
      <c r="AE70" s="276"/>
      <c r="AF70" s="276"/>
      <c r="AG70" s="461"/>
    </row>
    <row r="71" spans="1:55" s="182" customFormat="1" ht="13.5" customHeight="1">
      <c r="A71" s="2094"/>
      <c r="B71" s="276"/>
      <c r="C71" s="276"/>
      <c r="D71" s="276"/>
      <c r="E71" s="2095" t="s">
        <v>5025</v>
      </c>
      <c r="F71" s="276"/>
      <c r="G71" s="276"/>
      <c r="H71" s="276"/>
      <c r="I71" s="276"/>
      <c r="J71" s="276"/>
      <c r="K71" s="276"/>
      <c r="L71" s="276"/>
      <c r="M71" s="276"/>
      <c r="N71" s="276"/>
      <c r="O71" s="276"/>
      <c r="P71" s="276"/>
      <c r="Q71" s="276"/>
      <c r="R71" s="276"/>
      <c r="S71" s="276"/>
      <c r="T71" s="276"/>
      <c r="U71" s="276"/>
      <c r="V71" s="276"/>
      <c r="W71" s="276"/>
      <c r="X71" s="276"/>
      <c r="Y71" s="276"/>
      <c r="Z71" s="276"/>
      <c r="AA71" s="276"/>
      <c r="AB71" s="276"/>
      <c r="AC71" s="276"/>
      <c r="AD71" s="276"/>
      <c r="AE71" s="276"/>
      <c r="AF71" s="276"/>
      <c r="AG71" s="2094"/>
      <c r="AH71" s="671"/>
      <c r="AI71" s="671"/>
    </row>
    <row r="72" spans="1:55" s="182" customFormat="1" ht="13.5" customHeight="1">
      <c r="A72" s="2094"/>
      <c r="B72" s="276"/>
      <c r="C72" s="276"/>
      <c r="D72" s="276"/>
      <c r="E72" s="276" t="s">
        <v>5026</v>
      </c>
      <c r="F72" s="276"/>
      <c r="G72" s="276"/>
      <c r="H72" s="276"/>
      <c r="I72" s="276"/>
      <c r="J72" s="276"/>
      <c r="K72" s="276"/>
      <c r="L72" s="276"/>
      <c r="M72" s="276"/>
      <c r="N72" s="276"/>
      <c r="O72" s="276"/>
      <c r="P72" s="276"/>
      <c r="Q72" s="276"/>
      <c r="R72" s="276"/>
      <c r="S72" s="276"/>
      <c r="T72" s="276"/>
      <c r="U72" s="276"/>
      <c r="V72" s="276"/>
      <c r="W72" s="276"/>
      <c r="X72" s="276"/>
      <c r="Y72" s="276"/>
      <c r="Z72" s="276"/>
      <c r="AA72" s="276"/>
      <c r="AB72" s="276"/>
      <c r="AC72" s="276"/>
      <c r="AD72" s="276"/>
      <c r="AE72" s="276"/>
      <c r="AF72" s="276"/>
      <c r="AG72" s="2094"/>
      <c r="AH72" s="671"/>
      <c r="AI72" s="671"/>
    </row>
    <row r="73" spans="1:55" s="182" customFormat="1" ht="13.5" customHeight="1">
      <c r="A73" s="2094"/>
      <c r="B73" s="2096"/>
      <c r="C73" s="2096"/>
      <c r="D73" s="2096"/>
      <c r="E73" s="2096" t="s">
        <v>5027</v>
      </c>
      <c r="F73" s="2096"/>
      <c r="G73" s="2096"/>
      <c r="H73" s="2096"/>
      <c r="I73" s="2096"/>
      <c r="J73" s="2096"/>
      <c r="K73" s="2096"/>
      <c r="L73" s="2096"/>
      <c r="M73" s="2096"/>
      <c r="N73" s="2096"/>
      <c r="O73" s="2096"/>
      <c r="P73" s="2096"/>
      <c r="Q73" s="2096"/>
      <c r="R73" s="2096"/>
      <c r="S73" s="2096"/>
      <c r="T73" s="2096"/>
      <c r="U73" s="2096"/>
      <c r="V73" s="2096"/>
      <c r="W73" s="2096"/>
      <c r="X73" s="2096"/>
      <c r="Y73" s="2096"/>
      <c r="Z73" s="2096"/>
      <c r="AA73" s="2096"/>
      <c r="AB73" s="2096"/>
      <c r="AC73" s="2096"/>
      <c r="AD73" s="2096"/>
      <c r="AE73" s="2096"/>
      <c r="AF73" s="2096"/>
      <c r="AG73" s="2094"/>
      <c r="AH73" s="671"/>
      <c r="AI73" s="671"/>
    </row>
    <row r="74" spans="1:55">
      <c r="A74" s="461"/>
      <c r="B74" s="194" t="s">
        <v>5028</v>
      </c>
      <c r="C74" s="51"/>
      <c r="D74" s="51"/>
      <c r="E74" s="51"/>
      <c r="F74" s="51"/>
      <c r="G74" s="51"/>
      <c r="H74" s="51"/>
      <c r="I74" s="51"/>
      <c r="J74" s="51"/>
      <c r="K74" s="194" t="s">
        <v>4986</v>
      </c>
      <c r="L74" s="51"/>
      <c r="M74" s="51"/>
      <c r="N74" s="51"/>
      <c r="O74" s="51"/>
      <c r="P74" s="61" t="s">
        <v>5029</v>
      </c>
      <c r="Q74" s="51"/>
      <c r="R74" s="51"/>
      <c r="S74" s="51"/>
      <c r="T74" s="51"/>
      <c r="U74" s="51"/>
      <c r="V74" s="51"/>
      <c r="W74" s="51"/>
      <c r="X74" s="51"/>
      <c r="Y74" s="51"/>
      <c r="Z74" s="51"/>
      <c r="AA74" s="51"/>
      <c r="AB74" s="51"/>
      <c r="AC74" s="51"/>
      <c r="AD74" s="51"/>
      <c r="AE74" s="51"/>
      <c r="AF74" s="51"/>
      <c r="AG74" s="461"/>
    </row>
    <row r="75" spans="1:55">
      <c r="A75" s="461"/>
      <c r="B75" s="61" t="s">
        <v>5030</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61"/>
      <c r="BA75" s="10194" t="s">
        <v>4989</v>
      </c>
      <c r="BB75" s="6435"/>
      <c r="BC75" s="7427"/>
    </row>
    <row r="76" spans="1:55">
      <c r="A76" s="461"/>
      <c r="B76" s="61" t="s">
        <v>5031</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61"/>
      <c r="BA76" s="10195" t="s">
        <v>4991</v>
      </c>
      <c r="BB76" s="10195" t="s">
        <v>4992</v>
      </c>
      <c r="BC76" s="10195" t="s">
        <v>4993</v>
      </c>
    </row>
    <row r="77" spans="1:55" ht="4.5" customHeight="1" thickBot="1">
      <c r="A77" s="46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61"/>
      <c r="BA77" s="10196"/>
      <c r="BB77" s="10196"/>
      <c r="BC77" s="10196"/>
    </row>
    <row r="78" spans="1:55" ht="12" customHeight="1" thickBot="1">
      <c r="A78" s="461"/>
      <c r="B78" s="874">
        <f>IF(C78&lt;&gt;"",1,0)</f>
        <v>0</v>
      </c>
      <c r="C78" s="873"/>
      <c r="D78" s="683" t="s">
        <v>5032</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61"/>
      <c r="AJ78" s="10200"/>
      <c r="AK78" s="10201"/>
      <c r="AL78" s="10201"/>
      <c r="AM78" s="10201"/>
      <c r="AN78" s="10201"/>
      <c r="AO78" s="10201"/>
      <c r="AP78" s="10201"/>
      <c r="AQ78" s="10201"/>
      <c r="BA78" s="10196"/>
      <c r="BB78" s="10196"/>
      <c r="BC78" s="10196"/>
    </row>
    <row r="79" spans="1:55" ht="4.5" customHeight="1" thickBot="1">
      <c r="A79" s="461"/>
      <c r="B79" s="5728"/>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61"/>
      <c r="BA79" s="10196"/>
      <c r="BB79" s="10196"/>
      <c r="BC79" s="10196"/>
    </row>
    <row r="80" spans="1:55" ht="11.25" customHeight="1" thickBot="1">
      <c r="A80" s="461"/>
      <c r="B80" s="874">
        <f>IF(C80&lt;&gt;"",1,0)</f>
        <v>0</v>
      </c>
      <c r="C80" s="873"/>
      <c r="D80" s="683" t="s">
        <v>5033</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61"/>
      <c r="AJ80" s="10200"/>
      <c r="AK80" s="10201"/>
      <c r="AL80" s="10201"/>
      <c r="AM80" s="10201"/>
      <c r="AN80" s="10201"/>
      <c r="AO80" s="10201"/>
      <c r="AP80" s="10201"/>
      <c r="AQ80" s="10201"/>
      <c r="BA80" s="10196"/>
      <c r="BB80" s="10196"/>
      <c r="BC80" s="10196"/>
    </row>
    <row r="81" spans="1:55" ht="4.5" customHeight="1" thickBot="1">
      <c r="A81" s="461"/>
      <c r="B81" s="5728"/>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61"/>
      <c r="BA81" s="10196"/>
      <c r="BB81" s="10196"/>
      <c r="BC81" s="10196"/>
    </row>
    <row r="82" spans="1:55" ht="12" customHeight="1" thickBot="1">
      <c r="A82" s="461">
        <f>SUM(B78:B82)</f>
        <v>0</v>
      </c>
      <c r="B82" s="874">
        <f>IF(C82&lt;&gt;"",1,0)</f>
        <v>0</v>
      </c>
      <c r="C82" s="873"/>
      <c r="D82" s="683" t="s">
        <v>5034</v>
      </c>
      <c r="E82" s="51"/>
      <c r="F82" s="51"/>
      <c r="G82" s="51"/>
      <c r="H82" s="51"/>
      <c r="I82" s="51"/>
      <c r="J82" s="51"/>
      <c r="K82" s="51"/>
      <c r="L82" s="51"/>
      <c r="M82" s="51"/>
      <c r="N82" s="51"/>
      <c r="O82" s="51"/>
      <c r="P82" s="51"/>
      <c r="Q82" s="51"/>
      <c r="R82" s="10185" t="str">
        <f>IF(SpaceUsed_8949D_LT,"ERROR: DO NOT use the space bar to uncheck a box. Use the 'Delete' key.",IF(A82&gt;1,"Check only ONE box.",IF(OR(NoColor,A82&gt;0),"",IF(A82&lt;1,"Check ONE box.",""))))</f>
        <v>Check ONE box.</v>
      </c>
      <c r="S82" s="10186"/>
      <c r="T82" s="10186"/>
      <c r="U82" s="10186"/>
      <c r="V82" s="10186"/>
      <c r="W82" s="10186"/>
      <c r="X82" s="10186"/>
      <c r="Y82" s="10186"/>
      <c r="Z82" s="10186"/>
      <c r="AA82" s="10186"/>
      <c r="AB82" s="10186"/>
      <c r="AC82" s="10186"/>
      <c r="AD82" s="10186"/>
      <c r="AE82" s="10186"/>
      <c r="AF82" s="51"/>
      <c r="AG82" s="461"/>
      <c r="AH82" s="1028" t="b">
        <f>IF(OR(F8949DLBOXA=CHAR(32),F8949DLBOXB=CHAR(32),F8949DLBOXC=CHAR(32)),TRUE,FALSE)</f>
        <v>0</v>
      </c>
      <c r="AJ82" s="10200" t="s">
        <v>4997</v>
      </c>
      <c r="AK82" s="10201"/>
      <c r="AL82" s="10201"/>
      <c r="AM82" s="10201"/>
      <c r="AN82" s="10201"/>
      <c r="AO82" s="10201"/>
      <c r="AP82" s="10201"/>
      <c r="AQ82" s="10201"/>
      <c r="BA82" s="10196"/>
      <c r="BB82" s="10196"/>
      <c r="BC82" s="10196"/>
    </row>
    <row r="83" spans="1:55" ht="3.75" customHeight="1">
      <c r="A83" s="461"/>
      <c r="B83" s="195"/>
      <c r="C83" s="746"/>
      <c r="D83" s="195"/>
      <c r="E83" s="195"/>
      <c r="F83" s="195"/>
      <c r="G83" s="195"/>
      <c r="H83" s="195"/>
      <c r="I83" s="195"/>
      <c r="J83" s="195"/>
      <c r="K83" s="195"/>
      <c r="L83" s="195"/>
      <c r="M83" s="195"/>
      <c r="N83" s="746"/>
      <c r="O83" s="195"/>
      <c r="P83" s="195"/>
      <c r="Q83" s="195"/>
      <c r="R83" s="195"/>
      <c r="S83" s="195"/>
      <c r="T83" s="195"/>
      <c r="U83" s="195"/>
      <c r="V83" s="195"/>
      <c r="W83" s="195"/>
      <c r="X83" s="195"/>
      <c r="Y83" s="746"/>
      <c r="Z83" s="195"/>
      <c r="AA83" s="195"/>
      <c r="AB83" s="195"/>
      <c r="AC83" s="195"/>
      <c r="AD83" s="195"/>
      <c r="AE83" s="195"/>
      <c r="AF83" s="195"/>
      <c r="AG83" s="461"/>
      <c r="BA83" s="10196"/>
      <c r="BB83" s="10196"/>
      <c r="BC83" s="10196"/>
    </row>
    <row r="84" spans="1:55" ht="21" customHeight="1">
      <c r="A84" s="461"/>
      <c r="B84" s="10143">
        <v>1</v>
      </c>
      <c r="C84" s="10147" t="s">
        <v>4998</v>
      </c>
      <c r="D84" s="10148"/>
      <c r="E84" s="10148"/>
      <c r="F84" s="10148"/>
      <c r="G84" s="10148"/>
      <c r="H84" s="10148"/>
      <c r="I84" s="10149"/>
      <c r="J84" s="10155" t="s">
        <v>5035</v>
      </c>
      <c r="K84" s="7417"/>
      <c r="L84" s="7278"/>
      <c r="M84" s="10155" t="s">
        <v>5000</v>
      </c>
      <c r="N84" s="7417"/>
      <c r="O84" s="7417"/>
      <c r="P84" s="7278"/>
      <c r="Q84" s="10155" t="s">
        <v>5001</v>
      </c>
      <c r="R84" s="7417"/>
      <c r="S84" s="7417"/>
      <c r="T84" s="7278"/>
      <c r="U84" s="10092" t="s">
        <v>5002</v>
      </c>
      <c r="V84" s="10093"/>
      <c r="W84" s="10093"/>
      <c r="X84" s="10094"/>
      <c r="Y84" s="10102" t="s">
        <v>5003</v>
      </c>
      <c r="Z84" s="10103"/>
      <c r="AA84" s="10103"/>
      <c r="AB84" s="10104"/>
      <c r="AC84" s="10092" t="s">
        <v>5004</v>
      </c>
      <c r="AD84" s="10093"/>
      <c r="AE84" s="10093"/>
      <c r="AF84" s="10093"/>
      <c r="AG84" s="461"/>
      <c r="AJ84" s="10202" t="s">
        <v>5005</v>
      </c>
      <c r="AK84" s="10202" t="s">
        <v>5006</v>
      </c>
      <c r="AL84" s="10202" t="s">
        <v>5007</v>
      </c>
      <c r="AM84" s="10202" t="s">
        <v>5008</v>
      </c>
      <c r="AN84" s="10204" t="s">
        <v>5009</v>
      </c>
      <c r="AO84" s="10199" t="s">
        <v>5010</v>
      </c>
      <c r="AP84" s="7302"/>
      <c r="AQ84" s="10202" t="s">
        <v>5036</v>
      </c>
      <c r="BA84" s="10196"/>
      <c r="BB84" s="10196"/>
      <c r="BC84" s="10196"/>
    </row>
    <row r="85" spans="1:55" ht="21" customHeight="1">
      <c r="A85" s="461"/>
      <c r="B85" s="10144"/>
      <c r="C85" s="10150"/>
      <c r="D85" s="10151"/>
      <c r="E85" s="10151"/>
      <c r="F85" s="10151"/>
      <c r="G85" s="10151"/>
      <c r="H85" s="10151"/>
      <c r="I85" s="10152"/>
      <c r="J85" s="10156"/>
      <c r="K85" s="8454"/>
      <c r="L85" s="7280"/>
      <c r="M85" s="10156"/>
      <c r="N85" s="8454"/>
      <c r="O85" s="8454"/>
      <c r="P85" s="7280"/>
      <c r="Q85" s="10156"/>
      <c r="R85" s="8454"/>
      <c r="S85" s="8454"/>
      <c r="T85" s="7280"/>
      <c r="U85" s="10095"/>
      <c r="V85" s="10096"/>
      <c r="W85" s="10096"/>
      <c r="X85" s="10097"/>
      <c r="Y85" s="10105"/>
      <c r="Z85" s="10106"/>
      <c r="AA85" s="10106"/>
      <c r="AB85" s="10107"/>
      <c r="AC85" s="10095"/>
      <c r="AD85" s="10096"/>
      <c r="AE85" s="10096"/>
      <c r="AF85" s="10096"/>
      <c r="AG85" s="461"/>
      <c r="AJ85" s="10202"/>
      <c r="AK85" s="10202"/>
      <c r="AL85" s="10202"/>
      <c r="AM85" s="10202"/>
      <c r="AN85" s="10204"/>
      <c r="AO85" s="7414"/>
      <c r="AP85" s="7308"/>
      <c r="AQ85" s="10202"/>
      <c r="BA85" s="10196"/>
      <c r="BB85" s="10196"/>
      <c r="BC85" s="10196"/>
    </row>
    <row r="86" spans="1:55" ht="18" customHeight="1">
      <c r="A86" s="461"/>
      <c r="B86" s="10145"/>
      <c r="C86" s="10151"/>
      <c r="D86" s="10151"/>
      <c r="E86" s="10151"/>
      <c r="F86" s="10151"/>
      <c r="G86" s="10151"/>
      <c r="H86" s="10151"/>
      <c r="I86" s="10152"/>
      <c r="J86" s="7279"/>
      <c r="K86" s="8454"/>
      <c r="L86" s="7280"/>
      <c r="M86" s="7279"/>
      <c r="N86" s="8454"/>
      <c r="O86" s="8454"/>
      <c r="P86" s="7280"/>
      <c r="Q86" s="7279"/>
      <c r="R86" s="8454"/>
      <c r="S86" s="8454"/>
      <c r="T86" s="7280"/>
      <c r="U86" s="10098"/>
      <c r="V86" s="10096"/>
      <c r="W86" s="10096"/>
      <c r="X86" s="10097"/>
      <c r="Y86" s="7396" t="s">
        <v>5012</v>
      </c>
      <c r="Z86" s="7278"/>
      <c r="AA86" s="7396" t="s">
        <v>5013</v>
      </c>
      <c r="AB86" s="7451"/>
      <c r="AC86" s="10098"/>
      <c r="AD86" s="10096"/>
      <c r="AE86" s="10096"/>
      <c r="AF86" s="10096"/>
      <c r="AG86" s="461"/>
      <c r="AJ86" s="10203"/>
      <c r="AK86" s="10203"/>
      <c r="AL86" s="10203"/>
      <c r="AM86" s="10203"/>
      <c r="AN86" s="10205"/>
      <c r="AO86" s="10197" t="s">
        <v>5014</v>
      </c>
      <c r="AP86" s="7577" t="s">
        <v>5013</v>
      </c>
      <c r="AQ86" s="10203"/>
      <c r="BA86" s="10196"/>
      <c r="BB86" s="10196"/>
      <c r="BC86" s="10196"/>
    </row>
    <row r="87" spans="1:55" ht="18" customHeight="1">
      <c r="A87" s="461"/>
      <c r="B87" s="10146"/>
      <c r="C87" s="10153"/>
      <c r="D87" s="10153"/>
      <c r="E87" s="10153"/>
      <c r="F87" s="10153"/>
      <c r="G87" s="10153"/>
      <c r="H87" s="10153"/>
      <c r="I87" s="10154"/>
      <c r="J87" s="7281"/>
      <c r="K87" s="10157"/>
      <c r="L87" s="7282"/>
      <c r="M87" s="7281"/>
      <c r="N87" s="10157"/>
      <c r="O87" s="10157"/>
      <c r="P87" s="7282"/>
      <c r="Q87" s="7281"/>
      <c r="R87" s="10157"/>
      <c r="S87" s="10157"/>
      <c r="T87" s="7282"/>
      <c r="U87" s="10099"/>
      <c r="V87" s="10100"/>
      <c r="W87" s="10100"/>
      <c r="X87" s="10101"/>
      <c r="Y87" s="7281"/>
      <c r="Z87" s="7282"/>
      <c r="AA87" s="6734"/>
      <c r="AB87" s="7453"/>
      <c r="AC87" s="10099"/>
      <c r="AD87" s="10100"/>
      <c r="AE87" s="10100"/>
      <c r="AF87" s="10100"/>
      <c r="AG87" s="461"/>
      <c r="AJ87" s="10203"/>
      <c r="AK87" s="10203"/>
      <c r="AL87" s="10203"/>
      <c r="AM87" s="10203"/>
      <c r="AN87" s="10205"/>
      <c r="AO87" s="10198"/>
      <c r="AP87" s="10198"/>
      <c r="AQ87" s="10203"/>
      <c r="BA87" s="10196"/>
      <c r="BB87" s="10196"/>
      <c r="BC87" s="10196"/>
    </row>
    <row r="88" spans="1:55" ht="19.5" customHeight="1">
      <c r="A88" s="461">
        <f>IF(OR(U88&lt;&gt;"",Y88&lt;&gt;"",AC88&lt;&gt;""),1,0)</f>
        <v>0</v>
      </c>
      <c r="B88" s="10085" t="str">
        <f t="shared" ref="B88:B115" si="20">IF(AJ88="","",AJ88)</f>
        <v/>
      </c>
      <c r="C88" s="9649"/>
      <c r="D88" s="9649"/>
      <c r="E88" s="9649"/>
      <c r="F88" s="9649"/>
      <c r="G88" s="9649"/>
      <c r="H88" s="9649"/>
      <c r="I88" s="9667"/>
      <c r="J88" s="10086" t="str">
        <f t="shared" ref="J88:J115" si="21">IF(AK88="","",AK88)</f>
        <v/>
      </c>
      <c r="K88" s="10087"/>
      <c r="L88" s="10087"/>
      <c r="M88" s="10086" t="str">
        <f t="shared" ref="M88:M115" si="22">IF(AL88="","",AL88)</f>
        <v/>
      </c>
      <c r="N88" s="10087"/>
      <c r="O88" s="10087"/>
      <c r="P88" s="10088"/>
      <c r="Q88" s="7143" t="str">
        <f t="shared" ref="Q88:Q115" si="23">IF(AM88="","",AM88)</f>
        <v/>
      </c>
      <c r="R88" s="10090"/>
      <c r="S88" s="10090"/>
      <c r="T88" s="10091"/>
      <c r="U88" s="7143" t="str">
        <f t="shared" ref="U88:U115" si="24">IF(AN88="","",AN88)</f>
        <v/>
      </c>
      <c r="V88" s="10090"/>
      <c r="W88" s="10090"/>
      <c r="X88" s="10091"/>
      <c r="Y88" s="10089" t="str">
        <f>IF(AO88&lt;&gt;"",AO88,"")</f>
        <v/>
      </c>
      <c r="Z88" s="6563"/>
      <c r="AA88" s="10089" t="str">
        <f>IF(AP88="","",AP88)</f>
        <v/>
      </c>
      <c r="AB88" s="6563"/>
      <c r="AC88" s="10138" t="str">
        <f>IF(AQ88&lt;&gt;"",AQ88,IF(AND(Q88="",U88=""),"",IF(AND(Q88&lt;&gt;"",U88=""),SUM(Q88,AA88),SUM(Q88,-U88,AA88))))</f>
        <v/>
      </c>
      <c r="AD88" s="10139"/>
      <c r="AE88" s="10139"/>
      <c r="AF88" s="10139"/>
      <c r="AG88" s="911">
        <f>IF(OR(J88="",M88=""),0,IF(OR(BA88,BB88,BC88),1,0))</f>
        <v>0</v>
      </c>
      <c r="AH88" s="5727"/>
      <c r="AI88" s="5727" t="e">
        <f>M88-J88</f>
        <v>#VALUE!</v>
      </c>
      <c r="AJ88" s="853"/>
      <c r="AK88" s="857"/>
      <c r="AL88" s="857"/>
      <c r="AM88" s="855"/>
      <c r="AN88" s="855"/>
      <c r="AO88" s="856"/>
      <c r="AP88" s="855"/>
      <c r="AQ88" s="854"/>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61">
        <f t="shared" ref="A89:A115" si="25">IF(OR(U89&lt;&gt;"",Y89&lt;&gt;"",AC89&lt;&gt;""),1,0)</f>
        <v>0</v>
      </c>
      <c r="B89" s="10085" t="str">
        <f t="shared" si="20"/>
        <v/>
      </c>
      <c r="C89" s="9649"/>
      <c r="D89" s="9649"/>
      <c r="E89" s="9649"/>
      <c r="F89" s="9649"/>
      <c r="G89" s="9649"/>
      <c r="H89" s="9649"/>
      <c r="I89" s="9667"/>
      <c r="J89" s="10086" t="str">
        <f t="shared" si="21"/>
        <v/>
      </c>
      <c r="K89" s="10087"/>
      <c r="L89" s="10087"/>
      <c r="M89" s="10086" t="str">
        <f t="shared" si="22"/>
        <v/>
      </c>
      <c r="N89" s="10087"/>
      <c r="O89" s="10087"/>
      <c r="P89" s="10088"/>
      <c r="Q89" s="7143" t="str">
        <f t="shared" si="23"/>
        <v/>
      </c>
      <c r="R89" s="10090"/>
      <c r="S89" s="10090"/>
      <c r="T89" s="10091"/>
      <c r="U89" s="7143" t="str">
        <f t="shared" si="24"/>
        <v/>
      </c>
      <c r="V89" s="10090"/>
      <c r="W89" s="10090"/>
      <c r="X89" s="10091"/>
      <c r="Y89" s="10089" t="str">
        <f t="shared" ref="Y89:Y115" si="26">IF(AO89&lt;&gt;"",AO89,"")</f>
        <v/>
      </c>
      <c r="Z89" s="6563"/>
      <c r="AA89" s="10089" t="str">
        <f t="shared" ref="AA89:AA115" si="27">IF(AP89="","",AP89)</f>
        <v/>
      </c>
      <c r="AB89" s="6563"/>
      <c r="AC89" s="10138" t="str">
        <f t="shared" ref="AC89:AC115" si="28">IF(AQ89&lt;&gt;"",AQ89,IF(AND(Q89="",U89=""),"",IF(AND(Q89&lt;&gt;"",U89=""),SUM(Q89,AA89),SUM(Q89,-U89,AA89))))</f>
        <v/>
      </c>
      <c r="AD89" s="10139"/>
      <c r="AE89" s="10139"/>
      <c r="AF89" s="10139"/>
      <c r="AG89" s="911">
        <f t="shared" ref="AG89:AG115" si="29">IF(OR(J89="",M89=""),0,IF(OR(BA89,BB89,BC89),1,0))</f>
        <v>0</v>
      </c>
      <c r="AH89" s="5727"/>
      <c r="AI89" s="5727" t="e">
        <f t="shared" ref="AI89:AI115" si="30">M89-J89</f>
        <v>#VALUE!</v>
      </c>
      <c r="AJ89" s="853"/>
      <c r="AK89" s="857"/>
      <c r="AL89" s="857"/>
      <c r="AM89" s="855"/>
      <c r="AN89" s="855"/>
      <c r="AO89" s="856"/>
      <c r="AP89" s="855"/>
      <c r="AQ89" s="854"/>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61">
        <f t="shared" si="25"/>
        <v>0</v>
      </c>
      <c r="B90" s="10085" t="str">
        <f t="shared" si="20"/>
        <v/>
      </c>
      <c r="C90" s="9649"/>
      <c r="D90" s="9649"/>
      <c r="E90" s="9649"/>
      <c r="F90" s="9649"/>
      <c r="G90" s="9649"/>
      <c r="H90" s="9649"/>
      <c r="I90" s="9667"/>
      <c r="J90" s="10086" t="str">
        <f t="shared" si="21"/>
        <v/>
      </c>
      <c r="K90" s="10087"/>
      <c r="L90" s="10087"/>
      <c r="M90" s="10086" t="str">
        <f t="shared" si="22"/>
        <v/>
      </c>
      <c r="N90" s="10087"/>
      <c r="O90" s="10087"/>
      <c r="P90" s="10088"/>
      <c r="Q90" s="7143" t="str">
        <f t="shared" si="23"/>
        <v/>
      </c>
      <c r="R90" s="10090"/>
      <c r="S90" s="10090"/>
      <c r="T90" s="10091"/>
      <c r="U90" s="7143" t="str">
        <f t="shared" si="24"/>
        <v/>
      </c>
      <c r="V90" s="10090"/>
      <c r="W90" s="10090"/>
      <c r="X90" s="10091"/>
      <c r="Y90" s="10089" t="str">
        <f t="shared" si="26"/>
        <v/>
      </c>
      <c r="Z90" s="6563"/>
      <c r="AA90" s="10089" t="str">
        <f t="shared" si="27"/>
        <v/>
      </c>
      <c r="AB90" s="6563"/>
      <c r="AC90" s="10138" t="str">
        <f t="shared" si="28"/>
        <v/>
      </c>
      <c r="AD90" s="10139"/>
      <c r="AE90" s="10139"/>
      <c r="AF90" s="10139"/>
      <c r="AG90" s="911">
        <f t="shared" si="29"/>
        <v>0</v>
      </c>
      <c r="AH90" s="5727"/>
      <c r="AI90" s="5727" t="e">
        <f t="shared" si="30"/>
        <v>#VALUE!</v>
      </c>
      <c r="AJ90" s="853"/>
      <c r="AK90" s="857"/>
      <c r="AL90" s="857"/>
      <c r="AM90" s="855"/>
      <c r="AN90" s="855"/>
      <c r="AO90" s="856"/>
      <c r="AP90" s="855"/>
      <c r="AQ90" s="854"/>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61">
        <f t="shared" si="25"/>
        <v>0</v>
      </c>
      <c r="B91" s="10085" t="str">
        <f t="shared" si="20"/>
        <v/>
      </c>
      <c r="C91" s="9649"/>
      <c r="D91" s="9649"/>
      <c r="E91" s="9649"/>
      <c r="F91" s="9649"/>
      <c r="G91" s="9649"/>
      <c r="H91" s="9649"/>
      <c r="I91" s="9667"/>
      <c r="J91" s="10086" t="str">
        <f t="shared" si="21"/>
        <v/>
      </c>
      <c r="K91" s="10087"/>
      <c r="L91" s="10087"/>
      <c r="M91" s="10086" t="str">
        <f t="shared" si="22"/>
        <v/>
      </c>
      <c r="N91" s="10087"/>
      <c r="O91" s="10087"/>
      <c r="P91" s="10088"/>
      <c r="Q91" s="7143" t="str">
        <f t="shared" si="23"/>
        <v/>
      </c>
      <c r="R91" s="10090"/>
      <c r="S91" s="10090"/>
      <c r="T91" s="10091"/>
      <c r="U91" s="7143" t="str">
        <f t="shared" si="24"/>
        <v/>
      </c>
      <c r="V91" s="10090"/>
      <c r="W91" s="10090"/>
      <c r="X91" s="10091"/>
      <c r="Y91" s="10089" t="str">
        <f t="shared" si="26"/>
        <v/>
      </c>
      <c r="Z91" s="6563"/>
      <c r="AA91" s="10089" t="str">
        <f t="shared" si="27"/>
        <v/>
      </c>
      <c r="AB91" s="6563"/>
      <c r="AC91" s="10138" t="str">
        <f t="shared" si="28"/>
        <v/>
      </c>
      <c r="AD91" s="10139"/>
      <c r="AE91" s="10139"/>
      <c r="AF91" s="10139"/>
      <c r="AG91" s="911">
        <f t="shared" si="29"/>
        <v>0</v>
      </c>
      <c r="AH91" s="5727"/>
      <c r="AI91" s="5727" t="e">
        <f t="shared" si="30"/>
        <v>#VALUE!</v>
      </c>
      <c r="AJ91" s="853"/>
      <c r="AK91" s="857"/>
      <c r="AL91" s="857"/>
      <c r="AM91" s="855"/>
      <c r="AN91" s="855"/>
      <c r="AO91" s="856"/>
      <c r="AP91" s="855"/>
      <c r="AQ91" s="854"/>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61">
        <f t="shared" si="25"/>
        <v>0</v>
      </c>
      <c r="B92" s="10085" t="str">
        <f t="shared" si="20"/>
        <v/>
      </c>
      <c r="C92" s="9649"/>
      <c r="D92" s="9649"/>
      <c r="E92" s="9649"/>
      <c r="F92" s="9649"/>
      <c r="G92" s="9649"/>
      <c r="H92" s="9649"/>
      <c r="I92" s="9667"/>
      <c r="J92" s="10086" t="str">
        <f t="shared" si="21"/>
        <v/>
      </c>
      <c r="K92" s="10087"/>
      <c r="L92" s="10087"/>
      <c r="M92" s="10086" t="str">
        <f t="shared" si="22"/>
        <v/>
      </c>
      <c r="N92" s="10087"/>
      <c r="O92" s="10087"/>
      <c r="P92" s="10088"/>
      <c r="Q92" s="7143" t="str">
        <f t="shared" si="23"/>
        <v/>
      </c>
      <c r="R92" s="10090"/>
      <c r="S92" s="10090"/>
      <c r="T92" s="10091"/>
      <c r="U92" s="7143" t="str">
        <f t="shared" si="24"/>
        <v/>
      </c>
      <c r="V92" s="10090"/>
      <c r="W92" s="10090"/>
      <c r="X92" s="10091"/>
      <c r="Y92" s="10089" t="str">
        <f t="shared" si="26"/>
        <v/>
      </c>
      <c r="Z92" s="6563"/>
      <c r="AA92" s="10089" t="str">
        <f t="shared" si="27"/>
        <v/>
      </c>
      <c r="AB92" s="6563"/>
      <c r="AC92" s="10138" t="str">
        <f t="shared" si="28"/>
        <v/>
      </c>
      <c r="AD92" s="10139"/>
      <c r="AE92" s="10139"/>
      <c r="AF92" s="10139"/>
      <c r="AG92" s="911">
        <f t="shared" si="29"/>
        <v>0</v>
      </c>
      <c r="AH92" s="5727"/>
      <c r="AI92" s="5727" t="e">
        <f t="shared" si="30"/>
        <v>#VALUE!</v>
      </c>
      <c r="AJ92" s="853"/>
      <c r="AK92" s="857"/>
      <c r="AL92" s="857"/>
      <c r="AM92" s="855"/>
      <c r="AN92" s="855"/>
      <c r="AO92" s="856"/>
      <c r="AP92" s="855"/>
      <c r="AQ92" s="854"/>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61">
        <f t="shared" si="25"/>
        <v>0</v>
      </c>
      <c r="B93" s="10085" t="str">
        <f t="shared" si="20"/>
        <v/>
      </c>
      <c r="C93" s="9649"/>
      <c r="D93" s="9649"/>
      <c r="E93" s="9649"/>
      <c r="F93" s="9649"/>
      <c r="G93" s="9649"/>
      <c r="H93" s="9649"/>
      <c r="I93" s="9667"/>
      <c r="J93" s="10086" t="str">
        <f t="shared" si="21"/>
        <v/>
      </c>
      <c r="K93" s="10087"/>
      <c r="L93" s="10087"/>
      <c r="M93" s="10086" t="str">
        <f t="shared" si="22"/>
        <v/>
      </c>
      <c r="N93" s="10087"/>
      <c r="O93" s="10087"/>
      <c r="P93" s="10088"/>
      <c r="Q93" s="7143" t="str">
        <f t="shared" si="23"/>
        <v/>
      </c>
      <c r="R93" s="10090"/>
      <c r="S93" s="10090"/>
      <c r="T93" s="10091"/>
      <c r="U93" s="7143" t="str">
        <f t="shared" si="24"/>
        <v/>
      </c>
      <c r="V93" s="10090"/>
      <c r="W93" s="10090"/>
      <c r="X93" s="10091"/>
      <c r="Y93" s="10089" t="str">
        <f t="shared" si="26"/>
        <v/>
      </c>
      <c r="Z93" s="6563"/>
      <c r="AA93" s="10089" t="str">
        <f t="shared" si="27"/>
        <v/>
      </c>
      <c r="AB93" s="6563"/>
      <c r="AC93" s="10138" t="str">
        <f t="shared" si="28"/>
        <v/>
      </c>
      <c r="AD93" s="10139"/>
      <c r="AE93" s="10139"/>
      <c r="AF93" s="10139"/>
      <c r="AG93" s="911">
        <f t="shared" si="29"/>
        <v>0</v>
      </c>
      <c r="AH93" s="5727"/>
      <c r="AI93" s="5727" t="e">
        <f t="shared" si="30"/>
        <v>#VALUE!</v>
      </c>
      <c r="AJ93" s="853"/>
      <c r="AK93" s="857"/>
      <c r="AL93" s="857"/>
      <c r="AM93" s="855"/>
      <c r="AN93" s="855"/>
      <c r="AO93" s="856"/>
      <c r="AP93" s="855"/>
      <c r="AQ93" s="854"/>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61">
        <f t="shared" si="25"/>
        <v>0</v>
      </c>
      <c r="B94" s="10085" t="str">
        <f t="shared" si="20"/>
        <v/>
      </c>
      <c r="C94" s="9649"/>
      <c r="D94" s="9649"/>
      <c r="E94" s="9649"/>
      <c r="F94" s="9649"/>
      <c r="G94" s="9649"/>
      <c r="H94" s="9649"/>
      <c r="I94" s="9667"/>
      <c r="J94" s="10086" t="str">
        <f t="shared" si="21"/>
        <v/>
      </c>
      <c r="K94" s="10087"/>
      <c r="L94" s="10087"/>
      <c r="M94" s="10086" t="str">
        <f t="shared" si="22"/>
        <v/>
      </c>
      <c r="N94" s="10087"/>
      <c r="O94" s="10087"/>
      <c r="P94" s="10088"/>
      <c r="Q94" s="7143" t="str">
        <f t="shared" si="23"/>
        <v/>
      </c>
      <c r="R94" s="10090"/>
      <c r="S94" s="10090"/>
      <c r="T94" s="10091"/>
      <c r="U94" s="7143" t="str">
        <f t="shared" si="24"/>
        <v/>
      </c>
      <c r="V94" s="10090"/>
      <c r="W94" s="10090"/>
      <c r="X94" s="10091"/>
      <c r="Y94" s="10089" t="str">
        <f t="shared" si="26"/>
        <v/>
      </c>
      <c r="Z94" s="6563"/>
      <c r="AA94" s="10089" t="str">
        <f t="shared" si="27"/>
        <v/>
      </c>
      <c r="AB94" s="6563"/>
      <c r="AC94" s="10138" t="str">
        <f t="shared" si="28"/>
        <v/>
      </c>
      <c r="AD94" s="10139"/>
      <c r="AE94" s="10139"/>
      <c r="AF94" s="10139"/>
      <c r="AG94" s="911">
        <f t="shared" si="29"/>
        <v>0</v>
      </c>
      <c r="AH94" s="5727"/>
      <c r="AI94" s="5727" t="e">
        <f t="shared" si="30"/>
        <v>#VALUE!</v>
      </c>
      <c r="AJ94" s="853"/>
      <c r="AK94" s="857"/>
      <c r="AL94" s="857"/>
      <c r="AM94" s="855"/>
      <c r="AN94" s="855"/>
      <c r="AO94" s="856"/>
      <c r="AP94" s="855"/>
      <c r="AQ94" s="854"/>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61">
        <f t="shared" si="25"/>
        <v>0</v>
      </c>
      <c r="B95" s="10085" t="str">
        <f t="shared" si="20"/>
        <v/>
      </c>
      <c r="C95" s="9649"/>
      <c r="D95" s="9649"/>
      <c r="E95" s="9649"/>
      <c r="F95" s="9649"/>
      <c r="G95" s="9649"/>
      <c r="H95" s="9649"/>
      <c r="I95" s="9667"/>
      <c r="J95" s="10086" t="str">
        <f t="shared" si="21"/>
        <v/>
      </c>
      <c r="K95" s="10087"/>
      <c r="L95" s="10087"/>
      <c r="M95" s="10086" t="str">
        <f t="shared" si="22"/>
        <v/>
      </c>
      <c r="N95" s="10087"/>
      <c r="O95" s="10087"/>
      <c r="P95" s="10088"/>
      <c r="Q95" s="7143" t="str">
        <f t="shared" si="23"/>
        <v/>
      </c>
      <c r="R95" s="10090"/>
      <c r="S95" s="10090"/>
      <c r="T95" s="10091"/>
      <c r="U95" s="7143" t="str">
        <f t="shared" si="24"/>
        <v/>
      </c>
      <c r="V95" s="10090"/>
      <c r="W95" s="10090"/>
      <c r="X95" s="10091"/>
      <c r="Y95" s="10089" t="str">
        <f t="shared" si="26"/>
        <v/>
      </c>
      <c r="Z95" s="6563"/>
      <c r="AA95" s="10089" t="str">
        <f t="shared" si="27"/>
        <v/>
      </c>
      <c r="AB95" s="6563"/>
      <c r="AC95" s="10138" t="str">
        <f t="shared" si="28"/>
        <v/>
      </c>
      <c r="AD95" s="10139"/>
      <c r="AE95" s="10139"/>
      <c r="AF95" s="10139"/>
      <c r="AG95" s="911">
        <f t="shared" si="29"/>
        <v>0</v>
      </c>
      <c r="AH95" s="5727"/>
      <c r="AI95" s="5727" t="e">
        <f t="shared" si="30"/>
        <v>#VALUE!</v>
      </c>
      <c r="AJ95" s="853"/>
      <c r="AK95" s="857"/>
      <c r="AL95" s="857"/>
      <c r="AM95" s="855"/>
      <c r="AN95" s="855"/>
      <c r="AO95" s="856"/>
      <c r="AP95" s="855"/>
      <c r="AQ95" s="854"/>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61">
        <f t="shared" si="25"/>
        <v>0</v>
      </c>
      <c r="B96" s="10085" t="str">
        <f t="shared" si="20"/>
        <v/>
      </c>
      <c r="C96" s="9649"/>
      <c r="D96" s="9649"/>
      <c r="E96" s="9649"/>
      <c r="F96" s="9649"/>
      <c r="G96" s="9649"/>
      <c r="H96" s="9649"/>
      <c r="I96" s="9667"/>
      <c r="J96" s="10086" t="str">
        <f t="shared" si="21"/>
        <v/>
      </c>
      <c r="K96" s="10087"/>
      <c r="L96" s="10087"/>
      <c r="M96" s="10086" t="str">
        <f t="shared" si="22"/>
        <v/>
      </c>
      <c r="N96" s="10087"/>
      <c r="O96" s="10087"/>
      <c r="P96" s="10088"/>
      <c r="Q96" s="7143" t="str">
        <f t="shared" si="23"/>
        <v/>
      </c>
      <c r="R96" s="10090"/>
      <c r="S96" s="10090"/>
      <c r="T96" s="10091"/>
      <c r="U96" s="7143" t="str">
        <f t="shared" si="24"/>
        <v/>
      </c>
      <c r="V96" s="10090"/>
      <c r="W96" s="10090"/>
      <c r="X96" s="10091"/>
      <c r="Y96" s="10089" t="str">
        <f t="shared" si="26"/>
        <v/>
      </c>
      <c r="Z96" s="6563"/>
      <c r="AA96" s="10089" t="str">
        <f t="shared" si="27"/>
        <v/>
      </c>
      <c r="AB96" s="6563"/>
      <c r="AC96" s="10138" t="str">
        <f t="shared" si="28"/>
        <v/>
      </c>
      <c r="AD96" s="10139"/>
      <c r="AE96" s="10139"/>
      <c r="AF96" s="10139"/>
      <c r="AG96" s="911">
        <f t="shared" si="29"/>
        <v>0</v>
      </c>
      <c r="AH96" s="5727"/>
      <c r="AI96" s="5727" t="e">
        <f t="shared" si="30"/>
        <v>#VALUE!</v>
      </c>
      <c r="AJ96" s="853"/>
      <c r="AK96" s="857"/>
      <c r="AL96" s="857"/>
      <c r="AM96" s="855"/>
      <c r="AN96" s="855"/>
      <c r="AO96" s="856"/>
      <c r="AP96" s="855"/>
      <c r="AQ96" s="854"/>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61">
        <f t="shared" si="25"/>
        <v>0</v>
      </c>
      <c r="B97" s="10085" t="str">
        <f t="shared" si="20"/>
        <v/>
      </c>
      <c r="C97" s="9649"/>
      <c r="D97" s="9649"/>
      <c r="E97" s="9649"/>
      <c r="F97" s="9649"/>
      <c r="G97" s="9649"/>
      <c r="H97" s="9649"/>
      <c r="I97" s="9667"/>
      <c r="J97" s="10086" t="str">
        <f t="shared" si="21"/>
        <v/>
      </c>
      <c r="K97" s="10087"/>
      <c r="L97" s="10087"/>
      <c r="M97" s="10086" t="str">
        <f t="shared" si="22"/>
        <v/>
      </c>
      <c r="N97" s="10087"/>
      <c r="O97" s="10087"/>
      <c r="P97" s="10088"/>
      <c r="Q97" s="7143" t="str">
        <f t="shared" si="23"/>
        <v/>
      </c>
      <c r="R97" s="10090"/>
      <c r="S97" s="10090"/>
      <c r="T97" s="10091"/>
      <c r="U97" s="7143" t="str">
        <f t="shared" si="24"/>
        <v/>
      </c>
      <c r="V97" s="10090"/>
      <c r="W97" s="10090"/>
      <c r="X97" s="10091"/>
      <c r="Y97" s="10089" t="str">
        <f t="shared" si="26"/>
        <v/>
      </c>
      <c r="Z97" s="6563"/>
      <c r="AA97" s="10089" t="str">
        <f t="shared" si="27"/>
        <v/>
      </c>
      <c r="AB97" s="6563"/>
      <c r="AC97" s="10138" t="str">
        <f t="shared" si="28"/>
        <v/>
      </c>
      <c r="AD97" s="10139"/>
      <c r="AE97" s="10139"/>
      <c r="AF97" s="10139"/>
      <c r="AG97" s="911">
        <f t="shared" si="29"/>
        <v>0</v>
      </c>
      <c r="AH97" s="5727"/>
      <c r="AI97" s="5727" t="e">
        <f t="shared" si="30"/>
        <v>#VALUE!</v>
      </c>
      <c r="AJ97" s="853"/>
      <c r="AK97" s="857"/>
      <c r="AL97" s="857"/>
      <c r="AM97" s="855"/>
      <c r="AN97" s="855"/>
      <c r="AO97" s="856"/>
      <c r="AP97" s="855"/>
      <c r="AQ97" s="854"/>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61">
        <f t="shared" si="25"/>
        <v>0</v>
      </c>
      <c r="B98" s="10085" t="str">
        <f t="shared" si="20"/>
        <v/>
      </c>
      <c r="C98" s="9649"/>
      <c r="D98" s="9649"/>
      <c r="E98" s="9649"/>
      <c r="F98" s="9649"/>
      <c r="G98" s="9649"/>
      <c r="H98" s="9649"/>
      <c r="I98" s="9667"/>
      <c r="J98" s="10086" t="str">
        <f t="shared" si="21"/>
        <v/>
      </c>
      <c r="K98" s="10087"/>
      <c r="L98" s="10087"/>
      <c r="M98" s="10086" t="str">
        <f t="shared" si="22"/>
        <v/>
      </c>
      <c r="N98" s="10087"/>
      <c r="O98" s="10087"/>
      <c r="P98" s="10088"/>
      <c r="Q98" s="7143" t="str">
        <f t="shared" si="23"/>
        <v/>
      </c>
      <c r="R98" s="10090"/>
      <c r="S98" s="10090"/>
      <c r="T98" s="10091"/>
      <c r="U98" s="7143" t="str">
        <f t="shared" si="24"/>
        <v/>
      </c>
      <c r="V98" s="10090"/>
      <c r="W98" s="10090"/>
      <c r="X98" s="10091"/>
      <c r="Y98" s="10089" t="str">
        <f t="shared" si="26"/>
        <v/>
      </c>
      <c r="Z98" s="6563"/>
      <c r="AA98" s="10089" t="str">
        <f t="shared" si="27"/>
        <v/>
      </c>
      <c r="AB98" s="6563"/>
      <c r="AC98" s="10138" t="str">
        <f t="shared" si="28"/>
        <v/>
      </c>
      <c r="AD98" s="10139"/>
      <c r="AE98" s="10139"/>
      <c r="AF98" s="10139"/>
      <c r="AG98" s="911">
        <f t="shared" si="29"/>
        <v>0</v>
      </c>
      <c r="AH98" s="5727"/>
      <c r="AI98" s="5727" t="e">
        <f t="shared" si="30"/>
        <v>#VALUE!</v>
      </c>
      <c r="AJ98" s="853"/>
      <c r="AK98" s="857"/>
      <c r="AL98" s="857"/>
      <c r="AM98" s="855"/>
      <c r="AN98" s="855"/>
      <c r="AO98" s="856"/>
      <c r="AP98" s="855"/>
      <c r="AQ98" s="854"/>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61">
        <f t="shared" si="25"/>
        <v>0</v>
      </c>
      <c r="B99" s="10085" t="str">
        <f t="shared" si="20"/>
        <v/>
      </c>
      <c r="C99" s="9649"/>
      <c r="D99" s="9649"/>
      <c r="E99" s="9649"/>
      <c r="F99" s="9649"/>
      <c r="G99" s="9649"/>
      <c r="H99" s="9649"/>
      <c r="I99" s="9667"/>
      <c r="J99" s="10086" t="str">
        <f t="shared" si="21"/>
        <v/>
      </c>
      <c r="K99" s="10087"/>
      <c r="L99" s="10087"/>
      <c r="M99" s="10086" t="str">
        <f t="shared" si="22"/>
        <v/>
      </c>
      <c r="N99" s="10087"/>
      <c r="O99" s="10087"/>
      <c r="P99" s="10088"/>
      <c r="Q99" s="7143" t="str">
        <f t="shared" si="23"/>
        <v/>
      </c>
      <c r="R99" s="10090"/>
      <c r="S99" s="10090"/>
      <c r="T99" s="10091"/>
      <c r="U99" s="7143" t="str">
        <f t="shared" si="24"/>
        <v/>
      </c>
      <c r="V99" s="10090"/>
      <c r="W99" s="10090"/>
      <c r="X99" s="10091"/>
      <c r="Y99" s="10089" t="str">
        <f t="shared" si="26"/>
        <v/>
      </c>
      <c r="Z99" s="6563"/>
      <c r="AA99" s="10089" t="str">
        <f t="shared" si="27"/>
        <v/>
      </c>
      <c r="AB99" s="6563"/>
      <c r="AC99" s="10138" t="str">
        <f t="shared" si="28"/>
        <v/>
      </c>
      <c r="AD99" s="10139"/>
      <c r="AE99" s="10139"/>
      <c r="AF99" s="10139"/>
      <c r="AG99" s="911">
        <f t="shared" si="29"/>
        <v>0</v>
      </c>
      <c r="AH99" s="5727"/>
      <c r="AI99" s="5727" t="e">
        <f t="shared" si="30"/>
        <v>#VALUE!</v>
      </c>
      <c r="AJ99" s="853"/>
      <c r="AK99" s="857"/>
      <c r="AL99" s="857"/>
      <c r="AM99" s="855"/>
      <c r="AN99" s="855"/>
      <c r="AO99" s="856"/>
      <c r="AP99" s="855"/>
      <c r="AQ99" s="854"/>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61">
        <f t="shared" si="25"/>
        <v>0</v>
      </c>
      <c r="B100" s="10085" t="str">
        <f t="shared" si="20"/>
        <v/>
      </c>
      <c r="C100" s="9649"/>
      <c r="D100" s="9649"/>
      <c r="E100" s="9649"/>
      <c r="F100" s="9649"/>
      <c r="G100" s="9649"/>
      <c r="H100" s="9649"/>
      <c r="I100" s="9667"/>
      <c r="J100" s="10086" t="str">
        <f t="shared" si="21"/>
        <v/>
      </c>
      <c r="K100" s="10087"/>
      <c r="L100" s="10087"/>
      <c r="M100" s="10086" t="str">
        <f t="shared" si="22"/>
        <v/>
      </c>
      <c r="N100" s="10087"/>
      <c r="O100" s="10087"/>
      <c r="P100" s="10088"/>
      <c r="Q100" s="7143" t="str">
        <f t="shared" si="23"/>
        <v/>
      </c>
      <c r="R100" s="10090"/>
      <c r="S100" s="10090"/>
      <c r="T100" s="10091"/>
      <c r="U100" s="7143" t="str">
        <f t="shared" si="24"/>
        <v/>
      </c>
      <c r="V100" s="10090"/>
      <c r="W100" s="10090"/>
      <c r="X100" s="10091"/>
      <c r="Y100" s="10089" t="str">
        <f t="shared" si="26"/>
        <v/>
      </c>
      <c r="Z100" s="6563"/>
      <c r="AA100" s="10089" t="str">
        <f t="shared" si="27"/>
        <v/>
      </c>
      <c r="AB100" s="6563"/>
      <c r="AC100" s="10138" t="str">
        <f t="shared" si="28"/>
        <v/>
      </c>
      <c r="AD100" s="10139"/>
      <c r="AE100" s="10139"/>
      <c r="AF100" s="10139"/>
      <c r="AG100" s="911">
        <f t="shared" si="29"/>
        <v>0</v>
      </c>
      <c r="AH100" s="5727"/>
      <c r="AI100" s="5727" t="e">
        <f t="shared" si="30"/>
        <v>#VALUE!</v>
      </c>
      <c r="AJ100" s="853"/>
      <c r="AK100" s="857"/>
      <c r="AL100" s="857"/>
      <c r="AM100" s="855"/>
      <c r="AN100" s="855"/>
      <c r="AO100" s="856"/>
      <c r="AP100" s="855"/>
      <c r="AQ100" s="854"/>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61">
        <f t="shared" si="25"/>
        <v>0</v>
      </c>
      <c r="B101" s="10085" t="str">
        <f t="shared" si="20"/>
        <v/>
      </c>
      <c r="C101" s="9649"/>
      <c r="D101" s="9649"/>
      <c r="E101" s="9649"/>
      <c r="F101" s="9649"/>
      <c r="G101" s="9649"/>
      <c r="H101" s="9649"/>
      <c r="I101" s="9667"/>
      <c r="J101" s="10086" t="str">
        <f t="shared" si="21"/>
        <v/>
      </c>
      <c r="K101" s="10087"/>
      <c r="L101" s="10087"/>
      <c r="M101" s="10086" t="str">
        <f t="shared" si="22"/>
        <v/>
      </c>
      <c r="N101" s="10087"/>
      <c r="O101" s="10087"/>
      <c r="P101" s="10088"/>
      <c r="Q101" s="7143" t="str">
        <f t="shared" si="23"/>
        <v/>
      </c>
      <c r="R101" s="10090"/>
      <c r="S101" s="10090"/>
      <c r="T101" s="10091"/>
      <c r="U101" s="7143" t="str">
        <f t="shared" si="24"/>
        <v/>
      </c>
      <c r="V101" s="10090"/>
      <c r="W101" s="10090"/>
      <c r="X101" s="10091"/>
      <c r="Y101" s="10089" t="str">
        <f t="shared" si="26"/>
        <v/>
      </c>
      <c r="Z101" s="6563"/>
      <c r="AA101" s="10089" t="str">
        <f t="shared" si="27"/>
        <v/>
      </c>
      <c r="AB101" s="6563"/>
      <c r="AC101" s="10138" t="str">
        <f t="shared" si="28"/>
        <v/>
      </c>
      <c r="AD101" s="10139"/>
      <c r="AE101" s="10139"/>
      <c r="AF101" s="10139"/>
      <c r="AG101" s="911">
        <f t="shared" si="29"/>
        <v>0</v>
      </c>
      <c r="AH101" s="5727"/>
      <c r="AI101" s="5727" t="e">
        <f t="shared" si="30"/>
        <v>#VALUE!</v>
      </c>
      <c r="AJ101" s="853"/>
      <c r="AK101" s="857"/>
      <c r="AL101" s="857"/>
      <c r="AM101" s="855"/>
      <c r="AN101" s="855"/>
      <c r="AO101" s="856"/>
      <c r="AP101" s="855"/>
      <c r="AQ101" s="854"/>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61">
        <f t="shared" si="25"/>
        <v>0</v>
      </c>
      <c r="B102" s="10085" t="str">
        <f t="shared" si="20"/>
        <v/>
      </c>
      <c r="C102" s="9649"/>
      <c r="D102" s="9649"/>
      <c r="E102" s="9649"/>
      <c r="F102" s="9649"/>
      <c r="G102" s="9649"/>
      <c r="H102" s="9649"/>
      <c r="I102" s="9667"/>
      <c r="J102" s="10086" t="str">
        <f t="shared" si="21"/>
        <v/>
      </c>
      <c r="K102" s="10087"/>
      <c r="L102" s="10087"/>
      <c r="M102" s="10086" t="str">
        <f t="shared" si="22"/>
        <v/>
      </c>
      <c r="N102" s="10087"/>
      <c r="O102" s="10087"/>
      <c r="P102" s="10088"/>
      <c r="Q102" s="7143" t="str">
        <f t="shared" si="23"/>
        <v/>
      </c>
      <c r="R102" s="10090"/>
      <c r="S102" s="10090"/>
      <c r="T102" s="10091"/>
      <c r="U102" s="7143" t="str">
        <f t="shared" si="24"/>
        <v/>
      </c>
      <c r="V102" s="10090"/>
      <c r="W102" s="10090"/>
      <c r="X102" s="10091"/>
      <c r="Y102" s="10089" t="str">
        <f t="shared" si="26"/>
        <v/>
      </c>
      <c r="Z102" s="6563"/>
      <c r="AA102" s="10089" t="str">
        <f t="shared" si="27"/>
        <v/>
      </c>
      <c r="AB102" s="6563"/>
      <c r="AC102" s="10138" t="str">
        <f t="shared" si="28"/>
        <v/>
      </c>
      <c r="AD102" s="10139"/>
      <c r="AE102" s="10139"/>
      <c r="AF102" s="10139"/>
      <c r="AG102" s="911">
        <f t="shared" si="29"/>
        <v>0</v>
      </c>
      <c r="AH102" s="5727"/>
      <c r="AI102" s="5727" t="e">
        <f t="shared" si="30"/>
        <v>#VALUE!</v>
      </c>
      <c r="AJ102" s="853"/>
      <c r="AK102" s="857"/>
      <c r="AL102" s="857"/>
      <c r="AM102" s="855"/>
      <c r="AN102" s="855"/>
      <c r="AO102" s="856"/>
      <c r="AP102" s="855"/>
      <c r="AQ102" s="854"/>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61">
        <f t="shared" si="25"/>
        <v>0</v>
      </c>
      <c r="B103" s="10085" t="str">
        <f t="shared" si="20"/>
        <v/>
      </c>
      <c r="C103" s="9649"/>
      <c r="D103" s="9649"/>
      <c r="E103" s="9649"/>
      <c r="F103" s="9649"/>
      <c r="G103" s="9649"/>
      <c r="H103" s="9649"/>
      <c r="I103" s="9667"/>
      <c r="J103" s="10086" t="str">
        <f t="shared" si="21"/>
        <v/>
      </c>
      <c r="K103" s="10087"/>
      <c r="L103" s="10087"/>
      <c r="M103" s="10086" t="str">
        <f t="shared" si="22"/>
        <v/>
      </c>
      <c r="N103" s="10087"/>
      <c r="O103" s="10087"/>
      <c r="P103" s="10088"/>
      <c r="Q103" s="7143" t="str">
        <f t="shared" si="23"/>
        <v/>
      </c>
      <c r="R103" s="10090"/>
      <c r="S103" s="10090"/>
      <c r="T103" s="10091"/>
      <c r="U103" s="7143" t="str">
        <f t="shared" si="24"/>
        <v/>
      </c>
      <c r="V103" s="10090"/>
      <c r="W103" s="10090"/>
      <c r="X103" s="10091"/>
      <c r="Y103" s="10089" t="str">
        <f t="shared" si="26"/>
        <v/>
      </c>
      <c r="Z103" s="6563"/>
      <c r="AA103" s="10089" t="str">
        <f t="shared" si="27"/>
        <v/>
      </c>
      <c r="AB103" s="6563"/>
      <c r="AC103" s="10138" t="str">
        <f t="shared" si="28"/>
        <v/>
      </c>
      <c r="AD103" s="10139"/>
      <c r="AE103" s="10139"/>
      <c r="AF103" s="10139"/>
      <c r="AG103" s="911">
        <f t="shared" si="29"/>
        <v>0</v>
      </c>
      <c r="AH103" s="5727"/>
      <c r="AI103" s="5727" t="e">
        <f t="shared" si="30"/>
        <v>#VALUE!</v>
      </c>
      <c r="AJ103" s="853"/>
      <c r="AK103" s="857"/>
      <c r="AL103" s="857"/>
      <c r="AM103" s="855"/>
      <c r="AN103" s="855"/>
      <c r="AO103" s="856"/>
      <c r="AP103" s="855"/>
      <c r="AQ103" s="854"/>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61">
        <f t="shared" si="25"/>
        <v>0</v>
      </c>
      <c r="B104" s="10085" t="str">
        <f t="shared" si="20"/>
        <v/>
      </c>
      <c r="C104" s="9649"/>
      <c r="D104" s="9649"/>
      <c r="E104" s="9649"/>
      <c r="F104" s="9649"/>
      <c r="G104" s="9649"/>
      <c r="H104" s="9649"/>
      <c r="I104" s="9667"/>
      <c r="J104" s="10086" t="str">
        <f t="shared" si="21"/>
        <v/>
      </c>
      <c r="K104" s="10087"/>
      <c r="L104" s="10087"/>
      <c r="M104" s="10086" t="str">
        <f t="shared" si="22"/>
        <v/>
      </c>
      <c r="N104" s="10087"/>
      <c r="O104" s="10087"/>
      <c r="P104" s="10088"/>
      <c r="Q104" s="7143" t="str">
        <f t="shared" si="23"/>
        <v/>
      </c>
      <c r="R104" s="10090"/>
      <c r="S104" s="10090"/>
      <c r="T104" s="10091"/>
      <c r="U104" s="7143" t="str">
        <f t="shared" si="24"/>
        <v/>
      </c>
      <c r="V104" s="10090"/>
      <c r="W104" s="10090"/>
      <c r="X104" s="10091"/>
      <c r="Y104" s="10089" t="str">
        <f t="shared" si="26"/>
        <v/>
      </c>
      <c r="Z104" s="6563"/>
      <c r="AA104" s="10089" t="str">
        <f t="shared" si="27"/>
        <v/>
      </c>
      <c r="AB104" s="6563"/>
      <c r="AC104" s="10138" t="str">
        <f t="shared" si="28"/>
        <v/>
      </c>
      <c r="AD104" s="10139"/>
      <c r="AE104" s="10139"/>
      <c r="AF104" s="10139"/>
      <c r="AG104" s="911">
        <f t="shared" si="29"/>
        <v>0</v>
      </c>
      <c r="AH104" s="5727"/>
      <c r="AI104" s="5727" t="e">
        <f t="shared" si="30"/>
        <v>#VALUE!</v>
      </c>
      <c r="AJ104" s="853"/>
      <c r="AK104" s="857"/>
      <c r="AL104" s="857"/>
      <c r="AM104" s="855"/>
      <c r="AN104" s="855"/>
      <c r="AO104" s="856"/>
      <c r="AP104" s="855"/>
      <c r="AQ104" s="854"/>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61">
        <f t="shared" si="25"/>
        <v>0</v>
      </c>
      <c r="B105" s="10085" t="str">
        <f t="shared" si="20"/>
        <v/>
      </c>
      <c r="C105" s="9649"/>
      <c r="D105" s="9649"/>
      <c r="E105" s="9649"/>
      <c r="F105" s="9649"/>
      <c r="G105" s="9649"/>
      <c r="H105" s="9649"/>
      <c r="I105" s="9667"/>
      <c r="J105" s="10086" t="str">
        <f t="shared" si="21"/>
        <v/>
      </c>
      <c r="K105" s="10087"/>
      <c r="L105" s="10087"/>
      <c r="M105" s="10086" t="str">
        <f t="shared" si="22"/>
        <v/>
      </c>
      <c r="N105" s="10087"/>
      <c r="O105" s="10087"/>
      <c r="P105" s="10088"/>
      <c r="Q105" s="7143" t="str">
        <f t="shared" si="23"/>
        <v/>
      </c>
      <c r="R105" s="10090"/>
      <c r="S105" s="10090"/>
      <c r="T105" s="10091"/>
      <c r="U105" s="7143" t="str">
        <f t="shared" si="24"/>
        <v/>
      </c>
      <c r="V105" s="10090"/>
      <c r="W105" s="10090"/>
      <c r="X105" s="10091"/>
      <c r="Y105" s="10089" t="str">
        <f t="shared" si="26"/>
        <v/>
      </c>
      <c r="Z105" s="6563"/>
      <c r="AA105" s="10089" t="str">
        <f t="shared" si="27"/>
        <v/>
      </c>
      <c r="AB105" s="6563"/>
      <c r="AC105" s="10138" t="str">
        <f t="shared" si="28"/>
        <v/>
      </c>
      <c r="AD105" s="10139"/>
      <c r="AE105" s="10139"/>
      <c r="AF105" s="10139"/>
      <c r="AG105" s="911">
        <f t="shared" si="29"/>
        <v>0</v>
      </c>
      <c r="AH105" s="5727"/>
      <c r="AI105" s="5727" t="e">
        <f t="shared" si="30"/>
        <v>#VALUE!</v>
      </c>
      <c r="AJ105" s="853"/>
      <c r="AK105" s="857"/>
      <c r="AL105" s="857"/>
      <c r="AM105" s="855"/>
      <c r="AN105" s="855"/>
      <c r="AO105" s="856"/>
      <c r="AP105" s="855"/>
      <c r="AQ105" s="854"/>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61">
        <f t="shared" si="25"/>
        <v>0</v>
      </c>
      <c r="B106" s="10085" t="str">
        <f t="shared" si="20"/>
        <v/>
      </c>
      <c r="C106" s="9649"/>
      <c r="D106" s="9649"/>
      <c r="E106" s="9649"/>
      <c r="F106" s="9649"/>
      <c r="G106" s="9649"/>
      <c r="H106" s="9649"/>
      <c r="I106" s="9667"/>
      <c r="J106" s="10086" t="str">
        <f t="shared" si="21"/>
        <v/>
      </c>
      <c r="K106" s="10087"/>
      <c r="L106" s="10087"/>
      <c r="M106" s="10086" t="str">
        <f t="shared" si="22"/>
        <v/>
      </c>
      <c r="N106" s="10087"/>
      <c r="O106" s="10087"/>
      <c r="P106" s="10088"/>
      <c r="Q106" s="7143" t="str">
        <f t="shared" si="23"/>
        <v/>
      </c>
      <c r="R106" s="10090"/>
      <c r="S106" s="10090"/>
      <c r="T106" s="10091"/>
      <c r="U106" s="7143" t="str">
        <f t="shared" si="24"/>
        <v/>
      </c>
      <c r="V106" s="10090"/>
      <c r="W106" s="10090"/>
      <c r="X106" s="10091"/>
      <c r="Y106" s="10089" t="str">
        <f t="shared" si="26"/>
        <v/>
      </c>
      <c r="Z106" s="6563"/>
      <c r="AA106" s="10089" t="str">
        <f t="shared" si="27"/>
        <v/>
      </c>
      <c r="AB106" s="6563"/>
      <c r="AC106" s="10138" t="str">
        <f t="shared" si="28"/>
        <v/>
      </c>
      <c r="AD106" s="10139"/>
      <c r="AE106" s="10139"/>
      <c r="AF106" s="10139"/>
      <c r="AG106" s="911">
        <f t="shared" si="29"/>
        <v>0</v>
      </c>
      <c r="AH106" s="5727"/>
      <c r="AI106" s="5727" t="e">
        <f t="shared" si="30"/>
        <v>#VALUE!</v>
      </c>
      <c r="AJ106" s="853"/>
      <c r="AK106" s="857"/>
      <c r="AL106" s="857"/>
      <c r="AM106" s="855"/>
      <c r="AN106" s="855"/>
      <c r="AO106" s="856"/>
      <c r="AP106" s="855"/>
      <c r="AQ106" s="854"/>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61">
        <f t="shared" si="25"/>
        <v>0</v>
      </c>
      <c r="B107" s="10085" t="str">
        <f t="shared" si="20"/>
        <v/>
      </c>
      <c r="C107" s="9649"/>
      <c r="D107" s="9649"/>
      <c r="E107" s="9649"/>
      <c r="F107" s="9649"/>
      <c r="G107" s="9649"/>
      <c r="H107" s="9649"/>
      <c r="I107" s="9667"/>
      <c r="J107" s="10086" t="str">
        <f t="shared" si="21"/>
        <v/>
      </c>
      <c r="K107" s="10087"/>
      <c r="L107" s="10087"/>
      <c r="M107" s="10086" t="str">
        <f t="shared" si="22"/>
        <v/>
      </c>
      <c r="N107" s="10087"/>
      <c r="O107" s="10087"/>
      <c r="P107" s="10088"/>
      <c r="Q107" s="7143" t="str">
        <f t="shared" si="23"/>
        <v/>
      </c>
      <c r="R107" s="10090"/>
      <c r="S107" s="10090"/>
      <c r="T107" s="10091"/>
      <c r="U107" s="7143" t="str">
        <f t="shared" si="24"/>
        <v/>
      </c>
      <c r="V107" s="10090"/>
      <c r="W107" s="10090"/>
      <c r="X107" s="10091"/>
      <c r="Y107" s="10089" t="str">
        <f t="shared" si="26"/>
        <v/>
      </c>
      <c r="Z107" s="6563"/>
      <c r="AA107" s="10089" t="str">
        <f t="shared" si="27"/>
        <v/>
      </c>
      <c r="AB107" s="6563"/>
      <c r="AC107" s="10138" t="str">
        <f t="shared" si="28"/>
        <v/>
      </c>
      <c r="AD107" s="10139"/>
      <c r="AE107" s="10139"/>
      <c r="AF107" s="10139"/>
      <c r="AG107" s="911">
        <f t="shared" si="29"/>
        <v>0</v>
      </c>
      <c r="AH107" s="5727"/>
      <c r="AI107" s="5727" t="e">
        <f t="shared" si="30"/>
        <v>#VALUE!</v>
      </c>
      <c r="AJ107" s="853"/>
      <c r="AK107" s="857"/>
      <c r="AL107" s="857"/>
      <c r="AM107" s="855"/>
      <c r="AN107" s="855"/>
      <c r="AO107" s="856"/>
      <c r="AP107" s="855"/>
      <c r="AQ107" s="854"/>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61">
        <f t="shared" si="25"/>
        <v>0</v>
      </c>
      <c r="B108" s="10085" t="str">
        <f t="shared" si="20"/>
        <v/>
      </c>
      <c r="C108" s="9649"/>
      <c r="D108" s="9649"/>
      <c r="E108" s="9649"/>
      <c r="F108" s="9649"/>
      <c r="G108" s="9649"/>
      <c r="H108" s="9649"/>
      <c r="I108" s="9667"/>
      <c r="J108" s="10086" t="str">
        <f t="shared" si="21"/>
        <v/>
      </c>
      <c r="K108" s="10087"/>
      <c r="L108" s="10087"/>
      <c r="M108" s="10086" t="str">
        <f t="shared" si="22"/>
        <v/>
      </c>
      <c r="N108" s="10087"/>
      <c r="O108" s="10087"/>
      <c r="P108" s="10088"/>
      <c r="Q108" s="7143" t="str">
        <f t="shared" si="23"/>
        <v/>
      </c>
      <c r="R108" s="10090"/>
      <c r="S108" s="10090"/>
      <c r="T108" s="10091"/>
      <c r="U108" s="7143" t="str">
        <f t="shared" si="24"/>
        <v/>
      </c>
      <c r="V108" s="10090"/>
      <c r="W108" s="10090"/>
      <c r="X108" s="10091"/>
      <c r="Y108" s="10089" t="str">
        <f t="shared" si="26"/>
        <v/>
      </c>
      <c r="Z108" s="6563"/>
      <c r="AA108" s="10089" t="str">
        <f t="shared" si="27"/>
        <v/>
      </c>
      <c r="AB108" s="6563"/>
      <c r="AC108" s="10138" t="str">
        <f t="shared" si="28"/>
        <v/>
      </c>
      <c r="AD108" s="10139"/>
      <c r="AE108" s="10139"/>
      <c r="AF108" s="10139"/>
      <c r="AG108" s="911">
        <f t="shared" si="29"/>
        <v>0</v>
      </c>
      <c r="AH108" s="5727"/>
      <c r="AI108" s="5727" t="e">
        <f t="shared" si="30"/>
        <v>#VALUE!</v>
      </c>
      <c r="AJ108" s="853"/>
      <c r="AK108" s="857"/>
      <c r="AL108" s="857"/>
      <c r="AM108" s="855"/>
      <c r="AN108" s="855"/>
      <c r="AO108" s="856"/>
      <c r="AP108" s="855"/>
      <c r="AQ108" s="854"/>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61">
        <f t="shared" si="25"/>
        <v>0</v>
      </c>
      <c r="B109" s="10085" t="str">
        <f t="shared" si="20"/>
        <v/>
      </c>
      <c r="C109" s="9649"/>
      <c r="D109" s="9649"/>
      <c r="E109" s="9649"/>
      <c r="F109" s="9649"/>
      <c r="G109" s="9649"/>
      <c r="H109" s="9649"/>
      <c r="I109" s="9667"/>
      <c r="J109" s="10086" t="str">
        <f t="shared" si="21"/>
        <v/>
      </c>
      <c r="K109" s="10087"/>
      <c r="L109" s="10087"/>
      <c r="M109" s="10086" t="str">
        <f t="shared" si="22"/>
        <v/>
      </c>
      <c r="N109" s="10087"/>
      <c r="O109" s="10087"/>
      <c r="P109" s="10088"/>
      <c r="Q109" s="7143" t="str">
        <f t="shared" si="23"/>
        <v/>
      </c>
      <c r="R109" s="10090"/>
      <c r="S109" s="10090"/>
      <c r="T109" s="10091"/>
      <c r="U109" s="7143" t="str">
        <f t="shared" si="24"/>
        <v/>
      </c>
      <c r="V109" s="10090"/>
      <c r="W109" s="10090"/>
      <c r="X109" s="10091"/>
      <c r="Y109" s="10089" t="str">
        <f t="shared" si="26"/>
        <v/>
      </c>
      <c r="Z109" s="6563"/>
      <c r="AA109" s="10089" t="str">
        <f t="shared" si="27"/>
        <v/>
      </c>
      <c r="AB109" s="6563"/>
      <c r="AC109" s="10138" t="str">
        <f t="shared" si="28"/>
        <v/>
      </c>
      <c r="AD109" s="10139"/>
      <c r="AE109" s="10139"/>
      <c r="AF109" s="10139"/>
      <c r="AG109" s="911">
        <f t="shared" si="29"/>
        <v>0</v>
      </c>
      <c r="AH109" s="5727"/>
      <c r="AI109" s="5727" t="e">
        <f t="shared" si="30"/>
        <v>#VALUE!</v>
      </c>
      <c r="AJ109" s="853"/>
      <c r="AK109" s="857"/>
      <c r="AL109" s="857"/>
      <c r="AM109" s="855"/>
      <c r="AN109" s="855"/>
      <c r="AO109" s="856"/>
      <c r="AP109" s="855"/>
      <c r="AQ109" s="854"/>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61">
        <f t="shared" si="25"/>
        <v>0</v>
      </c>
      <c r="B110" s="10085" t="str">
        <f t="shared" si="20"/>
        <v/>
      </c>
      <c r="C110" s="9649"/>
      <c r="D110" s="9649"/>
      <c r="E110" s="9649"/>
      <c r="F110" s="9649"/>
      <c r="G110" s="9649"/>
      <c r="H110" s="9649"/>
      <c r="I110" s="9667"/>
      <c r="J110" s="10086" t="str">
        <f t="shared" si="21"/>
        <v/>
      </c>
      <c r="K110" s="10087"/>
      <c r="L110" s="10087"/>
      <c r="M110" s="10086" t="str">
        <f t="shared" si="22"/>
        <v/>
      </c>
      <c r="N110" s="10087"/>
      <c r="O110" s="10087"/>
      <c r="P110" s="10088"/>
      <c r="Q110" s="7143" t="str">
        <f t="shared" si="23"/>
        <v/>
      </c>
      <c r="R110" s="10090"/>
      <c r="S110" s="10090"/>
      <c r="T110" s="10091"/>
      <c r="U110" s="7143" t="str">
        <f t="shared" si="24"/>
        <v/>
      </c>
      <c r="V110" s="10090"/>
      <c r="W110" s="10090"/>
      <c r="X110" s="10091"/>
      <c r="Y110" s="10089" t="str">
        <f t="shared" si="26"/>
        <v/>
      </c>
      <c r="Z110" s="6563"/>
      <c r="AA110" s="10089" t="str">
        <f t="shared" si="27"/>
        <v/>
      </c>
      <c r="AB110" s="6563"/>
      <c r="AC110" s="10138" t="str">
        <f t="shared" si="28"/>
        <v/>
      </c>
      <c r="AD110" s="10139"/>
      <c r="AE110" s="10139"/>
      <c r="AF110" s="10139"/>
      <c r="AG110" s="911">
        <f t="shared" si="29"/>
        <v>0</v>
      </c>
      <c r="AH110" s="5727"/>
      <c r="AI110" s="5727" t="e">
        <f t="shared" si="30"/>
        <v>#VALUE!</v>
      </c>
      <c r="AJ110" s="853"/>
      <c r="AK110" s="857"/>
      <c r="AL110" s="857"/>
      <c r="AM110" s="855"/>
      <c r="AN110" s="855"/>
      <c r="AO110" s="856"/>
      <c r="AP110" s="855"/>
      <c r="AQ110" s="854"/>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61">
        <f t="shared" si="25"/>
        <v>0</v>
      </c>
      <c r="B111" s="10085" t="str">
        <f t="shared" si="20"/>
        <v/>
      </c>
      <c r="C111" s="9649"/>
      <c r="D111" s="9649"/>
      <c r="E111" s="9649"/>
      <c r="F111" s="9649"/>
      <c r="G111" s="9649"/>
      <c r="H111" s="9649"/>
      <c r="I111" s="9667"/>
      <c r="J111" s="10086" t="str">
        <f t="shared" si="21"/>
        <v/>
      </c>
      <c r="K111" s="10087"/>
      <c r="L111" s="10087"/>
      <c r="M111" s="10086" t="str">
        <f t="shared" si="22"/>
        <v/>
      </c>
      <c r="N111" s="10087"/>
      <c r="O111" s="10087"/>
      <c r="P111" s="10088"/>
      <c r="Q111" s="7143" t="str">
        <f t="shared" si="23"/>
        <v/>
      </c>
      <c r="R111" s="10090"/>
      <c r="S111" s="10090"/>
      <c r="T111" s="10091"/>
      <c r="U111" s="7143" t="str">
        <f t="shared" si="24"/>
        <v/>
      </c>
      <c r="V111" s="10090"/>
      <c r="W111" s="10090"/>
      <c r="X111" s="10091"/>
      <c r="Y111" s="10089" t="str">
        <f t="shared" si="26"/>
        <v/>
      </c>
      <c r="Z111" s="6563"/>
      <c r="AA111" s="10089" t="str">
        <f t="shared" si="27"/>
        <v/>
      </c>
      <c r="AB111" s="6563"/>
      <c r="AC111" s="10138" t="str">
        <f t="shared" si="28"/>
        <v/>
      </c>
      <c r="AD111" s="10139"/>
      <c r="AE111" s="10139"/>
      <c r="AF111" s="10139"/>
      <c r="AG111" s="911">
        <f t="shared" si="29"/>
        <v>0</v>
      </c>
      <c r="AH111" s="5727"/>
      <c r="AI111" s="5727" t="e">
        <f t="shared" si="30"/>
        <v>#VALUE!</v>
      </c>
      <c r="AJ111" s="853"/>
      <c r="AK111" s="857"/>
      <c r="AL111" s="857"/>
      <c r="AM111" s="855"/>
      <c r="AN111" s="855"/>
      <c r="AO111" s="856"/>
      <c r="AP111" s="855"/>
      <c r="AQ111" s="854"/>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61">
        <f t="shared" si="25"/>
        <v>0</v>
      </c>
      <c r="B112" s="10085" t="str">
        <f t="shared" si="20"/>
        <v/>
      </c>
      <c r="C112" s="9649"/>
      <c r="D112" s="9649"/>
      <c r="E112" s="9649"/>
      <c r="F112" s="9649"/>
      <c r="G112" s="9649"/>
      <c r="H112" s="9649"/>
      <c r="I112" s="9667"/>
      <c r="J112" s="10086" t="str">
        <f t="shared" si="21"/>
        <v/>
      </c>
      <c r="K112" s="10087"/>
      <c r="L112" s="10087"/>
      <c r="M112" s="10086" t="str">
        <f t="shared" si="22"/>
        <v/>
      </c>
      <c r="N112" s="10087"/>
      <c r="O112" s="10087"/>
      <c r="P112" s="10088"/>
      <c r="Q112" s="7143" t="str">
        <f t="shared" si="23"/>
        <v/>
      </c>
      <c r="R112" s="10090"/>
      <c r="S112" s="10090"/>
      <c r="T112" s="10091"/>
      <c r="U112" s="7143" t="str">
        <f t="shared" si="24"/>
        <v/>
      </c>
      <c r="V112" s="10090"/>
      <c r="W112" s="10090"/>
      <c r="X112" s="10091"/>
      <c r="Y112" s="10089" t="str">
        <f t="shared" si="26"/>
        <v/>
      </c>
      <c r="Z112" s="6563"/>
      <c r="AA112" s="10089" t="str">
        <f t="shared" si="27"/>
        <v/>
      </c>
      <c r="AB112" s="6563"/>
      <c r="AC112" s="10138" t="str">
        <f t="shared" si="28"/>
        <v/>
      </c>
      <c r="AD112" s="10139"/>
      <c r="AE112" s="10139"/>
      <c r="AF112" s="10139"/>
      <c r="AG112" s="911">
        <f t="shared" si="29"/>
        <v>0</v>
      </c>
      <c r="AH112" s="5727"/>
      <c r="AI112" s="5727" t="e">
        <f t="shared" si="30"/>
        <v>#VALUE!</v>
      </c>
      <c r="AJ112" s="853"/>
      <c r="AK112" s="857"/>
      <c r="AL112" s="857"/>
      <c r="AM112" s="855"/>
      <c r="AN112" s="855"/>
      <c r="AO112" s="856"/>
      <c r="AP112" s="855"/>
      <c r="AQ112" s="854"/>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61">
        <f t="shared" si="25"/>
        <v>0</v>
      </c>
      <c r="B113" s="10085" t="str">
        <f t="shared" si="20"/>
        <v/>
      </c>
      <c r="C113" s="9649"/>
      <c r="D113" s="9649"/>
      <c r="E113" s="9649"/>
      <c r="F113" s="9649"/>
      <c r="G113" s="9649"/>
      <c r="H113" s="9649"/>
      <c r="I113" s="9667"/>
      <c r="J113" s="10086" t="str">
        <f t="shared" si="21"/>
        <v/>
      </c>
      <c r="K113" s="10087"/>
      <c r="L113" s="10087"/>
      <c r="M113" s="10086" t="str">
        <f t="shared" si="22"/>
        <v/>
      </c>
      <c r="N113" s="10087"/>
      <c r="O113" s="10087"/>
      <c r="P113" s="10088"/>
      <c r="Q113" s="7143" t="str">
        <f t="shared" si="23"/>
        <v/>
      </c>
      <c r="R113" s="10090"/>
      <c r="S113" s="10090"/>
      <c r="T113" s="10091"/>
      <c r="U113" s="7143" t="str">
        <f t="shared" si="24"/>
        <v/>
      </c>
      <c r="V113" s="10090"/>
      <c r="W113" s="10090"/>
      <c r="X113" s="10091"/>
      <c r="Y113" s="10089" t="str">
        <f t="shared" si="26"/>
        <v/>
      </c>
      <c r="Z113" s="6563"/>
      <c r="AA113" s="10089" t="str">
        <f t="shared" si="27"/>
        <v/>
      </c>
      <c r="AB113" s="6563"/>
      <c r="AC113" s="10138" t="str">
        <f t="shared" si="28"/>
        <v/>
      </c>
      <c r="AD113" s="10139"/>
      <c r="AE113" s="10139"/>
      <c r="AF113" s="10139"/>
      <c r="AG113" s="911">
        <f t="shared" si="29"/>
        <v>0</v>
      </c>
      <c r="AH113" s="5727"/>
      <c r="AI113" s="5727" t="e">
        <f t="shared" si="30"/>
        <v>#VALUE!</v>
      </c>
      <c r="AJ113" s="853"/>
      <c r="AK113" s="857"/>
      <c r="AL113" s="857"/>
      <c r="AM113" s="855"/>
      <c r="AN113" s="855"/>
      <c r="AO113" s="856"/>
      <c r="AP113" s="855"/>
      <c r="AQ113" s="854"/>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61">
        <f t="shared" si="25"/>
        <v>0</v>
      </c>
      <c r="B114" s="10085" t="str">
        <f t="shared" si="20"/>
        <v/>
      </c>
      <c r="C114" s="9649"/>
      <c r="D114" s="9649"/>
      <c r="E114" s="9649"/>
      <c r="F114" s="9649"/>
      <c r="G114" s="9649"/>
      <c r="H114" s="9649"/>
      <c r="I114" s="9667"/>
      <c r="J114" s="10086" t="str">
        <f t="shared" si="21"/>
        <v/>
      </c>
      <c r="K114" s="10087"/>
      <c r="L114" s="10087"/>
      <c r="M114" s="10086" t="str">
        <f t="shared" si="22"/>
        <v/>
      </c>
      <c r="N114" s="10087"/>
      <c r="O114" s="10087"/>
      <c r="P114" s="10088"/>
      <c r="Q114" s="7143" t="str">
        <f t="shared" si="23"/>
        <v/>
      </c>
      <c r="R114" s="10090"/>
      <c r="S114" s="10090"/>
      <c r="T114" s="10091"/>
      <c r="U114" s="7143" t="str">
        <f t="shared" si="24"/>
        <v/>
      </c>
      <c r="V114" s="10090"/>
      <c r="W114" s="10090"/>
      <c r="X114" s="10091"/>
      <c r="Y114" s="10089" t="str">
        <f t="shared" si="26"/>
        <v/>
      </c>
      <c r="Z114" s="6563"/>
      <c r="AA114" s="10089" t="str">
        <f t="shared" si="27"/>
        <v/>
      </c>
      <c r="AB114" s="6563"/>
      <c r="AC114" s="10138" t="str">
        <f t="shared" si="28"/>
        <v/>
      </c>
      <c r="AD114" s="10139"/>
      <c r="AE114" s="10139"/>
      <c r="AF114" s="10139"/>
      <c r="AG114" s="911">
        <f t="shared" si="29"/>
        <v>0</v>
      </c>
      <c r="AH114" s="5727"/>
      <c r="AI114" s="5727" t="e">
        <f t="shared" si="30"/>
        <v>#VALUE!</v>
      </c>
      <c r="AJ114" s="853"/>
      <c r="AK114" s="857"/>
      <c r="AL114" s="857"/>
      <c r="AM114" s="855"/>
      <c r="AN114" s="855"/>
      <c r="AO114" s="856"/>
      <c r="AP114" s="855"/>
      <c r="AQ114" s="854"/>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61">
        <f t="shared" si="25"/>
        <v>0</v>
      </c>
      <c r="B115" s="10085" t="str">
        <f t="shared" si="20"/>
        <v/>
      </c>
      <c r="C115" s="9649"/>
      <c r="D115" s="9649"/>
      <c r="E115" s="9649"/>
      <c r="F115" s="9649"/>
      <c r="G115" s="9649"/>
      <c r="H115" s="9649"/>
      <c r="I115" s="9667"/>
      <c r="J115" s="10086" t="str">
        <f t="shared" si="21"/>
        <v/>
      </c>
      <c r="K115" s="10087"/>
      <c r="L115" s="10087"/>
      <c r="M115" s="10086" t="str">
        <f t="shared" si="22"/>
        <v/>
      </c>
      <c r="N115" s="10087"/>
      <c r="O115" s="10087"/>
      <c r="P115" s="10088"/>
      <c r="Q115" s="7143" t="str">
        <f t="shared" si="23"/>
        <v/>
      </c>
      <c r="R115" s="10090"/>
      <c r="S115" s="10090"/>
      <c r="T115" s="10091"/>
      <c r="U115" s="7143" t="str">
        <f t="shared" si="24"/>
        <v/>
      </c>
      <c r="V115" s="10090"/>
      <c r="W115" s="10090"/>
      <c r="X115" s="10091"/>
      <c r="Y115" s="10089" t="str">
        <f t="shared" si="26"/>
        <v/>
      </c>
      <c r="Z115" s="6563"/>
      <c r="AA115" s="10089" t="str">
        <f t="shared" si="27"/>
        <v/>
      </c>
      <c r="AB115" s="6563"/>
      <c r="AC115" s="10138" t="str">
        <f t="shared" si="28"/>
        <v/>
      </c>
      <c r="AD115" s="10139"/>
      <c r="AE115" s="10139"/>
      <c r="AF115" s="10139"/>
      <c r="AG115" s="911">
        <f t="shared" si="29"/>
        <v>0</v>
      </c>
      <c r="AH115" s="5727"/>
      <c r="AI115" s="5727" t="e">
        <f t="shared" si="30"/>
        <v>#VALUE!</v>
      </c>
      <c r="AJ115" s="853"/>
      <c r="AK115" s="857"/>
      <c r="AL115" s="857"/>
      <c r="AM115" s="855"/>
      <c r="AN115" s="855"/>
      <c r="AO115" s="856"/>
      <c r="AP115" s="855"/>
      <c r="AQ115" s="854"/>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61">
        <f>SUM(A88:A115)</f>
        <v>0</v>
      </c>
      <c r="B116" s="10168">
        <v>2</v>
      </c>
      <c r="C116" s="10110" t="s">
        <v>5037</v>
      </c>
      <c r="D116" s="10111"/>
      <c r="E116" s="10111"/>
      <c r="F116" s="10111"/>
      <c r="G116" s="10111"/>
      <c r="H116" s="10111"/>
      <c r="I116" s="10111"/>
      <c r="J116" s="10111"/>
      <c r="K116" s="10111"/>
      <c r="L116" s="10111"/>
      <c r="M116" s="10111"/>
      <c r="N116" s="10111"/>
      <c r="O116" s="10111"/>
      <c r="P116" s="10111"/>
      <c r="Q116" s="10113" t="str">
        <f>IF(A116=0,"",ROUND(SUM(Q88:Q115),0))</f>
        <v/>
      </c>
      <c r="R116" s="10114"/>
      <c r="S116" s="10114"/>
      <c r="T116" s="10115"/>
      <c r="U116" s="10113" t="str">
        <f>IF(A116=0,"",ROUND(SUM(U88:U115),0))</f>
        <v/>
      </c>
      <c r="V116" s="10124"/>
      <c r="W116" s="10124"/>
      <c r="X116" s="10133"/>
      <c r="Y116" s="10127"/>
      <c r="Z116" s="10128"/>
      <c r="AA116" s="10113" t="str">
        <f>IF(A116=0,"",ROUND(SUM(AA88:AA115),0))</f>
        <v/>
      </c>
      <c r="AB116" s="10115"/>
      <c r="AC116" s="10113" t="str">
        <f>IF(A116=0,"",ROUND(SUM(AC88:AC115),0))</f>
        <v/>
      </c>
      <c r="AD116" s="10124"/>
      <c r="AE116" s="10124"/>
      <c r="AF116" s="10124"/>
      <c r="AG116" s="461"/>
    </row>
    <row r="117" spans="1:55" ht="11.25" customHeight="1">
      <c r="A117" s="461"/>
      <c r="B117" s="10169"/>
      <c r="C117" s="10112"/>
      <c r="D117" s="10112"/>
      <c r="E117" s="10112"/>
      <c r="F117" s="10112"/>
      <c r="G117" s="10112"/>
      <c r="H117" s="10112"/>
      <c r="I117" s="10112"/>
      <c r="J117" s="10112"/>
      <c r="K117" s="10112"/>
      <c r="L117" s="10112"/>
      <c r="M117" s="10112"/>
      <c r="N117" s="10112"/>
      <c r="O117" s="10112"/>
      <c r="P117" s="10112"/>
      <c r="Q117" s="10116"/>
      <c r="R117" s="10117"/>
      <c r="S117" s="10117"/>
      <c r="T117" s="10118"/>
      <c r="U117" s="10125"/>
      <c r="V117" s="10126"/>
      <c r="W117" s="10126"/>
      <c r="X117" s="10134"/>
      <c r="Y117" s="10129"/>
      <c r="Z117" s="10130"/>
      <c r="AA117" s="10116"/>
      <c r="AB117" s="10118"/>
      <c r="AC117" s="10125"/>
      <c r="AD117" s="10126"/>
      <c r="AE117" s="10126"/>
      <c r="AF117" s="10126"/>
      <c r="AG117" s="461"/>
    </row>
    <row r="118" spans="1:55" ht="11.25" customHeight="1">
      <c r="A118" s="461"/>
      <c r="B118" s="10169"/>
      <c r="C118" s="10112"/>
      <c r="D118" s="10112"/>
      <c r="E118" s="10112"/>
      <c r="F118" s="10112"/>
      <c r="G118" s="10112"/>
      <c r="H118" s="10112"/>
      <c r="I118" s="10112"/>
      <c r="J118" s="10112"/>
      <c r="K118" s="10112"/>
      <c r="L118" s="10112"/>
      <c r="M118" s="10112"/>
      <c r="N118" s="10112"/>
      <c r="O118" s="10112"/>
      <c r="P118" s="10112"/>
      <c r="Q118" s="10116"/>
      <c r="R118" s="10117"/>
      <c r="S118" s="10117"/>
      <c r="T118" s="10118"/>
      <c r="U118" s="10125"/>
      <c r="V118" s="10126"/>
      <c r="W118" s="10126"/>
      <c r="X118" s="10134"/>
      <c r="Y118" s="10129"/>
      <c r="Z118" s="10130"/>
      <c r="AA118" s="10116"/>
      <c r="AB118" s="10118"/>
      <c r="AC118" s="10125"/>
      <c r="AD118" s="10126"/>
      <c r="AE118" s="10126"/>
      <c r="AF118" s="10126"/>
      <c r="AG118" s="461"/>
    </row>
    <row r="119" spans="1:55" ht="11.25" customHeight="1">
      <c r="A119" s="461"/>
      <c r="B119" s="10169"/>
      <c r="C119" s="10112"/>
      <c r="D119" s="10112"/>
      <c r="E119" s="10112"/>
      <c r="F119" s="10112"/>
      <c r="G119" s="10112"/>
      <c r="H119" s="10112"/>
      <c r="I119" s="10112"/>
      <c r="J119" s="10112"/>
      <c r="K119" s="10112"/>
      <c r="L119" s="10112"/>
      <c r="M119" s="10112"/>
      <c r="N119" s="10112"/>
      <c r="O119" s="10112"/>
      <c r="P119" s="10112"/>
      <c r="Q119" s="10116"/>
      <c r="R119" s="10117"/>
      <c r="S119" s="10117"/>
      <c r="T119" s="10118"/>
      <c r="U119" s="10125"/>
      <c r="V119" s="10126"/>
      <c r="W119" s="10126"/>
      <c r="X119" s="10134"/>
      <c r="Y119" s="10129"/>
      <c r="Z119" s="10130"/>
      <c r="AA119" s="10116"/>
      <c r="AB119" s="10118"/>
      <c r="AC119" s="10125"/>
      <c r="AD119" s="10126"/>
      <c r="AE119" s="10126"/>
      <c r="AF119" s="10126"/>
      <c r="AG119" s="461"/>
    </row>
    <row r="120" spans="1:55" ht="6" customHeight="1">
      <c r="A120" s="461"/>
      <c r="B120" s="10169"/>
      <c r="C120" s="10112"/>
      <c r="D120" s="10112"/>
      <c r="E120" s="10112"/>
      <c r="F120" s="10112"/>
      <c r="G120" s="10112"/>
      <c r="H120" s="10112"/>
      <c r="I120" s="10112"/>
      <c r="J120" s="10112"/>
      <c r="K120" s="10112"/>
      <c r="L120" s="10112"/>
      <c r="M120" s="10112"/>
      <c r="N120" s="10112"/>
      <c r="O120" s="10112"/>
      <c r="P120" s="10112"/>
      <c r="Q120" s="10116"/>
      <c r="R120" s="10117"/>
      <c r="S120" s="10117"/>
      <c r="T120" s="10118"/>
      <c r="U120" s="10135"/>
      <c r="V120" s="10136"/>
      <c r="W120" s="10136"/>
      <c r="X120" s="10137"/>
      <c r="Y120" s="10131"/>
      <c r="Z120" s="10132"/>
      <c r="AA120" s="10119"/>
      <c r="AB120" s="10121"/>
      <c r="AC120" s="10125"/>
      <c r="AD120" s="10126"/>
      <c r="AE120" s="10126"/>
      <c r="AF120" s="10126"/>
      <c r="AG120" s="461"/>
    </row>
    <row r="121" spans="1:55" ht="25.5" customHeight="1" thickBot="1">
      <c r="A121" s="461"/>
      <c r="B121" s="10165" t="s">
        <v>5038</v>
      </c>
      <c r="C121" s="10166"/>
      <c r="D121" s="10166"/>
      <c r="E121" s="10166"/>
      <c r="F121" s="10166"/>
      <c r="G121" s="10166"/>
      <c r="H121" s="10166"/>
      <c r="I121" s="10166"/>
      <c r="J121" s="10166"/>
      <c r="K121" s="10166"/>
      <c r="L121" s="10166"/>
      <c r="M121" s="10166"/>
      <c r="N121" s="10166"/>
      <c r="O121" s="10166"/>
      <c r="P121" s="10166"/>
      <c r="Q121" s="10166"/>
      <c r="R121" s="10166"/>
      <c r="S121" s="10166"/>
      <c r="T121" s="10166"/>
      <c r="U121" s="10167"/>
      <c r="V121" s="10167"/>
      <c r="W121" s="10167"/>
      <c r="X121" s="10167"/>
      <c r="Y121" s="10166"/>
      <c r="Z121" s="10166"/>
      <c r="AA121" s="10166"/>
      <c r="AB121" s="10166"/>
      <c r="AC121" s="10166"/>
      <c r="AD121" s="10166"/>
      <c r="AE121" s="10166"/>
      <c r="AF121" s="10166"/>
      <c r="AG121" s="461"/>
    </row>
    <row r="122" spans="1:55" ht="14.25" customHeight="1" thickTop="1">
      <c r="A122" s="461"/>
      <c r="B122" s="3858"/>
      <c r="C122" s="22"/>
      <c r="D122" s="22"/>
      <c r="E122" s="22"/>
      <c r="F122" s="22"/>
      <c r="G122" s="22"/>
      <c r="H122" s="22"/>
      <c r="I122" s="22"/>
      <c r="J122" s="22"/>
      <c r="K122" s="22"/>
      <c r="L122" s="22"/>
      <c r="M122" s="22"/>
      <c r="N122" s="22"/>
      <c r="O122" s="22"/>
      <c r="P122" s="22"/>
      <c r="Q122" s="22"/>
      <c r="R122" s="22"/>
      <c r="S122" s="22"/>
      <c r="T122" s="22"/>
      <c r="U122" s="337"/>
      <c r="V122" s="22"/>
      <c r="W122" s="22"/>
      <c r="X122" s="22"/>
      <c r="Y122" s="22"/>
      <c r="Z122" s="22"/>
      <c r="AA122" s="22"/>
      <c r="AB122" s="22"/>
      <c r="AC122" s="22"/>
      <c r="AD122" s="705" t="s">
        <v>5018</v>
      </c>
      <c r="AE122" s="22"/>
      <c r="AF122" s="2822" t="str">
        <f>"("&amp;TaxYear&amp;")"</f>
        <v>(2023)</v>
      </c>
      <c r="AG122" s="461"/>
    </row>
    <row r="123" spans="1:55">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row>
  </sheetData>
  <sheetProtection algorithmName="SHA-512" hashValue="3S7vGposy9fpMCBpf3ff3x0lmZvtAdVwTeI3+zjFxsiS4q3HNggxK3/xL6gkm9z9+1fDRo3zPSoa1xKL+hXEkg==" saltValue="Cr4IXgk310xnclO0V3YQXQ==" spinCount="100000" sheet="1" objects="1" scenarios="1"/>
  <mergeCells count="471">
    <mergeCell ref="H8:AA9"/>
    <mergeCell ref="AB8:AD9"/>
    <mergeCell ref="AE8:AF9"/>
    <mergeCell ref="B11:U11"/>
    <mergeCell ref="V11:AF11"/>
    <mergeCell ref="B12:AF14"/>
    <mergeCell ref="B2:K2"/>
    <mergeCell ref="B4:F6"/>
    <mergeCell ref="H4:AA6"/>
    <mergeCell ref="AB4:AF4"/>
    <mergeCell ref="AB5:AF7"/>
    <mergeCell ref="H7:AA7"/>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M36:P36"/>
    <mergeCell ref="Q36:T36"/>
    <mergeCell ref="U36:X36"/>
    <mergeCell ref="Y36:Z36"/>
    <mergeCell ref="AA36:AB36"/>
    <mergeCell ref="AC36:AF36"/>
    <mergeCell ref="B35:I35"/>
    <mergeCell ref="J35:L35"/>
    <mergeCell ref="M35:P35"/>
    <mergeCell ref="Q35:T35"/>
    <mergeCell ref="U35:X35"/>
    <mergeCell ref="Y35:Z35"/>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65:AF67"/>
    <mergeCell ref="B69:C69"/>
    <mergeCell ref="B55:B59"/>
    <mergeCell ref="C55:P59"/>
    <mergeCell ref="Q55:T59"/>
    <mergeCell ref="U55:X59"/>
    <mergeCell ref="Y55:Z59"/>
    <mergeCell ref="AA55:AB59"/>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J89:L89"/>
    <mergeCell ref="M89:P89"/>
    <mergeCell ref="Q89:T89"/>
    <mergeCell ref="U89:X89"/>
    <mergeCell ref="Y89:Z89"/>
    <mergeCell ref="AA89:AB89"/>
    <mergeCell ref="AC89:AF89"/>
    <mergeCell ref="B88:I88"/>
    <mergeCell ref="J88:L88"/>
    <mergeCell ref="M88:P88"/>
    <mergeCell ref="Q88:T88"/>
    <mergeCell ref="U88:X88"/>
    <mergeCell ref="Y88:Z88"/>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s>
  <conditionalFormatting sqref="B2">
    <cfRule type="expression" dxfId="201" priority="34" stopIfTrue="1">
      <formula>IF(OR($AG$16,$AG$69),1,0)</formula>
    </cfRule>
  </conditionalFormatting>
  <conditionalFormatting sqref="B21">
    <cfRule type="expression" dxfId="200" priority="8">
      <formula>AND(NOT(NoColor),A29=0)</formula>
    </cfRule>
  </conditionalFormatting>
  <conditionalFormatting sqref="B74">
    <cfRule type="expression" dxfId="199" priority="9">
      <formula>AND(NOT(NoColor),A82=0)</formula>
    </cfRule>
  </conditionalFormatting>
  <conditionalFormatting sqref="B11:AF11">
    <cfRule type="expression" dxfId="198" priority="32">
      <formula>IF(NoColor,1,0)</formula>
    </cfRule>
  </conditionalFormatting>
  <conditionalFormatting sqref="B35:AF54">
    <cfRule type="expression" dxfId="197" priority="17">
      <formula>IF(NoColor,1,0)</formula>
    </cfRule>
  </conditionalFormatting>
  <conditionalFormatting sqref="B64:AF64">
    <cfRule type="expression" dxfId="196" priority="28">
      <formula>IF(NoColor,1,0)</formula>
    </cfRule>
  </conditionalFormatting>
  <conditionalFormatting sqref="B88:AF115">
    <cfRule type="expression" dxfId="195" priority="1">
      <formula>IF(NoColor,1,0)</formula>
    </cfRule>
  </conditionalFormatting>
  <conditionalFormatting sqref="C25">
    <cfRule type="expression" dxfId="194" priority="19">
      <formula>IF(NoColor,1,0)</formula>
    </cfRule>
  </conditionalFormatting>
  <conditionalFormatting sqref="C27">
    <cfRule type="expression" dxfId="193" priority="14">
      <formula>IF(NoColor,1,0)</formula>
    </cfRule>
  </conditionalFormatting>
  <conditionalFormatting sqref="C29">
    <cfRule type="expression" dxfId="192" priority="13">
      <formula>IF(NoColor,1,0)</formula>
    </cfRule>
  </conditionalFormatting>
  <conditionalFormatting sqref="C78">
    <cfRule type="expression" dxfId="191" priority="24">
      <formula>IF(NoColor,1,0)</formula>
    </cfRule>
  </conditionalFormatting>
  <conditionalFormatting sqref="C80">
    <cfRule type="expression" dxfId="190" priority="16">
      <formula>IF(NoColor,1,0)</formula>
    </cfRule>
  </conditionalFormatting>
  <conditionalFormatting sqref="C82">
    <cfRule type="expression" dxfId="189" priority="15">
      <formula>IF(NoColor,1,0)</formula>
    </cfRule>
  </conditionalFormatting>
  <conditionalFormatting sqref="J35:J54">
    <cfRule type="expression" dxfId="188" priority="31" stopIfTrue="1">
      <formula>IF(AND($L$2="",AG35&lt;&gt;0),TRUE,FALSE)</formula>
    </cfRule>
  </conditionalFormatting>
  <conditionalFormatting sqref="J88:J115">
    <cfRule type="expression" dxfId="187" priority="27" stopIfTrue="1">
      <formula>IF(AND($L$2="",AG88&lt;&gt;0),TRUE,FALSE)</formula>
    </cfRule>
  </conditionalFormatting>
  <conditionalFormatting sqref="K74">
    <cfRule type="expression" dxfId="186" priority="10">
      <formula>(A$82&gt;1)</formula>
    </cfRule>
  </conditionalFormatting>
  <conditionalFormatting sqref="L2">
    <cfRule type="expression" dxfId="185" priority="33" stopIfTrue="1">
      <formula>IF(OR($AG$16,$AG$69),1,0)</formula>
    </cfRule>
  </conditionalFormatting>
  <conditionalFormatting sqref="L21">
    <cfRule type="expression" dxfId="184" priority="7">
      <formula>(A29&gt;1)</formula>
    </cfRule>
  </conditionalFormatting>
  <conditionalFormatting sqref="M35:M54">
    <cfRule type="expression" dxfId="183" priority="30" stopIfTrue="1">
      <formula>IF(AND($L$2="",AG35&gt;0),TRUE,FALSE)</formula>
    </cfRule>
  </conditionalFormatting>
  <conditionalFormatting sqref="M88:M115">
    <cfRule type="expression" dxfId="182" priority="26" stopIfTrue="1">
      <formula>IF(AND($L$2="",AG88&gt;0),TRUE,FALSE)</formula>
    </cfRule>
  </conditionalFormatting>
  <conditionalFormatting sqref="P69">
    <cfRule type="expression" dxfId="181" priority="5" stopIfTrue="1">
      <formula>IF(AND($L$2="",$AG$69),TRUE,FALSE)</formula>
    </cfRule>
  </conditionalFormatting>
  <conditionalFormatting sqref="Q55:X59">
    <cfRule type="expression" dxfId="180" priority="2">
      <formula>IF(NoColor,1,0)</formula>
    </cfRule>
  </conditionalFormatting>
  <conditionalFormatting sqref="Q116:X120">
    <cfRule type="expression" dxfId="179" priority="21">
      <formula>IF(NoColor,1,0)</formula>
    </cfRule>
  </conditionalFormatting>
  <conditionalFormatting sqref="T16">
    <cfRule type="expression" dxfId="178" priority="6" stopIfTrue="1">
      <formula>IF(AND($L$2="",$AG$16),TRUE,FALSE)</formula>
    </cfRule>
  </conditionalFormatting>
  <conditionalFormatting sqref="T69">
    <cfRule type="expression" dxfId="177" priority="4" stopIfTrue="1">
      <formula>IF(AND($L$2="",$AG$69),TRUE,FALSE)</formula>
    </cfRule>
  </conditionalFormatting>
  <conditionalFormatting sqref="T70">
    <cfRule type="expression" dxfId="176" priority="3" stopIfTrue="1">
      <formula>IF(AND($L$2="",$AG$16),TRUE,FALSE)</formula>
    </cfRule>
  </conditionalFormatting>
  <conditionalFormatting sqref="AA55:AF59">
    <cfRule type="expression" dxfId="175" priority="22">
      <formula>IF(NoColor,1,0)</formula>
    </cfRule>
  </conditionalFormatting>
  <conditionalFormatting sqref="AA116:AF120">
    <cfRule type="expression" dxfId="174" priority="20">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2"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1" stopIfTrue="1" id="{3B333ACD-C9FB-451E-B696-2571ABE29A99}">
            <xm:f>IF(AND('8949A'!$L$2="",'8949A'!$AG$16),TRUE,FALSE)</xm:f>
            <x14:dxf>
              <font>
                <b val="0"/>
                <i val="0"/>
                <color rgb="FFFF0000"/>
              </font>
            </x14:dxf>
          </x14:cfRule>
          <xm:sqref>T71:T72</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85"/>
  <sheetViews>
    <sheetView zoomScaleNormal="100" zoomScaleSheetLayoutView="100" workbookViewId="0"/>
  </sheetViews>
  <sheetFormatPr defaultRowHeight="12.75"/>
  <cols>
    <col min="1" max="1" width="2.42578125" style="39" customWidth="1"/>
    <col min="2" max="2" width="7.85546875" customWidth="1"/>
    <col min="3" max="3" width="3.140625" customWidth="1"/>
    <col min="4" max="4" width="9.7109375" customWidth="1"/>
    <col min="5" max="5" width="9.42578125" customWidth="1"/>
    <col min="6" max="6" width="20.85546875" customWidth="1"/>
    <col min="7" max="7" width="8.140625" customWidth="1"/>
    <col min="8" max="8" width="3.5703125" customWidth="1"/>
    <col min="9" max="9" width="5.7109375" customWidth="1"/>
    <col min="10" max="10" width="6.140625" customWidth="1"/>
    <col min="11" max="11" width="14.140625" customWidth="1"/>
    <col min="12" max="12" width="3.7109375" customWidth="1"/>
    <col min="13" max="13" width="14.140625" customWidth="1"/>
    <col min="14" max="14" width="2.5703125" customWidth="1"/>
    <col min="15" max="15" width="3.85546875" customWidth="1"/>
    <col min="16" max="16" width="14.5703125" customWidth="1"/>
    <col min="17" max="17" width="2.28515625" customWidth="1"/>
    <col min="18" max="18" width="12.140625" style="3153" customWidth="1"/>
    <col min="19" max="26" width="10.7109375" style="2038" customWidth="1"/>
  </cols>
  <sheetData>
    <row r="1" spans="1:26" ht="12.75" customHeight="1" thickBot="1">
      <c r="A1" s="1990"/>
      <c r="B1" s="66"/>
      <c r="C1" s="66"/>
      <c r="D1" s="66"/>
      <c r="E1" s="66"/>
      <c r="F1" s="66"/>
      <c r="G1" s="66"/>
      <c r="H1" s="66"/>
      <c r="I1" s="66"/>
      <c r="J1" s="66"/>
      <c r="K1" s="66"/>
      <c r="L1" s="442"/>
      <c r="M1" s="66"/>
      <c r="N1" s="66"/>
      <c r="O1" s="900"/>
      <c r="P1" s="1994" t="b">
        <f>IF($O$2&lt;&gt;"",TRUE,FALSE)</f>
        <v>0</v>
      </c>
      <c r="Q1" s="900"/>
      <c r="S1" s="2037" t="s">
        <v>241</v>
      </c>
    </row>
    <row r="2" spans="1:26" ht="17.25" customHeight="1" thickBot="1">
      <c r="A2" s="1990"/>
      <c r="B2" s="899" t="s">
        <v>5042</v>
      </c>
      <c r="C2" s="808"/>
      <c r="D2" s="808"/>
      <c r="E2" s="808"/>
      <c r="F2" s="808"/>
      <c r="G2" s="808"/>
      <c r="H2" s="808"/>
      <c r="I2" s="808"/>
      <c r="J2" s="808"/>
      <c r="K2" s="808"/>
      <c r="L2" s="1992"/>
      <c r="M2" s="808"/>
      <c r="N2" s="66"/>
      <c r="O2" s="810"/>
      <c r="P2" s="899" t="s">
        <v>5043</v>
      </c>
      <c r="Q2" s="900"/>
    </row>
    <row r="3" spans="1:26" ht="12.75" customHeight="1">
      <c r="A3" s="1990"/>
      <c r="B3" s="1993" t="str">
        <f>IF(P3,"Yes","No")</f>
        <v>No</v>
      </c>
      <c r="C3" s="892" t="str">
        <f>"Your Medicare wages and tips on any single Form W-2 (box 5) are greater than "&amp;TEXT(H24,"$0,000")&amp;"."</f>
        <v>Your Medicare wages and tips on any single Form W-2 (box 5) are greater than $200,000.</v>
      </c>
      <c r="D3" s="808"/>
      <c r="E3" s="808"/>
      <c r="F3" s="808"/>
      <c r="G3" s="808"/>
      <c r="H3" s="808"/>
      <c r="I3" s="808"/>
      <c r="J3" s="808"/>
      <c r="K3" s="808"/>
      <c r="L3" s="1992"/>
      <c r="M3" s="808"/>
      <c r="N3" s="66"/>
      <c r="O3" s="900"/>
      <c r="P3" s="1994" t="b">
        <f>'W-2s'!J59</f>
        <v>0</v>
      </c>
      <c r="Q3" s="900"/>
    </row>
    <row r="4" spans="1:26" ht="12.75" customHeight="1">
      <c r="A4" s="1990"/>
      <c r="B4" s="1993" t="str">
        <f>IF(P4,"Yes","No")</f>
        <v>No</v>
      </c>
      <c r="C4" s="892" t="str">
        <f>"Your railroad retirement (RRTA) compensation on any single Form W-2 (box 14) is greater than "&amp;TEXT(H24,"$0,000")&amp;"."</f>
        <v>Your railroad retirement (RRTA) compensation on any single Form W-2 (box 14) is greater than $200,000.</v>
      </c>
      <c r="D4" s="808"/>
      <c r="E4" s="808"/>
      <c r="F4" s="808"/>
      <c r="G4" s="808"/>
      <c r="H4" s="808"/>
      <c r="I4" s="808"/>
      <c r="J4" s="808"/>
      <c r="K4" s="808"/>
      <c r="L4" s="1992"/>
      <c r="M4" s="808"/>
      <c r="N4" s="66"/>
      <c r="O4" s="900"/>
      <c r="P4" s="1994" t="b">
        <f>'W-2s'!J60</f>
        <v>0</v>
      </c>
      <c r="Q4" s="900"/>
    </row>
    <row r="5" spans="1:26" ht="12.75" customHeight="1">
      <c r="A5" s="1990"/>
      <c r="B5" s="1993" t="str">
        <f>IF(P5,"Yes","No")</f>
        <v>No</v>
      </c>
      <c r="C5" s="892" t="str">
        <f>"Your total Medicare wages and tips plus your self-employment income are &gt; filing status threshold ("&amp;TEXT($M$24,"$0,000")&amp;")."</f>
        <v>Your total Medicare wages and tips plus your self-employment income are &gt; filing status threshold (---).</v>
      </c>
      <c r="D5" s="808"/>
      <c r="E5" s="808"/>
      <c r="F5" s="808"/>
      <c r="G5" s="808"/>
      <c r="H5" s="808"/>
      <c r="I5" s="808"/>
      <c r="J5" s="808"/>
      <c r="K5" s="808"/>
      <c r="L5" s="1992"/>
      <c r="M5" s="808"/>
      <c r="N5" s="66"/>
      <c r="O5" s="900"/>
      <c r="P5" s="1994" t="b">
        <f>(P8&gt;$M$24)</f>
        <v>0</v>
      </c>
      <c r="Q5" s="900"/>
    </row>
    <row r="6" spans="1:26" ht="12.75" customHeight="1">
      <c r="A6" s="1990"/>
      <c r="B6" s="1993" t="str">
        <f>IF(P6,"Yes","No")</f>
        <v>No</v>
      </c>
      <c r="C6" s="892" t="str">
        <f>"Your total railroad retirement (RRTA) compensation and tips (Part III, Line 14) are &gt; filing status threshold ("&amp;TEXT($M$46,"$0,000")&amp;")."</f>
        <v>Your total railroad retirement (RRTA) compensation and tips (Part III, Line 14) are &gt; filing status threshold (---).</v>
      </c>
      <c r="D6" s="808"/>
      <c r="E6" s="808"/>
      <c r="F6" s="808"/>
      <c r="G6" s="808"/>
      <c r="H6" s="808"/>
      <c r="I6" s="808"/>
      <c r="J6" s="808"/>
      <c r="K6" s="808"/>
      <c r="L6" s="1992"/>
      <c r="M6" s="808"/>
      <c r="N6" s="66"/>
      <c r="O6" s="900"/>
      <c r="P6" s="1994" t="b">
        <f>IF(RRTA_Compensation="",FALSE,IF(ROUND(RRTA_Compensation,0)&gt;$M$46,TRUE,FALSE))</f>
        <v>0</v>
      </c>
      <c r="Q6" s="900"/>
    </row>
    <row r="7" spans="1:26" ht="10.5" customHeight="1">
      <c r="A7" s="442"/>
      <c r="B7" s="442"/>
      <c r="C7" s="66"/>
      <c r="D7" s="66"/>
      <c r="E7" s="66"/>
      <c r="F7" s="66"/>
      <c r="G7" s="442"/>
      <c r="H7" s="66"/>
      <c r="I7" s="66"/>
      <c r="J7" s="66"/>
      <c r="K7" s="66"/>
      <c r="L7" s="66"/>
      <c r="M7" s="66"/>
      <c r="N7" s="66"/>
      <c r="O7" s="900"/>
      <c r="P7" s="1994" t="b">
        <f>OR(P1,P3:P6)</f>
        <v>0</v>
      </c>
      <c r="Q7" s="900"/>
    </row>
    <row r="8" spans="1:26">
      <c r="A8" s="66"/>
      <c r="B8" s="22"/>
      <c r="C8" s="22"/>
      <c r="D8" s="83"/>
      <c r="E8" s="22"/>
      <c r="F8" s="22"/>
      <c r="G8" s="22"/>
      <c r="H8" s="22"/>
      <c r="I8" s="22"/>
      <c r="J8" s="22"/>
      <c r="K8" s="22"/>
      <c r="L8" s="9093" t="s">
        <v>2455</v>
      </c>
      <c r="M8" s="8773"/>
      <c r="N8" s="394"/>
      <c r="O8" s="1745"/>
      <c r="P8" s="3165">
        <f>IF(AND(P17&lt;&gt;"",P30&lt;&gt;""),SUM(ROUND(P17,0),ROUND(P30,0)),IF(P17&lt;&gt;"",SUM(ROUND(P17,0),K29),IF(P30&lt;&gt;"",SUM(MedCare_wages,ROUND(P30,0)),SUM(MedCare_wages,K29))))</f>
        <v>0</v>
      </c>
      <c r="Q8" s="1745"/>
      <c r="R8" s="3178"/>
    </row>
    <row r="9" spans="1:26" ht="20.25" customHeight="1">
      <c r="A9" s="66"/>
      <c r="B9" s="10035" t="s">
        <v>50</v>
      </c>
      <c r="C9" s="10210">
        <v>8959</v>
      </c>
      <c r="D9" s="10211"/>
      <c r="E9" s="10214" t="s">
        <v>5044</v>
      </c>
      <c r="F9" s="6966"/>
      <c r="G9" s="6966"/>
      <c r="H9" s="6966"/>
      <c r="I9" s="6966"/>
      <c r="J9" s="6966"/>
      <c r="K9" s="6967"/>
      <c r="L9" s="7131">
        <f>TaxYear</f>
        <v>2023</v>
      </c>
      <c r="M9" s="9094"/>
      <c r="N9" s="5699"/>
      <c r="O9" s="5372"/>
      <c r="P9" s="23" t="s">
        <v>1113</v>
      </c>
      <c r="Q9" s="61"/>
      <c r="R9" s="3154"/>
    </row>
    <row r="10" spans="1:26" ht="14.25" customHeight="1">
      <c r="A10" s="66"/>
      <c r="B10" s="7311"/>
      <c r="C10" s="10212"/>
      <c r="D10" s="10213"/>
      <c r="E10" s="9109" t="s">
        <v>5045</v>
      </c>
      <c r="F10" s="10215"/>
      <c r="G10" s="10215"/>
      <c r="H10" s="10215"/>
      <c r="I10" s="10215"/>
      <c r="J10" s="10215"/>
      <c r="K10" s="10216"/>
      <c r="L10" s="9095"/>
      <c r="M10" s="9096"/>
      <c r="N10" s="448"/>
      <c r="O10" s="175"/>
      <c r="P10" s="23" t="s">
        <v>1062</v>
      </c>
      <c r="Q10" s="51"/>
      <c r="R10" s="3155"/>
    </row>
    <row r="11" spans="1:26" ht="12.75" customHeight="1">
      <c r="A11" s="66"/>
      <c r="B11" s="10012" t="s">
        <v>535</v>
      </c>
      <c r="C11" s="6848"/>
      <c r="D11" s="10013"/>
      <c r="E11" s="9109" t="s">
        <v>5046</v>
      </c>
      <c r="F11" s="10215"/>
      <c r="G11" s="10215"/>
      <c r="H11" s="10215"/>
      <c r="I11" s="10215"/>
      <c r="J11" s="10215"/>
      <c r="K11" s="10216"/>
      <c r="L11" s="10014" t="s">
        <v>4862</v>
      </c>
      <c r="M11" s="7690"/>
      <c r="N11" s="5699"/>
      <c r="O11" s="5372"/>
      <c r="P11" s="461"/>
      <c r="Q11" s="51"/>
      <c r="R11" s="3156"/>
    </row>
    <row r="12" spans="1:26" ht="12.75" customHeight="1" thickBot="1">
      <c r="A12" s="66"/>
      <c r="B12" s="10015" t="s">
        <v>537</v>
      </c>
      <c r="C12" s="10016"/>
      <c r="D12" s="10017"/>
      <c r="E12" s="10217" t="s">
        <v>5047</v>
      </c>
      <c r="F12" s="10218"/>
      <c r="G12" s="10218"/>
      <c r="H12" s="10218"/>
      <c r="I12" s="10218"/>
      <c r="J12" s="10218"/>
      <c r="K12" s="10219"/>
      <c r="L12" s="10021" t="s">
        <v>5048</v>
      </c>
      <c r="M12" s="9469"/>
      <c r="N12" s="448"/>
      <c r="O12" s="175"/>
      <c r="P12" s="461"/>
      <c r="Q12" s="61"/>
      <c r="R12" s="3156"/>
    </row>
    <row r="13" spans="1:26" ht="11.25" customHeight="1">
      <c r="A13" s="66"/>
      <c r="B13" s="20" t="s">
        <v>2208</v>
      </c>
      <c r="C13" s="130"/>
      <c r="D13" s="130"/>
      <c r="E13" s="111"/>
      <c r="F13" s="112"/>
      <c r="G13" s="20"/>
      <c r="H13" s="112"/>
      <c r="I13" s="112"/>
      <c r="J13" s="112"/>
      <c r="K13" s="9115" t="s">
        <v>586</v>
      </c>
      <c r="L13" s="9116"/>
      <c r="M13" s="9116"/>
      <c r="N13" s="5699"/>
      <c r="O13" s="5372"/>
      <c r="P13" s="461"/>
      <c r="Q13" s="61"/>
      <c r="R13" s="3155"/>
    </row>
    <row r="14" spans="1:26" ht="14.25" customHeight="1">
      <c r="A14" s="66"/>
      <c r="B14" s="9127" t="str">
        <f>Names</f>
        <v/>
      </c>
      <c r="C14" s="9128"/>
      <c r="D14" s="9128"/>
      <c r="E14" s="9128"/>
      <c r="F14" s="9128"/>
      <c r="G14" s="9128"/>
      <c r="H14" s="9128"/>
      <c r="I14" s="9128"/>
      <c r="J14" s="9129"/>
      <c r="K14" s="7043">
        <f>IF(NoSSN,"",SS_Yours)</f>
        <v>1010001</v>
      </c>
      <c r="L14" s="9112"/>
      <c r="M14" s="9112"/>
      <c r="N14" s="448"/>
      <c r="O14" s="175"/>
      <c r="P14" s="461"/>
      <c r="Q14" s="61"/>
      <c r="R14" s="3155"/>
    </row>
    <row r="15" spans="1:26" ht="15.75">
      <c r="A15" s="66"/>
      <c r="B15" s="3292" t="s">
        <v>2468</v>
      </c>
      <c r="C15" s="9097" t="s">
        <v>5049</v>
      </c>
      <c r="D15" s="9097"/>
      <c r="E15" s="9098"/>
      <c r="F15" s="9098"/>
      <c r="G15" s="9098"/>
      <c r="H15" s="9098"/>
      <c r="I15" s="9098"/>
      <c r="J15" s="9098"/>
      <c r="K15" s="9098"/>
      <c r="L15" s="9098"/>
      <c r="M15" s="9098"/>
      <c r="N15" s="5706"/>
      <c r="O15" s="2250"/>
      <c r="P15" s="461"/>
      <c r="Q15" s="61"/>
      <c r="R15" s="3157"/>
    </row>
    <row r="16" spans="1:26" s="672" customFormat="1" ht="12" customHeight="1">
      <c r="A16" s="66"/>
      <c r="B16" s="124">
        <v>1</v>
      </c>
      <c r="C16" s="267" t="s">
        <v>5050</v>
      </c>
      <c r="D16" s="190"/>
      <c r="E16" s="159"/>
      <c r="F16" s="159"/>
      <c r="G16" s="160"/>
      <c r="H16" s="160"/>
      <c r="I16" s="160"/>
      <c r="J16" s="994"/>
      <c r="K16" s="124"/>
      <c r="L16" s="464"/>
      <c r="M16" s="341"/>
      <c r="N16" s="449"/>
      <c r="O16" s="953"/>
      <c r="P16" s="388"/>
      <c r="Q16" s="294"/>
      <c r="R16" s="3158"/>
      <c r="S16" s="2038"/>
      <c r="T16" s="2038"/>
      <c r="U16" s="2038"/>
      <c r="V16" s="2038"/>
      <c r="W16" s="2038"/>
      <c r="X16" s="2038"/>
      <c r="Y16" s="2038"/>
      <c r="Z16" s="2038"/>
    </row>
    <row r="17" spans="1:26" ht="12" customHeight="1">
      <c r="A17" s="66"/>
      <c r="B17" s="124"/>
      <c r="C17" s="267" t="s">
        <v>5051</v>
      </c>
      <c r="D17" s="267"/>
      <c r="E17" s="159"/>
      <c r="F17" s="159"/>
      <c r="G17" s="160"/>
      <c r="H17" s="124"/>
      <c r="I17" s="124" t="s">
        <v>789</v>
      </c>
      <c r="J17" s="228">
        <f>B16</f>
        <v>1</v>
      </c>
      <c r="K17" s="975" t="str">
        <f>IF(P17&lt;&gt;"",ROUND(P17,0),IF(NOT(P7),"",IF(MedCare_wages=0,"",MedCare_wages)))</f>
        <v/>
      </c>
      <c r="L17" s="464"/>
      <c r="M17" s="5720"/>
      <c r="N17" s="5707"/>
      <c r="O17" s="3756"/>
      <c r="P17" s="300"/>
      <c r="Q17" s="29"/>
      <c r="R17" s="3158"/>
    </row>
    <row r="18" spans="1:26" ht="12" customHeight="1">
      <c r="A18" s="66"/>
      <c r="B18" s="124">
        <v>2</v>
      </c>
      <c r="C18" s="267" t="s">
        <v>5052</v>
      </c>
      <c r="D18" s="267"/>
      <c r="E18" s="159"/>
      <c r="F18" s="159"/>
      <c r="G18" s="160"/>
      <c r="H18" s="124"/>
      <c r="I18" s="124" t="s">
        <v>752</v>
      </c>
      <c r="J18" s="228">
        <f>B18</f>
        <v>2</v>
      </c>
      <c r="K18" s="976"/>
      <c r="L18" s="464"/>
      <c r="M18" s="5720"/>
      <c r="N18" s="5707"/>
      <c r="O18" s="3756"/>
      <c r="P18" s="388"/>
      <c r="Q18" s="29"/>
      <c r="R18" s="3158"/>
    </row>
    <row r="19" spans="1:26" ht="12" customHeight="1" thickBot="1">
      <c r="A19" s="66"/>
      <c r="B19" s="124">
        <v>3</v>
      </c>
      <c r="C19" s="267" t="s">
        <v>664</v>
      </c>
      <c r="D19" s="267"/>
      <c r="E19" s="159"/>
      <c r="F19" s="159"/>
      <c r="G19" s="160"/>
      <c r="H19" s="124"/>
      <c r="I19" s="124" t="s">
        <v>646</v>
      </c>
      <c r="J19" s="3747">
        <f>B19</f>
        <v>3</v>
      </c>
      <c r="K19" s="3944"/>
      <c r="L19" s="464"/>
      <c r="M19" s="5720"/>
      <c r="N19" s="5707"/>
      <c r="O19" s="3756"/>
      <c r="P19" s="691"/>
      <c r="Q19" s="29"/>
      <c r="R19" s="3158"/>
    </row>
    <row r="20" spans="1:26" ht="12" customHeight="1">
      <c r="A20" s="66"/>
      <c r="B20" s="124">
        <v>4</v>
      </c>
      <c r="C20" s="267" t="s">
        <v>5053</v>
      </c>
      <c r="D20" s="267"/>
      <c r="E20" s="159"/>
      <c r="F20" s="159"/>
      <c r="G20" s="160"/>
      <c r="H20" s="124"/>
      <c r="I20" s="124" t="s">
        <v>2162</v>
      </c>
      <c r="J20" s="228">
        <f>B20</f>
        <v>4</v>
      </c>
      <c r="K20" s="975" t="str">
        <f>IF($K$17="","",SUM(K17:K19))</f>
        <v/>
      </c>
      <c r="L20" s="464"/>
      <c r="M20" s="5720"/>
      <c r="N20" s="5707"/>
      <c r="O20" s="3756"/>
      <c r="P20" s="691"/>
      <c r="Q20" s="29"/>
      <c r="R20" s="3158"/>
    </row>
    <row r="21" spans="1:26" s="672" customFormat="1" ht="12" customHeight="1">
      <c r="A21" s="66"/>
      <c r="B21" s="124">
        <v>5</v>
      </c>
      <c r="C21" s="267" t="s">
        <v>5054</v>
      </c>
      <c r="D21" s="190"/>
      <c r="E21" s="159"/>
      <c r="F21" s="159"/>
      <c r="G21" s="160"/>
      <c r="H21" s="160"/>
      <c r="I21" s="160"/>
      <c r="J21" s="3291"/>
      <c r="K21" s="124"/>
      <c r="L21" s="464"/>
      <c r="M21" s="5720"/>
      <c r="N21" s="449"/>
      <c r="O21" s="953"/>
      <c r="P21" s="691"/>
      <c r="Q21" s="294"/>
      <c r="R21" s="3158"/>
      <c r="S21" s="2038"/>
      <c r="T21" s="2038"/>
      <c r="U21" s="2038"/>
      <c r="V21" s="2038"/>
      <c r="W21" s="2038"/>
      <c r="X21" s="2038"/>
      <c r="Y21" s="2038"/>
      <c r="Z21" s="2038"/>
    </row>
    <row r="22" spans="1:26" s="672" customFormat="1" ht="12" customHeight="1">
      <c r="A22" s="66"/>
      <c r="B22" s="124"/>
      <c r="C22" s="267" t="s">
        <v>5055</v>
      </c>
      <c r="D22" s="190"/>
      <c r="E22" s="160"/>
      <c r="F22" s="159"/>
      <c r="G22" s="124" t="s">
        <v>661</v>
      </c>
      <c r="H22" s="10220">
        <v>250000</v>
      </c>
      <c r="I22" s="10221"/>
      <c r="J22" s="3047"/>
      <c r="K22" s="124"/>
      <c r="L22" s="464"/>
      <c r="M22" s="5720"/>
      <c r="N22" s="449"/>
      <c r="O22" s="953"/>
      <c r="P22" s="691"/>
      <c r="Q22" s="294"/>
      <c r="R22" s="3158"/>
      <c r="S22" s="2038"/>
      <c r="T22" s="2038"/>
      <c r="U22" s="2038"/>
      <c r="V22" s="2038"/>
      <c r="W22" s="2038"/>
      <c r="X22" s="2038"/>
      <c r="Y22" s="2038"/>
      <c r="Z22" s="2038"/>
    </row>
    <row r="23" spans="1:26" s="672" customFormat="1" ht="12" customHeight="1">
      <c r="A23" s="66"/>
      <c r="B23" s="124"/>
      <c r="C23" s="267" t="s">
        <v>4133</v>
      </c>
      <c r="D23" s="190"/>
      <c r="E23" s="160"/>
      <c r="F23" s="159"/>
      <c r="G23" s="124" t="s">
        <v>709</v>
      </c>
      <c r="H23" s="10220">
        <v>125000</v>
      </c>
      <c r="I23" s="10221"/>
      <c r="J23" s="3047"/>
      <c r="K23" s="124"/>
      <c r="L23" s="464"/>
      <c r="M23" s="372"/>
      <c r="N23" s="449"/>
      <c r="O23" s="953"/>
      <c r="P23" s="691"/>
      <c r="Q23" s="294"/>
      <c r="R23" s="3158"/>
      <c r="S23" s="2038"/>
      <c r="T23" s="2038"/>
      <c r="U23" s="2038"/>
      <c r="V23" s="2038"/>
      <c r="W23" s="2038"/>
      <c r="X23" s="2038"/>
      <c r="Y23" s="2038"/>
      <c r="Z23" s="2038"/>
    </row>
    <row r="24" spans="1:26" ht="12" customHeight="1" thickBot="1">
      <c r="A24" s="66"/>
      <c r="B24" s="124"/>
      <c r="C24" s="267" t="s">
        <v>5652</v>
      </c>
      <c r="D24" s="267"/>
      <c r="E24" s="124"/>
      <c r="F24" s="159"/>
      <c r="G24" s="124"/>
      <c r="H24" s="10220">
        <v>200000</v>
      </c>
      <c r="I24" s="10221"/>
      <c r="J24" s="3746">
        <f>B21</f>
        <v>5</v>
      </c>
      <c r="K24" s="6003" t="str">
        <f>IF($K$17="","",IF(M24="---","Filing Status?",M24))</f>
        <v/>
      </c>
      <c r="L24" s="464"/>
      <c r="M24" s="1864" t="str">
        <f>IF(File_Marr_Joint&lt;&gt;"",H22,IF(File_Marr_Sep&lt;&gt;"",H23,IF(OR(File_Single&lt;&gt;"",File_Head&lt;&gt;"",File_Qual_Widow&lt;&gt;""),H24,"---")))</f>
        <v>---</v>
      </c>
      <c r="N24" s="5707"/>
      <c r="O24" s="3756"/>
      <c r="P24" s="691"/>
      <c r="Q24" s="29"/>
      <c r="R24" s="3158"/>
    </row>
    <row r="25" spans="1:26" ht="12.75" customHeight="1">
      <c r="A25" s="66"/>
      <c r="B25" s="124">
        <v>6</v>
      </c>
      <c r="C25" s="267" t="s">
        <v>5056</v>
      </c>
      <c r="D25" s="190"/>
      <c r="E25" s="159"/>
      <c r="F25" s="159"/>
      <c r="G25" s="160"/>
      <c r="H25" s="160"/>
      <c r="I25" s="160"/>
      <c r="J25" s="160"/>
      <c r="K25" s="859" t="s">
        <v>5647</v>
      </c>
      <c r="L25" s="228">
        <f>B25</f>
        <v>6</v>
      </c>
      <c r="M25" s="975" t="str">
        <f>IF(OR($K$17="",M24="---"),"",IF(K24&gt;=K20,0,SUM(K20,-K24)))</f>
        <v/>
      </c>
      <c r="N25" s="5707"/>
      <c r="O25" s="3756"/>
      <c r="P25" s="691"/>
      <c r="Q25" s="294"/>
      <c r="R25" s="3158"/>
    </row>
    <row r="26" spans="1:26" s="672" customFormat="1" ht="12" customHeight="1">
      <c r="A26" s="66"/>
      <c r="B26" s="124">
        <v>7</v>
      </c>
      <c r="C26" s="267" t="str">
        <f>"Additional Medicare Tax on Medicare wages. Multiply line 6 by "&amp;TEXT(M26,"0.0%")&amp;" ("&amp;TEXT(M26,"0.000")&amp;"). Enter here and"</f>
        <v>Additional Medicare Tax on Medicare wages. Multiply line 6 by 0.9% (0.009). Enter here and</v>
      </c>
      <c r="D26" s="190"/>
      <c r="E26" s="159"/>
      <c r="F26" s="159"/>
      <c r="G26" s="160"/>
      <c r="H26" s="160"/>
      <c r="I26" s="160"/>
      <c r="J26" s="160"/>
      <c r="K26" s="124"/>
      <c r="L26" s="396"/>
      <c r="M26" s="993">
        <v>8.9999999999999993E-3</v>
      </c>
      <c r="N26" s="449"/>
      <c r="O26" s="953"/>
      <c r="P26" s="691"/>
      <c r="Q26" s="294"/>
      <c r="R26" s="3158"/>
      <c r="S26" s="2038"/>
      <c r="T26" s="2038"/>
      <c r="U26" s="2038"/>
      <c r="V26" s="2038"/>
      <c r="W26" s="2038"/>
      <c r="X26" s="2038"/>
      <c r="Y26" s="2038"/>
      <c r="Z26" s="2038"/>
    </row>
    <row r="27" spans="1:26" ht="11.25" customHeight="1">
      <c r="A27" s="66"/>
      <c r="B27" s="124"/>
      <c r="C27" s="267" t="s">
        <v>5058</v>
      </c>
      <c r="D27" s="267"/>
      <c r="E27" s="159"/>
      <c r="F27" s="159"/>
      <c r="G27" s="160"/>
      <c r="H27" s="160"/>
      <c r="I27" s="160"/>
      <c r="J27" s="160"/>
      <c r="K27" s="859" t="s">
        <v>2163</v>
      </c>
      <c r="L27" s="396">
        <f>B26</f>
        <v>7</v>
      </c>
      <c r="M27" s="975" t="str">
        <f>IF(P27&lt;&gt;"",ROUND(P27,0),IF(OR(K17="",K20="",M24="---"),"",ROUND(M25*M26,0)))</f>
        <v/>
      </c>
      <c r="N27" s="5707"/>
      <c r="O27" s="179"/>
      <c r="P27" s="300"/>
      <c r="Q27" s="294"/>
      <c r="R27" s="3155"/>
    </row>
    <row r="28" spans="1:26" s="672" customFormat="1" ht="15.75" customHeight="1">
      <c r="A28" s="66"/>
      <c r="B28" s="3683" t="s">
        <v>982</v>
      </c>
      <c r="C28" s="9113" t="s">
        <v>5059</v>
      </c>
      <c r="D28" s="9113"/>
      <c r="E28" s="9114"/>
      <c r="F28" s="9114"/>
      <c r="G28" s="9114"/>
      <c r="H28" s="9114"/>
      <c r="I28" s="9114"/>
      <c r="J28" s="9114"/>
      <c r="K28" s="9114"/>
      <c r="L28" s="9114"/>
      <c r="M28" s="9114"/>
      <c r="N28" s="5708"/>
      <c r="O28" s="5729"/>
      <c r="P28" s="691"/>
      <c r="Q28" s="683"/>
      <c r="R28" s="3912" t="s">
        <v>5060</v>
      </c>
      <c r="S28" s="2038"/>
      <c r="T28" s="2038"/>
      <c r="U28" s="2038"/>
      <c r="V28" s="2038"/>
      <c r="W28" s="2038"/>
      <c r="X28" s="2038"/>
      <c r="Y28" s="2038"/>
      <c r="Z28" s="2038"/>
    </row>
    <row r="29" spans="1:26" s="672" customFormat="1" ht="12" customHeight="1">
      <c r="A29" s="66"/>
      <c r="B29" s="124">
        <v>8</v>
      </c>
      <c r="C29" s="267" t="s">
        <v>5649</v>
      </c>
      <c r="D29" s="190"/>
      <c r="E29" s="159"/>
      <c r="F29" s="159"/>
      <c r="G29" s="160"/>
      <c r="H29" s="160"/>
      <c r="I29" s="160"/>
      <c r="J29" s="994"/>
      <c r="K29" s="3911">
        <f>SUM(R29,R30)</f>
        <v>0</v>
      </c>
      <c r="L29" s="464"/>
      <c r="M29" s="341"/>
      <c r="N29" s="449"/>
      <c r="O29" s="953"/>
      <c r="P29" s="691"/>
      <c r="Q29" s="294"/>
      <c r="R29" s="3158">
        <f>IF(AND('Sch. SE'!X30&lt;&gt;"",'Sch. SE'!X30&gt;0),'Sch. SE'!X30,0)</f>
        <v>0</v>
      </c>
      <c r="S29" s="2038"/>
      <c r="T29" s="2038"/>
      <c r="U29" s="2038"/>
      <c r="V29" s="2038"/>
      <c r="W29" s="2038"/>
      <c r="X29" s="2038"/>
      <c r="Y29" s="2038"/>
      <c r="Z29" s="2038"/>
    </row>
    <row r="30" spans="1:26" ht="12" customHeight="1">
      <c r="A30" s="66"/>
      <c r="B30" s="124"/>
      <c r="C30" s="2810" t="s">
        <v>5648</v>
      </c>
      <c r="D30" s="267"/>
      <c r="E30" s="159"/>
      <c r="F30" s="159"/>
      <c r="G30" s="160"/>
      <c r="H30" s="124"/>
      <c r="I30" s="124" t="s">
        <v>642</v>
      </c>
      <c r="J30" s="228">
        <f>B29</f>
        <v>8</v>
      </c>
      <c r="K30" s="975" t="str">
        <f>IF(P30&lt;&gt;"",ROUND(P30,2),IF(NOT(P7),"",IF(K29&lt;=400,0,K29)))</f>
        <v/>
      </c>
      <c r="L30" s="464"/>
      <c r="M30" s="5720"/>
      <c r="N30" s="5707"/>
      <c r="O30" s="3756"/>
      <c r="P30" s="300"/>
      <c r="Q30" s="29"/>
      <c r="R30" s="3158">
        <f>IF(AND('Sch. SE'!X90&lt;&gt;"",'Sch. SE'!X90&gt;=0),'Sch. SE'!X90,0)</f>
        <v>0</v>
      </c>
    </row>
    <row r="31" spans="1:26" s="672" customFormat="1" ht="12" customHeight="1">
      <c r="A31" s="66"/>
      <c r="B31" s="124">
        <v>9</v>
      </c>
      <c r="C31" s="267" t="s">
        <v>5054</v>
      </c>
      <c r="D31" s="190"/>
      <c r="E31" s="159"/>
      <c r="F31" s="159"/>
      <c r="G31" s="160"/>
      <c r="H31" s="160"/>
      <c r="I31" s="160"/>
      <c r="J31" s="3291"/>
      <c r="K31" s="124"/>
      <c r="L31" s="464"/>
      <c r="M31" s="5720"/>
      <c r="N31" s="449"/>
      <c r="O31" s="953"/>
      <c r="P31" s="691"/>
      <c r="Q31" s="294"/>
      <c r="R31" s="2780"/>
      <c r="S31" s="2038"/>
      <c r="T31" s="2038"/>
      <c r="U31" s="2038"/>
      <c r="V31" s="2038"/>
      <c r="W31" s="2038"/>
      <c r="X31" s="2038"/>
      <c r="Y31" s="2038"/>
      <c r="Z31" s="2038"/>
    </row>
    <row r="32" spans="1:26" s="672" customFormat="1" ht="12" customHeight="1">
      <c r="A32" s="66"/>
      <c r="B32" s="124"/>
      <c r="C32" s="267" t="s">
        <v>5055</v>
      </c>
      <c r="D32" s="190"/>
      <c r="E32" s="159"/>
      <c r="F32" s="124"/>
      <c r="G32" s="124" t="s">
        <v>646</v>
      </c>
      <c r="H32" s="10220">
        <v>250000</v>
      </c>
      <c r="I32" s="10221"/>
      <c r="J32" s="3047"/>
      <c r="K32" s="124"/>
      <c r="L32" s="464"/>
      <c r="M32" s="5720"/>
      <c r="N32" s="449"/>
      <c r="O32" s="953"/>
      <c r="P32" s="691"/>
      <c r="Q32" s="294"/>
      <c r="R32" s="4707"/>
      <c r="S32" s="2038"/>
      <c r="T32" s="2038"/>
      <c r="U32" s="2038"/>
      <c r="V32" s="2038"/>
      <c r="W32" s="2038"/>
      <c r="X32" s="2038"/>
      <c r="Y32" s="2038"/>
      <c r="Z32" s="2038"/>
    </row>
    <row r="33" spans="1:26" s="672" customFormat="1" ht="12" customHeight="1">
      <c r="A33" s="66"/>
      <c r="B33" s="124"/>
      <c r="C33" s="267" t="s">
        <v>4133</v>
      </c>
      <c r="D33" s="190"/>
      <c r="E33" s="159"/>
      <c r="F33" s="124"/>
      <c r="G33" s="124" t="s">
        <v>661</v>
      </c>
      <c r="H33" s="10220">
        <v>125000</v>
      </c>
      <c r="I33" s="10221"/>
      <c r="J33" s="3047"/>
      <c r="K33" s="124"/>
      <c r="L33" s="464"/>
      <c r="M33" s="372"/>
      <c r="N33" s="449"/>
      <c r="O33" s="953"/>
      <c r="P33" s="691"/>
      <c r="Q33" s="294"/>
      <c r="R33" s="4707"/>
      <c r="S33" s="2038"/>
      <c r="T33" s="2038"/>
      <c r="U33" s="2038"/>
      <c r="V33" s="2038"/>
      <c r="W33" s="2038"/>
      <c r="X33" s="2038"/>
      <c r="Y33" s="2038"/>
      <c r="Z33" s="2038"/>
    </row>
    <row r="34" spans="1:26" ht="12" customHeight="1">
      <c r="A34" s="66"/>
      <c r="B34" s="124"/>
      <c r="C34" s="267" t="s">
        <v>5652</v>
      </c>
      <c r="D34" s="267"/>
      <c r="E34" s="159"/>
      <c r="F34" s="721"/>
      <c r="G34" s="124"/>
      <c r="H34" s="10220">
        <v>200000</v>
      </c>
      <c r="I34" s="10221"/>
      <c r="J34" s="228">
        <f>B31</f>
        <v>9</v>
      </c>
      <c r="K34" s="975" t="str">
        <f>IF(OR($K$30="",NOT(P7)),"",IF(M34="---","Filing Status?",M34))</f>
        <v/>
      </c>
      <c r="L34" s="464"/>
      <c r="M34" s="1027" t="str">
        <f>IF(File_Marr_Joint&lt;&gt;"",H32,IF(File_Marr_Sep&lt;&gt;"",H33,IF(OR(File_Single&lt;&gt;"",File_Head&lt;&gt;"",File_Qual_Widow&lt;&gt;""),H34,"---")))</f>
        <v>---</v>
      </c>
      <c r="N34" s="5707"/>
      <c r="O34" s="3756"/>
      <c r="P34" s="691"/>
      <c r="Q34" s="29"/>
      <c r="R34" s="3158"/>
    </row>
    <row r="35" spans="1:26" ht="12" customHeight="1" thickBot="1">
      <c r="A35" s="66"/>
      <c r="B35" s="124">
        <v>10</v>
      </c>
      <c r="C35" s="267" t="s">
        <v>5061</v>
      </c>
      <c r="D35" s="267"/>
      <c r="E35" s="159"/>
      <c r="F35" s="159"/>
      <c r="G35" s="160"/>
      <c r="H35" s="124"/>
      <c r="I35" s="124" t="s">
        <v>642</v>
      </c>
      <c r="J35" s="231">
        <f>B35</f>
        <v>10</v>
      </c>
      <c r="K35" s="977" t="str">
        <f>IF(OR($K$30="",NOT(P7),M34="---"),"",IF(K20="",0,K20))</f>
        <v/>
      </c>
      <c r="L35" s="464"/>
      <c r="M35" s="5720"/>
      <c r="N35" s="5707"/>
      <c r="O35" s="3756"/>
      <c r="P35" s="691"/>
      <c r="Q35" s="29"/>
      <c r="R35" s="3158"/>
    </row>
    <row r="36" spans="1:26" ht="12" customHeight="1" thickBot="1">
      <c r="A36" s="66"/>
      <c r="B36" s="124">
        <v>11</v>
      </c>
      <c r="C36" s="267" t="s">
        <v>5062</v>
      </c>
      <c r="D36" s="267"/>
      <c r="E36" s="159"/>
      <c r="F36" s="159"/>
      <c r="G36" s="160"/>
      <c r="H36" s="124"/>
      <c r="I36" s="124" t="s">
        <v>677</v>
      </c>
      <c r="J36" s="6001">
        <f>B36</f>
        <v>11</v>
      </c>
      <c r="K36" s="6002" t="str">
        <f>IF(OR($K$30="",NOT(P7),M34="---"),"",IF(K35&gt;=K34,0,SUM(K34,-K35)))</f>
        <v/>
      </c>
      <c r="L36" s="464"/>
      <c r="M36" s="1027">
        <f>SUM(K20,K30)</f>
        <v>0</v>
      </c>
      <c r="N36" s="5707"/>
      <c r="O36" s="3756"/>
      <c r="P36" s="691"/>
      <c r="Q36" s="29"/>
      <c r="R36" s="3158"/>
    </row>
    <row r="37" spans="1:26" ht="12.75" customHeight="1">
      <c r="A37" s="66"/>
      <c r="B37" s="124">
        <v>12</v>
      </c>
      <c r="C37" s="267" t="s">
        <v>5063</v>
      </c>
      <c r="D37" s="190"/>
      <c r="E37" s="159"/>
      <c r="F37" s="159"/>
      <c r="G37" s="160"/>
      <c r="H37" s="160"/>
      <c r="I37" s="160"/>
      <c r="J37" s="160"/>
      <c r="K37" s="124" t="s">
        <v>709</v>
      </c>
      <c r="L37" s="228">
        <f>B37</f>
        <v>12</v>
      </c>
      <c r="M37" s="975" t="str">
        <f>IF(OR($K$30="",NOT(P7),M34="---"),"",IF(K36&gt;=K30,0,SUM(K30,-K36)))</f>
        <v/>
      </c>
      <c r="N37" s="5707"/>
      <c r="O37" s="3756"/>
      <c r="P37" s="691"/>
      <c r="Q37" s="294"/>
      <c r="R37" s="3158"/>
    </row>
    <row r="38" spans="1:26" s="672" customFormat="1" ht="12" customHeight="1">
      <c r="A38" s="66"/>
      <c r="B38" s="124">
        <v>13</v>
      </c>
      <c r="C38" s="267" t="str">
        <f>"Additional Medicare Tax on self-employment income. Multiply line 12 by "&amp;TEXT(M38,"0.0%")&amp;" ("&amp;TEXT(M38,"0.000")&amp;"). Enter here"</f>
        <v>Additional Medicare Tax on self-employment income. Multiply line 12 by 0.9% (0.009). Enter here</v>
      </c>
      <c r="D38" s="190"/>
      <c r="E38" s="159"/>
      <c r="F38" s="159"/>
      <c r="G38" s="160"/>
      <c r="H38" s="160"/>
      <c r="I38" s="160"/>
      <c r="J38" s="160"/>
      <c r="K38" s="124"/>
      <c r="L38" s="396"/>
      <c r="M38" s="993">
        <v>8.9999999999999993E-3</v>
      </c>
      <c r="N38" s="449"/>
      <c r="O38" s="953"/>
      <c r="P38" s="691"/>
      <c r="Q38" s="294"/>
      <c r="R38" s="3158"/>
      <c r="S38" s="2038"/>
      <c r="T38" s="2038"/>
      <c r="U38" s="2038"/>
      <c r="V38" s="2038"/>
      <c r="W38" s="2038"/>
      <c r="X38" s="2038"/>
      <c r="Y38" s="2038"/>
      <c r="Z38" s="2038"/>
    </row>
    <row r="39" spans="1:26" ht="12.75" customHeight="1">
      <c r="A39" s="66"/>
      <c r="B39" s="124"/>
      <c r="C39" s="267" t="s">
        <v>5650</v>
      </c>
      <c r="D39" s="267"/>
      <c r="E39" s="159"/>
      <c r="F39" s="159"/>
      <c r="G39" s="160"/>
      <c r="H39" s="160"/>
      <c r="I39" s="160"/>
      <c r="J39" s="160"/>
      <c r="K39" s="859" t="s">
        <v>2163</v>
      </c>
      <c r="L39" s="396">
        <f>B38</f>
        <v>13</v>
      </c>
      <c r="M39" s="975" t="str">
        <f>IF(OR($K$30="",NOT(P7),M34="---"),"",IF(P39&lt;&gt;"",ROUND(P39,0),ROUND(M37*M38,0)))</f>
        <v/>
      </c>
      <c r="N39" s="5707"/>
      <c r="O39" s="179"/>
      <c r="P39" s="300"/>
      <c r="Q39" s="294"/>
      <c r="R39" s="3155"/>
    </row>
    <row r="40" spans="1:26" s="672" customFormat="1" ht="15.75" customHeight="1">
      <c r="A40" s="66"/>
      <c r="B40" s="3683" t="s">
        <v>2243</v>
      </c>
      <c r="C40" s="9113" t="s">
        <v>5064</v>
      </c>
      <c r="D40" s="9113"/>
      <c r="E40" s="9114"/>
      <c r="F40" s="9114"/>
      <c r="G40" s="9114"/>
      <c r="H40" s="9114"/>
      <c r="I40" s="9114"/>
      <c r="J40" s="9114"/>
      <c r="K40" s="9114"/>
      <c r="L40" s="9114"/>
      <c r="M40" s="9114"/>
      <c r="N40" s="5708"/>
      <c r="O40" s="5729"/>
      <c r="P40" s="691"/>
      <c r="Q40" s="683"/>
      <c r="R40" s="3158"/>
      <c r="S40" s="2038"/>
      <c r="T40" s="2038"/>
      <c r="U40" s="2038"/>
      <c r="V40" s="2038"/>
      <c r="W40" s="2038"/>
      <c r="X40" s="2038"/>
      <c r="Y40" s="2038"/>
      <c r="Z40" s="2038"/>
    </row>
    <row r="41" spans="1:26" s="672" customFormat="1" ht="12" customHeight="1">
      <c r="A41" s="66"/>
      <c r="B41" s="124">
        <v>14</v>
      </c>
      <c r="C41" s="190" t="s">
        <v>5651</v>
      </c>
      <c r="D41" s="190"/>
      <c r="E41" s="159"/>
      <c r="F41" s="159"/>
      <c r="G41" s="160"/>
      <c r="H41" s="160"/>
      <c r="I41" s="160"/>
      <c r="J41" s="994"/>
      <c r="K41" s="124"/>
      <c r="L41" s="464"/>
      <c r="M41" s="341"/>
      <c r="N41" s="449"/>
      <c r="O41" s="953"/>
      <c r="P41" s="691"/>
      <c r="Q41" s="294"/>
      <c r="R41" s="3158"/>
      <c r="S41" s="2038"/>
      <c r="T41" s="2038"/>
      <c r="U41" s="2038"/>
      <c r="V41" s="2038"/>
      <c r="W41" s="2038"/>
      <c r="X41" s="2038"/>
      <c r="Y41" s="2038"/>
      <c r="Z41" s="2038"/>
    </row>
    <row r="42" spans="1:26" ht="12" customHeight="1">
      <c r="A42" s="66"/>
      <c r="B42" s="124"/>
      <c r="C42" s="995" t="s">
        <v>2326</v>
      </c>
      <c r="D42" s="267"/>
      <c r="E42" s="159"/>
      <c r="F42" s="159"/>
      <c r="G42" s="160"/>
      <c r="H42" s="124"/>
      <c r="I42" s="124" t="s">
        <v>642</v>
      </c>
      <c r="J42" s="228">
        <f>B41</f>
        <v>14</v>
      </c>
      <c r="K42" s="1982" t="str">
        <f>IF(P42&lt;&gt;"",ROUND(P42,0),IF(OR(NOT(P7),RRTA_Compensation=0),"",ROUND(RRTA_Compensation,0)))</f>
        <v/>
      </c>
      <c r="L42" s="464"/>
      <c r="M42" s="5720"/>
      <c r="N42" s="5707"/>
      <c r="O42" s="3756"/>
      <c r="P42" s="300"/>
      <c r="Q42" s="29"/>
      <c r="R42" s="3158"/>
    </row>
    <row r="43" spans="1:26" s="672" customFormat="1" ht="12" customHeight="1">
      <c r="A43" s="66"/>
      <c r="B43" s="124">
        <v>15</v>
      </c>
      <c r="C43" s="267" t="s">
        <v>5054</v>
      </c>
      <c r="D43" s="190"/>
      <c r="E43" s="159"/>
      <c r="F43" s="159"/>
      <c r="G43" s="160"/>
      <c r="H43" s="160"/>
      <c r="I43" s="160"/>
      <c r="J43" s="3291"/>
      <c r="K43" s="124"/>
      <c r="L43" s="464"/>
      <c r="M43" s="5720"/>
      <c r="N43" s="449"/>
      <c r="O43" s="953"/>
      <c r="P43" s="691"/>
      <c r="Q43" s="294"/>
      <c r="R43" s="3158"/>
      <c r="S43" s="2038"/>
      <c r="T43" s="2038"/>
      <c r="U43" s="2038"/>
      <c r="V43" s="2038"/>
      <c r="W43" s="2038"/>
      <c r="X43" s="2038"/>
      <c r="Y43" s="2038"/>
      <c r="Z43" s="2038"/>
    </row>
    <row r="44" spans="1:26" s="672" customFormat="1" ht="12" customHeight="1">
      <c r="A44" s="66"/>
      <c r="B44" s="124"/>
      <c r="C44" s="267" t="s">
        <v>5055</v>
      </c>
      <c r="D44" s="190"/>
      <c r="E44" s="159"/>
      <c r="F44" s="124"/>
      <c r="G44" s="124" t="s">
        <v>646</v>
      </c>
      <c r="H44" s="10220">
        <v>250000</v>
      </c>
      <c r="I44" s="10221"/>
      <c r="J44" s="3047"/>
      <c r="K44" s="124"/>
      <c r="L44" s="464"/>
      <c r="M44" s="5720"/>
      <c r="N44" s="449"/>
      <c r="O44" s="953"/>
      <c r="P44" s="691"/>
      <c r="Q44" s="294"/>
      <c r="R44" s="3158"/>
      <c r="S44" s="2038"/>
      <c r="T44" s="2038"/>
      <c r="U44" s="2038"/>
      <c r="V44" s="2038"/>
      <c r="W44" s="2038"/>
      <c r="X44" s="2038"/>
      <c r="Y44" s="2038"/>
      <c r="Z44" s="2038"/>
    </row>
    <row r="45" spans="1:26" s="672" customFormat="1" ht="12" customHeight="1">
      <c r="A45" s="66"/>
      <c r="B45" s="124"/>
      <c r="C45" s="267" t="s">
        <v>4133</v>
      </c>
      <c r="D45" s="190"/>
      <c r="E45" s="159"/>
      <c r="F45" s="124"/>
      <c r="G45" s="124" t="s">
        <v>709</v>
      </c>
      <c r="H45" s="10220">
        <v>125000</v>
      </c>
      <c r="I45" s="10221"/>
      <c r="J45" s="3047"/>
      <c r="K45" s="124"/>
      <c r="L45" s="464"/>
      <c r="M45" s="372"/>
      <c r="N45" s="449"/>
      <c r="O45" s="953"/>
      <c r="P45" s="691"/>
      <c r="Q45" s="294"/>
      <c r="R45" s="3158"/>
      <c r="S45" s="2038"/>
      <c r="T45" s="2038"/>
      <c r="U45" s="2038"/>
      <c r="V45" s="2038"/>
      <c r="W45" s="2038"/>
      <c r="X45" s="2038"/>
      <c r="Y45" s="2038"/>
      <c r="Z45" s="2038"/>
    </row>
    <row r="46" spans="1:26" ht="12" customHeight="1" thickBot="1">
      <c r="A46" s="66"/>
      <c r="B46" s="124"/>
      <c r="C46" s="267" t="s">
        <v>5652</v>
      </c>
      <c r="D46" s="267"/>
      <c r="E46" s="159"/>
      <c r="F46" s="159"/>
      <c r="G46" s="124"/>
      <c r="H46" s="10220">
        <v>200000</v>
      </c>
      <c r="I46" s="10221"/>
      <c r="J46" s="3746">
        <f>B43</f>
        <v>15</v>
      </c>
      <c r="K46" s="6003" t="str">
        <f>IF(OR($K$42="",NOT(P7)),"",IF(M46="---","Filing Status?",M46))</f>
        <v/>
      </c>
      <c r="L46" s="464"/>
      <c r="M46" s="1027" t="str">
        <f>IF(File_Marr_Joint&lt;&gt;"",H44,IF(File_Marr_Sep&lt;&gt;"",H45,IF(OR(File_Single&lt;&gt;"",File_Head&lt;&gt;"",File_Qual_Widow&lt;&gt;""),H46,"---")))</f>
        <v>---</v>
      </c>
      <c r="N46" s="5707"/>
      <c r="O46" s="3756"/>
      <c r="P46" s="691"/>
      <c r="Q46" s="29"/>
      <c r="R46" s="3158"/>
    </row>
    <row r="47" spans="1:26" ht="12.75" customHeight="1">
      <c r="A47" s="66"/>
      <c r="B47" s="124">
        <v>16</v>
      </c>
      <c r="C47" s="267" t="s">
        <v>5065</v>
      </c>
      <c r="D47" s="190"/>
      <c r="E47" s="159"/>
      <c r="F47" s="159"/>
      <c r="G47" s="160"/>
      <c r="H47" s="160"/>
      <c r="I47" s="160"/>
      <c r="J47" s="160"/>
      <c r="K47" s="859" t="s">
        <v>746</v>
      </c>
      <c r="L47" s="228">
        <f>B47</f>
        <v>16</v>
      </c>
      <c r="M47" s="975" t="str">
        <f>IF(OR($K$42="",NOT(P7),M46="---"),"",IF(OR(K42="",K46&gt;=K42),0,SUM(K42,-K46)))</f>
        <v/>
      </c>
      <c r="N47" s="5707"/>
      <c r="O47" s="3756"/>
      <c r="P47" s="691"/>
      <c r="Q47" s="294"/>
      <c r="R47" s="3158"/>
    </row>
    <row r="48" spans="1:26" s="672" customFormat="1" ht="12" customHeight="1">
      <c r="A48" s="66"/>
      <c r="B48" s="124">
        <v>17</v>
      </c>
      <c r="C48" s="190" t="str">
        <f>"Additional Medicare Tax on railroad retirement (RRTA) compensation. Multiply line 16 by "&amp;TEXT(M48,"0.0%")&amp;" ("&amp;TEXT(M48,"0.000")&amp;")."</f>
        <v>Additional Medicare Tax on railroad retirement (RRTA) compensation. Multiply line 16 by 0.9% (0.009).</v>
      </c>
      <c r="D48" s="190"/>
      <c r="E48" s="159"/>
      <c r="F48" s="159"/>
      <c r="G48" s="160"/>
      <c r="H48" s="160"/>
      <c r="I48" s="160"/>
      <c r="J48" s="160"/>
      <c r="K48" s="3662"/>
      <c r="L48" s="396"/>
      <c r="M48" s="993">
        <v>8.9999999999999993E-3</v>
      </c>
      <c r="N48" s="449"/>
      <c r="O48" s="953"/>
      <c r="P48" s="691"/>
      <c r="Q48" s="294"/>
      <c r="R48" s="3158"/>
      <c r="S48" s="2038"/>
      <c r="T48" s="2038"/>
      <c r="U48" s="2038"/>
      <c r="V48" s="2038"/>
      <c r="W48" s="2038"/>
      <c r="X48" s="2038"/>
      <c r="Y48" s="2038"/>
      <c r="Z48" s="2038"/>
    </row>
    <row r="49" spans="1:26" ht="12.75" customHeight="1">
      <c r="A49" s="66"/>
      <c r="B49" s="124"/>
      <c r="C49" s="267" t="s">
        <v>5066</v>
      </c>
      <c r="D49" s="267"/>
      <c r="E49" s="159"/>
      <c r="F49" s="159"/>
      <c r="G49" s="160"/>
      <c r="H49" s="160"/>
      <c r="I49" s="160"/>
      <c r="J49" s="160"/>
      <c r="K49" s="859" t="s">
        <v>665</v>
      </c>
      <c r="L49" s="396">
        <f>B48</f>
        <v>17</v>
      </c>
      <c r="M49" s="975" t="str">
        <f>IF(OR($K$42="",NOT(P7),M46="---"),"",IF(P49&lt;&gt;"",ROUND(P49,0),ROUND(M47*M48,0)))</f>
        <v/>
      </c>
      <c r="N49" s="5707"/>
      <c r="O49" s="179"/>
      <c r="P49" s="300"/>
      <c r="Q49" s="294"/>
      <c r="R49" s="3155"/>
    </row>
    <row r="50" spans="1:26" s="672" customFormat="1" ht="15.75" customHeight="1">
      <c r="A50" s="66"/>
      <c r="B50" s="3292" t="s">
        <v>2410</v>
      </c>
      <c r="C50" s="9113" t="s">
        <v>5067</v>
      </c>
      <c r="D50" s="9113"/>
      <c r="E50" s="9114"/>
      <c r="F50" s="9114"/>
      <c r="G50" s="9114"/>
      <c r="H50" s="9114"/>
      <c r="I50" s="9114"/>
      <c r="J50" s="9114"/>
      <c r="K50" s="9114"/>
      <c r="L50" s="9114"/>
      <c r="M50" s="9114"/>
      <c r="N50" s="5708"/>
      <c r="O50" s="5729"/>
      <c r="P50" s="691"/>
      <c r="Q50" s="683"/>
      <c r="R50" s="3158"/>
      <c r="S50" s="2038"/>
      <c r="T50" s="2038"/>
      <c r="U50" s="2038"/>
      <c r="V50" s="2038"/>
      <c r="W50" s="2038"/>
      <c r="X50" s="2038"/>
      <c r="Y50" s="2038"/>
      <c r="Z50" s="2038"/>
    </row>
    <row r="51" spans="1:26" s="672" customFormat="1" ht="12" customHeight="1">
      <c r="A51" s="66"/>
      <c r="B51" s="124">
        <v>18</v>
      </c>
      <c r="C51" s="190" t="s">
        <v>5653</v>
      </c>
      <c r="D51" s="190"/>
      <c r="E51" s="159"/>
      <c r="F51" s="190"/>
      <c r="G51" s="160"/>
      <c r="H51" s="160"/>
      <c r="I51" s="160"/>
      <c r="J51" s="160"/>
      <c r="K51" s="124"/>
      <c r="L51" s="155"/>
      <c r="M51" s="993">
        <v>8.9999999999999993E-3</v>
      </c>
      <c r="N51" s="449"/>
      <c r="O51" s="953"/>
      <c r="P51" s="691"/>
      <c r="Q51" s="294"/>
      <c r="R51" s="3158"/>
      <c r="S51" s="2038"/>
      <c r="T51" s="2038"/>
      <c r="U51" s="2038"/>
      <c r="V51" s="2038"/>
      <c r="W51" s="2038"/>
      <c r="X51" s="2038"/>
      <c r="Y51" s="2038"/>
      <c r="Z51" s="2038"/>
    </row>
    <row r="52" spans="1:26" ht="12.75" customHeight="1">
      <c r="A52" s="66"/>
      <c r="B52" s="124"/>
      <c r="C52" s="190" t="s">
        <v>5654</v>
      </c>
      <c r="D52" s="267"/>
      <c r="E52" s="159"/>
      <c r="F52" s="159"/>
      <c r="G52" s="160"/>
      <c r="H52" s="160"/>
      <c r="I52" s="160"/>
      <c r="J52" s="160"/>
      <c r="K52" s="859" t="s">
        <v>650</v>
      </c>
      <c r="L52" s="396">
        <f>B51</f>
        <v>18</v>
      </c>
      <c r="M52" s="975" t="str">
        <f>IF(P52&lt;&gt;"",ROUND(P52,0),IF(OR(NOT(P7),AND(M27="",M39="",M49="")),"",SUM(M27,M39,M49)))</f>
        <v/>
      </c>
      <c r="N52" s="5707"/>
      <c r="O52" s="179"/>
      <c r="P52" s="300"/>
      <c r="Q52" s="294"/>
      <c r="R52" s="3155"/>
    </row>
    <row r="53" spans="1:26" s="672" customFormat="1" ht="15.75" customHeight="1">
      <c r="A53" s="66"/>
      <c r="B53" s="3292" t="s">
        <v>2425</v>
      </c>
      <c r="C53" s="9113" t="s">
        <v>5068</v>
      </c>
      <c r="D53" s="9113"/>
      <c r="E53" s="9114"/>
      <c r="F53" s="9114"/>
      <c r="G53" s="9114"/>
      <c r="H53" s="9114"/>
      <c r="I53" s="9114"/>
      <c r="J53" s="9114"/>
      <c r="K53" s="9114"/>
      <c r="L53" s="9114"/>
      <c r="M53" s="9114"/>
      <c r="N53" s="5708"/>
      <c r="O53" s="5729"/>
      <c r="P53" s="691"/>
      <c r="Q53" s="683"/>
      <c r="R53" s="3158"/>
      <c r="S53" s="2038"/>
      <c r="T53" s="2038"/>
      <c r="U53" s="2038"/>
      <c r="V53" s="2038"/>
      <c r="W53" s="2038"/>
      <c r="X53" s="2038"/>
      <c r="Y53" s="2038"/>
      <c r="Z53" s="2038"/>
    </row>
    <row r="54" spans="1:26" s="672" customFormat="1" ht="12" customHeight="1">
      <c r="A54" s="66"/>
      <c r="B54" s="124">
        <v>19</v>
      </c>
      <c r="C54" s="267" t="s">
        <v>5069</v>
      </c>
      <c r="D54" s="190"/>
      <c r="E54" s="159"/>
      <c r="F54" s="159"/>
      <c r="G54" s="160"/>
      <c r="H54" s="160"/>
      <c r="I54" s="160"/>
      <c r="J54" s="994"/>
      <c r="K54" s="124"/>
      <c r="L54" s="464"/>
      <c r="M54" s="341"/>
      <c r="N54" s="449"/>
      <c r="O54" s="953"/>
      <c r="P54" s="691"/>
      <c r="Q54" s="294"/>
      <c r="R54" s="3158"/>
      <c r="S54" s="2038"/>
      <c r="T54" s="2038"/>
      <c r="U54" s="2038"/>
      <c r="V54" s="2038"/>
      <c r="W54" s="2038"/>
      <c r="X54" s="2038"/>
      <c r="Y54" s="2038"/>
      <c r="Z54" s="2038"/>
    </row>
    <row r="55" spans="1:26" ht="12" customHeight="1">
      <c r="A55" s="66"/>
      <c r="B55" s="124"/>
      <c r="C55" s="267" t="s">
        <v>5070</v>
      </c>
      <c r="D55" s="267"/>
      <c r="E55" s="159"/>
      <c r="F55" s="159"/>
      <c r="G55" s="160"/>
      <c r="H55" s="124"/>
      <c r="I55" s="859" t="s">
        <v>699</v>
      </c>
      <c r="J55" s="228">
        <f>B54</f>
        <v>19</v>
      </c>
      <c r="K55" s="975" t="str">
        <f>IF(P55&lt;&gt;"",ROUND(P55,0),IF(OR(NOT(P7),MedCare_Tax_Withheld=0),"",MedCare_Tax_Withheld))</f>
        <v/>
      </c>
      <c r="L55" s="464"/>
      <c r="M55" s="5720"/>
      <c r="N55" s="5707"/>
      <c r="O55" s="3756"/>
      <c r="P55" s="300"/>
      <c r="Q55" s="29"/>
      <c r="R55" s="3158"/>
    </row>
    <row r="56" spans="1:26" ht="12" customHeight="1">
      <c r="A56" s="66"/>
      <c r="B56" s="124">
        <v>20</v>
      </c>
      <c r="C56" s="267" t="s">
        <v>5071</v>
      </c>
      <c r="D56" s="267"/>
      <c r="E56" s="159"/>
      <c r="F56" s="159"/>
      <c r="G56" s="160"/>
      <c r="H56" s="124"/>
      <c r="I56" s="124" t="s">
        <v>646</v>
      </c>
      <c r="J56" s="228">
        <f>B56</f>
        <v>20</v>
      </c>
      <c r="K56" s="975" t="str">
        <f>K17</f>
        <v/>
      </c>
      <c r="L56" s="464"/>
      <c r="M56" s="5720"/>
      <c r="N56" s="5707"/>
      <c r="O56" s="3756"/>
      <c r="P56" s="691"/>
      <c r="Q56" s="29"/>
      <c r="R56" s="3158"/>
    </row>
    <row r="57" spans="1:26" s="672" customFormat="1" ht="12" customHeight="1">
      <c r="A57" s="66"/>
      <c r="B57" s="124">
        <v>21</v>
      </c>
      <c r="C57" s="267" t="str">
        <f>"Multiply line 20 by "&amp;TEXT(K57,"0.00%")&amp;" ("&amp;TEXT(K57,"0.0000")&amp;"). This is your regular Medicare tax"</f>
        <v>Multiply line 20 by 1.45% (0.0145). This is your regular Medicare tax</v>
      </c>
      <c r="D57" s="190"/>
      <c r="E57" s="159"/>
      <c r="F57" s="159"/>
      <c r="G57" s="160"/>
      <c r="H57" s="160"/>
      <c r="I57" s="160"/>
      <c r="J57" s="3291"/>
      <c r="K57" s="996">
        <v>1.4500000000000001E-2</v>
      </c>
      <c r="L57" s="464"/>
      <c r="M57" s="372"/>
      <c r="N57" s="449"/>
      <c r="O57" s="953"/>
      <c r="P57" s="691"/>
      <c r="Q57" s="294"/>
      <c r="R57" s="3158"/>
      <c r="S57" s="2038"/>
      <c r="T57" s="2038"/>
      <c r="U57" s="2038"/>
      <c r="V57" s="2038"/>
      <c r="W57" s="2038"/>
      <c r="X57" s="2038"/>
      <c r="Y57" s="2038"/>
      <c r="Z57" s="2038"/>
    </row>
    <row r="58" spans="1:26" ht="12" customHeight="1" thickBot="1">
      <c r="A58" s="66"/>
      <c r="B58" s="124"/>
      <c r="C58" s="2810" t="s">
        <v>5072</v>
      </c>
      <c r="D58" s="267"/>
      <c r="E58" s="159"/>
      <c r="F58" s="159"/>
      <c r="G58" s="160"/>
      <c r="H58" s="124"/>
      <c r="I58" s="124" t="s">
        <v>661</v>
      </c>
      <c r="J58" s="3746">
        <f>B57</f>
        <v>21</v>
      </c>
      <c r="K58" s="6003" t="str">
        <f>IF(OR(K56="",NOT(P7)),"",ROUND(K56*K57,0))</f>
        <v/>
      </c>
      <c r="L58" s="464"/>
      <c r="M58" s="5720"/>
      <c r="N58" s="5707"/>
      <c r="O58" s="3756"/>
      <c r="P58" s="691"/>
      <c r="Q58" s="29"/>
      <c r="R58" s="3158"/>
    </row>
    <row r="59" spans="1:26" s="672" customFormat="1" ht="12" customHeight="1">
      <c r="A59" s="66"/>
      <c r="B59" s="124">
        <v>22</v>
      </c>
      <c r="C59" s="267" t="s">
        <v>5073</v>
      </c>
      <c r="D59" s="190"/>
      <c r="E59" s="159"/>
      <c r="F59" s="159"/>
      <c r="G59" s="160"/>
      <c r="H59" s="160"/>
      <c r="I59" s="160"/>
      <c r="J59" s="160"/>
      <c r="K59" s="124"/>
      <c r="L59" s="464"/>
      <c r="M59" s="993">
        <v>8.9999999999999993E-3</v>
      </c>
      <c r="N59" s="449"/>
      <c r="O59" s="953"/>
      <c r="P59" s="691"/>
      <c r="Q59" s="294"/>
      <c r="R59" s="3158"/>
      <c r="S59" s="2038"/>
      <c r="T59" s="2038"/>
      <c r="U59" s="2038"/>
      <c r="V59" s="2038"/>
      <c r="W59" s="2038"/>
      <c r="X59" s="2038"/>
      <c r="Y59" s="2038"/>
      <c r="Z59" s="2038"/>
    </row>
    <row r="60" spans="1:26" ht="12.75" customHeight="1">
      <c r="A60" s="66"/>
      <c r="B60" s="124"/>
      <c r="C60" s="267" t="s">
        <v>5072</v>
      </c>
      <c r="D60" s="267"/>
      <c r="E60" s="159"/>
      <c r="F60" s="159"/>
      <c r="G60" s="160"/>
      <c r="H60" s="160"/>
      <c r="I60" s="160"/>
      <c r="J60" s="160"/>
      <c r="K60" s="859" t="s">
        <v>740</v>
      </c>
      <c r="L60" s="227">
        <f>B59</f>
        <v>22</v>
      </c>
      <c r="M60" s="975" t="str">
        <f>IF(OR(NOT(P7),K55="",K58=""),"",MAX(0,SUM(K55,-K58)))</f>
        <v/>
      </c>
      <c r="N60" s="5707"/>
      <c r="O60" s="179"/>
      <c r="P60" s="691"/>
      <c r="Q60" s="294"/>
      <c r="R60" s="3155"/>
    </row>
    <row r="61" spans="1:26" s="672" customFormat="1" ht="12" customHeight="1">
      <c r="A61" s="66"/>
      <c r="B61" s="124">
        <v>23</v>
      </c>
      <c r="C61" s="267" t="s">
        <v>5074</v>
      </c>
      <c r="D61" s="190"/>
      <c r="E61" s="159"/>
      <c r="F61" s="159"/>
      <c r="G61" s="160"/>
      <c r="H61" s="160"/>
      <c r="I61" s="160"/>
      <c r="J61" s="160"/>
      <c r="K61" s="124"/>
      <c r="L61" s="396"/>
      <c r="M61" s="993">
        <v>8.9999999999999993E-3</v>
      </c>
      <c r="N61" s="449"/>
      <c r="O61" s="953"/>
      <c r="P61" s="691"/>
      <c r="Q61" s="294"/>
      <c r="R61" s="3158"/>
      <c r="S61" s="2038"/>
      <c r="T61" s="2038"/>
      <c r="U61" s="2038"/>
      <c r="V61" s="2038"/>
      <c r="W61" s="2038"/>
      <c r="X61" s="2038"/>
      <c r="Y61" s="2038"/>
      <c r="Z61" s="2038"/>
    </row>
    <row r="62" spans="1:26" ht="12.75" customHeight="1" thickBot="1">
      <c r="A62" s="66"/>
      <c r="B62" s="124"/>
      <c r="C62" s="267" t="s">
        <v>5075</v>
      </c>
      <c r="D62" s="267"/>
      <c r="E62" s="159"/>
      <c r="F62" s="159"/>
      <c r="G62" s="160"/>
      <c r="H62" s="160"/>
      <c r="I62" s="160"/>
      <c r="J62" s="160"/>
      <c r="K62" s="859" t="s">
        <v>740</v>
      </c>
      <c r="L62" s="5907">
        <f>B61</f>
        <v>23</v>
      </c>
      <c r="M62" s="6005" t="str">
        <f>IF(P62&lt;&gt;"",ROUND(P62,0),IF(OR(NOT(P7),RRTA_TaxWH=0),"",ROUND(RRTA_TaxWH,0)))</f>
        <v/>
      </c>
      <c r="N62" s="5707"/>
      <c r="O62" s="179"/>
      <c r="P62" s="300"/>
      <c r="Q62" s="294"/>
      <c r="R62" s="3155"/>
    </row>
    <row r="63" spans="1:26" s="672" customFormat="1" ht="12" customHeight="1">
      <c r="A63" s="66"/>
      <c r="B63" s="124">
        <v>24</v>
      </c>
      <c r="C63" s="267" t="s">
        <v>5076</v>
      </c>
      <c r="D63" s="190"/>
      <c r="E63" s="159"/>
      <c r="F63" s="159"/>
      <c r="G63" s="160"/>
      <c r="H63" s="160"/>
      <c r="I63" s="160"/>
      <c r="J63" s="160"/>
      <c r="K63" s="124"/>
      <c r="L63" s="396"/>
      <c r="M63" s="993">
        <v>8.9999999999999993E-3</v>
      </c>
      <c r="N63" s="449"/>
      <c r="O63" s="953"/>
      <c r="P63" s="691"/>
      <c r="Q63" s="294"/>
      <c r="R63" s="3158"/>
      <c r="S63" s="2038"/>
      <c r="T63" s="2038"/>
      <c r="U63" s="2038"/>
      <c r="V63" s="2038"/>
      <c r="W63" s="2038"/>
      <c r="X63" s="2038"/>
      <c r="Y63" s="2038"/>
      <c r="Z63" s="2038"/>
    </row>
    <row r="64" spans="1:26" s="672" customFormat="1" ht="12" customHeight="1">
      <c r="A64" s="66"/>
      <c r="B64" s="124"/>
      <c r="C64" s="267" t="s">
        <v>5077</v>
      </c>
      <c r="D64" s="190"/>
      <c r="E64" s="159"/>
      <c r="F64" s="159"/>
      <c r="G64" s="160"/>
      <c r="H64" s="160"/>
      <c r="I64" s="160"/>
      <c r="J64" s="160"/>
      <c r="K64" s="124"/>
      <c r="L64" s="396"/>
      <c r="M64" s="993"/>
      <c r="N64" s="449"/>
      <c r="O64" s="953"/>
      <c r="P64" s="691"/>
      <c r="Q64" s="294"/>
      <c r="R64" s="3158"/>
      <c r="S64" s="2038"/>
      <c r="T64" s="2038"/>
      <c r="U64" s="2038"/>
      <c r="V64" s="2038"/>
      <c r="W64" s="2038"/>
      <c r="X64" s="2038"/>
      <c r="Y64" s="2038"/>
      <c r="Z64" s="2038"/>
    </row>
    <row r="65" spans="1:26" ht="12.75" customHeight="1" thickBot="1">
      <c r="A65" s="66"/>
      <c r="B65" s="124"/>
      <c r="C65" s="267" t="s">
        <v>5655</v>
      </c>
      <c r="D65" s="267"/>
      <c r="E65" s="159"/>
      <c r="F65" s="159"/>
      <c r="G65" s="160"/>
      <c r="H65" s="160"/>
      <c r="I65" s="160"/>
      <c r="J65" s="160"/>
      <c r="K65" s="859" t="s">
        <v>642</v>
      </c>
      <c r="L65" s="396">
        <f>B63</f>
        <v>24</v>
      </c>
      <c r="M65" s="975">
        <f>IF(P65&lt;&gt;"",ROUND(P65,0),IF(OR(NOT(P7),F8959_Tax=""),0,ROUND(SUM(M60,M62),0)))</f>
        <v>0</v>
      </c>
      <c r="N65" s="5707"/>
      <c r="O65" s="953"/>
      <c r="P65" s="300"/>
      <c r="Q65" s="294"/>
      <c r="R65" s="3155"/>
    </row>
    <row r="66" spans="1:26" s="163" customFormat="1" ht="17.25" customHeight="1">
      <c r="A66" s="66"/>
      <c r="B66" s="3684" t="s">
        <v>979</v>
      </c>
      <c r="C66" s="184"/>
      <c r="D66" s="184"/>
      <c r="E66" s="184"/>
      <c r="F66" s="184"/>
      <c r="G66" s="373"/>
      <c r="H66" s="3854"/>
      <c r="I66" s="373"/>
      <c r="J66" s="3685" t="s">
        <v>5078</v>
      </c>
      <c r="K66" s="373"/>
      <c r="L66" s="3686" t="s">
        <v>5079</v>
      </c>
      <c r="M66" s="6004" t="str">
        <f>"  ("&amp;TaxYear&amp;")"</f>
        <v xml:space="preserve">  (2023)</v>
      </c>
      <c r="N66" s="454"/>
      <c r="O66" s="953"/>
      <c r="P66" s="691"/>
      <c r="Q66" s="29"/>
      <c r="R66" s="3158"/>
      <c r="S66" s="2038"/>
      <c r="T66" s="2038"/>
      <c r="U66" s="2038"/>
      <c r="V66" s="2038"/>
      <c r="W66" s="2038"/>
      <c r="X66" s="2038"/>
      <c r="Y66" s="2038"/>
      <c r="Z66" s="2038"/>
    </row>
    <row r="67" spans="1:26" s="163" customFormat="1" ht="15" customHeight="1">
      <c r="A67" s="66"/>
      <c r="B67" s="457"/>
      <c r="C67" s="378"/>
      <c r="D67" s="378"/>
      <c r="E67" s="66"/>
      <c r="F67" s="66"/>
      <c r="G67" s="66"/>
      <c r="H67" s="66"/>
      <c r="I67" s="66"/>
      <c r="J67" s="458"/>
      <c r="K67" s="458"/>
      <c r="L67" s="458"/>
      <c r="M67" s="458"/>
      <c r="N67" s="455"/>
      <c r="O67" s="953"/>
      <c r="P67" s="691"/>
      <c r="Q67" s="162"/>
      <c r="R67" s="3158"/>
      <c r="S67" s="2038"/>
      <c r="T67" s="2038"/>
      <c r="U67" s="2038"/>
      <c r="V67" s="2038"/>
      <c r="W67" s="2038"/>
      <c r="X67" s="2038"/>
      <c r="Y67" s="2038"/>
      <c r="Z67" s="2038"/>
    </row>
    <row r="68" spans="1:26" s="163" customFormat="1" ht="23.25" customHeight="1">
      <c r="A68" s="39"/>
      <c r="B68" s="118"/>
      <c r="C68" s="181"/>
      <c r="D68" s="181"/>
      <c r="E68" s="39"/>
      <c r="F68" s="39"/>
      <c r="G68" s="39"/>
      <c r="H68" s="39"/>
      <c r="I68" s="39"/>
      <c r="J68" s="185"/>
      <c r="K68" s="185"/>
      <c r="L68" s="185"/>
      <c r="M68" s="185"/>
      <c r="N68" s="376"/>
      <c r="O68"/>
      <c r="P68" s="377"/>
      <c r="Q68" s="162"/>
      <c r="R68" s="3158"/>
      <c r="S68" s="2038"/>
      <c r="T68" s="2038"/>
      <c r="U68" s="2038"/>
      <c r="V68" s="2038"/>
      <c r="W68" s="2038"/>
      <c r="X68" s="2038"/>
      <c r="Y68" s="2038"/>
      <c r="Z68" s="2038"/>
    </row>
    <row r="69" spans="1:26" s="163" customFormat="1" ht="24" customHeight="1" thickBot="1">
      <c r="A69" s="39"/>
      <c r="B69" s="118"/>
      <c r="C69" s="181"/>
      <c r="D69" s="181"/>
      <c r="E69" s="39"/>
      <c r="F69" s="39"/>
      <c r="G69" s="39"/>
      <c r="H69" s="39"/>
      <c r="I69" s="39"/>
      <c r="J69" s="185"/>
      <c r="K69" s="185"/>
      <c r="L69" s="185"/>
      <c r="M69" s="185"/>
      <c r="N69" s="376"/>
      <c r="O69"/>
      <c r="P69" s="377"/>
      <c r="Q69" s="676"/>
      <c r="R69" s="3157"/>
      <c r="S69" s="2038"/>
      <c r="T69" s="2038"/>
      <c r="U69" s="2038"/>
      <c r="V69" s="2038"/>
      <c r="W69" s="2038"/>
      <c r="X69" s="2038"/>
      <c r="Y69" s="2038"/>
      <c r="Z69" s="2038"/>
    </row>
    <row r="70" spans="1:26" s="163" customFormat="1" ht="15" customHeight="1" thickTop="1" thickBot="1">
      <c r="A70" s="39"/>
      <c r="B70" s="118"/>
      <c r="C70" s="9088" t="s">
        <v>5080</v>
      </c>
      <c r="D70" s="9089"/>
      <c r="E70" s="9089"/>
      <c r="F70" s="9089"/>
      <c r="G70" s="9090"/>
      <c r="H70" s="185"/>
      <c r="I70" s="185"/>
      <c r="J70"/>
      <c r="K70"/>
      <c r="L70" s="185"/>
      <c r="M70" s="185"/>
      <c r="N70" s="185"/>
      <c r="O70"/>
      <c r="P70" s="676"/>
      <c r="Q70" s="676"/>
      <c r="R70" s="3157"/>
      <c r="S70" s="2038"/>
      <c r="T70" s="2038"/>
      <c r="U70" s="2038"/>
      <c r="V70" s="2038"/>
      <c r="W70" s="2038"/>
      <c r="X70" s="2038"/>
      <c r="Y70" s="2038"/>
      <c r="Z70" s="2038"/>
    </row>
    <row r="71" spans="1:26" s="163" customFormat="1" ht="8.25" customHeight="1" thickTop="1" thickBot="1">
      <c r="A71" s="39"/>
      <c r="B71" s="118"/>
      <c r="C71" s="181"/>
      <c r="D71" s="181"/>
      <c r="E71" s="39"/>
      <c r="F71" s="39"/>
      <c r="G71" s="185"/>
      <c r="H71" s="185"/>
      <c r="I71" s="185"/>
      <c r="J71"/>
      <c r="K71"/>
      <c r="L71" s="185"/>
      <c r="M71" s="185"/>
      <c r="N71" s="185"/>
      <c r="O71"/>
      <c r="P71" s="676"/>
      <c r="Q71" s="676"/>
      <c r="R71" s="3157"/>
      <c r="S71" s="2038"/>
      <c r="T71" s="2038"/>
      <c r="U71" s="2038"/>
      <c r="V71" s="2038"/>
      <c r="W71" s="2038"/>
      <c r="X71" s="2038"/>
      <c r="Y71" s="2038"/>
      <c r="Z71" s="2038"/>
    </row>
    <row r="72" spans="1:26" s="163" customFormat="1" ht="17.25" customHeight="1" thickTop="1" thickBot="1">
      <c r="A72" s="39"/>
      <c r="B72" s="118"/>
      <c r="C72" s="9088" t="s">
        <v>5081</v>
      </c>
      <c r="D72" s="9089"/>
      <c r="E72" s="9089"/>
      <c r="F72" s="9089"/>
      <c r="G72" s="9090"/>
      <c r="H72" s="185"/>
      <c r="I72" s="185"/>
      <c r="J72"/>
      <c r="K72"/>
      <c r="L72" s="185"/>
      <c r="M72" s="185"/>
      <c r="N72" s="185"/>
      <c r="O72"/>
      <c r="P72" s="676"/>
      <c r="Q72"/>
      <c r="R72" s="3153"/>
      <c r="S72" s="2038"/>
      <c r="T72" s="2038"/>
      <c r="U72" s="2038"/>
      <c r="V72" s="2038"/>
      <c r="W72" s="2038"/>
      <c r="X72" s="2038"/>
      <c r="Y72" s="2038"/>
      <c r="Z72" s="2038"/>
    </row>
    <row r="73" spans="1:26" s="163" customFormat="1" ht="12.75" customHeight="1" thickTop="1">
      <c r="A73" s="39"/>
      <c r="B73"/>
      <c r="C73"/>
      <c r="D73"/>
      <c r="E73"/>
      <c r="F73"/>
      <c r="G73"/>
      <c r="H73"/>
      <c r="I73"/>
      <c r="J73"/>
      <c r="K73"/>
      <c r="L73"/>
      <c r="M73"/>
      <c r="N73"/>
      <c r="O73"/>
      <c r="P73"/>
      <c r="Q73"/>
      <c r="R73" s="3153"/>
      <c r="S73" s="2038"/>
      <c r="T73" s="2038"/>
      <c r="U73" s="2038"/>
      <c r="V73" s="2038"/>
      <c r="W73" s="2038"/>
      <c r="X73" s="2038"/>
      <c r="Y73" s="2038"/>
      <c r="Z73" s="2038"/>
    </row>
    <row r="74" spans="1:26" s="163" customFormat="1" ht="21.75" customHeight="1">
      <c r="A74" s="39"/>
      <c r="B74"/>
      <c r="C74"/>
      <c r="D74"/>
      <c r="E74"/>
      <c r="F74"/>
      <c r="G74"/>
      <c r="H74"/>
      <c r="I74"/>
      <c r="J74"/>
      <c r="K74"/>
      <c r="L74"/>
      <c r="M74"/>
      <c r="N74"/>
      <c r="O74"/>
      <c r="P74"/>
      <c r="Q74"/>
      <c r="R74" s="3153"/>
      <c r="S74" s="2038"/>
      <c r="T74" s="2038"/>
      <c r="U74" s="2038"/>
      <c r="V74" s="2038"/>
      <c r="W74" s="2038"/>
      <c r="X74" s="2038"/>
      <c r="Y74" s="2038"/>
      <c r="Z74" s="2038"/>
    </row>
    <row r="75" spans="1:26" s="163" customFormat="1" ht="22.5" customHeight="1">
      <c r="A75" s="39"/>
      <c r="B75"/>
      <c r="C75"/>
      <c r="D75"/>
      <c r="E75"/>
      <c r="F75"/>
      <c r="G75"/>
      <c r="H75"/>
      <c r="I75"/>
      <c r="J75"/>
      <c r="K75"/>
      <c r="L75"/>
      <c r="M75"/>
      <c r="N75"/>
      <c r="O75"/>
      <c r="P75"/>
      <c r="Q75"/>
      <c r="R75" s="3153"/>
      <c r="S75" s="2038"/>
      <c r="T75" s="2038"/>
      <c r="U75" s="2038"/>
      <c r="V75" s="2038"/>
      <c r="W75" s="2038"/>
      <c r="X75" s="2038"/>
      <c r="Y75" s="2038"/>
      <c r="Z75" s="2038"/>
    </row>
    <row r="76" spans="1:26" s="163" customFormat="1" ht="12.75" customHeight="1">
      <c r="A76" s="39"/>
      <c r="B76"/>
      <c r="C76"/>
      <c r="D76"/>
      <c r="E76"/>
      <c r="F76"/>
      <c r="G76"/>
      <c r="H76"/>
      <c r="I76"/>
      <c r="J76"/>
      <c r="K76"/>
      <c r="L76"/>
      <c r="M76"/>
      <c r="N76"/>
      <c r="O76"/>
      <c r="P76"/>
      <c r="Q76"/>
      <c r="R76" s="3153"/>
      <c r="S76" s="2038"/>
      <c r="T76" s="2038"/>
      <c r="U76" s="2038"/>
      <c r="V76" s="2038"/>
      <c r="W76" s="2038"/>
      <c r="X76" s="2038"/>
      <c r="Y76" s="2038"/>
      <c r="Z76" s="2038"/>
    </row>
    <row r="77" spans="1:26" s="163" customFormat="1" ht="12.75" customHeight="1">
      <c r="A77" s="39"/>
      <c r="B77"/>
      <c r="C77"/>
      <c r="D77"/>
      <c r="E77"/>
      <c r="F77"/>
      <c r="G77"/>
      <c r="H77"/>
      <c r="I77"/>
      <c r="J77"/>
      <c r="K77"/>
      <c r="L77"/>
      <c r="M77"/>
      <c r="N77"/>
      <c r="O77"/>
      <c r="P77"/>
      <c r="Q77"/>
      <c r="R77" s="3153"/>
      <c r="S77" s="2038"/>
      <c r="T77" s="2038"/>
      <c r="U77" s="2038"/>
      <c r="V77" s="2038"/>
      <c r="W77" s="2038"/>
      <c r="X77" s="2038"/>
      <c r="Y77" s="2038"/>
      <c r="Z77" s="2038"/>
    </row>
    <row r="78" spans="1:26" s="163" customFormat="1" ht="17.25" customHeight="1">
      <c r="A78" s="39"/>
      <c r="B78"/>
      <c r="C78"/>
      <c r="D78"/>
      <c r="E78"/>
      <c r="F78"/>
      <c r="G78"/>
      <c r="H78"/>
      <c r="I78"/>
      <c r="J78"/>
      <c r="K78"/>
      <c r="L78"/>
      <c r="M78"/>
      <c r="N78"/>
      <c r="O78"/>
      <c r="P78"/>
      <c r="Q78"/>
      <c r="R78" s="3153"/>
      <c r="S78" s="2038"/>
      <c r="T78" s="2038"/>
      <c r="U78" s="2038"/>
      <c r="V78" s="2038"/>
      <c r="W78" s="2038"/>
      <c r="X78" s="2038"/>
      <c r="Y78" s="2038"/>
      <c r="Z78" s="2038"/>
    </row>
    <row r="79" spans="1:26" s="163" customFormat="1" ht="14.25" customHeight="1">
      <c r="A79" s="39"/>
      <c r="B79"/>
      <c r="C79"/>
      <c r="D79"/>
      <c r="E79"/>
      <c r="F79"/>
      <c r="G79"/>
      <c r="H79"/>
      <c r="I79"/>
      <c r="J79"/>
      <c r="K79"/>
      <c r="L79"/>
      <c r="M79"/>
      <c r="N79"/>
      <c r="O79"/>
      <c r="P79"/>
      <c r="Q79"/>
      <c r="R79" s="3153"/>
      <c r="S79" s="2038"/>
      <c r="T79" s="2038"/>
      <c r="U79" s="2038"/>
      <c r="V79" s="2038"/>
      <c r="W79" s="2038"/>
      <c r="X79" s="2038"/>
      <c r="Y79" s="2038"/>
      <c r="Z79" s="2038"/>
    </row>
    <row r="80" spans="1:26" s="163" customFormat="1">
      <c r="A80" s="39"/>
      <c r="B80"/>
      <c r="C80"/>
      <c r="D80"/>
      <c r="E80"/>
      <c r="F80"/>
      <c r="G80"/>
      <c r="H80"/>
      <c r="I80"/>
      <c r="J80"/>
      <c r="K80"/>
      <c r="L80"/>
      <c r="M80"/>
      <c r="N80"/>
      <c r="O80"/>
      <c r="P80"/>
      <c r="Q80"/>
      <c r="R80" s="3153"/>
      <c r="S80" s="2038"/>
      <c r="T80" s="2038"/>
      <c r="U80" s="2038"/>
      <c r="V80" s="2038"/>
      <c r="W80" s="2038"/>
      <c r="X80" s="2038"/>
      <c r="Y80" s="2038"/>
      <c r="Z80" s="2038"/>
    </row>
    <row r="81" spans="1:26" s="163" customFormat="1">
      <c r="A81" s="39"/>
      <c r="B81"/>
      <c r="C81"/>
      <c r="D81"/>
      <c r="E81"/>
      <c r="F81"/>
      <c r="G81"/>
      <c r="H81"/>
      <c r="I81"/>
      <c r="J81"/>
      <c r="K81"/>
      <c r="L81"/>
      <c r="M81"/>
      <c r="N81"/>
      <c r="O81"/>
      <c r="P81"/>
      <c r="Q81"/>
      <c r="R81" s="3153"/>
      <c r="S81" s="2038"/>
      <c r="T81" s="2038"/>
      <c r="U81" s="2038"/>
      <c r="V81" s="2038"/>
      <c r="W81" s="2038"/>
      <c r="X81" s="2038"/>
      <c r="Y81" s="2038"/>
      <c r="Z81" s="2038"/>
    </row>
    <row r="82" spans="1:26" s="163" customFormat="1">
      <c r="A82" s="39"/>
      <c r="B82"/>
      <c r="C82"/>
      <c r="D82"/>
      <c r="E82"/>
      <c r="F82"/>
      <c r="G82"/>
      <c r="H82"/>
      <c r="I82"/>
      <c r="J82"/>
      <c r="K82"/>
      <c r="L82"/>
      <c r="M82"/>
      <c r="N82"/>
      <c r="O82"/>
      <c r="P82"/>
      <c r="Q82"/>
      <c r="R82" s="3153"/>
      <c r="S82" s="2038"/>
      <c r="T82" s="2038"/>
      <c r="U82" s="2038"/>
      <c r="V82" s="2038"/>
      <c r="W82" s="2038"/>
      <c r="X82" s="2038"/>
      <c r="Y82" s="2038"/>
      <c r="Z82" s="2038"/>
    </row>
    <row r="83" spans="1:26" s="163" customFormat="1">
      <c r="A83" s="39"/>
      <c r="B83"/>
      <c r="C83"/>
      <c r="D83"/>
      <c r="E83"/>
      <c r="F83"/>
      <c r="G83"/>
      <c r="H83"/>
      <c r="I83"/>
      <c r="J83"/>
      <c r="K83"/>
      <c r="L83"/>
      <c r="M83"/>
      <c r="N83"/>
      <c r="O83"/>
      <c r="P83"/>
      <c r="Q83"/>
      <c r="R83" s="3153"/>
      <c r="S83" s="2038"/>
      <c r="T83" s="2038"/>
      <c r="U83" s="2038"/>
      <c r="V83" s="2038"/>
      <c r="W83" s="2038"/>
      <c r="X83" s="2038"/>
      <c r="Y83" s="2038"/>
      <c r="Z83" s="2038"/>
    </row>
    <row r="84" spans="1:26" s="163" customFormat="1">
      <c r="A84" s="39"/>
      <c r="B84"/>
      <c r="C84"/>
      <c r="D84"/>
      <c r="E84"/>
      <c r="F84"/>
      <c r="G84"/>
      <c r="H84"/>
      <c r="I84"/>
      <c r="J84"/>
      <c r="K84"/>
      <c r="L84"/>
      <c r="M84"/>
      <c r="N84"/>
      <c r="O84"/>
      <c r="P84"/>
      <c r="Q84"/>
      <c r="R84" s="3153"/>
      <c r="S84" s="2038"/>
      <c r="T84" s="2038"/>
      <c r="U84" s="2038"/>
      <c r="V84" s="2038"/>
      <c r="W84" s="2038"/>
      <c r="X84" s="2038"/>
      <c r="Y84" s="2038"/>
      <c r="Z84" s="2038"/>
    </row>
    <row r="85" spans="1:26" s="163" customFormat="1">
      <c r="A85" s="39"/>
      <c r="B85"/>
      <c r="C85"/>
      <c r="D85"/>
      <c r="E85"/>
      <c r="F85"/>
      <c r="G85"/>
      <c r="H85"/>
      <c r="I85"/>
      <c r="J85"/>
      <c r="K85"/>
      <c r="L85"/>
      <c r="M85"/>
      <c r="N85"/>
      <c r="O85"/>
      <c r="P85"/>
      <c r="Q85"/>
      <c r="R85" s="3153"/>
      <c r="S85" s="2038"/>
      <c r="T85" s="2038"/>
      <c r="U85" s="2038"/>
      <c r="V85" s="2038"/>
      <c r="W85" s="2038"/>
      <c r="X85" s="2038"/>
      <c r="Y85" s="2038"/>
      <c r="Z85" s="2038"/>
    </row>
  </sheetData>
  <sheetProtection algorithmName="SHA-512" hashValue="hLfka0bItA7fXznmGZMGahzL1qaV5vYBclDz9V2u+ixlRWJUCu7UFBQesNUnGPNSWNousJuGUcARq94j58lgHw==" saltValue="JdnQ+tIkNZVJesKa+UQhkw==" spinCount="100000" sheet="1" objects="1" scenarios="1"/>
  <mergeCells count="31">
    <mergeCell ref="H22:I22"/>
    <mergeCell ref="H23:I23"/>
    <mergeCell ref="H24:I24"/>
    <mergeCell ref="H44:I44"/>
    <mergeCell ref="H45:I45"/>
    <mergeCell ref="C70:G70"/>
    <mergeCell ref="C72:G72"/>
    <mergeCell ref="C28:M28"/>
    <mergeCell ref="C40:M40"/>
    <mergeCell ref="C50:M50"/>
    <mergeCell ref="C53:M53"/>
    <mergeCell ref="H32:I32"/>
    <mergeCell ref="H33:I33"/>
    <mergeCell ref="H34:I34"/>
    <mergeCell ref="H46:I46"/>
    <mergeCell ref="K13:M13"/>
    <mergeCell ref="B14:J14"/>
    <mergeCell ref="K14:M14"/>
    <mergeCell ref="C15:M15"/>
    <mergeCell ref="B11:D11"/>
    <mergeCell ref="E11:K11"/>
    <mergeCell ref="L11:M11"/>
    <mergeCell ref="B12:D12"/>
    <mergeCell ref="E12:K12"/>
    <mergeCell ref="L12:M12"/>
    <mergeCell ref="L8:M8"/>
    <mergeCell ref="B9:B10"/>
    <mergeCell ref="C9:D10"/>
    <mergeCell ref="E9:K9"/>
    <mergeCell ref="L9:M10"/>
    <mergeCell ref="E10:K10"/>
  </mergeCells>
  <conditionalFormatting sqref="B3:B6">
    <cfRule type="expression" dxfId="171" priority="2">
      <formula>IF(P3,1,0)</formula>
    </cfRule>
  </conditionalFormatting>
  <conditionalFormatting sqref="B14:M14">
    <cfRule type="expression" dxfId="170" priority="99">
      <formula>IF(NoColor,1,0)</formula>
    </cfRule>
  </conditionalFormatting>
  <conditionalFormatting sqref="K17:K20">
    <cfRule type="expression" dxfId="169" priority="15">
      <formula>IF(NoColor,1,0)</formula>
    </cfRule>
  </conditionalFormatting>
  <conditionalFormatting sqref="K24">
    <cfRule type="expression" dxfId="168" priority="6">
      <formula>IF(NoColor,1,0)</formula>
    </cfRule>
  </conditionalFormatting>
  <conditionalFormatting sqref="K30">
    <cfRule type="expression" dxfId="167" priority="41">
      <formula>IF(NoColor,1,0)</formula>
    </cfRule>
  </conditionalFormatting>
  <conditionalFormatting sqref="K34:K36">
    <cfRule type="expression" dxfId="166" priority="14">
      <formula>IF(NoColor,1,0)</formula>
    </cfRule>
  </conditionalFormatting>
  <conditionalFormatting sqref="K42">
    <cfRule type="expression" dxfId="165" priority="9">
      <formula>IF(NoColor,1,0)</formula>
    </cfRule>
  </conditionalFormatting>
  <conditionalFormatting sqref="K46">
    <cfRule type="expression" dxfId="164" priority="5">
      <formula>IF(NoColor,1,0)</formula>
    </cfRule>
  </conditionalFormatting>
  <conditionalFormatting sqref="K55:K56">
    <cfRule type="expression" dxfId="163" priority="22">
      <formula>IF(NoColor,1,0)</formula>
    </cfRule>
  </conditionalFormatting>
  <conditionalFormatting sqref="K58">
    <cfRule type="expression" dxfId="162" priority="20">
      <formula>IF(NoColor,1,0)</formula>
    </cfRule>
  </conditionalFormatting>
  <conditionalFormatting sqref="M25">
    <cfRule type="expression" dxfId="161" priority="12">
      <formula>IF(NoColor,1,0)</formula>
    </cfRule>
  </conditionalFormatting>
  <conditionalFormatting sqref="M27">
    <cfRule type="expression" dxfId="160" priority="43">
      <formula>IF(NoColor,1,0)</formula>
    </cfRule>
  </conditionalFormatting>
  <conditionalFormatting sqref="M37">
    <cfRule type="expression" dxfId="159" priority="10">
      <formula>IF(NoColor,1,0)</formula>
    </cfRule>
  </conditionalFormatting>
  <conditionalFormatting sqref="M39">
    <cfRule type="expression" dxfId="158" priority="11">
      <formula>IF(NoColor,1,0)</formula>
    </cfRule>
  </conditionalFormatting>
  <conditionalFormatting sqref="M47">
    <cfRule type="expression" dxfId="157" priority="7">
      <formula>IF(NoColor,1,0)</formula>
    </cfRule>
  </conditionalFormatting>
  <conditionalFormatting sqref="M49">
    <cfRule type="expression" dxfId="156" priority="8">
      <formula>IF(NoColor,1,0)</formula>
    </cfRule>
  </conditionalFormatting>
  <conditionalFormatting sqref="M52">
    <cfRule type="expression" dxfId="155" priority="26">
      <formula>IF(NoColor,1,0)</formula>
    </cfRule>
  </conditionalFormatting>
  <conditionalFormatting sqref="M60">
    <cfRule type="expression" dxfId="154" priority="19">
      <formula>IF(NoColor,1,0)</formula>
    </cfRule>
  </conditionalFormatting>
  <conditionalFormatting sqref="M62">
    <cfRule type="expression" dxfId="153" priority="18">
      <formula>IF(NoColor,1,0)</formula>
    </cfRule>
  </conditionalFormatting>
  <conditionalFormatting sqref="M65">
    <cfRule type="expression" dxfId="152" priority="17">
      <formula>IF(NoColor,1,0)</formula>
    </cfRule>
  </conditionalFormatting>
  <hyperlinks>
    <hyperlink ref="C70:G70" r:id="rId1" display="Download Form 8959" xr:uid="{00000000-0004-0000-3500-000000000000}"/>
    <hyperlink ref="C72:G72" r:id="rId2" display="Download Form 8959 Instructions" xr:uid="{00000000-0004-0000-3500-000001000000}"/>
  </hyperlinks>
  <pageMargins left="0.75" right="0.25" top="0.36" bottom="0.28999999999999998" header="0.36" footer="0.21"/>
  <pageSetup scale="91" fitToHeight="0" orientation="portrait" r:id="rId3"/>
  <rowBreaks count="1" manualBreakCount="1">
    <brk id="66" min="1" max="12"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N95"/>
  <sheetViews>
    <sheetView zoomScaleNormal="100" zoomScaleSheetLayoutView="100" workbookViewId="0"/>
  </sheetViews>
  <sheetFormatPr defaultRowHeight="12.75"/>
  <cols>
    <col min="1" max="1" width="2.42578125" style="39" customWidth="1"/>
    <col min="2" max="2" width="7.85546875" customWidth="1"/>
    <col min="3" max="3" width="3.140625" customWidth="1"/>
    <col min="4" max="4" width="10.7109375" customWidth="1"/>
    <col min="5" max="5" width="9.5703125" customWidth="1"/>
    <col min="6" max="6" width="2.7109375" customWidth="1"/>
    <col min="7" max="7" width="18.85546875" customWidth="1"/>
    <col min="8" max="8" width="9.28515625" customWidth="1"/>
    <col min="9" max="9" width="4" customWidth="1"/>
    <col min="10" max="10" width="6.7109375" customWidth="1"/>
    <col min="11" max="11" width="4.5703125" style="187" customWidth="1"/>
    <col min="12" max="12" width="14.140625" customWidth="1"/>
    <col min="13" max="13" width="3.7109375" customWidth="1"/>
    <col min="14" max="14" width="14.140625" customWidth="1"/>
    <col min="15" max="15" width="2.5703125" customWidth="1"/>
    <col min="16" max="16" width="3.85546875" customWidth="1"/>
    <col min="17" max="17" width="18.140625" customWidth="1"/>
    <col min="18" max="18" width="2.28515625" customWidth="1"/>
    <col min="19" max="19" width="13.5703125" style="163" customWidth="1"/>
    <col min="20" max="20" width="2.7109375" style="163" customWidth="1"/>
    <col min="21" max="21" width="5.85546875" customWidth="1"/>
    <col min="22" max="22" width="5" customWidth="1"/>
    <col min="23" max="23" width="4.28515625" customWidth="1"/>
    <col min="24" max="24" width="27" customWidth="1"/>
    <col min="25" max="25" width="12.85546875" customWidth="1"/>
    <col min="26" max="26" width="12.42578125" customWidth="1"/>
    <col min="27" max="27" width="13.7109375" customWidth="1"/>
    <col min="28" max="28" width="9.85546875" customWidth="1"/>
    <col min="29" max="29" width="15.28515625" customWidth="1"/>
    <col min="30" max="30" width="3.85546875" customWidth="1"/>
    <col min="31" max="31" width="4" customWidth="1"/>
    <col min="32" max="40" width="10.7109375" style="2038" customWidth="1"/>
  </cols>
  <sheetData>
    <row r="1" spans="1:32" ht="17.25" customHeight="1" thickBot="1">
      <c r="A1" s="3051"/>
      <c r="B1" s="443"/>
      <c r="C1" s="443"/>
      <c r="D1" s="443"/>
      <c r="E1" s="443"/>
      <c r="F1" s="443"/>
      <c r="G1" s="443"/>
      <c r="H1" s="443"/>
      <c r="I1" s="443"/>
      <c r="J1" s="443"/>
      <c r="K1" s="443"/>
      <c r="L1" s="443"/>
      <c r="M1" s="3052"/>
      <c r="N1" s="443"/>
      <c r="O1" s="443"/>
      <c r="P1" s="780"/>
      <c r="Q1" s="780"/>
      <c r="R1" s="780"/>
      <c r="S1" s="1009"/>
      <c r="T1" s="1009"/>
      <c r="U1" s="780"/>
      <c r="V1" s="780"/>
      <c r="W1" s="780"/>
      <c r="X1" s="780"/>
      <c r="Y1" s="780"/>
      <c r="Z1" s="780"/>
      <c r="AA1" s="780"/>
      <c r="AB1" s="780"/>
      <c r="AC1" s="780"/>
      <c r="AD1" s="780"/>
      <c r="AF1" s="2037" t="s">
        <v>241</v>
      </c>
    </row>
    <row r="2" spans="1:32" ht="17.25" customHeight="1">
      <c r="A2" s="3051"/>
      <c r="B2" s="3054" t="s">
        <v>5082</v>
      </c>
      <c r="C2" s="443"/>
      <c r="D2" s="443"/>
      <c r="E2" s="443"/>
      <c r="F2" s="443"/>
      <c r="G2" s="443"/>
      <c r="H2" s="443"/>
      <c r="I2" s="443"/>
      <c r="J2" s="443"/>
      <c r="K2" s="443"/>
      <c r="L2" s="443"/>
      <c r="M2" s="3052"/>
      <c r="N2" s="443"/>
      <c r="O2" s="443"/>
      <c r="P2" s="780"/>
      <c r="Q2" s="1745" t="b">
        <f>ModAdjGrossInc&gt;Form8960_Threshhold</f>
        <v>0</v>
      </c>
      <c r="R2" s="780"/>
      <c r="S2" s="1009"/>
      <c r="T2" s="1009"/>
      <c r="U2" s="3094" t="s">
        <v>5083</v>
      </c>
      <c r="V2" s="3092"/>
      <c r="W2" s="3092"/>
      <c r="X2" s="3092"/>
      <c r="Y2" s="3092"/>
      <c r="Z2" s="3092"/>
      <c r="AA2" s="3092"/>
      <c r="AB2" s="3092"/>
      <c r="AC2" s="3092"/>
      <c r="AD2" s="3093"/>
      <c r="AF2" s="2037"/>
    </row>
    <row r="3" spans="1:32" ht="17.25" customHeight="1">
      <c r="A3" s="1990"/>
      <c r="B3" s="378"/>
      <c r="C3" s="66"/>
      <c r="D3" s="66" t="str">
        <f>"Your MAGI is: "&amp;TEXT(ModAdjGrossInc,"$0,000")&amp;"."</f>
        <v>Your MAGI is: $0,000.</v>
      </c>
      <c r="E3" s="66"/>
      <c r="F3" s="66"/>
      <c r="G3" s="66" t="str">
        <f>"Threshold amount = "&amp;TEXT(Form8960_Threshhold,"$0,000")&amp;"."</f>
        <v>Threshold amount = ---.</v>
      </c>
      <c r="H3" s="66"/>
      <c r="I3" s="66"/>
      <c r="J3" s="66"/>
      <c r="K3" s="66"/>
      <c r="L3" s="3053" t="str">
        <f>IF(NOT(F8960_Applicable),"Check to file Form 8960 anyway.","")</f>
        <v>Check to file Form 8960 anyway.</v>
      </c>
      <c r="M3" s="3146"/>
      <c r="N3" s="66"/>
      <c r="O3" s="66"/>
      <c r="P3" s="780"/>
      <c r="Q3" s="1745" t="b">
        <f>OR(F8960_Applicable,M3&lt;&gt;"")</f>
        <v>0</v>
      </c>
      <c r="R3" s="780"/>
      <c r="S3" s="1009"/>
      <c r="T3" s="1009"/>
      <c r="U3" s="3101" t="s">
        <v>5084</v>
      </c>
      <c r="V3" s="3095"/>
      <c r="W3" s="3095"/>
      <c r="X3" s="3095"/>
      <c r="Y3" s="3095"/>
      <c r="Z3" s="3095"/>
      <c r="AA3" s="3095"/>
      <c r="AB3" s="3095"/>
      <c r="AC3" s="3095"/>
      <c r="AD3" s="3096"/>
      <c r="AF3" s="2037"/>
    </row>
    <row r="4" spans="1:32">
      <c r="A4" s="3052"/>
      <c r="B4" s="3052"/>
      <c r="C4" s="443"/>
      <c r="D4" s="443"/>
      <c r="E4" s="443"/>
      <c r="F4" s="443"/>
      <c r="G4" s="443"/>
      <c r="H4" s="3052"/>
      <c r="I4" s="443"/>
      <c r="J4" s="443"/>
      <c r="K4" s="443"/>
      <c r="L4" s="443"/>
      <c r="M4" s="443"/>
      <c r="N4" s="443"/>
      <c r="O4" s="443"/>
      <c r="P4" s="780"/>
      <c r="Q4" s="780"/>
      <c r="R4" s="780"/>
      <c r="S4" s="1009"/>
      <c r="T4" s="1009"/>
      <c r="U4" s="2640"/>
      <c r="V4" s="3095" t="s">
        <v>5085</v>
      </c>
      <c r="W4" s="3095"/>
      <c r="X4" s="3095"/>
      <c r="Y4" s="3095"/>
      <c r="Z4" s="3095"/>
      <c r="AA4" s="3095"/>
      <c r="AB4" s="3095"/>
      <c r="AC4" s="3095"/>
      <c r="AD4" s="3096"/>
    </row>
    <row r="5" spans="1:32" ht="15">
      <c r="A5" s="66"/>
      <c r="B5" s="22"/>
      <c r="C5" s="22"/>
      <c r="D5" s="83"/>
      <c r="E5" s="3433"/>
      <c r="F5" s="808"/>
      <c r="G5" s="3432"/>
      <c r="H5" s="2182"/>
      <c r="I5" s="2633"/>
      <c r="J5" s="808"/>
      <c r="K5" s="1461"/>
      <c r="L5" s="3040"/>
      <c r="M5" s="9093" t="s">
        <v>5086</v>
      </c>
      <c r="N5" s="8773"/>
      <c r="O5" s="394"/>
      <c r="P5" s="780"/>
      <c r="Q5" s="780"/>
      <c r="R5" s="780"/>
      <c r="S5" s="1009"/>
      <c r="T5" s="1009"/>
      <c r="U5" s="2640"/>
      <c r="V5" s="3095" t="s">
        <v>5087</v>
      </c>
      <c r="W5" s="3095"/>
      <c r="X5" s="3095"/>
      <c r="Y5" s="3095"/>
      <c r="Z5" s="3095"/>
      <c r="AA5" s="3095"/>
      <c r="AB5" s="3095"/>
      <c r="AC5" s="3095"/>
      <c r="AD5" s="3096"/>
    </row>
    <row r="6" spans="1:32" ht="20.25" customHeight="1">
      <c r="A6" s="66"/>
      <c r="B6" s="10035" t="s">
        <v>50</v>
      </c>
      <c r="C6" s="10210">
        <v>8960</v>
      </c>
      <c r="D6" s="10211"/>
      <c r="E6" s="2630"/>
      <c r="F6" s="2631"/>
      <c r="G6" s="808"/>
      <c r="H6" s="2632" t="s">
        <v>5088</v>
      </c>
      <c r="I6" s="808"/>
      <c r="J6" s="808"/>
      <c r="K6" s="1461"/>
      <c r="L6" s="860"/>
      <c r="M6" s="7131">
        <f>TaxYear</f>
        <v>2023</v>
      </c>
      <c r="N6" s="9094"/>
      <c r="O6" s="5699"/>
      <c r="P6" s="5372"/>
      <c r="Q6" s="23" t="s">
        <v>1113</v>
      </c>
      <c r="R6" s="892"/>
      <c r="S6" s="3174"/>
      <c r="T6" s="3174"/>
      <c r="U6" s="3102" t="str">
        <f>" must pay "&amp;TEXT(N59,"0.0%")&amp;" of the smaller of (a) or (b) as their NIIT."</f>
        <v xml:space="preserve"> must pay 3.8% of the smaller of (a) or (b) as their NIIT.</v>
      </c>
      <c r="V6" s="3095"/>
      <c r="W6" s="3095"/>
      <c r="X6" s="3095"/>
      <c r="Y6" s="3095"/>
      <c r="Z6" s="3095"/>
      <c r="AA6" s="3095"/>
      <c r="AB6" s="3095"/>
      <c r="AC6" s="3095"/>
      <c r="AD6" s="3096"/>
    </row>
    <row r="7" spans="1:32" ht="14.25" customHeight="1">
      <c r="A7" s="66"/>
      <c r="B7" s="7311"/>
      <c r="C7" s="10212"/>
      <c r="D7" s="10213"/>
      <c r="E7" s="10234" t="s">
        <v>5089</v>
      </c>
      <c r="F7" s="10234"/>
      <c r="G7" s="6942"/>
      <c r="H7" s="6942"/>
      <c r="I7" s="6942"/>
      <c r="J7" s="6942"/>
      <c r="K7" s="6942"/>
      <c r="L7" s="9866"/>
      <c r="M7" s="9095"/>
      <c r="N7" s="9096"/>
      <c r="O7" s="448"/>
      <c r="P7" s="175"/>
      <c r="Q7" s="23" t="s">
        <v>1062</v>
      </c>
      <c r="R7" s="878"/>
      <c r="S7" s="878"/>
      <c r="T7" s="878"/>
      <c r="U7" s="3101" t="s">
        <v>5090</v>
      </c>
      <c r="V7" s="3095"/>
      <c r="W7" s="3095"/>
      <c r="X7" s="3095"/>
      <c r="Y7" s="3095"/>
      <c r="Z7" s="3095"/>
      <c r="AA7" s="3095"/>
      <c r="AB7" s="3095"/>
      <c r="AC7" s="3095"/>
      <c r="AD7" s="3096"/>
    </row>
    <row r="8" spans="1:32" ht="12.75" customHeight="1">
      <c r="A8" s="66"/>
      <c r="B8" s="10012" t="s">
        <v>535</v>
      </c>
      <c r="C8" s="6848"/>
      <c r="D8" s="10013"/>
      <c r="E8" s="10226" t="s">
        <v>3898</v>
      </c>
      <c r="F8" s="10227"/>
      <c r="G8" s="10228"/>
      <c r="H8" s="10228"/>
      <c r="I8" s="10228"/>
      <c r="J8" s="10228"/>
      <c r="K8" s="10228"/>
      <c r="L8" s="10229"/>
      <c r="M8" s="10014" t="s">
        <v>4862</v>
      </c>
      <c r="N8" s="7690"/>
      <c r="O8" s="5699"/>
      <c r="P8" s="5372"/>
      <c r="Q8" s="461"/>
      <c r="R8" s="878"/>
      <c r="S8" s="1571"/>
      <c r="T8" s="1571"/>
      <c r="U8" s="3100" t="str">
        <f>IF(AND(OR(File_Marr_Joint&lt;&gt;"",File_Qual_Widow&lt;&gt;""),F8960_Applicable),"→","• ")</f>
        <v xml:space="preserve">• </v>
      </c>
      <c r="V8" s="3095" t="str">
        <f>"Married Filing Jointly or Qualifying Widow(er) is "&amp;TEXT(N42,"$0,000")&amp;"."</f>
        <v>Married Filing Jointly or Qualifying Widow(er) is $250,000.</v>
      </c>
      <c r="W8" s="3095"/>
      <c r="X8" s="3095"/>
      <c r="Y8" s="3095"/>
      <c r="Z8" s="3095"/>
      <c r="AA8" s="3095"/>
      <c r="AB8" s="3095"/>
      <c r="AC8" s="3095"/>
      <c r="AD8" s="3096"/>
    </row>
    <row r="9" spans="1:32" ht="14.25" customHeight="1" thickBot="1">
      <c r="A9" s="66"/>
      <c r="B9" s="10015" t="s">
        <v>537</v>
      </c>
      <c r="C9" s="10016"/>
      <c r="D9" s="10017"/>
      <c r="E9" s="10230" t="s">
        <v>5091</v>
      </c>
      <c r="F9" s="10231"/>
      <c r="G9" s="10232"/>
      <c r="H9" s="10232"/>
      <c r="I9" s="10232"/>
      <c r="J9" s="10232"/>
      <c r="K9" s="10232"/>
      <c r="L9" s="10233"/>
      <c r="M9" s="10021" t="s">
        <v>5092</v>
      </c>
      <c r="N9" s="9469"/>
      <c r="O9" s="448"/>
      <c r="P9" s="175"/>
      <c r="Q9" s="461"/>
      <c r="R9" s="892"/>
      <c r="S9" s="1571"/>
      <c r="T9" s="1571"/>
      <c r="U9" s="3100" t="str">
        <f>IF(AND(File_Marr_Sep&lt;&gt;"",F8960_Applicable),"→","• ")</f>
        <v xml:space="preserve">• </v>
      </c>
      <c r="V9" s="3095" t="str">
        <f>"Married Filing Separately is "&amp;TEXT(N43,"$0,000")&amp;"."</f>
        <v>Married Filing Separately is $125,000.</v>
      </c>
      <c r="W9" s="3095"/>
      <c r="X9" s="3095"/>
      <c r="Y9" s="3095"/>
      <c r="Z9" s="3095"/>
      <c r="AA9" s="3095"/>
      <c r="AB9" s="3095"/>
      <c r="AC9" s="3095"/>
      <c r="AD9" s="3096"/>
    </row>
    <row r="10" spans="1:32" ht="11.25" customHeight="1">
      <c r="A10" s="66"/>
      <c r="B10" s="20" t="s">
        <v>5093</v>
      </c>
      <c r="C10" s="130"/>
      <c r="D10" s="130"/>
      <c r="E10" s="111"/>
      <c r="F10" s="111"/>
      <c r="G10" s="112"/>
      <c r="H10" s="20"/>
      <c r="I10" s="112"/>
      <c r="J10" s="112"/>
      <c r="K10" s="3043"/>
      <c r="L10" s="9115" t="s">
        <v>5094</v>
      </c>
      <c r="M10" s="9116"/>
      <c r="N10" s="9116"/>
      <c r="O10" s="5699"/>
      <c r="P10" s="5372"/>
      <c r="Q10" s="461"/>
      <c r="R10" s="892"/>
      <c r="S10" s="2089"/>
      <c r="T10" s="2089"/>
      <c r="U10" s="3100" t="str">
        <f>IF(AND(OR(File_Single&lt;&gt;"",File_Head&lt;&gt;""),F8960_Applicable),"→","• ")</f>
        <v xml:space="preserve">• </v>
      </c>
      <c r="V10" s="1752" t="str">
        <f>"Single or Head of Household is "&amp;TEXT(N44,"$0,000")&amp;"."</f>
        <v>Single or Head of Household is $200,000.</v>
      </c>
      <c r="W10" s="3095"/>
      <c r="X10" s="3095"/>
      <c r="Y10" s="3095"/>
      <c r="Z10" s="3095"/>
      <c r="AA10" s="3095"/>
      <c r="AB10" s="3095"/>
      <c r="AC10" s="3095"/>
      <c r="AD10" s="3096"/>
    </row>
    <row r="11" spans="1:32" ht="14.25" customHeight="1">
      <c r="A11" s="66"/>
      <c r="B11" s="9127" t="str">
        <f>Names</f>
        <v/>
      </c>
      <c r="C11" s="9128"/>
      <c r="D11" s="9128"/>
      <c r="E11" s="9128"/>
      <c r="F11" s="9128"/>
      <c r="G11" s="9128"/>
      <c r="H11" s="9128"/>
      <c r="I11" s="9128"/>
      <c r="J11" s="9128"/>
      <c r="K11" s="9129"/>
      <c r="L11" s="7043">
        <f>IF(NoSSN,"",SS_Yours)</f>
        <v>1010001</v>
      </c>
      <c r="M11" s="9112"/>
      <c r="N11" s="9112"/>
      <c r="O11" s="448"/>
      <c r="P11" s="175"/>
      <c r="Q11" s="461"/>
      <c r="R11" s="892"/>
      <c r="S11" s="2089"/>
      <c r="T11" s="2089"/>
      <c r="U11" s="3100"/>
      <c r="V11" s="3095"/>
      <c r="W11" s="3095"/>
      <c r="X11" s="3095"/>
      <c r="Y11" s="3095"/>
      <c r="Z11" s="3095"/>
      <c r="AA11" s="3095"/>
      <c r="AB11" s="3095"/>
      <c r="AC11" s="3095"/>
      <c r="AD11" s="3096"/>
    </row>
    <row r="12" spans="1:32" ht="12" customHeight="1">
      <c r="A12" s="66"/>
      <c r="B12" s="3859" t="s">
        <v>2468</v>
      </c>
      <c r="C12" s="10223" t="s">
        <v>5095</v>
      </c>
      <c r="D12" s="10224"/>
      <c r="E12" s="10225"/>
      <c r="F12" s="1431"/>
      <c r="G12" s="2404" t="s">
        <v>5096</v>
      </c>
      <c r="H12" s="997"/>
      <c r="I12" s="997"/>
      <c r="J12" s="997"/>
      <c r="K12" s="3044"/>
      <c r="L12" s="997"/>
      <c r="M12" s="997"/>
      <c r="N12" s="997"/>
      <c r="O12" s="5706"/>
      <c r="P12" s="2250"/>
      <c r="Q12" s="461"/>
      <c r="R12" s="892"/>
      <c r="S12" s="892"/>
      <c r="T12" s="892"/>
      <c r="U12" s="3101" t="s">
        <v>5097</v>
      </c>
      <c r="V12" s="3095"/>
      <c r="W12" s="3095"/>
      <c r="X12" s="3095"/>
      <c r="Y12" s="3095"/>
      <c r="Z12" s="3095"/>
      <c r="AA12" s="3095"/>
      <c r="AB12" s="3095"/>
      <c r="AC12" s="3095"/>
      <c r="AD12" s="3096"/>
    </row>
    <row r="13" spans="1:32" ht="12" customHeight="1">
      <c r="A13" s="66"/>
      <c r="B13" s="187"/>
      <c r="C13" s="8595"/>
      <c r="D13" s="8595"/>
      <c r="E13" s="8596"/>
      <c r="F13" s="1431"/>
      <c r="G13" s="3041" t="s">
        <v>5098</v>
      </c>
      <c r="H13" s="1108"/>
      <c r="I13" s="1108"/>
      <c r="J13" s="1108"/>
      <c r="K13" s="3045"/>
      <c r="L13" s="1108"/>
      <c r="M13" s="1108"/>
      <c r="N13" s="1108"/>
      <c r="O13" s="5706"/>
      <c r="P13" s="2250"/>
      <c r="Q13" s="461"/>
      <c r="R13" s="892"/>
      <c r="S13" s="892"/>
      <c r="T13" s="892"/>
      <c r="U13" s="3101" t="s">
        <v>5099</v>
      </c>
      <c r="V13" s="3095"/>
      <c r="W13" s="3095"/>
      <c r="X13" s="3095"/>
      <c r="Y13" s="3095"/>
      <c r="Z13" s="3095"/>
      <c r="AA13" s="3095"/>
      <c r="AB13" s="3095"/>
      <c r="AC13" s="3095"/>
      <c r="AD13" s="3096"/>
    </row>
    <row r="14" spans="1:32" ht="12" customHeight="1">
      <c r="A14" s="66"/>
      <c r="B14" s="1057"/>
      <c r="C14" s="1109"/>
      <c r="D14" s="1109"/>
      <c r="E14" s="1110"/>
      <c r="F14" s="1431"/>
      <c r="G14" s="3042" t="s">
        <v>5100</v>
      </c>
      <c r="H14" s="998"/>
      <c r="I14" s="998"/>
      <c r="J14" s="998"/>
      <c r="K14" s="3046"/>
      <c r="L14" s="998"/>
      <c r="M14" s="998"/>
      <c r="N14" s="998"/>
      <c r="O14" s="5706"/>
      <c r="P14" s="2250"/>
      <c r="Q14" s="461"/>
      <c r="R14" s="892"/>
      <c r="S14" s="892"/>
      <c r="T14" s="892"/>
      <c r="U14" s="3101" t="s">
        <v>5101</v>
      </c>
      <c r="V14" s="3095"/>
      <c r="W14" s="3095"/>
      <c r="X14" s="3095"/>
      <c r="Y14" s="3095"/>
      <c r="Z14" s="3095"/>
      <c r="AA14" s="3095"/>
      <c r="AB14" s="3095"/>
      <c r="AC14" s="3095"/>
      <c r="AD14" s="3096"/>
    </row>
    <row r="15" spans="1:32" ht="13.5" customHeight="1" thickBot="1">
      <c r="A15" s="66"/>
      <c r="B15" s="124">
        <v>1</v>
      </c>
      <c r="C15" s="267" t="s">
        <v>5102</v>
      </c>
      <c r="D15" s="190"/>
      <c r="E15" s="159"/>
      <c r="F15" s="159"/>
      <c r="G15" s="159"/>
      <c r="H15" s="160"/>
      <c r="I15" s="160"/>
      <c r="J15" s="160"/>
      <c r="K15" s="297"/>
      <c r="L15" s="859" t="s">
        <v>740</v>
      </c>
      <c r="M15" s="228">
        <f>B15</f>
        <v>1</v>
      </c>
      <c r="N15" s="975" t="str">
        <f>IF(Q15&lt;&gt;"",ROUND(Q15,0),IF(File8960,TaxableInterest,""))</f>
        <v/>
      </c>
      <c r="O15" s="5707"/>
      <c r="P15" s="3756"/>
      <c r="Q15" s="300"/>
      <c r="R15" s="1604"/>
      <c r="S15" s="1604"/>
      <c r="T15" s="1604"/>
      <c r="U15" s="3097"/>
      <c r="V15" s="3098"/>
      <c r="W15" s="3098"/>
      <c r="X15" s="3098"/>
      <c r="Y15" s="3098"/>
      <c r="Z15" s="3098"/>
      <c r="AA15" s="3098"/>
      <c r="AB15" s="3098"/>
      <c r="AC15" s="3098"/>
      <c r="AD15" s="3099"/>
    </row>
    <row r="16" spans="1:32" ht="13.5" customHeight="1" thickBot="1">
      <c r="A16" s="66"/>
      <c r="B16" s="124">
        <v>2</v>
      </c>
      <c r="C16" s="267" t="s">
        <v>5103</v>
      </c>
      <c r="D16" s="190"/>
      <c r="E16" s="159"/>
      <c r="F16" s="159"/>
      <c r="G16" s="159"/>
      <c r="H16" s="160"/>
      <c r="I16" s="160"/>
      <c r="J16" s="160"/>
      <c r="K16" s="297"/>
      <c r="L16" s="859" t="s">
        <v>705</v>
      </c>
      <c r="M16" s="228">
        <f>B16</f>
        <v>2</v>
      </c>
      <c r="N16" s="975" t="str">
        <f>IF(Q16&lt;&gt;"",ROUND(Q16,0),IF(File8960,OrdinaryDividends,""))</f>
        <v/>
      </c>
      <c r="O16" s="5707"/>
      <c r="P16" s="3756"/>
      <c r="Q16" s="300"/>
      <c r="R16" s="1604"/>
      <c r="S16" s="1604"/>
      <c r="T16" s="1604"/>
      <c r="U16" s="780"/>
      <c r="V16" s="780"/>
      <c r="W16" s="780"/>
      <c r="X16" s="780"/>
      <c r="Y16" s="780"/>
      <c r="Z16" s="780"/>
      <c r="AA16" s="780"/>
      <c r="AB16" s="780"/>
      <c r="AC16" s="780"/>
      <c r="AD16" s="780"/>
    </row>
    <row r="17" spans="1:40" ht="13.5" customHeight="1">
      <c r="A17" s="66"/>
      <c r="B17" s="124">
        <v>3</v>
      </c>
      <c r="C17" s="267" t="s">
        <v>5104</v>
      </c>
      <c r="D17" s="190"/>
      <c r="E17" s="159"/>
      <c r="F17" s="159"/>
      <c r="G17" s="159"/>
      <c r="H17" s="160"/>
      <c r="I17" s="160"/>
      <c r="J17" s="160"/>
      <c r="K17" s="297"/>
      <c r="L17" s="859" t="s">
        <v>754</v>
      </c>
      <c r="M17" s="228">
        <f>B17</f>
        <v>3</v>
      </c>
      <c r="N17" s="975" t="str">
        <f>IF(Q17&lt;&gt;"",ROUND(Q17,0),IF(File8960,ROUND(NonQualAnnuity,0),""))</f>
        <v/>
      </c>
      <c r="O17" s="5707"/>
      <c r="P17" s="3756"/>
      <c r="Q17" s="300"/>
      <c r="R17" s="1604"/>
      <c r="S17" s="1604"/>
      <c r="T17" s="1604"/>
      <c r="U17" s="1001"/>
      <c r="V17" s="1641"/>
      <c r="W17" s="1641"/>
      <c r="X17" s="1641"/>
      <c r="Y17" s="1641"/>
      <c r="Z17" s="1641"/>
      <c r="AA17" s="1641"/>
      <c r="AB17" s="1641"/>
      <c r="AC17" s="1641"/>
      <c r="AD17" s="1642"/>
    </row>
    <row r="18" spans="1:40" s="672" customFormat="1" ht="13.5" customHeight="1">
      <c r="A18" s="66"/>
      <c r="B18" s="124" t="s">
        <v>643</v>
      </c>
      <c r="C18" s="267" t="s">
        <v>5764</v>
      </c>
      <c r="D18" s="190"/>
      <c r="E18" s="159"/>
      <c r="F18" s="159"/>
      <c r="G18" s="159"/>
      <c r="H18" s="160"/>
      <c r="I18" s="160"/>
      <c r="J18" s="160"/>
      <c r="K18" s="3047"/>
      <c r="L18" s="859"/>
      <c r="M18" s="464"/>
      <c r="N18" s="2285" t="str">
        <f>IF($P$21,"For Line 4b, enter","")</f>
        <v/>
      </c>
      <c r="O18" s="449"/>
      <c r="P18" s="953"/>
      <c r="Q18" s="388"/>
      <c r="R18" s="1604"/>
      <c r="S18" s="1604"/>
      <c r="T18" s="1604"/>
      <c r="U18" s="1004"/>
      <c r="V18" s="1015" t="s">
        <v>5780</v>
      </c>
      <c r="W18" s="6063"/>
      <c r="X18" s="6063"/>
      <c r="Y18" s="6063"/>
      <c r="Z18" s="6063"/>
      <c r="AA18" s="6063"/>
      <c r="AB18" s="6063"/>
      <c r="AC18" s="6063"/>
      <c r="AD18" s="1643"/>
      <c r="AF18" s="2038"/>
      <c r="AG18" s="2038"/>
      <c r="AH18" s="2038"/>
      <c r="AI18" s="2038"/>
      <c r="AJ18" s="2038"/>
      <c r="AK18" s="2038"/>
      <c r="AL18" s="2038"/>
      <c r="AM18" s="2038"/>
      <c r="AN18" s="2038"/>
    </row>
    <row r="19" spans="1:40" ht="13.5" customHeight="1">
      <c r="A19" s="66"/>
      <c r="B19" s="124"/>
      <c r="C19" s="267" t="s">
        <v>5765</v>
      </c>
      <c r="D19" s="267"/>
      <c r="E19" s="159"/>
      <c r="F19" s="159"/>
      <c r="G19" s="159"/>
      <c r="H19" s="160"/>
      <c r="I19" s="124"/>
      <c r="J19" s="124" t="s">
        <v>642</v>
      </c>
      <c r="K19" s="228" t="s">
        <v>643</v>
      </c>
      <c r="L19" s="975" t="str">
        <f>IF(Q19&lt;&gt;"",ROUND(Q19,0),IF(File8960,SUM(BusinessIncomeLoss,SchE_IncomeLoss),""))</f>
        <v/>
      </c>
      <c r="M19" s="464"/>
      <c r="N19" s="2286" t="str">
        <f>IF($P$21,"net pos. amounts","")</f>
        <v/>
      </c>
      <c r="O19" s="5707"/>
      <c r="P19" s="3756"/>
      <c r="Q19" s="300"/>
      <c r="R19" s="814"/>
      <c r="S19" s="814"/>
      <c r="T19" s="814"/>
      <c r="U19" s="1004"/>
      <c r="V19" s="6063"/>
      <c r="W19" s="6063"/>
      <c r="X19" s="6063"/>
      <c r="Y19" s="6063"/>
      <c r="Z19" s="6063"/>
      <c r="AA19" s="6063"/>
      <c r="AB19" s="6063"/>
      <c r="AC19" s="6063"/>
      <c r="AD19" s="1643"/>
    </row>
    <row r="20" spans="1:40" s="672" customFormat="1" ht="13.5" customHeight="1">
      <c r="A20" s="66"/>
      <c r="B20" s="124" t="s">
        <v>644</v>
      </c>
      <c r="C20" s="267" t="s">
        <v>5106</v>
      </c>
      <c r="D20" s="190"/>
      <c r="E20" s="159"/>
      <c r="F20" s="159"/>
      <c r="G20" s="159"/>
      <c r="H20" s="160"/>
      <c r="I20" s="160"/>
      <c r="J20" s="160"/>
      <c r="K20" s="3047"/>
      <c r="L20" s="124"/>
      <c r="M20" s="464"/>
      <c r="N20" s="2285" t="str">
        <f>IF($P$21,"as neg. adjustments","")</f>
        <v/>
      </c>
      <c r="O20" s="449"/>
      <c r="P20" s="953"/>
      <c r="Q20" s="388"/>
      <c r="R20" s="1604"/>
      <c r="S20" s="1604"/>
      <c r="T20" s="1604"/>
      <c r="U20" s="1004"/>
      <c r="V20" s="6277" t="s">
        <v>5105</v>
      </c>
      <c r="W20" s="6277"/>
      <c r="X20" s="6277"/>
      <c r="Y20" s="6277"/>
      <c r="Z20" s="6277"/>
      <c r="AA20" s="6277"/>
      <c r="AB20" s="6277"/>
      <c r="AC20" s="6277"/>
      <c r="AD20" s="1079"/>
      <c r="AF20" s="2038"/>
      <c r="AG20" s="2038"/>
      <c r="AH20" s="2038"/>
      <c r="AI20" s="2038"/>
      <c r="AJ20" s="2038"/>
      <c r="AK20" s="2038"/>
      <c r="AL20" s="2038"/>
      <c r="AM20" s="2038"/>
      <c r="AN20" s="2038"/>
    </row>
    <row r="21" spans="1:40" ht="13.5" customHeight="1">
      <c r="A21" s="66"/>
      <c r="B21" s="124"/>
      <c r="C21" s="267" t="s">
        <v>5107</v>
      </c>
      <c r="D21" s="267"/>
      <c r="E21" s="159"/>
      <c r="F21" s="159"/>
      <c r="G21" s="159"/>
      <c r="H21" s="160"/>
      <c r="I21" s="124"/>
      <c r="J21" s="124" t="s">
        <v>746</v>
      </c>
      <c r="K21" s="228" t="s">
        <v>2830</v>
      </c>
      <c r="L21" s="976"/>
      <c r="M21" s="464"/>
      <c r="N21" s="2286" t="str">
        <f>IF($P$21,"and vice versa.","")</f>
        <v/>
      </c>
      <c r="O21" s="2289"/>
      <c r="P21" s="2288" t="b">
        <f>IF(AND(L21&lt;&gt;"",O21=""),TRUE,FALSE)</f>
        <v>0</v>
      </c>
      <c r="Q21" s="2287" t="str">
        <f>IF(L21&lt;&gt;"","Hide note.","")</f>
        <v/>
      </c>
      <c r="R21" s="814"/>
      <c r="S21" s="814"/>
      <c r="T21" s="814"/>
      <c r="U21" s="1004"/>
      <c r="V21" s="6277"/>
      <c r="W21" s="6277"/>
      <c r="X21" s="6277"/>
      <c r="Y21" s="6277"/>
      <c r="Z21" s="6277"/>
      <c r="AA21" s="6277"/>
      <c r="AB21" s="6277"/>
      <c r="AC21" s="6277"/>
      <c r="AD21" s="1643"/>
    </row>
    <row r="22" spans="1:40" ht="13.5" customHeight="1">
      <c r="A22" s="66"/>
      <c r="B22" s="124" t="s">
        <v>648</v>
      </c>
      <c r="C22" s="267" t="s">
        <v>5108</v>
      </c>
      <c r="D22" s="190"/>
      <c r="E22" s="159"/>
      <c r="F22" s="159"/>
      <c r="G22" s="159"/>
      <c r="H22" s="160"/>
      <c r="I22" s="160"/>
      <c r="J22" s="160"/>
      <c r="K22" s="297"/>
      <c r="L22" s="859" t="s">
        <v>769</v>
      </c>
      <c r="M22" s="228" t="s">
        <v>3083</v>
      </c>
      <c r="N22" s="975" t="str">
        <f>IF(Q22&lt;&gt;"",Q22,IF(File8960,SUM(L19,L21),""))</f>
        <v/>
      </c>
      <c r="O22" s="5707"/>
      <c r="P22" s="3756"/>
      <c r="Q22" s="300"/>
      <c r="R22" s="1604"/>
      <c r="S22" s="1604"/>
      <c r="T22" s="1604"/>
      <c r="U22" s="1004"/>
      <c r="V22" s="6277"/>
      <c r="W22" s="6277"/>
      <c r="X22" s="6277"/>
      <c r="Y22" s="6277"/>
      <c r="Z22" s="6277"/>
      <c r="AA22" s="6277"/>
      <c r="AB22" s="6277"/>
      <c r="AC22" s="6277"/>
      <c r="AD22" s="1079"/>
    </row>
    <row r="23" spans="1:40" ht="13.5" customHeight="1">
      <c r="A23" s="66"/>
      <c r="B23" s="124" t="s">
        <v>682</v>
      </c>
      <c r="C23" s="267" t="s">
        <v>5109</v>
      </c>
      <c r="D23" s="267"/>
      <c r="E23" s="159"/>
      <c r="F23" s="159"/>
      <c r="G23" s="159"/>
      <c r="H23" s="160"/>
      <c r="I23" s="124"/>
      <c r="J23" s="124" t="s">
        <v>789</v>
      </c>
      <c r="K23" s="228" t="s">
        <v>682</v>
      </c>
      <c r="L23" s="975" t="str">
        <f>IF(Q23&lt;&gt;"",ROUND(Q23,0),IF(File8960,SUM(CapitalGains,OtherGainsLosses),""))</f>
        <v/>
      </c>
      <c r="M23" s="464"/>
      <c r="N23" s="5720"/>
      <c r="O23" s="5707"/>
      <c r="P23" s="3756"/>
      <c r="Q23" s="300"/>
      <c r="R23" s="814"/>
      <c r="S23" s="814"/>
      <c r="T23" s="814"/>
      <c r="U23" s="1004"/>
      <c r="V23" s="6277"/>
      <c r="W23" s="6277"/>
      <c r="X23" s="6277"/>
      <c r="Y23" s="6277"/>
      <c r="Z23" s="6277"/>
      <c r="AA23" s="6277"/>
      <c r="AB23" s="6277"/>
      <c r="AC23" s="6277"/>
      <c r="AD23" s="1079"/>
    </row>
    <row r="24" spans="1:40" s="672" customFormat="1" ht="13.5" customHeight="1">
      <c r="A24" s="66"/>
      <c r="B24" s="124" t="s">
        <v>644</v>
      </c>
      <c r="C24" s="267" t="s">
        <v>5766</v>
      </c>
      <c r="D24" s="190"/>
      <c r="E24" s="159"/>
      <c r="F24" s="159"/>
      <c r="G24" s="159"/>
      <c r="H24" s="160"/>
      <c r="I24" s="160"/>
      <c r="J24" s="160"/>
      <c r="K24" s="3047"/>
      <c r="L24" s="124"/>
      <c r="M24" s="464"/>
      <c r="N24" s="372"/>
      <c r="O24" s="449"/>
      <c r="P24" s="953"/>
      <c r="Q24" s="691"/>
      <c r="R24" s="1604"/>
      <c r="S24" s="1604"/>
      <c r="T24" s="1604"/>
      <c r="U24" s="1004"/>
      <c r="V24" s="6277"/>
      <c r="W24" s="6277"/>
      <c r="X24" s="6277"/>
      <c r="Y24" s="6277"/>
      <c r="Z24" s="6277"/>
      <c r="AA24" s="6277"/>
      <c r="AB24" s="6277"/>
      <c r="AC24" s="6277"/>
      <c r="AD24" s="1079"/>
      <c r="AF24" s="2038"/>
      <c r="AG24" s="2038"/>
      <c r="AH24" s="2038"/>
      <c r="AI24" s="2038"/>
      <c r="AJ24" s="2038"/>
      <c r="AK24" s="2038"/>
      <c r="AL24" s="2038"/>
      <c r="AM24" s="2038"/>
      <c r="AN24" s="2038"/>
    </row>
    <row r="25" spans="1:40" ht="13.5" customHeight="1">
      <c r="A25" s="66"/>
      <c r="B25" s="124"/>
      <c r="C25" s="267" t="s">
        <v>5767</v>
      </c>
      <c r="D25" s="267"/>
      <c r="E25" s="159"/>
      <c r="F25" s="159"/>
      <c r="G25" s="159"/>
      <c r="H25" s="160"/>
      <c r="I25" s="124"/>
      <c r="J25" s="124" t="s">
        <v>752</v>
      </c>
      <c r="K25" s="228" t="s">
        <v>1119</v>
      </c>
      <c r="L25" s="976"/>
      <c r="M25" s="464"/>
      <c r="N25" s="5720"/>
      <c r="O25" s="5707"/>
      <c r="P25" s="3756"/>
      <c r="Q25" s="691"/>
      <c r="R25" s="814"/>
      <c r="S25" s="814"/>
      <c r="T25" s="814"/>
      <c r="U25" s="1004"/>
      <c r="V25" s="6277"/>
      <c r="W25" s="6277"/>
      <c r="X25" s="6277"/>
      <c r="Y25" s="6277"/>
      <c r="Z25" s="6277"/>
      <c r="AA25" s="6277"/>
      <c r="AB25" s="6277"/>
      <c r="AC25" s="6277"/>
      <c r="AD25" s="1079"/>
    </row>
    <row r="26" spans="1:40" s="672" customFormat="1" ht="13.5" customHeight="1">
      <c r="A26" s="66"/>
      <c r="B26" s="124" t="s">
        <v>648</v>
      </c>
      <c r="C26" s="267" t="s">
        <v>5768</v>
      </c>
      <c r="D26" s="190"/>
      <c r="E26" s="159"/>
      <c r="F26" s="159"/>
      <c r="G26" s="159"/>
      <c r="H26" s="160"/>
      <c r="I26" s="160"/>
      <c r="J26" s="160"/>
      <c r="K26" s="3047"/>
      <c r="L26" s="124"/>
      <c r="M26" s="464"/>
      <c r="N26" s="372"/>
      <c r="O26" s="449"/>
      <c r="P26" s="953"/>
      <c r="Q26" s="691"/>
      <c r="R26" s="1604"/>
      <c r="S26" s="1604"/>
      <c r="T26" s="1604"/>
      <c r="U26" s="1004"/>
      <c r="V26" s="6277"/>
      <c r="W26" s="6277"/>
      <c r="X26" s="6277"/>
      <c r="Y26" s="6277"/>
      <c r="Z26" s="6277"/>
      <c r="AA26" s="6277"/>
      <c r="AB26" s="6277"/>
      <c r="AC26" s="6277"/>
      <c r="AD26" s="1079"/>
      <c r="AF26" s="2038"/>
      <c r="AG26" s="2038"/>
      <c r="AH26" s="2038"/>
      <c r="AI26" s="2038"/>
      <c r="AJ26" s="2038"/>
      <c r="AK26" s="2038"/>
      <c r="AL26" s="2038"/>
      <c r="AM26" s="2038"/>
      <c r="AN26" s="2038"/>
    </row>
    <row r="27" spans="1:40" ht="13.5" customHeight="1">
      <c r="A27" s="66"/>
      <c r="B27" s="124"/>
      <c r="C27" s="267" t="s">
        <v>2326</v>
      </c>
      <c r="D27" s="267"/>
      <c r="E27" s="159"/>
      <c r="F27" s="159"/>
      <c r="G27" s="159"/>
      <c r="H27" s="160"/>
      <c r="I27" s="124"/>
      <c r="J27" s="124" t="s">
        <v>714</v>
      </c>
      <c r="K27" s="228" t="s">
        <v>2117</v>
      </c>
      <c r="L27" s="976"/>
      <c r="M27" s="464"/>
      <c r="N27" s="5720"/>
      <c r="O27" s="5707"/>
      <c r="P27" s="3756"/>
      <c r="Q27" s="691"/>
      <c r="R27" s="814"/>
      <c r="S27" s="814"/>
      <c r="T27" s="814"/>
      <c r="U27" s="1004"/>
      <c r="V27" s="6277"/>
      <c r="W27" s="6277"/>
      <c r="X27" s="6277"/>
      <c r="Y27" s="6277"/>
      <c r="Z27" s="6277"/>
      <c r="AA27" s="6277"/>
      <c r="AB27" s="6277"/>
      <c r="AC27" s="6277"/>
      <c r="AD27" s="1643"/>
    </row>
    <row r="28" spans="1:40" ht="13.5" customHeight="1">
      <c r="A28" s="66"/>
      <c r="B28" s="124" t="s">
        <v>652</v>
      </c>
      <c r="C28" s="267" t="s">
        <v>5110</v>
      </c>
      <c r="D28" s="190"/>
      <c r="E28" s="159"/>
      <c r="F28" s="159"/>
      <c r="G28" s="159"/>
      <c r="H28" s="160"/>
      <c r="I28" s="160"/>
      <c r="J28" s="160"/>
      <c r="K28" s="297"/>
      <c r="L28" s="859" t="s">
        <v>754</v>
      </c>
      <c r="M28" s="228" t="s">
        <v>2119</v>
      </c>
      <c r="N28" s="975" t="str">
        <f>IF(Q28&lt;&gt;"",Q28,IF(File8960,SUM(L23,L25,L27),""))</f>
        <v/>
      </c>
      <c r="O28" s="5707"/>
      <c r="P28" s="3756"/>
      <c r="Q28" s="300"/>
      <c r="R28" s="1604"/>
      <c r="S28" s="1604"/>
      <c r="T28" s="1604"/>
      <c r="U28" s="1004"/>
      <c r="V28" s="6277"/>
      <c r="W28" s="6277"/>
      <c r="X28" s="6277"/>
      <c r="Y28" s="6277"/>
      <c r="Z28" s="6277"/>
      <c r="AA28" s="6277"/>
      <c r="AB28" s="6277"/>
      <c r="AC28" s="6277"/>
      <c r="AD28" s="1079"/>
    </row>
    <row r="29" spans="1:40" ht="13.5" customHeight="1">
      <c r="A29" s="66"/>
      <c r="B29" s="124">
        <v>6</v>
      </c>
      <c r="C29" s="267" t="s">
        <v>5111</v>
      </c>
      <c r="D29" s="190"/>
      <c r="E29" s="159"/>
      <c r="F29" s="159"/>
      <c r="G29" s="159"/>
      <c r="H29" s="160"/>
      <c r="I29" s="160"/>
      <c r="J29" s="160"/>
      <c r="K29" s="297"/>
      <c r="L29" s="859" t="s">
        <v>677</v>
      </c>
      <c r="M29" s="228">
        <f>B29</f>
        <v>6</v>
      </c>
      <c r="N29" s="976"/>
      <c r="O29" s="5707"/>
      <c r="P29" s="3756"/>
      <c r="Q29" s="691"/>
      <c r="R29" s="1604"/>
      <c r="S29" s="1604"/>
      <c r="T29" s="1604"/>
      <c r="U29" s="1004"/>
      <c r="V29" s="6277"/>
      <c r="W29" s="6277"/>
      <c r="X29" s="6277"/>
      <c r="Y29" s="6277"/>
      <c r="Z29" s="6277"/>
      <c r="AA29" s="6277"/>
      <c r="AB29" s="6277"/>
      <c r="AC29" s="6277"/>
      <c r="AD29" s="1079"/>
    </row>
    <row r="30" spans="1:40" ht="13.5" customHeight="1">
      <c r="A30" s="66"/>
      <c r="B30" s="124">
        <v>7</v>
      </c>
      <c r="C30" s="267" t="s">
        <v>5112</v>
      </c>
      <c r="D30" s="190"/>
      <c r="E30" s="159"/>
      <c r="F30" s="159"/>
      <c r="G30" s="159"/>
      <c r="H30" s="160"/>
      <c r="I30" s="160"/>
      <c r="J30" s="160"/>
      <c r="K30" s="297"/>
      <c r="L30" s="859" t="s">
        <v>661</v>
      </c>
      <c r="M30" s="228">
        <f>B30</f>
        <v>7</v>
      </c>
      <c r="N30" s="976"/>
      <c r="O30" s="5707"/>
      <c r="P30" s="3756"/>
      <c r="Q30" s="691"/>
      <c r="R30" s="1604"/>
      <c r="S30" s="1604"/>
      <c r="T30" s="1604"/>
      <c r="U30" s="1004"/>
      <c r="V30" s="6277"/>
      <c r="W30" s="6277"/>
      <c r="X30" s="6277"/>
      <c r="Y30" s="6277"/>
      <c r="Z30" s="6277"/>
      <c r="AA30" s="6277"/>
      <c r="AB30" s="6277"/>
      <c r="AC30" s="6277"/>
      <c r="AD30" s="1079"/>
    </row>
    <row r="31" spans="1:40" ht="13.5" customHeight="1">
      <c r="A31" s="66"/>
      <c r="B31" s="124">
        <v>8</v>
      </c>
      <c r="C31" s="267" t="s">
        <v>5113</v>
      </c>
      <c r="D31" s="190"/>
      <c r="E31" s="159"/>
      <c r="F31" s="159"/>
      <c r="G31" s="159"/>
      <c r="H31" s="160"/>
      <c r="I31" s="160"/>
      <c r="J31" s="160"/>
      <c r="K31" s="297"/>
      <c r="L31" s="859" t="s">
        <v>752</v>
      </c>
      <c r="M31" s="228">
        <f>B31</f>
        <v>8</v>
      </c>
      <c r="N31" s="975" t="str">
        <f>IF(Q31&lt;&gt;"",Q31,IF(File8960,SUM(N15,N16,N17,N22,N28,N29,N30),""))</f>
        <v/>
      </c>
      <c r="O31" s="5707"/>
      <c r="P31" s="3756"/>
      <c r="Q31" s="300"/>
      <c r="R31" s="1604"/>
      <c r="S31" s="1604"/>
      <c r="T31" s="1604"/>
      <c r="U31" s="1004"/>
      <c r="V31" s="6277"/>
      <c r="W31" s="6277"/>
      <c r="X31" s="6277"/>
      <c r="Y31" s="6277"/>
      <c r="Z31" s="6277"/>
      <c r="AA31" s="6277"/>
      <c r="AB31" s="6277"/>
      <c r="AC31" s="6277"/>
      <c r="AD31" s="1079"/>
    </row>
    <row r="32" spans="1:40" s="672" customFormat="1" ht="15.75" customHeight="1">
      <c r="A32" s="66"/>
      <c r="B32" s="3683" t="s">
        <v>982</v>
      </c>
      <c r="C32" s="9113" t="s">
        <v>5116</v>
      </c>
      <c r="D32" s="9113"/>
      <c r="E32" s="9114"/>
      <c r="F32" s="9114"/>
      <c r="G32" s="9114"/>
      <c r="H32" s="9114"/>
      <c r="I32" s="9114"/>
      <c r="J32" s="9114"/>
      <c r="K32" s="9114"/>
      <c r="L32" s="9114"/>
      <c r="M32" s="9114"/>
      <c r="N32" s="9114"/>
      <c r="O32" s="5708"/>
      <c r="P32" s="5729"/>
      <c r="Q32" s="691"/>
      <c r="R32" s="2336"/>
      <c r="S32" s="3091"/>
      <c r="T32" s="3091"/>
      <c r="U32" s="1004"/>
      <c r="V32" s="2782"/>
      <c r="W32" s="2782"/>
      <c r="X32" s="3139" t="s">
        <v>2578</v>
      </c>
      <c r="Y32" s="2782"/>
      <c r="Z32" s="3177" t="str">
        <f>IF(SchA_Filed,"","Line 9b used only when Sch. A is used.")</f>
        <v>Line 9b used only when Sch. A is used.</v>
      </c>
      <c r="AA32" s="2782"/>
      <c r="AB32" s="3176" t="s">
        <v>421</v>
      </c>
      <c r="AC32" s="2782"/>
      <c r="AD32" s="1079"/>
      <c r="AF32" s="2038"/>
      <c r="AG32" s="2038"/>
      <c r="AH32" s="2038"/>
      <c r="AI32" s="2038"/>
      <c r="AJ32" s="2038"/>
      <c r="AK32" s="2038"/>
      <c r="AL32" s="2038"/>
      <c r="AM32" s="2038"/>
      <c r="AN32" s="2038"/>
    </row>
    <row r="33" spans="1:40" ht="13.5" customHeight="1">
      <c r="A33" s="66"/>
      <c r="B33" s="124" t="s">
        <v>439</v>
      </c>
      <c r="C33" s="267" t="s">
        <v>5118</v>
      </c>
      <c r="D33" s="267"/>
      <c r="E33" s="159"/>
      <c r="F33" s="159"/>
      <c r="G33" s="159"/>
      <c r="H33" s="160"/>
      <c r="I33" s="124"/>
      <c r="J33" s="124" t="s">
        <v>654</v>
      </c>
      <c r="K33" s="228" t="s">
        <v>439</v>
      </c>
      <c r="L33" s="976"/>
      <c r="M33" s="464"/>
      <c r="N33" s="5723"/>
      <c r="O33" s="5707"/>
      <c r="P33" s="3756"/>
      <c r="Q33" s="691"/>
      <c r="R33" s="814"/>
      <c r="S33" s="814"/>
      <c r="T33" s="814"/>
      <c r="U33" s="1004"/>
      <c r="V33" s="2782"/>
      <c r="W33" s="2782"/>
      <c r="X33" s="3138" t="s">
        <v>5114</v>
      </c>
      <c r="Y33" s="2782"/>
      <c r="Z33" s="3144" t="str">
        <f>IF(SchA_Filed,Wages,"")</f>
        <v/>
      </c>
      <c r="AA33" s="2782"/>
      <c r="AB33" s="6277" t="s">
        <v>5115</v>
      </c>
      <c r="AC33" s="6277"/>
      <c r="AD33" s="1079"/>
    </row>
    <row r="34" spans="1:40" ht="13.5" customHeight="1">
      <c r="A34" s="66"/>
      <c r="B34" s="124" t="s">
        <v>644</v>
      </c>
      <c r="C34" s="267" t="s">
        <v>5120</v>
      </c>
      <c r="D34" s="267"/>
      <c r="E34" s="159"/>
      <c r="F34" s="159"/>
      <c r="G34" s="159"/>
      <c r="H34" s="160"/>
      <c r="I34" s="124"/>
      <c r="J34" s="124" t="s">
        <v>684</v>
      </c>
      <c r="K34" s="228" t="s">
        <v>441</v>
      </c>
      <c r="L34" s="975" t="str">
        <f>IF(Q34&lt;&gt;"",ROUND(Q34,0),IF(AND(SchA_Filed,File8960),Z47,""))</f>
        <v/>
      </c>
      <c r="M34" s="464"/>
      <c r="N34" s="5720"/>
      <c r="O34" s="5707"/>
      <c r="P34" s="3756"/>
      <c r="Q34" s="300"/>
      <c r="R34" s="814"/>
      <c r="S34" s="814"/>
      <c r="T34" s="814"/>
      <c r="U34" s="1004"/>
      <c r="V34" s="2782"/>
      <c r="W34" s="2782"/>
      <c r="X34" s="3138" t="s">
        <v>5117</v>
      </c>
      <c r="Y34" s="2782"/>
      <c r="Z34" s="3144" t="str">
        <f>IF(SchA_Filed,TaxableInterest,"")</f>
        <v/>
      </c>
      <c r="AA34" s="2782"/>
      <c r="AB34" s="6277"/>
      <c r="AC34" s="6277"/>
      <c r="AD34" s="1079"/>
    </row>
    <row r="35" spans="1:40" ht="13.5" customHeight="1">
      <c r="A35" s="66"/>
      <c r="B35" s="124" t="s">
        <v>648</v>
      </c>
      <c r="C35" s="267" t="s">
        <v>5122</v>
      </c>
      <c r="D35" s="267"/>
      <c r="E35" s="159"/>
      <c r="F35" s="159"/>
      <c r="G35" s="159"/>
      <c r="H35" s="160"/>
      <c r="I35" s="124"/>
      <c r="J35" s="124" t="s">
        <v>684</v>
      </c>
      <c r="K35" s="228" t="s">
        <v>3569</v>
      </c>
      <c r="L35" s="976"/>
      <c r="M35" s="464"/>
      <c r="N35" s="5720"/>
      <c r="O35" s="5707"/>
      <c r="P35" s="3756"/>
      <c r="Q35" s="691"/>
      <c r="R35" s="814"/>
      <c r="S35" s="814"/>
      <c r="T35" s="814"/>
      <c r="U35" s="1004"/>
      <c r="V35" s="2782"/>
      <c r="W35" s="2782"/>
      <c r="X35" s="3138" t="s">
        <v>5119</v>
      </c>
      <c r="Y35" s="2782"/>
      <c r="Z35" s="3144" t="str">
        <f>IF(SchA_Filed,OrdinaryDividends,"")</f>
        <v/>
      </c>
      <c r="AA35" s="2782"/>
      <c r="AB35" s="6277"/>
      <c r="AC35" s="6277"/>
      <c r="AD35" s="1079"/>
    </row>
    <row r="36" spans="1:40" ht="13.5" customHeight="1">
      <c r="A36" s="66"/>
      <c r="B36" s="124" t="s">
        <v>652</v>
      </c>
      <c r="C36" s="267" t="s">
        <v>5124</v>
      </c>
      <c r="D36" s="190"/>
      <c r="E36" s="159"/>
      <c r="F36" s="159"/>
      <c r="G36" s="159"/>
      <c r="H36" s="160"/>
      <c r="I36" s="160"/>
      <c r="J36" s="160"/>
      <c r="K36" s="297"/>
      <c r="L36" s="859" t="s">
        <v>769</v>
      </c>
      <c r="M36" s="228" t="s">
        <v>5125</v>
      </c>
      <c r="N36" s="975" t="str">
        <f>IF(Q36&lt;&gt;"",Q36,IF(File8960,SUM(L33,L34,L35),""))</f>
        <v/>
      </c>
      <c r="O36" s="5707"/>
      <c r="P36" s="3756"/>
      <c r="Q36" s="300"/>
      <c r="R36" s="1604"/>
      <c r="S36" s="1604"/>
      <c r="T36" s="1604"/>
      <c r="U36" s="1004"/>
      <c r="V36" s="2782"/>
      <c r="W36" s="2782"/>
      <c r="X36" s="3138" t="s">
        <v>5121</v>
      </c>
      <c r="Y36" s="2782"/>
      <c r="Z36" s="3144" t="str">
        <f>IF(SchA_Filed,CapitalGains,"")</f>
        <v/>
      </c>
      <c r="AA36" s="2782"/>
      <c r="AB36" s="6277"/>
      <c r="AC36" s="6277"/>
      <c r="AD36" s="1079"/>
      <c r="AE36" s="962"/>
    </row>
    <row r="37" spans="1:40" ht="13.5" customHeight="1">
      <c r="A37" s="66"/>
      <c r="B37" s="124">
        <v>10</v>
      </c>
      <c r="C37" s="267" t="s">
        <v>5127</v>
      </c>
      <c r="D37" s="190"/>
      <c r="E37" s="159"/>
      <c r="F37" s="159"/>
      <c r="G37" s="159"/>
      <c r="H37" s="160"/>
      <c r="I37" s="160"/>
      <c r="J37" s="160"/>
      <c r="K37" s="297"/>
      <c r="L37" s="859" t="s">
        <v>714</v>
      </c>
      <c r="M37" s="228">
        <v>10</v>
      </c>
      <c r="N37" s="976"/>
      <c r="O37" s="5707"/>
      <c r="P37" s="3756"/>
      <c r="Q37" s="691"/>
      <c r="R37" s="1604"/>
      <c r="S37" s="1604"/>
      <c r="T37" s="1604"/>
      <c r="U37" s="1004"/>
      <c r="V37" s="2782"/>
      <c r="W37" s="2782"/>
      <c r="X37" s="3138" t="s">
        <v>5123</v>
      </c>
      <c r="Y37" s="2782"/>
      <c r="Z37" s="3144" t="str">
        <f>IF(SchA_Filed,NonQualAnnuity,"")</f>
        <v/>
      </c>
      <c r="AA37" s="2782"/>
      <c r="AB37" s="6277"/>
      <c r="AC37" s="6277"/>
      <c r="AD37" s="1079"/>
      <c r="AE37" s="962"/>
    </row>
    <row r="38" spans="1:40" ht="13.5" customHeight="1">
      <c r="A38" s="66"/>
      <c r="B38" s="124">
        <v>11</v>
      </c>
      <c r="C38" s="267" t="s">
        <v>5128</v>
      </c>
      <c r="D38" s="190"/>
      <c r="E38" s="159"/>
      <c r="F38" s="159"/>
      <c r="G38" s="159"/>
      <c r="H38" s="160"/>
      <c r="I38" s="160"/>
      <c r="J38" s="160"/>
      <c r="K38" s="297"/>
      <c r="L38" s="859" t="s">
        <v>646</v>
      </c>
      <c r="M38" s="228">
        <v>11</v>
      </c>
      <c r="N38" s="975" t="str">
        <f>IF(Q38&lt;&gt;"",Q38,IF(File8960,SUM(N36,N37),""))</f>
        <v/>
      </c>
      <c r="O38" s="5707"/>
      <c r="P38" s="3756"/>
      <c r="Q38" s="300"/>
      <c r="R38" s="1604"/>
      <c r="S38" s="1604"/>
      <c r="T38" s="1604"/>
      <c r="U38" s="1004"/>
      <c r="V38" s="2782"/>
      <c r="W38" s="2782"/>
      <c r="X38" s="3138" t="s">
        <v>5126</v>
      </c>
      <c r="Y38" s="2782"/>
      <c r="Z38" s="3144" t="str">
        <f>IF(SchA_Filed,Adj_Gross_Inc,"")</f>
        <v/>
      </c>
      <c r="AA38" s="3140" t="s">
        <v>542</v>
      </c>
      <c r="AB38" s="6277"/>
      <c r="AC38" s="6277"/>
      <c r="AD38" s="1079"/>
      <c r="AE38" s="962"/>
    </row>
    <row r="39" spans="1:40" s="672" customFormat="1" ht="15.75" customHeight="1">
      <c r="A39" s="66"/>
      <c r="B39" s="3683" t="s">
        <v>2243</v>
      </c>
      <c r="C39" s="9113" t="s">
        <v>5130</v>
      </c>
      <c r="D39" s="9113"/>
      <c r="E39" s="9114"/>
      <c r="F39" s="9114"/>
      <c r="G39" s="9114"/>
      <c r="H39" s="9114"/>
      <c r="I39" s="9114"/>
      <c r="J39" s="9114"/>
      <c r="K39" s="9114"/>
      <c r="L39" s="9114"/>
      <c r="M39" s="9114"/>
      <c r="N39" s="9114"/>
      <c r="O39" s="5708"/>
      <c r="P39" s="5729"/>
      <c r="Q39" s="691"/>
      <c r="R39" s="2336"/>
      <c r="S39" s="3091"/>
      <c r="T39" s="3091"/>
      <c r="U39" s="1004"/>
      <c r="V39" s="2782"/>
      <c r="W39" s="2782"/>
      <c r="X39" s="3138"/>
      <c r="Y39" s="2782"/>
      <c r="Z39" s="3141"/>
      <c r="AA39" s="2782"/>
      <c r="AB39" s="6277"/>
      <c r="AC39" s="6277"/>
      <c r="AD39" s="1079"/>
      <c r="AE39" s="3"/>
      <c r="AF39" s="2038"/>
      <c r="AG39" s="2038"/>
      <c r="AH39" s="2038"/>
      <c r="AI39" s="2038"/>
      <c r="AJ39" s="2038"/>
      <c r="AK39" s="2038"/>
      <c r="AL39" s="2038"/>
      <c r="AM39" s="2038"/>
      <c r="AN39" s="2038"/>
    </row>
    <row r="40" spans="1:40" s="672" customFormat="1" ht="13.5" customHeight="1">
      <c r="A40" s="66"/>
      <c r="B40" s="124">
        <v>12</v>
      </c>
      <c r="C40" s="267" t="s">
        <v>5132</v>
      </c>
      <c r="D40" s="190"/>
      <c r="E40" s="159"/>
      <c r="F40" s="159"/>
      <c r="G40" s="159"/>
      <c r="H40" s="160"/>
      <c r="I40" s="160"/>
      <c r="J40" s="160"/>
      <c r="K40" s="297"/>
      <c r="L40" s="124"/>
      <c r="M40" s="155"/>
      <c r="N40" s="993"/>
      <c r="O40" s="449"/>
      <c r="P40" s="953"/>
      <c r="Q40" s="691"/>
      <c r="R40" s="1604"/>
      <c r="S40" s="1604"/>
      <c r="T40" s="1604"/>
      <c r="U40" s="1004"/>
      <c r="V40" s="2782"/>
      <c r="W40" s="2782"/>
      <c r="X40" s="3139" t="s">
        <v>5129</v>
      </c>
      <c r="Y40" s="2782"/>
      <c r="Z40" s="3141"/>
      <c r="AA40" s="2782"/>
      <c r="AB40" s="6277"/>
      <c r="AC40" s="6277"/>
      <c r="AD40" s="1079"/>
      <c r="AE40" s="3"/>
      <c r="AF40" s="2038"/>
      <c r="AG40" s="2038"/>
      <c r="AH40" s="2038"/>
      <c r="AI40" s="2038"/>
      <c r="AJ40" s="2038"/>
      <c r="AK40" s="2038"/>
      <c r="AL40" s="2038"/>
      <c r="AM40" s="2038"/>
      <c r="AN40" s="2038"/>
    </row>
    <row r="41" spans="1:40" ht="13.5" customHeight="1">
      <c r="A41" s="66"/>
      <c r="B41" s="124"/>
      <c r="C41" s="267" t="s">
        <v>5133</v>
      </c>
      <c r="D41" s="267"/>
      <c r="E41" s="159"/>
      <c r="F41" s="159"/>
      <c r="G41" s="159"/>
      <c r="H41" s="160"/>
      <c r="I41" s="160"/>
      <c r="J41" s="160"/>
      <c r="K41" s="297"/>
      <c r="L41" s="859" t="s">
        <v>5134</v>
      </c>
      <c r="M41" s="396">
        <v>12</v>
      </c>
      <c r="N41" s="975" t="str">
        <f>IF(Q41&lt;&gt;"",ROUND(Q41,0),IF(File8960,MAX(0,SUM(N31,-N38)),""))</f>
        <v/>
      </c>
      <c r="O41" s="5707"/>
      <c r="P41" s="179"/>
      <c r="Q41" s="300"/>
      <c r="R41" s="1604"/>
      <c r="S41" s="2090"/>
      <c r="T41" s="2090"/>
      <c r="U41" s="1004"/>
      <c r="V41" s="2782"/>
      <c r="W41" s="2782"/>
      <c r="X41" s="3142" t="s">
        <v>5131</v>
      </c>
      <c r="Y41" s="2782"/>
      <c r="Z41" s="3144" t="str">
        <f>IF(SchA_Filed,StateLocalTaxesPaid,"")</f>
        <v/>
      </c>
      <c r="AA41" s="3140" t="s">
        <v>548</v>
      </c>
      <c r="AB41" s="6277"/>
      <c r="AC41" s="6277"/>
      <c r="AD41" s="1079"/>
      <c r="AE41" s="962"/>
    </row>
    <row r="42" spans="1:40" ht="13.5" customHeight="1">
      <c r="A42" s="66"/>
      <c r="B42" s="124"/>
      <c r="C42" s="3050" t="s">
        <v>5136</v>
      </c>
      <c r="D42" s="267"/>
      <c r="E42" s="159"/>
      <c r="F42" s="159"/>
      <c r="G42" s="159"/>
      <c r="H42" s="160"/>
      <c r="I42" s="160"/>
      <c r="J42" s="160"/>
      <c r="K42" s="297"/>
      <c r="L42" s="954"/>
      <c r="M42" s="464"/>
      <c r="N42" s="1025">
        <v>250000</v>
      </c>
      <c r="O42" s="5707"/>
      <c r="P42" s="179"/>
      <c r="Q42" s="691"/>
      <c r="R42" s="1604"/>
      <c r="S42" s="2090"/>
      <c r="T42" s="2090"/>
      <c r="U42" s="1004"/>
      <c r="V42" s="2782"/>
      <c r="W42" s="2782"/>
      <c r="X42" s="3138"/>
      <c r="Y42" s="2782"/>
      <c r="Z42" s="3141"/>
      <c r="AA42" s="2782"/>
      <c r="AB42" s="6277"/>
      <c r="AC42" s="6277"/>
      <c r="AD42" s="1079"/>
      <c r="AE42" s="962"/>
    </row>
    <row r="43" spans="1:40" ht="13.5" customHeight="1">
      <c r="A43" s="66"/>
      <c r="B43" s="124">
        <v>13</v>
      </c>
      <c r="C43" s="267" t="s">
        <v>5138</v>
      </c>
      <c r="D43" s="267"/>
      <c r="E43" s="159"/>
      <c r="F43" s="159"/>
      <c r="G43" s="159"/>
      <c r="H43" s="160"/>
      <c r="I43" s="124"/>
      <c r="J43" s="124" t="s">
        <v>654</v>
      </c>
      <c r="K43" s="228">
        <v>13</v>
      </c>
      <c r="L43" s="975" t="str">
        <f>IF(Q43&lt;&gt;"",ROUND(Q43,0),IF(File8960,ModAdjGrossInc,""))</f>
        <v/>
      </c>
      <c r="M43" s="464"/>
      <c r="N43" s="1026">
        <v>125000</v>
      </c>
      <c r="O43" s="5707"/>
      <c r="P43" s="3756"/>
      <c r="Q43" s="300"/>
      <c r="R43" s="814"/>
      <c r="S43" s="814"/>
      <c r="T43" s="814"/>
      <c r="U43" s="1004"/>
      <c r="V43" s="2782"/>
      <c r="W43" s="2782"/>
      <c r="X43" s="3139" t="s">
        <v>5135</v>
      </c>
      <c r="Y43" s="2782"/>
      <c r="Z43" s="3141"/>
      <c r="AA43" s="2782"/>
      <c r="AB43" s="6277"/>
      <c r="AC43" s="6277"/>
      <c r="AD43" s="1079"/>
      <c r="AE43" s="962"/>
    </row>
    <row r="44" spans="1:40" ht="13.5" customHeight="1">
      <c r="A44" s="66"/>
      <c r="B44" s="124">
        <v>14</v>
      </c>
      <c r="C44" s="267" t="s">
        <v>5139</v>
      </c>
      <c r="D44" s="267"/>
      <c r="E44" s="159"/>
      <c r="F44" s="159"/>
      <c r="G44" s="159"/>
      <c r="H44" s="160"/>
      <c r="I44" s="124"/>
      <c r="J44" s="124" t="s">
        <v>654</v>
      </c>
      <c r="K44" s="228">
        <v>14</v>
      </c>
      <c r="L44" s="975" t="str">
        <f>IF(N45="---","Filing status?",IF(File8960,N45,""))</f>
        <v>Filing status?</v>
      </c>
      <c r="M44" s="464"/>
      <c r="N44" s="1026">
        <v>200000</v>
      </c>
      <c r="O44" s="5707"/>
      <c r="P44" s="3756"/>
      <c r="Q44" s="691"/>
      <c r="R44" s="814"/>
      <c r="S44" s="814"/>
      <c r="T44" s="814"/>
      <c r="U44" s="1004"/>
      <c r="V44" s="2782"/>
      <c r="W44" s="2782"/>
      <c r="X44" s="3142" t="s">
        <v>5137</v>
      </c>
      <c r="Y44" s="2782"/>
      <c r="Z44" s="3144" t="str">
        <f>IF(SchA_Filed,N31,"")</f>
        <v/>
      </c>
      <c r="AA44" s="3140" t="s">
        <v>550</v>
      </c>
      <c r="AB44" s="6277"/>
      <c r="AC44" s="6277"/>
      <c r="AD44" s="1079"/>
      <c r="AE44" s="962"/>
    </row>
    <row r="45" spans="1:40" ht="13.5" customHeight="1">
      <c r="A45" s="66"/>
      <c r="B45" s="124">
        <v>15</v>
      </c>
      <c r="C45" s="267" t="s">
        <v>5140</v>
      </c>
      <c r="D45" s="267"/>
      <c r="E45" s="159"/>
      <c r="F45" s="159"/>
      <c r="G45" s="159"/>
      <c r="H45" s="160"/>
      <c r="I45" s="124"/>
      <c r="J45" s="124" t="s">
        <v>677</v>
      </c>
      <c r="K45" s="228">
        <v>15</v>
      </c>
      <c r="L45" s="975" t="str">
        <f>IF(N45="---","",IF(File8960,MAX(0,SUM(L43,-L44)),""))</f>
        <v/>
      </c>
      <c r="M45" s="464"/>
      <c r="N45" s="1026" t="str">
        <f>IF(OR(File_Marr_Joint&lt;&gt;"",File_Qual_Widow&lt;&gt;""),N42,IF(File_Marr_Sep&lt;&gt;"",N43,IF(OR(File_Single&lt;&gt;"",File_Head&lt;&gt;""),N44,"---")))</f>
        <v>---</v>
      </c>
      <c r="O45" s="5707"/>
      <c r="P45" s="3756"/>
      <c r="Q45" s="691"/>
      <c r="R45" s="814"/>
      <c r="S45" s="814"/>
      <c r="T45" s="814"/>
      <c r="U45" s="1004"/>
      <c r="V45" s="2782"/>
      <c r="W45" s="2782"/>
      <c r="X45" s="2782"/>
      <c r="Y45" s="2782"/>
      <c r="Z45" s="2782"/>
      <c r="AA45" s="2782"/>
      <c r="AB45" s="6277"/>
      <c r="AC45" s="6277"/>
      <c r="AD45" s="1079"/>
      <c r="AE45" s="962"/>
    </row>
    <row r="46" spans="1:40" ht="13.5" customHeight="1">
      <c r="A46" s="66"/>
      <c r="B46" s="124">
        <v>16</v>
      </c>
      <c r="C46" s="267" t="s">
        <v>5143</v>
      </c>
      <c r="D46" s="190"/>
      <c r="E46" s="159"/>
      <c r="F46" s="159"/>
      <c r="G46" s="159"/>
      <c r="H46" s="160"/>
      <c r="I46" s="160"/>
      <c r="J46" s="160"/>
      <c r="K46" s="297"/>
      <c r="L46" s="859" t="s">
        <v>740</v>
      </c>
      <c r="M46" s="228">
        <v>16</v>
      </c>
      <c r="N46" s="975" t="str">
        <f>IF(N45="---","",IF(Q46&lt;&gt;"",ROUND(Q46,0),IF(File8960,MIN(N41,L45),"")))</f>
        <v/>
      </c>
      <c r="O46" s="5707"/>
      <c r="P46" s="3756"/>
      <c r="Q46" s="300"/>
      <c r="R46" s="1604"/>
      <c r="S46" s="3435" t="str">
        <f>IF(AND(F8960_Tax&lt;&gt;"",F8960_Tax&gt;0),"NOTE:","")</f>
        <v/>
      </c>
      <c r="T46" s="1604"/>
      <c r="U46" s="1004"/>
      <c r="V46" s="2782"/>
      <c r="W46" s="2782"/>
      <c r="X46" s="3139" t="s">
        <v>5135</v>
      </c>
      <c r="Y46" s="2782"/>
      <c r="Z46" s="2782"/>
      <c r="AA46" s="2782"/>
      <c r="AB46" s="6277"/>
      <c r="AC46" s="6277"/>
      <c r="AD46" s="1079"/>
      <c r="AE46" s="962"/>
    </row>
    <row r="47" spans="1:40" s="672" customFormat="1" ht="13.5" customHeight="1">
      <c r="A47" s="66"/>
      <c r="B47" s="124">
        <v>17</v>
      </c>
      <c r="C47" s="267" t="str">
        <f>"Net investment income tax for individuals. Multiply line 16 by "&amp;TEXT(N47,"0.0%")&amp;" ("&amp;TEXT(N47,"0.000")&amp;")."</f>
        <v>Net investment income tax for individuals. Multiply line 16 by 3.8% (0.038).</v>
      </c>
      <c r="D47" s="190"/>
      <c r="E47" s="159"/>
      <c r="F47" s="159"/>
      <c r="G47" s="159"/>
      <c r="H47" s="160"/>
      <c r="I47" s="160"/>
      <c r="J47" s="160"/>
      <c r="K47" s="297"/>
      <c r="L47" s="124"/>
      <c r="M47" s="396"/>
      <c r="N47" s="993">
        <v>3.7999999999999999E-2</v>
      </c>
      <c r="O47" s="449"/>
      <c r="P47" s="953"/>
      <c r="Q47" s="691"/>
      <c r="R47" s="1604"/>
      <c r="S47" s="3435" t="str">
        <f>IF(AND(F8960_Tax&lt;&gt;"",F8960_Tax&gt;0),"The amount on","")</f>
        <v/>
      </c>
      <c r="T47" s="1604"/>
      <c r="U47" s="1004"/>
      <c r="V47" s="2782"/>
      <c r="W47" s="2782"/>
      <c r="X47" s="3138" t="s">
        <v>5141</v>
      </c>
      <c r="Y47" s="2782"/>
      <c r="Z47" s="3145" t="str">
        <f>IF(NOT(SchA_Filed),"",IF(ISERROR(Z41*(Z44/Z38)),"---",ROUND(Z41*(Z44/Z38),0)))</f>
        <v/>
      </c>
      <c r="AA47" s="3140" t="s">
        <v>5142</v>
      </c>
      <c r="AB47" s="6277"/>
      <c r="AC47" s="6277"/>
      <c r="AD47" s="1079"/>
      <c r="AE47" s="3"/>
      <c r="AF47" s="2038"/>
      <c r="AG47" s="2038"/>
      <c r="AH47" s="2038"/>
      <c r="AI47" s="2038"/>
      <c r="AJ47" s="2038"/>
      <c r="AK47" s="2038"/>
      <c r="AL47" s="2038"/>
      <c r="AM47" s="2038"/>
      <c r="AN47" s="2038"/>
    </row>
    <row r="48" spans="1:40" ht="13.5" customHeight="1">
      <c r="A48" s="66"/>
      <c r="B48" s="124"/>
      <c r="C48" s="3293" t="s">
        <v>5144</v>
      </c>
      <c r="D48" s="267"/>
      <c r="E48" s="159"/>
      <c r="F48" s="159"/>
      <c r="G48" s="159"/>
      <c r="H48" s="4580" t="str">
        <f>IF(O48="","(For Form 1040 filers, Schedule 2, line 12.)","")</f>
        <v>(For Form 1040 filers, Schedule 2, line 12.)</v>
      </c>
      <c r="I48" s="160"/>
      <c r="J48" s="160"/>
      <c r="K48" s="297"/>
      <c r="L48" s="859"/>
      <c r="M48" s="396">
        <v>17</v>
      </c>
      <c r="N48" s="975" t="str">
        <f>IF(N45="---","",IF(Q48&lt;&gt;"",ROUND(Q48,0),IF(File8960,ROUND(N46*N47,0),"")))</f>
        <v/>
      </c>
      <c r="O48" s="4581"/>
      <c r="P48" s="10222" t="s">
        <v>5145</v>
      </c>
      <c r="Q48" s="300"/>
      <c r="R48" s="1604"/>
      <c r="S48" s="3436" t="str">
        <f>IF(AND(F8960_Tax&lt;&gt;"",F8960_Tax&gt;0),"Line 17 is entered","")</f>
        <v/>
      </c>
      <c r="T48" s="2090"/>
      <c r="U48" s="1004"/>
      <c r="V48" s="2782"/>
      <c r="W48" s="2782"/>
      <c r="X48" s="2782"/>
      <c r="Y48" s="2782"/>
      <c r="Z48" s="2782"/>
      <c r="AA48" s="2782"/>
      <c r="AB48" s="6277"/>
      <c r="AC48" s="6277"/>
      <c r="AD48" s="1079"/>
      <c r="AE48" s="962"/>
    </row>
    <row r="49" spans="1:40" ht="16.5" customHeight="1">
      <c r="A49" s="66"/>
      <c r="B49" s="124"/>
      <c r="C49" s="1469" t="s">
        <v>5146</v>
      </c>
      <c r="D49" s="267"/>
      <c r="E49" s="159"/>
      <c r="F49" s="159"/>
      <c r="G49" s="159"/>
      <c r="H49" s="160"/>
      <c r="I49" s="160"/>
      <c r="J49" s="160"/>
      <c r="K49" s="297"/>
      <c r="L49" s="954"/>
      <c r="M49" s="464"/>
      <c r="N49" s="999"/>
      <c r="O49" s="5707"/>
      <c r="P49" s="10222"/>
      <c r="Q49" s="691"/>
      <c r="R49" s="1604"/>
      <c r="S49" s="3436" t="str">
        <f>IF(AND(F8960_Tax&lt;&gt;"",F8960_Tax&gt;0),"on Schedule 2,","")</f>
        <v/>
      </c>
      <c r="T49" s="2090"/>
      <c r="U49" s="1004"/>
      <c r="V49" s="2782"/>
      <c r="W49" s="2782"/>
      <c r="X49" s="2782"/>
      <c r="Y49" s="2782"/>
      <c r="Z49" s="2782"/>
      <c r="AA49" s="2782"/>
      <c r="AB49" s="6277"/>
      <c r="AC49" s="6277"/>
      <c r="AD49" s="1079"/>
      <c r="AE49" s="962"/>
    </row>
    <row r="50" spans="1:40" ht="13.5" customHeight="1" thickBot="1">
      <c r="A50" s="66"/>
      <c r="B50" s="124" t="s">
        <v>4504</v>
      </c>
      <c r="C50" s="267" t="s">
        <v>5147</v>
      </c>
      <c r="D50" s="267"/>
      <c r="E50" s="159"/>
      <c r="F50" s="159"/>
      <c r="G50" s="159"/>
      <c r="H50" s="160"/>
      <c r="I50" s="124"/>
      <c r="J50" s="124" t="s">
        <v>5057</v>
      </c>
      <c r="K50" s="228" t="s">
        <v>4504</v>
      </c>
      <c r="L50" s="1982" t="str">
        <f>IF(Q50&lt;&gt;"",ROUND(Q50,0),N41)</f>
        <v/>
      </c>
      <c r="M50" s="464"/>
      <c r="N50" s="5730"/>
      <c r="O50" s="5707"/>
      <c r="P50" s="3756"/>
      <c r="Q50" s="300"/>
      <c r="R50" s="814"/>
      <c r="S50" s="3437" t="str">
        <f>IF(AND(F8960_Tax&lt;&gt;"",F8960_Tax&gt;0),"Line 12.","")</f>
        <v/>
      </c>
      <c r="T50" s="814"/>
      <c r="U50" s="1012"/>
      <c r="V50" s="1644"/>
      <c r="W50" s="1644"/>
      <c r="X50" s="1644"/>
      <c r="Y50" s="1644"/>
      <c r="Z50" s="1644"/>
      <c r="AA50" s="1644"/>
      <c r="AB50" s="1644"/>
      <c r="AC50" s="1644"/>
      <c r="AD50" s="1645"/>
      <c r="AE50" s="962"/>
    </row>
    <row r="51" spans="1:40" s="672" customFormat="1" ht="13.5" customHeight="1" thickBot="1">
      <c r="A51" s="66"/>
      <c r="B51" s="124" t="s">
        <v>644</v>
      </c>
      <c r="C51" s="267" t="s">
        <v>5769</v>
      </c>
      <c r="D51" s="190"/>
      <c r="E51" s="159"/>
      <c r="F51" s="159"/>
      <c r="G51" s="159"/>
      <c r="H51" s="160"/>
      <c r="I51" s="160"/>
      <c r="J51" s="160"/>
      <c r="K51" s="3047"/>
      <c r="L51" s="124"/>
      <c r="M51" s="464"/>
      <c r="N51" s="372"/>
      <c r="O51" s="449"/>
      <c r="P51" s="953"/>
      <c r="Q51" s="691"/>
      <c r="R51" s="1604"/>
      <c r="S51" s="1604"/>
      <c r="T51" s="1604"/>
      <c r="U51" s="780"/>
      <c r="V51" s="1009"/>
      <c r="W51" s="1009"/>
      <c r="X51" s="1009"/>
      <c r="Y51" s="1009"/>
      <c r="Z51" s="1009"/>
      <c r="AA51" s="1009"/>
      <c r="AB51" s="1009"/>
      <c r="AC51" s="1009"/>
      <c r="AD51" s="1009"/>
      <c r="AE51" s="3"/>
      <c r="AF51" s="2038"/>
      <c r="AG51" s="2038"/>
      <c r="AH51" s="2038"/>
      <c r="AI51" s="2038"/>
      <c r="AJ51" s="2038"/>
      <c r="AK51" s="2038"/>
      <c r="AL51" s="2038"/>
      <c r="AM51" s="2038"/>
      <c r="AN51" s="2038"/>
    </row>
    <row r="52" spans="1:40" ht="13.5" customHeight="1">
      <c r="A52" s="66"/>
      <c r="B52" s="124"/>
      <c r="C52" s="267" t="s">
        <v>5770</v>
      </c>
      <c r="D52" s="267"/>
      <c r="E52" s="159"/>
      <c r="F52" s="159"/>
      <c r="G52" s="159"/>
      <c r="H52" s="160"/>
      <c r="I52" s="124"/>
      <c r="J52" s="124" t="s">
        <v>642</v>
      </c>
      <c r="K52" s="228" t="s">
        <v>4507</v>
      </c>
      <c r="L52" s="976"/>
      <c r="M52" s="464"/>
      <c r="N52" s="5720"/>
      <c r="O52" s="5707"/>
      <c r="P52" s="3756"/>
      <c r="Q52" s="691"/>
      <c r="R52" s="814"/>
      <c r="S52" s="814"/>
      <c r="T52" s="814"/>
      <c r="U52" s="1001"/>
      <c r="V52" s="1002"/>
      <c r="W52" s="1002"/>
      <c r="X52" s="1002"/>
      <c r="Y52" s="1002"/>
      <c r="Z52" s="1002"/>
      <c r="AA52" s="1002"/>
      <c r="AB52" s="1002"/>
      <c r="AC52" s="1002"/>
      <c r="AD52" s="1003"/>
      <c r="AE52" s="962"/>
    </row>
    <row r="53" spans="1:40" s="672" customFormat="1" ht="13.5" customHeight="1">
      <c r="A53" s="66"/>
      <c r="B53" s="124" t="s">
        <v>648</v>
      </c>
      <c r="C53" s="267" t="s">
        <v>5149</v>
      </c>
      <c r="D53" s="190"/>
      <c r="E53" s="159"/>
      <c r="F53" s="159"/>
      <c r="G53" s="159"/>
      <c r="H53" s="160"/>
      <c r="I53" s="160"/>
      <c r="J53" s="160"/>
      <c r="K53" s="3047"/>
      <c r="L53" s="124"/>
      <c r="M53" s="464"/>
      <c r="N53" s="372"/>
      <c r="O53" s="449"/>
      <c r="P53" s="953"/>
      <c r="Q53" s="691"/>
      <c r="R53" s="1604"/>
      <c r="S53" s="1604"/>
      <c r="T53" s="1604"/>
      <c r="U53" s="1004"/>
      <c r="V53" s="1005" t="s">
        <v>5148</v>
      </c>
      <c r="W53" s="1009"/>
      <c r="X53" s="1009"/>
      <c r="Y53" s="1009"/>
      <c r="Z53" s="1009"/>
      <c r="AA53" s="1009"/>
      <c r="AB53" s="1024" t="s">
        <v>1057</v>
      </c>
      <c r="AC53" s="1009"/>
      <c r="AD53" s="1011"/>
      <c r="AE53" s="3"/>
      <c r="AF53" s="2038"/>
      <c r="AG53" s="2038"/>
      <c r="AH53" s="2038"/>
      <c r="AI53" s="2038"/>
      <c r="AJ53" s="2038"/>
      <c r="AK53" s="2038"/>
      <c r="AL53" s="2038"/>
      <c r="AM53" s="2038"/>
      <c r="AN53" s="2038"/>
    </row>
    <row r="54" spans="1:40" ht="13.5" customHeight="1">
      <c r="A54" s="66"/>
      <c r="B54" s="124"/>
      <c r="C54" s="267" t="s">
        <v>5151</v>
      </c>
      <c r="D54" s="267"/>
      <c r="E54" s="190" t="s">
        <v>4792</v>
      </c>
      <c r="F54" s="159"/>
      <c r="G54" s="159"/>
      <c r="H54" s="160"/>
      <c r="I54" s="124"/>
      <c r="J54" s="124" t="s">
        <v>709</v>
      </c>
      <c r="K54" s="228" t="s">
        <v>5152</v>
      </c>
      <c r="L54" s="976"/>
      <c r="M54" s="464"/>
      <c r="N54" s="5720"/>
      <c r="O54" s="5707"/>
      <c r="P54" s="3756"/>
      <c r="Q54" s="691"/>
      <c r="R54" s="814"/>
      <c r="S54" s="814"/>
      <c r="T54" s="814"/>
      <c r="U54" s="1004"/>
      <c r="V54" s="1005"/>
      <c r="W54" s="1006"/>
      <c r="X54" s="1006"/>
      <c r="Y54" s="1006"/>
      <c r="Z54" s="1006"/>
      <c r="AA54" s="1006"/>
      <c r="AB54" s="1016"/>
      <c r="AC54" s="1007"/>
      <c r="AD54" s="1008"/>
      <c r="AE54" s="962"/>
    </row>
    <row r="55" spans="1:40" ht="13.5" customHeight="1">
      <c r="A55" s="66"/>
      <c r="B55" s="124" t="s">
        <v>998</v>
      </c>
      <c r="C55" s="267" t="s">
        <v>5153</v>
      </c>
      <c r="D55" s="267"/>
      <c r="E55" s="159"/>
      <c r="F55" s="159"/>
      <c r="G55" s="159"/>
      <c r="H55" s="160"/>
      <c r="I55" s="124"/>
      <c r="J55" s="124" t="s">
        <v>752</v>
      </c>
      <c r="K55" s="228" t="s">
        <v>998</v>
      </c>
      <c r="L55" s="976"/>
      <c r="M55" s="464"/>
      <c r="N55" s="5730"/>
      <c r="O55" s="5707"/>
      <c r="P55" s="3756"/>
      <c r="Q55" s="691"/>
      <c r="R55" s="814"/>
      <c r="S55" s="814"/>
      <c r="T55" s="814"/>
      <c r="U55" s="1021"/>
      <c r="V55" s="1022"/>
      <c r="W55" s="1022"/>
      <c r="X55" s="1022"/>
      <c r="Y55" s="1022"/>
      <c r="Z55" s="1022"/>
      <c r="AA55" s="1022"/>
      <c r="AB55" s="1022"/>
      <c r="AC55" s="1022"/>
      <c r="AD55" s="1023"/>
      <c r="AE55" s="962"/>
    </row>
    <row r="56" spans="1:40" s="672" customFormat="1" ht="13.5" customHeight="1">
      <c r="A56" s="66"/>
      <c r="B56" s="124" t="s">
        <v>644</v>
      </c>
      <c r="C56" s="267" t="s">
        <v>5155</v>
      </c>
      <c r="D56" s="267"/>
      <c r="E56" s="159"/>
      <c r="F56" s="159"/>
      <c r="G56" s="159"/>
      <c r="H56" s="160"/>
      <c r="I56" s="124"/>
      <c r="J56" s="124"/>
      <c r="K56" s="228" t="s">
        <v>5156</v>
      </c>
      <c r="L56" s="976"/>
      <c r="M56" s="464"/>
      <c r="N56" s="5720"/>
      <c r="O56" s="5707"/>
      <c r="P56" s="3756"/>
      <c r="Q56" s="691"/>
      <c r="R56" s="1604"/>
      <c r="S56" s="1604"/>
      <c r="T56" s="1604"/>
      <c r="U56" s="1004"/>
      <c r="V56" s="1015" t="s">
        <v>5150</v>
      </c>
      <c r="W56" s="1009"/>
      <c r="X56" s="1009"/>
      <c r="Y56" s="1009"/>
      <c r="Z56" s="1009"/>
      <c r="AA56" s="1010"/>
      <c r="AB56" s="1010" t="s">
        <v>167</v>
      </c>
      <c r="AC56" s="1020">
        <f>Adj_Gross_Inc</f>
        <v>0</v>
      </c>
      <c r="AD56" s="1011"/>
      <c r="AE56" s="3"/>
      <c r="AF56" s="2038"/>
      <c r="AG56" s="2038"/>
      <c r="AH56" s="2038"/>
      <c r="AI56" s="2038"/>
      <c r="AJ56" s="2038"/>
      <c r="AK56" s="2038"/>
      <c r="AL56" s="2038"/>
      <c r="AM56" s="2038"/>
      <c r="AN56" s="2038"/>
    </row>
    <row r="57" spans="1:40" ht="13.5" customHeight="1">
      <c r="A57" s="66"/>
      <c r="B57" s="124" t="s">
        <v>648</v>
      </c>
      <c r="C57" s="267" t="s">
        <v>5158</v>
      </c>
      <c r="D57" s="267"/>
      <c r="E57" s="159"/>
      <c r="F57" s="159"/>
      <c r="G57" s="190" t="s">
        <v>4792</v>
      </c>
      <c r="H57" s="160"/>
      <c r="I57" s="124"/>
      <c r="J57" s="124" t="s">
        <v>677</v>
      </c>
      <c r="K57" s="228" t="s">
        <v>5159</v>
      </c>
      <c r="L57" s="975" t="str">
        <f>IF(N45="---","",IF(File8960,MAX(0,SUM(L55,-L56)),""))</f>
        <v/>
      </c>
      <c r="M57" s="464"/>
      <c r="N57" s="5720"/>
      <c r="O57" s="5707"/>
      <c r="P57" s="3756"/>
      <c r="Q57" s="691"/>
      <c r="R57" s="814"/>
      <c r="S57" s="814"/>
      <c r="T57" s="814"/>
      <c r="U57" s="1004"/>
      <c r="V57" s="1009"/>
      <c r="W57" s="1009"/>
      <c r="X57" s="1009"/>
      <c r="Y57" s="1009"/>
      <c r="Z57" s="1009"/>
      <c r="AA57" s="1009"/>
      <c r="AB57" s="1009"/>
      <c r="AC57" s="1009"/>
      <c r="AD57" s="1011"/>
      <c r="AE57" s="962"/>
    </row>
    <row r="58" spans="1:40" ht="13.5" customHeight="1">
      <c r="A58" s="66"/>
      <c r="B58" s="124">
        <v>20</v>
      </c>
      <c r="C58" s="267" t="s">
        <v>5161</v>
      </c>
      <c r="D58" s="190"/>
      <c r="E58" s="159"/>
      <c r="F58" s="159"/>
      <c r="G58" s="159"/>
      <c r="H58" s="160"/>
      <c r="I58" s="160"/>
      <c r="J58" s="160"/>
      <c r="K58" s="297"/>
      <c r="L58" s="859" t="s">
        <v>670</v>
      </c>
      <c r="M58" s="228">
        <v>20</v>
      </c>
      <c r="N58" s="975" t="str">
        <f>IF(Q58&lt;&gt;"",ROUND(Q58,0),IF(N45="---","",IF(File8960,MIN(L54,L57),"")))</f>
        <v/>
      </c>
      <c r="O58" s="5707"/>
      <c r="P58" s="3756"/>
      <c r="Q58" s="300"/>
      <c r="R58" s="814"/>
      <c r="S58" s="814"/>
      <c r="T58" s="814"/>
      <c r="U58" s="1004"/>
      <c r="V58" s="1015" t="s">
        <v>5154</v>
      </c>
      <c r="W58" s="1009"/>
      <c r="X58" s="1009"/>
      <c r="Y58" s="1009"/>
      <c r="Z58" s="1009"/>
      <c r="AA58" s="1009"/>
      <c r="AB58" s="1009"/>
      <c r="AC58" s="1009"/>
      <c r="AD58" s="1011"/>
      <c r="AE58" s="962"/>
    </row>
    <row r="59" spans="1:40" ht="13.5" customHeight="1">
      <c r="A59" s="66"/>
      <c r="B59" s="124">
        <v>21</v>
      </c>
      <c r="C59" s="267" t="str">
        <f>"Net investment income tax for estates and trusts. Multiply line 20 by "&amp;TEXT(N59,"0.0%")&amp;" ("&amp;TEXT(N59,"0.038")&amp;")."</f>
        <v>Net investment income tax for estates and trusts. Multiply line 20 by 3.8% (0.038).</v>
      </c>
      <c r="D59" s="190"/>
      <c r="E59" s="159"/>
      <c r="F59" s="159"/>
      <c r="G59" s="159"/>
      <c r="H59" s="160"/>
      <c r="I59" s="160"/>
      <c r="J59" s="160"/>
      <c r="K59" s="297"/>
      <c r="L59" s="124"/>
      <c r="M59" s="396"/>
      <c r="N59" s="993">
        <v>3.7999999999999999E-2</v>
      </c>
      <c r="O59" s="449"/>
      <c r="P59" s="953"/>
      <c r="Q59" s="691"/>
      <c r="R59" s="1604"/>
      <c r="S59" s="1604"/>
      <c r="T59" s="1604"/>
      <c r="U59" s="1004"/>
      <c r="V59" s="1009"/>
      <c r="W59" s="1009" t="s">
        <v>2536</v>
      </c>
      <c r="X59" s="1009" t="s">
        <v>5157</v>
      </c>
      <c r="Y59" s="1009"/>
      <c r="Z59" s="1009"/>
      <c r="AA59" s="1009"/>
      <c r="AB59" s="1009"/>
      <c r="AC59" s="1009"/>
      <c r="AD59" s="1011"/>
      <c r="AE59" s="962"/>
    </row>
    <row r="60" spans="1:40" s="672" customFormat="1" ht="13.5" customHeight="1" thickBot="1">
      <c r="A60" s="66"/>
      <c r="B60" s="124"/>
      <c r="C60" s="152" t="s">
        <v>5164</v>
      </c>
      <c r="D60" s="267"/>
      <c r="E60" s="159"/>
      <c r="F60" s="159"/>
      <c r="G60" s="159"/>
      <c r="H60" s="160"/>
      <c r="I60" s="160"/>
      <c r="J60" s="160"/>
      <c r="K60" s="297"/>
      <c r="L60" s="859" t="s">
        <v>752</v>
      </c>
      <c r="M60" s="396">
        <v>21</v>
      </c>
      <c r="N60" s="975" t="str">
        <f>IF(Q60&lt;&gt;"",ROUND(Q60,0),IF(N45="---","",IF(File8960,ROUND(N58*N59,0),"")))</f>
        <v/>
      </c>
      <c r="O60" s="5707"/>
      <c r="P60" s="953"/>
      <c r="Q60" s="300"/>
      <c r="R60" s="1604"/>
      <c r="S60" s="1604"/>
      <c r="T60" s="1604"/>
      <c r="U60" s="1004"/>
      <c r="V60" s="1009"/>
      <c r="W60" s="1009"/>
      <c r="X60" s="1009" t="s">
        <v>5160</v>
      </c>
      <c r="Y60" s="1009"/>
      <c r="Z60" s="1009"/>
      <c r="AA60" s="938">
        <f>ForeignIncExclusionTotal</f>
        <v>0</v>
      </c>
      <c r="AB60" s="1009"/>
      <c r="AC60" s="1009"/>
      <c r="AD60" s="1011"/>
      <c r="AE60" s="3"/>
      <c r="AF60" s="2038"/>
      <c r="AG60" s="2038"/>
      <c r="AH60" s="2038"/>
      <c r="AI60" s="2038"/>
      <c r="AJ60" s="2038"/>
      <c r="AK60" s="2038"/>
      <c r="AL60" s="2038"/>
      <c r="AM60" s="2038"/>
      <c r="AN60" s="2038"/>
    </row>
    <row r="61" spans="1:40" ht="13.5" customHeight="1">
      <c r="A61" s="66"/>
      <c r="B61" s="128" t="s">
        <v>979</v>
      </c>
      <c r="C61" s="184"/>
      <c r="D61" s="184"/>
      <c r="E61" s="184"/>
      <c r="F61" s="184"/>
      <c r="G61" s="184"/>
      <c r="H61" s="373"/>
      <c r="I61" s="3854"/>
      <c r="J61" s="373"/>
      <c r="K61" s="3048" t="s">
        <v>5166</v>
      </c>
      <c r="L61" s="373"/>
      <c r="M61" s="374" t="s">
        <v>5167</v>
      </c>
      <c r="N61" s="692" t="str">
        <f>"  ("&amp;TaxYear&amp;")"</f>
        <v xml:space="preserve">  (2023)</v>
      </c>
      <c r="O61" s="454"/>
      <c r="P61" s="953"/>
      <c r="Q61" s="691"/>
      <c r="R61" s="1604"/>
      <c r="S61" s="2090"/>
      <c r="T61" s="2090"/>
      <c r="U61" s="1004"/>
      <c r="V61" s="1009"/>
      <c r="W61" s="1009" t="s">
        <v>2537</v>
      </c>
      <c r="X61" s="1009" t="s">
        <v>5162</v>
      </c>
      <c r="Y61" s="1009"/>
      <c r="Z61" s="1009"/>
      <c r="AA61" s="1009"/>
      <c r="AB61" s="1009"/>
      <c r="AC61" s="1009"/>
      <c r="AD61" s="1011"/>
      <c r="AE61" s="962"/>
    </row>
    <row r="62" spans="1:40" s="163" customFormat="1" ht="15" customHeight="1">
      <c r="A62" s="66"/>
      <c r="B62" s="457"/>
      <c r="C62" s="378"/>
      <c r="D62" s="378"/>
      <c r="E62" s="66"/>
      <c r="F62" s="66"/>
      <c r="G62" s="66"/>
      <c r="H62" s="66"/>
      <c r="I62" s="66"/>
      <c r="J62" s="66"/>
      <c r="K62" s="580"/>
      <c r="L62" s="458"/>
      <c r="M62" s="458"/>
      <c r="N62" s="458"/>
      <c r="O62" s="455"/>
      <c r="P62" s="953"/>
      <c r="Q62" s="691"/>
      <c r="R62" s="814"/>
      <c r="S62" s="814"/>
      <c r="T62" s="814"/>
      <c r="U62" s="1004"/>
      <c r="V62" s="1006"/>
      <c r="W62" s="1006"/>
      <c r="X62" s="1009" t="s">
        <v>5163</v>
      </c>
      <c r="Y62" s="1006"/>
      <c r="Z62" s="1006"/>
      <c r="AA62" s="1006"/>
      <c r="AB62" s="1006"/>
      <c r="AC62" s="1006"/>
      <c r="AD62" s="1008"/>
      <c r="AE62" s="962"/>
      <c r="AF62" s="2038"/>
      <c r="AG62" s="2038"/>
      <c r="AH62" s="2038"/>
      <c r="AI62" s="2038"/>
      <c r="AJ62" s="2038"/>
      <c r="AK62" s="2038"/>
      <c r="AL62" s="2038"/>
      <c r="AM62" s="2038"/>
      <c r="AN62" s="2038"/>
    </row>
    <row r="63" spans="1:40" s="163" customFormat="1" ht="15" customHeight="1">
      <c r="A63" s="39"/>
      <c r="B63" s="118"/>
      <c r="C63" s="181"/>
      <c r="D63" s="181"/>
      <c r="E63" s="39"/>
      <c r="F63" s="39"/>
      <c r="G63" s="39"/>
      <c r="H63" s="39"/>
      <c r="I63" s="39"/>
      <c r="J63" s="39"/>
      <c r="K63" s="3049"/>
      <c r="L63" s="185"/>
      <c r="M63" s="185"/>
      <c r="N63" s="185"/>
      <c r="O63" s="376"/>
      <c r="P63"/>
      <c r="Q63" s="377"/>
      <c r="R63" s="814"/>
      <c r="S63" s="814"/>
      <c r="T63" s="814"/>
      <c r="U63" s="1004"/>
      <c r="V63" s="1009"/>
      <c r="W63" s="1009"/>
      <c r="X63" s="1009" t="s">
        <v>5165</v>
      </c>
      <c r="Y63" s="1018"/>
      <c r="Z63" s="1018" t="s">
        <v>905</v>
      </c>
      <c r="AA63" s="938">
        <f>'2555'!AE172</f>
        <v>0</v>
      </c>
      <c r="AB63" s="1017" t="s">
        <v>906</v>
      </c>
      <c r="AC63" s="1009"/>
      <c r="AD63" s="1011"/>
      <c r="AE63" s="962"/>
      <c r="AF63" s="2038"/>
      <c r="AG63" s="2038"/>
      <c r="AH63" s="2038"/>
      <c r="AI63" s="2038"/>
      <c r="AJ63" s="2038"/>
      <c r="AK63" s="2038"/>
      <c r="AL63" s="2038"/>
      <c r="AM63" s="2038"/>
      <c r="AN63" s="2038"/>
    </row>
    <row r="64" spans="1:40" s="163" customFormat="1" ht="15" customHeight="1" thickBot="1">
      <c r="A64" s="39"/>
      <c r="B64" s="118"/>
      <c r="C64" s="181"/>
      <c r="D64" s="181"/>
      <c r="E64" s="39"/>
      <c r="F64" s="39"/>
      <c r="G64" s="39"/>
      <c r="H64" s="39"/>
      <c r="I64" s="39"/>
      <c r="J64" s="39"/>
      <c r="K64" s="3049"/>
      <c r="L64" s="185"/>
      <c r="M64" s="185"/>
      <c r="N64" s="185"/>
      <c r="O64" s="376"/>
      <c r="P64"/>
      <c r="Q64" s="377"/>
      <c r="R64" s="814"/>
      <c r="S64" s="814"/>
      <c r="T64" s="814"/>
      <c r="U64" s="1004"/>
      <c r="V64" s="1009"/>
      <c r="W64" s="1009" t="s">
        <v>3420</v>
      </c>
      <c r="X64" s="1009" t="s">
        <v>5168</v>
      </c>
      <c r="Y64" s="1009"/>
      <c r="Z64" s="1009"/>
      <c r="AA64" s="1010"/>
      <c r="AB64" s="1010" t="s">
        <v>171</v>
      </c>
      <c r="AC64" s="1020">
        <f>SUM(AA60,-AA63)</f>
        <v>0</v>
      </c>
      <c r="AD64" s="1011"/>
      <c r="AE64" s="962"/>
      <c r="AF64" s="2038"/>
      <c r="AG64" s="2038"/>
      <c r="AH64" s="2038"/>
      <c r="AI64" s="2038"/>
      <c r="AJ64" s="2038"/>
      <c r="AK64" s="2038"/>
      <c r="AL64" s="2038"/>
      <c r="AM64" s="2038"/>
      <c r="AN64" s="2038"/>
    </row>
    <row r="65" spans="1:40" s="163" customFormat="1" ht="15" customHeight="1" thickTop="1" thickBot="1">
      <c r="A65" s="39"/>
      <c r="B65" s="118"/>
      <c r="C65" s="9088" t="s">
        <v>5170</v>
      </c>
      <c r="D65" s="9089"/>
      <c r="E65" s="9089"/>
      <c r="F65" s="9089"/>
      <c r="G65" s="9089"/>
      <c r="H65" s="9090"/>
      <c r="I65" s="185"/>
      <c r="J65" s="185"/>
      <c r="K65" s="187"/>
      <c r="L65"/>
      <c r="M65" s="185"/>
      <c r="N65" s="185"/>
      <c r="O65" s="185"/>
      <c r="P65"/>
      <c r="Q65" s="676"/>
      <c r="R65" s="892"/>
      <c r="S65" s="892"/>
      <c r="T65" s="892"/>
      <c r="U65" s="1004"/>
      <c r="V65" s="1009"/>
      <c r="W65" s="1009"/>
      <c r="X65" s="1009"/>
      <c r="Y65" s="1009"/>
      <c r="Z65" s="1009"/>
      <c r="AA65" s="1009"/>
      <c r="AB65" s="1009"/>
      <c r="AC65" s="1009"/>
      <c r="AD65" s="1011"/>
      <c r="AE65" s="962"/>
      <c r="AF65" s="2038"/>
      <c r="AG65" s="2038"/>
      <c r="AH65" s="2038"/>
      <c r="AI65" s="2038"/>
      <c r="AJ65" s="2038"/>
      <c r="AK65" s="2038"/>
      <c r="AL65" s="2038"/>
      <c r="AM65" s="2038"/>
      <c r="AN65" s="2038"/>
    </row>
    <row r="66" spans="1:40" s="163" customFormat="1" ht="15" customHeight="1" thickTop="1" thickBot="1">
      <c r="A66" s="39"/>
      <c r="B66" s="118"/>
      <c r="C66" s="181"/>
      <c r="D66" s="181"/>
      <c r="E66" s="39"/>
      <c r="F66" s="39"/>
      <c r="G66" s="39"/>
      <c r="H66" s="185"/>
      <c r="I66" s="185"/>
      <c r="J66" s="185"/>
      <c r="K66" s="187"/>
      <c r="L66"/>
      <c r="M66" s="185"/>
      <c r="N66" s="185"/>
      <c r="O66" s="185"/>
      <c r="P66"/>
      <c r="Q66" s="676"/>
      <c r="R66" s="892"/>
      <c r="S66" s="892"/>
      <c r="T66" s="892"/>
      <c r="U66" s="1004"/>
      <c r="V66" s="1015" t="s">
        <v>5169</v>
      </c>
      <c r="W66" s="1006"/>
      <c r="X66" s="1006"/>
      <c r="Y66" s="1006"/>
      <c r="Z66" s="1006"/>
      <c r="AA66" s="1006"/>
      <c r="AB66" s="1010" t="s">
        <v>177</v>
      </c>
      <c r="AC66" s="1019"/>
      <c r="AD66" s="1008"/>
      <c r="AE66" s="962"/>
      <c r="AF66" s="2038"/>
      <c r="AG66" s="2038"/>
      <c r="AH66" s="2038"/>
      <c r="AI66" s="2038"/>
      <c r="AJ66" s="2038"/>
      <c r="AK66" s="2038"/>
      <c r="AL66" s="2038"/>
      <c r="AM66" s="2038"/>
      <c r="AN66" s="2038"/>
    </row>
    <row r="67" spans="1:40" s="163" customFormat="1" ht="14.25" thickTop="1" thickBot="1">
      <c r="A67" s="39"/>
      <c r="B67" s="118"/>
      <c r="C67" s="9088" t="s">
        <v>5173</v>
      </c>
      <c r="D67" s="9089"/>
      <c r="E67" s="9089"/>
      <c r="F67" s="9089"/>
      <c r="G67" s="9089"/>
      <c r="H67" s="9090"/>
      <c r="I67" s="185"/>
      <c r="J67" s="185"/>
      <c r="K67" s="187"/>
      <c r="L67"/>
      <c r="M67" s="185"/>
      <c r="N67" s="185"/>
      <c r="O67" s="185"/>
      <c r="P67"/>
      <c r="Q67" s="676"/>
      <c r="R67" s="892"/>
      <c r="S67" s="892"/>
      <c r="T67" s="892"/>
      <c r="U67" s="1004"/>
      <c r="V67" s="1009"/>
      <c r="W67" s="1009"/>
      <c r="X67" s="1009"/>
      <c r="Y67" s="1009"/>
      <c r="Z67" s="1009"/>
      <c r="AA67" s="1009"/>
      <c r="AB67" s="1009"/>
      <c r="AC67" s="1009"/>
      <c r="AD67" s="1011"/>
      <c r="AE67" s="962"/>
      <c r="AF67" s="2038"/>
      <c r="AG67" s="2038"/>
      <c r="AH67" s="2038"/>
      <c r="AI67" s="2038"/>
      <c r="AJ67" s="2038"/>
      <c r="AK67" s="2038"/>
      <c r="AL67" s="2038"/>
      <c r="AM67" s="2038"/>
      <c r="AN67" s="2038"/>
    </row>
    <row r="68" spans="1:40" s="163" customFormat="1" ht="17.25" customHeight="1" thickTop="1">
      <c r="A68" s="39"/>
      <c r="B68"/>
      <c r="C68"/>
      <c r="D68"/>
      <c r="E68"/>
      <c r="F68"/>
      <c r="G68"/>
      <c r="H68"/>
      <c r="I68"/>
      <c r="J68"/>
      <c r="K68" s="187"/>
      <c r="L68"/>
      <c r="M68"/>
      <c r="N68"/>
      <c r="O68"/>
      <c r="P68"/>
      <c r="Q68"/>
      <c r="R68" s="780"/>
      <c r="S68" s="1009"/>
      <c r="T68" s="1009"/>
      <c r="U68" s="1004"/>
      <c r="V68" s="1015" t="s">
        <v>5171</v>
      </c>
      <c r="W68" s="1006"/>
      <c r="X68" s="1006"/>
      <c r="Y68" s="1006"/>
      <c r="Z68" s="1006"/>
      <c r="AA68" s="1006"/>
      <c r="AB68" s="1006"/>
      <c r="AC68" s="1006"/>
      <c r="AD68" s="1008"/>
      <c r="AE68" s="962"/>
      <c r="AF68" s="2038"/>
      <c r="AG68" s="2038"/>
      <c r="AH68" s="2038"/>
      <c r="AI68" s="2038"/>
      <c r="AJ68" s="2038"/>
      <c r="AK68" s="2038"/>
      <c r="AL68" s="2038"/>
      <c r="AM68" s="2038"/>
      <c r="AN68" s="2038"/>
    </row>
    <row r="69" spans="1:40" s="163" customFormat="1" ht="12.75" customHeight="1">
      <c r="A69" s="39"/>
      <c r="B69"/>
      <c r="C69"/>
      <c r="D69"/>
      <c r="E69"/>
      <c r="F69"/>
      <c r="G69"/>
      <c r="H69"/>
      <c r="I69"/>
      <c r="J69"/>
      <c r="K69" s="187"/>
      <c r="L69"/>
      <c r="M69"/>
      <c r="N69"/>
      <c r="O69"/>
      <c r="P69"/>
      <c r="Q69"/>
      <c r="R69" s="780"/>
      <c r="S69" s="1009"/>
      <c r="T69" s="1009"/>
      <c r="U69" s="1004"/>
      <c r="V69" s="1015" t="s">
        <v>5172</v>
      </c>
      <c r="W69" s="1009"/>
      <c r="X69" s="1009"/>
      <c r="Y69" s="1009"/>
      <c r="Z69" s="1009"/>
      <c r="AA69" s="1009"/>
      <c r="AB69" s="1010" t="s">
        <v>182</v>
      </c>
      <c r="AC69" s="1020">
        <f>SUM(AC56,AC64,AC66)</f>
        <v>0</v>
      </c>
      <c r="AD69" s="1011"/>
      <c r="AE69" s="962"/>
      <c r="AF69" s="2038"/>
      <c r="AG69" s="2038"/>
      <c r="AH69" s="2038"/>
      <c r="AI69" s="2038"/>
      <c r="AJ69" s="2038"/>
      <c r="AK69" s="2038"/>
      <c r="AL69" s="2038"/>
      <c r="AM69" s="2038"/>
      <c r="AN69" s="2038"/>
    </row>
    <row r="70" spans="1:40" s="163" customFormat="1" ht="21.75" customHeight="1" thickBot="1">
      <c r="A70" s="39"/>
      <c r="B70"/>
      <c r="C70"/>
      <c r="D70"/>
      <c r="E70"/>
      <c r="F70"/>
      <c r="G70"/>
      <c r="H70"/>
      <c r="I70"/>
      <c r="J70"/>
      <c r="K70" s="187"/>
      <c r="L70"/>
      <c r="M70"/>
      <c r="N70"/>
      <c r="O70"/>
      <c r="P70"/>
      <c r="Q70"/>
      <c r="R70" s="780"/>
      <c r="S70" s="1009"/>
      <c r="T70" s="1009"/>
      <c r="U70" s="1012"/>
      <c r="V70" s="1013"/>
      <c r="W70" s="1013"/>
      <c r="X70" s="1013"/>
      <c r="Y70" s="1013"/>
      <c r="Z70" s="1013"/>
      <c r="AA70" s="1013"/>
      <c r="AB70" s="1013"/>
      <c r="AC70" s="1013"/>
      <c r="AD70" s="1014"/>
      <c r="AE70" s="962"/>
      <c r="AF70" s="2038"/>
      <c r="AG70" s="2038"/>
      <c r="AH70" s="2038"/>
      <c r="AI70" s="2038"/>
      <c r="AJ70" s="2038"/>
      <c r="AK70" s="2038"/>
      <c r="AL70" s="2038"/>
      <c r="AM70" s="2038"/>
      <c r="AN70" s="2038"/>
    </row>
    <row r="71" spans="1:40" s="163" customFormat="1" ht="12" customHeight="1" thickBot="1">
      <c r="A71" s="39"/>
      <c r="B71"/>
      <c r="C71"/>
      <c r="D71"/>
      <c r="E71"/>
      <c r="F71"/>
      <c r="G71"/>
      <c r="H71"/>
      <c r="I71"/>
      <c r="J71"/>
      <c r="K71" s="187"/>
      <c r="L71"/>
      <c r="M71"/>
      <c r="N71"/>
      <c r="O71"/>
      <c r="P71"/>
      <c r="Q71"/>
      <c r="R71" s="780"/>
      <c r="S71" s="1009"/>
      <c r="T71" s="1009"/>
      <c r="U71" s="780"/>
      <c r="V71" s="1009"/>
      <c r="W71" s="1009"/>
      <c r="X71" s="1009"/>
      <c r="Y71" s="1009"/>
      <c r="Z71" s="1009"/>
      <c r="AA71" s="1009"/>
      <c r="AB71" s="1009"/>
      <c r="AC71" s="1009"/>
      <c r="AD71" s="1009"/>
      <c r="AE71" s="962"/>
      <c r="AF71" s="2038"/>
      <c r="AG71" s="2038"/>
      <c r="AH71" s="2038"/>
      <c r="AI71" s="2038"/>
      <c r="AJ71" s="2038"/>
      <c r="AK71" s="2038"/>
      <c r="AL71" s="2038"/>
      <c r="AM71" s="2038"/>
      <c r="AN71" s="2038"/>
    </row>
    <row r="72" spans="1:40" s="163" customFormat="1" ht="21.75" customHeight="1">
      <c r="A72" s="39"/>
      <c r="B72"/>
      <c r="C72"/>
      <c r="D72"/>
      <c r="E72"/>
      <c r="F72"/>
      <c r="G72"/>
      <c r="H72"/>
      <c r="I72"/>
      <c r="J72"/>
      <c r="K72" s="187"/>
      <c r="L72"/>
      <c r="M72"/>
      <c r="N72"/>
      <c r="O72"/>
      <c r="P72"/>
      <c r="Q72"/>
      <c r="R72" s="780"/>
      <c r="S72" s="1009"/>
      <c r="T72" s="1009"/>
      <c r="U72" s="1001"/>
      <c r="V72" s="6051" t="s">
        <v>5783</v>
      </c>
      <c r="W72" s="1002"/>
      <c r="X72" s="1002"/>
      <c r="Y72" s="1003"/>
      <c r="Z72" s="3448"/>
      <c r="AA72" s="6058"/>
      <c r="AB72" s="2634"/>
      <c r="AC72" s="1009"/>
      <c r="AD72" s="1009"/>
      <c r="AE72" s="962"/>
      <c r="AF72" s="2038"/>
      <c r="AG72" s="2038"/>
      <c r="AH72" s="2038"/>
      <c r="AI72" s="2038"/>
      <c r="AJ72" s="2038"/>
      <c r="AK72" s="2038"/>
      <c r="AL72" s="2038"/>
      <c r="AM72" s="2038"/>
      <c r="AN72" s="2038"/>
    </row>
    <row r="73" spans="1:40" s="163" customFormat="1" ht="12.75" customHeight="1">
      <c r="A73" s="39"/>
      <c r="B73"/>
      <c r="C73"/>
      <c r="D73"/>
      <c r="E73"/>
      <c r="F73"/>
      <c r="G73"/>
      <c r="H73"/>
      <c r="I73"/>
      <c r="J73"/>
      <c r="K73" s="187"/>
      <c r="L73"/>
      <c r="M73"/>
      <c r="N73"/>
      <c r="O73"/>
      <c r="P73"/>
      <c r="Q73"/>
      <c r="R73" s="780"/>
      <c r="S73" s="1009"/>
      <c r="T73" s="1009"/>
      <c r="U73" s="1004"/>
      <c r="V73" s="6065" t="s">
        <v>5784</v>
      </c>
      <c r="W73" s="1009"/>
      <c r="X73" s="1009"/>
      <c r="Y73" s="1011"/>
      <c r="Z73" s="3448"/>
      <c r="AA73" s="6059"/>
      <c r="AB73" s="2634"/>
      <c r="AC73" s="1009"/>
      <c r="AD73" s="1006"/>
      <c r="AE73" s="962"/>
      <c r="AF73" s="2038"/>
      <c r="AG73" s="2038"/>
      <c r="AH73" s="2038"/>
      <c r="AI73" s="2038"/>
      <c r="AJ73" s="2038"/>
      <c r="AK73" s="2038"/>
      <c r="AL73" s="2038"/>
      <c r="AM73" s="2038"/>
      <c r="AN73" s="2038"/>
    </row>
    <row r="74" spans="1:40" s="163" customFormat="1" ht="17.25" customHeight="1">
      <c r="A74" s="39"/>
      <c r="B74"/>
      <c r="C74"/>
      <c r="D74"/>
      <c r="E74"/>
      <c r="F74"/>
      <c r="G74"/>
      <c r="H74"/>
      <c r="I74"/>
      <c r="J74"/>
      <c r="K74" s="187"/>
      <c r="L74"/>
      <c r="M74"/>
      <c r="N74"/>
      <c r="O74"/>
      <c r="P74"/>
      <c r="Q74"/>
      <c r="R74" s="780"/>
      <c r="S74" s="1009"/>
      <c r="T74" s="1009"/>
      <c r="U74" s="2635"/>
      <c r="V74" s="2636" t="s">
        <v>5771</v>
      </c>
      <c r="W74" s="1006"/>
      <c r="X74" s="1006"/>
      <c r="Y74" s="1011"/>
      <c r="Z74" s="6054"/>
      <c r="AA74" s="6060"/>
      <c r="AB74" s="2636"/>
      <c r="AC74" s="1006"/>
      <c r="AD74" s="1009"/>
      <c r="AE74" s="962"/>
      <c r="AF74" s="2038"/>
      <c r="AG74" s="2038"/>
      <c r="AH74" s="2038"/>
      <c r="AI74" s="2038"/>
      <c r="AJ74" s="2038"/>
      <c r="AK74" s="2038"/>
      <c r="AL74" s="2038"/>
      <c r="AM74" s="2038"/>
      <c r="AN74" s="2038"/>
    </row>
    <row r="75" spans="1:40" s="163" customFormat="1" ht="14.25" customHeight="1">
      <c r="A75" s="39"/>
      <c r="B75"/>
      <c r="C75"/>
      <c r="D75"/>
      <c r="E75"/>
      <c r="F75"/>
      <c r="G75"/>
      <c r="H75"/>
      <c r="I75"/>
      <c r="J75"/>
      <c r="K75" s="187"/>
      <c r="L75"/>
      <c r="M75"/>
      <c r="N75"/>
      <c r="O75"/>
      <c r="P75"/>
      <c r="Q75"/>
      <c r="R75" s="780"/>
      <c r="S75" s="1009"/>
      <c r="T75" s="1009"/>
      <c r="U75" s="1004"/>
      <c r="V75" s="1687" t="s">
        <v>5785</v>
      </c>
      <c r="W75" s="1009"/>
      <c r="X75" s="1009"/>
      <c r="Y75" s="1011"/>
      <c r="Z75" s="3448"/>
      <c r="AA75" s="3921"/>
      <c r="AB75" s="1009"/>
      <c r="AC75" s="1009"/>
      <c r="AD75" s="1009"/>
      <c r="AE75" s="962"/>
      <c r="AF75" s="2038"/>
      <c r="AG75" s="2038"/>
      <c r="AH75" s="2038"/>
      <c r="AI75" s="2038"/>
      <c r="AJ75" s="2038"/>
      <c r="AK75" s="2038"/>
      <c r="AL75" s="2038"/>
      <c r="AM75" s="2038"/>
      <c r="AN75" s="2038"/>
    </row>
    <row r="76" spans="1:40" s="163" customFormat="1">
      <c r="A76" s="39"/>
      <c r="B76"/>
      <c r="C76"/>
      <c r="D76"/>
      <c r="E76"/>
      <c r="F76"/>
      <c r="G76"/>
      <c r="H76"/>
      <c r="I76"/>
      <c r="J76"/>
      <c r="K76" s="187"/>
      <c r="L76"/>
      <c r="M76"/>
      <c r="N76"/>
      <c r="O76"/>
      <c r="P76"/>
      <c r="Q76"/>
      <c r="R76" s="780"/>
      <c r="S76" s="1009"/>
      <c r="T76" s="1009"/>
      <c r="U76" s="1004"/>
      <c r="V76" s="6066" t="s">
        <v>5786</v>
      </c>
      <c r="W76" s="1009"/>
      <c r="X76" s="6057"/>
      <c r="Y76" s="1011"/>
      <c r="Z76" s="6055"/>
      <c r="AA76" s="3921"/>
      <c r="AB76" s="1009"/>
      <c r="AC76" s="1009"/>
      <c r="AD76" s="1009"/>
      <c r="AE76" s="962"/>
      <c r="AF76" s="2038"/>
      <c r="AG76" s="2038"/>
      <c r="AH76" s="2038"/>
      <c r="AI76" s="2038"/>
      <c r="AJ76" s="2038"/>
      <c r="AK76" s="2038"/>
      <c r="AL76" s="2038"/>
      <c r="AM76" s="2038"/>
      <c r="AN76" s="2038"/>
    </row>
    <row r="77" spans="1:40" s="163" customFormat="1" ht="20.25" customHeight="1">
      <c r="A77" s="39"/>
      <c r="B77"/>
      <c r="C77"/>
      <c r="D77"/>
      <c r="E77"/>
      <c r="F77"/>
      <c r="G77"/>
      <c r="H77"/>
      <c r="I77"/>
      <c r="J77"/>
      <c r="K77" s="187"/>
      <c r="L77"/>
      <c r="M77"/>
      <c r="N77"/>
      <c r="O77"/>
      <c r="P77"/>
      <c r="Q77"/>
      <c r="R77" s="780"/>
      <c r="S77" s="1009"/>
      <c r="T77" s="1009"/>
      <c r="U77" s="2635"/>
      <c r="V77" s="2636" t="s">
        <v>5772</v>
      </c>
      <c r="W77" s="1009"/>
      <c r="X77" s="1009"/>
      <c r="Y77" s="1011"/>
      <c r="Z77" s="3448"/>
      <c r="AA77" s="6060"/>
      <c r="AB77" s="2636"/>
      <c r="AC77" s="1009"/>
      <c r="AD77" s="1009"/>
      <c r="AE77" s="962"/>
      <c r="AF77" s="2038"/>
      <c r="AG77" s="2038"/>
      <c r="AH77" s="2038"/>
      <c r="AI77" s="2038"/>
      <c r="AJ77" s="2038"/>
      <c r="AK77" s="2038"/>
      <c r="AL77" s="2038"/>
      <c r="AM77" s="2038"/>
      <c r="AN77" s="2038"/>
    </row>
    <row r="78" spans="1:40" s="163" customFormat="1">
      <c r="A78" s="39"/>
      <c r="B78"/>
      <c r="C78"/>
      <c r="D78"/>
      <c r="E78"/>
      <c r="F78"/>
      <c r="G78"/>
      <c r="H78"/>
      <c r="I78"/>
      <c r="J78"/>
      <c r="K78" s="187"/>
      <c r="L78"/>
      <c r="M78"/>
      <c r="N78"/>
      <c r="O78"/>
      <c r="P78"/>
      <c r="Q78"/>
      <c r="R78" s="780"/>
      <c r="S78" s="1009"/>
      <c r="T78" s="1009"/>
      <c r="U78" s="1004"/>
      <c r="V78" s="1687" t="s">
        <v>5773</v>
      </c>
      <c r="W78" s="1009"/>
      <c r="X78" s="1009"/>
      <c r="Y78" s="1011"/>
      <c r="Z78" s="3448"/>
      <c r="AA78" s="3921"/>
      <c r="AB78" s="1009"/>
      <c r="AC78" s="1009"/>
      <c r="AD78" s="1009"/>
      <c r="AE78" s="962"/>
      <c r="AF78" s="2038"/>
      <c r="AG78" s="2038"/>
      <c r="AH78" s="2038"/>
      <c r="AI78" s="2038"/>
      <c r="AJ78" s="2038"/>
      <c r="AK78" s="2038"/>
      <c r="AL78" s="2038"/>
      <c r="AM78" s="2038"/>
      <c r="AN78" s="2038"/>
    </row>
    <row r="79" spans="1:40" s="163" customFormat="1">
      <c r="A79" s="39"/>
      <c r="B79"/>
      <c r="C79"/>
      <c r="D79"/>
      <c r="E79"/>
      <c r="F79"/>
      <c r="G79"/>
      <c r="H79"/>
      <c r="I79"/>
      <c r="J79"/>
      <c r="K79" s="187"/>
      <c r="L79"/>
      <c r="M79"/>
      <c r="N79"/>
      <c r="O79"/>
      <c r="P79"/>
      <c r="Q79"/>
      <c r="R79" s="780"/>
      <c r="S79" s="1009"/>
      <c r="T79" s="1009"/>
      <c r="U79" s="1004"/>
      <c r="V79" s="1687" t="s">
        <v>5774</v>
      </c>
      <c r="W79" s="1009"/>
      <c r="X79" s="6057"/>
      <c r="Y79" s="1011"/>
      <c r="Z79" s="6055"/>
      <c r="AA79" s="3921"/>
      <c r="AB79" s="1009"/>
      <c r="AC79" s="1009"/>
      <c r="AD79" s="1009"/>
      <c r="AE79" s="962"/>
      <c r="AF79" s="2038"/>
      <c r="AG79" s="2038"/>
      <c r="AH79" s="2038"/>
      <c r="AI79" s="2038"/>
      <c r="AJ79" s="2038"/>
      <c r="AK79" s="2038"/>
      <c r="AL79" s="2038"/>
      <c r="AM79" s="2038"/>
      <c r="AN79" s="2038"/>
    </row>
    <row r="80" spans="1:40" s="163" customFormat="1">
      <c r="A80" s="39"/>
      <c r="B80"/>
      <c r="C80"/>
      <c r="D80"/>
      <c r="E80"/>
      <c r="F80"/>
      <c r="G80"/>
      <c r="H80"/>
      <c r="I80"/>
      <c r="J80"/>
      <c r="K80" s="187"/>
      <c r="L80"/>
      <c r="M80"/>
      <c r="N80"/>
      <c r="O80"/>
      <c r="P80"/>
      <c r="Q80"/>
      <c r="R80"/>
      <c r="S80" s="1009"/>
      <c r="T80" s="1009"/>
      <c r="U80" s="1004"/>
      <c r="V80" s="1687" t="s">
        <v>5775</v>
      </c>
      <c r="W80" s="1009"/>
      <c r="X80" s="1009"/>
      <c r="Y80" s="1011"/>
      <c r="Z80" s="3448"/>
      <c r="AA80" s="780"/>
      <c r="AB80" s="1009"/>
      <c r="AC80" s="1009"/>
      <c r="AD80" s="1009"/>
      <c r="AE80" s="962"/>
      <c r="AF80" s="2038"/>
      <c r="AG80" s="2038"/>
      <c r="AH80" s="2038"/>
      <c r="AI80" s="2038"/>
      <c r="AJ80" s="2038"/>
      <c r="AK80" s="2038"/>
      <c r="AL80" s="2038"/>
      <c r="AM80" s="2038"/>
      <c r="AN80" s="2038"/>
    </row>
    <row r="81" spans="1:40" s="163" customFormat="1" ht="21.75" customHeight="1" thickBot="1">
      <c r="A81" s="39"/>
      <c r="B81"/>
      <c r="C81"/>
      <c r="D81"/>
      <c r="E81"/>
      <c r="F81"/>
      <c r="G81"/>
      <c r="H81"/>
      <c r="I81"/>
      <c r="J81"/>
      <c r="K81" s="187"/>
      <c r="L81"/>
      <c r="M81"/>
      <c r="N81"/>
      <c r="O81"/>
      <c r="P81"/>
      <c r="Q81"/>
      <c r="R81" s="780"/>
      <c r="S81" s="1009"/>
      <c r="T81" s="1009"/>
      <c r="U81" s="1012"/>
      <c r="V81" s="1644"/>
      <c r="W81" s="1644"/>
      <c r="X81" s="1644"/>
      <c r="Y81" s="1645"/>
      <c r="Z81" s="1009"/>
      <c r="AA81" s="1009"/>
      <c r="AB81" s="1009"/>
      <c r="AC81" s="1009"/>
      <c r="AD81" s="1009"/>
      <c r="AE81" s="962"/>
      <c r="AF81" s="2038"/>
      <c r="AG81" s="2038"/>
      <c r="AH81" s="2038"/>
      <c r="AI81" s="2038"/>
      <c r="AJ81" s="2038"/>
      <c r="AK81" s="2038"/>
      <c r="AL81" s="2038"/>
      <c r="AM81" s="2038"/>
      <c r="AN81" s="2038"/>
    </row>
    <row r="82" spans="1:40" ht="13.5" thickBot="1">
      <c r="R82" s="780"/>
      <c r="S82" s="1009"/>
      <c r="T82" s="1009"/>
      <c r="U82" s="780"/>
      <c r="V82" s="1009"/>
      <c r="W82" s="1009"/>
      <c r="X82" s="1009"/>
      <c r="Y82" s="1009"/>
      <c r="Z82" s="1009"/>
      <c r="AA82" s="1009"/>
      <c r="AB82" s="1009"/>
      <c r="AC82" s="1009"/>
      <c r="AD82" s="1009"/>
    </row>
    <row r="83" spans="1:40" ht="23.25" customHeight="1">
      <c r="R83" s="780"/>
      <c r="S83" s="1009"/>
      <c r="T83" s="1009"/>
      <c r="U83" s="6052"/>
      <c r="V83" s="6064" t="s">
        <v>5781</v>
      </c>
      <c r="W83" s="1002"/>
      <c r="X83" s="1002"/>
      <c r="Y83" s="1003"/>
      <c r="Z83" s="1009"/>
      <c r="AA83" s="1009"/>
      <c r="AB83" s="1009"/>
      <c r="AC83" s="1009"/>
      <c r="AD83" s="1009"/>
    </row>
    <row r="84" spans="1:40" ht="15">
      <c r="R84" s="780"/>
      <c r="S84" s="1009"/>
      <c r="T84" s="1009"/>
      <c r="U84" s="6056"/>
      <c r="V84" s="6065" t="s">
        <v>5782</v>
      </c>
      <c r="W84" s="1009"/>
      <c r="X84" s="1009"/>
      <c r="Y84" s="1011"/>
      <c r="Z84" s="1009"/>
      <c r="AA84" s="1009"/>
      <c r="AB84" s="1009"/>
      <c r="AC84" s="1009"/>
      <c r="AD84" s="1009"/>
    </row>
    <row r="85" spans="1:40">
      <c r="R85" s="780"/>
      <c r="S85" s="1009"/>
      <c r="T85" s="1009"/>
      <c r="U85" s="2641"/>
      <c r="V85" s="6061"/>
      <c r="W85" s="1009"/>
      <c r="X85" s="1009"/>
      <c r="Y85" s="1011"/>
      <c r="Z85" s="1009"/>
      <c r="AA85" s="1009"/>
      <c r="AB85" s="1009"/>
      <c r="AC85" s="1009"/>
      <c r="AD85" s="1009"/>
    </row>
    <row r="86" spans="1:40">
      <c r="R86" s="780"/>
      <c r="S86" s="1009"/>
      <c r="T86" s="1009"/>
      <c r="U86" s="6053"/>
      <c r="V86" s="2636" t="s">
        <v>5776</v>
      </c>
      <c r="W86" s="1006"/>
      <c r="X86" s="1009"/>
      <c r="Y86" s="1011"/>
      <c r="Z86" s="1009"/>
      <c r="AA86" s="1009"/>
      <c r="AB86" s="1009"/>
      <c r="AC86" s="1009"/>
      <c r="AD86" s="1009"/>
    </row>
    <row r="87" spans="1:40">
      <c r="R87" s="780"/>
      <c r="S87" s="1009"/>
      <c r="T87" s="1009"/>
      <c r="U87" s="2641"/>
      <c r="V87" s="6062" t="s">
        <v>5777</v>
      </c>
      <c r="W87" s="1009"/>
      <c r="X87" s="1009"/>
      <c r="Y87" s="1011"/>
      <c r="Z87" s="1009"/>
      <c r="AA87" s="1009"/>
      <c r="AB87" s="1009"/>
      <c r="AC87" s="1009"/>
      <c r="AD87" s="1009"/>
    </row>
    <row r="88" spans="1:40">
      <c r="R88" s="780"/>
      <c r="S88" s="1009"/>
      <c r="T88" s="1009"/>
      <c r="U88" s="2641"/>
      <c r="V88" s="6062"/>
      <c r="W88" s="1009"/>
      <c r="X88" s="1009"/>
      <c r="Y88" s="1011"/>
      <c r="Z88" s="1009"/>
      <c r="AA88" s="1009"/>
      <c r="AB88" s="1009"/>
      <c r="AC88" s="1009"/>
      <c r="AD88" s="1009"/>
    </row>
    <row r="89" spans="1:40">
      <c r="R89" s="780"/>
      <c r="S89" s="1009"/>
      <c r="T89" s="1009"/>
      <c r="U89" s="6053"/>
      <c r="V89" s="2636" t="s">
        <v>5778</v>
      </c>
      <c r="W89" s="1009"/>
      <c r="X89" s="1009"/>
      <c r="Y89" s="1011"/>
      <c r="Z89" s="1009"/>
      <c r="AA89" s="1009"/>
      <c r="AB89" s="1009"/>
      <c r="AC89" s="1009"/>
      <c r="AD89" s="1009"/>
    </row>
    <row r="90" spans="1:40">
      <c r="S90" s="1009"/>
      <c r="T90" s="1009"/>
      <c r="U90" s="2641"/>
      <c r="V90" s="6062" t="s">
        <v>5779</v>
      </c>
      <c r="W90" s="1009"/>
      <c r="X90" s="1009"/>
      <c r="Y90" s="1011"/>
      <c r="Z90" s="1009"/>
      <c r="AA90" s="1009"/>
      <c r="AB90" s="1009"/>
      <c r="AC90" s="1009"/>
      <c r="AD90" s="1009"/>
    </row>
    <row r="91" spans="1:40" ht="13.5" thickBot="1">
      <c r="S91" s="962"/>
      <c r="T91" s="962"/>
      <c r="U91" s="3813"/>
      <c r="V91" s="1644"/>
      <c r="W91" s="1644"/>
      <c r="X91" s="1644"/>
      <c r="Y91" s="1645"/>
      <c r="Z91" s="1009"/>
      <c r="AA91" s="1009"/>
      <c r="AB91" s="1009"/>
      <c r="AC91" s="1009"/>
      <c r="AD91" s="1009"/>
    </row>
    <row r="92" spans="1:40">
      <c r="S92" s="962"/>
      <c r="T92" s="962"/>
      <c r="U92" s="780"/>
      <c r="V92" s="1009"/>
      <c r="W92" s="1009"/>
      <c r="X92" s="1009"/>
      <c r="Y92" s="1009"/>
      <c r="Z92" s="1009"/>
      <c r="AA92" s="1009"/>
      <c r="AB92" s="1009"/>
      <c r="AC92" s="1009"/>
      <c r="AD92" s="1009"/>
    </row>
    <row r="93" spans="1:40">
      <c r="S93" s="962"/>
      <c r="T93" s="962"/>
      <c r="V93" s="962"/>
      <c r="W93" s="962"/>
      <c r="X93" s="962"/>
      <c r="Y93" s="962"/>
      <c r="Z93" s="962"/>
      <c r="AA93" s="962"/>
      <c r="AB93" s="962"/>
      <c r="AC93" s="962"/>
      <c r="AD93" s="962"/>
    </row>
    <row r="94" spans="1:40">
      <c r="V94" s="962"/>
      <c r="W94" s="962"/>
      <c r="X94" s="962"/>
      <c r="Y94" s="962"/>
      <c r="Z94" s="962"/>
      <c r="AA94" s="962"/>
      <c r="AB94" s="962"/>
      <c r="AC94" s="962"/>
      <c r="AD94" s="962"/>
    </row>
    <row r="95" spans="1:40">
      <c r="V95" s="962"/>
      <c r="W95" s="962"/>
      <c r="X95" s="962"/>
    </row>
  </sheetData>
  <sheetProtection algorithmName="SHA-512" hashValue="bAH3dQM6Q9halJ+ZwZ3NpWS/6gVU917rqLo9lV09KCDwkF7e+zJYNMljeU/pd3j+dAVkO6Nt96MUBRZ+u+YxHw==" saltValue="cTR7Ogy6cCJm9WXodOotiQ==" spinCount="100000" sheet="1" objects="1" scenarios="1" formatCells="0" formatColumns="0" formatRows="0"/>
  <mergeCells count="22">
    <mergeCell ref="M5:N5"/>
    <mergeCell ref="B6:B7"/>
    <mergeCell ref="C6:D7"/>
    <mergeCell ref="M6:N7"/>
    <mergeCell ref="E7:L7"/>
    <mergeCell ref="B8:D8"/>
    <mergeCell ref="E8:L8"/>
    <mergeCell ref="M8:N8"/>
    <mergeCell ref="B9:D9"/>
    <mergeCell ref="E9:L9"/>
    <mergeCell ref="M9:N9"/>
    <mergeCell ref="C12:E13"/>
    <mergeCell ref="L10:N10"/>
    <mergeCell ref="B11:K11"/>
    <mergeCell ref="L11:N11"/>
    <mergeCell ref="C32:N32"/>
    <mergeCell ref="V20:AC31"/>
    <mergeCell ref="P48:P49"/>
    <mergeCell ref="AB33:AC49"/>
    <mergeCell ref="C65:H65"/>
    <mergeCell ref="C67:H67"/>
    <mergeCell ref="C39:N39"/>
  </mergeCells>
  <conditionalFormatting sqref="B2:B3">
    <cfRule type="expression" dxfId="151" priority="18">
      <formula>AND(N45&lt;&gt;"---",$Q$2)</formula>
    </cfRule>
  </conditionalFormatting>
  <conditionalFormatting sqref="B11:N11">
    <cfRule type="expression" dxfId="150" priority="119">
      <formula>IF(NoColor,1,0)</formula>
    </cfRule>
  </conditionalFormatting>
  <conditionalFormatting sqref="E54">
    <cfRule type="expression" dxfId="149" priority="25">
      <formula>($L$54&lt;0)</formula>
    </cfRule>
  </conditionalFormatting>
  <conditionalFormatting sqref="F12:F14">
    <cfRule type="expression" dxfId="148" priority="30">
      <formula>IF(NoColor,1,0)</formula>
    </cfRule>
  </conditionalFormatting>
  <conditionalFormatting sqref="L19">
    <cfRule type="expression" dxfId="147" priority="118">
      <formula>IF(NoColor,1,0)</formula>
    </cfRule>
  </conditionalFormatting>
  <conditionalFormatting sqref="L21">
    <cfRule type="expression" dxfId="146" priority="91">
      <formula>IF(NoColor,1,0)</formula>
    </cfRule>
  </conditionalFormatting>
  <conditionalFormatting sqref="L23">
    <cfRule type="expression" dxfId="145" priority="33">
      <formula>IF(NoColor,1,0)</formula>
    </cfRule>
  </conditionalFormatting>
  <conditionalFormatting sqref="L25">
    <cfRule type="expression" dxfId="144" priority="62">
      <formula>IF(NoColor,1,0)</formula>
    </cfRule>
  </conditionalFormatting>
  <conditionalFormatting sqref="L27">
    <cfRule type="expression" dxfId="143" priority="61">
      <formula>IF(NoColor,1,0)</formula>
    </cfRule>
  </conditionalFormatting>
  <conditionalFormatting sqref="L33:L35">
    <cfRule type="expression" dxfId="142" priority="19">
      <formula>IF(NoColor,1,0)</formula>
    </cfRule>
  </conditionalFormatting>
  <conditionalFormatting sqref="L43:L45">
    <cfRule type="expression" dxfId="141" priority="37">
      <formula>IF(NoColor,1,0)</formula>
    </cfRule>
  </conditionalFormatting>
  <conditionalFormatting sqref="L50">
    <cfRule type="expression" dxfId="140" priority="54">
      <formula>IF(NoColor,1,0)</formula>
    </cfRule>
  </conditionalFormatting>
  <conditionalFormatting sqref="L52">
    <cfRule type="expression" dxfId="139" priority="53">
      <formula>IF(NoColor,1,0)</formula>
    </cfRule>
  </conditionalFormatting>
  <conditionalFormatting sqref="L54:L57">
    <cfRule type="expression" dxfId="138" priority="50">
      <formula>IF(NoColor,1,0)</formula>
    </cfRule>
  </conditionalFormatting>
  <conditionalFormatting sqref="M3">
    <cfRule type="expression" dxfId="137" priority="17">
      <formula>NOT(F8960_Applicable)</formula>
    </cfRule>
  </conditionalFormatting>
  <conditionalFormatting sqref="N15:N17">
    <cfRule type="expression" dxfId="136" priority="28">
      <formula>IF(NoColor,1,0)</formula>
    </cfRule>
  </conditionalFormatting>
  <conditionalFormatting sqref="N22">
    <cfRule type="expression" dxfId="135" priority="90">
      <formula>IF(NoColor,1,0)</formula>
    </cfRule>
  </conditionalFormatting>
  <conditionalFormatting sqref="N28:N31">
    <cfRule type="expression" dxfId="134" priority="59">
      <formula>IF(NoColor,1,0)</formula>
    </cfRule>
  </conditionalFormatting>
  <conditionalFormatting sqref="N36:N38">
    <cfRule type="expression" dxfId="133" priority="55">
      <formula>IF(NoColor,1,0)</formula>
    </cfRule>
  </conditionalFormatting>
  <conditionalFormatting sqref="N41:N46">
    <cfRule type="expression" dxfId="132" priority="39">
      <formula>IF(NoColor,1,0)</formula>
    </cfRule>
  </conditionalFormatting>
  <conditionalFormatting sqref="N48:N49">
    <cfRule type="expression" dxfId="131" priority="70">
      <formula>IF(NoColor,1,0)</formula>
    </cfRule>
  </conditionalFormatting>
  <conditionalFormatting sqref="N58">
    <cfRule type="expression" dxfId="130" priority="95">
      <formula>IF(NoColor,1,0)</formula>
    </cfRule>
  </conditionalFormatting>
  <conditionalFormatting sqref="N60">
    <cfRule type="expression" dxfId="129" priority="96">
      <formula>IF(NoColor,1,0)</formula>
    </cfRule>
  </conditionalFormatting>
  <conditionalFormatting sqref="O21">
    <cfRule type="expression" dxfId="128" priority="27">
      <formula>IF($L$21&lt;&gt;"",TRUE,FALSE)</formula>
    </cfRule>
  </conditionalFormatting>
  <conditionalFormatting sqref="Q21">
    <cfRule type="expression" dxfId="127" priority="26">
      <formula>IF($L$21&lt;&gt;"",TRUE,FALSE)</formula>
    </cfRule>
  </conditionalFormatting>
  <conditionalFormatting sqref="S46:S50">
    <cfRule type="expression" dxfId="126" priority="6">
      <formula>AND(F8960_Tax&lt;&gt;"",F8960_Tax&gt;0)</formula>
    </cfRule>
  </conditionalFormatting>
  <conditionalFormatting sqref="U9:V9">
    <cfRule type="expression" dxfId="125" priority="12">
      <formula>AND(File_Marr_Sep&lt;&gt;"",F8960_Applicable)</formula>
    </cfRule>
  </conditionalFormatting>
  <conditionalFormatting sqref="U10:V10">
    <cfRule type="expression" dxfId="124" priority="11">
      <formula>AND(OR(File_Single&lt;&gt;"",File_Head&lt;&gt;""),F8960_Applicable)</formula>
    </cfRule>
  </conditionalFormatting>
  <conditionalFormatting sqref="U74:V74">
    <cfRule type="expression" dxfId="123" priority="21">
      <formula>IF(NoColor,1,0)</formula>
    </cfRule>
  </conditionalFormatting>
  <conditionalFormatting sqref="U77:V77">
    <cfRule type="expression" dxfId="122" priority="20">
      <formula>IF(NoColor,1,0)</formula>
    </cfRule>
  </conditionalFormatting>
  <conditionalFormatting sqref="U86:V86">
    <cfRule type="expression" dxfId="121" priority="2">
      <formula>IF(NoColor,1,0)</formula>
    </cfRule>
  </conditionalFormatting>
  <conditionalFormatting sqref="U89:V89">
    <cfRule type="expression" dxfId="120" priority="1">
      <formula>IF(NoColor,1,0)</formula>
    </cfRule>
  </conditionalFormatting>
  <conditionalFormatting sqref="U8:W8">
    <cfRule type="expression" dxfId="119" priority="13">
      <formula>AND(OR(File_Marr_Joint&lt;&gt;"",File_Qual_Widow&lt;&gt;""),F8960_Applicable)</formula>
    </cfRule>
  </conditionalFormatting>
  <conditionalFormatting sqref="AA60">
    <cfRule type="expression" dxfId="118" priority="45">
      <formula>IF(NoColor,1,0)</formula>
    </cfRule>
  </conditionalFormatting>
  <conditionalFormatting sqref="AA63">
    <cfRule type="expression" dxfId="117" priority="34">
      <formula>IF(NoColor,1,0)</formula>
    </cfRule>
  </conditionalFormatting>
  <conditionalFormatting sqref="AA74:AB74">
    <cfRule type="expression" dxfId="116" priority="4">
      <formula>IF(NoColor,1,0)</formula>
    </cfRule>
  </conditionalFormatting>
  <conditionalFormatting sqref="AA77:AB77">
    <cfRule type="expression" dxfId="115" priority="3">
      <formula>IF(NoColor,1,0)</formula>
    </cfRule>
  </conditionalFormatting>
  <conditionalFormatting sqref="AC56">
    <cfRule type="expression" dxfId="114" priority="41">
      <formula>IF(NoColor,1,0)</formula>
    </cfRule>
  </conditionalFormatting>
  <conditionalFormatting sqref="AC64">
    <cfRule type="expression" dxfId="113" priority="47">
      <formula>IF(NoColor,1,0)</formula>
    </cfRule>
  </conditionalFormatting>
  <conditionalFormatting sqref="AC66">
    <cfRule type="expression" dxfId="112" priority="40">
      <formula>IF(NoColor,1,0)</formula>
    </cfRule>
  </conditionalFormatting>
  <conditionalFormatting sqref="AC69">
    <cfRule type="expression" dxfId="111" priority="42">
      <formula>IF(NoColor,1,0)</formula>
    </cfRule>
  </conditionalFormatting>
  <hyperlinks>
    <hyperlink ref="C65:H65" r:id="rId1" display="Download Form 8960" xr:uid="{00000000-0004-0000-3600-000000000000}"/>
    <hyperlink ref="C67:H67" r:id="rId2" display="Download Form 8960 Instructions" xr:uid="{00000000-0004-0000-3600-000001000000}"/>
  </hyperlinks>
  <pageMargins left="0.75" right="0.25" top="0.36" bottom="0.28999999999999998" header="0.36" footer="0.21"/>
  <pageSetup scale="89" fitToHeight="0" orientation="portrait" r:id="rId3"/>
  <rowBreaks count="1" manualBreakCount="1">
    <brk id="61" min="1" max="12" man="1"/>
  </rowBreaks>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W323"/>
  <sheetViews>
    <sheetView zoomScaleNormal="100" zoomScaleSheetLayoutView="100" workbookViewId="0"/>
  </sheetViews>
  <sheetFormatPr defaultColWidth="9.140625" defaultRowHeight="12.75"/>
  <cols>
    <col min="1" max="1" width="3.7109375" style="39" customWidth="1"/>
    <col min="2" max="2" width="6.28515625" style="39" customWidth="1"/>
    <col min="3" max="3" width="3.140625" style="39" customWidth="1"/>
    <col min="4" max="8" width="3.7109375" style="39" customWidth="1"/>
    <col min="9" max="9" width="4.7109375" style="39" customWidth="1"/>
    <col min="10" max="10" width="3.7109375" style="39" customWidth="1"/>
    <col min="11" max="11" width="4.85546875" style="39" customWidth="1"/>
    <col min="12" max="12" width="3.7109375" style="39" customWidth="1"/>
    <col min="13" max="13" width="4.7109375" style="39" customWidth="1"/>
    <col min="14" max="14" width="4.42578125" style="39" customWidth="1"/>
    <col min="15" max="17" width="3.7109375" style="39" customWidth="1"/>
    <col min="18" max="18" width="4.7109375" style="39" customWidth="1"/>
    <col min="19" max="19" width="3.7109375" style="39" customWidth="1"/>
    <col min="20" max="20" width="4.42578125" style="39" customWidth="1"/>
    <col min="21" max="23" width="3.7109375" style="39" customWidth="1"/>
    <col min="24" max="24" width="4.7109375" style="39" customWidth="1"/>
    <col min="25" max="27" width="3.7109375" style="39" customWidth="1"/>
    <col min="28" max="28" width="4.42578125" style="39" customWidth="1"/>
    <col min="29" max="29" width="4.7109375" style="39" customWidth="1"/>
    <col min="30" max="32" width="3.7109375" style="39" customWidth="1"/>
    <col min="33" max="33" width="4.42578125" style="39" customWidth="1"/>
    <col min="34" max="34" width="4.140625" style="39" customWidth="1"/>
    <col min="35" max="35" width="2.28515625" style="39" customWidth="1"/>
    <col min="36" max="36" width="3.7109375" style="39" customWidth="1"/>
    <col min="37" max="37" width="9.140625" style="39"/>
    <col min="38" max="38" width="4.42578125" style="39" customWidth="1"/>
    <col min="39" max="39" width="12.5703125" style="39" customWidth="1"/>
    <col min="40" max="40" width="2" style="39" customWidth="1"/>
    <col min="41" max="44" width="9.140625" style="39"/>
    <col min="45" max="45" width="13" style="39" customWidth="1"/>
    <col min="46" max="46" width="8.28515625" style="39" customWidth="1"/>
    <col min="47" max="48" width="9.85546875" style="39" customWidth="1"/>
    <col min="49" max="49" width="3.28515625" style="39" customWidth="1"/>
    <col min="50" max="50" width="9.140625" style="39" customWidth="1"/>
    <col min="51" max="51" width="2.85546875" style="39" customWidth="1"/>
    <col min="52" max="52" width="3.7109375" style="39" customWidth="1"/>
    <col min="53" max="54" width="9.140625" style="39"/>
    <col min="55" max="55" width="12.85546875" style="39" customWidth="1"/>
    <col min="56" max="56" width="10" style="39" bestFit="1" customWidth="1"/>
    <col min="57" max="57" width="13" style="39" customWidth="1"/>
    <col min="58" max="58" width="5.140625" style="39" customWidth="1"/>
    <col min="59" max="60" width="9.85546875" style="39" customWidth="1"/>
    <col min="61" max="61" width="3.42578125" style="39" customWidth="1"/>
    <col min="62" max="63" width="9.140625" style="39"/>
    <col min="64" max="64" width="5.140625" style="39" customWidth="1"/>
    <col min="65" max="65" width="13.7109375" style="2725" customWidth="1"/>
    <col min="66" max="73" width="10.7109375" style="2038" customWidth="1"/>
    <col min="74" max="16384" width="9.140625" style="39"/>
  </cols>
  <sheetData>
    <row r="1" spans="1:65" ht="24" customHeight="1">
      <c r="A1" s="461"/>
      <c r="B1" s="461"/>
      <c r="C1" s="1156" t="s">
        <v>5174</v>
      </c>
      <c r="D1" s="461"/>
      <c r="E1" s="461"/>
      <c r="F1" s="461"/>
      <c r="G1" s="461"/>
      <c r="H1" s="461"/>
      <c r="I1" s="461"/>
      <c r="J1" s="461"/>
      <c r="K1" s="461"/>
      <c r="L1" s="461"/>
      <c r="M1" s="461"/>
      <c r="N1" s="461"/>
      <c r="O1" s="461"/>
      <c r="P1" s="461"/>
      <c r="Q1" s="461"/>
      <c r="R1" s="461"/>
      <c r="S1" s="1157"/>
      <c r="T1" s="461"/>
      <c r="U1" s="461"/>
      <c r="V1" s="461"/>
      <c r="W1" s="461"/>
      <c r="X1" s="461"/>
      <c r="Y1" s="461"/>
      <c r="Z1" s="461"/>
      <c r="AA1" s="461"/>
      <c r="AB1" s="461"/>
      <c r="AC1" s="461"/>
      <c r="AD1" s="461"/>
      <c r="AE1" s="461"/>
      <c r="AF1" s="461"/>
      <c r="AG1" s="461"/>
      <c r="AH1" s="461"/>
      <c r="AI1" s="461"/>
      <c r="AJ1" s="461"/>
      <c r="AK1" s="461"/>
      <c r="AL1" s="808"/>
      <c r="AM1" s="808"/>
      <c r="AN1" s="808"/>
      <c r="AO1" s="808"/>
      <c r="AP1" s="808"/>
      <c r="AQ1" s="808"/>
      <c r="AR1" s="808"/>
      <c r="AS1" s="808"/>
      <c r="AT1" s="808"/>
      <c r="AU1" s="808"/>
      <c r="AV1" s="808"/>
      <c r="AW1" s="808"/>
      <c r="AX1" s="808"/>
      <c r="AY1" s="808"/>
      <c r="AZ1" s="808"/>
      <c r="BA1" s="808"/>
      <c r="BB1" s="808"/>
      <c r="BC1" s="1231"/>
      <c r="BD1" s="808"/>
      <c r="BE1" s="808"/>
      <c r="BF1" s="808"/>
      <c r="BG1" s="808"/>
      <c r="BH1" s="808"/>
      <c r="BI1" s="808"/>
      <c r="BJ1" s="808"/>
      <c r="BK1" s="808"/>
      <c r="BL1" s="808"/>
      <c r="BM1" s="2723" t="s">
        <v>241</v>
      </c>
    </row>
    <row r="2" spans="1:65" ht="13.5" customHeight="1">
      <c r="A2" s="461"/>
      <c r="B2" s="461"/>
      <c r="C2" s="1426" t="str">
        <f>IF(AND(NOT(Alaska),NOT(Hawaii)),"X","")</f>
        <v>X</v>
      </c>
      <c r="D2" s="1155" t="s">
        <v>5175</v>
      </c>
      <c r="E2" s="461"/>
      <c r="F2" s="461"/>
      <c r="G2" s="461"/>
      <c r="H2" s="461"/>
      <c r="I2" s="461"/>
      <c r="J2" s="461"/>
      <c r="K2" s="461"/>
      <c r="L2" s="461"/>
      <c r="M2" s="1426" t="str">
        <f>IF(Alaska,"X","")</f>
        <v/>
      </c>
      <c r="N2" s="1155" t="s">
        <v>571</v>
      </c>
      <c r="O2" s="461"/>
      <c r="P2" s="461"/>
      <c r="Q2" s="461"/>
      <c r="R2" s="461"/>
      <c r="S2" s="1157" t="str">
        <f>IF(AL2&lt;1,"Check one.",IF(AL2&gt;1,"Check ONLY ONE.",""))</f>
        <v/>
      </c>
      <c r="T2" s="461"/>
      <c r="U2" s="461"/>
      <c r="V2" s="461"/>
      <c r="W2" s="1426" t="str">
        <f>IF(Hawaii,"X","")</f>
        <v/>
      </c>
      <c r="X2" s="1155" t="s">
        <v>572</v>
      </c>
      <c r="Y2" s="461"/>
      <c r="Z2" s="461"/>
      <c r="AA2" s="461"/>
      <c r="AB2" s="461"/>
      <c r="AC2" s="461"/>
      <c r="AD2" s="461"/>
      <c r="AE2" s="461"/>
      <c r="AF2" s="461"/>
      <c r="AG2" s="461"/>
      <c r="AH2" s="461"/>
      <c r="AI2" s="461"/>
      <c r="AJ2" s="461"/>
      <c r="AK2" s="461"/>
      <c r="AL2" s="3431">
        <f>SUM(AM2,AO2,AP2)</f>
        <v>1</v>
      </c>
      <c r="AM2" s="900">
        <f>IF(C2&lt;&gt;"",1,0)</f>
        <v>1</v>
      </c>
      <c r="AN2" s="900"/>
      <c r="AO2" s="900">
        <f>IF(M2&lt;&gt;"",1,0)</f>
        <v>0</v>
      </c>
      <c r="AP2" s="900">
        <f>IF(W2&lt;&gt;"",1,0)</f>
        <v>0</v>
      </c>
      <c r="AQ2" s="808"/>
      <c r="AR2" s="808"/>
      <c r="AS2" s="10319" t="s">
        <v>5176</v>
      </c>
      <c r="AT2" s="10320"/>
      <c r="AU2" s="10320"/>
      <c r="AV2" s="10320"/>
      <c r="AW2" s="10320"/>
      <c r="AX2" s="10321"/>
      <c r="AY2" s="1233"/>
      <c r="AZ2" s="808"/>
      <c r="BA2" s="808"/>
      <c r="BB2" s="892"/>
      <c r="BC2" s="1231"/>
      <c r="BD2" s="1231"/>
      <c r="BE2" s="1231"/>
      <c r="BF2" s="808"/>
      <c r="BG2" s="808"/>
      <c r="BH2" s="808"/>
      <c r="BI2" s="808"/>
      <c r="BJ2" s="808"/>
      <c r="BK2" s="808"/>
      <c r="BL2" s="808"/>
      <c r="BM2" s="4830" t="s">
        <v>251</v>
      </c>
    </row>
    <row r="3" spans="1:65" ht="24" customHeight="1">
      <c r="A3" s="461"/>
      <c r="B3" s="461"/>
      <c r="C3" s="461"/>
      <c r="D3" s="461"/>
      <c r="E3" s="461"/>
      <c r="F3" s="461"/>
      <c r="G3" s="461"/>
      <c r="H3" s="461"/>
      <c r="I3" s="461"/>
      <c r="J3" s="461"/>
      <c r="K3" s="461"/>
      <c r="L3" s="461"/>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808"/>
      <c r="AM3" s="808"/>
      <c r="AN3" s="808"/>
      <c r="AO3" s="808"/>
      <c r="AP3" s="808"/>
      <c r="AQ3" s="808"/>
      <c r="AR3" s="808"/>
      <c r="AS3" s="10322"/>
      <c r="AT3" s="10323"/>
      <c r="AU3" s="10323"/>
      <c r="AV3" s="10323"/>
      <c r="AW3" s="10323"/>
      <c r="AX3" s="10324"/>
      <c r="AY3" s="1233"/>
      <c r="AZ3" s="808"/>
      <c r="BA3" s="808"/>
      <c r="BB3" s="808"/>
      <c r="BC3" s="808"/>
      <c r="BD3" s="808"/>
      <c r="BE3" s="808"/>
      <c r="BF3" s="808"/>
      <c r="BG3" s="808"/>
      <c r="BH3" s="808"/>
      <c r="BI3" s="808"/>
      <c r="BJ3" s="892"/>
      <c r="BK3" s="892"/>
      <c r="BL3" s="808"/>
    </row>
    <row r="4" spans="1:65" ht="18" customHeight="1">
      <c r="A4" s="461"/>
      <c r="B4" s="808"/>
      <c r="C4" s="808"/>
      <c r="D4" s="8768" t="s">
        <v>155</v>
      </c>
      <c r="E4" s="8769"/>
      <c r="F4" s="8769"/>
      <c r="G4" s="8769"/>
      <c r="H4" s="860"/>
      <c r="I4" s="2633"/>
      <c r="J4" s="808"/>
      <c r="K4" s="808"/>
      <c r="L4" s="808"/>
      <c r="M4" s="808"/>
      <c r="N4" s="808"/>
      <c r="O4" s="808"/>
      <c r="P4" s="808"/>
      <c r="Q4" s="808"/>
      <c r="R4" s="808"/>
      <c r="S4" s="808"/>
      <c r="T4" s="808"/>
      <c r="U4" s="808"/>
      <c r="V4" s="808"/>
      <c r="W4" s="808"/>
      <c r="X4" s="808"/>
      <c r="Y4" s="808"/>
      <c r="Z4" s="808"/>
      <c r="AA4" s="808"/>
      <c r="AB4" s="2577"/>
      <c r="AC4" s="9862" t="s">
        <v>576</v>
      </c>
      <c r="AD4" s="8773"/>
      <c r="AE4" s="8773"/>
      <c r="AF4" s="8773"/>
      <c r="AG4" s="8773"/>
      <c r="AH4" s="8773"/>
      <c r="AI4" s="8773"/>
      <c r="AJ4" s="8773"/>
      <c r="AK4" s="461"/>
      <c r="AL4" s="808"/>
      <c r="AM4" s="5145" t="s">
        <v>867</v>
      </c>
      <c r="AN4" s="808"/>
      <c r="AO4" s="808"/>
      <c r="AP4" s="808"/>
      <c r="AQ4" s="808"/>
      <c r="AR4" s="808"/>
      <c r="AS4" s="10322"/>
      <c r="AT4" s="10323"/>
      <c r="AU4" s="10323"/>
      <c r="AV4" s="10323"/>
      <c r="AW4" s="10323"/>
      <c r="AX4" s="10324"/>
      <c r="AY4" s="1233"/>
      <c r="AZ4" s="808"/>
      <c r="BA4" s="808"/>
      <c r="BB4" s="808"/>
      <c r="BC4" s="808"/>
      <c r="BD4" s="808"/>
      <c r="BE4" s="808"/>
      <c r="BF4" s="808"/>
      <c r="BG4" s="808"/>
      <c r="BH4" s="808"/>
      <c r="BI4" s="808"/>
      <c r="BJ4" s="892"/>
      <c r="BK4" s="892"/>
      <c r="BL4" s="808"/>
    </row>
    <row r="5" spans="1:65" ht="24" customHeight="1">
      <c r="A5" s="461"/>
      <c r="B5" s="8774" t="s">
        <v>50</v>
      </c>
      <c r="C5" s="7256"/>
      <c r="D5" s="8769"/>
      <c r="E5" s="8769"/>
      <c r="F5" s="8769"/>
      <c r="G5" s="8769"/>
      <c r="H5" s="860"/>
      <c r="I5" s="8770" t="s">
        <v>5177</v>
      </c>
      <c r="J5" s="8097"/>
      <c r="K5" s="8097"/>
      <c r="L5" s="8097"/>
      <c r="M5" s="8097"/>
      <c r="N5" s="8097"/>
      <c r="O5" s="8097"/>
      <c r="P5" s="8097"/>
      <c r="Q5" s="8097"/>
      <c r="R5" s="8097"/>
      <c r="S5" s="8097"/>
      <c r="T5" s="8097"/>
      <c r="U5" s="8097"/>
      <c r="V5" s="8097"/>
      <c r="W5" s="8097"/>
      <c r="X5" s="8097"/>
      <c r="Y5" s="8097"/>
      <c r="Z5" s="8097"/>
      <c r="AA5" s="8097"/>
      <c r="AB5" s="9841"/>
      <c r="AC5" s="8775">
        <f>TaxYear</f>
        <v>2023</v>
      </c>
      <c r="AD5" s="8776"/>
      <c r="AE5" s="8776"/>
      <c r="AF5" s="8776"/>
      <c r="AG5" s="8776"/>
      <c r="AH5" s="8776"/>
      <c r="AI5" s="8776"/>
      <c r="AJ5" s="8776"/>
      <c r="AK5" s="461"/>
      <c r="AL5" s="808"/>
      <c r="AM5" s="10343" t="s">
        <v>5178</v>
      </c>
      <c r="AN5" s="10343"/>
      <c r="AO5" s="10344"/>
      <c r="AP5" s="10344"/>
      <c r="AQ5" s="10344"/>
      <c r="AR5" s="10344"/>
      <c r="AS5" s="10322"/>
      <c r="AT5" s="10323"/>
      <c r="AU5" s="10323"/>
      <c r="AV5" s="10323"/>
      <c r="AW5" s="10323"/>
      <c r="AX5" s="10324"/>
      <c r="AY5" s="1233"/>
      <c r="AZ5" s="808"/>
      <c r="BA5" s="808"/>
      <c r="BB5" s="808"/>
      <c r="BC5" s="808"/>
      <c r="BD5" s="808"/>
      <c r="BE5" s="808"/>
      <c r="BF5" s="808"/>
      <c r="BG5" s="808"/>
      <c r="BH5" s="808"/>
      <c r="BI5" s="808"/>
      <c r="BJ5" s="892"/>
      <c r="BK5" s="892"/>
      <c r="BL5" s="808"/>
    </row>
    <row r="6" spans="1:65" ht="6.75" customHeight="1">
      <c r="A6" s="461"/>
      <c r="B6" s="808"/>
      <c r="C6" s="808"/>
      <c r="D6" s="808"/>
      <c r="E6" s="808"/>
      <c r="F6" s="808"/>
      <c r="G6" s="808"/>
      <c r="H6" s="860"/>
      <c r="I6" s="1115"/>
      <c r="J6" s="1116"/>
      <c r="K6" s="1116"/>
      <c r="L6" s="1116"/>
      <c r="M6" s="1116"/>
      <c r="N6" s="1116"/>
      <c r="O6" s="1116"/>
      <c r="P6" s="1116"/>
      <c r="Q6" s="1116"/>
      <c r="R6" s="1116"/>
      <c r="S6" s="1116"/>
      <c r="T6" s="1116"/>
      <c r="U6" s="1116"/>
      <c r="V6" s="1116"/>
      <c r="W6" s="1116"/>
      <c r="X6" s="1116"/>
      <c r="Y6" s="1116"/>
      <c r="Z6" s="1116"/>
      <c r="AA6" s="1116"/>
      <c r="AB6" s="1117"/>
      <c r="AC6" s="8777"/>
      <c r="AD6" s="8778"/>
      <c r="AE6" s="8778"/>
      <c r="AF6" s="8778"/>
      <c r="AG6" s="8778"/>
      <c r="AH6" s="8778"/>
      <c r="AI6" s="8778"/>
      <c r="AJ6" s="8778"/>
      <c r="AK6" s="461"/>
      <c r="AL6" s="808"/>
      <c r="AM6" s="10344"/>
      <c r="AN6" s="10344"/>
      <c r="AO6" s="10344"/>
      <c r="AP6" s="10344"/>
      <c r="AQ6" s="10344"/>
      <c r="AR6" s="10344"/>
      <c r="AS6" s="10322"/>
      <c r="AT6" s="10323"/>
      <c r="AU6" s="10323"/>
      <c r="AV6" s="10323"/>
      <c r="AW6" s="10323"/>
      <c r="AX6" s="10324"/>
      <c r="AY6" s="1233"/>
      <c r="AZ6" s="808"/>
      <c r="BA6" s="808"/>
      <c r="BB6" s="808"/>
      <c r="BC6" s="808"/>
      <c r="BD6" s="808"/>
      <c r="BE6" s="808"/>
      <c r="BF6" s="808"/>
      <c r="BG6" s="808"/>
      <c r="BH6" s="808"/>
      <c r="BI6" s="808"/>
      <c r="BJ6" s="892"/>
      <c r="BK6" s="892"/>
      <c r="BL6" s="808"/>
    </row>
    <row r="7" spans="1:65" ht="12.75" customHeight="1">
      <c r="A7" s="461"/>
      <c r="B7" s="808" t="s">
        <v>535</v>
      </c>
      <c r="C7" s="808"/>
      <c r="D7" s="808"/>
      <c r="E7" s="808"/>
      <c r="F7" s="808"/>
      <c r="G7" s="808"/>
      <c r="H7" s="860"/>
      <c r="I7" s="9869" t="s">
        <v>880</v>
      </c>
      <c r="J7" s="9870"/>
      <c r="K7" s="9870"/>
      <c r="L7" s="9870"/>
      <c r="M7" s="9870"/>
      <c r="N7" s="9870"/>
      <c r="O7" s="9870"/>
      <c r="P7" s="9870"/>
      <c r="Q7" s="9870"/>
      <c r="R7" s="9870"/>
      <c r="S7" s="9870"/>
      <c r="T7" s="9870"/>
      <c r="U7" s="9870"/>
      <c r="V7" s="9870"/>
      <c r="W7" s="9870"/>
      <c r="X7" s="9870"/>
      <c r="Y7" s="9870"/>
      <c r="Z7" s="9870"/>
      <c r="AA7" s="9870"/>
      <c r="AB7" s="9871"/>
      <c r="AC7" s="894"/>
      <c r="AD7" s="8472" t="s">
        <v>3899</v>
      </c>
      <c r="AE7" s="6848"/>
      <c r="AF7" s="6848"/>
      <c r="AG7" s="6848"/>
      <c r="AH7" s="8160">
        <v>73</v>
      </c>
      <c r="AI7" s="8160"/>
      <c r="AJ7" s="808"/>
      <c r="AK7" s="461"/>
      <c r="AL7" s="808"/>
      <c r="AM7" s="10344"/>
      <c r="AN7" s="10344"/>
      <c r="AO7" s="10344"/>
      <c r="AP7" s="10344"/>
      <c r="AQ7" s="10344"/>
      <c r="AR7" s="10344"/>
      <c r="AS7" s="10322"/>
      <c r="AT7" s="10323"/>
      <c r="AU7" s="10323"/>
      <c r="AV7" s="10323"/>
      <c r="AW7" s="10323"/>
      <c r="AX7" s="10324"/>
      <c r="AY7" s="1233"/>
      <c r="AZ7" s="808"/>
      <c r="BA7" s="808"/>
      <c r="BB7" s="808"/>
      <c r="BC7" s="808"/>
      <c r="BD7" s="808"/>
      <c r="BE7" s="808"/>
      <c r="BF7" s="808"/>
      <c r="BG7" s="808"/>
      <c r="BH7" s="808"/>
      <c r="BI7" s="808"/>
      <c r="BJ7" s="892"/>
      <c r="BK7" s="892"/>
      <c r="BL7" s="808"/>
    </row>
    <row r="8" spans="1:65" ht="13.5" customHeight="1" thickBot="1">
      <c r="A8" s="461"/>
      <c r="B8" s="896" t="s">
        <v>537</v>
      </c>
      <c r="C8" s="896"/>
      <c r="D8" s="896"/>
      <c r="E8" s="896"/>
      <c r="F8" s="896"/>
      <c r="G8" s="896"/>
      <c r="H8" s="897"/>
      <c r="I8" s="9842" t="s">
        <v>4607</v>
      </c>
      <c r="J8" s="9843"/>
      <c r="K8" s="9843"/>
      <c r="L8" s="9843"/>
      <c r="M8" s="9843"/>
      <c r="N8" s="9843"/>
      <c r="O8" s="9843"/>
      <c r="P8" s="9843"/>
      <c r="Q8" s="9843"/>
      <c r="R8" s="9843"/>
      <c r="S8" s="9843"/>
      <c r="T8" s="9843"/>
      <c r="U8" s="9843"/>
      <c r="V8" s="9843"/>
      <c r="W8" s="9843"/>
      <c r="X8" s="9843"/>
      <c r="Y8" s="9843"/>
      <c r="Z8" s="9843"/>
      <c r="AA8" s="9843"/>
      <c r="AB8" s="9844"/>
      <c r="AC8" s="1118"/>
      <c r="AD8" s="8860" t="s">
        <v>3912</v>
      </c>
      <c r="AE8" s="8861"/>
      <c r="AF8" s="8861"/>
      <c r="AG8" s="8861"/>
      <c r="AH8" s="8848"/>
      <c r="AI8" s="8848"/>
      <c r="AJ8" s="896"/>
      <c r="AK8" s="461"/>
      <c r="AL8" s="808"/>
      <c r="AM8" s="10344"/>
      <c r="AN8" s="10344"/>
      <c r="AO8" s="10344"/>
      <c r="AP8" s="10344"/>
      <c r="AQ8" s="10344"/>
      <c r="AR8" s="10344"/>
      <c r="AS8" s="10322"/>
      <c r="AT8" s="10323"/>
      <c r="AU8" s="10323"/>
      <c r="AV8" s="10323"/>
      <c r="AW8" s="10323"/>
      <c r="AX8" s="10324"/>
      <c r="AY8" s="1233"/>
      <c r="AZ8" s="808"/>
      <c r="BA8" s="808"/>
      <c r="BB8" s="808"/>
      <c r="BC8" s="808"/>
      <c r="BD8" s="808"/>
      <c r="BE8" s="808"/>
      <c r="BF8" s="808"/>
      <c r="BG8" s="808"/>
      <c r="BH8" s="808"/>
      <c r="BI8" s="808"/>
      <c r="BJ8" s="892"/>
      <c r="BK8" s="892"/>
      <c r="BL8" s="808"/>
    </row>
    <row r="9" spans="1:65">
      <c r="A9" s="461"/>
      <c r="B9" s="1119" t="s">
        <v>3913</v>
      </c>
      <c r="C9" s="1119"/>
      <c r="D9" s="1119"/>
      <c r="E9" s="1119"/>
      <c r="F9" s="1119"/>
      <c r="G9" s="1119"/>
      <c r="H9" s="1119"/>
      <c r="I9" s="1119"/>
      <c r="J9" s="1119"/>
      <c r="K9" s="1119"/>
      <c r="L9" s="1119"/>
      <c r="M9" s="1119"/>
      <c r="N9" s="1119"/>
      <c r="O9" s="1119"/>
      <c r="P9" s="1119"/>
      <c r="Q9" s="1119"/>
      <c r="R9" s="1119"/>
      <c r="S9" s="1119"/>
      <c r="T9" s="1119"/>
      <c r="U9" s="1119"/>
      <c r="V9" s="1119"/>
      <c r="W9" s="1119"/>
      <c r="X9" s="1119"/>
      <c r="Y9" s="1120" t="s">
        <v>586</v>
      </c>
      <c r="Z9" s="890"/>
      <c r="AA9" s="890"/>
      <c r="AB9" s="890"/>
      <c r="AC9" s="1150"/>
      <c r="AD9" s="1255"/>
      <c r="AE9" s="1255"/>
      <c r="AF9" s="1255"/>
      <c r="AG9" s="1255"/>
      <c r="AH9" s="1255"/>
      <c r="AI9" s="1255"/>
      <c r="AJ9" s="1255"/>
      <c r="AK9" s="461"/>
      <c r="AL9" s="808"/>
      <c r="AM9" s="10344"/>
      <c r="AN9" s="10344"/>
      <c r="AO9" s="10344"/>
      <c r="AP9" s="10344"/>
      <c r="AQ9" s="10344"/>
      <c r="AR9" s="10344"/>
      <c r="AS9" s="10322"/>
      <c r="AT9" s="10323"/>
      <c r="AU9" s="10323"/>
      <c r="AV9" s="10323"/>
      <c r="AW9" s="10323"/>
      <c r="AX9" s="10324"/>
      <c r="AY9" s="1233"/>
      <c r="AZ9" s="808"/>
      <c r="BA9" s="808"/>
      <c r="BB9" s="808"/>
      <c r="BC9" s="808"/>
      <c r="BD9" s="808"/>
      <c r="BE9" s="808"/>
      <c r="BF9" s="808"/>
      <c r="BG9" s="808"/>
      <c r="BH9" s="808"/>
      <c r="BI9" s="808"/>
      <c r="BJ9" s="892"/>
      <c r="BK9" s="892"/>
      <c r="BL9" s="808"/>
    </row>
    <row r="10" spans="1:65" ht="13.5" customHeight="1">
      <c r="A10" s="461"/>
      <c r="B10" s="8742" t="str">
        <f>IF(Names="","",Names)</f>
        <v/>
      </c>
      <c r="C10" s="8743"/>
      <c r="D10" s="8743"/>
      <c r="E10" s="8743"/>
      <c r="F10" s="8743"/>
      <c r="G10" s="8743"/>
      <c r="H10" s="8743"/>
      <c r="I10" s="8743"/>
      <c r="J10" s="8743"/>
      <c r="K10" s="8743"/>
      <c r="L10" s="8744"/>
      <c r="M10" s="8744"/>
      <c r="N10" s="8744"/>
      <c r="O10" s="8744"/>
      <c r="P10" s="8744"/>
      <c r="Q10" s="8744"/>
      <c r="R10" s="8744"/>
      <c r="S10" s="8744"/>
      <c r="T10" s="7311"/>
      <c r="U10" s="7311"/>
      <c r="V10" s="7311"/>
      <c r="W10" s="7311"/>
      <c r="X10" s="8745"/>
      <c r="Y10" s="8748">
        <f>IF(OR(NoSSN,SS_Yours=""),"",SS_Yours)</f>
        <v>1010001</v>
      </c>
      <c r="Z10" s="6733"/>
      <c r="AA10" s="6733"/>
      <c r="AB10" s="6733"/>
      <c r="AC10" s="6733"/>
      <c r="AD10" s="6733"/>
      <c r="AE10" s="6733"/>
      <c r="AF10" s="6733"/>
      <c r="AG10" s="6733"/>
      <c r="AH10" s="6733"/>
      <c r="AI10" s="6733"/>
      <c r="AJ10" s="6733"/>
      <c r="AK10" s="461"/>
      <c r="AL10" s="808"/>
      <c r="AM10" s="10344"/>
      <c r="AN10" s="10344"/>
      <c r="AO10" s="10344"/>
      <c r="AP10" s="10344"/>
      <c r="AQ10" s="10344"/>
      <c r="AR10" s="10344"/>
      <c r="AS10" s="10322"/>
      <c r="AT10" s="10323"/>
      <c r="AU10" s="10323"/>
      <c r="AV10" s="10323"/>
      <c r="AW10" s="10323"/>
      <c r="AX10" s="10324"/>
      <c r="AY10" s="1233"/>
      <c r="AZ10" s="808"/>
      <c r="BA10" s="808"/>
      <c r="BB10" s="808"/>
      <c r="BC10" s="808"/>
      <c r="BD10" s="808"/>
      <c r="BE10" s="808"/>
      <c r="BF10" s="808"/>
      <c r="BG10" s="808"/>
      <c r="BH10" s="808"/>
      <c r="BI10" s="808"/>
      <c r="BJ10" s="892"/>
      <c r="BK10" s="892"/>
      <c r="BL10" s="808"/>
    </row>
    <row r="11" spans="1:65" ht="5.25" customHeight="1">
      <c r="A11" s="461"/>
      <c r="B11" s="8746"/>
      <c r="C11" s="8746"/>
      <c r="D11" s="8746"/>
      <c r="E11" s="8746"/>
      <c r="F11" s="8746"/>
      <c r="G11" s="8746"/>
      <c r="H11" s="8746"/>
      <c r="I11" s="8746"/>
      <c r="J11" s="8746"/>
      <c r="K11" s="8746"/>
      <c r="L11" s="8746"/>
      <c r="M11" s="8746"/>
      <c r="N11" s="8746"/>
      <c r="O11" s="8746"/>
      <c r="P11" s="8746"/>
      <c r="Q11" s="8746"/>
      <c r="R11" s="8746"/>
      <c r="S11" s="8746"/>
      <c r="T11" s="8310"/>
      <c r="U11" s="8310"/>
      <c r="V11" s="8310"/>
      <c r="W11" s="8310"/>
      <c r="X11" s="8747"/>
      <c r="Y11" s="6734"/>
      <c r="Z11" s="6731"/>
      <c r="AA11" s="6731"/>
      <c r="AB11" s="6731"/>
      <c r="AC11" s="6731"/>
      <c r="AD11" s="6731"/>
      <c r="AE11" s="6731"/>
      <c r="AF11" s="6731"/>
      <c r="AG11" s="6731"/>
      <c r="AH11" s="6731"/>
      <c r="AI11" s="6731"/>
      <c r="AJ11" s="6731"/>
      <c r="AK11" s="461"/>
      <c r="AL11" s="808"/>
      <c r="AM11" s="10344"/>
      <c r="AN11" s="10344"/>
      <c r="AO11" s="10344"/>
      <c r="AP11" s="10344"/>
      <c r="AQ11" s="10344"/>
      <c r="AR11" s="10344"/>
      <c r="AS11" s="10325"/>
      <c r="AT11" s="10326"/>
      <c r="AU11" s="10326"/>
      <c r="AV11" s="10326"/>
      <c r="AW11" s="10326"/>
      <c r="AX11" s="10327"/>
      <c r="AY11" s="1233"/>
      <c r="AZ11" s="808"/>
      <c r="BA11" s="808"/>
      <c r="BB11" s="808"/>
      <c r="BC11" s="808"/>
      <c r="BD11" s="808"/>
      <c r="BE11" s="808"/>
      <c r="BF11" s="808"/>
      <c r="BG11" s="808"/>
      <c r="BH11" s="808"/>
      <c r="BI11" s="808"/>
      <c r="BJ11" s="892"/>
      <c r="BK11" s="892"/>
      <c r="BL11" s="808"/>
    </row>
    <row r="12" spans="1:65" ht="4.5" customHeight="1" thickBot="1">
      <c r="A12" s="461"/>
      <c r="B12" s="4582"/>
      <c r="C12" s="9573" t="s">
        <v>5656</v>
      </c>
      <c r="D12" s="9573"/>
      <c r="E12" s="9573"/>
      <c r="F12" s="9573"/>
      <c r="G12" s="9573"/>
      <c r="H12" s="9573"/>
      <c r="I12" s="9573"/>
      <c r="J12" s="9573"/>
      <c r="K12" s="9573"/>
      <c r="L12" s="9573"/>
      <c r="M12" s="9573"/>
      <c r="N12" s="9573"/>
      <c r="O12" s="9573"/>
      <c r="P12" s="9573"/>
      <c r="Q12" s="9573"/>
      <c r="R12" s="9573"/>
      <c r="S12" s="9573"/>
      <c r="T12" s="9573"/>
      <c r="U12" s="9573"/>
      <c r="V12" s="9573"/>
      <c r="W12" s="9573"/>
      <c r="X12" s="9573"/>
      <c r="Y12" s="9573"/>
      <c r="Z12" s="9573"/>
      <c r="AA12" s="10295" t="s">
        <v>5657</v>
      </c>
      <c r="AB12" s="10295"/>
      <c r="AC12" s="10295"/>
      <c r="AD12" s="10295"/>
      <c r="AE12" s="10295"/>
      <c r="AF12" s="10295"/>
      <c r="AG12" s="10295"/>
      <c r="AH12" s="4583"/>
      <c r="AI12" s="808"/>
      <c r="AJ12" s="808"/>
      <c r="AK12" s="461"/>
      <c r="AL12" s="808"/>
      <c r="AM12" s="808"/>
      <c r="AN12" s="808"/>
      <c r="AO12" s="808"/>
      <c r="AP12" s="808"/>
      <c r="AQ12" s="808"/>
      <c r="AR12" s="808"/>
      <c r="AS12" s="808"/>
      <c r="AT12" s="808"/>
      <c r="AU12" s="808"/>
      <c r="AV12" s="808"/>
      <c r="AW12" s="808"/>
      <c r="AX12" s="808"/>
      <c r="AY12" s="808"/>
      <c r="AZ12" s="808"/>
      <c r="BA12" s="808"/>
      <c r="BB12" s="808"/>
      <c r="BC12" s="808"/>
      <c r="BD12" s="808"/>
      <c r="BE12" s="808"/>
      <c r="BF12" s="808"/>
      <c r="BG12" s="808"/>
      <c r="BH12" s="808"/>
      <c r="BI12" s="808"/>
      <c r="BJ12" s="892"/>
      <c r="BK12" s="892"/>
      <c r="BL12" s="808"/>
    </row>
    <row r="13" spans="1:65" ht="9.75" customHeight="1" thickBot="1">
      <c r="A13" s="461"/>
      <c r="B13" s="5148" t="s">
        <v>2351</v>
      </c>
      <c r="C13" s="8471"/>
      <c r="D13" s="8471"/>
      <c r="E13" s="8471"/>
      <c r="F13" s="8471"/>
      <c r="G13" s="8471"/>
      <c r="H13" s="8471"/>
      <c r="I13" s="8471"/>
      <c r="J13" s="8471"/>
      <c r="K13" s="8471"/>
      <c r="L13" s="8471"/>
      <c r="M13" s="8471"/>
      <c r="N13" s="8471"/>
      <c r="O13" s="8471"/>
      <c r="P13" s="8471"/>
      <c r="Q13" s="8471"/>
      <c r="R13" s="8471"/>
      <c r="S13" s="8471"/>
      <c r="T13" s="8471"/>
      <c r="U13" s="8471"/>
      <c r="V13" s="8471"/>
      <c r="W13" s="8471"/>
      <c r="X13" s="8471"/>
      <c r="Y13" s="8471"/>
      <c r="Z13" s="8471"/>
      <c r="AA13" s="6985"/>
      <c r="AB13" s="6985"/>
      <c r="AC13" s="6985"/>
      <c r="AD13" s="6985"/>
      <c r="AE13" s="6985"/>
      <c r="AF13" s="6985"/>
      <c r="AG13" s="6985"/>
      <c r="AH13" s="4584"/>
      <c r="AI13" s="873"/>
      <c r="AJ13" s="808"/>
      <c r="AK13" s="461"/>
      <c r="AL13" s="2176" t="s">
        <v>5179</v>
      </c>
      <c r="AM13" s="4960" t="b">
        <f>AND($AI$13&lt;&gt;"",OR(File_Head&lt;&gt;"",File_Marr_Joint&lt;&gt;"",File_Qual_Widow&lt;&gt;"",File_Single&lt;&gt;""))</f>
        <v>0</v>
      </c>
      <c r="AN13" s="808"/>
      <c r="AO13" s="808"/>
      <c r="AP13" s="808"/>
      <c r="AQ13" s="808"/>
      <c r="AR13" s="808"/>
      <c r="AS13" s="808"/>
      <c r="AT13" s="808"/>
      <c r="AU13" s="808"/>
      <c r="AV13" s="808"/>
      <c r="AW13" s="808"/>
      <c r="AX13" s="808"/>
      <c r="AY13" s="808"/>
      <c r="AZ13" s="808"/>
      <c r="BA13" s="808"/>
      <c r="BB13" s="808"/>
      <c r="BC13" s="808"/>
      <c r="BD13" s="808"/>
      <c r="BE13" s="808"/>
      <c r="BF13" s="808"/>
      <c r="BG13" s="808"/>
      <c r="BH13" s="808"/>
      <c r="BI13" s="808"/>
      <c r="BJ13" s="892"/>
      <c r="BK13" s="892"/>
      <c r="BL13" s="808"/>
    </row>
    <row r="14" spans="1:65" ht="3" customHeight="1">
      <c r="A14" s="461"/>
      <c r="B14" s="3376"/>
      <c r="C14" s="10294"/>
      <c r="D14" s="10294"/>
      <c r="E14" s="10294"/>
      <c r="F14" s="10294"/>
      <c r="G14" s="10294"/>
      <c r="H14" s="10294"/>
      <c r="I14" s="10294"/>
      <c r="J14" s="10294"/>
      <c r="K14" s="10294"/>
      <c r="L14" s="10294"/>
      <c r="M14" s="10294"/>
      <c r="N14" s="10294"/>
      <c r="O14" s="10294"/>
      <c r="P14" s="10294"/>
      <c r="Q14" s="10294"/>
      <c r="R14" s="10294"/>
      <c r="S14" s="10294"/>
      <c r="T14" s="10294"/>
      <c r="U14" s="10294"/>
      <c r="V14" s="10294"/>
      <c r="W14" s="10294"/>
      <c r="X14" s="10294"/>
      <c r="Y14" s="10294"/>
      <c r="Z14" s="10294"/>
      <c r="AA14" s="10296"/>
      <c r="AB14" s="10296"/>
      <c r="AC14" s="10296"/>
      <c r="AD14" s="10296"/>
      <c r="AE14" s="10296"/>
      <c r="AF14" s="10296"/>
      <c r="AG14" s="10296"/>
      <c r="AH14" s="3376"/>
      <c r="AI14" s="1121"/>
      <c r="AJ14" s="1121"/>
      <c r="AK14" s="461"/>
      <c r="AL14" s="808"/>
      <c r="AM14" s="808"/>
      <c r="AN14" s="808"/>
      <c r="AO14" s="808"/>
      <c r="AP14" s="808"/>
      <c r="AQ14" s="808"/>
      <c r="AR14" s="808"/>
      <c r="AS14" s="808"/>
      <c r="AT14" s="808"/>
      <c r="AU14" s="808"/>
      <c r="AV14" s="808"/>
      <c r="AW14" s="808"/>
      <c r="AX14" s="808"/>
      <c r="AY14" s="808"/>
      <c r="AZ14" s="808"/>
      <c r="BA14" s="808"/>
      <c r="BB14" s="808"/>
      <c r="BC14" s="808"/>
      <c r="BD14" s="808"/>
      <c r="BE14" s="808"/>
      <c r="BF14" s="808"/>
      <c r="BG14" s="808"/>
      <c r="BH14" s="808"/>
      <c r="BI14" s="808"/>
      <c r="BJ14" s="892"/>
      <c r="BK14" s="892"/>
      <c r="BL14" s="808"/>
    </row>
    <row r="15" spans="1:65" ht="18" customHeight="1">
      <c r="A15" s="461"/>
      <c r="B15" s="6909" t="s">
        <v>884</v>
      </c>
      <c r="C15" s="6909"/>
      <c r="D15" s="1258"/>
      <c r="E15" s="3728" t="s">
        <v>5180</v>
      </c>
      <c r="F15" s="1122"/>
      <c r="G15" s="1122"/>
      <c r="H15" s="1122"/>
      <c r="I15" s="1122"/>
      <c r="J15" s="1122"/>
      <c r="K15" s="1122"/>
      <c r="L15" s="1122"/>
      <c r="M15" s="1122"/>
      <c r="N15" s="1122"/>
      <c r="O15" s="1122"/>
      <c r="P15" s="1122"/>
      <c r="Q15" s="1122"/>
      <c r="R15" s="1122"/>
      <c r="S15" s="1122"/>
      <c r="T15" s="1122"/>
      <c r="U15" s="1122"/>
      <c r="V15" s="1122"/>
      <c r="W15" s="1122"/>
      <c r="X15" s="1122"/>
      <c r="Y15" s="1122"/>
      <c r="Z15" s="1122"/>
      <c r="AA15" s="1122"/>
      <c r="AB15" s="1122"/>
      <c r="AC15" s="1122"/>
      <c r="AD15" s="1122"/>
      <c r="AE15" s="1122"/>
      <c r="AF15" s="1122"/>
      <c r="AG15" s="1122"/>
      <c r="AH15" s="1122"/>
      <c r="AI15" s="1148"/>
      <c r="AJ15" s="1256" t="str">
        <f>IF($AM$13,"Checkbox is only for 'Married Filing Separately' filers. See instructions.","")</f>
        <v/>
      </c>
      <c r="AK15" s="461"/>
      <c r="AL15" s="2175"/>
      <c r="AM15" s="5103" t="str">
        <f>IF(AM13,"Check this box to remove message.","")</f>
        <v/>
      </c>
      <c r="AN15" s="1237"/>
      <c r="AO15" s="808"/>
      <c r="AP15" s="808"/>
      <c r="AQ15" s="808"/>
      <c r="AR15" s="808"/>
      <c r="AS15" s="808"/>
      <c r="AT15" s="808"/>
      <c r="AU15" s="808"/>
      <c r="AV15" s="808"/>
      <c r="AW15" s="808"/>
      <c r="AX15" s="808"/>
      <c r="AY15" s="808"/>
      <c r="AZ15" s="808"/>
      <c r="BA15" s="808"/>
      <c r="BB15" s="808"/>
      <c r="BC15" s="808"/>
      <c r="BD15" s="808"/>
      <c r="BE15" s="808"/>
      <c r="BF15" s="808"/>
      <c r="BG15" s="808"/>
      <c r="BH15" s="808"/>
      <c r="BI15" s="808"/>
      <c r="BJ15" s="892"/>
      <c r="BK15" s="892"/>
      <c r="BL15" s="808"/>
    </row>
    <row r="16" spans="1:65" ht="7.5" customHeight="1" thickBot="1">
      <c r="A16" s="461"/>
      <c r="B16" s="808"/>
      <c r="C16" s="808"/>
      <c r="D16" s="808"/>
      <c r="E16" s="808"/>
      <c r="F16" s="808"/>
      <c r="G16" s="808"/>
      <c r="H16" s="808"/>
      <c r="I16" s="808"/>
      <c r="J16" s="808"/>
      <c r="K16" s="808"/>
      <c r="L16" s="808"/>
      <c r="M16" s="808"/>
      <c r="N16" s="808"/>
      <c r="O16" s="808"/>
      <c r="P16" s="808"/>
      <c r="Q16" s="808"/>
      <c r="R16" s="808"/>
      <c r="S16" s="808"/>
      <c r="T16" s="808"/>
      <c r="U16" s="808"/>
      <c r="V16" s="808"/>
      <c r="W16" s="808"/>
      <c r="X16" s="808"/>
      <c r="Y16" s="808"/>
      <c r="Z16" s="808"/>
      <c r="AA16" s="808"/>
      <c r="AB16" s="808"/>
      <c r="AC16" s="808"/>
      <c r="AD16" s="1123"/>
      <c r="AE16" s="808"/>
      <c r="AF16" s="808"/>
      <c r="AG16" s="808"/>
      <c r="AH16" s="808"/>
      <c r="AI16" s="808"/>
      <c r="AJ16" s="808"/>
      <c r="AK16" s="461"/>
      <c r="AL16" s="808"/>
      <c r="AM16" s="1896"/>
      <c r="AN16" s="808"/>
      <c r="AO16" s="808"/>
      <c r="AP16" s="808"/>
      <c r="AQ16" s="808"/>
      <c r="AR16" s="808"/>
      <c r="AS16" s="1233"/>
      <c r="AT16" s="1233"/>
      <c r="AU16" s="1233"/>
      <c r="AV16" s="1233"/>
      <c r="AW16" s="1233"/>
      <c r="AX16" s="1233"/>
      <c r="AY16" s="1233"/>
      <c r="AZ16" s="808"/>
      <c r="BA16" s="892"/>
      <c r="BB16" s="892"/>
      <c r="BC16" s="1232"/>
      <c r="BD16" s="1232"/>
      <c r="BE16" s="1232"/>
      <c r="BF16" s="892"/>
      <c r="BG16" s="892"/>
      <c r="BH16" s="892"/>
      <c r="BI16" s="892"/>
      <c r="BJ16" s="892"/>
      <c r="BK16" s="892"/>
      <c r="BL16" s="808"/>
    </row>
    <row r="17" spans="1:64" ht="15" customHeight="1" thickBot="1">
      <c r="A17" s="461"/>
      <c r="B17" s="808"/>
      <c r="C17" s="1124" t="s">
        <v>252</v>
      </c>
      <c r="D17" s="2112" t="s">
        <v>5181</v>
      </c>
      <c r="E17" s="808"/>
      <c r="F17" s="808"/>
      <c r="G17" s="808"/>
      <c r="H17" s="808"/>
      <c r="I17" s="808"/>
      <c r="J17" s="808"/>
      <c r="K17" s="808"/>
      <c r="L17" s="808"/>
      <c r="M17" s="808"/>
      <c r="N17" s="808"/>
      <c r="O17" s="808"/>
      <c r="P17" s="808"/>
      <c r="Q17" s="808"/>
      <c r="R17" s="808"/>
      <c r="S17" s="808"/>
      <c r="T17" s="808"/>
      <c r="U17" s="808"/>
      <c r="V17" s="808"/>
      <c r="W17" s="808"/>
      <c r="X17" s="808"/>
      <c r="Y17" s="808"/>
      <c r="Z17" s="808"/>
      <c r="AA17" s="808"/>
      <c r="AB17" s="808"/>
      <c r="AC17" s="808"/>
      <c r="AD17" s="1125">
        <v>1</v>
      </c>
      <c r="AE17" s="7150">
        <f>IF(AM17&lt;&gt;"",ROUND(AM17,0),IF(AND(File_Marr_Sep&lt;&gt;"",AI13=""),"",TaxFamilySize))</f>
        <v>0</v>
      </c>
      <c r="AF17" s="10330"/>
      <c r="AG17" s="10330"/>
      <c r="AH17" s="10330"/>
      <c r="AI17" s="10330"/>
      <c r="AJ17" s="10330"/>
      <c r="AK17" s="461"/>
      <c r="AL17" s="1376">
        <v>1</v>
      </c>
      <c r="AM17" s="3494"/>
      <c r="AN17" s="808"/>
      <c r="AO17" s="10305" t="s">
        <v>5182</v>
      </c>
      <c r="AP17" s="8196"/>
      <c r="AQ17" s="8196"/>
      <c r="AR17" s="8196"/>
      <c r="AS17" s="8196"/>
      <c r="AT17" s="8196"/>
      <c r="AU17" s="8196"/>
      <c r="AV17" s="8196"/>
      <c r="AW17" s="8196"/>
      <c r="AX17" s="8196"/>
      <c r="AY17" s="1266"/>
      <c r="AZ17" s="808"/>
      <c r="BA17" s="10305" t="s">
        <v>5183</v>
      </c>
      <c r="BB17" s="8196"/>
      <c r="BC17" s="8196"/>
      <c r="BD17" s="8196"/>
      <c r="BE17" s="8196"/>
      <c r="BF17" s="8196"/>
      <c r="BG17" s="8196"/>
      <c r="BH17" s="8196"/>
      <c r="BI17" s="8196"/>
      <c r="BJ17" s="8196"/>
      <c r="BK17" s="8207"/>
      <c r="BL17" s="808"/>
    </row>
    <row r="18" spans="1:64" ht="6.75" customHeight="1" thickBot="1">
      <c r="A18" s="461"/>
      <c r="B18" s="808"/>
      <c r="C18" s="808"/>
      <c r="D18" s="2112"/>
      <c r="E18" s="808"/>
      <c r="F18" s="808"/>
      <c r="G18" s="808"/>
      <c r="H18" s="808"/>
      <c r="I18" s="808"/>
      <c r="J18" s="808"/>
      <c r="K18" s="808"/>
      <c r="L18" s="808"/>
      <c r="M18" s="808"/>
      <c r="N18" s="808"/>
      <c r="O18" s="808"/>
      <c r="P18" s="808"/>
      <c r="Q18" s="808"/>
      <c r="R18" s="808"/>
      <c r="S18" s="808"/>
      <c r="T18" s="808"/>
      <c r="U18" s="808"/>
      <c r="V18" s="808"/>
      <c r="W18" s="808"/>
      <c r="X18" s="808"/>
      <c r="Y18" s="808"/>
      <c r="Z18" s="808"/>
      <c r="AA18" s="808"/>
      <c r="AB18" s="808"/>
      <c r="AC18" s="808"/>
      <c r="AD18" s="1129"/>
      <c r="AE18" s="1130"/>
      <c r="AF18" s="1130"/>
      <c r="AG18" s="1130"/>
      <c r="AH18" s="1130"/>
      <c r="AI18" s="1130"/>
      <c r="AJ18" s="1130"/>
      <c r="AK18" s="461"/>
      <c r="AL18" s="808"/>
      <c r="AM18" s="808"/>
      <c r="AN18" s="808"/>
      <c r="AO18" s="10302"/>
      <c r="AP18" s="6919"/>
      <c r="AQ18" s="6919"/>
      <c r="AR18" s="6919"/>
      <c r="AS18" s="6919"/>
      <c r="AT18" s="6919"/>
      <c r="AU18" s="6919"/>
      <c r="AV18" s="6919"/>
      <c r="AW18" s="6919"/>
      <c r="AX18" s="6919"/>
      <c r="AY18" s="1265"/>
      <c r="AZ18" s="808"/>
      <c r="BA18" s="10302"/>
      <c r="BB18" s="6919"/>
      <c r="BC18" s="6919"/>
      <c r="BD18" s="6919"/>
      <c r="BE18" s="6919"/>
      <c r="BF18" s="6919"/>
      <c r="BG18" s="6919"/>
      <c r="BH18" s="6919"/>
      <c r="BI18" s="6919"/>
      <c r="BJ18" s="6919"/>
      <c r="BK18" s="10303"/>
      <c r="BL18" s="808"/>
    </row>
    <row r="19" spans="1:64" ht="15.75" thickBot="1">
      <c r="A19" s="461"/>
      <c r="B19" s="808"/>
      <c r="C19" s="1124" t="s">
        <v>367</v>
      </c>
      <c r="D19" s="2112" t="s">
        <v>5184</v>
      </c>
      <c r="E19" s="808"/>
      <c r="F19" s="808"/>
      <c r="G19" s="808"/>
      <c r="H19" s="808"/>
      <c r="I19" s="808"/>
      <c r="J19" s="808"/>
      <c r="K19" s="808"/>
      <c r="L19" s="808"/>
      <c r="M19" s="808"/>
      <c r="N19" s="808"/>
      <c r="O19" s="808"/>
      <c r="P19" s="808"/>
      <c r="Q19" s="808"/>
      <c r="R19" s="808"/>
      <c r="S19" s="1124"/>
      <c r="T19" s="808"/>
      <c r="U19" s="808"/>
      <c r="V19" s="7979" t="s">
        <v>367</v>
      </c>
      <c r="W19" s="8138"/>
      <c r="X19" s="7616">
        <f>IF(AM19&lt;&gt;"",ROUND(AM19,0),AV43)</f>
        <v>0</v>
      </c>
      <c r="Y19" s="10333"/>
      <c r="Z19" s="10333"/>
      <c r="AA19" s="10333"/>
      <c r="AB19" s="10333"/>
      <c r="AC19" s="10333"/>
      <c r="AD19" s="1129"/>
      <c r="AE19" s="1130"/>
      <c r="AF19" s="1130"/>
      <c r="AG19" s="1130"/>
      <c r="AH19" s="1130"/>
      <c r="AI19" s="1130"/>
      <c r="AJ19" s="1130"/>
      <c r="AK19" s="461"/>
      <c r="AL19" s="1376" t="s">
        <v>367</v>
      </c>
      <c r="AM19" s="1214"/>
      <c r="AN19" s="808"/>
      <c r="AO19" s="10302"/>
      <c r="AP19" s="6919"/>
      <c r="AQ19" s="6919"/>
      <c r="AR19" s="6919"/>
      <c r="AS19" s="6919"/>
      <c r="AT19" s="6919"/>
      <c r="AU19" s="6919"/>
      <c r="AV19" s="6919"/>
      <c r="AW19" s="6919"/>
      <c r="AX19" s="6919"/>
      <c r="AY19" s="1265"/>
      <c r="AZ19" s="808"/>
      <c r="BA19" s="10302"/>
      <c r="BB19" s="6919"/>
      <c r="BC19" s="6919"/>
      <c r="BD19" s="6919"/>
      <c r="BE19" s="6919"/>
      <c r="BF19" s="6919"/>
      <c r="BG19" s="6919"/>
      <c r="BH19" s="6919"/>
      <c r="BI19" s="6919"/>
      <c r="BJ19" s="6919"/>
      <c r="BK19" s="10303"/>
      <c r="BL19" s="808"/>
    </row>
    <row r="20" spans="1:64" ht="15.75" thickBot="1">
      <c r="A20" s="461"/>
      <c r="B20" s="808"/>
      <c r="C20" s="1127" t="s">
        <v>644</v>
      </c>
      <c r="D20" s="2112" t="s">
        <v>5185</v>
      </c>
      <c r="E20" s="808"/>
      <c r="F20" s="808"/>
      <c r="G20" s="808"/>
      <c r="H20" s="808"/>
      <c r="I20" s="808"/>
      <c r="J20" s="808"/>
      <c r="K20" s="1128"/>
      <c r="L20" s="2098"/>
      <c r="M20" s="2099"/>
      <c r="N20" s="1128"/>
      <c r="O20" s="1128"/>
      <c r="P20" s="1128"/>
      <c r="Q20" s="1128"/>
      <c r="R20" s="1128"/>
      <c r="S20" s="808"/>
      <c r="T20" s="808"/>
      <c r="U20" s="808"/>
      <c r="V20" s="8042" t="s">
        <v>369</v>
      </c>
      <c r="W20" s="9859"/>
      <c r="X20" s="10316">
        <f>IF(AM20&lt;&gt;"",ROUND(AM20,0),BH42)</f>
        <v>0</v>
      </c>
      <c r="Y20" s="10317"/>
      <c r="Z20" s="10317"/>
      <c r="AA20" s="10317"/>
      <c r="AB20" s="10317"/>
      <c r="AC20" s="10318"/>
      <c r="AD20" s="1129"/>
      <c r="AE20" s="1130"/>
      <c r="AF20" s="1130"/>
      <c r="AG20" s="1130"/>
      <c r="AH20" s="1130"/>
      <c r="AI20" s="1130"/>
      <c r="AJ20" s="1130"/>
      <c r="AK20" s="461"/>
      <c r="AL20" s="1376" t="s">
        <v>369</v>
      </c>
      <c r="AM20" s="1214"/>
      <c r="AN20" s="808"/>
      <c r="AO20" s="10304"/>
      <c r="AP20" s="7237"/>
      <c r="AQ20" s="7237"/>
      <c r="AR20" s="7237"/>
      <c r="AS20" s="7237"/>
      <c r="AT20" s="7237"/>
      <c r="AU20" s="7237"/>
      <c r="AV20" s="7237"/>
      <c r="AW20" s="7237"/>
      <c r="AX20" s="7237"/>
      <c r="AY20" s="1265"/>
      <c r="AZ20" s="808"/>
      <c r="BA20" s="10304"/>
      <c r="BB20" s="7237"/>
      <c r="BC20" s="7237"/>
      <c r="BD20" s="7237"/>
      <c r="BE20" s="7237"/>
      <c r="BF20" s="7237"/>
      <c r="BG20" s="7237"/>
      <c r="BH20" s="7237"/>
      <c r="BI20" s="7237"/>
      <c r="BJ20" s="7237"/>
      <c r="BK20" s="7238"/>
      <c r="BL20" s="808"/>
    </row>
    <row r="21" spans="1:64" ht="7.5" customHeight="1" thickBot="1">
      <c r="A21" s="461"/>
      <c r="B21" s="808"/>
      <c r="C21" s="808"/>
      <c r="D21" s="808"/>
      <c r="E21" s="808"/>
      <c r="F21" s="808"/>
      <c r="G21" s="808"/>
      <c r="H21" s="808"/>
      <c r="I21" s="808"/>
      <c r="J21" s="808"/>
      <c r="K21" s="808"/>
      <c r="L21" s="808"/>
      <c r="M21" s="808"/>
      <c r="N21" s="808"/>
      <c r="O21" s="808"/>
      <c r="P21" s="808"/>
      <c r="Q21" s="808"/>
      <c r="R21" s="808"/>
      <c r="S21" s="808"/>
      <c r="T21" s="808"/>
      <c r="U21" s="808"/>
      <c r="V21" s="808"/>
      <c r="W21" s="808"/>
      <c r="X21" s="808"/>
      <c r="Y21" s="808"/>
      <c r="Z21" s="808"/>
      <c r="AA21" s="808"/>
      <c r="AB21" s="808"/>
      <c r="AC21" s="808"/>
      <c r="AD21" s="1123"/>
      <c r="AE21" s="1142"/>
      <c r="AF21" s="1142"/>
      <c r="AG21" s="1142"/>
      <c r="AH21" s="1142"/>
      <c r="AI21" s="1142"/>
      <c r="AJ21" s="1142"/>
      <c r="AK21" s="461"/>
      <c r="AL21" s="808"/>
      <c r="AM21" s="808"/>
      <c r="AN21" s="808"/>
      <c r="AO21" s="1149"/>
      <c r="AP21" s="1142"/>
      <c r="AQ21" s="1142"/>
      <c r="AR21" s="1142"/>
      <c r="AS21" s="1142"/>
      <c r="AT21" s="1142"/>
      <c r="AU21" s="1142"/>
      <c r="AV21" s="1142"/>
      <c r="AW21" s="1142"/>
      <c r="AX21" s="1142"/>
      <c r="AY21" s="1143"/>
      <c r="AZ21" s="808"/>
      <c r="BA21" s="1149"/>
      <c r="BB21" s="1142"/>
      <c r="BC21" s="1142"/>
      <c r="BD21" s="1142"/>
      <c r="BE21" s="1142"/>
      <c r="BF21" s="1142"/>
      <c r="BG21" s="1142"/>
      <c r="BH21" s="1142"/>
      <c r="BI21" s="1142"/>
      <c r="BJ21" s="1142"/>
      <c r="BK21" s="1143"/>
      <c r="BL21" s="808"/>
    </row>
    <row r="22" spans="1:64" ht="16.5" thickBot="1">
      <c r="A22" s="461"/>
      <c r="B22" s="1127"/>
      <c r="C22" s="1124" t="s">
        <v>256</v>
      </c>
      <c r="D22" s="2112" t="s">
        <v>5186</v>
      </c>
      <c r="E22" s="808"/>
      <c r="F22" s="808"/>
      <c r="G22" s="808"/>
      <c r="H22" s="808"/>
      <c r="I22" s="808"/>
      <c r="J22" s="808"/>
      <c r="K22" s="808"/>
      <c r="L22" s="808"/>
      <c r="M22" s="808"/>
      <c r="N22" s="808"/>
      <c r="O22" s="808"/>
      <c r="P22" s="808"/>
      <c r="Q22" s="808"/>
      <c r="R22" s="808"/>
      <c r="S22" s="808"/>
      <c r="T22" s="808"/>
      <c r="U22" s="808"/>
      <c r="V22" s="808"/>
      <c r="W22" s="808"/>
      <c r="X22" s="808"/>
      <c r="Y22" s="808"/>
      <c r="Z22" s="808"/>
      <c r="AA22" s="808"/>
      <c r="AB22" s="808"/>
      <c r="AC22" s="1128" t="s">
        <v>661</v>
      </c>
      <c r="AD22" s="1125">
        <v>3</v>
      </c>
      <c r="AE22" s="7150">
        <f>IF(AM22&lt;&gt;"",ROUND(AM22,0),SUM(X19,X20))</f>
        <v>0</v>
      </c>
      <c r="AF22" s="10279"/>
      <c r="AG22" s="10279"/>
      <c r="AH22" s="10279"/>
      <c r="AI22" s="10279"/>
      <c r="AJ22" s="10279"/>
      <c r="AK22" s="461"/>
      <c r="AL22" s="1376">
        <v>3</v>
      </c>
      <c r="AM22" s="1214"/>
      <c r="AN22" s="808"/>
      <c r="AO22" s="1150"/>
      <c r="AP22" s="1108" t="s">
        <v>5187</v>
      </c>
      <c r="AQ22" s="808"/>
      <c r="AR22" s="808"/>
      <c r="AS22" s="808"/>
      <c r="AT22" s="808"/>
      <c r="AU22" s="808"/>
      <c r="AV22" s="808"/>
      <c r="AW22" s="808"/>
      <c r="AX22" s="808"/>
      <c r="AY22" s="1151"/>
      <c r="AZ22" s="808"/>
      <c r="BA22" s="1150"/>
      <c r="BB22" s="1108" t="s">
        <v>5188</v>
      </c>
      <c r="BC22" s="808"/>
      <c r="BD22" s="808"/>
      <c r="BE22" s="808"/>
      <c r="BF22" s="808"/>
      <c r="BG22" s="808"/>
      <c r="BH22" s="808"/>
      <c r="BI22" s="808"/>
      <c r="BJ22" s="808"/>
      <c r="BK22" s="1151"/>
      <c r="BL22" s="808"/>
    </row>
    <row r="23" spans="1:64" ht="6" customHeight="1">
      <c r="A23" s="461"/>
      <c r="B23" s="808"/>
      <c r="C23" s="808"/>
      <c r="D23" s="808"/>
      <c r="E23" s="808"/>
      <c r="F23" s="808"/>
      <c r="G23" s="808"/>
      <c r="H23" s="808"/>
      <c r="I23" s="808"/>
      <c r="J23" s="808"/>
      <c r="K23" s="808"/>
      <c r="L23" s="808"/>
      <c r="M23" s="808"/>
      <c r="N23" s="808"/>
      <c r="O23" s="808"/>
      <c r="P23" s="808"/>
      <c r="Q23" s="808"/>
      <c r="R23" s="808"/>
      <c r="S23" s="808"/>
      <c r="T23" s="808"/>
      <c r="U23" s="808"/>
      <c r="V23" s="808"/>
      <c r="W23" s="808"/>
      <c r="X23" s="808"/>
      <c r="Y23" s="808"/>
      <c r="Z23" s="808"/>
      <c r="AA23" s="808"/>
      <c r="AB23" s="808"/>
      <c r="AC23" s="808"/>
      <c r="AD23" s="1126"/>
      <c r="AE23" s="808"/>
      <c r="AF23" s="808"/>
      <c r="AG23" s="808"/>
      <c r="AH23" s="808"/>
      <c r="AI23" s="808"/>
      <c r="AJ23" s="808"/>
      <c r="AK23" s="461"/>
      <c r="AL23" s="808"/>
      <c r="AM23" s="808"/>
      <c r="AN23" s="808"/>
      <c r="AO23" s="1150"/>
      <c r="AP23" s="808"/>
      <c r="AQ23" s="808"/>
      <c r="AR23" s="808"/>
      <c r="AS23" s="808"/>
      <c r="AT23" s="808"/>
      <c r="AU23" s="808"/>
      <c r="AV23" s="808"/>
      <c r="AW23" s="808"/>
      <c r="AX23" s="808"/>
      <c r="AY23" s="1151"/>
      <c r="AZ23" s="808"/>
      <c r="BA23" s="1150"/>
      <c r="BB23" s="808"/>
      <c r="BC23" s="808"/>
      <c r="BD23" s="808"/>
      <c r="BE23" s="808"/>
      <c r="BF23" s="808"/>
      <c r="BG23" s="808"/>
      <c r="BH23" s="808"/>
      <c r="BI23" s="808"/>
      <c r="BJ23" s="808"/>
      <c r="BK23" s="1151"/>
      <c r="BL23" s="808"/>
    </row>
    <row r="24" spans="1:64" ht="15.75" thickBot="1">
      <c r="A24" s="461"/>
      <c r="B24" s="808"/>
      <c r="C24" s="1124" t="s">
        <v>259</v>
      </c>
      <c r="D24" s="892" t="s">
        <v>5659</v>
      </c>
      <c r="E24" s="808"/>
      <c r="F24" s="808"/>
      <c r="G24" s="808"/>
      <c r="H24" s="808"/>
      <c r="I24" s="808"/>
      <c r="J24" s="808"/>
      <c r="K24" s="808"/>
      <c r="L24" s="808"/>
      <c r="M24" s="808"/>
      <c r="N24" s="808"/>
      <c r="O24" s="808"/>
      <c r="P24" s="808"/>
      <c r="Q24" s="808"/>
      <c r="R24" s="808"/>
      <c r="S24" s="808"/>
      <c r="T24" s="808"/>
      <c r="U24" s="808"/>
      <c r="V24" s="808"/>
      <c r="W24" s="808"/>
      <c r="X24" s="808"/>
      <c r="Y24" s="808"/>
      <c r="Z24" s="808"/>
      <c r="AA24" s="808"/>
      <c r="AB24" s="808"/>
      <c r="AC24" s="808"/>
      <c r="AD24" s="1126"/>
      <c r="AE24" s="808"/>
      <c r="AF24" s="808"/>
      <c r="AG24" s="808"/>
      <c r="AH24" s="808"/>
      <c r="AI24" s="808"/>
      <c r="AJ24" s="808"/>
      <c r="AK24" s="461"/>
      <c r="AL24" s="808"/>
      <c r="AM24" s="874"/>
      <c r="AN24" s="1234"/>
      <c r="AO24" s="1152" t="s">
        <v>167</v>
      </c>
      <c r="AP24" s="878" t="s">
        <v>5189</v>
      </c>
      <c r="AQ24" s="808"/>
      <c r="AR24" s="808"/>
      <c r="AS24" s="808"/>
      <c r="AT24" s="808"/>
      <c r="AU24" s="808"/>
      <c r="AV24" s="808"/>
      <c r="AW24" s="808"/>
      <c r="AX24" s="1579" t="s">
        <v>867</v>
      </c>
      <c r="AY24" s="1151"/>
      <c r="AZ24" s="808"/>
      <c r="BA24" s="1152" t="s">
        <v>167</v>
      </c>
      <c r="BB24" s="878" t="s">
        <v>5190</v>
      </c>
      <c r="BC24" s="808"/>
      <c r="BD24" s="808"/>
      <c r="BE24" s="808"/>
      <c r="BF24" s="808"/>
      <c r="BG24" s="1153"/>
      <c r="BH24" s="808"/>
      <c r="BI24" s="808"/>
      <c r="BJ24" s="808"/>
      <c r="BK24" s="1151"/>
      <c r="BL24" s="808"/>
    </row>
    <row r="25" spans="1:64" ht="14.25" customHeight="1" thickBot="1">
      <c r="A25" s="461"/>
      <c r="B25" s="808"/>
      <c r="C25" s="808"/>
      <c r="D25" s="892" t="s">
        <v>5658</v>
      </c>
      <c r="E25" s="808"/>
      <c r="F25" s="808"/>
      <c r="G25" s="808"/>
      <c r="H25" s="808"/>
      <c r="I25" s="808"/>
      <c r="J25" s="808"/>
      <c r="K25" s="808"/>
      <c r="L25" s="808"/>
      <c r="M25" s="808"/>
      <c r="N25" s="1128" t="s">
        <v>640</v>
      </c>
      <c r="O25" s="1158" t="str">
        <f>IF(AND($AL$2=1,M2&lt;&gt;""),"X","")</f>
        <v/>
      </c>
      <c r="P25" s="892" t="s">
        <v>571</v>
      </c>
      <c r="Q25" s="892"/>
      <c r="R25" s="1128" t="s">
        <v>644</v>
      </c>
      <c r="S25" s="1158" t="str">
        <f>IF(AND($AL$2=1,W2&lt;&gt;""),"X","")</f>
        <v/>
      </c>
      <c r="T25" s="892" t="s">
        <v>572</v>
      </c>
      <c r="U25" s="808"/>
      <c r="V25" s="1128" t="s">
        <v>648</v>
      </c>
      <c r="W25" s="1158" t="str">
        <f>IF(AND($AL$2=1,C2&lt;&gt;""),"X","")</f>
        <v>X</v>
      </c>
      <c r="X25" s="808" t="s">
        <v>5191</v>
      </c>
      <c r="Y25" s="808"/>
      <c r="Z25" s="808"/>
      <c r="AA25" s="808"/>
      <c r="AB25" s="808"/>
      <c r="AC25" s="808"/>
      <c r="AD25" s="1125">
        <v>4</v>
      </c>
      <c r="AE25" s="7150">
        <f>IF(AM25&lt;&gt;"",ROUND(AM25,0),IF(AND(File_Marr_Sep&lt;&gt;"",AI13=""),"",IF(W25&lt;&gt;"",AM32,IF(O25&lt;&gt;"",AM33,IF(S25&lt;&gt;"",AM34,"")))))</f>
        <v>0</v>
      </c>
      <c r="AF25" s="10279"/>
      <c r="AG25" s="10279"/>
      <c r="AH25" s="10279"/>
      <c r="AI25" s="10279"/>
      <c r="AJ25" s="10279"/>
      <c r="AK25" s="461"/>
      <c r="AL25" s="1376">
        <v>4</v>
      </c>
      <c r="AM25" s="1214"/>
      <c r="AN25" s="1234"/>
      <c r="AO25" s="1150"/>
      <c r="AP25" s="878" t="s">
        <v>5192</v>
      </c>
      <c r="AQ25" s="808"/>
      <c r="AR25" s="808"/>
      <c r="AS25" s="808"/>
      <c r="AT25" s="808"/>
      <c r="AU25" s="1153" t="s">
        <v>167</v>
      </c>
      <c r="AV25" s="1169">
        <f>IF(AX25&lt;&gt;"",ROUND(AX25,0),Adj_Gross_Inc)</f>
        <v>0</v>
      </c>
      <c r="AW25" s="808"/>
      <c r="AX25" s="4557"/>
      <c r="AY25" s="1151"/>
      <c r="AZ25" s="808"/>
      <c r="BA25" s="1150"/>
      <c r="BB25" s="878" t="s">
        <v>5193</v>
      </c>
      <c r="BC25" s="808"/>
      <c r="BD25" s="808"/>
      <c r="BE25" s="808"/>
      <c r="BF25" s="808"/>
      <c r="BG25" s="1153" t="s">
        <v>167</v>
      </c>
      <c r="BH25" s="1168"/>
      <c r="BI25" s="808"/>
      <c r="BJ25" s="808"/>
      <c r="BK25" s="1151"/>
      <c r="BL25" s="808"/>
    </row>
    <row r="26" spans="1:64" ht="15.75" customHeight="1" thickBot="1">
      <c r="A26" s="461"/>
      <c r="B26" s="808"/>
      <c r="C26" s="1124" t="s">
        <v>261</v>
      </c>
      <c r="D26" s="892" t="s">
        <v>5194</v>
      </c>
      <c r="E26" s="808"/>
      <c r="F26" s="808"/>
      <c r="G26" s="808"/>
      <c r="H26" s="808"/>
      <c r="I26" s="808"/>
      <c r="J26" s="808"/>
      <c r="K26" s="808"/>
      <c r="L26" s="808"/>
      <c r="M26" s="808"/>
      <c r="N26" s="808"/>
      <c r="O26" s="808"/>
      <c r="P26" s="808"/>
      <c r="Q26" s="808"/>
      <c r="R26" s="808"/>
      <c r="S26" s="808"/>
      <c r="T26" s="808"/>
      <c r="U26" s="808"/>
      <c r="V26" s="808"/>
      <c r="W26" s="808"/>
      <c r="X26" s="808"/>
      <c r="Y26" s="808"/>
      <c r="Z26" s="808"/>
      <c r="AA26" s="808"/>
      <c r="AB26" s="808"/>
      <c r="AC26" s="1128" t="s">
        <v>922</v>
      </c>
      <c r="AD26" s="1125">
        <v>5</v>
      </c>
      <c r="AE26" s="10306" t="str">
        <f>IF(AM26&lt;&gt;"",ROUND(AM26,0),IF(OR(AE25="",AE25=0),"",AV65))</f>
        <v/>
      </c>
      <c r="AF26" s="7243"/>
      <c r="AG26" s="7243"/>
      <c r="AH26" s="7243"/>
      <c r="AI26" s="7243"/>
      <c r="AJ26" s="1685" t="str">
        <f>"%"</f>
        <v>%</v>
      </c>
      <c r="AK26" s="461"/>
      <c r="AL26" s="1376">
        <v>5</v>
      </c>
      <c r="AM26" s="1214"/>
      <c r="AN26" s="1269"/>
      <c r="AO26" s="1150"/>
      <c r="AP26" s="878"/>
      <c r="AQ26" s="808"/>
      <c r="AR26" s="808"/>
      <c r="AS26" s="808"/>
      <c r="AT26" s="808"/>
      <c r="AU26" s="808"/>
      <c r="AV26" s="808"/>
      <c r="AW26" s="808"/>
      <c r="AX26" s="808"/>
      <c r="AY26" s="1151"/>
      <c r="AZ26" s="808"/>
      <c r="BA26" s="1150"/>
      <c r="BB26" s="878"/>
      <c r="BC26" s="808"/>
      <c r="BD26" s="808"/>
      <c r="BE26" s="808"/>
      <c r="BF26" s="808"/>
      <c r="BG26" s="808"/>
      <c r="BH26" s="808"/>
      <c r="BI26" s="808"/>
      <c r="BJ26" s="808"/>
      <c r="BK26" s="1151"/>
      <c r="BL26" s="808"/>
    </row>
    <row r="27" spans="1:64" ht="15.75" customHeight="1">
      <c r="A27" s="461"/>
      <c r="B27" s="808"/>
      <c r="C27" s="1124" t="s">
        <v>263</v>
      </c>
      <c r="D27" s="892" t="s">
        <v>784</v>
      </c>
      <c r="E27" s="808"/>
      <c r="F27" s="808"/>
      <c r="G27" s="808"/>
      <c r="H27" s="808"/>
      <c r="I27" s="808"/>
      <c r="J27" s="808"/>
      <c r="K27" s="808"/>
      <c r="L27" s="808"/>
      <c r="M27" s="808"/>
      <c r="N27" s="808"/>
      <c r="O27" s="808"/>
      <c r="P27" s="808"/>
      <c r="Q27" s="808"/>
      <c r="R27" s="808"/>
      <c r="S27" s="808"/>
      <c r="T27" s="808"/>
      <c r="U27" s="808"/>
      <c r="V27" s="808"/>
      <c r="W27" s="808"/>
      <c r="X27" s="808"/>
      <c r="Y27" s="808"/>
      <c r="Z27" s="808"/>
      <c r="AA27" s="808"/>
      <c r="AB27" s="808"/>
      <c r="AC27" s="1128" t="s">
        <v>1328</v>
      </c>
      <c r="AD27" s="5149"/>
      <c r="AE27" s="2403"/>
      <c r="AF27" s="2403"/>
      <c r="AG27" s="2403"/>
      <c r="AH27" s="2403"/>
      <c r="AI27" s="2403"/>
      <c r="AJ27" s="2403"/>
      <c r="AK27" s="461"/>
      <c r="AL27" s="1376"/>
      <c r="AM27" s="1269"/>
      <c r="AN27" s="1269"/>
      <c r="AO27" s="1150"/>
      <c r="AP27" s="878"/>
      <c r="AQ27" s="808"/>
      <c r="AR27" s="808"/>
      <c r="AS27" s="808"/>
      <c r="AT27" s="808"/>
      <c r="AU27" s="808"/>
      <c r="AV27" s="808"/>
      <c r="AW27" s="808"/>
      <c r="AX27" s="808"/>
      <c r="AY27" s="1151"/>
      <c r="AZ27" s="808"/>
      <c r="BA27" s="1150"/>
      <c r="BB27" s="878"/>
      <c r="BC27" s="808"/>
      <c r="BD27" s="808"/>
      <c r="BE27" s="808"/>
      <c r="BF27" s="808"/>
      <c r="BG27" s="808"/>
      <c r="BH27" s="808"/>
      <c r="BI27" s="808"/>
      <c r="BJ27" s="808"/>
      <c r="BK27" s="1151"/>
      <c r="BL27" s="808"/>
    </row>
    <row r="28" spans="1:64" ht="15" customHeight="1" thickBot="1">
      <c r="A28" s="461"/>
      <c r="B28" s="808"/>
      <c r="C28" s="1124" t="s">
        <v>266</v>
      </c>
      <c r="D28" s="808" t="s">
        <v>5195</v>
      </c>
      <c r="E28" s="808"/>
      <c r="F28" s="808"/>
      <c r="G28" s="808"/>
      <c r="H28" s="808"/>
      <c r="I28" s="808"/>
      <c r="J28" s="808"/>
      <c r="K28" s="808"/>
      <c r="L28" s="808"/>
      <c r="M28" s="808"/>
      <c r="N28" s="808"/>
      <c r="O28" s="808"/>
      <c r="P28" s="808"/>
      <c r="Q28" s="808"/>
      <c r="R28" s="808"/>
      <c r="S28" s="808"/>
      <c r="T28" s="808"/>
      <c r="U28" s="808"/>
      <c r="V28" s="808"/>
      <c r="W28" s="808"/>
      <c r="X28" s="808"/>
      <c r="Y28" s="808"/>
      <c r="Z28" s="808"/>
      <c r="AA28" s="808"/>
      <c r="AB28" s="808"/>
      <c r="AC28" s="1128" t="s">
        <v>992</v>
      </c>
      <c r="AD28" s="1125">
        <v>7</v>
      </c>
      <c r="AE28" s="10328" t="str">
        <f>IF(AND(File_Marr_Sep&lt;&gt;"",AI13=""),"",IF(OR(AL2&lt;&gt;1,AE26=0,AE17=0),"",BB53))</f>
        <v/>
      </c>
      <c r="AF28" s="10329"/>
      <c r="AG28" s="10329"/>
      <c r="AH28" s="10329"/>
      <c r="AI28" s="10329"/>
      <c r="AJ28" s="10329"/>
      <c r="AK28" s="461"/>
      <c r="AL28" s="5146"/>
      <c r="AM28" s="5146"/>
      <c r="AN28" s="5147"/>
      <c r="AO28" s="1152" t="s">
        <v>171</v>
      </c>
      <c r="AP28" s="878" t="s">
        <v>5196</v>
      </c>
      <c r="AQ28" s="808"/>
      <c r="AR28" s="808"/>
      <c r="AS28" s="808"/>
      <c r="AT28" s="808"/>
      <c r="AU28" s="808"/>
      <c r="AV28" s="808"/>
      <c r="AW28" s="808"/>
      <c r="AX28" s="808"/>
      <c r="AY28" s="1151"/>
      <c r="AZ28" s="808"/>
      <c r="BA28" s="1152" t="s">
        <v>171</v>
      </c>
      <c r="BB28" s="878" t="s">
        <v>5197</v>
      </c>
      <c r="BC28" s="808"/>
      <c r="BD28" s="808"/>
      <c r="BE28" s="808"/>
      <c r="BF28" s="808"/>
      <c r="BG28" s="808"/>
      <c r="BH28" s="808"/>
      <c r="BI28" s="808"/>
      <c r="BJ28" s="808"/>
      <c r="BK28" s="1151"/>
      <c r="BL28" s="808"/>
    </row>
    <row r="29" spans="1:64" ht="14.25" customHeight="1" thickBot="1">
      <c r="A29" s="461"/>
      <c r="B29" s="808"/>
      <c r="C29" s="1124" t="s">
        <v>904</v>
      </c>
      <c r="D29" s="878" t="s">
        <v>5198</v>
      </c>
      <c r="E29" s="808"/>
      <c r="F29" s="808"/>
      <c r="G29" s="808"/>
      <c r="H29" s="808"/>
      <c r="I29" s="808"/>
      <c r="J29" s="808"/>
      <c r="K29" s="808"/>
      <c r="L29" s="1150"/>
      <c r="M29" s="6567"/>
      <c r="N29" s="6567"/>
      <c r="O29" s="6567"/>
      <c r="P29" s="6567"/>
      <c r="Q29" s="6567"/>
      <c r="R29" s="6567"/>
      <c r="S29" s="1124" t="s">
        <v>644</v>
      </c>
      <c r="T29" s="892" t="s">
        <v>5199</v>
      </c>
      <c r="U29" s="808"/>
      <c r="V29" s="808"/>
      <c r="W29" s="808"/>
      <c r="X29" s="808"/>
      <c r="Y29" s="808"/>
      <c r="Z29" s="808"/>
      <c r="AA29" s="808"/>
      <c r="AB29" s="808"/>
      <c r="AC29" s="808"/>
      <c r="AD29" s="1126"/>
      <c r="AE29" s="808"/>
      <c r="AF29" s="808"/>
      <c r="AG29" s="808"/>
      <c r="AH29" s="808"/>
      <c r="AI29" s="808"/>
      <c r="AJ29" s="808"/>
      <c r="AK29" s="461"/>
      <c r="AL29" s="1376" t="s">
        <v>904</v>
      </c>
      <c r="AM29" s="1214"/>
      <c r="AN29" s="1269"/>
      <c r="AO29" s="1150"/>
      <c r="AP29" s="878" t="s">
        <v>5200</v>
      </c>
      <c r="AQ29" s="808"/>
      <c r="AR29" s="808"/>
      <c r="AS29" s="808"/>
      <c r="AT29" s="1153" t="s">
        <v>171</v>
      </c>
      <c r="AU29" s="2983">
        <f>IF(AX29&lt;&gt;"",ROUND(AX29,0),'1040'!O53)</f>
        <v>0</v>
      </c>
      <c r="AV29" s="808"/>
      <c r="AW29" s="808"/>
      <c r="AX29" s="4557"/>
      <c r="AY29" s="1151"/>
      <c r="AZ29" s="808"/>
      <c r="BA29" s="1152"/>
      <c r="BB29" s="878" t="s">
        <v>5201</v>
      </c>
      <c r="BC29" s="808"/>
      <c r="BD29" s="808"/>
      <c r="BE29" s="808"/>
      <c r="BF29" s="808"/>
      <c r="BG29" s="808"/>
      <c r="BH29" s="808"/>
      <c r="BI29" s="808"/>
      <c r="BJ29" s="808"/>
      <c r="BK29" s="1151"/>
      <c r="BL29" s="808"/>
    </row>
    <row r="30" spans="1:64" ht="12.75" customHeight="1" thickBot="1">
      <c r="A30" s="461"/>
      <c r="B30" s="896"/>
      <c r="C30" s="896"/>
      <c r="D30" s="1463" t="s">
        <v>5202</v>
      </c>
      <c r="E30" s="896"/>
      <c r="F30" s="896"/>
      <c r="G30" s="896"/>
      <c r="H30" s="896"/>
      <c r="I30" s="896"/>
      <c r="J30" s="896"/>
      <c r="K30" s="896"/>
      <c r="L30" s="1131" t="s">
        <v>904</v>
      </c>
      <c r="M30" s="7175" t="str">
        <f>IF(AND(File_Marr_Sep&lt;&gt;"",AI13=""),"",IF(AM29&lt;&gt;"",ROUND(AM29,0),IF(OR(AL2&lt;&gt;1,AE26=0,AE17=0),"",ROUND(AE22*AE28,0))))</f>
        <v/>
      </c>
      <c r="N30" s="10350"/>
      <c r="O30" s="10350"/>
      <c r="P30" s="10350"/>
      <c r="Q30" s="10350"/>
      <c r="R30" s="10350"/>
      <c r="S30" s="896"/>
      <c r="T30" s="1257" t="s">
        <v>5660</v>
      </c>
      <c r="U30" s="896"/>
      <c r="V30" s="896"/>
      <c r="W30" s="896"/>
      <c r="X30" s="896"/>
      <c r="Y30" s="896"/>
      <c r="Z30" s="896"/>
      <c r="AA30" s="896"/>
      <c r="AB30" s="896"/>
      <c r="AC30" s="1128" t="s">
        <v>992</v>
      </c>
      <c r="AD30" s="1132" t="s">
        <v>909</v>
      </c>
      <c r="AE30" s="7244" t="str">
        <f>IF(AND(File_Marr_Sep&lt;&gt;"",AI13=""),"",IF(AM30&lt;&gt;"",ROUND(AM30,0),IF(OR(AL2&lt;&gt;1,AE26=0,AE17=0),"",ROUND(M30/12,0))))</f>
        <v/>
      </c>
      <c r="AF30" s="10299"/>
      <c r="AG30" s="10299"/>
      <c r="AH30" s="10299"/>
      <c r="AI30" s="10299"/>
      <c r="AJ30" s="10299"/>
      <c r="AK30" s="461"/>
      <c r="AL30" s="1376" t="s">
        <v>909</v>
      </c>
      <c r="AM30" s="2766"/>
      <c r="AN30" s="1269"/>
      <c r="AO30" s="1150"/>
      <c r="AP30" s="878"/>
      <c r="AQ30" s="808"/>
      <c r="AR30" s="808"/>
      <c r="AS30" s="808"/>
      <c r="AT30" s="1153"/>
      <c r="AU30" s="808"/>
      <c r="AV30" s="808"/>
      <c r="AW30" s="808"/>
      <c r="AX30" s="808"/>
      <c r="AY30" s="1151"/>
      <c r="AZ30" s="808"/>
      <c r="BA30" s="1150"/>
      <c r="BB30" s="878" t="s">
        <v>5203</v>
      </c>
      <c r="BC30" s="808"/>
      <c r="BD30" s="808"/>
      <c r="BE30" s="808"/>
      <c r="BF30" s="1153" t="s">
        <v>171</v>
      </c>
      <c r="BG30" s="1168"/>
      <c r="BH30" s="808"/>
      <c r="BI30" s="808"/>
      <c r="BJ30" s="808"/>
      <c r="BK30" s="1151"/>
      <c r="BL30" s="808"/>
    </row>
    <row r="31" spans="1:64" ht="17.25" customHeight="1">
      <c r="A31" s="461"/>
      <c r="B31" s="9820" t="s">
        <v>982</v>
      </c>
      <c r="C31" s="9820"/>
      <c r="D31" s="1258"/>
      <c r="E31" s="3728" t="s">
        <v>5204</v>
      </c>
      <c r="F31" s="1122"/>
      <c r="G31" s="1122"/>
      <c r="H31" s="1122"/>
      <c r="I31" s="1122"/>
      <c r="J31" s="1122"/>
      <c r="K31" s="1122"/>
      <c r="L31" s="1122"/>
      <c r="M31" s="1121"/>
      <c r="N31" s="1121"/>
      <c r="O31" s="1121"/>
      <c r="P31" s="1121"/>
      <c r="Q31" s="1121"/>
      <c r="R31" s="1121"/>
      <c r="S31" s="1122"/>
      <c r="T31" s="1122"/>
      <c r="U31" s="1122"/>
      <c r="V31" s="1122"/>
      <c r="W31" s="1122"/>
      <c r="X31" s="1122"/>
      <c r="Y31" s="1122"/>
      <c r="Z31" s="1122"/>
      <c r="AA31" s="1122"/>
      <c r="AB31" s="1122"/>
      <c r="AC31" s="1122"/>
      <c r="AD31" s="1122"/>
      <c r="AE31" s="1122"/>
      <c r="AF31" s="1122"/>
      <c r="AG31" s="1122"/>
      <c r="AH31" s="1122"/>
      <c r="AI31" s="1122"/>
      <c r="AJ31" s="1122"/>
      <c r="AK31" s="461"/>
      <c r="AL31" s="808"/>
      <c r="AM31" s="1235"/>
      <c r="AN31" s="1235"/>
      <c r="AO31" s="1150"/>
      <c r="AP31" s="878"/>
      <c r="AQ31" s="808"/>
      <c r="AR31" s="808"/>
      <c r="AS31" s="808"/>
      <c r="AT31" s="808"/>
      <c r="AU31" s="808"/>
      <c r="AV31" s="808"/>
      <c r="AW31" s="808"/>
      <c r="AX31" s="808"/>
      <c r="AY31" s="1151"/>
      <c r="AZ31" s="808"/>
      <c r="BA31" s="1150"/>
      <c r="BB31" s="878"/>
      <c r="BC31" s="808"/>
      <c r="BD31" s="808"/>
      <c r="BE31" s="808"/>
      <c r="BF31" s="808"/>
      <c r="BG31" s="808"/>
      <c r="BH31" s="808"/>
      <c r="BI31" s="808"/>
      <c r="BJ31" s="808"/>
      <c r="BK31" s="1151"/>
      <c r="BL31" s="808"/>
    </row>
    <row r="32" spans="1:64" ht="15">
      <c r="A32" s="461"/>
      <c r="B32" s="808"/>
      <c r="C32" s="1124" t="s">
        <v>407</v>
      </c>
      <c r="D32" s="892" t="s">
        <v>5205</v>
      </c>
      <c r="E32" s="808"/>
      <c r="F32" s="808"/>
      <c r="G32" s="808"/>
      <c r="H32" s="808"/>
      <c r="I32" s="808"/>
      <c r="J32" s="808"/>
      <c r="K32" s="808"/>
      <c r="L32" s="808"/>
      <c r="M32" s="808"/>
      <c r="N32" s="808"/>
      <c r="O32" s="808"/>
      <c r="P32" s="808"/>
      <c r="Q32" s="808"/>
      <c r="R32" s="808"/>
      <c r="S32" s="808"/>
      <c r="T32" s="808"/>
      <c r="U32" s="808"/>
      <c r="V32" s="808"/>
      <c r="W32" s="808"/>
      <c r="X32" s="808"/>
      <c r="Y32" s="808"/>
      <c r="Z32" s="808"/>
      <c r="AA32" s="808"/>
      <c r="AB32" s="808"/>
      <c r="AC32" s="808"/>
      <c r="AD32" s="808"/>
      <c r="AE32" s="808"/>
      <c r="AF32" s="808"/>
      <c r="AG32" s="808"/>
      <c r="AH32" s="808"/>
      <c r="AI32" s="808"/>
      <c r="AJ32" s="808"/>
      <c r="AK32" s="461"/>
      <c r="AL32" s="808"/>
      <c r="AM32" s="1234">
        <f>IF($AE$17&gt;8,LOOKUP($AE$17,$AP$80:$AP$88,$AQ$80:$AQ$88)+(($AE$17-8)*AQ89),LOOKUP($AE$17,$AP$80:$AP$88,$AQ$80:$AQ$88))</f>
        <v>0</v>
      </c>
      <c r="AN32" s="808"/>
      <c r="AO32" s="1152" t="s">
        <v>177</v>
      </c>
      <c r="AP32" s="878" t="s">
        <v>5206</v>
      </c>
      <c r="AQ32" s="808"/>
      <c r="AR32" s="808"/>
      <c r="AS32" s="808"/>
      <c r="AT32" s="808"/>
      <c r="AU32" s="808"/>
      <c r="AV32" s="808"/>
      <c r="AW32" s="808"/>
      <c r="AX32" s="808"/>
      <c r="AY32" s="1151"/>
      <c r="AZ32" s="808"/>
      <c r="BA32" s="1150"/>
      <c r="BB32" s="878"/>
      <c r="BC32" s="808"/>
      <c r="BD32" s="808"/>
      <c r="BE32" s="808"/>
      <c r="BF32" s="808"/>
      <c r="BG32" s="808"/>
      <c r="BH32" s="808"/>
      <c r="BI32" s="808"/>
      <c r="BJ32" s="808"/>
      <c r="BK32" s="1151"/>
      <c r="BL32" s="808"/>
    </row>
    <row r="33" spans="1:75" ht="13.5" customHeight="1">
      <c r="A33" s="461"/>
      <c r="B33" s="808"/>
      <c r="C33" s="1124"/>
      <c r="D33" s="1114"/>
      <c r="E33" s="899" t="s">
        <v>1069</v>
      </c>
      <c r="F33" s="808"/>
      <c r="G33" s="892" t="s">
        <v>5207</v>
      </c>
      <c r="H33" s="808"/>
      <c r="I33" s="892" t="s">
        <v>5208</v>
      </c>
      <c r="J33" s="808"/>
      <c r="K33" s="808"/>
      <c r="L33" s="808"/>
      <c r="M33" s="808"/>
      <c r="N33" s="808"/>
      <c r="O33" s="808"/>
      <c r="P33" s="808"/>
      <c r="Q33" s="808"/>
      <c r="R33" s="808"/>
      <c r="S33" s="808"/>
      <c r="T33" s="808"/>
      <c r="U33" s="808"/>
      <c r="V33" s="808"/>
      <c r="W33" s="808"/>
      <c r="X33" s="808"/>
      <c r="Y33" s="808"/>
      <c r="Z33" s="1158" t="str">
        <f>IF(OR(AL2&lt;&gt;1,D33&lt;&gt;""),"","X")</f>
        <v>X</v>
      </c>
      <c r="AA33" s="2185" t="s">
        <v>5209</v>
      </c>
      <c r="AB33" s="808"/>
      <c r="AC33" s="808"/>
      <c r="AD33" s="808"/>
      <c r="AE33" s="808"/>
      <c r="AF33" s="808"/>
      <c r="AG33" s="808"/>
      <c r="AH33" s="808"/>
      <c r="AI33" s="808"/>
      <c r="AJ33" s="808"/>
      <c r="AK33" s="461"/>
      <c r="AL33" s="808"/>
      <c r="AM33" s="1234">
        <f>IF($AE$17&gt;8,LOOKUP($AE$17,$AP$80:$AP$88,$AR$80:$AR$88)+(($AE$17-8)*AR89),LOOKUP($AE$17,$AP$80:$AP$88,$AR$80:$AR$88))</f>
        <v>0</v>
      </c>
      <c r="AN33" s="808"/>
      <c r="AO33" s="1150"/>
      <c r="AP33" s="878" t="s">
        <v>5210</v>
      </c>
      <c r="AQ33" s="808"/>
      <c r="AR33" s="808"/>
      <c r="AS33" s="808"/>
      <c r="AT33" s="1153" t="s">
        <v>177</v>
      </c>
      <c r="AU33" s="2983">
        <f>IF(AX33&lt;&gt;"",ROUND(AX33,0),IF(ISERROR(SUM(F2555_Line45_Total,ForeignHousingDeductionTotal)),"",SUM(F2555_Line45_Total,ForeignHousingDeductionTotal)))</f>
        <v>0</v>
      </c>
      <c r="AV33" s="808"/>
      <c r="AW33" s="808"/>
      <c r="AX33" s="4557"/>
      <c r="AY33" s="1151"/>
      <c r="AZ33" s="808"/>
      <c r="BA33" s="1152" t="s">
        <v>177</v>
      </c>
      <c r="BB33" s="878" t="s">
        <v>5211</v>
      </c>
      <c r="BC33" s="808"/>
      <c r="BD33" s="808"/>
      <c r="BE33" s="808"/>
      <c r="BF33" s="808"/>
      <c r="BG33" s="808"/>
      <c r="BH33" s="808"/>
      <c r="BI33" s="808"/>
      <c r="BJ33" s="808"/>
      <c r="BK33" s="1151"/>
      <c r="BL33" s="808"/>
    </row>
    <row r="34" spans="1:75">
      <c r="A34" s="461"/>
      <c r="B34" s="808"/>
      <c r="C34" s="808"/>
      <c r="D34" s="808"/>
      <c r="E34" s="808"/>
      <c r="F34" s="808"/>
      <c r="G34" s="808"/>
      <c r="H34" s="808"/>
      <c r="I34" s="808" t="s">
        <v>5212</v>
      </c>
      <c r="J34" s="808"/>
      <c r="K34" s="808"/>
      <c r="L34" s="808"/>
      <c r="M34" s="808"/>
      <c r="N34" s="808"/>
      <c r="O34" s="808"/>
      <c r="P34" s="808"/>
      <c r="Q34" s="808"/>
      <c r="R34" s="808"/>
      <c r="S34" s="808"/>
      <c r="T34" s="808"/>
      <c r="U34" s="808"/>
      <c r="V34" s="808"/>
      <c r="W34" s="808"/>
      <c r="X34" s="808"/>
      <c r="Y34" s="808"/>
      <c r="Z34" s="808"/>
      <c r="AA34" s="808"/>
      <c r="AB34" s="808"/>
      <c r="AC34" s="808"/>
      <c r="AD34" s="808"/>
      <c r="AE34" s="808"/>
      <c r="AF34" s="808"/>
      <c r="AG34" s="808"/>
      <c r="AH34" s="808"/>
      <c r="AI34" s="808"/>
      <c r="AJ34" s="808"/>
      <c r="AK34" s="461"/>
      <c r="AL34" s="808"/>
      <c r="AM34" s="1234">
        <f>IF($AE$17&gt;8,LOOKUP($AE$17,$AP$80:$AP$88,$AS$80:$AS$88)+(($AE$17-8)*AS89),LOOKUP($AE$17,$AP$80:$AP$88,$AS$80:$AS$88))</f>
        <v>0</v>
      </c>
      <c r="AN34" s="808"/>
      <c r="AO34" s="1150"/>
      <c r="AP34" s="878"/>
      <c r="AQ34" s="808"/>
      <c r="AR34" s="808"/>
      <c r="AS34" s="808"/>
      <c r="AT34" s="808"/>
      <c r="AU34" s="808"/>
      <c r="AV34" s="808"/>
      <c r="AW34" s="808"/>
      <c r="AX34" s="808"/>
      <c r="AY34" s="1151"/>
      <c r="AZ34" s="808"/>
      <c r="BA34" s="1150"/>
      <c r="BB34" s="878" t="s">
        <v>5213</v>
      </c>
      <c r="BC34" s="808"/>
      <c r="BD34" s="808"/>
      <c r="BE34" s="808"/>
      <c r="BF34" s="1153" t="s">
        <v>177</v>
      </c>
      <c r="BG34" s="1168"/>
      <c r="BH34" s="808"/>
      <c r="BI34" s="808"/>
      <c r="BJ34" s="808"/>
      <c r="BK34" s="1151"/>
      <c r="BL34" s="808"/>
    </row>
    <row r="35" spans="1:75" ht="14.25" customHeight="1">
      <c r="A35" s="461"/>
      <c r="B35" s="808"/>
      <c r="C35" s="1124" t="s">
        <v>270</v>
      </c>
      <c r="D35" s="892" t="s">
        <v>5214</v>
      </c>
      <c r="E35" s="808"/>
      <c r="F35" s="808"/>
      <c r="G35" s="808"/>
      <c r="H35" s="808"/>
      <c r="I35" s="808"/>
      <c r="J35" s="808"/>
      <c r="K35" s="808"/>
      <c r="L35" s="808"/>
      <c r="M35" s="808"/>
      <c r="N35" s="808"/>
      <c r="O35" s="808"/>
      <c r="P35" s="808"/>
      <c r="Q35" s="808"/>
      <c r="R35" s="808"/>
      <c r="S35" s="808"/>
      <c r="T35" s="808"/>
      <c r="U35" s="808"/>
      <c r="V35" s="808"/>
      <c r="W35" s="808"/>
      <c r="X35" s="808"/>
      <c r="Y35" s="808"/>
      <c r="Z35" s="808"/>
      <c r="AA35" s="808"/>
      <c r="AB35" s="808"/>
      <c r="AC35" s="808"/>
      <c r="AD35" s="808"/>
      <c r="AE35" s="808"/>
      <c r="AF35" s="808"/>
      <c r="AG35" s="808"/>
      <c r="AH35" s="808"/>
      <c r="AI35" s="808"/>
      <c r="AJ35" s="808"/>
      <c r="AK35" s="461"/>
      <c r="AL35" s="808"/>
      <c r="AM35" s="808"/>
      <c r="AN35" s="808"/>
      <c r="AO35" s="1150"/>
      <c r="AP35" s="878"/>
      <c r="AQ35" s="808"/>
      <c r="AR35" s="808"/>
      <c r="AS35" s="808"/>
      <c r="AT35" s="808"/>
      <c r="AU35" s="808"/>
      <c r="AV35" s="808"/>
      <c r="AW35" s="808"/>
      <c r="AX35" s="808"/>
      <c r="AY35" s="1151"/>
      <c r="AZ35" s="808"/>
      <c r="BA35" s="1150"/>
      <c r="BB35" s="878"/>
      <c r="BC35" s="808"/>
      <c r="BD35" s="808"/>
      <c r="BE35" s="808"/>
      <c r="BF35" s="808"/>
      <c r="BG35" s="808"/>
      <c r="BH35" s="808"/>
      <c r="BI35" s="808"/>
      <c r="BJ35" s="808"/>
      <c r="BK35" s="1151"/>
      <c r="BL35" s="808"/>
    </row>
    <row r="36" spans="1:75" ht="15.75">
      <c r="A36" s="461"/>
      <c r="B36" s="808"/>
      <c r="C36" s="1124"/>
      <c r="D36" s="1114"/>
      <c r="E36" s="892" t="s">
        <v>5215</v>
      </c>
      <c r="F36" s="808"/>
      <c r="G36" s="808"/>
      <c r="H36" s="808"/>
      <c r="I36" s="808"/>
      <c r="J36" s="808"/>
      <c r="K36" s="808"/>
      <c r="L36" s="808"/>
      <c r="M36" s="808"/>
      <c r="N36" s="808"/>
      <c r="O36" s="808"/>
      <c r="P36" s="808"/>
      <c r="Q36" s="808"/>
      <c r="R36" s="808"/>
      <c r="S36" s="808"/>
      <c r="T36" s="808"/>
      <c r="U36" s="808"/>
      <c r="V36" s="808"/>
      <c r="W36" s="808"/>
      <c r="X36" s="808"/>
      <c r="Y36" s="808"/>
      <c r="Z36" s="1158" t="str">
        <f>IF(OR(AL2&lt;&gt;1,D36&lt;&gt;""),"","X")</f>
        <v>X</v>
      </c>
      <c r="AA36" s="892" t="s">
        <v>5216</v>
      </c>
      <c r="AB36" s="808"/>
      <c r="AC36" s="808"/>
      <c r="AD36" s="808"/>
      <c r="AE36" s="808"/>
      <c r="AF36" s="808"/>
      <c r="AG36" s="808"/>
      <c r="AH36" s="808"/>
      <c r="AI36" s="808"/>
      <c r="AJ36" s="808"/>
      <c r="AK36" s="461"/>
      <c r="AL36" s="808"/>
      <c r="AM36" s="808"/>
      <c r="AN36" s="808"/>
      <c r="AO36" s="1150"/>
      <c r="AP36" s="878"/>
      <c r="AQ36" s="808"/>
      <c r="AR36" s="808"/>
      <c r="AS36" s="808"/>
      <c r="AT36" s="808"/>
      <c r="AU36" s="808"/>
      <c r="AV36" s="808"/>
      <c r="AW36" s="808"/>
      <c r="AX36" s="808"/>
      <c r="AY36" s="1151"/>
      <c r="AZ36" s="808"/>
      <c r="BA36" s="1150"/>
      <c r="BB36" s="878"/>
      <c r="BC36" s="808"/>
      <c r="BD36" s="808"/>
      <c r="BE36" s="808"/>
      <c r="BF36" s="808"/>
      <c r="BG36" s="808"/>
      <c r="BH36" s="808"/>
      <c r="BI36" s="808"/>
      <c r="BJ36" s="808"/>
      <c r="BK36" s="1151"/>
      <c r="BL36" s="808"/>
    </row>
    <row r="37" spans="1:75">
      <c r="A37" s="461"/>
      <c r="B37" s="808"/>
      <c r="C37" s="808"/>
      <c r="D37" s="808"/>
      <c r="E37" s="808" t="s">
        <v>5217</v>
      </c>
      <c r="F37" s="808"/>
      <c r="G37" s="808"/>
      <c r="H37" s="808"/>
      <c r="I37" s="808"/>
      <c r="J37" s="808"/>
      <c r="K37" s="808"/>
      <c r="L37" s="808"/>
      <c r="M37" s="808"/>
      <c r="N37" s="808"/>
      <c r="O37" s="808"/>
      <c r="P37" s="808"/>
      <c r="Q37" s="808"/>
      <c r="R37" s="808"/>
      <c r="S37" s="808"/>
      <c r="T37" s="808"/>
      <c r="U37" s="808"/>
      <c r="V37" s="808"/>
      <c r="W37" s="808"/>
      <c r="X37" s="808"/>
      <c r="Y37" s="808"/>
      <c r="Z37" s="808"/>
      <c r="AA37" s="808" t="s">
        <v>5218</v>
      </c>
      <c r="AB37" s="808"/>
      <c r="AC37" s="808"/>
      <c r="AD37" s="808"/>
      <c r="AE37" s="808"/>
      <c r="AF37" s="808"/>
      <c r="AG37" s="808"/>
      <c r="AH37" s="808"/>
      <c r="AI37" s="808"/>
      <c r="AJ37" s="808"/>
      <c r="AK37" s="461"/>
      <c r="AL37" s="808"/>
      <c r="AM37" s="808"/>
      <c r="AN37" s="808"/>
      <c r="AO37" s="1152" t="s">
        <v>182</v>
      </c>
      <c r="AP37" s="878" t="s">
        <v>5219</v>
      </c>
      <c r="AQ37" s="808"/>
      <c r="AR37" s="808"/>
      <c r="AS37" s="808"/>
      <c r="AT37" s="808"/>
      <c r="AU37" s="808"/>
      <c r="AV37" s="808"/>
      <c r="AW37" s="808"/>
      <c r="AX37" s="808"/>
      <c r="AY37" s="1151"/>
      <c r="AZ37" s="808"/>
      <c r="BA37" s="1152" t="s">
        <v>182</v>
      </c>
      <c r="BB37" s="2206" t="s">
        <v>5220</v>
      </c>
      <c r="BC37" s="808"/>
      <c r="BD37" s="808"/>
      <c r="BE37" s="808"/>
      <c r="BF37" s="808"/>
      <c r="BG37" s="808"/>
      <c r="BH37" s="808"/>
      <c r="BI37" s="808"/>
      <c r="BJ37" s="808"/>
      <c r="BK37" s="1151"/>
      <c r="BL37" s="808"/>
    </row>
    <row r="38" spans="1:75" ht="12.75" customHeight="1">
      <c r="A38" s="461"/>
      <c r="B38" s="1121"/>
      <c r="C38" s="1121"/>
      <c r="D38" s="1121"/>
      <c r="E38" s="1121"/>
      <c r="F38" s="1121"/>
      <c r="G38" s="1121"/>
      <c r="H38" s="1121"/>
      <c r="I38" s="1121"/>
      <c r="J38" s="1121"/>
      <c r="K38" s="1121"/>
      <c r="L38" s="1121"/>
      <c r="M38" s="1121"/>
      <c r="N38" s="1121"/>
      <c r="O38" s="1121"/>
      <c r="P38" s="1121"/>
      <c r="Q38" s="1121"/>
      <c r="R38" s="1121"/>
      <c r="S38" s="1121"/>
      <c r="T38" s="1121"/>
      <c r="U38" s="1121"/>
      <c r="V38" s="1121"/>
      <c r="W38" s="1121"/>
      <c r="X38" s="1121"/>
      <c r="Y38" s="1121"/>
      <c r="Z38" s="1121"/>
      <c r="AA38" s="1121"/>
      <c r="AB38" s="1121"/>
      <c r="AC38" s="1121"/>
      <c r="AD38" s="1121"/>
      <c r="AE38" s="1121"/>
      <c r="AF38" s="1121"/>
      <c r="AG38" s="1121"/>
      <c r="AH38" s="1121"/>
      <c r="AI38" s="1121"/>
      <c r="AJ38" s="1121"/>
      <c r="AK38" s="461"/>
      <c r="AL38" s="808"/>
      <c r="AM38" s="808"/>
      <c r="AN38" s="808"/>
      <c r="AO38" s="1150"/>
      <c r="AP38" s="3250" t="s">
        <v>5221</v>
      </c>
      <c r="AQ38" s="808"/>
      <c r="AR38" s="808"/>
      <c r="AS38" s="808"/>
      <c r="AT38" s="808"/>
      <c r="AU38" s="808"/>
      <c r="AV38" s="808"/>
      <c r="AW38" s="808"/>
      <c r="AX38" s="808"/>
      <c r="AY38" s="1151"/>
      <c r="AZ38" s="808"/>
      <c r="BA38" s="1150"/>
      <c r="BB38" s="3250" t="s">
        <v>5222</v>
      </c>
      <c r="BC38" s="808"/>
      <c r="BD38" s="808"/>
      <c r="BE38" s="808"/>
      <c r="BF38" s="808"/>
      <c r="BG38" s="808"/>
      <c r="BH38" s="808"/>
      <c r="BI38" s="808"/>
      <c r="BJ38" s="808"/>
      <c r="BK38" s="1151"/>
      <c r="BL38" s="808"/>
    </row>
    <row r="39" spans="1:75">
      <c r="A39" s="461"/>
      <c r="B39" s="10334" t="s">
        <v>5223</v>
      </c>
      <c r="C39" s="10335"/>
      <c r="D39" s="10335"/>
      <c r="E39" s="10335"/>
      <c r="F39" s="10335"/>
      <c r="G39" s="10284" t="s">
        <v>5224</v>
      </c>
      <c r="H39" s="10285"/>
      <c r="I39" s="10285"/>
      <c r="J39" s="10285"/>
      <c r="K39" s="10285"/>
      <c r="L39" s="10284" t="s">
        <v>5225</v>
      </c>
      <c r="M39" s="10285"/>
      <c r="N39" s="10285"/>
      <c r="O39" s="10285"/>
      <c r="P39" s="10285"/>
      <c r="Q39" s="10284" t="s">
        <v>5226</v>
      </c>
      <c r="R39" s="10285"/>
      <c r="S39" s="10285"/>
      <c r="T39" s="10285"/>
      <c r="U39" s="10285"/>
      <c r="V39" s="10284" t="s">
        <v>5227</v>
      </c>
      <c r="W39" s="10285"/>
      <c r="X39" s="10285"/>
      <c r="Y39" s="10285"/>
      <c r="Z39" s="10285"/>
      <c r="AA39" s="10284" t="s">
        <v>5228</v>
      </c>
      <c r="AB39" s="10285"/>
      <c r="AC39" s="10285"/>
      <c r="AD39" s="10285"/>
      <c r="AE39" s="10285"/>
      <c r="AF39" s="10284" t="s">
        <v>5229</v>
      </c>
      <c r="AG39" s="10285"/>
      <c r="AH39" s="10285"/>
      <c r="AI39" s="10285"/>
      <c r="AJ39" s="10331"/>
      <c r="AK39" s="461"/>
      <c r="AL39" s="808"/>
      <c r="AM39" s="808"/>
      <c r="AN39" s="808"/>
      <c r="AO39" s="1150"/>
      <c r="AP39" s="2652" t="s">
        <v>5230</v>
      </c>
      <c r="AQ39" s="808"/>
      <c r="AR39" s="808"/>
      <c r="AS39" s="808"/>
      <c r="AT39" s="2982" t="s">
        <v>182</v>
      </c>
      <c r="AU39" s="2983">
        <f>IF(AX39&lt;&gt;"",ROUND(AX39,0),IF(SocSecBenefits&gt;SocSecBenefits_Taxable,SUM(SocSecBenefits,-SocSecBenefits_Taxable),0))</f>
        <v>0</v>
      </c>
      <c r="AV39" s="808"/>
      <c r="AW39" s="808"/>
      <c r="AX39" s="4557"/>
      <c r="AY39" s="1151"/>
      <c r="AZ39" s="808"/>
      <c r="BA39" s="1150"/>
      <c r="BB39" s="2652" t="s">
        <v>5231</v>
      </c>
      <c r="BC39" s="808"/>
      <c r="BD39" s="808"/>
      <c r="BE39" s="808"/>
      <c r="BF39" s="1153" t="s">
        <v>182</v>
      </c>
      <c r="BG39" s="1168"/>
      <c r="BH39" s="808"/>
      <c r="BI39" s="808"/>
      <c r="BJ39" s="808"/>
      <c r="BK39" s="1151"/>
      <c r="BL39" s="808"/>
    </row>
    <row r="40" spans="1:75">
      <c r="A40" s="461"/>
      <c r="B40" s="10336"/>
      <c r="C40" s="10336"/>
      <c r="D40" s="10336"/>
      <c r="E40" s="10336"/>
      <c r="F40" s="10336"/>
      <c r="G40" s="10286"/>
      <c r="H40" s="10286"/>
      <c r="I40" s="10286"/>
      <c r="J40" s="10286"/>
      <c r="K40" s="10286"/>
      <c r="L40" s="10286"/>
      <c r="M40" s="10286"/>
      <c r="N40" s="10286"/>
      <c r="O40" s="10286"/>
      <c r="P40" s="10286"/>
      <c r="Q40" s="10286"/>
      <c r="R40" s="10286"/>
      <c r="S40" s="10286"/>
      <c r="T40" s="10286"/>
      <c r="U40" s="10286"/>
      <c r="V40" s="10286"/>
      <c r="W40" s="10286"/>
      <c r="X40" s="10286"/>
      <c r="Y40" s="10286"/>
      <c r="Z40" s="10286"/>
      <c r="AA40" s="10286"/>
      <c r="AB40" s="10286"/>
      <c r="AC40" s="10286"/>
      <c r="AD40" s="10286"/>
      <c r="AE40" s="10286"/>
      <c r="AF40" s="10286"/>
      <c r="AG40" s="10286"/>
      <c r="AH40" s="10286"/>
      <c r="AI40" s="10286"/>
      <c r="AJ40" s="10332"/>
      <c r="AK40" s="461"/>
      <c r="AL40" s="808"/>
      <c r="AM40" s="808"/>
      <c r="AN40" s="874"/>
      <c r="AO40" s="1150"/>
      <c r="AP40" s="878"/>
      <c r="AQ40" s="808"/>
      <c r="AR40" s="808"/>
      <c r="AS40" s="808"/>
      <c r="AT40" s="808"/>
      <c r="AU40" s="808"/>
      <c r="AV40" s="808"/>
      <c r="AW40" s="808"/>
      <c r="AX40" s="808"/>
      <c r="AY40" s="1151"/>
      <c r="AZ40" s="808"/>
      <c r="BA40" s="1150"/>
      <c r="BB40" s="878"/>
      <c r="BC40" s="808"/>
      <c r="BD40" s="808"/>
      <c r="BE40" s="808"/>
      <c r="BF40" s="808"/>
      <c r="BG40" s="808"/>
      <c r="BH40" s="808"/>
      <c r="BI40" s="808"/>
      <c r="BJ40" s="808"/>
      <c r="BK40" s="1151"/>
      <c r="BL40" s="808"/>
    </row>
    <row r="41" spans="1:75" ht="14.25" customHeight="1">
      <c r="A41" s="461"/>
      <c r="B41" s="10336"/>
      <c r="C41" s="10336"/>
      <c r="D41" s="10336"/>
      <c r="E41" s="10336"/>
      <c r="F41" s="10336"/>
      <c r="G41" s="10286"/>
      <c r="H41" s="10286"/>
      <c r="I41" s="10286"/>
      <c r="J41" s="10286"/>
      <c r="K41" s="10286"/>
      <c r="L41" s="10286"/>
      <c r="M41" s="10286"/>
      <c r="N41" s="10286"/>
      <c r="O41" s="10286"/>
      <c r="P41" s="10286"/>
      <c r="Q41" s="10286"/>
      <c r="R41" s="10286"/>
      <c r="S41" s="10286"/>
      <c r="T41" s="10286"/>
      <c r="U41" s="10286"/>
      <c r="V41" s="10286"/>
      <c r="W41" s="10286"/>
      <c r="X41" s="10286"/>
      <c r="Y41" s="10286"/>
      <c r="Z41" s="10286"/>
      <c r="AA41" s="10286"/>
      <c r="AB41" s="10286"/>
      <c r="AC41" s="10286"/>
      <c r="AD41" s="10286"/>
      <c r="AE41" s="10286"/>
      <c r="AF41" s="10286"/>
      <c r="AG41" s="10286"/>
      <c r="AH41" s="10286"/>
      <c r="AI41" s="10286"/>
      <c r="AJ41" s="10332"/>
      <c r="AK41" s="461"/>
      <c r="AL41" s="808"/>
      <c r="AM41" s="808"/>
      <c r="AN41" s="874"/>
      <c r="AO41" s="1150"/>
      <c r="AP41" s="878"/>
      <c r="AQ41" s="808"/>
      <c r="AR41" s="808"/>
      <c r="AS41" s="808"/>
      <c r="AT41" s="808"/>
      <c r="AU41" s="808"/>
      <c r="AV41" s="808"/>
      <c r="AW41" s="808"/>
      <c r="AX41" s="892"/>
      <c r="AY41" s="1151"/>
      <c r="AZ41" s="808"/>
      <c r="BA41" s="1150"/>
      <c r="BB41" s="878"/>
      <c r="BC41" s="808"/>
      <c r="BD41" s="808"/>
      <c r="BE41" s="808"/>
      <c r="BF41" s="808"/>
      <c r="BG41" s="808"/>
      <c r="BH41" s="808"/>
      <c r="BI41" s="808"/>
      <c r="BJ41" s="892" t="s">
        <v>867</v>
      </c>
      <c r="BK41" s="1151"/>
      <c r="BL41" s="808"/>
    </row>
    <row r="42" spans="1:75" ht="13.5" thickBot="1">
      <c r="A42" s="461"/>
      <c r="B42" s="10336"/>
      <c r="C42" s="10336"/>
      <c r="D42" s="10336"/>
      <c r="E42" s="10336"/>
      <c r="F42" s="10336"/>
      <c r="G42" s="10286"/>
      <c r="H42" s="10286"/>
      <c r="I42" s="10286"/>
      <c r="J42" s="10286"/>
      <c r="K42" s="10286"/>
      <c r="L42" s="10286"/>
      <c r="M42" s="10286"/>
      <c r="N42" s="10286"/>
      <c r="O42" s="10286"/>
      <c r="P42" s="10286"/>
      <c r="Q42" s="10286"/>
      <c r="R42" s="10286"/>
      <c r="S42" s="10286"/>
      <c r="T42" s="10286"/>
      <c r="U42" s="10286"/>
      <c r="V42" s="10286"/>
      <c r="W42" s="10286"/>
      <c r="X42" s="10286"/>
      <c r="Y42" s="10286"/>
      <c r="Z42" s="10286"/>
      <c r="AA42" s="10286"/>
      <c r="AB42" s="10286"/>
      <c r="AC42" s="10286"/>
      <c r="AD42" s="10286"/>
      <c r="AE42" s="10286"/>
      <c r="AF42" s="10286"/>
      <c r="AG42" s="10286"/>
      <c r="AH42" s="10286"/>
      <c r="AI42" s="10286"/>
      <c r="AJ42" s="10332"/>
      <c r="AK42" s="461"/>
      <c r="AL42" s="808"/>
      <c r="AM42" s="874"/>
      <c r="AN42" s="874"/>
      <c r="AO42" s="1152" t="s">
        <v>198</v>
      </c>
      <c r="AP42" s="878" t="s">
        <v>5232</v>
      </c>
      <c r="AQ42" s="808"/>
      <c r="AR42" s="808"/>
      <c r="AS42" s="808"/>
      <c r="AT42" s="808"/>
      <c r="AU42" s="1153"/>
      <c r="AV42" s="1153"/>
      <c r="AW42" s="808"/>
      <c r="AX42" s="1579" t="s">
        <v>867</v>
      </c>
      <c r="AY42" s="1267"/>
      <c r="AZ42" s="808"/>
      <c r="BA42" s="1152" t="s">
        <v>198</v>
      </c>
      <c r="BB42" s="878" t="s">
        <v>5232</v>
      </c>
      <c r="BC42" s="808"/>
      <c r="BD42" s="808"/>
      <c r="BE42" s="808"/>
      <c r="BF42" s="808"/>
      <c r="BG42" s="1153" t="s">
        <v>198</v>
      </c>
      <c r="BH42" s="1167">
        <f>IF(BJ42&lt;&gt;"",ROUND(BJ42,0),ROUND(SUM(BH25,BG30,BG34,BG39),0))</f>
        <v>0</v>
      </c>
      <c r="BI42" s="808"/>
      <c r="BJ42" s="1264"/>
      <c r="BK42" s="1267"/>
      <c r="BL42" s="808"/>
    </row>
    <row r="43" spans="1:75" ht="15.75" thickBot="1">
      <c r="A43" s="461"/>
      <c r="B43" s="1133" t="s">
        <v>272</v>
      </c>
      <c r="C43" s="10351" t="s">
        <v>5233</v>
      </c>
      <c r="D43" s="10351"/>
      <c r="E43" s="10351"/>
      <c r="F43" s="10352"/>
      <c r="G43" s="10282"/>
      <c r="H43" s="10282"/>
      <c r="I43" s="10282"/>
      <c r="J43" s="10282"/>
      <c r="K43" s="10282"/>
      <c r="L43" s="10282"/>
      <c r="M43" s="10282"/>
      <c r="N43" s="10282"/>
      <c r="O43" s="10282"/>
      <c r="P43" s="10282"/>
      <c r="Q43" s="10283" t="str">
        <f>IF(AM43&lt;&gt;"",ROUND(AM43,2),IF(OR(D33&lt;&gt;"",D36=""),"",IF(M30&lt;&gt;"",M30,"")))</f>
        <v/>
      </c>
      <c r="R43" s="10283"/>
      <c r="S43" s="10283"/>
      <c r="T43" s="10283"/>
      <c r="U43" s="10283"/>
      <c r="V43" s="10283" t="str">
        <f>IF(OR(D33&lt;&gt;"",D36="",G43="",L43=""),"",IF(Q43="",L43,IF(SUM(L43,-Q43)&lt;0,0,SUM(L43,-Q43))))</f>
        <v/>
      </c>
      <c r="W43" s="10283"/>
      <c r="X43" s="10283"/>
      <c r="Y43" s="10283"/>
      <c r="Z43" s="10283"/>
      <c r="AA43" s="10283" t="str">
        <f>IF(OR(D33&lt;&gt;"",D36=""),"",IF(AND(G43&lt;&gt;"",L43&lt;&gt;""),MIN(G43,V43),""))</f>
        <v/>
      </c>
      <c r="AB43" s="10283"/>
      <c r="AC43" s="10283"/>
      <c r="AD43" s="10283"/>
      <c r="AE43" s="10283"/>
      <c r="AF43" s="10282"/>
      <c r="AG43" s="10282"/>
      <c r="AH43" s="10282"/>
      <c r="AI43" s="10282"/>
      <c r="AJ43" s="10307"/>
      <c r="AK43" s="461"/>
      <c r="AL43" s="1376" t="s">
        <v>5234</v>
      </c>
      <c r="AM43" s="3248"/>
      <c r="AN43" s="874"/>
      <c r="AO43" s="1152"/>
      <c r="AP43" s="878" t="s">
        <v>5235</v>
      </c>
      <c r="AQ43" s="808"/>
      <c r="AR43" s="808"/>
      <c r="AS43" s="808"/>
      <c r="AT43" s="808"/>
      <c r="AU43" s="1153" t="s">
        <v>198</v>
      </c>
      <c r="AV43" s="2983">
        <f>IF(AX43&lt;&gt;"",ROUND(AX43,0),ROUND(SUM(AV25,AU29,AU33,AU39),0))</f>
        <v>0</v>
      </c>
      <c r="AW43" s="808"/>
      <c r="AX43" s="4557"/>
      <c r="AY43" s="1267"/>
      <c r="AZ43" s="808"/>
      <c r="BA43" s="1152"/>
      <c r="BB43" s="878" t="s">
        <v>5236</v>
      </c>
      <c r="BC43" s="808"/>
      <c r="BD43" s="808"/>
      <c r="BE43" s="808"/>
      <c r="BF43" s="808"/>
      <c r="BG43" s="808"/>
      <c r="BH43" s="808"/>
      <c r="BI43" s="808"/>
      <c r="BJ43" s="808"/>
      <c r="BK43" s="1267"/>
      <c r="BL43" s="808"/>
    </row>
    <row r="44" spans="1:75" ht="12.75" customHeight="1">
      <c r="A44" s="461"/>
      <c r="B44" s="10334" t="s">
        <v>5237</v>
      </c>
      <c r="C44" s="10335"/>
      <c r="D44" s="10335"/>
      <c r="E44" s="10335"/>
      <c r="F44" s="10335"/>
      <c r="G44" s="10284" t="s">
        <v>5238</v>
      </c>
      <c r="H44" s="10285"/>
      <c r="I44" s="10285"/>
      <c r="J44" s="10285"/>
      <c r="K44" s="10285"/>
      <c r="L44" s="10284" t="s">
        <v>5239</v>
      </c>
      <c r="M44" s="10285"/>
      <c r="N44" s="10285"/>
      <c r="O44" s="10285"/>
      <c r="P44" s="10285"/>
      <c r="Q44" s="10284" t="s">
        <v>5240</v>
      </c>
      <c r="R44" s="10285"/>
      <c r="S44" s="10285"/>
      <c r="T44" s="10285"/>
      <c r="U44" s="10285"/>
      <c r="V44" s="10284" t="s">
        <v>5241</v>
      </c>
      <c r="W44" s="10285"/>
      <c r="X44" s="10285"/>
      <c r="Y44" s="10285"/>
      <c r="Z44" s="10285"/>
      <c r="AA44" s="10284" t="s">
        <v>5242</v>
      </c>
      <c r="AB44" s="10285"/>
      <c r="AC44" s="10285"/>
      <c r="AD44" s="10285"/>
      <c r="AE44" s="10285"/>
      <c r="AF44" s="10284" t="s">
        <v>5243</v>
      </c>
      <c r="AG44" s="10285"/>
      <c r="AH44" s="10285"/>
      <c r="AI44" s="10285"/>
      <c r="AJ44" s="10331"/>
      <c r="AK44" s="461"/>
      <c r="AL44" s="892"/>
      <c r="AM44" s="2164"/>
      <c r="AN44" s="2164"/>
      <c r="AO44" s="1154"/>
      <c r="AP44" s="1138"/>
      <c r="AQ44" s="1121"/>
      <c r="AR44" s="1121"/>
      <c r="AS44" s="1121"/>
      <c r="AT44" s="1121"/>
      <c r="AU44" s="1121"/>
      <c r="AV44" s="1121"/>
      <c r="AW44" s="808"/>
      <c r="AX44" s="1121"/>
      <c r="AY44" s="1151"/>
      <c r="AZ44" s="808"/>
      <c r="BA44" s="1154"/>
      <c r="BB44" s="1138"/>
      <c r="BC44" s="1121"/>
      <c r="BD44" s="1121"/>
      <c r="BE44" s="1121"/>
      <c r="BF44" s="1121"/>
      <c r="BG44" s="1121"/>
      <c r="BH44" s="1121"/>
      <c r="BI44" s="1121"/>
      <c r="BJ44" s="1121"/>
      <c r="BK44" s="1151"/>
      <c r="BL44" s="808"/>
    </row>
    <row r="45" spans="1:75" ht="5.25" customHeight="1">
      <c r="A45" s="461"/>
      <c r="B45" s="10336"/>
      <c r="C45" s="10336"/>
      <c r="D45" s="10336"/>
      <c r="E45" s="10336"/>
      <c r="F45" s="10336"/>
      <c r="G45" s="10286"/>
      <c r="H45" s="10286"/>
      <c r="I45" s="10286"/>
      <c r="J45" s="10286"/>
      <c r="K45" s="10286"/>
      <c r="L45" s="10286"/>
      <c r="M45" s="10286"/>
      <c r="N45" s="10286"/>
      <c r="O45" s="10286"/>
      <c r="P45" s="10286"/>
      <c r="Q45" s="10286"/>
      <c r="R45" s="10286"/>
      <c r="S45" s="10286"/>
      <c r="T45" s="10286"/>
      <c r="U45" s="10286"/>
      <c r="V45" s="10286"/>
      <c r="W45" s="10286"/>
      <c r="X45" s="10286"/>
      <c r="Y45" s="10286"/>
      <c r="Z45" s="10286"/>
      <c r="AA45" s="10286"/>
      <c r="AB45" s="10286"/>
      <c r="AC45" s="10286"/>
      <c r="AD45" s="10286"/>
      <c r="AE45" s="10286"/>
      <c r="AF45" s="10286"/>
      <c r="AG45" s="10286"/>
      <c r="AH45" s="10286"/>
      <c r="AI45" s="10286"/>
      <c r="AJ45" s="10332"/>
      <c r="AK45" s="461"/>
      <c r="AL45" s="892"/>
      <c r="AM45" s="2164"/>
      <c r="AN45" s="2164"/>
      <c r="AO45" s="10301" t="s">
        <v>5643</v>
      </c>
      <c r="AP45" s="10308"/>
      <c r="AQ45" s="10308"/>
      <c r="AR45" s="10308"/>
      <c r="AS45" s="10308"/>
      <c r="AT45" s="10308"/>
      <c r="AU45" s="10308"/>
      <c r="AV45" s="10308"/>
      <c r="AW45" s="10308"/>
      <c r="AX45" s="10308"/>
      <c r="AY45" s="10309"/>
      <c r="AZ45" s="808"/>
      <c r="BA45" s="10301" t="s">
        <v>5244</v>
      </c>
      <c r="BB45" s="8196"/>
      <c r="BC45" s="8196"/>
      <c r="BD45" s="8196"/>
      <c r="BE45" s="8196"/>
      <c r="BF45" s="8196"/>
      <c r="BG45" s="8196"/>
      <c r="BH45" s="8196"/>
      <c r="BI45" s="8196"/>
      <c r="BJ45" s="8196"/>
      <c r="BK45" s="8207"/>
      <c r="BL45" s="808"/>
    </row>
    <row r="46" spans="1:75" ht="21" customHeight="1">
      <c r="A46" s="461"/>
      <c r="B46" s="10336"/>
      <c r="C46" s="10336"/>
      <c r="D46" s="10336"/>
      <c r="E46" s="10336"/>
      <c r="F46" s="10336"/>
      <c r="G46" s="10286"/>
      <c r="H46" s="10286"/>
      <c r="I46" s="10286"/>
      <c r="J46" s="10286"/>
      <c r="K46" s="10286"/>
      <c r="L46" s="10286"/>
      <c r="M46" s="10286"/>
      <c r="N46" s="10286"/>
      <c r="O46" s="10286"/>
      <c r="P46" s="10286"/>
      <c r="Q46" s="10286"/>
      <c r="R46" s="10286"/>
      <c r="S46" s="10286"/>
      <c r="T46" s="10286"/>
      <c r="U46" s="10286"/>
      <c r="V46" s="10286"/>
      <c r="W46" s="10286"/>
      <c r="X46" s="10286"/>
      <c r="Y46" s="10286"/>
      <c r="Z46" s="10286"/>
      <c r="AA46" s="10286"/>
      <c r="AB46" s="10286"/>
      <c r="AC46" s="10286"/>
      <c r="AD46" s="10286"/>
      <c r="AE46" s="10286"/>
      <c r="AF46" s="10286"/>
      <c r="AG46" s="10286"/>
      <c r="AH46" s="10286"/>
      <c r="AI46" s="10286"/>
      <c r="AJ46" s="10332"/>
      <c r="AK46" s="461"/>
      <c r="AL46" s="808"/>
      <c r="AM46" s="2164"/>
      <c r="AN46" s="2164"/>
      <c r="AO46" s="10310"/>
      <c r="AP46" s="10311"/>
      <c r="AQ46" s="10311"/>
      <c r="AR46" s="10311"/>
      <c r="AS46" s="10311"/>
      <c r="AT46" s="10311"/>
      <c r="AU46" s="10311"/>
      <c r="AV46" s="10311"/>
      <c r="AW46" s="10311"/>
      <c r="AX46" s="10311"/>
      <c r="AY46" s="10312"/>
      <c r="AZ46" s="808"/>
      <c r="BA46" s="10302"/>
      <c r="BB46" s="6919"/>
      <c r="BC46" s="6919"/>
      <c r="BD46" s="6919"/>
      <c r="BE46" s="6919"/>
      <c r="BF46" s="6919"/>
      <c r="BG46" s="6919"/>
      <c r="BH46" s="6919"/>
      <c r="BI46" s="6919"/>
      <c r="BJ46" s="6919"/>
      <c r="BK46" s="10303"/>
      <c r="BL46" s="808"/>
    </row>
    <row r="47" spans="1:75" ht="14.25" customHeight="1" thickBot="1">
      <c r="A47" s="461"/>
      <c r="B47" s="10336"/>
      <c r="C47" s="10336"/>
      <c r="D47" s="10336"/>
      <c r="E47" s="10336"/>
      <c r="F47" s="10336"/>
      <c r="G47" s="10286"/>
      <c r="H47" s="10286"/>
      <c r="I47" s="10286"/>
      <c r="J47" s="10286"/>
      <c r="K47" s="10286"/>
      <c r="L47" s="10286"/>
      <c r="M47" s="10286"/>
      <c r="N47" s="10286"/>
      <c r="O47" s="10286"/>
      <c r="P47" s="10286"/>
      <c r="Q47" s="10286"/>
      <c r="R47" s="10286"/>
      <c r="S47" s="10286"/>
      <c r="T47" s="10286"/>
      <c r="U47" s="10286"/>
      <c r="V47" s="10286"/>
      <c r="W47" s="10286"/>
      <c r="X47" s="10286"/>
      <c r="Y47" s="10286"/>
      <c r="Z47" s="10286"/>
      <c r="AA47" s="10286"/>
      <c r="AB47" s="10286"/>
      <c r="AC47" s="10286"/>
      <c r="AD47" s="10286"/>
      <c r="AE47" s="10286"/>
      <c r="AF47" s="10286"/>
      <c r="AG47" s="10286"/>
      <c r="AH47" s="10286"/>
      <c r="AI47" s="10286"/>
      <c r="AJ47" s="10332"/>
      <c r="AK47" s="461"/>
      <c r="AL47" s="808"/>
      <c r="AM47" s="808"/>
      <c r="AN47" s="808"/>
      <c r="AO47" s="10310"/>
      <c r="AP47" s="10311"/>
      <c r="AQ47" s="10311"/>
      <c r="AR47" s="10311"/>
      <c r="AS47" s="10311"/>
      <c r="AT47" s="10311"/>
      <c r="AU47" s="10311"/>
      <c r="AV47" s="10311"/>
      <c r="AW47" s="10311"/>
      <c r="AX47" s="10311"/>
      <c r="AY47" s="10312"/>
      <c r="AZ47" s="808"/>
      <c r="BA47" s="10302"/>
      <c r="BB47" s="6919"/>
      <c r="BC47" s="6919"/>
      <c r="BD47" s="6919"/>
      <c r="BE47" s="6919"/>
      <c r="BF47" s="6919"/>
      <c r="BG47" s="6919"/>
      <c r="BH47" s="6919"/>
      <c r="BI47" s="6919"/>
      <c r="BJ47" s="6919"/>
      <c r="BK47" s="10303"/>
      <c r="BL47" s="808"/>
    </row>
    <row r="48" spans="1:75" ht="15.75" thickBot="1">
      <c r="A48" s="461"/>
      <c r="B48" s="1133" t="s">
        <v>1155</v>
      </c>
      <c r="C48" s="1134"/>
      <c r="D48" s="10300" t="s">
        <v>4885</v>
      </c>
      <c r="E48" s="10300"/>
      <c r="F48" s="10300"/>
      <c r="G48" s="10282"/>
      <c r="H48" s="10282"/>
      <c r="I48" s="10282"/>
      <c r="J48" s="10282"/>
      <c r="K48" s="10282"/>
      <c r="L48" s="10282"/>
      <c r="M48" s="10282"/>
      <c r="N48" s="10282"/>
      <c r="O48" s="10282"/>
      <c r="P48" s="10282"/>
      <c r="Q48" s="10283" t="str">
        <f t="shared" ref="Q48:Q59" si="0">IF(AM48&lt;&gt;"",ROUND(AM48,2),IF(OR(G48="",L48="",$D$36&lt;&gt;""),"",$AE$30))</f>
        <v/>
      </c>
      <c r="R48" s="10283"/>
      <c r="S48" s="10283"/>
      <c r="T48" s="10283"/>
      <c r="U48" s="10283"/>
      <c r="V48" s="10283" t="str">
        <f t="shared" ref="V48:V59" si="1">IF(OR(G48="",L48="",$D$36&lt;&gt;""),"",IF(Q48="",L48,IF(SUM(L48,-Q48)&lt;0,0,SUM(L48,-Q48))))</f>
        <v/>
      </c>
      <c r="W48" s="10283"/>
      <c r="X48" s="10283"/>
      <c r="Y48" s="10283"/>
      <c r="Z48" s="10283"/>
      <c r="AA48" s="10283" t="str">
        <f t="shared" ref="AA48:AA59" si="2">IF(OR(G48="",L48="",$D$36&lt;&gt;""),"",MIN(G48,V48))</f>
        <v/>
      </c>
      <c r="AB48" s="10283"/>
      <c r="AC48" s="10283"/>
      <c r="AD48" s="10283"/>
      <c r="AE48" s="10283"/>
      <c r="AF48" s="10289"/>
      <c r="AG48" s="10289"/>
      <c r="AH48" s="10289"/>
      <c r="AI48" s="10289"/>
      <c r="AJ48" s="10290"/>
      <c r="AK48" s="461"/>
      <c r="AL48" s="1376" t="s">
        <v>278</v>
      </c>
      <c r="AM48" s="3248"/>
      <c r="AN48" s="808"/>
      <c r="AO48" s="10313"/>
      <c r="AP48" s="10314"/>
      <c r="AQ48" s="10314"/>
      <c r="AR48" s="10314"/>
      <c r="AS48" s="10314"/>
      <c r="AT48" s="10314"/>
      <c r="AU48" s="10314"/>
      <c r="AV48" s="10314"/>
      <c r="AW48" s="10314"/>
      <c r="AX48" s="10314"/>
      <c r="AY48" s="10315"/>
      <c r="AZ48" s="808"/>
      <c r="BA48" s="10304"/>
      <c r="BB48" s="7237"/>
      <c r="BC48" s="7237"/>
      <c r="BD48" s="7237"/>
      <c r="BE48" s="7237"/>
      <c r="BF48" s="7237"/>
      <c r="BG48" s="7237"/>
      <c r="BH48" s="7237"/>
      <c r="BI48" s="7237"/>
      <c r="BJ48" s="7237"/>
      <c r="BK48" s="7238"/>
      <c r="BL48" s="808"/>
      <c r="BV48" s="1281"/>
      <c r="BW48" s="1281"/>
    </row>
    <row r="49" spans="1:75" ht="15.75" thickBot="1">
      <c r="A49" s="461"/>
      <c r="B49" s="1133" t="s">
        <v>280</v>
      </c>
      <c r="C49" s="1134"/>
      <c r="D49" s="10300" t="s">
        <v>4890</v>
      </c>
      <c r="E49" s="10300"/>
      <c r="F49" s="10300"/>
      <c r="G49" s="10282"/>
      <c r="H49" s="10282"/>
      <c r="I49" s="10282"/>
      <c r="J49" s="10282"/>
      <c r="K49" s="10282"/>
      <c r="L49" s="10282"/>
      <c r="M49" s="10282"/>
      <c r="N49" s="10282"/>
      <c r="O49" s="10282"/>
      <c r="P49" s="10282"/>
      <c r="Q49" s="10283" t="str">
        <f t="shared" si="0"/>
        <v/>
      </c>
      <c r="R49" s="10283"/>
      <c r="S49" s="10283"/>
      <c r="T49" s="10283"/>
      <c r="U49" s="10283"/>
      <c r="V49" s="10283" t="str">
        <f t="shared" si="1"/>
        <v/>
      </c>
      <c r="W49" s="10283"/>
      <c r="X49" s="10283"/>
      <c r="Y49" s="10283"/>
      <c r="Z49" s="10283"/>
      <c r="AA49" s="10283" t="str">
        <f t="shared" si="2"/>
        <v/>
      </c>
      <c r="AB49" s="10283"/>
      <c r="AC49" s="10283"/>
      <c r="AD49" s="10283"/>
      <c r="AE49" s="10283"/>
      <c r="AF49" s="10289"/>
      <c r="AG49" s="10289"/>
      <c r="AH49" s="10289"/>
      <c r="AI49" s="10289"/>
      <c r="AJ49" s="10290"/>
      <c r="AK49" s="461"/>
      <c r="AL49" s="1376" t="s">
        <v>1341</v>
      </c>
      <c r="AM49" s="3248"/>
      <c r="AN49" s="808"/>
      <c r="AO49" s="808"/>
      <c r="AP49" s="808"/>
      <c r="AQ49" s="808"/>
      <c r="AR49" s="808"/>
      <c r="AS49" s="808"/>
      <c r="AT49" s="808"/>
      <c r="AU49" s="808"/>
      <c r="AV49" s="808"/>
      <c r="AW49" s="808"/>
      <c r="AX49" s="808"/>
      <c r="AY49" s="808"/>
      <c r="AZ49" s="808"/>
      <c r="BA49" s="808"/>
      <c r="BB49" s="808"/>
      <c r="BC49" s="808"/>
      <c r="BD49" s="808"/>
      <c r="BE49" s="808"/>
      <c r="BF49" s="808"/>
      <c r="BG49" s="808"/>
      <c r="BH49" s="808"/>
      <c r="BI49" s="808"/>
      <c r="BJ49" s="808"/>
      <c r="BK49" s="808"/>
      <c r="BL49" s="808"/>
      <c r="BV49" s="1281"/>
      <c r="BW49" s="1281"/>
    </row>
    <row r="50" spans="1:75" ht="15.75" customHeight="1" thickBot="1">
      <c r="A50" s="461"/>
      <c r="B50" s="1133" t="s">
        <v>282</v>
      </c>
      <c r="C50" s="1134"/>
      <c r="D50" s="10300" t="s">
        <v>4893</v>
      </c>
      <c r="E50" s="10300"/>
      <c r="F50" s="10300"/>
      <c r="G50" s="10282"/>
      <c r="H50" s="10282"/>
      <c r="I50" s="10282"/>
      <c r="J50" s="10282"/>
      <c r="K50" s="10282"/>
      <c r="L50" s="10282"/>
      <c r="M50" s="10282"/>
      <c r="N50" s="10282"/>
      <c r="O50" s="10282"/>
      <c r="P50" s="10282"/>
      <c r="Q50" s="10283" t="str">
        <f t="shared" si="0"/>
        <v/>
      </c>
      <c r="R50" s="10283"/>
      <c r="S50" s="10283"/>
      <c r="T50" s="10283"/>
      <c r="U50" s="10283"/>
      <c r="V50" s="10283" t="str">
        <f t="shared" si="1"/>
        <v/>
      </c>
      <c r="W50" s="10283"/>
      <c r="X50" s="10283"/>
      <c r="Y50" s="10283"/>
      <c r="Z50" s="10283"/>
      <c r="AA50" s="10283" t="str">
        <f t="shared" si="2"/>
        <v/>
      </c>
      <c r="AB50" s="10283"/>
      <c r="AC50" s="10283"/>
      <c r="AD50" s="10283"/>
      <c r="AE50" s="10283"/>
      <c r="AF50" s="10289"/>
      <c r="AG50" s="10289"/>
      <c r="AH50" s="10289"/>
      <c r="AI50" s="10289"/>
      <c r="AJ50" s="10290"/>
      <c r="AK50" s="461"/>
      <c r="AL50" s="1376" t="s">
        <v>3423</v>
      </c>
      <c r="AM50" s="3248"/>
      <c r="AN50" s="808"/>
      <c r="AO50" s="900"/>
      <c r="AP50" s="1275" t="s">
        <v>5245</v>
      </c>
      <c r="AQ50" s="1276"/>
      <c r="AR50" s="1277"/>
      <c r="AS50" s="1277"/>
      <c r="AT50" s="1278"/>
      <c r="AU50" s="1279"/>
      <c r="AV50" s="1279"/>
      <c r="AW50" s="1143"/>
      <c r="AX50" s="808"/>
      <c r="AY50" s="808"/>
      <c r="AZ50" s="808"/>
      <c r="BA50" s="808"/>
      <c r="BB50" s="808"/>
      <c r="BC50" s="808"/>
      <c r="BD50" s="808"/>
      <c r="BE50" s="808"/>
      <c r="BF50" s="808"/>
      <c r="BG50" s="808"/>
      <c r="BH50" s="808"/>
      <c r="BI50" s="808"/>
      <c r="BJ50" s="808"/>
      <c r="BK50" s="808"/>
      <c r="BL50" s="808"/>
      <c r="BV50" s="1281"/>
      <c r="BW50" s="1281"/>
    </row>
    <row r="51" spans="1:75" ht="16.5" customHeight="1" thickBot="1">
      <c r="A51" s="461"/>
      <c r="B51" s="1133" t="s">
        <v>286</v>
      </c>
      <c r="C51" s="1134"/>
      <c r="D51" s="10300" t="s">
        <v>4894</v>
      </c>
      <c r="E51" s="10300"/>
      <c r="F51" s="10300"/>
      <c r="G51" s="10282"/>
      <c r="H51" s="10282"/>
      <c r="I51" s="10282"/>
      <c r="J51" s="10282"/>
      <c r="K51" s="10282"/>
      <c r="L51" s="10282"/>
      <c r="M51" s="10282"/>
      <c r="N51" s="10282"/>
      <c r="O51" s="10282"/>
      <c r="P51" s="10282"/>
      <c r="Q51" s="10283" t="str">
        <f t="shared" si="0"/>
        <v/>
      </c>
      <c r="R51" s="10283"/>
      <c r="S51" s="10283"/>
      <c r="T51" s="10283"/>
      <c r="U51" s="10283"/>
      <c r="V51" s="10283" t="str">
        <f t="shared" si="1"/>
        <v/>
      </c>
      <c r="W51" s="10283"/>
      <c r="X51" s="10283"/>
      <c r="Y51" s="10283"/>
      <c r="Z51" s="10283"/>
      <c r="AA51" s="10283" t="str">
        <f t="shared" si="2"/>
        <v/>
      </c>
      <c r="AB51" s="10283"/>
      <c r="AC51" s="10283"/>
      <c r="AD51" s="10283"/>
      <c r="AE51" s="10283"/>
      <c r="AF51" s="10289"/>
      <c r="AG51" s="10289"/>
      <c r="AH51" s="10289"/>
      <c r="AI51" s="10289"/>
      <c r="AJ51" s="10290"/>
      <c r="AK51" s="461"/>
      <c r="AL51" s="1376" t="s">
        <v>4445</v>
      </c>
      <c r="AM51" s="3248"/>
      <c r="AN51" s="808"/>
      <c r="AO51" s="900"/>
      <c r="AP51" s="4592" t="s">
        <v>167</v>
      </c>
      <c r="AQ51" s="1271" t="s">
        <v>5246</v>
      </c>
      <c r="AR51" s="1598"/>
      <c r="AS51" s="1272"/>
      <c r="AT51" s="808"/>
      <c r="AU51" s="4591" t="s">
        <v>5247</v>
      </c>
      <c r="AV51" s="5150">
        <f>AE22</f>
        <v>0</v>
      </c>
      <c r="AW51" s="1151"/>
      <c r="AX51" s="808"/>
      <c r="AY51" s="808"/>
      <c r="AZ51" s="808"/>
      <c r="BA51" s="10346" t="s">
        <v>5248</v>
      </c>
      <c r="BB51" s="10346"/>
      <c r="BC51" s="808"/>
      <c r="BD51" s="808"/>
      <c r="BE51" s="808"/>
      <c r="BF51" s="808"/>
      <c r="BG51" s="808"/>
      <c r="BH51" s="808"/>
      <c r="BI51" s="808"/>
      <c r="BJ51" s="808"/>
      <c r="BK51" s="808"/>
      <c r="BL51" s="808"/>
      <c r="BV51" s="1281"/>
      <c r="BW51" s="1281"/>
    </row>
    <row r="52" spans="1:75" ht="16.5" customHeight="1" thickBot="1">
      <c r="A52" s="461"/>
      <c r="B52" s="1133" t="s">
        <v>289</v>
      </c>
      <c r="C52" s="1134"/>
      <c r="D52" s="10300" t="s">
        <v>778</v>
      </c>
      <c r="E52" s="10300"/>
      <c r="F52" s="10300"/>
      <c r="G52" s="10282"/>
      <c r="H52" s="10282"/>
      <c r="I52" s="10282"/>
      <c r="J52" s="10282"/>
      <c r="K52" s="10282"/>
      <c r="L52" s="10282"/>
      <c r="M52" s="10282"/>
      <c r="N52" s="10282"/>
      <c r="O52" s="10282"/>
      <c r="P52" s="10282"/>
      <c r="Q52" s="10283" t="str">
        <f t="shared" si="0"/>
        <v/>
      </c>
      <c r="R52" s="10283"/>
      <c r="S52" s="10283"/>
      <c r="T52" s="10283"/>
      <c r="U52" s="10283"/>
      <c r="V52" s="10283" t="str">
        <f t="shared" si="1"/>
        <v/>
      </c>
      <c r="W52" s="10283"/>
      <c r="X52" s="10283"/>
      <c r="Y52" s="10283"/>
      <c r="Z52" s="10283"/>
      <c r="AA52" s="10283" t="str">
        <f t="shared" si="2"/>
        <v/>
      </c>
      <c r="AB52" s="10283"/>
      <c r="AC52" s="10283"/>
      <c r="AD52" s="10283"/>
      <c r="AE52" s="10283"/>
      <c r="AF52" s="10289"/>
      <c r="AG52" s="10289"/>
      <c r="AH52" s="10289"/>
      <c r="AI52" s="10289"/>
      <c r="AJ52" s="10290"/>
      <c r="AK52" s="461"/>
      <c r="AL52" s="1376" t="s">
        <v>5249</v>
      </c>
      <c r="AM52" s="3248"/>
      <c r="AN52" s="808"/>
      <c r="AO52" s="900"/>
      <c r="AP52" s="4592" t="s">
        <v>171</v>
      </c>
      <c r="AQ52" s="1271" t="s">
        <v>5250</v>
      </c>
      <c r="AR52" s="808"/>
      <c r="AS52" s="1272"/>
      <c r="AT52" s="4591" t="s">
        <v>5251</v>
      </c>
      <c r="AU52" s="5150">
        <f>AE25</f>
        <v>0</v>
      </c>
      <c r="AV52" s="1273"/>
      <c r="AW52" s="1151"/>
      <c r="AX52" s="808"/>
      <c r="AY52" s="808"/>
      <c r="AZ52" s="808"/>
      <c r="BA52" s="10347"/>
      <c r="BB52" s="10347"/>
      <c r="BC52" s="808"/>
      <c r="BD52" s="808"/>
      <c r="BE52" s="808"/>
      <c r="BF52" s="808"/>
      <c r="BG52" s="808"/>
      <c r="BH52" s="808"/>
      <c r="BI52" s="2173"/>
      <c r="BJ52" s="2173"/>
      <c r="BK52" s="2173"/>
      <c r="BL52" s="808"/>
    </row>
    <row r="53" spans="1:75" ht="16.5" customHeight="1" thickBot="1">
      <c r="A53" s="461"/>
      <c r="B53" s="1133" t="s">
        <v>291</v>
      </c>
      <c r="C53" s="1134"/>
      <c r="D53" s="10300" t="s">
        <v>4897</v>
      </c>
      <c r="E53" s="10300"/>
      <c r="F53" s="10300"/>
      <c r="G53" s="10282"/>
      <c r="H53" s="10282"/>
      <c r="I53" s="10282"/>
      <c r="J53" s="10282"/>
      <c r="K53" s="10282"/>
      <c r="L53" s="10282"/>
      <c r="M53" s="10282"/>
      <c r="N53" s="10282"/>
      <c r="O53" s="10282"/>
      <c r="P53" s="10282"/>
      <c r="Q53" s="10283" t="str">
        <f t="shared" si="0"/>
        <v/>
      </c>
      <c r="R53" s="10283"/>
      <c r="S53" s="10283"/>
      <c r="T53" s="10283"/>
      <c r="U53" s="10283"/>
      <c r="V53" s="10283" t="str">
        <f t="shared" si="1"/>
        <v/>
      </c>
      <c r="W53" s="10283"/>
      <c r="X53" s="10283"/>
      <c r="Y53" s="10283"/>
      <c r="Z53" s="10283"/>
      <c r="AA53" s="10283" t="str">
        <f t="shared" si="2"/>
        <v/>
      </c>
      <c r="AB53" s="10283"/>
      <c r="AC53" s="10283"/>
      <c r="AD53" s="10283"/>
      <c r="AE53" s="10283"/>
      <c r="AF53" s="10289"/>
      <c r="AG53" s="10289"/>
      <c r="AH53" s="10289"/>
      <c r="AI53" s="10289"/>
      <c r="AJ53" s="10290"/>
      <c r="AK53" s="461"/>
      <c r="AL53" s="1376" t="s">
        <v>1239</v>
      </c>
      <c r="AM53" s="3248"/>
      <c r="AN53" s="808"/>
      <c r="AO53" s="900"/>
      <c r="AP53" s="4592" t="s">
        <v>177</v>
      </c>
      <c r="AQ53" s="1271" t="str">
        <f>"Multiply the amount on line 2 by "&amp;TEXT(AT53,"0.0")&amp;"."</f>
        <v>Multiply the amount on line 2 by 4.0.</v>
      </c>
      <c r="AR53" s="1272"/>
      <c r="AS53" s="808"/>
      <c r="AT53" s="874">
        <v>4</v>
      </c>
      <c r="AU53" s="4591" t="s">
        <v>5252</v>
      </c>
      <c r="AV53" s="5150">
        <f>IF(OR(AU52="",AT53=""),"",ROUND(AU52*AT53,0))</f>
        <v>0</v>
      </c>
      <c r="AW53" s="1151"/>
      <c r="AX53" s="808"/>
      <c r="AY53" s="808"/>
      <c r="AZ53" s="1351"/>
      <c r="BA53" s="4598" t="str">
        <f>AE26</f>
        <v/>
      </c>
      <c r="BB53" s="4599">
        <f>IF(BA53&lt;150,0,IF(BA53&lt;300,ROUND(0.0004*(BA53-150),4),IF(BA53&lt;400,ROUND(0.06+0.00025*(BA53-300),4),0.085)))</f>
        <v>8.5000000000000006E-2</v>
      </c>
      <c r="BC53" s="808"/>
      <c r="BD53" s="808"/>
      <c r="BE53" s="808"/>
      <c r="BF53" s="2174"/>
      <c r="BG53" s="2173"/>
      <c r="BH53" s="2173"/>
      <c r="BI53" s="2173"/>
      <c r="BJ53" s="2173"/>
      <c r="BK53" s="2173"/>
      <c r="BL53" s="808"/>
      <c r="BM53" s="2725" t="s">
        <v>790</v>
      </c>
    </row>
    <row r="54" spans="1:75" ht="16.5" customHeight="1" thickBot="1">
      <c r="A54" s="461"/>
      <c r="B54" s="1133" t="s">
        <v>293</v>
      </c>
      <c r="C54" s="1134"/>
      <c r="D54" s="10300" t="s">
        <v>4899</v>
      </c>
      <c r="E54" s="10300"/>
      <c r="F54" s="10300"/>
      <c r="G54" s="10282"/>
      <c r="H54" s="10282"/>
      <c r="I54" s="10282"/>
      <c r="J54" s="10282"/>
      <c r="K54" s="10282"/>
      <c r="L54" s="10282"/>
      <c r="M54" s="10282"/>
      <c r="N54" s="10282"/>
      <c r="O54" s="10282"/>
      <c r="P54" s="10282"/>
      <c r="Q54" s="10283" t="str">
        <f t="shared" si="0"/>
        <v/>
      </c>
      <c r="R54" s="10283"/>
      <c r="S54" s="10283"/>
      <c r="T54" s="10283"/>
      <c r="U54" s="10283"/>
      <c r="V54" s="10283" t="str">
        <f t="shared" si="1"/>
        <v/>
      </c>
      <c r="W54" s="10283"/>
      <c r="X54" s="10283"/>
      <c r="Y54" s="10283"/>
      <c r="Z54" s="10283"/>
      <c r="AA54" s="10283" t="str">
        <f t="shared" si="2"/>
        <v/>
      </c>
      <c r="AB54" s="10283"/>
      <c r="AC54" s="10283"/>
      <c r="AD54" s="10283"/>
      <c r="AE54" s="10283"/>
      <c r="AF54" s="10289"/>
      <c r="AG54" s="10289"/>
      <c r="AH54" s="10289"/>
      <c r="AI54" s="10289"/>
      <c r="AJ54" s="10290"/>
      <c r="AK54" s="461"/>
      <c r="AL54" s="1376" t="s">
        <v>5152</v>
      </c>
      <c r="AM54" s="3248"/>
      <c r="AN54" s="808"/>
      <c r="AO54" s="900"/>
      <c r="AP54" s="5151" t="s">
        <v>182</v>
      </c>
      <c r="AQ54" s="1271" t="s">
        <v>5253</v>
      </c>
      <c r="AR54" s="1272"/>
      <c r="AS54" s="808"/>
      <c r="AT54" s="808"/>
      <c r="AU54" s="808"/>
      <c r="AV54" s="3431" t="b">
        <f>AV51&gt;AV53</f>
        <v>0</v>
      </c>
      <c r="AW54" s="1151"/>
      <c r="AX54" s="808"/>
      <c r="AY54" s="808"/>
      <c r="AZ54" s="1332"/>
      <c r="BA54" s="808"/>
      <c r="BB54" s="808"/>
      <c r="BC54" s="2371"/>
      <c r="BD54" s="808"/>
      <c r="BE54" s="808"/>
      <c r="BF54" s="2174"/>
      <c r="BG54" s="2173"/>
      <c r="BH54" s="2173"/>
      <c r="BI54" s="2173"/>
      <c r="BJ54" s="2173"/>
      <c r="BK54" s="2173"/>
      <c r="BL54" s="808"/>
    </row>
    <row r="55" spans="1:75" ht="14.25" customHeight="1" thickBot="1">
      <c r="A55" s="461"/>
      <c r="B55" s="1133" t="s">
        <v>295</v>
      </c>
      <c r="C55" s="1134"/>
      <c r="D55" s="10300" t="s">
        <v>4902</v>
      </c>
      <c r="E55" s="10300"/>
      <c r="F55" s="10300"/>
      <c r="G55" s="10282"/>
      <c r="H55" s="10282"/>
      <c r="I55" s="10282"/>
      <c r="J55" s="10282"/>
      <c r="K55" s="10282"/>
      <c r="L55" s="10282"/>
      <c r="M55" s="10282"/>
      <c r="N55" s="10282"/>
      <c r="O55" s="10282"/>
      <c r="P55" s="10282"/>
      <c r="Q55" s="10283" t="str">
        <f t="shared" si="0"/>
        <v/>
      </c>
      <c r="R55" s="10283"/>
      <c r="S55" s="10283"/>
      <c r="T55" s="10283"/>
      <c r="U55" s="10283"/>
      <c r="V55" s="10283" t="str">
        <f t="shared" si="1"/>
        <v/>
      </c>
      <c r="W55" s="10283"/>
      <c r="X55" s="10283"/>
      <c r="Y55" s="10283"/>
      <c r="Z55" s="10283"/>
      <c r="AA55" s="10283" t="str">
        <f t="shared" si="2"/>
        <v/>
      </c>
      <c r="AB55" s="10283"/>
      <c r="AC55" s="10283"/>
      <c r="AD55" s="10283"/>
      <c r="AE55" s="10283"/>
      <c r="AF55" s="10289"/>
      <c r="AG55" s="10289"/>
      <c r="AH55" s="10289"/>
      <c r="AI55" s="10289"/>
      <c r="AJ55" s="10290"/>
      <c r="AK55" s="461"/>
      <c r="AL55" s="1376" t="s">
        <v>5159</v>
      </c>
      <c r="AM55" s="3248"/>
      <c r="AN55" s="808"/>
      <c r="AO55" s="900"/>
      <c r="AP55" s="4593" t="s">
        <v>5254</v>
      </c>
      <c r="AQ55" s="5152" t="s">
        <v>5255</v>
      </c>
      <c r="AR55" s="5152"/>
      <c r="AS55" s="808"/>
      <c r="AT55" s="808"/>
      <c r="AU55" s="808"/>
      <c r="AV55" s="2633"/>
      <c r="AW55" s="1151"/>
      <c r="AX55" s="808"/>
      <c r="AY55" s="808"/>
      <c r="AZ55" s="1341" t="s">
        <v>5256</v>
      </c>
      <c r="BA55" s="4600">
        <v>281</v>
      </c>
      <c r="BB55" s="4599">
        <f>IF(BA55&lt;150,0,IF(BA55&lt;300,ROUND(0.0004*(BA55-150),4),IF(BA55&lt;400,ROUND(0.06+0.00025*(BA55-300),4),0.085)))</f>
        <v>5.2400000000000002E-2</v>
      </c>
      <c r="BC55" s="2371"/>
      <c r="BD55" s="2172"/>
      <c r="BE55" s="2173"/>
      <c r="BF55" s="2174"/>
      <c r="BG55" s="2173"/>
      <c r="BH55" s="2173"/>
      <c r="BI55" s="2173"/>
      <c r="BJ55" s="2173"/>
      <c r="BK55" s="2173"/>
      <c r="BL55" s="808"/>
    </row>
    <row r="56" spans="1:75" ht="14.25" customHeight="1" thickBot="1">
      <c r="A56" s="461"/>
      <c r="B56" s="1133" t="s">
        <v>297</v>
      </c>
      <c r="C56" s="1134"/>
      <c r="D56" s="10300" t="s">
        <v>4905</v>
      </c>
      <c r="E56" s="10300"/>
      <c r="F56" s="10300"/>
      <c r="G56" s="10282"/>
      <c r="H56" s="10282"/>
      <c r="I56" s="10282"/>
      <c r="J56" s="10282"/>
      <c r="K56" s="10282"/>
      <c r="L56" s="10282"/>
      <c r="M56" s="10282"/>
      <c r="N56" s="10282"/>
      <c r="O56" s="10282"/>
      <c r="P56" s="10282"/>
      <c r="Q56" s="10283" t="str">
        <f t="shared" si="0"/>
        <v/>
      </c>
      <c r="R56" s="10283"/>
      <c r="S56" s="10283"/>
      <c r="T56" s="10283"/>
      <c r="U56" s="10283"/>
      <c r="V56" s="10283" t="str">
        <f t="shared" si="1"/>
        <v/>
      </c>
      <c r="W56" s="10283"/>
      <c r="X56" s="10283"/>
      <c r="Y56" s="10283"/>
      <c r="Z56" s="10283"/>
      <c r="AA56" s="10283" t="str">
        <f t="shared" si="2"/>
        <v/>
      </c>
      <c r="AB56" s="10283"/>
      <c r="AC56" s="10283"/>
      <c r="AD56" s="10283"/>
      <c r="AE56" s="10283"/>
      <c r="AF56" s="10289"/>
      <c r="AG56" s="10289"/>
      <c r="AH56" s="10289"/>
      <c r="AI56" s="10289"/>
      <c r="AJ56" s="10290"/>
      <c r="AK56" s="461"/>
      <c r="AL56" s="1376" t="s">
        <v>5257</v>
      </c>
      <c r="AM56" s="3248"/>
      <c r="AN56" s="808"/>
      <c r="AO56" s="808"/>
      <c r="AP56" s="1270"/>
      <c r="AQ56" s="1271" t="s">
        <v>5258</v>
      </c>
      <c r="AR56" s="1272"/>
      <c r="AS56" s="808"/>
      <c r="AT56" s="808"/>
      <c r="AU56" s="808"/>
      <c r="AV56" s="808"/>
      <c r="AW56" s="1151"/>
      <c r="AX56" s="808"/>
      <c r="AY56" s="808"/>
      <c r="AZ56" s="1332"/>
      <c r="BA56" s="1579" t="s">
        <v>877</v>
      </c>
      <c r="BB56" s="1579" t="s">
        <v>5259</v>
      </c>
      <c r="BC56" s="2371"/>
      <c r="BD56" s="2172"/>
      <c r="BE56" s="2173"/>
      <c r="BF56" s="2174"/>
      <c r="BG56" s="2173"/>
      <c r="BH56" s="2173"/>
      <c r="BI56" s="2173"/>
      <c r="BJ56" s="2173"/>
      <c r="BK56" s="2173"/>
      <c r="BL56" s="808"/>
    </row>
    <row r="57" spans="1:75" ht="14.25" customHeight="1" thickBot="1">
      <c r="A57" s="461"/>
      <c r="B57" s="1133" t="s">
        <v>4384</v>
      </c>
      <c r="C57" s="1134"/>
      <c r="D57" s="10300" t="s">
        <v>4907</v>
      </c>
      <c r="E57" s="10300"/>
      <c r="F57" s="10300"/>
      <c r="G57" s="10282"/>
      <c r="H57" s="10282"/>
      <c r="I57" s="10282"/>
      <c r="J57" s="10282"/>
      <c r="K57" s="10282"/>
      <c r="L57" s="10282"/>
      <c r="M57" s="10282"/>
      <c r="N57" s="10282"/>
      <c r="O57" s="10282"/>
      <c r="P57" s="10282"/>
      <c r="Q57" s="10283" t="str">
        <f t="shared" si="0"/>
        <v/>
      </c>
      <c r="R57" s="10283"/>
      <c r="S57" s="10283"/>
      <c r="T57" s="10283"/>
      <c r="U57" s="10283"/>
      <c r="V57" s="10283" t="str">
        <f t="shared" si="1"/>
        <v/>
      </c>
      <c r="W57" s="10283"/>
      <c r="X57" s="10283"/>
      <c r="Y57" s="10283"/>
      <c r="Z57" s="10283"/>
      <c r="AA57" s="10283" t="str">
        <f t="shared" si="2"/>
        <v/>
      </c>
      <c r="AB57" s="10283"/>
      <c r="AC57" s="10283"/>
      <c r="AD57" s="10283"/>
      <c r="AE57" s="10283"/>
      <c r="AF57" s="10289"/>
      <c r="AG57" s="10289"/>
      <c r="AH57" s="10289"/>
      <c r="AI57" s="10289"/>
      <c r="AJ57" s="10290"/>
      <c r="AK57" s="461"/>
      <c r="AL57" s="1376" t="s">
        <v>3767</v>
      </c>
      <c r="AM57" s="3248"/>
      <c r="AN57" s="808"/>
      <c r="AO57" s="808"/>
      <c r="AP57" s="4593" t="s">
        <v>5260</v>
      </c>
      <c r="AQ57" s="1271" t="s">
        <v>5261</v>
      </c>
      <c r="AR57" s="1280"/>
      <c r="AS57" s="808"/>
      <c r="AT57" s="808"/>
      <c r="AU57" s="4586"/>
      <c r="AV57" s="2633"/>
      <c r="AW57" s="1151"/>
      <c r="AX57" s="808"/>
      <c r="AY57" s="808"/>
      <c r="AZ57" s="1332"/>
      <c r="BA57" s="808"/>
      <c r="BB57" s="808"/>
      <c r="BC57" s="2371"/>
      <c r="BD57" s="2172"/>
      <c r="BE57" s="2173"/>
      <c r="BF57" s="2174"/>
      <c r="BG57" s="2173"/>
      <c r="BH57" s="2173"/>
      <c r="BI57" s="2173"/>
      <c r="BJ57" s="2173"/>
      <c r="BK57" s="2173"/>
      <c r="BL57" s="808"/>
    </row>
    <row r="58" spans="1:75" ht="14.25" customHeight="1" thickBot="1">
      <c r="A58" s="461"/>
      <c r="B58" s="1133" t="s">
        <v>4386</v>
      </c>
      <c r="C58" s="1134"/>
      <c r="D58" s="10300" t="s">
        <v>4909</v>
      </c>
      <c r="E58" s="10300"/>
      <c r="F58" s="10300"/>
      <c r="G58" s="10282"/>
      <c r="H58" s="10282"/>
      <c r="I58" s="10282"/>
      <c r="J58" s="10282"/>
      <c r="K58" s="10282"/>
      <c r="L58" s="10282"/>
      <c r="M58" s="10282"/>
      <c r="N58" s="10282"/>
      <c r="O58" s="10282"/>
      <c r="P58" s="10282"/>
      <c r="Q58" s="10283" t="str">
        <f t="shared" si="0"/>
        <v/>
      </c>
      <c r="R58" s="10283"/>
      <c r="S58" s="10283"/>
      <c r="T58" s="10283"/>
      <c r="U58" s="10283"/>
      <c r="V58" s="10283" t="str">
        <f t="shared" si="1"/>
        <v/>
      </c>
      <c r="W58" s="10283"/>
      <c r="X58" s="10283"/>
      <c r="Y58" s="10283"/>
      <c r="Z58" s="10283"/>
      <c r="AA58" s="10283" t="str">
        <f t="shared" si="2"/>
        <v/>
      </c>
      <c r="AB58" s="10283"/>
      <c r="AC58" s="10283"/>
      <c r="AD58" s="10283"/>
      <c r="AE58" s="10283"/>
      <c r="AF58" s="10289"/>
      <c r="AG58" s="10289"/>
      <c r="AH58" s="10289"/>
      <c r="AI58" s="10289"/>
      <c r="AJ58" s="10290"/>
      <c r="AK58" s="461"/>
      <c r="AL58" s="1376" t="s">
        <v>3777</v>
      </c>
      <c r="AM58" s="3248"/>
      <c r="AN58" s="808"/>
      <c r="AO58" s="808"/>
      <c r="AP58" s="4585"/>
      <c r="AQ58" s="1271" t="s">
        <v>5262</v>
      </c>
      <c r="AR58" s="4586"/>
      <c r="AS58" s="808"/>
      <c r="AT58" s="4586"/>
      <c r="AU58" s="4588"/>
      <c r="AV58" s="1994"/>
      <c r="AW58" s="1151"/>
      <c r="AX58" s="808"/>
      <c r="AY58" s="808"/>
      <c r="AZ58" s="1332"/>
      <c r="BA58" s="808"/>
      <c r="BB58" s="808"/>
      <c r="BC58" s="2371"/>
      <c r="BD58" s="2172"/>
      <c r="BE58" s="2173"/>
      <c r="BF58" s="2174"/>
      <c r="BG58" s="2173"/>
      <c r="BH58" s="2173"/>
      <c r="BI58" s="2173"/>
      <c r="BJ58" s="2173"/>
      <c r="BK58" s="2173"/>
      <c r="BL58" s="808"/>
    </row>
    <row r="59" spans="1:75" ht="14.25" customHeight="1" thickBot="1">
      <c r="A59" s="461"/>
      <c r="B59" s="1135" t="s">
        <v>4521</v>
      </c>
      <c r="C59" s="1136"/>
      <c r="D59" s="10353" t="s">
        <v>4910</v>
      </c>
      <c r="E59" s="10353"/>
      <c r="F59" s="10353"/>
      <c r="G59" s="10298"/>
      <c r="H59" s="10298"/>
      <c r="I59" s="10298"/>
      <c r="J59" s="10298"/>
      <c r="K59" s="10298"/>
      <c r="L59" s="10298"/>
      <c r="M59" s="10298"/>
      <c r="N59" s="10298"/>
      <c r="O59" s="10298"/>
      <c r="P59" s="10298"/>
      <c r="Q59" s="10354" t="str">
        <f t="shared" si="0"/>
        <v/>
      </c>
      <c r="R59" s="10354"/>
      <c r="S59" s="10354"/>
      <c r="T59" s="10354"/>
      <c r="U59" s="10354"/>
      <c r="V59" s="10354" t="str">
        <f t="shared" si="1"/>
        <v/>
      </c>
      <c r="W59" s="10354"/>
      <c r="X59" s="10354"/>
      <c r="Y59" s="10354"/>
      <c r="Z59" s="10354"/>
      <c r="AA59" s="10354" t="str">
        <f t="shared" si="2"/>
        <v/>
      </c>
      <c r="AB59" s="10354"/>
      <c r="AC59" s="10354"/>
      <c r="AD59" s="10354"/>
      <c r="AE59" s="10354"/>
      <c r="AF59" s="10291"/>
      <c r="AG59" s="10291"/>
      <c r="AH59" s="10291"/>
      <c r="AI59" s="10291"/>
      <c r="AJ59" s="10292"/>
      <c r="AK59" s="461"/>
      <c r="AL59" s="1376" t="s">
        <v>2724</v>
      </c>
      <c r="AM59" s="3248"/>
      <c r="AN59" s="892"/>
      <c r="AO59" s="808"/>
      <c r="AP59" s="4587"/>
      <c r="AQ59" s="1271" t="s">
        <v>5263</v>
      </c>
      <c r="AR59" s="4588"/>
      <c r="AS59" s="4588"/>
      <c r="AT59" s="808"/>
      <c r="AU59" s="4591"/>
      <c r="AV59" s="1994"/>
      <c r="AW59" s="1151"/>
      <c r="AX59" s="808"/>
      <c r="AY59" s="808"/>
      <c r="AZ59" s="1332"/>
      <c r="BA59" s="808"/>
      <c r="BB59" s="808"/>
      <c r="BC59" s="2371"/>
      <c r="BD59" s="2172"/>
      <c r="BE59" s="2173"/>
      <c r="BF59" s="2174"/>
      <c r="BG59" s="2173"/>
      <c r="BH59" s="2173"/>
      <c r="BI59" s="2173"/>
      <c r="BJ59" s="2173"/>
      <c r="BK59" s="2173"/>
      <c r="BL59" s="808"/>
    </row>
    <row r="60" spans="1:75" ht="14.25" customHeight="1" thickBot="1">
      <c r="A60" s="461"/>
      <c r="B60" s="1137" t="s">
        <v>4522</v>
      </c>
      <c r="C60" s="890"/>
      <c r="D60" s="892" t="s">
        <v>5264</v>
      </c>
      <c r="E60" s="808"/>
      <c r="F60" s="808"/>
      <c r="G60" s="808"/>
      <c r="H60" s="808"/>
      <c r="I60" s="808"/>
      <c r="J60" s="808"/>
      <c r="K60" s="808"/>
      <c r="L60" s="808"/>
      <c r="M60" s="808"/>
      <c r="N60" s="808"/>
      <c r="O60" s="808"/>
      <c r="P60" s="808"/>
      <c r="Q60" s="808"/>
      <c r="R60" s="808"/>
      <c r="S60" s="808"/>
      <c r="T60" s="808"/>
      <c r="U60" s="808"/>
      <c r="V60" s="808"/>
      <c r="W60" s="808"/>
      <c r="X60" s="808"/>
      <c r="Y60" s="808"/>
      <c r="Z60" s="808"/>
      <c r="AA60" s="808"/>
      <c r="AB60" s="808"/>
      <c r="AC60" s="808"/>
      <c r="AD60" s="1125">
        <v>24</v>
      </c>
      <c r="AE60" s="7149">
        <f>IF(AM60&lt;&gt;"",ROUND(AM60,0),IF(AND(AA43&lt;&gt;"",AA43&gt;0),ROUND(AA43,0),ROUND(AO69,0)))</f>
        <v>0</v>
      </c>
      <c r="AF60" s="10297"/>
      <c r="AG60" s="10297"/>
      <c r="AH60" s="10297"/>
      <c r="AI60" s="10297"/>
      <c r="AJ60" s="10297"/>
      <c r="AK60" s="461"/>
      <c r="AL60" s="1376"/>
      <c r="AM60" s="2165"/>
      <c r="AN60" s="2166"/>
      <c r="AO60" s="808"/>
      <c r="AP60" s="4592"/>
      <c r="AQ60" s="1271" t="s">
        <v>5265</v>
      </c>
      <c r="AR60" s="808"/>
      <c r="AS60" s="808"/>
      <c r="AT60" s="808"/>
      <c r="AU60" s="808"/>
      <c r="AV60" s="808"/>
      <c r="AW60" s="1151"/>
      <c r="AX60" s="808"/>
      <c r="AY60" s="808"/>
      <c r="AZ60" s="1332"/>
      <c r="BA60" s="808"/>
      <c r="BB60" s="808"/>
      <c r="BC60" s="2371"/>
      <c r="BD60" s="2172"/>
      <c r="BE60" s="2173"/>
      <c r="BF60" s="2174"/>
      <c r="BG60" s="2173"/>
      <c r="BH60" s="2173"/>
      <c r="BI60" s="2173"/>
      <c r="BJ60" s="2173"/>
      <c r="BK60" s="2173"/>
      <c r="BL60" s="808"/>
    </row>
    <row r="61" spans="1:75" ht="14.25" customHeight="1" thickBot="1">
      <c r="A61" s="461"/>
      <c r="B61" s="1127" t="s">
        <v>4529</v>
      </c>
      <c r="C61" s="808"/>
      <c r="D61" s="892" t="s">
        <v>5266</v>
      </c>
      <c r="E61" s="808"/>
      <c r="F61" s="808"/>
      <c r="G61" s="808"/>
      <c r="H61" s="808"/>
      <c r="I61" s="808"/>
      <c r="J61" s="808"/>
      <c r="K61" s="808"/>
      <c r="L61" s="808"/>
      <c r="M61" s="808"/>
      <c r="N61" s="808"/>
      <c r="O61" s="808"/>
      <c r="P61" s="808"/>
      <c r="Q61" s="808"/>
      <c r="R61" s="808"/>
      <c r="S61" s="808"/>
      <c r="T61" s="808"/>
      <c r="U61" s="808"/>
      <c r="V61" s="808"/>
      <c r="W61" s="808"/>
      <c r="X61" s="808"/>
      <c r="Y61" s="808"/>
      <c r="Z61" s="808"/>
      <c r="AA61" s="808"/>
      <c r="AB61" s="808"/>
      <c r="AC61" s="808"/>
      <c r="AD61" s="1125">
        <v>25</v>
      </c>
      <c r="AE61" s="10287">
        <f>IF(AM61&lt;&gt;"",ROUND(AM61,0),IF(D33&lt;&gt;"","",IF(AND(AF43&lt;&gt;"",AF43&gt;0),ROUND(AF43,0),ROUND(AO70,0))))</f>
        <v>0</v>
      </c>
      <c r="AF61" s="10288"/>
      <c r="AG61" s="10288"/>
      <c r="AH61" s="10288"/>
      <c r="AI61" s="10288"/>
      <c r="AJ61" s="10288"/>
      <c r="AK61" s="461"/>
      <c r="AL61" s="1376"/>
      <c r="AM61" s="2165"/>
      <c r="AN61" s="2166"/>
      <c r="AO61" s="808"/>
      <c r="AP61" s="4592"/>
      <c r="AQ61" s="1271" t="s">
        <v>5267</v>
      </c>
      <c r="AR61" s="808"/>
      <c r="AS61" s="808"/>
      <c r="AT61" s="808"/>
      <c r="AU61" s="808"/>
      <c r="AV61" s="5155">
        <v>401</v>
      </c>
      <c r="AW61" s="1151"/>
      <c r="AX61" s="808"/>
      <c r="AY61" s="808"/>
      <c r="AZ61" s="1332"/>
      <c r="BA61" s="808"/>
      <c r="BB61" s="808"/>
      <c r="BC61" s="2371"/>
      <c r="BD61" s="2172"/>
      <c r="BE61" s="2173"/>
      <c r="BF61" s="2174"/>
      <c r="BG61" s="2173"/>
      <c r="BH61" s="2173"/>
      <c r="BI61" s="2173"/>
      <c r="BJ61" s="2173"/>
      <c r="BK61" s="2173"/>
      <c r="BL61" s="808"/>
    </row>
    <row r="62" spans="1:75" ht="14.25" customHeight="1">
      <c r="A62" s="461"/>
      <c r="B62" s="1127" t="s">
        <v>4530</v>
      </c>
      <c r="C62" s="808"/>
      <c r="D62" s="1746" t="s">
        <v>5268</v>
      </c>
      <c r="E62" s="1048"/>
      <c r="F62" s="1048"/>
      <c r="G62" s="1048"/>
      <c r="H62" s="1048"/>
      <c r="I62" s="1048"/>
      <c r="J62" s="1048"/>
      <c r="K62" s="1048"/>
      <c r="L62" s="1048"/>
      <c r="M62" s="1048"/>
      <c r="N62" s="1048"/>
      <c r="O62" s="1048"/>
      <c r="P62" s="1048"/>
      <c r="Q62" s="1048"/>
      <c r="R62" s="1048"/>
      <c r="S62" s="1048"/>
      <c r="T62" s="1048"/>
      <c r="U62" s="1048"/>
      <c r="V62" s="1048"/>
      <c r="W62" s="1048"/>
      <c r="X62" s="1048"/>
      <c r="Y62" s="1048"/>
      <c r="Z62" s="1048"/>
      <c r="AA62" s="1048"/>
      <c r="AB62" s="1048"/>
      <c r="AC62" s="1068"/>
      <c r="AD62" s="1126"/>
      <c r="AE62" s="808"/>
      <c r="AF62" s="808"/>
      <c r="AG62" s="808"/>
      <c r="AH62" s="808"/>
      <c r="AI62" s="808"/>
      <c r="AJ62" s="808"/>
      <c r="AK62" s="461"/>
      <c r="AL62" s="808"/>
      <c r="AM62" s="808"/>
      <c r="AN62" s="808"/>
      <c r="AO62" s="808"/>
      <c r="AP62" s="4592"/>
      <c r="AQ62" s="1271" t="s">
        <v>5269</v>
      </c>
      <c r="AR62" s="808"/>
      <c r="AS62" s="808"/>
      <c r="AT62" s="808"/>
      <c r="AU62" s="808"/>
      <c r="AV62" s="808"/>
      <c r="AW62" s="1151"/>
      <c r="AX62" s="808"/>
      <c r="AY62" s="808"/>
      <c r="AZ62" s="1332"/>
      <c r="BA62" s="808"/>
      <c r="BB62" s="808"/>
      <c r="BC62" s="2371"/>
      <c r="BD62" s="2172"/>
      <c r="BE62" s="2173"/>
      <c r="BF62" s="2174"/>
      <c r="BG62" s="2173"/>
      <c r="BH62" s="2173"/>
      <c r="BI62" s="2173"/>
      <c r="BJ62" s="2173"/>
      <c r="BK62" s="2173"/>
      <c r="BL62" s="808"/>
    </row>
    <row r="63" spans="1:75" ht="14.25" customHeight="1" thickBot="1">
      <c r="A63" s="461"/>
      <c r="B63" s="808"/>
      <c r="C63" s="808"/>
      <c r="D63" s="1746" t="s">
        <v>5270</v>
      </c>
      <c r="E63" s="1048"/>
      <c r="F63" s="1048"/>
      <c r="G63" s="1048"/>
      <c r="H63" s="1048"/>
      <c r="I63" s="1048"/>
      <c r="J63" s="1048"/>
      <c r="K63" s="1048"/>
      <c r="L63" s="1048"/>
      <c r="M63" s="1048"/>
      <c r="N63" s="1048"/>
      <c r="O63" s="1048"/>
      <c r="P63" s="1048"/>
      <c r="Q63" s="1048"/>
      <c r="R63" s="1048"/>
      <c r="S63" s="10349" t="s">
        <v>5271</v>
      </c>
      <c r="T63" s="10349"/>
      <c r="U63" s="10349"/>
      <c r="V63" s="1048" t="s">
        <v>5272</v>
      </c>
      <c r="W63" s="1048"/>
      <c r="X63" s="1048"/>
      <c r="Y63" s="1009"/>
      <c r="Z63" s="1048"/>
      <c r="AA63" s="1009"/>
      <c r="AB63" s="780"/>
      <c r="AC63" s="1243"/>
      <c r="AD63" s="1126"/>
      <c r="AE63" s="10345" t="b">
        <f>IF(AE60&gt;AE61,TRUE,FALSE)</f>
        <v>0</v>
      </c>
      <c r="AF63" s="6839"/>
      <c r="AG63" s="6839"/>
      <c r="AH63" s="6839"/>
      <c r="AI63" s="6839"/>
      <c r="AJ63" s="6839"/>
      <c r="AK63" s="461"/>
      <c r="AL63" s="808"/>
      <c r="AM63" s="900" t="b">
        <f>AND(AE60&gt;0,AE61&gt;0,AE60=AE61)</f>
        <v>0</v>
      </c>
      <c r="AN63" s="808"/>
      <c r="AO63" s="808"/>
      <c r="AP63" s="4593"/>
      <c r="AQ63" s="1271" t="s">
        <v>5273</v>
      </c>
      <c r="AR63" s="808"/>
      <c r="AS63" s="808"/>
      <c r="AT63" s="808"/>
      <c r="AU63" s="808"/>
      <c r="AV63" s="808"/>
      <c r="AW63" s="1151"/>
      <c r="AX63" s="808"/>
      <c r="AY63" s="808"/>
      <c r="AZ63" s="1332"/>
      <c r="BA63" s="808"/>
      <c r="BB63" s="808"/>
      <c r="BC63" s="2371"/>
      <c r="BD63" s="2172"/>
      <c r="BE63" s="2173"/>
      <c r="BF63" s="2174"/>
      <c r="BG63" s="2173"/>
      <c r="BH63" s="2173"/>
      <c r="BI63" s="2173"/>
      <c r="BJ63" s="2173"/>
      <c r="BK63" s="2173"/>
      <c r="BL63" s="808"/>
    </row>
    <row r="64" spans="1:75" ht="14.25" customHeight="1" thickBot="1">
      <c r="A64" s="461"/>
      <c r="B64" s="1121"/>
      <c r="C64" s="1121"/>
      <c r="D64" s="2202" t="s">
        <v>5274</v>
      </c>
      <c r="E64" s="1247"/>
      <c r="F64" s="1247"/>
      <c r="G64" s="1247"/>
      <c r="H64" s="1247"/>
      <c r="I64" s="1247"/>
      <c r="J64" s="1247"/>
      <c r="K64" s="1247"/>
      <c r="L64" s="1247"/>
      <c r="M64" s="1247"/>
      <c r="N64" s="1247"/>
      <c r="O64" s="1247"/>
      <c r="P64" s="1247"/>
      <c r="Q64" s="1247"/>
      <c r="R64" s="1247"/>
      <c r="S64" s="1247"/>
      <c r="T64" s="1247"/>
      <c r="U64" s="1247"/>
      <c r="V64" s="1247"/>
      <c r="W64" s="1247"/>
      <c r="X64" s="1247"/>
      <c r="Y64" s="1247"/>
      <c r="Z64" s="1247"/>
      <c r="AA64" s="1247"/>
      <c r="AB64" s="1247"/>
      <c r="AC64" s="2978" t="s">
        <v>744</v>
      </c>
      <c r="AD64" s="1125">
        <v>26</v>
      </c>
      <c r="AE64" s="7149" t="str">
        <f>IF(AM64&lt;&gt;"",AM64,IF(OR(AE17=0,AE61&gt;AE60),"",IF(AM63,0,IF(AE63,SUM(AE60,-AE61),""))))</f>
        <v/>
      </c>
      <c r="AF64" s="10279"/>
      <c r="AG64" s="10279"/>
      <c r="AH64" s="10279"/>
      <c r="AI64" s="10279"/>
      <c r="AJ64" s="10279"/>
      <c r="AK64" s="461"/>
      <c r="AL64" s="808"/>
      <c r="AM64" s="2165"/>
      <c r="AN64" s="2166"/>
      <c r="AO64" s="808"/>
      <c r="AP64" s="4593"/>
      <c r="AQ64" s="1271" t="s">
        <v>5275</v>
      </c>
      <c r="AR64" s="808"/>
      <c r="AS64" s="808"/>
      <c r="AT64" s="808"/>
      <c r="AU64" s="808"/>
      <c r="AV64" s="4586"/>
      <c r="AW64" s="1151"/>
      <c r="AX64" s="808"/>
      <c r="AY64" s="808"/>
      <c r="AZ64" s="1332"/>
      <c r="BA64" s="808"/>
      <c r="BB64" s="808"/>
      <c r="BC64" s="2371"/>
      <c r="BD64" s="2172"/>
      <c r="BE64" s="2173"/>
      <c r="BF64" s="2174"/>
      <c r="BG64" s="2173"/>
      <c r="BH64" s="2173"/>
      <c r="BI64" s="2173"/>
      <c r="BJ64" s="2173"/>
      <c r="BK64" s="2173"/>
      <c r="BL64" s="808"/>
    </row>
    <row r="65" spans="1:64" ht="14.25" customHeight="1" thickBot="1">
      <c r="A65" s="461"/>
      <c r="B65" s="6909" t="s">
        <v>2243</v>
      </c>
      <c r="C65" s="6909"/>
      <c r="D65" s="1139"/>
      <c r="E65" s="3849" t="s">
        <v>5276</v>
      </c>
      <c r="F65" s="1121"/>
      <c r="G65" s="1121"/>
      <c r="H65" s="1121"/>
      <c r="I65" s="1121"/>
      <c r="J65" s="1121"/>
      <c r="K65" s="1121"/>
      <c r="L65" s="1121"/>
      <c r="M65" s="1121"/>
      <c r="N65" s="1121"/>
      <c r="O65" s="1121"/>
      <c r="P65" s="1121"/>
      <c r="Q65" s="1121"/>
      <c r="R65" s="1121"/>
      <c r="S65" s="1121"/>
      <c r="T65" s="1121"/>
      <c r="U65" s="1121"/>
      <c r="V65" s="1121"/>
      <c r="W65" s="1121"/>
      <c r="X65" s="1121"/>
      <c r="Y65" s="1121"/>
      <c r="Z65" s="1121"/>
      <c r="AA65" s="1121"/>
      <c r="AB65" s="1121"/>
      <c r="AC65" s="1121"/>
      <c r="AD65" s="1121"/>
      <c r="AE65" s="1121"/>
      <c r="AF65" s="1121"/>
      <c r="AG65" s="1121"/>
      <c r="AH65" s="1121"/>
      <c r="AI65" s="1121"/>
      <c r="AJ65" s="1121"/>
      <c r="AK65" s="461"/>
      <c r="AL65" s="808"/>
      <c r="AM65" s="808"/>
      <c r="AN65" s="808"/>
      <c r="AO65" s="808"/>
      <c r="AP65" s="4593"/>
      <c r="AQ65" s="1271">
        <v>8962</v>
      </c>
      <c r="AR65" s="5154"/>
      <c r="AS65" s="1272"/>
      <c r="AT65" s="899"/>
      <c r="AU65" s="4591" t="s">
        <v>182</v>
      </c>
      <c r="AV65" s="4590" t="str">
        <f>IF(OR(AND(File_Marr_Sep&lt;&gt;"",AI13=""),AU52=0),"",IF(AV54,AV61,TRUNC(100*AV51/AU52)))</f>
        <v/>
      </c>
      <c r="AW65" s="1151"/>
      <c r="AX65" s="808"/>
      <c r="AY65" s="808"/>
      <c r="AZ65" s="1332"/>
      <c r="BA65" s="808"/>
      <c r="BB65" s="808"/>
      <c r="BC65" s="2371"/>
      <c r="BD65" s="2172"/>
      <c r="BE65" s="2173"/>
      <c r="BF65" s="2174"/>
      <c r="BG65" s="2173"/>
      <c r="BH65" s="2173"/>
      <c r="BI65" s="2173"/>
      <c r="BJ65" s="2173"/>
      <c r="BK65" s="2173"/>
      <c r="BL65" s="808"/>
    </row>
    <row r="66" spans="1:64" ht="14.25" customHeight="1" thickBot="1">
      <c r="A66" s="461"/>
      <c r="B66" s="1127" t="s">
        <v>775</v>
      </c>
      <c r="C66" s="892" t="s">
        <v>5277</v>
      </c>
      <c r="D66" s="808"/>
      <c r="E66" s="808"/>
      <c r="F66" s="808"/>
      <c r="G66" s="808"/>
      <c r="H66" s="808"/>
      <c r="I66" s="808"/>
      <c r="J66" s="808"/>
      <c r="K66" s="808"/>
      <c r="L66" s="808"/>
      <c r="M66" s="808"/>
      <c r="N66" s="808"/>
      <c r="O66" s="808"/>
      <c r="P66" s="808"/>
      <c r="Q66" s="808"/>
      <c r="R66" s="808"/>
      <c r="S66" s="808"/>
      <c r="T66" s="808"/>
      <c r="U66" s="808"/>
      <c r="V66" s="808"/>
      <c r="W66" s="808"/>
      <c r="X66" s="808"/>
      <c r="Y66" s="808"/>
      <c r="Z66" s="808"/>
      <c r="AA66" s="808"/>
      <c r="AB66" s="808"/>
      <c r="AC66" s="808"/>
      <c r="AD66" s="1125">
        <v>27</v>
      </c>
      <c r="AE66" s="10287" t="str">
        <f>IF(AM66&lt;&gt;"",AM66,IF(OR(AE60=AE61,AE63),"",IF(AE61&gt;AE60,SUM(AE61,-AE60),0)))</f>
        <v/>
      </c>
      <c r="AF66" s="10288"/>
      <c r="AG66" s="10288"/>
      <c r="AH66" s="10288"/>
      <c r="AI66" s="10288"/>
      <c r="AJ66" s="10288"/>
      <c r="AK66" s="461"/>
      <c r="AL66" s="808"/>
      <c r="AM66" s="2165"/>
      <c r="AN66" s="2166"/>
      <c r="AO66" s="808"/>
      <c r="AP66" s="5153"/>
      <c r="AQ66" s="1272"/>
      <c r="AR66" s="808"/>
      <c r="AS66" s="808"/>
      <c r="AT66" s="808"/>
      <c r="AU66" s="808"/>
      <c r="AV66" s="2633"/>
      <c r="AW66" s="1151"/>
      <c r="AX66" s="808"/>
      <c r="AY66" s="808"/>
      <c r="AZ66" s="1332"/>
      <c r="BA66" s="808"/>
      <c r="BB66" s="808"/>
      <c r="BC66" s="2371"/>
      <c r="BD66" s="2172"/>
      <c r="BE66" s="2173"/>
      <c r="BF66" s="2174"/>
      <c r="BG66" s="2173"/>
      <c r="BH66" s="2173"/>
      <c r="BI66" s="2173"/>
      <c r="BJ66" s="2173"/>
      <c r="BK66" s="2173"/>
      <c r="BL66" s="808"/>
    </row>
    <row r="67" spans="1:64" ht="15.75" thickBot="1">
      <c r="A67" s="461"/>
      <c r="B67" s="1127" t="s">
        <v>3805</v>
      </c>
      <c r="C67" s="892" t="s">
        <v>5278</v>
      </c>
      <c r="D67" s="808"/>
      <c r="E67" s="808"/>
      <c r="F67" s="808"/>
      <c r="G67" s="808"/>
      <c r="H67" s="808"/>
      <c r="I67" s="808"/>
      <c r="J67" s="808"/>
      <c r="K67" s="808"/>
      <c r="L67" s="808"/>
      <c r="M67" s="808"/>
      <c r="N67" s="808"/>
      <c r="O67" s="808"/>
      <c r="P67" s="808"/>
      <c r="Q67" s="808"/>
      <c r="R67" s="808"/>
      <c r="S67" s="808"/>
      <c r="T67" s="808"/>
      <c r="U67" s="808"/>
      <c r="V67" s="808"/>
      <c r="W67" s="808"/>
      <c r="X67" s="808"/>
      <c r="Y67" s="808"/>
      <c r="Z67" s="808"/>
      <c r="AA67" s="808"/>
      <c r="AB67" s="808"/>
      <c r="AC67" s="1128" t="s">
        <v>3065</v>
      </c>
      <c r="AD67" s="1125">
        <v>28</v>
      </c>
      <c r="AE67" s="7149" t="str">
        <f>IF(AM67&lt;&gt;"",AM67,IF(OR(AND(AE60=0,AE61=0),AE63,AM63),"",IF(File_Single&lt;&gt;"",AR76,AS76)))</f>
        <v/>
      </c>
      <c r="AF67" s="10279"/>
      <c r="AG67" s="10279"/>
      <c r="AH67" s="10279"/>
      <c r="AI67" s="10279"/>
      <c r="AJ67" s="10279"/>
      <c r="AK67" s="461"/>
      <c r="AL67" s="808"/>
      <c r="AM67" s="2165"/>
      <c r="AN67" s="2166"/>
      <c r="AO67" s="808"/>
      <c r="AP67" s="4594" t="s">
        <v>5279</v>
      </c>
      <c r="AQ67" s="4595"/>
      <c r="AR67" s="4595"/>
      <c r="AS67" s="1371"/>
      <c r="AT67" s="4595"/>
      <c r="AU67" s="4595"/>
      <c r="AV67" s="4595"/>
      <c r="AW67" s="1151"/>
      <c r="AX67" s="808"/>
      <c r="AY67" s="808"/>
      <c r="AZ67" s="1332"/>
      <c r="BA67" s="808"/>
      <c r="BB67" s="808"/>
      <c r="BC67" s="2371"/>
      <c r="BD67" s="2172"/>
      <c r="BE67" s="2173"/>
      <c r="BF67" s="2174"/>
      <c r="BG67" s="2173"/>
      <c r="BH67" s="2173"/>
      <c r="BI67" s="2173"/>
      <c r="BJ67" s="2173"/>
      <c r="BK67" s="2173"/>
      <c r="BL67" s="808"/>
    </row>
    <row r="68" spans="1:64" ht="15.75" thickBot="1">
      <c r="A68" s="461"/>
      <c r="B68" s="1127" t="s">
        <v>5280</v>
      </c>
      <c r="C68" s="892" t="s">
        <v>5281</v>
      </c>
      <c r="D68" s="808"/>
      <c r="E68" s="808"/>
      <c r="F68" s="808"/>
      <c r="G68" s="808"/>
      <c r="H68" s="808"/>
      <c r="I68" s="808"/>
      <c r="J68" s="808"/>
      <c r="K68" s="808"/>
      <c r="L68" s="808"/>
      <c r="M68" s="808"/>
      <c r="N68" s="808"/>
      <c r="O68" s="808"/>
      <c r="P68" s="808"/>
      <c r="Q68" s="808"/>
      <c r="R68" s="808"/>
      <c r="S68" s="808"/>
      <c r="T68" s="808"/>
      <c r="U68" s="808"/>
      <c r="V68" s="808"/>
      <c r="W68" s="808"/>
      <c r="X68" s="808"/>
      <c r="Y68" s="808"/>
      <c r="Z68" s="808"/>
      <c r="AA68" s="808"/>
      <c r="AB68" s="808"/>
      <c r="AC68" s="808"/>
      <c r="AD68" s="1126"/>
      <c r="AE68" s="808"/>
      <c r="AF68" s="808"/>
      <c r="AG68" s="808"/>
      <c r="AH68" s="808"/>
      <c r="AI68" s="808"/>
      <c r="AJ68" s="808"/>
      <c r="AK68" s="461"/>
      <c r="AL68" s="1461"/>
      <c r="AM68" s="1461"/>
      <c r="AN68" s="1461"/>
      <c r="AO68" s="892"/>
      <c r="AP68" s="4596" t="s">
        <v>5282</v>
      </c>
      <c r="AQ68" s="4589"/>
      <c r="AR68" s="4589"/>
      <c r="AS68" s="4589"/>
      <c r="AT68" s="4589"/>
      <c r="AU68" s="4589"/>
      <c r="AV68" s="4589"/>
      <c r="AW68" s="2391"/>
      <c r="AX68" s="808"/>
      <c r="AY68" s="808"/>
      <c r="AZ68" s="1332"/>
      <c r="BA68" s="808"/>
      <c r="BB68" s="808"/>
      <c r="BC68" s="2371"/>
      <c r="BD68" s="2172"/>
      <c r="BE68" s="2173"/>
      <c r="BF68" s="2174"/>
      <c r="BG68" s="2173"/>
      <c r="BH68" s="2173"/>
      <c r="BI68" s="2173"/>
      <c r="BJ68" s="2173"/>
      <c r="BK68" s="2173"/>
      <c r="BL68" s="808"/>
    </row>
    <row r="69" spans="1:64" ht="13.5" thickBot="1">
      <c r="A69" s="461"/>
      <c r="B69" s="808"/>
      <c r="C69" s="892" t="s">
        <v>5283</v>
      </c>
      <c r="D69" s="808"/>
      <c r="E69" s="808"/>
      <c r="F69" s="808"/>
      <c r="G69" s="808"/>
      <c r="H69" s="808"/>
      <c r="I69" s="808"/>
      <c r="J69" s="808"/>
      <c r="K69" s="808"/>
      <c r="L69" s="808"/>
      <c r="M69" s="808"/>
      <c r="N69" s="808"/>
      <c r="O69" s="808"/>
      <c r="P69" s="808"/>
      <c r="Q69" s="808"/>
      <c r="R69" s="808"/>
      <c r="S69" s="808"/>
      <c r="T69" s="808"/>
      <c r="U69" s="808"/>
      <c r="V69" s="808"/>
      <c r="W69" s="808"/>
      <c r="X69" s="808"/>
      <c r="Y69" s="808"/>
      <c r="Z69" s="808"/>
      <c r="AA69" s="808"/>
      <c r="AB69" s="808"/>
      <c r="AC69" s="1128" t="s">
        <v>3766</v>
      </c>
      <c r="AD69" s="2387">
        <v>29</v>
      </c>
      <c r="AE69" s="10280" t="str">
        <f>IF(AM69&lt;&gt;"",AM69,IF(OR(AE60=AE61,AE63),"",IF(AE67="",AE66,MIN(AE66,AE67))))</f>
        <v/>
      </c>
      <c r="AF69" s="10281"/>
      <c r="AG69" s="10281"/>
      <c r="AH69" s="10281"/>
      <c r="AI69" s="10281"/>
      <c r="AJ69" s="10281"/>
      <c r="AK69" s="461"/>
      <c r="AL69" s="808"/>
      <c r="AM69" s="2165"/>
      <c r="AN69" s="2166"/>
      <c r="AO69" s="3249">
        <f>IF(ISERROR(ROUND(SUM(AA48:AA59),0)),"",ROUND(SUM(AA48:AA59),0))</f>
        <v>0</v>
      </c>
      <c r="AP69" s="2168"/>
      <c r="AQ69" s="1272"/>
      <c r="AR69" s="1272"/>
      <c r="AS69" s="808"/>
      <c r="AT69" s="808"/>
      <c r="AU69" s="808"/>
      <c r="AV69" s="808"/>
      <c r="AW69" s="808"/>
      <c r="AX69" s="808"/>
      <c r="AY69" s="808"/>
      <c r="AZ69" s="1332"/>
      <c r="BA69" s="808"/>
      <c r="BB69" s="808"/>
      <c r="BC69" s="2371"/>
      <c r="BD69" s="2172"/>
      <c r="BE69" s="2173"/>
      <c r="BF69" s="2174"/>
      <c r="BG69" s="2173"/>
      <c r="BH69" s="2173"/>
      <c r="BI69" s="2173"/>
      <c r="BJ69" s="2173"/>
      <c r="BK69" s="2173"/>
      <c r="BL69" s="808"/>
    </row>
    <row r="70" spans="1:64" ht="16.5" thickBot="1">
      <c r="A70" s="5721"/>
      <c r="B70" s="2979" t="s">
        <v>979</v>
      </c>
      <c r="C70" s="695"/>
      <c r="D70" s="695"/>
      <c r="E70" s="695"/>
      <c r="F70" s="695"/>
      <c r="G70" s="695"/>
      <c r="H70" s="695"/>
      <c r="I70" s="695"/>
      <c r="J70" s="695"/>
      <c r="K70" s="695"/>
      <c r="L70" s="695"/>
      <c r="M70" s="695"/>
      <c r="N70" s="695"/>
      <c r="O70" s="695"/>
      <c r="P70" s="695"/>
      <c r="Q70" s="30"/>
      <c r="R70" s="30"/>
      <c r="S70" s="30"/>
      <c r="T70" s="30"/>
      <c r="U70" s="2980"/>
      <c r="V70" s="30"/>
      <c r="W70" s="2980" t="s">
        <v>5284</v>
      </c>
      <c r="X70" s="30"/>
      <c r="Y70" s="30"/>
      <c r="Z70" s="30"/>
      <c r="AA70" s="30"/>
      <c r="AB70" s="30"/>
      <c r="AC70" s="30"/>
      <c r="AD70" s="30"/>
      <c r="AE70" s="30"/>
      <c r="AF70" s="30"/>
      <c r="AG70" s="30"/>
      <c r="AH70" s="2981" t="s">
        <v>5285</v>
      </c>
      <c r="AI70" s="30"/>
      <c r="AJ70" s="2981" t="str">
        <f>"("&amp;TaxYear&amp;")"</f>
        <v>(2023)</v>
      </c>
      <c r="AK70" s="461"/>
      <c r="AL70" s="808"/>
      <c r="AM70" s="808"/>
      <c r="AN70" s="808"/>
      <c r="AO70" s="3249">
        <f>IF(ISERROR(ROUND(SUM(AF48:AF59),0)),"",ROUND(SUM(AF48:AF59),0))</f>
        <v>0</v>
      </c>
      <c r="AP70" s="1162" t="s">
        <v>5286</v>
      </c>
      <c r="AQ70" s="1163"/>
      <c r="AR70" s="1163"/>
      <c r="AS70" s="1164"/>
      <c r="AT70" s="808"/>
      <c r="AU70" s="808"/>
      <c r="AV70" s="808"/>
      <c r="AW70" s="808"/>
      <c r="AX70" s="808"/>
      <c r="AY70" s="808"/>
      <c r="AZ70" s="1332"/>
      <c r="BA70" s="808"/>
      <c r="BB70" s="808"/>
      <c r="BC70" s="2371"/>
      <c r="BD70" s="2172"/>
      <c r="BE70" s="2173"/>
      <c r="BF70" s="2174"/>
      <c r="BG70" s="2173"/>
      <c r="BH70" s="2173"/>
      <c r="BI70" s="2173"/>
      <c r="BJ70" s="2173"/>
      <c r="BK70" s="2173"/>
      <c r="BL70" s="808"/>
    </row>
    <row r="71" spans="1:64" ht="18" customHeight="1" thickBot="1">
      <c r="A71" s="461"/>
      <c r="B71" s="964" t="str">
        <f>"Form 8962 ("&amp;TaxYear&amp;")"</f>
        <v>Form 8962 (2023)</v>
      </c>
      <c r="C71" s="964"/>
      <c r="D71" s="964"/>
      <c r="E71" s="964"/>
      <c r="F71" s="964"/>
      <c r="G71" s="964"/>
      <c r="H71" s="964"/>
      <c r="I71" s="964"/>
      <c r="J71" s="964"/>
      <c r="K71" s="964"/>
      <c r="L71" s="964"/>
      <c r="M71" s="964"/>
      <c r="N71" s="964"/>
      <c r="O71" s="964"/>
      <c r="P71" s="964"/>
      <c r="Q71" s="964"/>
      <c r="R71" s="964"/>
      <c r="S71" s="964"/>
      <c r="T71" s="964"/>
      <c r="U71" s="964"/>
      <c r="V71" s="964"/>
      <c r="W71" s="964"/>
      <c r="X71" s="964"/>
      <c r="Y71" s="964"/>
      <c r="Z71" s="964"/>
      <c r="AA71" s="964"/>
      <c r="AB71" s="964"/>
      <c r="AC71" s="964"/>
      <c r="AD71" s="964"/>
      <c r="AE71" s="964"/>
      <c r="AF71" s="964"/>
      <c r="AG71" s="964"/>
      <c r="AH71" s="964"/>
      <c r="AI71" s="1368" t="s">
        <v>2387</v>
      </c>
      <c r="AJ71" s="1369">
        <v>2</v>
      </c>
      <c r="AK71" s="461"/>
      <c r="AL71" s="808"/>
      <c r="AM71" s="808"/>
      <c r="AN71" s="808"/>
      <c r="AO71" s="808"/>
      <c r="AP71" s="1160" t="s">
        <v>5287</v>
      </c>
      <c r="AQ71" s="1161" t="s">
        <v>5288</v>
      </c>
      <c r="AR71" s="1161" t="s">
        <v>14</v>
      </c>
      <c r="AS71" s="1165" t="s">
        <v>1958</v>
      </c>
      <c r="AT71" s="808"/>
      <c r="AU71" s="808"/>
      <c r="AV71" s="808"/>
      <c r="AW71" s="808"/>
      <c r="AX71" s="808"/>
      <c r="AY71" s="808"/>
      <c r="AZ71" s="1332"/>
      <c r="BA71" s="808"/>
      <c r="BB71" s="808"/>
      <c r="BC71" s="2371"/>
      <c r="BD71" s="2172"/>
      <c r="BE71" s="2173"/>
      <c r="BF71" s="2174"/>
      <c r="BG71" s="2173"/>
      <c r="BH71" s="2173"/>
      <c r="BI71" s="2173"/>
      <c r="BJ71" s="2173"/>
      <c r="BK71" s="2173"/>
      <c r="BL71" s="808"/>
    </row>
    <row r="72" spans="1:64" ht="18" customHeight="1" thickTop="1">
      <c r="A72" s="461"/>
      <c r="B72" s="10348" t="s">
        <v>2410</v>
      </c>
      <c r="C72" s="10348"/>
      <c r="D72" s="1139"/>
      <c r="E72" s="3849" t="s">
        <v>5289</v>
      </c>
      <c r="F72" s="1121"/>
      <c r="G72" s="1121"/>
      <c r="H72" s="1121"/>
      <c r="I72" s="1121"/>
      <c r="J72" s="1121"/>
      <c r="K72" s="1121"/>
      <c r="L72" s="1121"/>
      <c r="M72" s="1121"/>
      <c r="N72" s="1121"/>
      <c r="O72" s="1121"/>
      <c r="P72" s="1121"/>
      <c r="Q72" s="1121"/>
      <c r="R72" s="1121"/>
      <c r="S72" s="1121"/>
      <c r="T72" s="1121"/>
      <c r="U72" s="1121"/>
      <c r="V72" s="1121"/>
      <c r="W72" s="1121"/>
      <c r="X72" s="1121"/>
      <c r="Y72" s="1121"/>
      <c r="Z72" s="1121"/>
      <c r="AA72" s="1121"/>
      <c r="AB72" s="1121"/>
      <c r="AC72" s="1121"/>
      <c r="AD72" s="1121"/>
      <c r="AE72" s="1121"/>
      <c r="AF72" s="1121"/>
      <c r="AG72" s="1121"/>
      <c r="AH72" s="1121"/>
      <c r="AI72" s="1121"/>
      <c r="AJ72" s="1121"/>
      <c r="AK72" s="461"/>
      <c r="AL72" s="808"/>
      <c r="AM72" s="808"/>
      <c r="AN72" s="808"/>
      <c r="AO72" s="808"/>
      <c r="AP72" s="1159">
        <v>0</v>
      </c>
      <c r="AQ72" s="1166">
        <v>200</v>
      </c>
      <c r="AR72" s="1433">
        <v>350</v>
      </c>
      <c r="AS72" s="1434">
        <v>700</v>
      </c>
      <c r="AT72" s="808"/>
      <c r="AU72" s="808"/>
      <c r="AV72" s="808"/>
      <c r="AW72" s="808"/>
      <c r="AX72" s="808"/>
      <c r="AY72" s="808"/>
      <c r="AZ72" s="1332"/>
      <c r="BA72" s="808"/>
      <c r="BB72" s="808"/>
      <c r="BC72" s="2371"/>
      <c r="BD72" s="2172"/>
      <c r="BE72" s="2173"/>
      <c r="BF72" s="2174"/>
      <c r="BG72" s="2173"/>
      <c r="BH72" s="2173"/>
      <c r="BI72" s="2173"/>
      <c r="BJ72" s="2173"/>
      <c r="BK72" s="2173"/>
      <c r="BL72" s="808"/>
    </row>
    <row r="73" spans="1:64" ht="15.75" customHeight="1">
      <c r="A73" s="461"/>
      <c r="B73" s="2113" t="s">
        <v>5290</v>
      </c>
      <c r="C73" s="1122"/>
      <c r="D73" s="1122"/>
      <c r="E73" s="1122"/>
      <c r="F73" s="1122"/>
      <c r="G73" s="1122"/>
      <c r="H73" s="1122"/>
      <c r="I73" s="1122"/>
      <c r="J73" s="1122"/>
      <c r="K73" s="1122"/>
      <c r="L73" s="1122"/>
      <c r="M73" s="1122"/>
      <c r="N73" s="1122"/>
      <c r="O73" s="1122"/>
      <c r="P73" s="1122"/>
      <c r="Q73" s="1122"/>
      <c r="R73" s="1122"/>
      <c r="S73" s="1122"/>
      <c r="T73" s="1122"/>
      <c r="U73" s="1122"/>
      <c r="V73" s="1122"/>
      <c r="W73" s="1122"/>
      <c r="X73" s="1122"/>
      <c r="Y73" s="1122"/>
      <c r="Z73" s="1122"/>
      <c r="AA73" s="1122"/>
      <c r="AB73" s="1122"/>
      <c r="AC73" s="1122"/>
      <c r="AD73" s="1122"/>
      <c r="AE73" s="1122"/>
      <c r="AF73" s="1122"/>
      <c r="AG73" s="1122"/>
      <c r="AH73" s="1122"/>
      <c r="AI73" s="1122"/>
      <c r="AJ73" s="1122"/>
      <c r="AK73" s="461"/>
      <c r="AL73" s="808"/>
      <c r="AM73" s="808"/>
      <c r="AN73" s="808"/>
      <c r="AO73" s="2167"/>
      <c r="AP73" s="1159">
        <v>200</v>
      </c>
      <c r="AQ73" s="1166">
        <v>300</v>
      </c>
      <c r="AR73" s="1433">
        <v>900</v>
      </c>
      <c r="AS73" s="1434">
        <v>1800</v>
      </c>
      <c r="AT73" s="808"/>
      <c r="AU73" s="808"/>
      <c r="AV73" s="808"/>
      <c r="AW73" s="808"/>
      <c r="AX73" s="808"/>
      <c r="AY73" s="808"/>
      <c r="AZ73" s="1332"/>
      <c r="BA73" s="808"/>
      <c r="BB73" s="808"/>
      <c r="BC73" s="2371"/>
      <c r="BD73" s="2172"/>
      <c r="BE73" s="2173"/>
      <c r="BF73" s="2174"/>
      <c r="BG73" s="2173"/>
      <c r="BH73" s="2173"/>
      <c r="BI73" s="2173"/>
      <c r="BJ73" s="2173"/>
      <c r="BK73" s="2173"/>
      <c r="BL73" s="808"/>
    </row>
    <row r="74" spans="1:64" ht="15.75">
      <c r="A74" s="461"/>
      <c r="B74" s="1139" t="s">
        <v>5291</v>
      </c>
      <c r="C74" s="1121"/>
      <c r="D74" s="1121"/>
      <c r="E74" s="1121"/>
      <c r="F74" s="1121"/>
      <c r="G74" s="1121"/>
      <c r="H74" s="1121"/>
      <c r="I74" s="1121"/>
      <c r="J74" s="1121"/>
      <c r="K74" s="1121"/>
      <c r="L74" s="1121"/>
      <c r="M74" s="1121"/>
      <c r="N74" s="1121"/>
      <c r="O74" s="1121"/>
      <c r="P74" s="1121"/>
      <c r="Q74" s="1121"/>
      <c r="R74" s="1121"/>
      <c r="S74" s="1121"/>
      <c r="T74" s="1121"/>
      <c r="U74" s="1121"/>
      <c r="V74" s="1121"/>
      <c r="W74" s="1121"/>
      <c r="X74" s="1121"/>
      <c r="Y74" s="1121"/>
      <c r="Z74" s="1121"/>
      <c r="AA74" s="1121"/>
      <c r="AB74" s="1121"/>
      <c r="AC74" s="1121"/>
      <c r="AD74" s="1121"/>
      <c r="AE74" s="1121"/>
      <c r="AF74" s="1121"/>
      <c r="AG74" s="1121"/>
      <c r="AH74" s="1121"/>
      <c r="AI74" s="1121"/>
      <c r="AJ74" s="1121"/>
      <c r="AK74" s="461"/>
      <c r="AL74" s="808"/>
      <c r="AM74" s="808"/>
      <c r="AN74" s="808"/>
      <c r="AO74" s="808"/>
      <c r="AP74" s="1159">
        <v>300</v>
      </c>
      <c r="AQ74" s="1166">
        <v>400</v>
      </c>
      <c r="AR74" s="1433">
        <v>1500</v>
      </c>
      <c r="AS74" s="1434">
        <v>3000</v>
      </c>
      <c r="AT74" s="808"/>
      <c r="AU74" s="808"/>
      <c r="AV74" s="808"/>
      <c r="AW74" s="808"/>
      <c r="AX74" s="808"/>
      <c r="AY74" s="808"/>
      <c r="AZ74" s="1332"/>
      <c r="BA74" s="808"/>
      <c r="BB74" s="808"/>
      <c r="BC74" s="2371"/>
      <c r="BD74" s="2172"/>
      <c r="BE74" s="2173"/>
      <c r="BF74" s="2174"/>
      <c r="BG74" s="2173"/>
      <c r="BH74" s="2173"/>
      <c r="BI74" s="2173"/>
      <c r="BJ74" s="2173"/>
      <c r="BK74" s="2173"/>
      <c r="BL74" s="808"/>
    </row>
    <row r="75" spans="1:64" ht="15.75" thickBot="1">
      <c r="A75" s="461"/>
      <c r="B75" s="1127" t="s">
        <v>3811</v>
      </c>
      <c r="C75" s="808"/>
      <c r="D75" s="1141" t="s">
        <v>2536</v>
      </c>
      <c r="E75" s="2440" t="s">
        <v>5292</v>
      </c>
      <c r="F75" s="1142"/>
      <c r="G75" s="1142"/>
      <c r="H75" s="1142"/>
      <c r="I75" s="1142"/>
      <c r="J75" s="1142"/>
      <c r="K75" s="1142"/>
      <c r="L75" s="1142"/>
      <c r="M75" s="1143"/>
      <c r="N75" s="1144" t="s">
        <v>2537</v>
      </c>
      <c r="O75" s="2440" t="s">
        <v>5293</v>
      </c>
      <c r="P75" s="1142"/>
      <c r="Q75" s="1142"/>
      <c r="R75" s="1142"/>
      <c r="S75" s="1142"/>
      <c r="T75" s="1142"/>
      <c r="U75" s="1142"/>
      <c r="V75" s="1143"/>
      <c r="W75" s="1144" t="s">
        <v>3420</v>
      </c>
      <c r="X75" s="1142" t="s">
        <v>5294</v>
      </c>
      <c r="Y75" s="1142"/>
      <c r="Z75" s="1142"/>
      <c r="AA75" s="1142"/>
      <c r="AB75" s="1142"/>
      <c r="AC75" s="1143"/>
      <c r="AD75" s="1144" t="s">
        <v>2462</v>
      </c>
      <c r="AE75" s="1142" t="s">
        <v>5295</v>
      </c>
      <c r="AF75" s="1142"/>
      <c r="AG75" s="1142"/>
      <c r="AH75" s="1142"/>
      <c r="AI75" s="1142"/>
      <c r="AJ75" s="1142"/>
      <c r="AK75" s="461"/>
      <c r="AL75" s="808"/>
      <c r="AM75" s="808"/>
      <c r="AN75" s="808"/>
      <c r="AO75" s="2167"/>
      <c r="AP75" s="10337" t="s">
        <v>5296</v>
      </c>
      <c r="AQ75" s="10338"/>
      <c r="AR75" s="10339"/>
      <c r="AS75" s="10340"/>
      <c r="AT75" s="808"/>
      <c r="AU75" s="808"/>
      <c r="AV75" s="808"/>
      <c r="AW75" s="808"/>
      <c r="AX75" s="808"/>
      <c r="AY75" s="808"/>
      <c r="AZ75" s="1332"/>
      <c r="BA75" s="808"/>
      <c r="BB75" s="808"/>
      <c r="BC75" s="2371"/>
      <c r="BD75" s="2172"/>
      <c r="BE75" s="2173"/>
      <c r="BF75" s="2174"/>
      <c r="BG75" s="2173"/>
      <c r="BH75" s="2173"/>
      <c r="BI75" s="2173"/>
      <c r="BJ75" s="2173"/>
      <c r="BK75" s="2173"/>
      <c r="BL75" s="808"/>
    </row>
    <row r="76" spans="1:64" ht="15">
      <c r="A76" s="461"/>
      <c r="B76" s="1127"/>
      <c r="D76" s="10357"/>
      <c r="E76" s="10240"/>
      <c r="F76" s="10240"/>
      <c r="G76" s="10240"/>
      <c r="H76" s="10240"/>
      <c r="I76" s="10241"/>
      <c r="J76" s="10241"/>
      <c r="K76" s="10241"/>
      <c r="L76" s="10241"/>
      <c r="M76" s="10242"/>
      <c r="N76" s="10243"/>
      <c r="O76" s="10244"/>
      <c r="P76" s="10244"/>
      <c r="Q76" s="10244"/>
      <c r="R76" s="10244"/>
      <c r="S76" s="10245"/>
      <c r="T76" s="10245"/>
      <c r="U76" s="10245"/>
      <c r="V76" s="10246"/>
      <c r="W76" s="10250"/>
      <c r="X76" s="10248"/>
      <c r="Y76" s="10248"/>
      <c r="Z76" s="10248"/>
      <c r="AA76" s="10248"/>
      <c r="AB76" s="10249"/>
      <c r="AC76" s="10249"/>
      <c r="AD76" s="10250"/>
      <c r="AE76" s="10248"/>
      <c r="AF76" s="10248"/>
      <c r="AG76" s="10248"/>
      <c r="AH76" s="10248"/>
      <c r="AI76" s="10249"/>
      <c r="AJ76" s="10249"/>
      <c r="AK76" s="461"/>
      <c r="AL76" s="808"/>
      <c r="AM76" s="808"/>
      <c r="AN76" s="808"/>
      <c r="AO76" s="2167"/>
      <c r="AP76" s="2169"/>
      <c r="AQ76" s="2169"/>
      <c r="AR76" s="900" t="str">
        <f>IF(OR(AE17=0,AE26=400,AE26=401),"",LOOKUP($AE$26,$AP$72:$AP$74,AR72:AR74))</f>
        <v/>
      </c>
      <c r="AS76" s="900" t="str">
        <f>IF(OR(AE17=0,AE26=400,AE26=401),"",LOOKUP($AE$26,$AP$72:$AP$74,AS72:AS74))</f>
        <v/>
      </c>
      <c r="AT76" s="808"/>
      <c r="AU76" s="808"/>
      <c r="AV76" s="808"/>
      <c r="AW76" s="808"/>
      <c r="AX76" s="808"/>
      <c r="AY76" s="808"/>
      <c r="AZ76" s="1332"/>
      <c r="BA76" s="808"/>
      <c r="BB76" s="808"/>
      <c r="BC76" s="2371"/>
      <c r="BD76" s="2172"/>
      <c r="BE76" s="2173"/>
      <c r="BF76" s="2174"/>
      <c r="BG76" s="2173"/>
      <c r="BH76" s="2173"/>
      <c r="BI76" s="2173"/>
      <c r="BJ76" s="2173"/>
      <c r="BK76" s="2173"/>
      <c r="BL76" s="808"/>
    </row>
    <row r="77" spans="1:64" ht="18" customHeight="1" thickBot="1">
      <c r="A77" s="461"/>
      <c r="B77" s="808"/>
      <c r="C77" s="808"/>
      <c r="D77" s="10251" t="s">
        <v>5297</v>
      </c>
      <c r="E77" s="10252"/>
      <c r="F77" s="10252"/>
      <c r="G77" s="10252"/>
      <c r="H77" s="10252"/>
      <c r="I77" s="10253"/>
      <c r="J77" s="10258" t="s">
        <v>5298</v>
      </c>
      <c r="K77" s="10259"/>
      <c r="L77" s="10259"/>
      <c r="M77" s="10259"/>
      <c r="N77" s="10259"/>
      <c r="O77" s="10259"/>
      <c r="P77" s="10259"/>
      <c r="Q77" s="10259"/>
      <c r="R77" s="10260"/>
      <c r="S77" s="10258" t="s">
        <v>5299</v>
      </c>
      <c r="T77" s="10259"/>
      <c r="U77" s="10259"/>
      <c r="V77" s="10259"/>
      <c r="W77" s="10259"/>
      <c r="X77" s="10259"/>
      <c r="Y77" s="10259"/>
      <c r="Z77" s="10259"/>
      <c r="AA77" s="10260"/>
      <c r="AB77" s="10264" t="s">
        <v>5300</v>
      </c>
      <c r="AC77" s="10259"/>
      <c r="AD77" s="10259"/>
      <c r="AE77" s="10259"/>
      <c r="AF77" s="10259"/>
      <c r="AG77" s="10259"/>
      <c r="AH77" s="10259"/>
      <c r="AI77" s="10259"/>
      <c r="AJ77" s="10259"/>
      <c r="AK77" s="461"/>
      <c r="AL77" s="808"/>
      <c r="AM77" s="808"/>
      <c r="AN77" s="808"/>
      <c r="AO77" s="1461"/>
      <c r="AP77" s="4118" t="s">
        <v>5301</v>
      </c>
      <c r="AQ77" s="4119">
        <v>2022</v>
      </c>
      <c r="AR77" s="2336" t="s">
        <v>5302</v>
      </c>
      <c r="AS77" s="808"/>
      <c r="AT77" s="808"/>
      <c r="AU77" s="808"/>
      <c r="AV77" s="808"/>
      <c r="AW77" s="808"/>
      <c r="AX77" s="808"/>
      <c r="AY77" s="808"/>
      <c r="AZ77" s="1332"/>
      <c r="BA77" s="808"/>
      <c r="BB77" s="808"/>
      <c r="BC77" s="2371"/>
      <c r="BD77" s="2172"/>
      <c r="BE77" s="2173"/>
      <c r="BF77" s="2174"/>
      <c r="BG77" s="2173"/>
      <c r="BH77" s="2173"/>
      <c r="BI77" s="2173"/>
      <c r="BJ77" s="2173"/>
      <c r="BK77" s="2173"/>
      <c r="BL77" s="808"/>
    </row>
    <row r="78" spans="1:64" ht="18" customHeight="1" thickBot="1">
      <c r="A78" s="461"/>
      <c r="B78" s="808"/>
      <c r="C78" s="808"/>
      <c r="D78" s="10254"/>
      <c r="E78" s="10254"/>
      <c r="F78" s="10254"/>
      <c r="G78" s="10254"/>
      <c r="H78" s="10254"/>
      <c r="I78" s="10255"/>
      <c r="J78" s="10261"/>
      <c r="K78" s="10262"/>
      <c r="L78" s="10262"/>
      <c r="M78" s="10262"/>
      <c r="N78" s="10262"/>
      <c r="O78" s="10262"/>
      <c r="P78" s="10262"/>
      <c r="Q78" s="10262"/>
      <c r="R78" s="10263"/>
      <c r="S78" s="10261"/>
      <c r="T78" s="10262"/>
      <c r="U78" s="10262"/>
      <c r="V78" s="10262"/>
      <c r="W78" s="10262"/>
      <c r="X78" s="10262"/>
      <c r="Y78" s="10262"/>
      <c r="Z78" s="10262"/>
      <c r="AA78" s="10263"/>
      <c r="AB78" s="10261"/>
      <c r="AC78" s="10262"/>
      <c r="AD78" s="10262"/>
      <c r="AE78" s="10262"/>
      <c r="AF78" s="10262"/>
      <c r="AG78" s="10262"/>
      <c r="AH78" s="10262"/>
      <c r="AI78" s="10262"/>
      <c r="AJ78" s="10262"/>
      <c r="AK78" s="461"/>
      <c r="AL78" s="808"/>
      <c r="AM78" s="808"/>
      <c r="AN78" s="808"/>
      <c r="AO78" s="808"/>
      <c r="AP78" s="2109" t="s">
        <v>5303</v>
      </c>
      <c r="AQ78" s="2110"/>
      <c r="AR78" s="2110"/>
      <c r="AS78" s="2111"/>
      <c r="AT78" s="808"/>
      <c r="AU78" s="808"/>
      <c r="AV78" s="808"/>
      <c r="AW78" s="808"/>
      <c r="AX78" s="808"/>
      <c r="AY78" s="808"/>
      <c r="AZ78" s="1332"/>
      <c r="BA78" s="808"/>
      <c r="BB78" s="808"/>
      <c r="BC78" s="2371"/>
      <c r="BD78" s="2172"/>
      <c r="BE78" s="2173"/>
      <c r="BF78" s="2174"/>
      <c r="BG78" s="2173"/>
      <c r="BH78" s="2173"/>
      <c r="BI78" s="2173"/>
      <c r="BJ78" s="2173"/>
      <c r="BK78" s="2173"/>
      <c r="BL78" s="808"/>
    </row>
    <row r="79" spans="1:64" ht="17.25" customHeight="1">
      <c r="A79" s="461"/>
      <c r="B79" s="808"/>
      <c r="C79" s="808"/>
      <c r="D79" s="10254"/>
      <c r="E79" s="10254"/>
      <c r="F79" s="10254"/>
      <c r="G79" s="10254"/>
      <c r="H79" s="10254"/>
      <c r="I79" s="10255"/>
      <c r="J79" s="10261"/>
      <c r="K79" s="10262"/>
      <c r="L79" s="10262"/>
      <c r="M79" s="10262"/>
      <c r="N79" s="10262"/>
      <c r="O79" s="10262"/>
      <c r="P79" s="10262"/>
      <c r="Q79" s="10262"/>
      <c r="R79" s="10263"/>
      <c r="S79" s="10261"/>
      <c r="T79" s="10262"/>
      <c r="U79" s="10262"/>
      <c r="V79" s="10262"/>
      <c r="W79" s="10262"/>
      <c r="X79" s="10262"/>
      <c r="Y79" s="10262"/>
      <c r="Z79" s="10262"/>
      <c r="AA79" s="10263"/>
      <c r="AB79" s="10261"/>
      <c r="AC79" s="10262"/>
      <c r="AD79" s="10262"/>
      <c r="AE79" s="10262"/>
      <c r="AF79" s="10262"/>
      <c r="AG79" s="10262"/>
      <c r="AH79" s="10262"/>
      <c r="AI79" s="10262"/>
      <c r="AJ79" s="10262"/>
      <c r="AK79" s="461"/>
      <c r="AL79" s="808"/>
      <c r="AM79" s="808"/>
      <c r="AN79" s="808"/>
      <c r="AO79" s="808"/>
      <c r="AP79" s="2106" t="s">
        <v>5304</v>
      </c>
      <c r="AQ79" s="2107" t="s">
        <v>5305</v>
      </c>
      <c r="AR79" s="2107" t="s">
        <v>571</v>
      </c>
      <c r="AS79" s="2108" t="s">
        <v>572</v>
      </c>
      <c r="AT79" s="808"/>
      <c r="AU79" s="808"/>
      <c r="AV79" s="808"/>
      <c r="AW79" s="808"/>
      <c r="AX79" s="808"/>
      <c r="AY79" s="808"/>
      <c r="AZ79" s="1332"/>
      <c r="BA79" s="808"/>
      <c r="BB79" s="808"/>
      <c r="BC79" s="2371"/>
      <c r="BD79" s="2172"/>
      <c r="BE79" s="2173"/>
      <c r="BF79" s="2174"/>
      <c r="BG79" s="2173"/>
      <c r="BH79" s="2173"/>
      <c r="BI79" s="2173"/>
      <c r="BJ79" s="2173"/>
      <c r="BK79" s="2173"/>
      <c r="BL79" s="808"/>
    </row>
    <row r="80" spans="1:64">
      <c r="A80" s="461"/>
      <c r="B80" s="808"/>
      <c r="C80" s="808"/>
      <c r="D80" s="10254"/>
      <c r="E80" s="10254"/>
      <c r="F80" s="10254"/>
      <c r="G80" s="10254"/>
      <c r="H80" s="10254"/>
      <c r="I80" s="10255"/>
      <c r="J80" s="10261"/>
      <c r="K80" s="10262"/>
      <c r="L80" s="10262"/>
      <c r="M80" s="10262"/>
      <c r="N80" s="10262"/>
      <c r="O80" s="10262"/>
      <c r="P80" s="10262"/>
      <c r="Q80" s="10262"/>
      <c r="R80" s="10263"/>
      <c r="S80" s="10261"/>
      <c r="T80" s="10262"/>
      <c r="U80" s="10262"/>
      <c r="V80" s="10262"/>
      <c r="W80" s="10262"/>
      <c r="X80" s="10262"/>
      <c r="Y80" s="10262"/>
      <c r="Z80" s="10262"/>
      <c r="AA80" s="10263"/>
      <c r="AB80" s="10261"/>
      <c r="AC80" s="10262"/>
      <c r="AD80" s="10262"/>
      <c r="AE80" s="10262"/>
      <c r="AF80" s="10262"/>
      <c r="AG80" s="10262"/>
      <c r="AH80" s="10262"/>
      <c r="AI80" s="10262"/>
      <c r="AJ80" s="10262"/>
      <c r="AK80" s="461"/>
      <c r="AL80" s="808"/>
      <c r="AM80" s="808"/>
      <c r="AN80" s="808"/>
      <c r="AO80" s="808"/>
      <c r="AP80" s="2102">
        <v>0</v>
      </c>
      <c r="AQ80" s="2103"/>
      <c r="AR80" s="2103"/>
      <c r="AS80" s="2104"/>
      <c r="AT80" s="808"/>
      <c r="AU80" s="808"/>
      <c r="AV80" s="808"/>
      <c r="AW80" s="808"/>
      <c r="AX80" s="808"/>
      <c r="AY80" s="808"/>
      <c r="AZ80" s="1332"/>
      <c r="BA80" s="808"/>
      <c r="BB80" s="808"/>
      <c r="BC80" s="2371"/>
      <c r="BD80" s="2172"/>
      <c r="BE80" s="2173"/>
      <c r="BF80" s="2174"/>
      <c r="BG80" s="2174"/>
      <c r="BH80" s="2173"/>
      <c r="BI80" s="2173"/>
      <c r="BJ80" s="2173"/>
      <c r="BK80" s="2173"/>
      <c r="BL80" s="808"/>
    </row>
    <row r="81" spans="1:64" ht="16.5" customHeight="1">
      <c r="A81" s="461"/>
      <c r="B81" s="1121"/>
      <c r="C81" s="1121"/>
      <c r="D81" s="10256"/>
      <c r="E81" s="10256"/>
      <c r="F81" s="10256"/>
      <c r="G81" s="10256"/>
      <c r="H81" s="10256"/>
      <c r="I81" s="10257"/>
      <c r="J81" s="10265"/>
      <c r="K81" s="10266"/>
      <c r="L81" s="10266"/>
      <c r="M81" s="10266"/>
      <c r="N81" s="10266"/>
      <c r="O81" s="10267"/>
      <c r="P81" s="10267"/>
      <c r="Q81" s="10267"/>
      <c r="R81" s="10268"/>
      <c r="S81" s="10265"/>
      <c r="T81" s="10266"/>
      <c r="U81" s="10266"/>
      <c r="V81" s="10266"/>
      <c r="W81" s="10266"/>
      <c r="X81" s="10267"/>
      <c r="Y81" s="10267"/>
      <c r="Z81" s="10267"/>
      <c r="AA81" s="10268"/>
      <c r="AB81" s="10266"/>
      <c r="AC81" s="10266"/>
      <c r="AD81" s="10266"/>
      <c r="AE81" s="10266"/>
      <c r="AF81" s="10266"/>
      <c r="AG81" s="10267"/>
      <c r="AH81" s="10267"/>
      <c r="AI81" s="10267"/>
      <c r="AJ81" s="10267"/>
      <c r="AK81" s="461"/>
      <c r="AL81" s="808"/>
      <c r="AM81" s="808"/>
      <c r="AN81" s="808"/>
      <c r="AO81" s="808"/>
      <c r="AP81" s="2102">
        <v>1</v>
      </c>
      <c r="AQ81" s="2984">
        <v>13590</v>
      </c>
      <c r="AR81" s="2984">
        <v>16990</v>
      </c>
      <c r="AS81" s="2985">
        <v>15630</v>
      </c>
      <c r="AT81" s="2171"/>
      <c r="AU81" s="808"/>
      <c r="AV81" s="808"/>
      <c r="AW81" s="808"/>
      <c r="AX81" s="808"/>
      <c r="AY81" s="808"/>
      <c r="AZ81" s="1332"/>
      <c r="BA81" s="808"/>
      <c r="BB81" s="808"/>
      <c r="BC81" s="2371"/>
      <c r="BD81" s="2172"/>
      <c r="BE81" s="2173"/>
      <c r="BF81" s="2174"/>
      <c r="BG81" s="2174"/>
      <c r="BH81" s="2173"/>
      <c r="BI81" s="2173"/>
      <c r="BJ81" s="2173"/>
      <c r="BK81" s="2173"/>
      <c r="BL81" s="808"/>
    </row>
    <row r="82" spans="1:64" ht="15.75">
      <c r="A82" s="461"/>
      <c r="B82" s="1139" t="s">
        <v>5306</v>
      </c>
      <c r="C82" s="1121"/>
      <c r="D82" s="1121"/>
      <c r="E82" s="1121"/>
      <c r="F82" s="1121"/>
      <c r="G82" s="1121"/>
      <c r="H82" s="1121"/>
      <c r="I82" s="1121"/>
      <c r="J82" s="1121"/>
      <c r="K82" s="1121"/>
      <c r="L82" s="1121"/>
      <c r="M82" s="1121"/>
      <c r="N82" s="1121"/>
      <c r="O82" s="1121"/>
      <c r="P82" s="1121"/>
      <c r="Q82" s="1121"/>
      <c r="R82" s="1121"/>
      <c r="S82" s="1121"/>
      <c r="T82" s="1121"/>
      <c r="U82" s="1121"/>
      <c r="V82" s="1121"/>
      <c r="W82" s="1121"/>
      <c r="X82" s="1121"/>
      <c r="Y82" s="1121"/>
      <c r="Z82" s="1121"/>
      <c r="AA82" s="1121"/>
      <c r="AB82" s="1121"/>
      <c r="AC82" s="1121"/>
      <c r="AD82" s="1121"/>
      <c r="AE82" s="1121"/>
      <c r="AF82" s="1121"/>
      <c r="AG82" s="1121"/>
      <c r="AH82" s="1121"/>
      <c r="AI82" s="1121"/>
      <c r="AJ82" s="1121"/>
      <c r="AK82" s="461"/>
      <c r="AL82" s="808"/>
      <c r="AM82" s="808"/>
      <c r="AN82" s="808"/>
      <c r="AO82" s="808"/>
      <c r="AP82" s="2102">
        <v>2</v>
      </c>
      <c r="AQ82" s="2984">
        <v>18310</v>
      </c>
      <c r="AR82" s="2984">
        <v>22890</v>
      </c>
      <c r="AS82" s="2985">
        <v>21060</v>
      </c>
      <c r="AT82" s="2171"/>
      <c r="AU82" s="808"/>
      <c r="AV82" s="808"/>
      <c r="AW82" s="808"/>
      <c r="AX82" s="808"/>
      <c r="AY82" s="808"/>
      <c r="AZ82" s="1332"/>
      <c r="BA82" s="808"/>
      <c r="BB82" s="808"/>
      <c r="BC82" s="2371"/>
      <c r="BD82" s="2172"/>
      <c r="BE82" s="2173"/>
      <c r="BF82" s="2174"/>
      <c r="BG82" s="2174"/>
      <c r="BH82" s="2173"/>
      <c r="BI82" s="2173"/>
      <c r="BJ82" s="2173"/>
      <c r="BK82" s="2173"/>
      <c r="BL82" s="808"/>
    </row>
    <row r="83" spans="1:64" ht="15">
      <c r="A83" s="461"/>
      <c r="B83" s="1127" t="s">
        <v>3813</v>
      </c>
      <c r="C83" s="808"/>
      <c r="D83" s="1141" t="s">
        <v>2536</v>
      </c>
      <c r="E83" s="2440" t="s">
        <v>5292</v>
      </c>
      <c r="F83" s="1142"/>
      <c r="G83" s="1142"/>
      <c r="H83" s="1142"/>
      <c r="I83" s="1142"/>
      <c r="J83" s="1142"/>
      <c r="K83" s="1142"/>
      <c r="L83" s="1142"/>
      <c r="M83" s="1143"/>
      <c r="N83" s="1144" t="s">
        <v>2537</v>
      </c>
      <c r="O83" s="2440" t="s">
        <v>5293</v>
      </c>
      <c r="P83" s="1142"/>
      <c r="Q83" s="1142"/>
      <c r="R83" s="1142"/>
      <c r="S83" s="1142"/>
      <c r="T83" s="1142"/>
      <c r="U83" s="1142"/>
      <c r="V83" s="1143"/>
      <c r="W83" s="1144" t="s">
        <v>3420</v>
      </c>
      <c r="X83" s="1142" t="s">
        <v>5294</v>
      </c>
      <c r="Y83" s="1142"/>
      <c r="Z83" s="1142"/>
      <c r="AA83" s="1142"/>
      <c r="AB83" s="1142"/>
      <c r="AC83" s="1143"/>
      <c r="AD83" s="1144" t="s">
        <v>2462</v>
      </c>
      <c r="AE83" s="1142" t="s">
        <v>5295</v>
      </c>
      <c r="AF83" s="1142"/>
      <c r="AG83" s="1142"/>
      <c r="AH83" s="1142"/>
      <c r="AI83" s="1142"/>
      <c r="AJ83" s="1142"/>
      <c r="AK83" s="461"/>
      <c r="AL83" s="808"/>
      <c r="AM83" s="808"/>
      <c r="AN83" s="808"/>
      <c r="AO83" s="808"/>
      <c r="AP83" s="2102">
        <v>3</v>
      </c>
      <c r="AQ83" s="2984">
        <v>23030</v>
      </c>
      <c r="AR83" s="2984">
        <v>28790</v>
      </c>
      <c r="AS83" s="2985">
        <v>26490</v>
      </c>
      <c r="AT83" s="2171"/>
      <c r="AU83" s="808"/>
      <c r="AV83" s="808"/>
      <c r="AW83" s="808"/>
      <c r="AX83" s="808"/>
      <c r="AY83" s="808"/>
      <c r="AZ83" s="1332"/>
      <c r="BA83" s="808"/>
      <c r="BB83" s="808"/>
      <c r="BC83" s="2371"/>
      <c r="BD83" s="2172"/>
      <c r="BE83" s="2173"/>
      <c r="BF83" s="2174"/>
      <c r="BG83" s="2174"/>
      <c r="BH83" s="2173"/>
      <c r="BI83" s="2173"/>
      <c r="BJ83" s="2173"/>
      <c r="BK83" s="2173"/>
      <c r="BL83" s="808"/>
    </row>
    <row r="84" spans="1:64" ht="15">
      <c r="A84" s="461"/>
      <c r="B84" s="1127"/>
      <c r="D84" s="10240"/>
      <c r="E84" s="10240"/>
      <c r="F84" s="10240"/>
      <c r="G84" s="10240"/>
      <c r="H84" s="10240"/>
      <c r="I84" s="10241"/>
      <c r="J84" s="10241"/>
      <c r="K84" s="10241"/>
      <c r="L84" s="10241"/>
      <c r="M84" s="10242"/>
      <c r="N84" s="10243"/>
      <c r="O84" s="10244"/>
      <c r="P84" s="10244"/>
      <c r="Q84" s="10244"/>
      <c r="R84" s="10244"/>
      <c r="S84" s="10245"/>
      <c r="T84" s="10245"/>
      <c r="U84" s="10245"/>
      <c r="V84" s="10246"/>
      <c r="W84" s="10247"/>
      <c r="X84" s="10248"/>
      <c r="Y84" s="10248"/>
      <c r="Z84" s="10248"/>
      <c r="AA84" s="10248"/>
      <c r="AB84" s="10249"/>
      <c r="AC84" s="10249"/>
      <c r="AD84" s="10250"/>
      <c r="AE84" s="10248"/>
      <c r="AF84" s="10248"/>
      <c r="AG84" s="10248"/>
      <c r="AH84" s="10248"/>
      <c r="AI84" s="10249"/>
      <c r="AJ84" s="10249"/>
      <c r="AK84" s="461"/>
      <c r="AL84" s="808"/>
      <c r="AM84" s="808"/>
      <c r="AN84" s="808"/>
      <c r="AO84" s="808"/>
      <c r="AP84" s="2102">
        <v>4</v>
      </c>
      <c r="AQ84" s="2984">
        <v>27750</v>
      </c>
      <c r="AR84" s="2984">
        <v>34690</v>
      </c>
      <c r="AS84" s="2985">
        <v>31920</v>
      </c>
      <c r="AT84" s="2171"/>
      <c r="AU84" s="808"/>
      <c r="AV84" s="808"/>
      <c r="AW84" s="808"/>
      <c r="AX84" s="808"/>
      <c r="AY84" s="808"/>
      <c r="AZ84" s="1332"/>
      <c r="BA84" s="808"/>
      <c r="BB84" s="808"/>
      <c r="BC84" s="2371"/>
      <c r="BD84" s="2172"/>
      <c r="BE84" s="2173"/>
      <c r="BF84" s="2174"/>
      <c r="BG84" s="2174"/>
      <c r="BH84" s="2173"/>
      <c r="BI84" s="2173"/>
      <c r="BJ84" s="2173"/>
      <c r="BK84" s="2173"/>
      <c r="BL84" s="808"/>
    </row>
    <row r="85" spans="1:64">
      <c r="A85" s="461"/>
      <c r="B85" s="808"/>
      <c r="C85" s="808"/>
      <c r="D85" s="10251" t="s">
        <v>5297</v>
      </c>
      <c r="E85" s="10252"/>
      <c r="F85" s="10252"/>
      <c r="G85" s="10252"/>
      <c r="H85" s="10252"/>
      <c r="I85" s="10253"/>
      <c r="J85" s="10258" t="s">
        <v>5298</v>
      </c>
      <c r="K85" s="10259"/>
      <c r="L85" s="10259"/>
      <c r="M85" s="10259"/>
      <c r="N85" s="10259"/>
      <c r="O85" s="10259"/>
      <c r="P85" s="10259"/>
      <c r="Q85" s="10259"/>
      <c r="R85" s="10260"/>
      <c r="S85" s="10258" t="s">
        <v>5299</v>
      </c>
      <c r="T85" s="10259"/>
      <c r="U85" s="10259"/>
      <c r="V85" s="10259"/>
      <c r="W85" s="10259"/>
      <c r="X85" s="10259"/>
      <c r="Y85" s="10259"/>
      <c r="Z85" s="10259"/>
      <c r="AA85" s="10260"/>
      <c r="AB85" s="10264" t="s">
        <v>5300</v>
      </c>
      <c r="AC85" s="10259"/>
      <c r="AD85" s="10259"/>
      <c r="AE85" s="10259"/>
      <c r="AF85" s="10259"/>
      <c r="AG85" s="10259"/>
      <c r="AH85" s="10259"/>
      <c r="AI85" s="10259"/>
      <c r="AJ85" s="10259"/>
      <c r="AK85" s="461"/>
      <c r="AL85" s="808"/>
      <c r="AM85" s="808"/>
      <c r="AN85" s="808"/>
      <c r="AO85" s="808"/>
      <c r="AP85" s="2102">
        <v>5</v>
      </c>
      <c r="AQ85" s="2984">
        <v>32470</v>
      </c>
      <c r="AR85" s="2984">
        <v>40590</v>
      </c>
      <c r="AS85" s="2985">
        <v>37350</v>
      </c>
      <c r="AT85" s="2171"/>
      <c r="AU85" s="808"/>
      <c r="AV85" s="808"/>
      <c r="AW85" s="808"/>
      <c r="AX85" s="808"/>
      <c r="AY85" s="808"/>
      <c r="AZ85" s="1332"/>
      <c r="BA85" s="808"/>
      <c r="BB85" s="808"/>
      <c r="BC85" s="2371"/>
      <c r="BD85" s="2172"/>
      <c r="BE85" s="2173"/>
      <c r="BF85" s="2174"/>
      <c r="BG85" s="2174"/>
      <c r="BH85" s="2173"/>
      <c r="BI85" s="2173"/>
      <c r="BJ85" s="2173"/>
      <c r="BK85" s="2173"/>
      <c r="BL85" s="808"/>
    </row>
    <row r="86" spans="1:64">
      <c r="A86" s="461"/>
      <c r="B86" s="808"/>
      <c r="C86" s="808"/>
      <c r="D86" s="10254"/>
      <c r="E86" s="10254"/>
      <c r="F86" s="10254"/>
      <c r="G86" s="10254"/>
      <c r="H86" s="10254"/>
      <c r="I86" s="10255"/>
      <c r="J86" s="10261"/>
      <c r="K86" s="10262"/>
      <c r="L86" s="10262"/>
      <c r="M86" s="10262"/>
      <c r="N86" s="10262"/>
      <c r="O86" s="10262"/>
      <c r="P86" s="10262"/>
      <c r="Q86" s="10262"/>
      <c r="R86" s="10263"/>
      <c r="S86" s="10261"/>
      <c r="T86" s="10262"/>
      <c r="U86" s="10262"/>
      <c r="V86" s="10262"/>
      <c r="W86" s="10262"/>
      <c r="X86" s="10262"/>
      <c r="Y86" s="10262"/>
      <c r="Z86" s="10262"/>
      <c r="AA86" s="10263"/>
      <c r="AB86" s="10261"/>
      <c r="AC86" s="10262"/>
      <c r="AD86" s="10262"/>
      <c r="AE86" s="10262"/>
      <c r="AF86" s="10262"/>
      <c r="AG86" s="10262"/>
      <c r="AH86" s="10262"/>
      <c r="AI86" s="10262"/>
      <c r="AJ86" s="10262"/>
      <c r="AK86" s="461"/>
      <c r="AL86" s="808"/>
      <c r="AM86" s="808"/>
      <c r="AN86" s="808"/>
      <c r="AO86" s="808"/>
      <c r="AP86" s="2102">
        <v>6</v>
      </c>
      <c r="AQ86" s="2984">
        <v>37190</v>
      </c>
      <c r="AR86" s="2984">
        <v>46490</v>
      </c>
      <c r="AS86" s="2985">
        <v>42780</v>
      </c>
      <c r="AT86" s="2171"/>
      <c r="AU86" s="808"/>
      <c r="AV86" s="808"/>
      <c r="AW86" s="808"/>
      <c r="AX86" s="808"/>
      <c r="AY86" s="808"/>
      <c r="AZ86" s="1332"/>
      <c r="BA86" s="808"/>
      <c r="BB86" s="808"/>
      <c r="BC86" s="2371"/>
      <c r="BD86" s="2172"/>
      <c r="BE86" s="2173"/>
      <c r="BF86" s="2174"/>
      <c r="BG86" s="2174"/>
      <c r="BH86" s="2173"/>
      <c r="BI86" s="2173"/>
      <c r="BJ86" s="2173"/>
      <c r="BK86" s="2173"/>
      <c r="BL86" s="808"/>
    </row>
    <row r="87" spans="1:64" ht="18" customHeight="1">
      <c r="A87" s="461"/>
      <c r="B87" s="808"/>
      <c r="C87" s="808"/>
      <c r="D87" s="10254"/>
      <c r="E87" s="10254"/>
      <c r="F87" s="10254"/>
      <c r="G87" s="10254"/>
      <c r="H87" s="10254"/>
      <c r="I87" s="10255"/>
      <c r="J87" s="10261"/>
      <c r="K87" s="10262"/>
      <c r="L87" s="10262"/>
      <c r="M87" s="10262"/>
      <c r="N87" s="10262"/>
      <c r="O87" s="10262"/>
      <c r="P87" s="10262"/>
      <c r="Q87" s="10262"/>
      <c r="R87" s="10263"/>
      <c r="S87" s="10261"/>
      <c r="T87" s="10262"/>
      <c r="U87" s="10262"/>
      <c r="V87" s="10262"/>
      <c r="W87" s="10262"/>
      <c r="X87" s="10262"/>
      <c r="Y87" s="10262"/>
      <c r="Z87" s="10262"/>
      <c r="AA87" s="10263"/>
      <c r="AB87" s="10261"/>
      <c r="AC87" s="10262"/>
      <c r="AD87" s="10262"/>
      <c r="AE87" s="10262"/>
      <c r="AF87" s="10262"/>
      <c r="AG87" s="10262"/>
      <c r="AH87" s="10262"/>
      <c r="AI87" s="10262"/>
      <c r="AJ87" s="10262"/>
      <c r="AK87" s="461"/>
      <c r="AL87" s="808"/>
      <c r="AM87" s="808"/>
      <c r="AN87" s="808"/>
      <c r="AO87" s="808"/>
      <c r="AP87" s="2102">
        <v>7</v>
      </c>
      <c r="AQ87" s="2984">
        <v>41910</v>
      </c>
      <c r="AR87" s="2984">
        <v>52390</v>
      </c>
      <c r="AS87" s="2985">
        <v>48210</v>
      </c>
      <c r="AT87" s="2171"/>
      <c r="AU87" s="808"/>
      <c r="AV87" s="808"/>
      <c r="AW87" s="808"/>
      <c r="AX87" s="808"/>
      <c r="AY87" s="808"/>
      <c r="AZ87" s="1332"/>
      <c r="BA87" s="808"/>
      <c r="BB87" s="808"/>
      <c r="BC87" s="2371"/>
      <c r="BD87" s="2172"/>
      <c r="BE87" s="2173"/>
      <c r="BF87" s="2174"/>
      <c r="BG87" s="2174"/>
      <c r="BH87" s="2173"/>
      <c r="BI87" s="2173"/>
      <c r="BJ87" s="2173"/>
      <c r="BK87" s="2173"/>
      <c r="BL87" s="808"/>
    </row>
    <row r="88" spans="1:64">
      <c r="A88" s="461"/>
      <c r="B88" s="808"/>
      <c r="C88" s="808"/>
      <c r="D88" s="10254"/>
      <c r="E88" s="10254"/>
      <c r="F88" s="10254"/>
      <c r="G88" s="10254"/>
      <c r="H88" s="10254"/>
      <c r="I88" s="10255"/>
      <c r="J88" s="10261"/>
      <c r="K88" s="10262"/>
      <c r="L88" s="10262"/>
      <c r="M88" s="10262"/>
      <c r="N88" s="10262"/>
      <c r="O88" s="10262"/>
      <c r="P88" s="10262"/>
      <c r="Q88" s="10262"/>
      <c r="R88" s="10263"/>
      <c r="S88" s="10261"/>
      <c r="T88" s="10262"/>
      <c r="U88" s="10262"/>
      <c r="V88" s="10262"/>
      <c r="W88" s="10262"/>
      <c r="X88" s="10262"/>
      <c r="Y88" s="10262"/>
      <c r="Z88" s="10262"/>
      <c r="AA88" s="10263"/>
      <c r="AB88" s="10261"/>
      <c r="AC88" s="10262"/>
      <c r="AD88" s="10262"/>
      <c r="AE88" s="10262"/>
      <c r="AF88" s="10262"/>
      <c r="AG88" s="10262"/>
      <c r="AH88" s="10262"/>
      <c r="AI88" s="10262"/>
      <c r="AJ88" s="10262"/>
      <c r="AK88" s="461"/>
      <c r="AL88" s="808"/>
      <c r="AM88" s="808"/>
      <c r="AN88" s="808"/>
      <c r="AO88" s="808"/>
      <c r="AP88" s="2102">
        <v>8</v>
      </c>
      <c r="AQ88" s="2984">
        <v>46630</v>
      </c>
      <c r="AR88" s="2984">
        <v>58290</v>
      </c>
      <c r="AS88" s="2985">
        <v>53640</v>
      </c>
      <c r="AT88" s="2171"/>
      <c r="AU88" s="808"/>
      <c r="AV88" s="808"/>
      <c r="AW88" s="808"/>
      <c r="AX88" s="808"/>
      <c r="AY88" s="808"/>
      <c r="AZ88" s="1332"/>
      <c r="BA88" s="808"/>
      <c r="BB88" s="808"/>
      <c r="BC88" s="2371"/>
      <c r="BD88" s="2172"/>
      <c r="BE88" s="2173"/>
      <c r="BF88" s="2174"/>
      <c r="BG88" s="2174"/>
      <c r="BH88" s="2173"/>
      <c r="BI88" s="2173"/>
      <c r="BJ88" s="2173"/>
      <c r="BK88" s="2173"/>
      <c r="BL88" s="808"/>
    </row>
    <row r="89" spans="1:64" ht="16.5" customHeight="1" thickBot="1">
      <c r="A89" s="461"/>
      <c r="B89" s="1121"/>
      <c r="C89" s="1121"/>
      <c r="D89" s="10256"/>
      <c r="E89" s="10256"/>
      <c r="F89" s="10256"/>
      <c r="G89" s="10256"/>
      <c r="H89" s="10256"/>
      <c r="I89" s="10257"/>
      <c r="J89" s="10265"/>
      <c r="K89" s="10266"/>
      <c r="L89" s="10266"/>
      <c r="M89" s="10266"/>
      <c r="N89" s="10266"/>
      <c r="O89" s="10267"/>
      <c r="P89" s="10267"/>
      <c r="Q89" s="10267"/>
      <c r="R89" s="10268"/>
      <c r="S89" s="10265"/>
      <c r="T89" s="10266"/>
      <c r="U89" s="10266"/>
      <c r="V89" s="10266"/>
      <c r="W89" s="10266"/>
      <c r="X89" s="10267"/>
      <c r="Y89" s="10267"/>
      <c r="Z89" s="10267"/>
      <c r="AA89" s="10268"/>
      <c r="AB89" s="10266"/>
      <c r="AC89" s="10266"/>
      <c r="AD89" s="10266"/>
      <c r="AE89" s="10266"/>
      <c r="AF89" s="10266"/>
      <c r="AG89" s="10267"/>
      <c r="AH89" s="10267"/>
      <c r="AI89" s="10267"/>
      <c r="AJ89" s="10267"/>
      <c r="AK89" s="461"/>
      <c r="AL89" s="808"/>
      <c r="AM89" s="808"/>
      <c r="AN89" s="808"/>
      <c r="AO89" s="808"/>
      <c r="AP89" s="2105" t="s">
        <v>5307</v>
      </c>
      <c r="AQ89" s="2986">
        <v>4720</v>
      </c>
      <c r="AR89" s="2986">
        <v>5900</v>
      </c>
      <c r="AS89" s="2987">
        <v>5430</v>
      </c>
      <c r="AT89" s="808"/>
      <c r="AU89" s="808"/>
      <c r="AV89" s="808"/>
      <c r="AW89" s="808"/>
      <c r="AX89" s="808"/>
      <c r="AY89" s="808"/>
      <c r="AZ89" s="1332"/>
      <c r="BA89" s="808"/>
      <c r="BB89" s="808"/>
      <c r="BC89" s="2371"/>
      <c r="BD89" s="2172"/>
      <c r="BE89" s="2173"/>
      <c r="BF89" s="2174"/>
      <c r="BG89" s="2174"/>
      <c r="BH89" s="2173"/>
      <c r="BI89" s="2173"/>
      <c r="BJ89" s="2173"/>
      <c r="BK89" s="2173"/>
      <c r="BL89" s="808"/>
    </row>
    <row r="90" spans="1:64" ht="15.75">
      <c r="A90" s="461"/>
      <c r="B90" s="1139" t="s">
        <v>5308</v>
      </c>
      <c r="C90" s="1121"/>
      <c r="D90" s="1121"/>
      <c r="E90" s="1121"/>
      <c r="F90" s="1121"/>
      <c r="G90" s="1121"/>
      <c r="H90" s="1121"/>
      <c r="I90" s="1121"/>
      <c r="J90" s="1121"/>
      <c r="K90" s="1121"/>
      <c r="L90" s="1121"/>
      <c r="M90" s="1121"/>
      <c r="N90" s="1121"/>
      <c r="O90" s="1121"/>
      <c r="P90" s="1121"/>
      <c r="Q90" s="1121"/>
      <c r="R90" s="1121"/>
      <c r="S90" s="1121"/>
      <c r="T90" s="1121"/>
      <c r="U90" s="1121"/>
      <c r="V90" s="1121"/>
      <c r="W90" s="1121"/>
      <c r="X90" s="1121"/>
      <c r="Y90" s="1121"/>
      <c r="Z90" s="1121"/>
      <c r="AA90" s="1121"/>
      <c r="AB90" s="1121"/>
      <c r="AC90" s="1121"/>
      <c r="AD90" s="1121"/>
      <c r="AE90" s="1121"/>
      <c r="AF90" s="1121"/>
      <c r="AG90" s="1121"/>
      <c r="AH90" s="1121"/>
      <c r="AI90" s="1121"/>
      <c r="AJ90" s="1121"/>
      <c r="AK90" s="461"/>
      <c r="AL90" s="808"/>
      <c r="AM90" s="808"/>
      <c r="AN90" s="808"/>
      <c r="AO90" s="808"/>
      <c r="AP90" s="3660" t="s">
        <v>886</v>
      </c>
      <c r="AQ90" s="3661" t="s">
        <v>5309</v>
      </c>
      <c r="AR90" s="2170"/>
      <c r="AS90" s="2170"/>
      <c r="AT90" s="808"/>
      <c r="AU90" s="808"/>
      <c r="AV90" s="808"/>
      <c r="AW90" s="808"/>
      <c r="AX90" s="808"/>
      <c r="AY90" s="808"/>
      <c r="AZ90" s="1332"/>
      <c r="BA90" s="808"/>
      <c r="BB90" s="808"/>
      <c r="BC90" s="2371"/>
      <c r="BD90" s="2172"/>
      <c r="BE90" s="2173"/>
      <c r="BF90" s="2174"/>
      <c r="BG90" s="2174"/>
      <c r="BH90" s="2173"/>
      <c r="BI90" s="2173"/>
      <c r="BJ90" s="2173"/>
      <c r="BK90" s="2173"/>
      <c r="BL90" s="808"/>
    </row>
    <row r="91" spans="1:64" ht="15">
      <c r="A91" s="461"/>
      <c r="B91" s="1127" t="s">
        <v>3818</v>
      </c>
      <c r="C91" s="808"/>
      <c r="D91" s="1141" t="s">
        <v>2536</v>
      </c>
      <c r="E91" s="2440" t="s">
        <v>5292</v>
      </c>
      <c r="F91" s="1142"/>
      <c r="G91" s="1142"/>
      <c r="H91" s="1142"/>
      <c r="I91" s="1142"/>
      <c r="J91" s="1142"/>
      <c r="K91" s="1142"/>
      <c r="L91" s="1142"/>
      <c r="M91" s="1143"/>
      <c r="N91" s="1144" t="s">
        <v>2537</v>
      </c>
      <c r="O91" s="2440" t="s">
        <v>5293</v>
      </c>
      <c r="P91" s="1142"/>
      <c r="Q91" s="1142"/>
      <c r="R91" s="1142"/>
      <c r="S91" s="1142"/>
      <c r="T91" s="1142"/>
      <c r="U91" s="1142"/>
      <c r="V91" s="1143"/>
      <c r="W91" s="1144" t="s">
        <v>3420</v>
      </c>
      <c r="X91" s="1142" t="s">
        <v>5294</v>
      </c>
      <c r="Y91" s="1142"/>
      <c r="Z91" s="1142"/>
      <c r="AA91" s="1142"/>
      <c r="AB91" s="1142"/>
      <c r="AC91" s="1143"/>
      <c r="AD91" s="1144" t="s">
        <v>2462</v>
      </c>
      <c r="AE91" s="1142" t="s">
        <v>5295</v>
      </c>
      <c r="AF91" s="1142"/>
      <c r="AG91" s="1142"/>
      <c r="AH91" s="1142"/>
      <c r="AI91" s="1142"/>
      <c r="AJ91" s="1142"/>
      <c r="AK91" s="461"/>
      <c r="AL91" s="808"/>
      <c r="AM91" s="808"/>
      <c r="AN91" s="808"/>
      <c r="AO91" s="808"/>
      <c r="AP91" s="2169"/>
      <c r="AQ91" s="2169"/>
      <c r="AR91" s="808"/>
      <c r="AS91" s="808"/>
      <c r="AT91" s="808"/>
      <c r="AU91" s="808"/>
      <c r="AV91" s="808"/>
      <c r="AW91" s="808"/>
      <c r="AX91" s="808"/>
      <c r="AY91" s="808"/>
      <c r="AZ91" s="1332"/>
      <c r="BA91" s="808"/>
      <c r="BB91" s="808"/>
      <c r="BC91" s="2371"/>
      <c r="BD91" s="2172"/>
      <c r="BE91" s="2173"/>
      <c r="BF91" s="2174"/>
      <c r="BG91" s="2174"/>
      <c r="BH91" s="2173"/>
      <c r="BI91" s="808"/>
      <c r="BJ91" s="808"/>
      <c r="BK91" s="808"/>
      <c r="BL91" s="808"/>
    </row>
    <row r="92" spans="1:64" ht="12.75" customHeight="1">
      <c r="A92" s="461"/>
      <c r="B92" s="1127"/>
      <c r="D92" s="10240"/>
      <c r="E92" s="10240"/>
      <c r="F92" s="10240"/>
      <c r="G92" s="10240"/>
      <c r="H92" s="10240"/>
      <c r="I92" s="10241"/>
      <c r="J92" s="10241"/>
      <c r="K92" s="10241"/>
      <c r="L92" s="10241"/>
      <c r="M92" s="10242"/>
      <c r="N92" s="10243"/>
      <c r="O92" s="10244"/>
      <c r="P92" s="10244"/>
      <c r="Q92" s="10244"/>
      <c r="R92" s="10244"/>
      <c r="S92" s="10245"/>
      <c r="T92" s="10245"/>
      <c r="U92" s="10245"/>
      <c r="V92" s="10246"/>
      <c r="W92" s="10247"/>
      <c r="X92" s="10248"/>
      <c r="Y92" s="10248"/>
      <c r="Z92" s="10248"/>
      <c r="AA92" s="10248"/>
      <c r="AB92" s="10249"/>
      <c r="AC92" s="10249"/>
      <c r="AD92" s="10250"/>
      <c r="AE92" s="10248"/>
      <c r="AF92" s="10248"/>
      <c r="AG92" s="10248"/>
      <c r="AH92" s="10248"/>
      <c r="AI92" s="10249"/>
      <c r="AJ92" s="10249"/>
      <c r="AK92" s="461"/>
      <c r="AL92" s="808"/>
      <c r="AM92" s="808"/>
      <c r="AN92" s="808"/>
      <c r="AO92" s="808"/>
      <c r="AP92" s="2169"/>
      <c r="AQ92" s="2169"/>
      <c r="AR92" s="808"/>
      <c r="AS92" s="808"/>
      <c r="AT92" s="808"/>
      <c r="AU92" s="808"/>
      <c r="AV92" s="808"/>
      <c r="AW92" s="808"/>
      <c r="AX92" s="808"/>
      <c r="AY92" s="808"/>
      <c r="AZ92" s="1332"/>
      <c r="BA92" s="808"/>
      <c r="BB92" s="808"/>
      <c r="BC92" s="2371"/>
      <c r="BD92" s="2172"/>
      <c r="BE92" s="808"/>
      <c r="BF92" s="2174"/>
      <c r="BG92" s="2174"/>
      <c r="BH92" s="808"/>
      <c r="BI92" s="808"/>
      <c r="BJ92" s="808"/>
      <c r="BK92" s="808"/>
      <c r="BL92" s="808"/>
    </row>
    <row r="93" spans="1:64">
      <c r="A93" s="461"/>
      <c r="B93" s="808"/>
      <c r="C93" s="808"/>
      <c r="D93" s="10251" t="s">
        <v>5297</v>
      </c>
      <c r="E93" s="10252"/>
      <c r="F93" s="10252"/>
      <c r="G93" s="10252"/>
      <c r="H93" s="10252"/>
      <c r="I93" s="10253"/>
      <c r="J93" s="10258" t="s">
        <v>5298</v>
      </c>
      <c r="K93" s="10259"/>
      <c r="L93" s="10259"/>
      <c r="M93" s="10259"/>
      <c r="N93" s="10259"/>
      <c r="O93" s="10259"/>
      <c r="P93" s="10259"/>
      <c r="Q93" s="10259"/>
      <c r="R93" s="10260"/>
      <c r="S93" s="10258" t="s">
        <v>5299</v>
      </c>
      <c r="T93" s="10259"/>
      <c r="U93" s="10259"/>
      <c r="V93" s="10259"/>
      <c r="W93" s="10259"/>
      <c r="X93" s="10259"/>
      <c r="Y93" s="10259"/>
      <c r="Z93" s="10259"/>
      <c r="AA93" s="10260"/>
      <c r="AB93" s="10264" t="s">
        <v>5300</v>
      </c>
      <c r="AC93" s="10259"/>
      <c r="AD93" s="10259"/>
      <c r="AE93" s="10259"/>
      <c r="AF93" s="10259"/>
      <c r="AG93" s="10259"/>
      <c r="AH93" s="10259"/>
      <c r="AI93" s="10259"/>
      <c r="AJ93" s="10259"/>
      <c r="AK93" s="461"/>
      <c r="AL93" s="808"/>
      <c r="AM93" s="808"/>
      <c r="AN93" s="808"/>
      <c r="AO93" s="808"/>
      <c r="AP93" s="1272"/>
      <c r="AQ93" s="1272"/>
      <c r="AR93" s="808"/>
      <c r="AS93" s="808"/>
      <c r="AT93" s="808"/>
      <c r="AU93" s="808"/>
      <c r="AV93" s="808"/>
      <c r="AW93" s="808"/>
      <c r="AX93" s="808"/>
      <c r="AY93" s="808"/>
      <c r="AZ93" s="1332"/>
      <c r="BA93" s="808"/>
      <c r="BB93" s="808"/>
      <c r="BC93" s="2371"/>
      <c r="BD93" s="2172"/>
      <c r="BE93" s="808"/>
      <c r="BF93" s="2174"/>
      <c r="BG93" s="2174"/>
      <c r="BH93" s="808"/>
      <c r="BI93" s="808"/>
      <c r="BJ93" s="808"/>
      <c r="BK93" s="808"/>
      <c r="BL93" s="808"/>
    </row>
    <row r="94" spans="1:64">
      <c r="A94" s="461"/>
      <c r="B94" s="808"/>
      <c r="C94" s="808"/>
      <c r="D94" s="10254"/>
      <c r="E94" s="10254"/>
      <c r="F94" s="10254"/>
      <c r="G94" s="10254"/>
      <c r="H94" s="10254"/>
      <c r="I94" s="10255"/>
      <c r="J94" s="10261"/>
      <c r="K94" s="10262"/>
      <c r="L94" s="10262"/>
      <c r="M94" s="10262"/>
      <c r="N94" s="10262"/>
      <c r="O94" s="10262"/>
      <c r="P94" s="10262"/>
      <c r="Q94" s="10262"/>
      <c r="R94" s="10263"/>
      <c r="S94" s="10261"/>
      <c r="T94" s="10262"/>
      <c r="U94" s="10262"/>
      <c r="V94" s="10262"/>
      <c r="W94" s="10262"/>
      <c r="X94" s="10262"/>
      <c r="Y94" s="10262"/>
      <c r="Z94" s="10262"/>
      <c r="AA94" s="10263"/>
      <c r="AB94" s="10261"/>
      <c r="AC94" s="10262"/>
      <c r="AD94" s="10262"/>
      <c r="AE94" s="10262"/>
      <c r="AF94" s="10262"/>
      <c r="AG94" s="10262"/>
      <c r="AH94" s="10262"/>
      <c r="AI94" s="10262"/>
      <c r="AJ94" s="10262"/>
      <c r="AK94" s="461"/>
      <c r="AL94" s="808"/>
      <c r="AM94" s="808"/>
      <c r="AN94" s="808"/>
      <c r="AO94" s="808"/>
      <c r="AP94" s="1272"/>
      <c r="AQ94" s="1272"/>
      <c r="AR94" s="808"/>
      <c r="AS94" s="808"/>
      <c r="AT94" s="808"/>
      <c r="AU94" s="808"/>
      <c r="AV94" s="808"/>
      <c r="AW94" s="808"/>
      <c r="AX94" s="808"/>
      <c r="AY94" s="808"/>
      <c r="AZ94" s="1332"/>
      <c r="BA94" s="808"/>
      <c r="BB94" s="808"/>
      <c r="BC94" s="2371"/>
      <c r="BD94" s="2172"/>
      <c r="BE94" s="808"/>
      <c r="BF94" s="2174"/>
      <c r="BG94" s="2174"/>
      <c r="BH94" s="808"/>
      <c r="BI94" s="808"/>
      <c r="BJ94" s="808"/>
      <c r="BK94" s="808"/>
      <c r="BL94" s="808"/>
    </row>
    <row r="95" spans="1:64" ht="18" customHeight="1">
      <c r="A95" s="461"/>
      <c r="B95" s="808"/>
      <c r="C95" s="808"/>
      <c r="D95" s="10254"/>
      <c r="E95" s="10254"/>
      <c r="F95" s="10254"/>
      <c r="G95" s="10254"/>
      <c r="H95" s="10254"/>
      <c r="I95" s="10255"/>
      <c r="J95" s="10261"/>
      <c r="K95" s="10262"/>
      <c r="L95" s="10262"/>
      <c r="M95" s="10262"/>
      <c r="N95" s="10262"/>
      <c r="O95" s="10262"/>
      <c r="P95" s="10262"/>
      <c r="Q95" s="10262"/>
      <c r="R95" s="10263"/>
      <c r="S95" s="10261"/>
      <c r="T95" s="10262"/>
      <c r="U95" s="10262"/>
      <c r="V95" s="10262"/>
      <c r="W95" s="10262"/>
      <c r="X95" s="10262"/>
      <c r="Y95" s="10262"/>
      <c r="Z95" s="10262"/>
      <c r="AA95" s="10263"/>
      <c r="AB95" s="10261"/>
      <c r="AC95" s="10262"/>
      <c r="AD95" s="10262"/>
      <c r="AE95" s="10262"/>
      <c r="AF95" s="10262"/>
      <c r="AG95" s="10262"/>
      <c r="AH95" s="10262"/>
      <c r="AI95" s="10262"/>
      <c r="AJ95" s="10262"/>
      <c r="AK95" s="461"/>
      <c r="AL95" s="808"/>
      <c r="AM95" s="808"/>
      <c r="AN95" s="808"/>
      <c r="AO95" s="808"/>
      <c r="AP95" s="1272"/>
      <c r="AQ95" s="1272"/>
      <c r="AR95" s="808"/>
      <c r="AS95" s="808"/>
      <c r="AT95" s="808"/>
      <c r="AU95" s="808"/>
      <c r="AV95" s="808"/>
      <c r="AW95" s="808"/>
      <c r="AX95" s="808"/>
      <c r="AY95" s="808"/>
      <c r="AZ95" s="1332"/>
      <c r="BA95" s="808"/>
      <c r="BB95" s="808"/>
      <c r="BC95" s="2371"/>
      <c r="BD95" s="2172"/>
      <c r="BE95" s="808"/>
      <c r="BF95" s="2174"/>
      <c r="BG95" s="2174"/>
      <c r="BH95" s="808"/>
      <c r="BI95" s="808"/>
      <c r="BJ95" s="808"/>
      <c r="BK95" s="808"/>
      <c r="BL95" s="808"/>
    </row>
    <row r="96" spans="1:64">
      <c r="A96" s="461"/>
      <c r="B96" s="808"/>
      <c r="C96" s="808"/>
      <c r="D96" s="10254"/>
      <c r="E96" s="10254"/>
      <c r="F96" s="10254"/>
      <c r="G96" s="10254"/>
      <c r="H96" s="10254"/>
      <c r="I96" s="10255"/>
      <c r="J96" s="10261"/>
      <c r="K96" s="10262"/>
      <c r="L96" s="10262"/>
      <c r="M96" s="10262"/>
      <c r="N96" s="10262"/>
      <c r="O96" s="10262"/>
      <c r="P96" s="10262"/>
      <c r="Q96" s="10262"/>
      <c r="R96" s="10263"/>
      <c r="S96" s="10261"/>
      <c r="T96" s="10262"/>
      <c r="U96" s="10262"/>
      <c r="V96" s="10262"/>
      <c r="W96" s="10262"/>
      <c r="X96" s="10262"/>
      <c r="Y96" s="10262"/>
      <c r="Z96" s="10262"/>
      <c r="AA96" s="10263"/>
      <c r="AB96" s="10261"/>
      <c r="AC96" s="10262"/>
      <c r="AD96" s="10262"/>
      <c r="AE96" s="10262"/>
      <c r="AF96" s="10262"/>
      <c r="AG96" s="10262"/>
      <c r="AH96" s="10262"/>
      <c r="AI96" s="10262"/>
      <c r="AJ96" s="10262"/>
      <c r="AK96" s="461"/>
      <c r="AL96" s="808"/>
      <c r="AM96" s="808"/>
      <c r="AN96" s="808"/>
      <c r="AO96" s="808"/>
      <c r="AP96" s="1272"/>
      <c r="AQ96" s="1272"/>
      <c r="AR96" s="808"/>
      <c r="AS96" s="808"/>
      <c r="AT96" s="808"/>
      <c r="AU96" s="808"/>
      <c r="AV96" s="808"/>
      <c r="AW96" s="808"/>
      <c r="AX96" s="808"/>
      <c r="AY96" s="808"/>
      <c r="AZ96" s="1332"/>
      <c r="BA96" s="808"/>
      <c r="BB96" s="808"/>
      <c r="BC96" s="2371"/>
      <c r="BD96" s="2172"/>
      <c r="BE96" s="808"/>
      <c r="BF96" s="2174"/>
      <c r="BG96" s="2174"/>
      <c r="BH96" s="808"/>
      <c r="BI96" s="808"/>
      <c r="BJ96" s="808"/>
      <c r="BK96" s="808"/>
      <c r="BL96" s="808"/>
    </row>
    <row r="97" spans="1:73" ht="16.5" customHeight="1">
      <c r="A97" s="461"/>
      <c r="B97" s="1121"/>
      <c r="C97" s="1121"/>
      <c r="D97" s="10256"/>
      <c r="E97" s="10256"/>
      <c r="F97" s="10256"/>
      <c r="G97" s="10256"/>
      <c r="H97" s="10256"/>
      <c r="I97" s="10257"/>
      <c r="J97" s="10265"/>
      <c r="K97" s="10266"/>
      <c r="L97" s="10266"/>
      <c r="M97" s="10266"/>
      <c r="N97" s="10266"/>
      <c r="O97" s="10267"/>
      <c r="P97" s="10267"/>
      <c r="Q97" s="10267"/>
      <c r="R97" s="10268"/>
      <c r="S97" s="10265"/>
      <c r="T97" s="10266"/>
      <c r="U97" s="10266"/>
      <c r="V97" s="10266"/>
      <c r="W97" s="10266"/>
      <c r="X97" s="10267"/>
      <c r="Y97" s="10267"/>
      <c r="Z97" s="10267"/>
      <c r="AA97" s="10268"/>
      <c r="AB97" s="10266"/>
      <c r="AC97" s="10266"/>
      <c r="AD97" s="10266"/>
      <c r="AE97" s="10266"/>
      <c r="AF97" s="10266"/>
      <c r="AG97" s="10267"/>
      <c r="AH97" s="10267"/>
      <c r="AI97" s="10267"/>
      <c r="AJ97" s="10267"/>
      <c r="AK97" s="461"/>
      <c r="AL97" s="808"/>
      <c r="AM97" s="808"/>
      <c r="AN97" s="808"/>
      <c r="AO97" s="808"/>
      <c r="AP97" s="1272"/>
      <c r="AQ97" s="1272"/>
      <c r="AR97" s="808"/>
      <c r="AS97" s="808"/>
      <c r="AT97" s="808"/>
      <c r="AU97" s="808"/>
      <c r="AV97" s="808"/>
      <c r="AW97" s="808"/>
      <c r="AX97" s="808"/>
      <c r="AY97" s="808"/>
      <c r="AZ97" s="1332"/>
      <c r="BA97" s="808"/>
      <c r="BB97" s="808"/>
      <c r="BC97" s="2371"/>
      <c r="BD97" s="2172"/>
      <c r="BE97" s="808"/>
      <c r="BF97" s="2174"/>
      <c r="BG97" s="2174"/>
      <c r="BH97" s="808"/>
      <c r="BI97" s="808"/>
      <c r="BJ97" s="808"/>
      <c r="BK97" s="808"/>
      <c r="BL97" s="808"/>
    </row>
    <row r="98" spans="1:73" ht="15.75">
      <c r="A98" s="461"/>
      <c r="B98" s="1139" t="s">
        <v>5310</v>
      </c>
      <c r="C98" s="1121"/>
      <c r="D98" s="1121"/>
      <c r="E98" s="1121"/>
      <c r="F98" s="1121"/>
      <c r="G98" s="1121"/>
      <c r="H98" s="1121"/>
      <c r="I98" s="1121"/>
      <c r="J98" s="1121"/>
      <c r="K98" s="1121"/>
      <c r="L98" s="1121"/>
      <c r="M98" s="1121"/>
      <c r="N98" s="1121"/>
      <c r="O98" s="1121"/>
      <c r="P98" s="1121"/>
      <c r="Q98" s="1121"/>
      <c r="R98" s="1121"/>
      <c r="S98" s="1121"/>
      <c r="T98" s="1121"/>
      <c r="U98" s="1121"/>
      <c r="V98" s="1121"/>
      <c r="W98" s="1121"/>
      <c r="X98" s="1121"/>
      <c r="Y98" s="1121"/>
      <c r="Z98" s="1121"/>
      <c r="AA98" s="1121"/>
      <c r="AB98" s="1121"/>
      <c r="AC98" s="1121"/>
      <c r="AD98" s="1121"/>
      <c r="AE98" s="1121"/>
      <c r="AF98" s="1121"/>
      <c r="AG98" s="1121"/>
      <c r="AH98" s="1121"/>
      <c r="AI98" s="1121"/>
      <c r="AJ98" s="1121"/>
      <c r="AK98" s="461"/>
      <c r="AL98" s="808"/>
      <c r="AM98" s="808"/>
      <c r="AN98" s="808"/>
      <c r="AO98" s="808"/>
      <c r="AP98" s="1272"/>
      <c r="AQ98" s="1272"/>
      <c r="AR98" s="808"/>
      <c r="AS98" s="808"/>
      <c r="AT98" s="808"/>
      <c r="AU98" s="808"/>
      <c r="AV98" s="808"/>
      <c r="AW98" s="808"/>
      <c r="AX98" s="808"/>
      <c r="AY98" s="808"/>
      <c r="AZ98" s="1332"/>
      <c r="BA98" s="808"/>
      <c r="BB98" s="808"/>
      <c r="BC98" s="2371"/>
      <c r="BD98" s="2172"/>
      <c r="BE98" s="808"/>
      <c r="BF98" s="2174"/>
      <c r="BG98" s="2174"/>
      <c r="BH98" s="808"/>
      <c r="BI98" s="808"/>
      <c r="BJ98" s="808"/>
      <c r="BK98" s="808"/>
      <c r="BL98" s="808"/>
    </row>
    <row r="99" spans="1:73" ht="15">
      <c r="A99" s="461"/>
      <c r="B99" s="1127" t="s">
        <v>3819</v>
      </c>
      <c r="C99" s="808"/>
      <c r="D99" s="1141" t="s">
        <v>2536</v>
      </c>
      <c r="E99" s="2440" t="s">
        <v>5292</v>
      </c>
      <c r="F99" s="1142"/>
      <c r="G99" s="1142"/>
      <c r="H99" s="1142"/>
      <c r="I99" s="1142"/>
      <c r="J99" s="1142"/>
      <c r="K99" s="1142"/>
      <c r="L99" s="1142"/>
      <c r="M99" s="1143"/>
      <c r="N99" s="1144" t="s">
        <v>2537</v>
      </c>
      <c r="O99" s="2440" t="s">
        <v>5293</v>
      </c>
      <c r="P99" s="1142"/>
      <c r="Q99" s="1142"/>
      <c r="R99" s="1142"/>
      <c r="S99" s="1142"/>
      <c r="T99" s="1142"/>
      <c r="U99" s="1142"/>
      <c r="V99" s="1143"/>
      <c r="W99" s="1144" t="s">
        <v>3420</v>
      </c>
      <c r="X99" s="1142" t="s">
        <v>5294</v>
      </c>
      <c r="Y99" s="1142"/>
      <c r="Z99" s="1142"/>
      <c r="AA99" s="1142"/>
      <c r="AB99" s="1142"/>
      <c r="AC99" s="1143"/>
      <c r="AD99" s="1144" t="s">
        <v>2462</v>
      </c>
      <c r="AE99" s="1142" t="s">
        <v>5295</v>
      </c>
      <c r="AF99" s="1142"/>
      <c r="AG99" s="1142"/>
      <c r="AH99" s="1142"/>
      <c r="AI99" s="1142"/>
      <c r="AJ99" s="1142"/>
      <c r="AK99" s="461"/>
      <c r="AL99" s="808"/>
      <c r="AM99" s="808"/>
      <c r="AN99" s="808"/>
      <c r="AO99" s="808"/>
      <c r="AP99" s="1272"/>
      <c r="AQ99" s="1272"/>
      <c r="AR99" s="808"/>
      <c r="AS99" s="808"/>
      <c r="AT99" s="808"/>
      <c r="AU99" s="808"/>
      <c r="AV99" s="808"/>
      <c r="AW99" s="808"/>
      <c r="AX99" s="808"/>
      <c r="AY99" s="808"/>
      <c r="AZ99" s="1332"/>
      <c r="BA99" s="808"/>
      <c r="BB99" s="808"/>
      <c r="BC99" s="2371"/>
      <c r="BD99" s="2172"/>
      <c r="BE99" s="808"/>
      <c r="BF99" s="2174"/>
      <c r="BG99" s="2174"/>
      <c r="BH99" s="808"/>
      <c r="BI99" s="808"/>
      <c r="BJ99" s="808"/>
      <c r="BK99" s="808"/>
      <c r="BL99" s="808"/>
    </row>
    <row r="100" spans="1:73" ht="12.75" customHeight="1">
      <c r="A100" s="461"/>
      <c r="B100" s="1127"/>
      <c r="D100" s="10240"/>
      <c r="E100" s="10240"/>
      <c r="F100" s="10240"/>
      <c r="G100" s="10240"/>
      <c r="H100" s="10240"/>
      <c r="I100" s="10241"/>
      <c r="J100" s="10241"/>
      <c r="K100" s="10241"/>
      <c r="L100" s="10241"/>
      <c r="M100" s="10242"/>
      <c r="N100" s="10243"/>
      <c r="O100" s="10244"/>
      <c r="P100" s="10244"/>
      <c r="Q100" s="10244"/>
      <c r="R100" s="10244"/>
      <c r="S100" s="10245"/>
      <c r="T100" s="10245"/>
      <c r="U100" s="10245"/>
      <c r="V100" s="10246"/>
      <c r="W100" s="10247"/>
      <c r="X100" s="10248"/>
      <c r="Y100" s="10248"/>
      <c r="Z100" s="10248"/>
      <c r="AA100" s="10248"/>
      <c r="AB100" s="10249"/>
      <c r="AC100" s="10249"/>
      <c r="AD100" s="10250"/>
      <c r="AE100" s="10248"/>
      <c r="AF100" s="10248"/>
      <c r="AG100" s="10248"/>
      <c r="AH100" s="10248"/>
      <c r="AI100" s="10249"/>
      <c r="AJ100" s="10249"/>
      <c r="AK100" s="461"/>
      <c r="AL100" s="808"/>
      <c r="AM100" s="808"/>
      <c r="AN100" s="808"/>
      <c r="AO100" s="808"/>
      <c r="AP100" s="1272"/>
      <c r="AQ100" s="1272"/>
      <c r="AR100" s="808"/>
      <c r="AS100" s="808"/>
      <c r="AT100" s="808"/>
      <c r="AU100" s="808"/>
      <c r="AV100" s="808"/>
      <c r="AW100" s="808"/>
      <c r="AX100" s="808"/>
      <c r="AY100" s="808"/>
      <c r="AZ100" s="1332"/>
      <c r="BA100" s="808"/>
      <c r="BB100" s="808"/>
      <c r="BC100" s="2371"/>
      <c r="BD100" s="2172"/>
      <c r="BE100" s="808"/>
      <c r="BF100" s="2174"/>
      <c r="BG100" s="2174"/>
      <c r="BH100" s="808"/>
      <c r="BI100" s="808"/>
      <c r="BJ100" s="808"/>
      <c r="BK100" s="808"/>
      <c r="BL100" s="808"/>
    </row>
    <row r="101" spans="1:73">
      <c r="A101" s="461"/>
      <c r="B101" s="808"/>
      <c r="C101" s="808"/>
      <c r="D101" s="10251" t="s">
        <v>5297</v>
      </c>
      <c r="E101" s="10252"/>
      <c r="F101" s="10252"/>
      <c r="G101" s="10252"/>
      <c r="H101" s="10252"/>
      <c r="I101" s="10253"/>
      <c r="J101" s="10258" t="s">
        <v>5298</v>
      </c>
      <c r="K101" s="10259"/>
      <c r="L101" s="10259"/>
      <c r="M101" s="10259"/>
      <c r="N101" s="10259"/>
      <c r="O101" s="10259"/>
      <c r="P101" s="10259"/>
      <c r="Q101" s="10259"/>
      <c r="R101" s="10260"/>
      <c r="S101" s="10258" t="s">
        <v>5299</v>
      </c>
      <c r="T101" s="10259"/>
      <c r="U101" s="10259"/>
      <c r="V101" s="10259"/>
      <c r="W101" s="10259"/>
      <c r="X101" s="10259"/>
      <c r="Y101" s="10259"/>
      <c r="Z101" s="10259"/>
      <c r="AA101" s="10260"/>
      <c r="AB101" s="10264" t="s">
        <v>5300</v>
      </c>
      <c r="AC101" s="10259"/>
      <c r="AD101" s="10259"/>
      <c r="AE101" s="10259"/>
      <c r="AF101" s="10259"/>
      <c r="AG101" s="10259"/>
      <c r="AH101" s="10259"/>
      <c r="AI101" s="10259"/>
      <c r="AJ101" s="10259"/>
      <c r="AK101" s="461"/>
      <c r="AL101" s="808"/>
      <c r="AM101" s="808"/>
      <c r="AN101" s="808"/>
      <c r="AO101" s="808"/>
      <c r="AP101" s="1272"/>
      <c r="AQ101" s="1272"/>
      <c r="AR101" s="808"/>
      <c r="AS101" s="808"/>
      <c r="AT101" s="808"/>
      <c r="AU101" s="808"/>
      <c r="AV101" s="808"/>
      <c r="AW101" s="808"/>
      <c r="AX101" s="808"/>
      <c r="AY101" s="808"/>
      <c r="AZ101" s="1332"/>
      <c r="BA101" s="808"/>
      <c r="BB101" s="808"/>
      <c r="BC101" s="2371"/>
      <c r="BD101" s="2172"/>
      <c r="BE101" s="808"/>
      <c r="BF101" s="2174"/>
      <c r="BG101" s="2174"/>
      <c r="BH101" s="808"/>
      <c r="BI101" s="808"/>
      <c r="BJ101" s="808"/>
      <c r="BK101" s="808"/>
      <c r="BL101" s="808"/>
    </row>
    <row r="102" spans="1:73">
      <c r="A102" s="461"/>
      <c r="B102" s="808"/>
      <c r="C102" s="808"/>
      <c r="D102" s="10254"/>
      <c r="E102" s="10254"/>
      <c r="F102" s="10254"/>
      <c r="G102" s="10254"/>
      <c r="H102" s="10254"/>
      <c r="I102" s="10255"/>
      <c r="J102" s="10261"/>
      <c r="K102" s="10262"/>
      <c r="L102" s="10262"/>
      <c r="M102" s="10262"/>
      <c r="N102" s="10262"/>
      <c r="O102" s="10262"/>
      <c r="P102" s="10262"/>
      <c r="Q102" s="10262"/>
      <c r="R102" s="10263"/>
      <c r="S102" s="10261"/>
      <c r="T102" s="10262"/>
      <c r="U102" s="10262"/>
      <c r="V102" s="10262"/>
      <c r="W102" s="10262"/>
      <c r="X102" s="10262"/>
      <c r="Y102" s="10262"/>
      <c r="Z102" s="10262"/>
      <c r="AA102" s="10263"/>
      <c r="AB102" s="10261"/>
      <c r="AC102" s="10262"/>
      <c r="AD102" s="10262"/>
      <c r="AE102" s="10262"/>
      <c r="AF102" s="10262"/>
      <c r="AG102" s="10262"/>
      <c r="AH102" s="10262"/>
      <c r="AI102" s="10262"/>
      <c r="AJ102" s="10262"/>
      <c r="AK102" s="461"/>
      <c r="AL102" s="808"/>
      <c r="AM102" s="808"/>
      <c r="AN102" s="808"/>
      <c r="AO102" s="808"/>
      <c r="AP102" s="1272"/>
      <c r="AQ102" s="1272"/>
      <c r="AR102" s="808"/>
      <c r="AS102" s="808"/>
      <c r="AT102" s="808"/>
      <c r="AU102" s="808"/>
      <c r="AV102" s="808"/>
      <c r="AW102" s="808"/>
      <c r="AX102" s="808"/>
      <c r="AY102" s="808"/>
      <c r="AZ102" s="1332"/>
      <c r="BA102" s="808"/>
      <c r="BB102" s="808"/>
      <c r="BC102" s="2371"/>
      <c r="BD102" s="2172"/>
      <c r="BE102" s="808"/>
      <c r="BF102" s="2174"/>
      <c r="BG102" s="2174"/>
      <c r="BH102" s="808"/>
      <c r="BI102" s="808"/>
      <c r="BJ102" s="808"/>
      <c r="BK102" s="808"/>
      <c r="BL102" s="808"/>
    </row>
    <row r="103" spans="1:73" ht="18" customHeight="1">
      <c r="A103" s="461"/>
      <c r="B103" s="808"/>
      <c r="C103" s="808"/>
      <c r="D103" s="10254"/>
      <c r="E103" s="10254"/>
      <c r="F103" s="10254"/>
      <c r="G103" s="10254"/>
      <c r="H103" s="10254"/>
      <c r="I103" s="10255"/>
      <c r="J103" s="10261"/>
      <c r="K103" s="10262"/>
      <c r="L103" s="10262"/>
      <c r="M103" s="10262"/>
      <c r="N103" s="10262"/>
      <c r="O103" s="10262"/>
      <c r="P103" s="10262"/>
      <c r="Q103" s="10262"/>
      <c r="R103" s="10263"/>
      <c r="S103" s="10261"/>
      <c r="T103" s="10262"/>
      <c r="U103" s="10262"/>
      <c r="V103" s="10262"/>
      <c r="W103" s="10262"/>
      <c r="X103" s="10262"/>
      <c r="Y103" s="10262"/>
      <c r="Z103" s="10262"/>
      <c r="AA103" s="10263"/>
      <c r="AB103" s="10261"/>
      <c r="AC103" s="10262"/>
      <c r="AD103" s="10262"/>
      <c r="AE103" s="10262"/>
      <c r="AF103" s="10262"/>
      <c r="AG103" s="10262"/>
      <c r="AH103" s="10262"/>
      <c r="AI103" s="10262"/>
      <c r="AJ103" s="10262"/>
      <c r="AK103" s="461"/>
      <c r="AL103" s="808"/>
      <c r="AM103" s="808"/>
      <c r="AN103" s="808"/>
      <c r="AO103" s="808"/>
      <c r="AP103" s="1272"/>
      <c r="AQ103" s="1272"/>
      <c r="AR103" s="808"/>
      <c r="AS103" s="808"/>
      <c r="AT103" s="808"/>
      <c r="AU103" s="808"/>
      <c r="AV103" s="808"/>
      <c r="AW103" s="808"/>
      <c r="AX103" s="808"/>
      <c r="AY103" s="808"/>
      <c r="AZ103" s="1332"/>
      <c r="BA103" s="808"/>
      <c r="BB103" s="808"/>
      <c r="BC103" s="2371"/>
      <c r="BD103" s="2172"/>
      <c r="BE103" s="808"/>
      <c r="BF103" s="2174"/>
      <c r="BG103" s="2174"/>
      <c r="BH103" s="808"/>
      <c r="BI103" s="808"/>
      <c r="BJ103" s="808"/>
      <c r="BK103" s="808"/>
      <c r="BL103" s="808"/>
    </row>
    <row r="104" spans="1:73">
      <c r="A104" s="461"/>
      <c r="B104" s="808"/>
      <c r="C104" s="808"/>
      <c r="D104" s="10254"/>
      <c r="E104" s="10254"/>
      <c r="F104" s="10254"/>
      <c r="G104" s="10254"/>
      <c r="H104" s="10254"/>
      <c r="I104" s="10255"/>
      <c r="J104" s="10261"/>
      <c r="K104" s="10262"/>
      <c r="L104" s="10262"/>
      <c r="M104" s="10262"/>
      <c r="N104" s="10262"/>
      <c r="O104" s="10262"/>
      <c r="P104" s="10262"/>
      <c r="Q104" s="10262"/>
      <c r="R104" s="10263"/>
      <c r="S104" s="10261"/>
      <c r="T104" s="10262"/>
      <c r="U104" s="10262"/>
      <c r="V104" s="10262"/>
      <c r="W104" s="10262"/>
      <c r="X104" s="10262"/>
      <c r="Y104" s="10262"/>
      <c r="Z104" s="10262"/>
      <c r="AA104" s="10263"/>
      <c r="AB104" s="10261"/>
      <c r="AC104" s="10262"/>
      <c r="AD104" s="10262"/>
      <c r="AE104" s="10262"/>
      <c r="AF104" s="10262"/>
      <c r="AG104" s="10262"/>
      <c r="AH104" s="10262"/>
      <c r="AI104" s="10262"/>
      <c r="AJ104" s="10262"/>
      <c r="AK104" s="461"/>
      <c r="AL104" s="808"/>
      <c r="AM104" s="808"/>
      <c r="AN104" s="808"/>
      <c r="AO104" s="808"/>
      <c r="AP104" s="1272"/>
      <c r="AQ104" s="1272"/>
      <c r="AR104" s="808"/>
      <c r="AS104" s="808"/>
      <c r="AT104" s="808"/>
      <c r="AU104" s="808"/>
      <c r="AV104" s="808"/>
      <c r="AW104" s="808"/>
      <c r="AX104" s="808"/>
      <c r="AY104" s="808"/>
      <c r="AZ104" s="1332"/>
      <c r="BA104" s="808"/>
      <c r="BB104" s="808"/>
      <c r="BC104" s="2371"/>
      <c r="BD104" s="2172"/>
      <c r="BE104" s="808"/>
      <c r="BF104" s="2174"/>
      <c r="BG104" s="2174"/>
      <c r="BH104" s="808"/>
      <c r="BI104" s="808"/>
      <c r="BJ104" s="808"/>
      <c r="BK104" s="808"/>
      <c r="BL104" s="808"/>
    </row>
    <row r="105" spans="1:73" ht="16.5" customHeight="1">
      <c r="A105" s="461"/>
      <c r="B105" s="1121"/>
      <c r="C105" s="1121"/>
      <c r="D105" s="10256"/>
      <c r="E105" s="10256"/>
      <c r="F105" s="10256"/>
      <c r="G105" s="10256"/>
      <c r="H105" s="10256"/>
      <c r="I105" s="10257"/>
      <c r="J105" s="10265"/>
      <c r="K105" s="10266"/>
      <c r="L105" s="10266"/>
      <c r="M105" s="10266"/>
      <c r="N105" s="10266"/>
      <c r="O105" s="10267"/>
      <c r="P105" s="10267"/>
      <c r="Q105" s="10267"/>
      <c r="R105" s="10268"/>
      <c r="S105" s="10265"/>
      <c r="T105" s="10266"/>
      <c r="U105" s="10266"/>
      <c r="V105" s="10266"/>
      <c r="W105" s="10266"/>
      <c r="X105" s="10267"/>
      <c r="Y105" s="10267"/>
      <c r="Z105" s="10267"/>
      <c r="AA105" s="10268"/>
      <c r="AB105" s="10266"/>
      <c r="AC105" s="10266"/>
      <c r="AD105" s="10266"/>
      <c r="AE105" s="10266"/>
      <c r="AF105" s="10266"/>
      <c r="AG105" s="10267"/>
      <c r="AH105" s="10267"/>
      <c r="AI105" s="10267"/>
      <c r="AJ105" s="10267"/>
      <c r="AK105" s="461"/>
      <c r="AL105" s="808"/>
      <c r="AM105" s="808"/>
      <c r="AN105" s="808"/>
      <c r="AO105" s="808"/>
      <c r="AP105" s="1272"/>
      <c r="AQ105" s="1272"/>
      <c r="AR105" s="808"/>
      <c r="AS105" s="808"/>
      <c r="AT105" s="808"/>
      <c r="AU105" s="808"/>
      <c r="AV105" s="808"/>
      <c r="AW105" s="808"/>
      <c r="AX105" s="808"/>
      <c r="AY105" s="808"/>
      <c r="AZ105" s="1332"/>
      <c r="BA105" s="808"/>
      <c r="BB105" s="808"/>
      <c r="BC105" s="2371"/>
      <c r="BD105" s="2172"/>
      <c r="BE105" s="808"/>
      <c r="BF105" s="2174"/>
      <c r="BG105" s="2174"/>
      <c r="BH105" s="808"/>
      <c r="BI105" s="808"/>
      <c r="BJ105" s="808"/>
      <c r="BK105" s="808"/>
      <c r="BL105" s="808"/>
    </row>
    <row r="106" spans="1:73" s="1998" customFormat="1" ht="21" customHeight="1">
      <c r="A106" s="4010"/>
      <c r="B106" s="5775" t="s">
        <v>3823</v>
      </c>
      <c r="C106" s="2645" t="s">
        <v>5311</v>
      </c>
      <c r="D106" s="1382"/>
      <c r="E106" s="1382"/>
      <c r="F106" s="1382"/>
      <c r="G106" s="1382"/>
      <c r="H106" s="1382"/>
      <c r="I106" s="1382"/>
      <c r="J106" s="1382"/>
      <c r="K106" s="1382"/>
      <c r="L106" s="1382"/>
      <c r="M106" s="1382"/>
      <c r="N106" s="1382"/>
      <c r="O106" s="1382"/>
      <c r="P106" s="1382"/>
      <c r="Q106" s="1382"/>
      <c r="R106" s="1382"/>
      <c r="S106" s="1382"/>
      <c r="T106" s="1382"/>
      <c r="U106" s="1382"/>
      <c r="V106" s="1382"/>
      <c r="W106" s="1382"/>
      <c r="X106" s="1382"/>
      <c r="Y106" s="1382"/>
      <c r="Z106" s="1382"/>
      <c r="AA106" s="1382"/>
      <c r="AB106" s="1382"/>
      <c r="AC106" s="1382"/>
      <c r="AD106" s="1382"/>
      <c r="AE106" s="1382"/>
      <c r="AF106" s="1382"/>
      <c r="AG106" s="1382"/>
      <c r="AH106" s="1382"/>
      <c r="AI106" s="1382"/>
      <c r="AJ106" s="1382"/>
      <c r="AK106" s="4010"/>
      <c r="AL106" s="1382"/>
      <c r="AM106" s="1382"/>
      <c r="AN106" s="1382"/>
      <c r="AO106" s="1382"/>
      <c r="AP106" s="1272"/>
      <c r="AQ106" s="1272"/>
      <c r="AR106" s="1382"/>
      <c r="AS106" s="1382"/>
      <c r="AT106" s="1382"/>
      <c r="AU106" s="1382"/>
      <c r="AV106" s="1382"/>
      <c r="AW106" s="1382"/>
      <c r="AX106" s="1382"/>
      <c r="AY106" s="1382"/>
      <c r="AZ106" s="6006"/>
      <c r="BA106" s="1382"/>
      <c r="BB106" s="1382"/>
      <c r="BC106" s="6007"/>
      <c r="BD106" s="2172"/>
      <c r="BE106" s="1382"/>
      <c r="BF106" s="2174"/>
      <c r="BG106" s="2174"/>
      <c r="BH106" s="1382"/>
      <c r="BI106" s="1382"/>
      <c r="BJ106" s="1382"/>
      <c r="BK106" s="1382"/>
      <c r="BL106" s="1382"/>
      <c r="BM106" s="4538"/>
      <c r="BN106" s="2045"/>
      <c r="BO106" s="2045"/>
      <c r="BP106" s="2045"/>
      <c r="BQ106" s="2045"/>
      <c r="BR106" s="2045"/>
      <c r="BS106" s="2045"/>
      <c r="BT106" s="2045"/>
      <c r="BU106" s="2045"/>
    </row>
    <row r="107" spans="1:73" ht="15.75">
      <c r="A107" s="461"/>
      <c r="B107" s="808"/>
      <c r="C107" s="1114"/>
      <c r="D107" s="1145" t="s">
        <v>1069</v>
      </c>
      <c r="E107" s="808"/>
      <c r="F107" s="2112" t="s">
        <v>5312</v>
      </c>
      <c r="G107" s="808"/>
      <c r="H107" s="808"/>
      <c r="I107" s="808"/>
      <c r="J107" s="808"/>
      <c r="K107" s="808"/>
      <c r="L107" s="808"/>
      <c r="M107" s="808"/>
      <c r="N107" s="808"/>
      <c r="O107" s="808"/>
      <c r="P107" s="808"/>
      <c r="Q107" s="808"/>
      <c r="R107" s="808"/>
      <c r="S107" s="808"/>
      <c r="T107" s="808"/>
      <c r="U107" s="808"/>
      <c r="V107" s="808"/>
      <c r="W107" s="808"/>
      <c r="X107" s="808"/>
      <c r="Y107" s="808"/>
      <c r="Z107" s="808"/>
      <c r="AA107" s="808"/>
      <c r="AB107" s="808"/>
      <c r="AC107" s="808"/>
      <c r="AD107" s="808"/>
      <c r="AE107" s="808"/>
      <c r="AF107" s="808"/>
      <c r="AG107" s="808"/>
      <c r="AH107" s="808"/>
      <c r="AI107" s="808"/>
      <c r="AJ107" s="808"/>
      <c r="AK107" s="461"/>
      <c r="AL107" s="808"/>
      <c r="AM107" s="808"/>
      <c r="AN107" s="808"/>
      <c r="AO107" s="808"/>
      <c r="AP107" s="1272"/>
      <c r="AQ107" s="1272"/>
      <c r="AR107" s="808"/>
      <c r="AS107" s="808"/>
      <c r="AT107" s="808"/>
      <c r="AU107" s="808"/>
      <c r="AV107" s="808"/>
      <c r="AW107" s="808"/>
      <c r="AX107" s="808"/>
      <c r="AY107" s="808"/>
      <c r="AZ107" s="1332"/>
      <c r="BA107" s="808"/>
      <c r="BB107" s="808"/>
      <c r="BC107" s="2371"/>
      <c r="BD107" s="2172"/>
      <c r="BE107" s="808"/>
      <c r="BF107" s="2174"/>
      <c r="BG107" s="2174"/>
      <c r="BH107" s="808"/>
      <c r="BI107" s="808"/>
      <c r="BJ107" s="808"/>
      <c r="BK107" s="808"/>
      <c r="BL107" s="808"/>
    </row>
    <row r="108" spans="1:73" ht="12.75" customHeight="1">
      <c r="A108" s="461"/>
      <c r="B108" s="808"/>
      <c r="C108" s="2112" t="s">
        <v>5313</v>
      </c>
      <c r="D108" s="808"/>
      <c r="E108" s="808"/>
      <c r="F108" s="808"/>
      <c r="G108" s="808"/>
      <c r="H108" s="808"/>
      <c r="I108" s="808"/>
      <c r="J108" s="808"/>
      <c r="K108" s="808"/>
      <c r="L108" s="808"/>
      <c r="M108" s="808"/>
      <c r="N108" s="808"/>
      <c r="O108" s="808"/>
      <c r="P108" s="808"/>
      <c r="Q108" s="808"/>
      <c r="R108" s="808"/>
      <c r="S108" s="808"/>
      <c r="T108" s="808"/>
      <c r="U108" s="808"/>
      <c r="V108" s="808"/>
      <c r="W108" s="808"/>
      <c r="X108" s="808"/>
      <c r="Y108" s="808"/>
      <c r="Z108" s="808"/>
      <c r="AA108" s="808"/>
      <c r="AB108" s="808"/>
      <c r="AC108" s="808"/>
      <c r="AD108" s="808"/>
      <c r="AE108" s="808"/>
      <c r="AF108" s="808"/>
      <c r="AG108" s="808"/>
      <c r="AH108" s="808"/>
      <c r="AI108" s="808"/>
      <c r="AJ108" s="808"/>
      <c r="AK108" s="461"/>
      <c r="AL108" s="808"/>
      <c r="AM108" s="808"/>
      <c r="AN108" s="808"/>
      <c r="AO108" s="808"/>
      <c r="AP108" s="1272"/>
      <c r="AQ108" s="1272"/>
      <c r="AR108" s="808"/>
      <c r="AS108" s="808"/>
      <c r="AT108" s="808"/>
      <c r="AU108" s="808"/>
      <c r="AV108" s="808"/>
      <c r="AW108" s="808"/>
      <c r="AX108" s="808"/>
      <c r="AY108" s="808"/>
      <c r="AZ108" s="1332"/>
      <c r="BA108" s="808"/>
      <c r="BB108" s="808"/>
      <c r="BC108" s="2371"/>
      <c r="BD108" s="2172"/>
      <c r="BE108" s="808"/>
      <c r="BF108" s="2174"/>
      <c r="BG108" s="2174"/>
      <c r="BH108" s="808"/>
      <c r="BI108" s="808"/>
      <c r="BJ108" s="808"/>
      <c r="BK108" s="808"/>
      <c r="BL108" s="808"/>
    </row>
    <row r="109" spans="1:73" ht="14.25">
      <c r="A109" s="461"/>
      <c r="B109" s="808"/>
      <c r="C109" s="2112" t="s">
        <v>5314</v>
      </c>
      <c r="D109" s="808"/>
      <c r="E109" s="808"/>
      <c r="F109" s="808"/>
      <c r="G109" s="808"/>
      <c r="H109" s="808"/>
      <c r="I109" s="808"/>
      <c r="J109" s="808"/>
      <c r="K109" s="808"/>
      <c r="L109" s="808"/>
      <c r="M109" s="808"/>
      <c r="N109" s="808"/>
      <c r="O109" s="808"/>
      <c r="P109" s="808"/>
      <c r="Q109" s="808"/>
      <c r="R109" s="808"/>
      <c r="S109" s="808"/>
      <c r="T109" s="808"/>
      <c r="U109" s="808"/>
      <c r="V109" s="808"/>
      <c r="W109" s="808"/>
      <c r="X109" s="808"/>
      <c r="Y109" s="808"/>
      <c r="Z109" s="808"/>
      <c r="AA109" s="808"/>
      <c r="AB109" s="808"/>
      <c r="AC109" s="808"/>
      <c r="AD109" s="808"/>
      <c r="AE109" s="808"/>
      <c r="AF109" s="808"/>
      <c r="AG109" s="808"/>
      <c r="AH109" s="808"/>
      <c r="AI109" s="808"/>
      <c r="AJ109" s="808"/>
      <c r="AK109" s="461"/>
      <c r="AL109" s="808"/>
      <c r="AM109" s="808"/>
      <c r="AN109" s="808"/>
      <c r="AO109" s="808"/>
      <c r="AP109" s="1272"/>
      <c r="AQ109" s="1272"/>
      <c r="AR109" s="808"/>
      <c r="AS109" s="808"/>
      <c r="AT109" s="808"/>
      <c r="AU109" s="808"/>
      <c r="AV109" s="808"/>
      <c r="AW109" s="808"/>
      <c r="AX109" s="808"/>
      <c r="AY109" s="808"/>
      <c r="AZ109" s="1332"/>
      <c r="BA109" s="808"/>
      <c r="BB109" s="808"/>
      <c r="BC109" s="2371"/>
      <c r="BD109" s="2172"/>
      <c r="BE109" s="808"/>
      <c r="BF109" s="2174"/>
      <c r="BG109" s="2174"/>
      <c r="BH109" s="808"/>
      <c r="BI109" s="808"/>
      <c r="BJ109" s="808"/>
      <c r="BK109" s="808"/>
      <c r="BL109" s="808"/>
    </row>
    <row r="110" spans="1:73">
      <c r="A110" s="461"/>
      <c r="B110" s="808"/>
      <c r="C110" s="808"/>
      <c r="D110" s="808"/>
      <c r="E110" s="808"/>
      <c r="F110" s="808"/>
      <c r="G110" s="808"/>
      <c r="H110" s="808"/>
      <c r="I110" s="808"/>
      <c r="J110" s="808"/>
      <c r="K110" s="808"/>
      <c r="L110" s="808"/>
      <c r="M110" s="808"/>
      <c r="N110" s="808"/>
      <c r="O110" s="808"/>
      <c r="P110" s="808"/>
      <c r="Q110" s="808"/>
      <c r="R110" s="808"/>
      <c r="S110" s="808"/>
      <c r="T110" s="808"/>
      <c r="U110" s="808"/>
      <c r="V110" s="808"/>
      <c r="W110" s="808"/>
      <c r="X110" s="808"/>
      <c r="Y110" s="808"/>
      <c r="Z110" s="808"/>
      <c r="AA110" s="808"/>
      <c r="AB110" s="808"/>
      <c r="AC110" s="808"/>
      <c r="AD110" s="808"/>
      <c r="AE110" s="808"/>
      <c r="AF110" s="808"/>
      <c r="AG110" s="808"/>
      <c r="AH110" s="808"/>
      <c r="AI110" s="808"/>
      <c r="AJ110" s="808"/>
      <c r="AK110" s="461"/>
      <c r="AL110" s="808"/>
      <c r="AM110" s="808"/>
      <c r="AN110" s="808"/>
      <c r="AO110" s="808"/>
      <c r="AP110" s="808"/>
      <c r="AQ110" s="808"/>
      <c r="AR110" s="808"/>
      <c r="AS110" s="808"/>
      <c r="AT110" s="808"/>
      <c r="AU110" s="808"/>
      <c r="AV110" s="808"/>
      <c r="AW110" s="808"/>
      <c r="AX110" s="808"/>
      <c r="AY110" s="808"/>
      <c r="AZ110" s="1332"/>
      <c r="BA110" s="808"/>
      <c r="BB110" s="808"/>
      <c r="BC110" s="2371"/>
      <c r="BD110" s="2172"/>
      <c r="BE110" s="808"/>
      <c r="BF110" s="2174"/>
      <c r="BG110" s="2174"/>
      <c r="BH110" s="808"/>
      <c r="BI110" s="808"/>
      <c r="BJ110" s="808"/>
      <c r="BK110" s="808"/>
      <c r="BL110" s="808"/>
    </row>
    <row r="111" spans="1:73" ht="18" customHeight="1">
      <c r="A111" s="461"/>
      <c r="B111" s="808"/>
      <c r="C111" s="1114"/>
      <c r="D111" s="1145" t="s">
        <v>1067</v>
      </c>
      <c r="E111" s="808"/>
      <c r="F111" s="2112" t="s">
        <v>5315</v>
      </c>
      <c r="G111" s="808"/>
      <c r="H111" s="808"/>
      <c r="I111" s="808"/>
      <c r="J111" s="808"/>
      <c r="K111" s="808"/>
      <c r="L111" s="808"/>
      <c r="M111" s="808"/>
      <c r="N111" s="808"/>
      <c r="O111" s="808"/>
      <c r="P111" s="808"/>
      <c r="Q111" s="808"/>
      <c r="R111" s="808"/>
      <c r="S111" s="808"/>
      <c r="T111" s="808"/>
      <c r="U111" s="808"/>
      <c r="V111" s="808"/>
      <c r="W111" s="808"/>
      <c r="X111" s="808"/>
      <c r="Y111" s="808"/>
      <c r="Z111" s="808"/>
      <c r="AA111" s="808"/>
      <c r="AB111" s="808"/>
      <c r="AC111" s="808"/>
      <c r="AD111" s="808"/>
      <c r="AE111" s="808"/>
      <c r="AF111" s="808"/>
      <c r="AG111" s="808"/>
      <c r="AH111" s="808"/>
      <c r="AI111" s="808"/>
      <c r="AJ111" s="808"/>
      <c r="AK111" s="461"/>
      <c r="AL111" s="808"/>
      <c r="AM111" s="808"/>
      <c r="AN111" s="808"/>
      <c r="AO111" s="808"/>
      <c r="AP111" s="808"/>
      <c r="AQ111" s="808"/>
      <c r="AR111" s="808"/>
      <c r="AS111" s="808"/>
      <c r="AT111" s="808"/>
      <c r="AU111" s="808"/>
      <c r="AV111" s="808"/>
      <c r="AW111" s="808"/>
      <c r="AX111" s="808"/>
      <c r="AY111" s="808"/>
      <c r="AZ111" s="1332"/>
      <c r="BA111" s="808"/>
      <c r="BB111" s="808"/>
      <c r="BC111" s="2371"/>
      <c r="BD111" s="2172"/>
      <c r="BE111" s="808"/>
      <c r="BF111" s="2174"/>
      <c r="BG111" s="2174"/>
      <c r="BH111" s="808"/>
      <c r="BI111" s="808"/>
      <c r="BJ111" s="808"/>
      <c r="BK111" s="808"/>
      <c r="BL111" s="808"/>
    </row>
    <row r="112" spans="1:73" ht="13.5" thickBot="1">
      <c r="A112" s="461"/>
      <c r="B112" s="808"/>
      <c r="C112" s="808"/>
      <c r="D112" s="808"/>
      <c r="E112" s="808"/>
      <c r="F112" s="808"/>
      <c r="G112" s="808"/>
      <c r="H112" s="808"/>
      <c r="I112" s="808"/>
      <c r="J112" s="808"/>
      <c r="K112" s="808"/>
      <c r="L112" s="808"/>
      <c r="M112" s="808"/>
      <c r="N112" s="808"/>
      <c r="O112" s="808"/>
      <c r="P112" s="808"/>
      <c r="Q112" s="808"/>
      <c r="R112" s="808"/>
      <c r="S112" s="808"/>
      <c r="T112" s="808"/>
      <c r="U112" s="808"/>
      <c r="V112" s="808"/>
      <c r="W112" s="808"/>
      <c r="X112" s="808"/>
      <c r="Y112" s="808"/>
      <c r="Z112" s="808"/>
      <c r="AA112" s="808"/>
      <c r="AB112" s="808"/>
      <c r="AC112" s="808"/>
      <c r="AD112" s="808"/>
      <c r="AE112" s="808"/>
      <c r="AF112" s="808"/>
      <c r="AG112" s="808"/>
      <c r="AH112" s="808"/>
      <c r="AI112" s="808"/>
      <c r="AJ112" s="808"/>
      <c r="AK112" s="461"/>
      <c r="AL112" s="808"/>
      <c r="AM112" s="808"/>
      <c r="AN112" s="808"/>
      <c r="AO112" s="808"/>
      <c r="AP112" s="808"/>
      <c r="AQ112" s="808"/>
      <c r="AR112" s="808"/>
      <c r="AS112" s="808"/>
      <c r="AT112" s="808"/>
      <c r="AU112" s="808"/>
      <c r="AV112" s="808"/>
      <c r="AW112" s="808"/>
      <c r="AX112" s="808"/>
      <c r="AY112" s="808"/>
      <c r="AZ112" s="1332"/>
      <c r="BA112" s="808"/>
      <c r="BB112" s="808"/>
      <c r="BC112" s="2371"/>
      <c r="BD112" s="2172"/>
      <c r="BE112" s="808"/>
      <c r="BF112" s="2174"/>
      <c r="BG112" s="2174"/>
      <c r="BH112" s="808"/>
      <c r="BI112" s="808"/>
      <c r="BJ112" s="808"/>
      <c r="BK112" s="808"/>
      <c r="BL112" s="808"/>
    </row>
    <row r="113" spans="1:64" ht="18">
      <c r="A113" s="461"/>
      <c r="B113" s="6909" t="s">
        <v>2425</v>
      </c>
      <c r="C113" s="6909"/>
      <c r="D113" s="1146"/>
      <c r="E113" s="1146" t="s">
        <v>5316</v>
      </c>
      <c r="F113" s="1147"/>
      <c r="G113" s="1147"/>
      <c r="H113" s="1147"/>
      <c r="I113" s="1147"/>
      <c r="J113" s="1147"/>
      <c r="K113" s="1147"/>
      <c r="L113" s="1147"/>
      <c r="M113" s="1147"/>
      <c r="N113" s="1147"/>
      <c r="O113" s="1147"/>
      <c r="P113" s="1147"/>
      <c r="Q113" s="1147"/>
      <c r="R113" s="1147"/>
      <c r="S113" s="1147"/>
      <c r="T113" s="1147"/>
      <c r="U113" s="1147"/>
      <c r="V113" s="1147"/>
      <c r="W113" s="1147"/>
      <c r="X113" s="1147"/>
      <c r="Y113" s="1147"/>
      <c r="Z113" s="1147"/>
      <c r="AA113" s="1147"/>
      <c r="AB113" s="1147"/>
      <c r="AC113" s="1147"/>
      <c r="AD113" s="1147"/>
      <c r="AE113" s="1147"/>
      <c r="AF113" s="1147"/>
      <c r="AG113" s="1147"/>
      <c r="AH113" s="1147"/>
      <c r="AI113" s="1147"/>
      <c r="AJ113" s="1147"/>
      <c r="AK113" s="461"/>
      <c r="AL113" s="808"/>
      <c r="AM113" s="808"/>
      <c r="AN113" s="808"/>
      <c r="AO113" s="808"/>
      <c r="AP113" s="808"/>
      <c r="AQ113" s="808"/>
      <c r="AR113" s="808"/>
      <c r="AS113" s="808"/>
      <c r="AT113" s="808"/>
      <c r="AU113" s="808"/>
      <c r="AV113" s="808"/>
      <c r="AW113" s="808"/>
      <c r="AX113" s="808"/>
      <c r="AY113" s="808"/>
      <c r="AZ113" s="1332"/>
      <c r="BA113" s="808"/>
      <c r="BB113" s="808"/>
      <c r="BC113" s="2371"/>
      <c r="BD113" s="2172"/>
      <c r="BE113" s="808"/>
      <c r="BF113" s="2174"/>
      <c r="BG113" s="2174"/>
      <c r="BH113" s="808"/>
      <c r="BI113" s="808"/>
      <c r="BJ113" s="808"/>
      <c r="BK113" s="808"/>
      <c r="BL113" s="808"/>
    </row>
    <row r="114" spans="1:64" ht="14.25">
      <c r="A114" s="461"/>
      <c r="B114" s="2112" t="s">
        <v>5317</v>
      </c>
      <c r="C114" s="808"/>
      <c r="D114" s="808"/>
      <c r="E114" s="808"/>
      <c r="F114" s="808"/>
      <c r="G114" s="808"/>
      <c r="H114" s="808"/>
      <c r="I114" s="808"/>
      <c r="J114" s="808"/>
      <c r="K114" s="808"/>
      <c r="L114" s="808"/>
      <c r="M114" s="808"/>
      <c r="N114" s="808"/>
      <c r="O114" s="808"/>
      <c r="P114" s="808"/>
      <c r="Q114" s="808"/>
      <c r="R114" s="808"/>
      <c r="S114" s="808"/>
      <c r="T114" s="808"/>
      <c r="U114" s="808"/>
      <c r="V114" s="808"/>
      <c r="W114" s="808"/>
      <c r="X114" s="808"/>
      <c r="Y114" s="808"/>
      <c r="Z114" s="808"/>
      <c r="AA114" s="808"/>
      <c r="AB114" s="808"/>
      <c r="AC114" s="808"/>
      <c r="AD114" s="808"/>
      <c r="AE114" s="808"/>
      <c r="AF114" s="808"/>
      <c r="AG114" s="808"/>
      <c r="AH114" s="808"/>
      <c r="AI114" s="808"/>
      <c r="AJ114" s="808"/>
      <c r="AK114" s="461"/>
      <c r="AL114" s="808"/>
      <c r="AM114" s="808"/>
      <c r="AN114" s="808"/>
      <c r="AO114" s="808"/>
      <c r="AP114" s="808"/>
      <c r="AQ114" s="808"/>
      <c r="AR114" s="808"/>
      <c r="AS114" s="808"/>
      <c r="AT114" s="808"/>
      <c r="AU114" s="808"/>
      <c r="AV114" s="808"/>
      <c r="AW114" s="808"/>
      <c r="AX114" s="808"/>
      <c r="AY114" s="808"/>
      <c r="AZ114" s="1332"/>
      <c r="BA114" s="808"/>
      <c r="BB114" s="808"/>
      <c r="BC114" s="2371"/>
      <c r="BD114" s="2172"/>
      <c r="BE114" s="808"/>
      <c r="BF114" s="2174"/>
      <c r="BG114" s="2174"/>
      <c r="BH114" s="808"/>
      <c r="BI114" s="808"/>
      <c r="BJ114" s="808"/>
      <c r="BK114" s="808"/>
      <c r="BL114" s="808"/>
    </row>
    <row r="115" spans="1:64" ht="14.25">
      <c r="A115" s="461"/>
      <c r="B115" s="2190" t="s">
        <v>5318</v>
      </c>
      <c r="C115" s="1121"/>
      <c r="D115" s="1121"/>
      <c r="E115" s="1121"/>
      <c r="F115" s="1121"/>
      <c r="G115" s="1121"/>
      <c r="H115" s="1121"/>
      <c r="I115" s="1121"/>
      <c r="J115" s="1121"/>
      <c r="K115" s="1121"/>
      <c r="L115" s="1121"/>
      <c r="M115" s="1121"/>
      <c r="N115" s="1121"/>
      <c r="O115" s="1121"/>
      <c r="P115" s="1121"/>
      <c r="Q115" s="1121"/>
      <c r="R115" s="1121"/>
      <c r="S115" s="1121"/>
      <c r="T115" s="1121"/>
      <c r="U115" s="1121"/>
      <c r="V115" s="1121"/>
      <c r="W115" s="1121"/>
      <c r="X115" s="1121"/>
      <c r="Y115" s="1121"/>
      <c r="Z115" s="1121"/>
      <c r="AA115" s="1121"/>
      <c r="AB115" s="1121"/>
      <c r="AC115" s="1121"/>
      <c r="AD115" s="1121"/>
      <c r="AE115" s="1121"/>
      <c r="AF115" s="1121"/>
      <c r="AG115" s="1121"/>
      <c r="AH115" s="1121"/>
      <c r="AI115" s="1121"/>
      <c r="AJ115" s="1121"/>
      <c r="AK115" s="461"/>
      <c r="AL115" s="808"/>
      <c r="AM115" s="808"/>
      <c r="AN115" s="808"/>
      <c r="AO115" s="808"/>
      <c r="AP115" s="808"/>
      <c r="AQ115" s="808"/>
      <c r="AR115" s="808"/>
      <c r="AS115" s="808"/>
      <c r="AT115" s="808"/>
      <c r="AU115" s="808"/>
      <c r="AV115" s="808"/>
      <c r="AW115" s="808"/>
      <c r="AX115" s="808"/>
      <c r="AY115" s="808"/>
      <c r="AZ115" s="1332"/>
      <c r="BA115" s="808"/>
      <c r="BB115" s="808"/>
      <c r="BC115" s="2371"/>
      <c r="BD115" s="2172"/>
      <c r="BE115" s="808"/>
      <c r="BF115" s="2174"/>
      <c r="BG115" s="2174"/>
      <c r="BH115" s="808"/>
      <c r="BI115" s="808"/>
      <c r="BJ115" s="808"/>
      <c r="BK115" s="808"/>
      <c r="BL115" s="808"/>
    </row>
    <row r="116" spans="1:64" ht="27" customHeight="1">
      <c r="A116" s="461"/>
      <c r="B116" s="10355" t="s">
        <v>3825</v>
      </c>
      <c r="C116" s="1254"/>
      <c r="D116" s="10341" t="s">
        <v>5319</v>
      </c>
      <c r="E116" s="8196"/>
      <c r="F116" s="8196"/>
      <c r="G116" s="8196"/>
      <c r="H116" s="8207"/>
      <c r="I116" s="1465" t="s">
        <v>2536</v>
      </c>
      <c r="J116" s="10239" t="s">
        <v>5320</v>
      </c>
      <c r="K116" s="10239"/>
      <c r="L116" s="10239"/>
      <c r="M116" s="10239"/>
      <c r="N116" s="10239"/>
      <c r="O116" s="10278"/>
      <c r="P116" s="1464" t="s">
        <v>2537</v>
      </c>
      <c r="Q116" s="10293" t="s">
        <v>5321</v>
      </c>
      <c r="R116" s="10239"/>
      <c r="S116" s="10239"/>
      <c r="T116" s="10239"/>
      <c r="U116" s="10239"/>
      <c r="V116" s="10278"/>
      <c r="W116" s="1464" t="s">
        <v>3420</v>
      </c>
      <c r="X116" s="10239" t="s">
        <v>5322</v>
      </c>
      <c r="Y116" s="10239"/>
      <c r="Z116" s="10239"/>
      <c r="AA116" s="10239"/>
      <c r="AB116" s="10239"/>
      <c r="AC116" s="10278"/>
      <c r="AD116" s="1464" t="s">
        <v>2462</v>
      </c>
      <c r="AE116" s="10239" t="s">
        <v>5323</v>
      </c>
      <c r="AF116" s="10239"/>
      <c r="AG116" s="10239"/>
      <c r="AH116" s="10239"/>
      <c r="AI116" s="10239"/>
      <c r="AJ116" s="10239"/>
      <c r="AK116" s="461"/>
      <c r="AL116" s="808"/>
      <c r="AM116" s="808"/>
      <c r="AN116" s="808"/>
      <c r="AO116" s="808"/>
      <c r="AP116" s="808"/>
      <c r="AQ116" s="808"/>
      <c r="AR116" s="808"/>
      <c r="AS116" s="808"/>
      <c r="AT116" s="808"/>
      <c r="AU116" s="808"/>
      <c r="AV116" s="808"/>
      <c r="AW116" s="808"/>
      <c r="AX116" s="808"/>
      <c r="AY116" s="808"/>
      <c r="AZ116" s="1332"/>
      <c r="BA116" s="808"/>
      <c r="BB116" s="808"/>
      <c r="BC116" s="2371"/>
      <c r="BD116" s="2172"/>
      <c r="BE116" s="808"/>
      <c r="BF116" s="2174"/>
      <c r="BG116" s="2174"/>
      <c r="BH116" s="808"/>
      <c r="BI116" s="808"/>
      <c r="BJ116" s="808"/>
      <c r="BK116" s="808"/>
      <c r="BL116" s="808"/>
    </row>
    <row r="117" spans="1:64" ht="18.75" customHeight="1">
      <c r="A117" s="461"/>
      <c r="B117" s="10356"/>
      <c r="C117" s="1261"/>
      <c r="D117" s="7237"/>
      <c r="E117" s="7237"/>
      <c r="F117" s="7237"/>
      <c r="G117" s="7237"/>
      <c r="H117" s="7238"/>
      <c r="I117" s="10273"/>
      <c r="J117" s="10274"/>
      <c r="K117" s="10274"/>
      <c r="L117" s="10274"/>
      <c r="M117" s="10274"/>
      <c r="N117" s="10275"/>
      <c r="O117" s="10276"/>
      <c r="P117" s="10247"/>
      <c r="Q117" s="10248"/>
      <c r="R117" s="10248"/>
      <c r="S117" s="10248"/>
      <c r="T117" s="10248"/>
      <c r="U117" s="10249"/>
      <c r="V117" s="10277"/>
      <c r="W117" s="10247"/>
      <c r="X117" s="10248"/>
      <c r="Y117" s="10248"/>
      <c r="Z117" s="10248"/>
      <c r="AA117" s="10248"/>
      <c r="AB117" s="10249"/>
      <c r="AC117" s="10277"/>
      <c r="AD117" s="10247"/>
      <c r="AE117" s="10248"/>
      <c r="AF117" s="10248"/>
      <c r="AG117" s="10248"/>
      <c r="AH117" s="10248"/>
      <c r="AI117" s="10249"/>
      <c r="AJ117" s="10249"/>
      <c r="AK117" s="461"/>
      <c r="AL117" s="808"/>
      <c r="AM117" s="808"/>
      <c r="AN117" s="808"/>
      <c r="AO117" s="808"/>
      <c r="AP117" s="808"/>
      <c r="AQ117" s="808"/>
      <c r="AR117" s="808"/>
      <c r="AS117" s="808"/>
      <c r="AT117" s="808"/>
      <c r="AU117" s="808"/>
      <c r="AV117" s="808"/>
      <c r="AW117" s="808"/>
      <c r="AX117" s="808"/>
      <c r="AY117" s="808"/>
      <c r="AZ117" s="1332"/>
      <c r="BA117" s="808"/>
      <c r="BB117" s="808"/>
      <c r="BC117" s="2371"/>
      <c r="BD117" s="2172"/>
      <c r="BE117" s="808"/>
      <c r="BF117" s="2174"/>
      <c r="BG117" s="2174"/>
      <c r="BH117" s="808"/>
      <c r="BI117" s="808"/>
      <c r="BJ117" s="808"/>
      <c r="BK117" s="808"/>
      <c r="BL117" s="808"/>
    </row>
    <row r="118" spans="1:64" ht="26.25" customHeight="1">
      <c r="A118" s="461"/>
      <c r="B118" s="10355" t="s">
        <v>3828</v>
      </c>
      <c r="C118" s="1254"/>
      <c r="D118" s="10341" t="s">
        <v>5324</v>
      </c>
      <c r="E118" s="8196"/>
      <c r="F118" s="8196"/>
      <c r="G118" s="8196"/>
      <c r="H118" s="8207"/>
      <c r="I118" s="1465" t="s">
        <v>2536</v>
      </c>
      <c r="J118" s="10239" t="s">
        <v>5320</v>
      </c>
      <c r="K118" s="10239"/>
      <c r="L118" s="10239"/>
      <c r="M118" s="10239"/>
      <c r="N118" s="10239"/>
      <c r="O118" s="10278"/>
      <c r="P118" s="1464" t="s">
        <v>2537</v>
      </c>
      <c r="Q118" s="10293" t="s">
        <v>5321</v>
      </c>
      <c r="R118" s="10239"/>
      <c r="S118" s="10239"/>
      <c r="T118" s="10239"/>
      <c r="U118" s="10239"/>
      <c r="V118" s="10278"/>
      <c r="W118" s="1464" t="s">
        <v>3420</v>
      </c>
      <c r="X118" s="10239" t="s">
        <v>5322</v>
      </c>
      <c r="Y118" s="10239"/>
      <c r="Z118" s="10239"/>
      <c r="AA118" s="10239"/>
      <c r="AB118" s="10239"/>
      <c r="AC118" s="10278"/>
      <c r="AD118" s="1464" t="s">
        <v>2462</v>
      </c>
      <c r="AE118" s="10239" t="s">
        <v>5323</v>
      </c>
      <c r="AF118" s="10239"/>
      <c r="AG118" s="10239"/>
      <c r="AH118" s="10239"/>
      <c r="AI118" s="10239"/>
      <c r="AJ118" s="10239"/>
      <c r="AK118" s="461"/>
      <c r="AL118" s="808"/>
      <c r="AM118" s="808"/>
      <c r="AN118" s="808"/>
      <c r="AO118" s="808"/>
      <c r="AP118" s="808"/>
      <c r="AQ118" s="808"/>
      <c r="AR118" s="808"/>
      <c r="AS118" s="808"/>
      <c r="AT118" s="808"/>
      <c r="AU118" s="808"/>
      <c r="AV118" s="808"/>
      <c r="AW118" s="808"/>
      <c r="AX118" s="808"/>
      <c r="AY118" s="808"/>
      <c r="AZ118" s="1332"/>
      <c r="BA118" s="808"/>
      <c r="BB118" s="808"/>
      <c r="BC118" s="2371"/>
      <c r="BD118" s="2172"/>
      <c r="BE118" s="808"/>
      <c r="BF118" s="2174"/>
      <c r="BG118" s="2174"/>
      <c r="BH118" s="808"/>
      <c r="BI118" s="808"/>
      <c r="BJ118" s="808"/>
      <c r="BK118" s="808"/>
      <c r="BL118" s="808"/>
    </row>
    <row r="119" spans="1:64" ht="21.75" customHeight="1" thickBot="1">
      <c r="A119" s="461"/>
      <c r="B119" s="8397"/>
      <c r="C119" s="1263"/>
      <c r="D119" s="6920"/>
      <c r="E119" s="6920"/>
      <c r="F119" s="6920"/>
      <c r="G119" s="6920"/>
      <c r="H119" s="10342"/>
      <c r="I119" s="10269"/>
      <c r="J119" s="10270"/>
      <c r="K119" s="10270"/>
      <c r="L119" s="10270"/>
      <c r="M119" s="10270"/>
      <c r="N119" s="10271"/>
      <c r="O119" s="10272"/>
      <c r="P119" s="10235"/>
      <c r="Q119" s="10236"/>
      <c r="R119" s="10236"/>
      <c r="S119" s="10236"/>
      <c r="T119" s="10236"/>
      <c r="U119" s="10237"/>
      <c r="V119" s="10238"/>
      <c r="W119" s="10235"/>
      <c r="X119" s="10236"/>
      <c r="Y119" s="10236"/>
      <c r="Z119" s="10236"/>
      <c r="AA119" s="10236"/>
      <c r="AB119" s="10237"/>
      <c r="AC119" s="10238"/>
      <c r="AD119" s="10235"/>
      <c r="AE119" s="10236"/>
      <c r="AF119" s="10236"/>
      <c r="AG119" s="10236"/>
      <c r="AH119" s="10236"/>
      <c r="AI119" s="10237"/>
      <c r="AJ119" s="10237"/>
      <c r="AK119" s="461"/>
      <c r="AL119" s="1461"/>
      <c r="AM119" s="1461"/>
      <c r="AN119" s="1461"/>
      <c r="AO119" s="808"/>
      <c r="AP119" s="808"/>
      <c r="AQ119" s="808"/>
      <c r="AR119" s="808"/>
      <c r="AS119" s="808"/>
      <c r="AT119" s="808"/>
      <c r="AU119" s="808"/>
      <c r="AV119" s="808"/>
      <c r="AW119" s="808"/>
      <c r="AX119" s="808"/>
      <c r="AY119" s="808"/>
      <c r="AZ119" s="1332"/>
      <c r="BA119" s="808"/>
      <c r="BB119" s="808"/>
      <c r="BC119" s="2371"/>
      <c r="BD119" s="2172"/>
      <c r="BE119" s="808"/>
      <c r="BF119" s="2174"/>
      <c r="BG119" s="2174"/>
      <c r="BH119" s="808"/>
      <c r="BI119" s="808"/>
      <c r="BJ119" s="808"/>
      <c r="BK119" s="808"/>
      <c r="BL119" s="808"/>
    </row>
    <row r="120" spans="1:64" ht="18">
      <c r="A120" s="461"/>
      <c r="B120" s="1262"/>
      <c r="C120" s="61"/>
      <c r="D120" s="61"/>
      <c r="E120" s="61"/>
      <c r="F120" s="61"/>
      <c r="G120" s="61"/>
      <c r="H120" s="61"/>
      <c r="I120" s="61"/>
      <c r="J120" s="61"/>
      <c r="K120" s="61"/>
      <c r="L120" s="61"/>
      <c r="M120" s="61"/>
      <c r="N120" s="61"/>
      <c r="O120" s="61"/>
      <c r="P120" s="61"/>
      <c r="Q120" s="22"/>
      <c r="R120" s="22"/>
      <c r="S120" s="22"/>
      <c r="T120" s="22"/>
      <c r="U120" s="337"/>
      <c r="V120" s="22"/>
      <c r="W120" s="337"/>
      <c r="X120" s="22"/>
      <c r="Y120" s="22"/>
      <c r="Z120" s="22"/>
      <c r="AA120" s="22"/>
      <c r="AB120" s="22"/>
      <c r="AC120" s="22"/>
      <c r="AD120" s="22"/>
      <c r="AE120" s="22"/>
      <c r="AF120" s="22"/>
      <c r="AG120" s="22"/>
      <c r="AH120" s="705" t="s">
        <v>5325</v>
      </c>
      <c r="AI120" s="22"/>
      <c r="AJ120" s="705" t="str">
        <f>"("&amp;TaxYear&amp;")"</f>
        <v>(2023)</v>
      </c>
      <c r="AK120" s="461"/>
      <c r="AL120" s="1461"/>
      <c r="AM120" s="1461"/>
      <c r="AN120" s="1461"/>
      <c r="AO120" s="808"/>
      <c r="AP120" s="808"/>
      <c r="AQ120" s="808"/>
      <c r="AR120" s="808"/>
      <c r="AS120" s="808"/>
      <c r="AT120" s="808"/>
      <c r="AU120" s="808"/>
      <c r="AV120" s="808"/>
      <c r="AW120" s="808"/>
      <c r="AX120" s="808"/>
      <c r="AY120" s="808"/>
      <c r="AZ120" s="1332"/>
      <c r="BA120" s="808"/>
      <c r="BB120" s="808"/>
      <c r="BC120" s="2371"/>
      <c r="BD120" s="2172"/>
      <c r="BE120" s="808"/>
      <c r="BF120" s="2174"/>
      <c r="BG120" s="2174"/>
      <c r="BH120" s="808"/>
      <c r="BI120" s="808"/>
      <c r="BJ120" s="808"/>
      <c r="BK120" s="808"/>
      <c r="BL120" s="808"/>
    </row>
    <row r="121" spans="1:64">
      <c r="A121" s="461"/>
      <c r="B121" s="461"/>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c r="AA121" s="461"/>
      <c r="AB121" s="461"/>
      <c r="AC121" s="461"/>
      <c r="AD121" s="461"/>
      <c r="AE121" s="461"/>
      <c r="AF121" s="461"/>
      <c r="AG121" s="461"/>
      <c r="AH121" s="461"/>
      <c r="AI121" s="461"/>
      <c r="AJ121" s="461"/>
      <c r="AK121" s="461"/>
      <c r="AL121" s="808"/>
      <c r="AM121" s="808"/>
      <c r="AN121" s="808"/>
      <c r="AO121" s="808"/>
      <c r="AP121" s="808"/>
      <c r="AQ121" s="808"/>
      <c r="AR121" s="808"/>
      <c r="AS121" s="808"/>
      <c r="AT121" s="808"/>
      <c r="AU121" s="808"/>
      <c r="AV121" s="808"/>
      <c r="AW121" s="808"/>
      <c r="AX121" s="808"/>
      <c r="AY121" s="808"/>
      <c r="AZ121" s="1332"/>
      <c r="BA121" s="808"/>
      <c r="BB121" s="808"/>
      <c r="BC121" s="2371"/>
      <c r="BD121" s="2172"/>
      <c r="BE121" s="808"/>
      <c r="BF121" s="2174"/>
      <c r="BG121" s="2174"/>
      <c r="BH121" s="808"/>
      <c r="BI121" s="808"/>
      <c r="BJ121" s="808"/>
      <c r="BK121" s="808"/>
      <c r="BL121" s="808"/>
    </row>
    <row r="122" spans="1:64">
      <c r="AL122" s="808"/>
      <c r="AM122" s="808"/>
      <c r="AN122" s="808"/>
      <c r="AO122" s="808"/>
      <c r="AP122" s="808"/>
      <c r="AQ122" s="808"/>
      <c r="AR122" s="808"/>
      <c r="AS122" s="808"/>
      <c r="AT122" s="808"/>
      <c r="AU122" s="808"/>
      <c r="AV122" s="808"/>
      <c r="AW122" s="808"/>
      <c r="AX122" s="808"/>
      <c r="AY122" s="808"/>
      <c r="AZ122" s="1332"/>
      <c r="BA122" s="808"/>
      <c r="BB122" s="808"/>
      <c r="BC122" s="2371"/>
      <c r="BD122" s="2172"/>
      <c r="BE122" s="808"/>
      <c r="BF122" s="2174"/>
      <c r="BG122" s="2174"/>
      <c r="BH122" s="808"/>
      <c r="BI122" s="808"/>
      <c r="BJ122" s="808"/>
      <c r="BK122" s="808"/>
      <c r="BL122" s="808"/>
    </row>
    <row r="123" spans="1:64" ht="25.5" customHeight="1" thickBot="1">
      <c r="A123"/>
      <c r="B123" s="8"/>
      <c r="C123" s="8"/>
      <c r="D123" s="9"/>
      <c r="E123" s="9"/>
      <c r="F123" s="9"/>
      <c r="G123" s="9"/>
      <c r="H123" s="9"/>
      <c r="I123" s="9"/>
      <c r="AO123" s="808"/>
      <c r="AP123" s="808"/>
      <c r="AQ123" s="808"/>
      <c r="AR123" s="808"/>
      <c r="AS123" s="808"/>
      <c r="AT123" s="808"/>
      <c r="AU123" s="808"/>
      <c r="AV123" s="808"/>
      <c r="AW123" s="808"/>
      <c r="AX123" s="808"/>
      <c r="AY123" s="808"/>
      <c r="AZ123" s="1332"/>
      <c r="BA123" s="808"/>
      <c r="BB123" s="808"/>
      <c r="BC123" s="2371"/>
      <c r="BD123" s="2172"/>
      <c r="BE123" s="808"/>
      <c r="BF123" s="2174"/>
      <c r="BG123" s="2174"/>
      <c r="BH123" s="808"/>
      <c r="BI123" s="808"/>
      <c r="BJ123" s="808"/>
      <c r="BK123" s="808"/>
      <c r="BL123" s="808"/>
    </row>
    <row r="124" spans="1:64" ht="13.5" thickBot="1">
      <c r="A124"/>
      <c r="B124" s="7762" t="s">
        <v>5326</v>
      </c>
      <c r="C124" s="7763"/>
      <c r="D124" s="7763"/>
      <c r="E124" s="7763"/>
      <c r="F124" s="7763"/>
      <c r="G124" s="7763"/>
      <c r="H124" s="7763"/>
      <c r="I124" s="7763"/>
      <c r="J124" s="7763"/>
      <c r="K124" s="7763"/>
      <c r="L124" s="7764"/>
      <c r="AO124" s="808"/>
      <c r="AP124" s="808"/>
      <c r="AQ124" s="808"/>
      <c r="AR124" s="808"/>
      <c r="AS124" s="808"/>
      <c r="AT124" s="808"/>
      <c r="AU124" s="808"/>
      <c r="AV124" s="808"/>
      <c r="AW124" s="808"/>
      <c r="AX124" s="808"/>
      <c r="AY124" s="808"/>
      <c r="AZ124" s="1332"/>
      <c r="BA124" s="808"/>
      <c r="BB124" s="808"/>
      <c r="BC124" s="2371"/>
      <c r="BD124" s="2172"/>
      <c r="BE124" s="808"/>
      <c r="BF124" s="2174"/>
      <c r="BG124" s="2174"/>
      <c r="BH124" s="808"/>
      <c r="BI124" s="808"/>
      <c r="BJ124" s="808"/>
      <c r="BK124" s="808"/>
      <c r="BL124" s="808"/>
    </row>
    <row r="125" spans="1:64" ht="27" customHeight="1" thickBot="1">
      <c r="A125"/>
      <c r="B125" s="364"/>
      <c r="C125" s="364"/>
      <c r="D125" s="365"/>
      <c r="E125" s="365"/>
      <c r="F125" s="365"/>
      <c r="G125" s="365"/>
      <c r="H125" s="365"/>
      <c r="I125" s="365"/>
      <c r="AO125" s="808"/>
      <c r="AP125" s="808"/>
      <c r="AQ125" s="808"/>
      <c r="AR125" s="808"/>
      <c r="AS125" s="808"/>
      <c r="AT125" s="808"/>
      <c r="AU125" s="808"/>
      <c r="AV125" s="808"/>
      <c r="AW125" s="808"/>
      <c r="AX125" s="808"/>
      <c r="AY125" s="808"/>
      <c r="AZ125" s="1332"/>
      <c r="BA125" s="808"/>
      <c r="BB125" s="808"/>
      <c r="BC125" s="2371"/>
      <c r="BD125" s="2172"/>
      <c r="BE125" s="808"/>
      <c r="BF125" s="2174"/>
      <c r="BG125" s="2174"/>
      <c r="BH125" s="808"/>
      <c r="BI125" s="808"/>
      <c r="BJ125" s="808"/>
      <c r="BK125" s="808"/>
      <c r="BL125" s="808"/>
    </row>
    <row r="126" spans="1:64" ht="13.5" thickBot="1">
      <c r="A126"/>
      <c r="B126" s="7759" t="s">
        <v>5327</v>
      </c>
      <c r="C126" s="7760"/>
      <c r="D126" s="7760"/>
      <c r="E126" s="7760"/>
      <c r="F126" s="7760"/>
      <c r="G126" s="7760"/>
      <c r="H126" s="7760"/>
      <c r="I126" s="7760"/>
      <c r="J126" s="7760"/>
      <c r="K126" s="7760"/>
      <c r="L126" s="7761"/>
      <c r="AO126" s="808"/>
      <c r="AP126" s="808"/>
      <c r="AQ126" s="808"/>
      <c r="AR126" s="808"/>
      <c r="AS126" s="808"/>
      <c r="AT126" s="808"/>
      <c r="AU126" s="808"/>
      <c r="AV126" s="808"/>
      <c r="AW126" s="808"/>
      <c r="AX126" s="808"/>
      <c r="AY126" s="808"/>
      <c r="AZ126" s="1332"/>
      <c r="BA126" s="808"/>
      <c r="BB126" s="808"/>
      <c r="BC126" s="2371"/>
      <c r="BD126" s="2172"/>
      <c r="BE126" s="808"/>
      <c r="BF126" s="2174"/>
      <c r="BG126" s="2174"/>
      <c r="BH126" s="808"/>
      <c r="BI126" s="808"/>
      <c r="BJ126" s="808"/>
      <c r="BK126" s="808"/>
      <c r="BL126" s="808"/>
    </row>
    <row r="127" spans="1:64" ht="21.75" customHeight="1">
      <c r="AO127" s="808"/>
      <c r="AP127" s="808"/>
      <c r="AQ127" s="808"/>
      <c r="AR127" s="808"/>
      <c r="AS127" s="808"/>
      <c r="AT127" s="808"/>
      <c r="AU127" s="808"/>
      <c r="AV127" s="808"/>
      <c r="AW127" s="808"/>
      <c r="AX127" s="808"/>
      <c r="AY127" s="808"/>
      <c r="AZ127" s="1332"/>
      <c r="BA127" s="808"/>
      <c r="BB127" s="808"/>
      <c r="BC127" s="2371"/>
      <c r="BD127" s="2172"/>
      <c r="BE127" s="808"/>
      <c r="BF127" s="2174"/>
      <c r="BG127" s="2174"/>
      <c r="BH127" s="808"/>
      <c r="BI127" s="808"/>
      <c r="BJ127" s="808"/>
      <c r="BK127" s="808"/>
      <c r="BL127" s="808"/>
    </row>
    <row r="128" spans="1:64" ht="13.5" thickBot="1">
      <c r="AO128" s="808"/>
      <c r="AP128" s="808"/>
      <c r="AQ128" s="808"/>
      <c r="AR128" s="808"/>
      <c r="AS128" s="808"/>
      <c r="AT128" s="808"/>
      <c r="AU128" s="808"/>
      <c r="AV128" s="808"/>
      <c r="AW128" s="808"/>
      <c r="AX128" s="808"/>
      <c r="AY128" s="808"/>
      <c r="AZ128" s="1332"/>
      <c r="BA128" s="808"/>
      <c r="BB128" s="808"/>
      <c r="BC128" s="2371"/>
      <c r="BD128" s="2172"/>
      <c r="BE128" s="808"/>
      <c r="BF128" s="2174"/>
      <c r="BG128" s="2174"/>
      <c r="BH128" s="808"/>
      <c r="BI128" s="808"/>
      <c r="BJ128" s="808"/>
      <c r="BK128" s="808"/>
      <c r="BL128" s="808"/>
    </row>
    <row r="129" spans="2:59">
      <c r="B129" s="6517" t="s">
        <v>46</v>
      </c>
      <c r="C129" s="6518"/>
      <c r="D129" s="6518"/>
      <c r="E129" s="6519"/>
      <c r="AO129" s="1461"/>
      <c r="AP129" s="808"/>
      <c r="AQ129" s="808"/>
      <c r="AR129" s="808"/>
      <c r="AS129" s="808"/>
      <c r="AT129" s="808"/>
      <c r="AU129" s="808"/>
      <c r="AV129" s="808"/>
      <c r="AW129" s="808"/>
      <c r="AX129" s="808"/>
      <c r="AY129" s="808"/>
      <c r="BD129" s="4597"/>
      <c r="BF129" s="2101"/>
      <c r="BG129" s="2101"/>
    </row>
    <row r="130" spans="2:59">
      <c r="B130" s="6520"/>
      <c r="C130" s="9831"/>
      <c r="D130" s="9831"/>
      <c r="E130" s="6522"/>
      <c r="AO130" s="808"/>
      <c r="AP130" s="808"/>
      <c r="AQ130" s="808"/>
      <c r="AR130" s="808"/>
      <c r="AS130" s="808"/>
      <c r="AT130" s="808"/>
      <c r="AU130" s="808"/>
      <c r="AV130" s="808"/>
      <c r="AW130" s="808"/>
      <c r="AX130" s="808"/>
      <c r="AY130" s="808"/>
      <c r="BD130" s="4597"/>
      <c r="BF130" s="2101"/>
      <c r="BG130" s="2101"/>
    </row>
    <row r="131" spans="2:59" ht="13.5" thickBot="1">
      <c r="B131" s="6523"/>
      <c r="C131" s="6524"/>
      <c r="D131" s="6524"/>
      <c r="E131" s="6525"/>
      <c r="AP131" s="808"/>
      <c r="AQ131" s="808"/>
      <c r="AR131" s="808"/>
      <c r="AS131" s="808"/>
      <c r="AT131" s="808"/>
      <c r="AU131" s="808"/>
      <c r="AV131" s="808"/>
      <c r="AW131" s="808"/>
      <c r="BD131" s="4597"/>
      <c r="BF131" s="2101"/>
      <c r="BG131" s="2101"/>
    </row>
    <row r="132" spans="2:59" ht="13.5" customHeight="1">
      <c r="AP132" s="808"/>
      <c r="AQ132" s="808"/>
      <c r="AR132" s="808"/>
      <c r="AS132" s="808"/>
      <c r="AT132" s="808"/>
      <c r="AU132" s="808"/>
      <c r="AV132" s="808"/>
      <c r="AW132" s="808"/>
      <c r="BD132" s="4597"/>
      <c r="BF132" s="2101"/>
      <c r="BG132" s="2101"/>
    </row>
    <row r="133" spans="2:59">
      <c r="AP133" s="808"/>
      <c r="AQ133" s="808"/>
      <c r="AR133" s="808"/>
      <c r="AS133" s="808"/>
      <c r="AT133" s="808"/>
      <c r="AU133" s="808"/>
      <c r="AV133" s="808"/>
      <c r="AW133" s="808"/>
      <c r="BD133" s="4597"/>
      <c r="BF133" s="2101"/>
      <c r="BG133" s="2101"/>
    </row>
    <row r="134" spans="2:59">
      <c r="BD134" s="4597"/>
      <c r="BF134" s="2101"/>
      <c r="BG134" s="2101"/>
    </row>
    <row r="135" spans="2:59">
      <c r="BD135" s="4597"/>
      <c r="BF135" s="2101"/>
      <c r="BG135" s="2101"/>
    </row>
    <row r="136" spans="2:59">
      <c r="BD136" s="4597"/>
      <c r="BF136" s="2101"/>
      <c r="BG136" s="2101"/>
    </row>
    <row r="137" spans="2:59">
      <c r="BD137" s="4597"/>
      <c r="BF137" s="2101"/>
      <c r="BG137" s="2101"/>
    </row>
    <row r="138" spans="2:59">
      <c r="BD138" s="4597"/>
      <c r="BF138" s="2101"/>
      <c r="BG138" s="2101"/>
    </row>
    <row r="139" spans="2:59">
      <c r="BD139" s="4597"/>
      <c r="BF139" s="2101"/>
      <c r="BG139" s="2101"/>
    </row>
    <row r="140" spans="2:59">
      <c r="BD140" s="4597"/>
      <c r="BF140" s="2101"/>
      <c r="BG140" s="2101"/>
    </row>
    <row r="141" spans="2:59">
      <c r="BD141" s="4597"/>
      <c r="BF141" s="2101"/>
      <c r="BG141" s="2101"/>
    </row>
    <row r="142" spans="2:59">
      <c r="BD142" s="4597"/>
      <c r="BF142" s="2101"/>
      <c r="BG142" s="2101"/>
    </row>
    <row r="143" spans="2:59">
      <c r="BD143" s="4597"/>
      <c r="BF143" s="2101"/>
      <c r="BG143" s="2101"/>
    </row>
    <row r="144" spans="2:59">
      <c r="BD144" s="4597"/>
      <c r="BF144" s="2101"/>
      <c r="BG144" s="2101"/>
    </row>
    <row r="145" spans="56:59">
      <c r="BD145" s="4597"/>
      <c r="BF145" s="2101"/>
      <c r="BG145" s="2101"/>
    </row>
    <row r="146" spans="56:59">
      <c r="BD146" s="4597"/>
      <c r="BF146" s="2101"/>
      <c r="BG146" s="2101"/>
    </row>
    <row r="147" spans="56:59">
      <c r="BD147" s="4597"/>
      <c r="BF147" s="2101"/>
      <c r="BG147" s="2101"/>
    </row>
    <row r="148" spans="56:59">
      <c r="BD148" s="4597"/>
      <c r="BF148" s="2101"/>
      <c r="BG148" s="2101"/>
    </row>
    <row r="149" spans="56:59">
      <c r="BD149" s="4597"/>
      <c r="BF149" s="2101"/>
      <c r="BG149" s="2101"/>
    </row>
    <row r="150" spans="56:59">
      <c r="BD150" s="4597"/>
      <c r="BF150" s="2101"/>
      <c r="BG150" s="2101"/>
    </row>
    <row r="151" spans="56:59">
      <c r="BD151" s="4597"/>
      <c r="BF151" s="2101"/>
      <c r="BG151" s="2101"/>
    </row>
    <row r="152" spans="56:59">
      <c r="BD152" s="4597"/>
      <c r="BF152" s="2101"/>
      <c r="BG152" s="2101"/>
    </row>
    <row r="153" spans="56:59">
      <c r="BD153" s="4597"/>
      <c r="BF153" s="2101"/>
      <c r="BG153" s="2101"/>
    </row>
    <row r="154" spans="56:59">
      <c r="BD154" s="4597"/>
      <c r="BF154" s="2101"/>
      <c r="BG154" s="2101"/>
    </row>
    <row r="155" spans="56:59">
      <c r="BD155" s="4597"/>
      <c r="BF155" s="2101"/>
      <c r="BG155" s="2101"/>
    </row>
    <row r="156" spans="56:59">
      <c r="BD156" s="4597"/>
      <c r="BF156" s="2101"/>
      <c r="BG156" s="2101"/>
    </row>
    <row r="157" spans="56:59">
      <c r="BD157" s="4597"/>
      <c r="BF157" s="2101"/>
      <c r="BG157" s="2101"/>
    </row>
    <row r="158" spans="56:59">
      <c r="BD158" s="4597"/>
      <c r="BF158" s="2101"/>
      <c r="BG158" s="2101"/>
    </row>
    <row r="159" spans="56:59">
      <c r="BD159" s="4597"/>
      <c r="BF159" s="2101"/>
      <c r="BG159" s="2101"/>
    </row>
    <row r="160" spans="56:59">
      <c r="BD160" s="4597"/>
      <c r="BF160" s="2101"/>
      <c r="BG160" s="2101"/>
    </row>
    <row r="161" spans="56:59">
      <c r="BD161" s="4597"/>
      <c r="BF161" s="2101"/>
      <c r="BG161" s="2101"/>
    </row>
    <row r="162" spans="56:59">
      <c r="BD162" s="4597"/>
      <c r="BF162" s="2101"/>
      <c r="BG162" s="2101"/>
    </row>
    <row r="163" spans="56:59">
      <c r="BD163" s="4597"/>
      <c r="BF163" s="2101"/>
      <c r="BG163" s="2101"/>
    </row>
    <row r="164" spans="56:59">
      <c r="BD164" s="4597"/>
      <c r="BF164" s="2101"/>
      <c r="BG164" s="2101"/>
    </row>
    <row r="165" spans="56:59">
      <c r="BD165" s="4597"/>
      <c r="BF165" s="2101"/>
      <c r="BG165" s="2101"/>
    </row>
    <row r="166" spans="56:59">
      <c r="BD166" s="4597"/>
      <c r="BF166" s="2101"/>
      <c r="BG166" s="2101"/>
    </row>
    <row r="167" spans="56:59">
      <c r="BD167" s="4597"/>
      <c r="BF167" s="2101"/>
      <c r="BG167" s="2101"/>
    </row>
    <row r="168" spans="56:59">
      <c r="BD168" s="4597"/>
      <c r="BF168" s="2101"/>
      <c r="BG168" s="2101"/>
    </row>
    <row r="169" spans="56:59">
      <c r="BD169" s="4597"/>
      <c r="BF169" s="2101"/>
      <c r="BG169" s="2101"/>
    </row>
    <row r="170" spans="56:59">
      <c r="BD170" s="4597"/>
      <c r="BF170" s="2101"/>
      <c r="BG170" s="2101"/>
    </row>
    <row r="171" spans="56:59">
      <c r="BD171" s="4597"/>
      <c r="BF171" s="2101"/>
      <c r="BG171" s="2101"/>
    </row>
    <row r="172" spans="56:59">
      <c r="BD172" s="4597"/>
      <c r="BF172" s="2101"/>
      <c r="BG172" s="2101"/>
    </row>
    <row r="173" spans="56:59">
      <c r="BD173" s="4597"/>
      <c r="BF173" s="2101"/>
      <c r="BG173" s="2101"/>
    </row>
    <row r="174" spans="56:59">
      <c r="BD174" s="4597"/>
      <c r="BF174" s="2101"/>
      <c r="BG174" s="2101"/>
    </row>
    <row r="175" spans="56:59">
      <c r="BD175" s="4597"/>
      <c r="BF175" s="2101"/>
      <c r="BG175" s="2101"/>
    </row>
    <row r="176" spans="56:59">
      <c r="BD176" s="4597"/>
      <c r="BF176" s="2101"/>
      <c r="BG176" s="2101"/>
    </row>
    <row r="177" spans="56:59">
      <c r="BD177" s="4597"/>
      <c r="BF177" s="2101"/>
      <c r="BG177" s="2101"/>
    </row>
    <row r="178" spans="56:59">
      <c r="BD178" s="4597"/>
      <c r="BF178" s="2101"/>
      <c r="BG178" s="2101"/>
    </row>
    <row r="179" spans="56:59">
      <c r="BD179" s="4597"/>
      <c r="BF179" s="2101"/>
      <c r="BG179" s="2101"/>
    </row>
    <row r="180" spans="56:59">
      <c r="BD180" s="4597"/>
      <c r="BF180" s="2101"/>
      <c r="BG180" s="2101"/>
    </row>
    <row r="181" spans="56:59">
      <c r="BD181" s="4597"/>
      <c r="BF181" s="2101"/>
      <c r="BG181" s="2101"/>
    </row>
    <row r="182" spans="56:59">
      <c r="BD182" s="4597"/>
      <c r="BF182" s="2101"/>
      <c r="BG182" s="2101"/>
    </row>
    <row r="183" spans="56:59">
      <c r="BD183" s="4597"/>
      <c r="BF183" s="2101"/>
      <c r="BG183" s="2101"/>
    </row>
    <row r="184" spans="56:59">
      <c r="BD184" s="4597"/>
      <c r="BF184" s="2101"/>
      <c r="BG184" s="2101"/>
    </row>
    <row r="185" spans="56:59">
      <c r="BD185" s="4597"/>
      <c r="BF185" s="2101"/>
      <c r="BG185" s="2101"/>
    </row>
    <row r="186" spans="56:59">
      <c r="BD186" s="4597"/>
      <c r="BF186" s="2101"/>
      <c r="BG186" s="2101"/>
    </row>
    <row r="187" spans="56:59">
      <c r="BD187" s="4597"/>
      <c r="BF187" s="2101"/>
      <c r="BG187" s="2101"/>
    </row>
    <row r="188" spans="56:59">
      <c r="BD188" s="4597"/>
      <c r="BF188" s="2101"/>
      <c r="BG188" s="2101"/>
    </row>
    <row r="189" spans="56:59">
      <c r="BD189" s="4597"/>
      <c r="BF189" s="2101"/>
      <c r="BG189" s="2101"/>
    </row>
    <row r="190" spans="56:59">
      <c r="BD190" s="4597"/>
      <c r="BF190" s="2101"/>
      <c r="BG190" s="2101"/>
    </row>
    <row r="191" spans="56:59">
      <c r="BD191" s="4597"/>
      <c r="BF191" s="2101"/>
      <c r="BG191" s="2101"/>
    </row>
    <row r="192" spans="56:59">
      <c r="BD192" s="4597"/>
      <c r="BF192" s="2101"/>
      <c r="BG192" s="2101"/>
    </row>
    <row r="193" spans="56:59">
      <c r="BD193" s="4597"/>
      <c r="BF193" s="2101"/>
      <c r="BG193" s="2101"/>
    </row>
    <row r="194" spans="56:59">
      <c r="BD194" s="4597"/>
      <c r="BF194" s="2101"/>
      <c r="BG194" s="2101"/>
    </row>
    <row r="195" spans="56:59">
      <c r="BD195" s="4597"/>
      <c r="BF195" s="2101"/>
      <c r="BG195" s="2101"/>
    </row>
    <row r="196" spans="56:59">
      <c r="BD196" s="4597"/>
      <c r="BF196" s="2101"/>
      <c r="BG196" s="2101"/>
    </row>
    <row r="197" spans="56:59">
      <c r="BD197" s="4597"/>
      <c r="BF197" s="2101"/>
      <c r="BG197" s="2101"/>
    </row>
    <row r="198" spans="56:59">
      <c r="BD198" s="4597"/>
      <c r="BF198" s="2101"/>
      <c r="BG198" s="2101"/>
    </row>
    <row r="199" spans="56:59">
      <c r="BD199" s="4597"/>
      <c r="BF199" s="2101"/>
      <c r="BG199" s="2101"/>
    </row>
    <row r="200" spans="56:59">
      <c r="BD200" s="4597"/>
      <c r="BF200" s="2101"/>
      <c r="BG200" s="2101"/>
    </row>
    <row r="201" spans="56:59">
      <c r="BD201" s="4597"/>
      <c r="BF201" s="2101"/>
      <c r="BG201" s="2101"/>
    </row>
    <row r="202" spans="56:59">
      <c r="BD202" s="4597"/>
      <c r="BF202" s="2101"/>
      <c r="BG202" s="2101"/>
    </row>
    <row r="203" spans="56:59">
      <c r="BD203" s="4597"/>
      <c r="BF203" s="2101"/>
      <c r="BG203" s="2101"/>
    </row>
    <row r="204" spans="56:59">
      <c r="BD204" s="4597"/>
      <c r="BF204" s="2101"/>
      <c r="BG204" s="2101"/>
    </row>
    <row r="205" spans="56:59">
      <c r="BD205" s="4597"/>
      <c r="BF205" s="2101"/>
      <c r="BG205" s="2101"/>
    </row>
    <row r="206" spans="56:59">
      <c r="BD206" s="4597"/>
      <c r="BF206" s="2101"/>
      <c r="BG206" s="2101"/>
    </row>
    <row r="207" spans="56:59">
      <c r="BD207" s="4597"/>
      <c r="BF207" s="2101"/>
      <c r="BG207" s="2101"/>
    </row>
    <row r="208" spans="56:59">
      <c r="BD208" s="4597"/>
      <c r="BF208" s="2101"/>
      <c r="BG208" s="2101"/>
    </row>
    <row r="209" spans="56:59">
      <c r="BD209" s="4597"/>
      <c r="BF209" s="2101"/>
      <c r="BG209" s="2101"/>
    </row>
    <row r="210" spans="56:59">
      <c r="BD210" s="4597"/>
      <c r="BF210" s="2101"/>
      <c r="BG210" s="2101"/>
    </row>
    <row r="211" spans="56:59">
      <c r="BD211" s="4597"/>
      <c r="BF211" s="2101"/>
      <c r="BG211" s="2101"/>
    </row>
    <row r="212" spans="56:59">
      <c r="BD212" s="4597"/>
      <c r="BF212" s="2101"/>
      <c r="BG212" s="2101"/>
    </row>
    <row r="213" spans="56:59">
      <c r="BD213" s="4597"/>
      <c r="BF213" s="2101"/>
      <c r="BG213" s="2101"/>
    </row>
    <row r="214" spans="56:59">
      <c r="BD214" s="4597"/>
      <c r="BF214" s="2101"/>
      <c r="BG214" s="2101"/>
    </row>
    <row r="215" spans="56:59">
      <c r="BD215" s="4597"/>
      <c r="BF215" s="2101"/>
      <c r="BG215" s="2101"/>
    </row>
    <row r="216" spans="56:59">
      <c r="BD216" s="4597"/>
      <c r="BF216" s="2101"/>
      <c r="BG216" s="2101"/>
    </row>
    <row r="217" spans="56:59">
      <c r="BD217" s="4597"/>
      <c r="BF217" s="2101"/>
      <c r="BG217" s="2101"/>
    </row>
    <row r="218" spans="56:59">
      <c r="BD218" s="4597"/>
      <c r="BF218" s="2101"/>
      <c r="BG218" s="2101"/>
    </row>
    <row r="219" spans="56:59">
      <c r="BD219" s="4597"/>
      <c r="BF219" s="2101"/>
      <c r="BG219" s="2101"/>
    </row>
    <row r="220" spans="56:59">
      <c r="BD220" s="4597"/>
      <c r="BF220" s="2101"/>
      <c r="BG220" s="2101"/>
    </row>
    <row r="221" spans="56:59">
      <c r="BD221" s="4597"/>
      <c r="BF221" s="2101"/>
      <c r="BG221" s="2101"/>
    </row>
    <row r="222" spans="56:59">
      <c r="BD222" s="4597"/>
      <c r="BF222" s="2101"/>
      <c r="BG222" s="2101"/>
    </row>
    <row r="223" spans="56:59">
      <c r="BD223" s="4597"/>
      <c r="BF223" s="2101"/>
      <c r="BG223" s="2101"/>
    </row>
    <row r="224" spans="56:59">
      <c r="BD224" s="4597"/>
      <c r="BF224" s="2101"/>
      <c r="BG224" s="2101"/>
    </row>
    <row r="225" spans="56:59">
      <c r="BD225" s="4597"/>
      <c r="BF225" s="2101"/>
      <c r="BG225" s="2101"/>
    </row>
    <row r="226" spans="56:59">
      <c r="BD226" s="4597"/>
    </row>
    <row r="227" spans="56:59">
      <c r="BD227" s="4597"/>
    </row>
    <row r="228" spans="56:59">
      <c r="BD228" s="4597"/>
    </row>
    <row r="229" spans="56:59">
      <c r="BD229" s="4597"/>
    </row>
    <row r="230" spans="56:59">
      <c r="BD230" s="4597"/>
    </row>
    <row r="231" spans="56:59">
      <c r="BD231" s="4597"/>
    </row>
    <row r="232" spans="56:59">
      <c r="BD232" s="4597"/>
    </row>
    <row r="233" spans="56:59">
      <c r="BD233" s="4597"/>
    </row>
    <row r="234" spans="56:59">
      <c r="BD234" s="4597"/>
    </row>
    <row r="235" spans="56:59">
      <c r="BD235" s="4597"/>
    </row>
    <row r="236" spans="56:59">
      <c r="BD236" s="4597"/>
    </row>
    <row r="237" spans="56:59">
      <c r="BD237" s="4597"/>
    </row>
    <row r="238" spans="56:59">
      <c r="BD238" s="4597"/>
    </row>
    <row r="239" spans="56:59">
      <c r="BD239" s="4597"/>
    </row>
    <row r="240" spans="56:59">
      <c r="BD240" s="4597"/>
    </row>
    <row r="241" spans="56:56">
      <c r="BD241" s="4597"/>
    </row>
    <row r="242" spans="56:56">
      <c r="BD242" s="4597"/>
    </row>
    <row r="243" spans="56:56">
      <c r="BD243" s="4597"/>
    </row>
    <row r="244" spans="56:56">
      <c r="BD244" s="4597"/>
    </row>
    <row r="245" spans="56:56">
      <c r="BD245" s="4597"/>
    </row>
    <row r="246" spans="56:56">
      <c r="BD246" s="4597"/>
    </row>
    <row r="247" spans="56:56">
      <c r="BD247" s="4597"/>
    </row>
    <row r="248" spans="56:56">
      <c r="BD248" s="4597"/>
    </row>
    <row r="249" spans="56:56">
      <c r="BD249" s="4597"/>
    </row>
    <row r="250" spans="56:56">
      <c r="BD250" s="4597"/>
    </row>
    <row r="251" spans="56:56">
      <c r="BD251" s="4597"/>
    </row>
    <row r="252" spans="56:56">
      <c r="BD252" s="4597"/>
    </row>
    <row r="253" spans="56:56">
      <c r="BD253" s="4597"/>
    </row>
    <row r="254" spans="56:56">
      <c r="BD254" s="4597"/>
    </row>
    <row r="255" spans="56:56">
      <c r="BD255" s="4597"/>
    </row>
    <row r="256" spans="56:56">
      <c r="BD256" s="4597"/>
    </row>
    <row r="257" spans="56:56">
      <c r="BD257" s="4597"/>
    </row>
    <row r="258" spans="56:56">
      <c r="BD258" s="4597"/>
    </row>
    <row r="259" spans="56:56">
      <c r="BD259" s="4597"/>
    </row>
    <row r="260" spans="56:56">
      <c r="BD260" s="4597"/>
    </row>
    <row r="261" spans="56:56">
      <c r="BD261" s="4597"/>
    </row>
    <row r="262" spans="56:56">
      <c r="BD262" s="4597"/>
    </row>
    <row r="263" spans="56:56">
      <c r="BD263" s="4597"/>
    </row>
    <row r="264" spans="56:56">
      <c r="BD264" s="4597"/>
    </row>
    <row r="265" spans="56:56">
      <c r="BD265" s="4597"/>
    </row>
    <row r="266" spans="56:56">
      <c r="BD266" s="4597"/>
    </row>
    <row r="267" spans="56:56">
      <c r="BD267" s="4597"/>
    </row>
    <row r="268" spans="56:56">
      <c r="BD268" s="4597"/>
    </row>
    <row r="269" spans="56:56">
      <c r="BD269" s="4597"/>
    </row>
    <row r="270" spans="56:56">
      <c r="BD270" s="4597"/>
    </row>
    <row r="271" spans="56:56">
      <c r="BD271" s="4597"/>
    </row>
    <row r="272" spans="56:56">
      <c r="BD272" s="4597"/>
    </row>
    <row r="273" spans="56:56">
      <c r="BD273" s="4597"/>
    </row>
    <row r="274" spans="56:56">
      <c r="BD274" s="4597"/>
    </row>
    <row r="275" spans="56:56">
      <c r="BD275" s="4597"/>
    </row>
    <row r="276" spans="56:56">
      <c r="BD276" s="4597"/>
    </row>
    <row r="277" spans="56:56">
      <c r="BD277" s="4597"/>
    </row>
    <row r="278" spans="56:56">
      <c r="BD278" s="4597"/>
    </row>
    <row r="279" spans="56:56">
      <c r="BD279" s="4597"/>
    </row>
    <row r="280" spans="56:56">
      <c r="BD280" s="4597"/>
    </row>
    <row r="281" spans="56:56">
      <c r="BD281" s="4597"/>
    </row>
    <row r="282" spans="56:56">
      <c r="BD282" s="4597"/>
    </row>
    <row r="283" spans="56:56">
      <c r="BD283" s="4597"/>
    </row>
    <row r="284" spans="56:56">
      <c r="BD284" s="4597"/>
    </row>
    <row r="285" spans="56:56">
      <c r="BD285" s="4597"/>
    </row>
    <row r="286" spans="56:56">
      <c r="BD286" s="4597"/>
    </row>
    <row r="287" spans="56:56">
      <c r="BD287" s="4597"/>
    </row>
    <row r="288" spans="56:56">
      <c r="BD288" s="4597"/>
    </row>
    <row r="289" spans="56:56">
      <c r="BD289" s="4597"/>
    </row>
    <row r="290" spans="56:56">
      <c r="BD290" s="4597"/>
    </row>
    <row r="291" spans="56:56">
      <c r="BD291" s="4597"/>
    </row>
    <row r="292" spans="56:56">
      <c r="BD292" s="4597"/>
    </row>
    <row r="293" spans="56:56">
      <c r="BD293" s="4597"/>
    </row>
    <row r="294" spans="56:56">
      <c r="BD294" s="4597"/>
    </row>
    <row r="295" spans="56:56">
      <c r="BD295" s="4597"/>
    </row>
    <row r="296" spans="56:56">
      <c r="BD296" s="4597"/>
    </row>
    <row r="297" spans="56:56">
      <c r="BD297" s="4597"/>
    </row>
    <row r="298" spans="56:56">
      <c r="BD298" s="4597"/>
    </row>
    <row r="299" spans="56:56">
      <c r="BD299" s="4597"/>
    </row>
    <row r="300" spans="56:56">
      <c r="BD300" s="4597"/>
    </row>
    <row r="301" spans="56:56">
      <c r="BD301" s="4597"/>
    </row>
    <row r="302" spans="56:56">
      <c r="BD302" s="4597"/>
    </row>
    <row r="303" spans="56:56">
      <c r="BD303" s="4597"/>
    </row>
    <row r="304" spans="56:56">
      <c r="BD304" s="4597"/>
    </row>
    <row r="305" spans="56:56">
      <c r="BD305" s="4597"/>
    </row>
    <row r="306" spans="56:56">
      <c r="BD306" s="4597"/>
    </row>
    <row r="307" spans="56:56">
      <c r="BD307" s="4597"/>
    </row>
    <row r="308" spans="56:56">
      <c r="BD308" s="4597"/>
    </row>
    <row r="309" spans="56:56">
      <c r="BD309" s="4597"/>
    </row>
    <row r="310" spans="56:56">
      <c r="BD310" s="4597"/>
    </row>
    <row r="311" spans="56:56">
      <c r="BD311" s="4597"/>
    </row>
    <row r="312" spans="56:56">
      <c r="BD312" s="4597"/>
    </row>
    <row r="313" spans="56:56">
      <c r="BD313" s="4597"/>
    </row>
    <row r="314" spans="56:56">
      <c r="BD314" s="4597"/>
    </row>
    <row r="315" spans="56:56">
      <c r="BD315" s="4597"/>
    </row>
    <row r="316" spans="56:56">
      <c r="BD316" s="4597"/>
    </row>
    <row r="317" spans="56:56">
      <c r="BD317" s="4597"/>
    </row>
    <row r="318" spans="56:56">
      <c r="BD318" s="4597"/>
    </row>
    <row r="319" spans="56:56">
      <c r="BD319" s="4597"/>
    </row>
    <row r="320" spans="56:56">
      <c r="BD320" s="4597"/>
    </row>
    <row r="321" spans="56:56">
      <c r="BD321" s="4597"/>
    </row>
    <row r="322" spans="56:56">
      <c r="BD322" s="4597"/>
    </row>
    <row r="323" spans="56:56">
      <c r="BD323" s="4597"/>
    </row>
  </sheetData>
  <sheetProtection algorithmName="SHA-512" hashValue="Q11zgxRB7lWEq+WXG6D/eg7PUBBQQiL+49VaAQw4nQklWZQAu+Y1FiASNLYmr4H3eiUx+gBfJNid5LQWsBBIyw==" saltValue="qloCSIjmldqGNpDvkQCvSw==" spinCount="100000" sheet="1" objects="1" scenarios="1"/>
  <mergeCells count="219">
    <mergeCell ref="B129:E131"/>
    <mergeCell ref="B126:L126"/>
    <mergeCell ref="B124:L124"/>
    <mergeCell ref="B116:B117"/>
    <mergeCell ref="B118:B119"/>
    <mergeCell ref="B39:F42"/>
    <mergeCell ref="D48:F48"/>
    <mergeCell ref="D53:F53"/>
    <mergeCell ref="L58:P58"/>
    <mergeCell ref="G50:K50"/>
    <mergeCell ref="L50:P50"/>
    <mergeCell ref="D84:M84"/>
    <mergeCell ref="N84:V84"/>
    <mergeCell ref="Q58:U58"/>
    <mergeCell ref="D76:M76"/>
    <mergeCell ref="N76:V76"/>
    <mergeCell ref="D85:I89"/>
    <mergeCell ref="V50:Z50"/>
    <mergeCell ref="V53:Z53"/>
    <mergeCell ref="L44:P47"/>
    <mergeCell ref="D56:F56"/>
    <mergeCell ref="D55:F55"/>
    <mergeCell ref="J118:O118"/>
    <mergeCell ref="Q118:V118"/>
    <mergeCell ref="B15:C15"/>
    <mergeCell ref="B72:C72"/>
    <mergeCell ref="B113:C113"/>
    <mergeCell ref="G53:K53"/>
    <mergeCell ref="S63:U63"/>
    <mergeCell ref="J85:R88"/>
    <mergeCell ref="S85:AA88"/>
    <mergeCell ref="M30:R30"/>
    <mergeCell ref="C43:F43"/>
    <mergeCell ref="B65:C65"/>
    <mergeCell ref="D57:F57"/>
    <mergeCell ref="D54:F54"/>
    <mergeCell ref="D59:F59"/>
    <mergeCell ref="Q59:U59"/>
    <mergeCell ref="V59:Z59"/>
    <mergeCell ref="AA59:AE59"/>
    <mergeCell ref="Q57:U57"/>
    <mergeCell ref="V19:W19"/>
    <mergeCell ref="V20:W20"/>
    <mergeCell ref="S77:AA80"/>
    <mergeCell ref="AB77:AJ80"/>
    <mergeCell ref="J81:R81"/>
    <mergeCell ref="D58:F58"/>
    <mergeCell ref="W76:AC76"/>
    <mergeCell ref="BA51:BB52"/>
    <mergeCell ref="V57:Z57"/>
    <mergeCell ref="AA57:AE57"/>
    <mergeCell ref="AF57:AJ57"/>
    <mergeCell ref="G56:K56"/>
    <mergeCell ref="L56:P56"/>
    <mergeCell ref="Q56:U56"/>
    <mergeCell ref="V56:Z56"/>
    <mergeCell ref="AA54:AE54"/>
    <mergeCell ref="AF54:AJ54"/>
    <mergeCell ref="G55:K55"/>
    <mergeCell ref="L55:P55"/>
    <mergeCell ref="Q55:U55"/>
    <mergeCell ref="V55:Z55"/>
    <mergeCell ref="AA56:AE56"/>
    <mergeCell ref="AF56:AJ56"/>
    <mergeCell ref="AF55:AJ55"/>
    <mergeCell ref="AP75:AS75"/>
    <mergeCell ref="D118:H119"/>
    <mergeCell ref="D116:H117"/>
    <mergeCell ref="AM5:AR11"/>
    <mergeCell ref="AC5:AJ6"/>
    <mergeCell ref="Q52:U52"/>
    <mergeCell ref="AF48:AJ48"/>
    <mergeCell ref="D49:F49"/>
    <mergeCell ref="G49:K49"/>
    <mergeCell ref="L49:P49"/>
    <mergeCell ref="Q49:U49"/>
    <mergeCell ref="V49:Z49"/>
    <mergeCell ref="AA49:AE49"/>
    <mergeCell ref="AF49:AJ49"/>
    <mergeCell ref="D51:F51"/>
    <mergeCell ref="G44:K47"/>
    <mergeCell ref="AO17:AX20"/>
    <mergeCell ref="AE66:AJ66"/>
    <mergeCell ref="AE63:AJ63"/>
    <mergeCell ref="AF50:AJ50"/>
    <mergeCell ref="W84:AC84"/>
    <mergeCell ref="G48:K48"/>
    <mergeCell ref="L48:P48"/>
    <mergeCell ref="D4:G5"/>
    <mergeCell ref="BA45:BK48"/>
    <mergeCell ref="BA17:BK20"/>
    <mergeCell ref="AH7:AI8"/>
    <mergeCell ref="AE26:AI26"/>
    <mergeCell ref="AF43:AJ43"/>
    <mergeCell ref="AO45:AY48"/>
    <mergeCell ref="X20:AC20"/>
    <mergeCell ref="AS2:AX11"/>
    <mergeCell ref="I8:AB8"/>
    <mergeCell ref="I7:AB7"/>
    <mergeCell ref="AE28:AJ28"/>
    <mergeCell ref="AE17:AJ17"/>
    <mergeCell ref="AE22:AJ22"/>
    <mergeCell ref="M29:R29"/>
    <mergeCell ref="AA39:AE42"/>
    <mergeCell ref="AF39:AJ42"/>
    <mergeCell ref="Y10:AJ11"/>
    <mergeCell ref="X19:AC19"/>
    <mergeCell ref="B10:X11"/>
    <mergeCell ref="L39:P42"/>
    <mergeCell ref="I5:AB5"/>
    <mergeCell ref="AF44:AJ47"/>
    <mergeCell ref="B44:F47"/>
    <mergeCell ref="G43:K43"/>
    <mergeCell ref="B5:C5"/>
    <mergeCell ref="AE25:AJ25"/>
    <mergeCell ref="AA44:AE47"/>
    <mergeCell ref="AE30:AJ30"/>
    <mergeCell ref="AA53:AE53"/>
    <mergeCell ref="AF53:AJ53"/>
    <mergeCell ref="Q50:U50"/>
    <mergeCell ref="D50:F50"/>
    <mergeCell ref="V51:Z51"/>
    <mergeCell ref="V52:Z52"/>
    <mergeCell ref="AA52:AE52"/>
    <mergeCell ref="AF52:AJ52"/>
    <mergeCell ref="AA51:AE51"/>
    <mergeCell ref="AF51:AJ51"/>
    <mergeCell ref="D52:F52"/>
    <mergeCell ref="G52:K52"/>
    <mergeCell ref="L52:P52"/>
    <mergeCell ref="G51:K51"/>
    <mergeCell ref="L51:P51"/>
    <mergeCell ref="Q51:U51"/>
    <mergeCell ref="AA50:AE50"/>
    <mergeCell ref="L53:P53"/>
    <mergeCell ref="Q53:U53"/>
    <mergeCell ref="AD7:AG7"/>
    <mergeCell ref="Q116:V116"/>
    <mergeCell ref="X116:AC116"/>
    <mergeCell ref="AE116:AJ116"/>
    <mergeCell ref="X118:AC118"/>
    <mergeCell ref="C12:Z14"/>
    <mergeCell ref="AA12:AG14"/>
    <mergeCell ref="S81:AA81"/>
    <mergeCell ref="AB81:AJ81"/>
    <mergeCell ref="AD84:AJ84"/>
    <mergeCell ref="AE64:AJ64"/>
    <mergeCell ref="AE60:AJ60"/>
    <mergeCell ref="V39:Z42"/>
    <mergeCell ref="Q48:U48"/>
    <mergeCell ref="AA55:AE55"/>
    <mergeCell ref="G54:K54"/>
    <mergeCell ref="L54:P54"/>
    <mergeCell ref="Q54:U54"/>
    <mergeCell ref="V54:Z54"/>
    <mergeCell ref="AA58:AE58"/>
    <mergeCell ref="G59:K59"/>
    <mergeCell ref="L59:P59"/>
    <mergeCell ref="D77:I81"/>
    <mergeCell ref="J77:R80"/>
    <mergeCell ref="B31:C31"/>
    <mergeCell ref="AD8:AG8"/>
    <mergeCell ref="AC4:AJ4"/>
    <mergeCell ref="L43:P43"/>
    <mergeCell ref="Q43:U43"/>
    <mergeCell ref="V43:Z43"/>
    <mergeCell ref="AA43:AE43"/>
    <mergeCell ref="G39:K42"/>
    <mergeCell ref="Q39:U42"/>
    <mergeCell ref="AE61:AJ61"/>
    <mergeCell ref="AF58:AJ58"/>
    <mergeCell ref="AF59:AJ59"/>
    <mergeCell ref="V48:Z48"/>
    <mergeCell ref="AA48:AE48"/>
    <mergeCell ref="Q44:U47"/>
    <mergeCell ref="V44:Z47"/>
    <mergeCell ref="G57:K57"/>
    <mergeCell ref="L57:P57"/>
    <mergeCell ref="G58:K58"/>
    <mergeCell ref="V58:Z58"/>
    <mergeCell ref="AD76:AJ76"/>
    <mergeCell ref="AE67:AJ67"/>
    <mergeCell ref="AE69:AJ69"/>
    <mergeCell ref="AD100:AJ100"/>
    <mergeCell ref="D101:I105"/>
    <mergeCell ref="J101:R104"/>
    <mergeCell ref="S101:AA104"/>
    <mergeCell ref="AB101:AJ104"/>
    <mergeCell ref="J105:R105"/>
    <mergeCell ref="S105:AA105"/>
    <mergeCell ref="AB105:AJ105"/>
    <mergeCell ref="AB85:AJ88"/>
    <mergeCell ref="J89:R89"/>
    <mergeCell ref="S89:AA89"/>
    <mergeCell ref="AB89:AJ89"/>
    <mergeCell ref="P119:V119"/>
    <mergeCell ref="AE118:AJ118"/>
    <mergeCell ref="D92:M92"/>
    <mergeCell ref="N92:V92"/>
    <mergeCell ref="W92:AC92"/>
    <mergeCell ref="AD92:AJ92"/>
    <mergeCell ref="D93:I97"/>
    <mergeCell ref="J93:R96"/>
    <mergeCell ref="S93:AA96"/>
    <mergeCell ref="AB93:AJ96"/>
    <mergeCell ref="J97:R97"/>
    <mergeCell ref="S97:AA97"/>
    <mergeCell ref="AB97:AJ97"/>
    <mergeCell ref="I119:O119"/>
    <mergeCell ref="W119:AC119"/>
    <mergeCell ref="AD119:AJ119"/>
    <mergeCell ref="I117:O117"/>
    <mergeCell ref="P117:V117"/>
    <mergeCell ref="W117:AC117"/>
    <mergeCell ref="AD117:AJ117"/>
    <mergeCell ref="D100:M100"/>
    <mergeCell ref="N100:V100"/>
    <mergeCell ref="W100:AC100"/>
    <mergeCell ref="J116:O116"/>
  </mergeCells>
  <phoneticPr fontId="9" type="noConversion"/>
  <conditionalFormatting sqref="B13 AH13">
    <cfRule type="expression" dxfId="110" priority="11">
      <formula>AND(File_Marr_Sep&lt;&gt;"",$AI$13="")</formula>
    </cfRule>
  </conditionalFormatting>
  <conditionalFormatting sqref="B10:K10">
    <cfRule type="expression" dxfId="109" priority="239">
      <formula>IF(NoColor,1,0)</formula>
    </cfRule>
  </conditionalFormatting>
  <conditionalFormatting sqref="C2">
    <cfRule type="expression" dxfId="108" priority="60">
      <formula>IF(NoColor,1,0)</formula>
    </cfRule>
  </conditionalFormatting>
  <conditionalFormatting sqref="C12">
    <cfRule type="expression" dxfId="107" priority="8">
      <formula>IF(AND(File_Marr_Sep&lt;&gt;"",$AI$13=""),1,0)</formula>
    </cfRule>
  </conditionalFormatting>
  <conditionalFormatting sqref="C107">
    <cfRule type="expression" dxfId="106" priority="168">
      <formula>IF(NoColor,1,0)</formula>
    </cfRule>
  </conditionalFormatting>
  <conditionalFormatting sqref="C111">
    <cfRule type="expression" dxfId="105" priority="167">
      <formula>IF(NoColor,1,0)</formula>
    </cfRule>
  </conditionalFormatting>
  <conditionalFormatting sqref="D33">
    <cfRule type="expression" dxfId="104" priority="133">
      <formula>IF(NoColor,1,0)</formula>
    </cfRule>
  </conditionalFormatting>
  <conditionalFormatting sqref="D36">
    <cfRule type="expression" dxfId="103" priority="157">
      <formula>IF(NoColor,1,0)</formula>
    </cfRule>
  </conditionalFormatting>
  <conditionalFormatting sqref="D76:H76">
    <cfRule type="expression" dxfId="102" priority="196">
      <formula>IF(NoColor,1,0)</formula>
    </cfRule>
  </conditionalFormatting>
  <conditionalFormatting sqref="D84:H84">
    <cfRule type="expression" dxfId="101" priority="59">
      <formula>IF(NoColor,1,0)</formula>
    </cfRule>
  </conditionalFormatting>
  <conditionalFormatting sqref="D92:H92">
    <cfRule type="expression" dxfId="100" priority="55">
      <formula>IF(NoColor,1,0)</formula>
    </cfRule>
  </conditionalFormatting>
  <conditionalFormatting sqref="D100:H100">
    <cfRule type="expression" dxfId="99" priority="51">
      <formula>IF(NoColor,1,0)</formula>
    </cfRule>
  </conditionalFormatting>
  <conditionalFormatting sqref="G43:P43">
    <cfRule type="expression" dxfId="98" priority="78">
      <formula>IF($D$36="",1,0)</formula>
    </cfRule>
  </conditionalFormatting>
  <conditionalFormatting sqref="G48:P59">
    <cfRule type="expression" dxfId="97" priority="77">
      <formula>IF($D$36&lt;&gt;"",1,0)</formula>
    </cfRule>
  </conditionalFormatting>
  <conditionalFormatting sqref="G43:AJ43">
    <cfRule type="expression" dxfId="96" priority="16">
      <formula>IF(NoColor,1,0)</formula>
    </cfRule>
  </conditionalFormatting>
  <conditionalFormatting sqref="G48:AJ59">
    <cfRule type="expression" dxfId="95" priority="14">
      <formula>IF(NoColor,1,0)</formula>
    </cfRule>
  </conditionalFormatting>
  <conditionalFormatting sqref="I117:M117">
    <cfRule type="expression" dxfId="94" priority="166">
      <formula>IF(NoColor,1,0)</formula>
    </cfRule>
  </conditionalFormatting>
  <conditionalFormatting sqref="I119:M119">
    <cfRule type="expression" dxfId="93" priority="47">
      <formula>IF(NoColor,1,0)</formula>
    </cfRule>
  </conditionalFormatting>
  <conditionalFormatting sqref="J81:N81">
    <cfRule type="expression" dxfId="92" priority="192">
      <formula>IF(NoColor,1,0)</formula>
    </cfRule>
  </conditionalFormatting>
  <conditionalFormatting sqref="J89:N89">
    <cfRule type="expression" dxfId="91" priority="43">
      <formula>IF(NoColor,1,0)</formula>
    </cfRule>
  </conditionalFormatting>
  <conditionalFormatting sqref="J97:N97">
    <cfRule type="expression" dxfId="90" priority="40">
      <formula>IF(NoColor,1,0)</formula>
    </cfRule>
  </conditionalFormatting>
  <conditionalFormatting sqref="J105:N105">
    <cfRule type="expression" dxfId="89" priority="37">
      <formula>IF(NoColor,1,0)</formula>
    </cfRule>
  </conditionalFormatting>
  <conditionalFormatting sqref="M2">
    <cfRule type="expression" dxfId="88" priority="61">
      <formula>IF(NoColor,1,0)</formula>
    </cfRule>
  </conditionalFormatting>
  <conditionalFormatting sqref="M20:R20">
    <cfRule type="expression" dxfId="87" priority="217">
      <formula>IF(NoColor,1,0)</formula>
    </cfRule>
  </conditionalFormatting>
  <conditionalFormatting sqref="M30:R30">
    <cfRule type="expression" dxfId="86" priority="233">
      <formula>IF(NoColor,1,0)</formula>
    </cfRule>
  </conditionalFormatting>
  <conditionalFormatting sqref="N76:R76">
    <cfRule type="expression" dxfId="85" priority="195">
      <formula>IF(NoColor,1,0)</formula>
    </cfRule>
  </conditionalFormatting>
  <conditionalFormatting sqref="N84:R84">
    <cfRule type="expression" dxfId="84" priority="58">
      <formula>IF(NoColor,1,0)</formula>
    </cfRule>
  </conditionalFormatting>
  <conditionalFormatting sqref="N92:R92">
    <cfRule type="expression" dxfId="83" priority="54">
      <formula>IF(NoColor,1,0)</formula>
    </cfRule>
  </conditionalFormatting>
  <conditionalFormatting sqref="N100:R100">
    <cfRule type="expression" dxfId="82" priority="50">
      <formula>IF(NoColor,1,0)</formula>
    </cfRule>
  </conditionalFormatting>
  <conditionalFormatting sqref="O25">
    <cfRule type="expression" dxfId="81" priority="126">
      <formula>IF(NoColor,1,0)</formula>
    </cfRule>
  </conditionalFormatting>
  <conditionalFormatting sqref="P117:T117">
    <cfRule type="expression" dxfId="80" priority="165">
      <formula>IF(NoColor,1,0)</formula>
    </cfRule>
  </conditionalFormatting>
  <conditionalFormatting sqref="P119:T119">
    <cfRule type="expression" dxfId="79" priority="46">
      <formula>IF(NoColor,1,0)</formula>
    </cfRule>
  </conditionalFormatting>
  <conditionalFormatting sqref="S25">
    <cfRule type="expression" dxfId="78" priority="127">
      <formula>IF(NoColor,1,0)</formula>
    </cfRule>
  </conditionalFormatting>
  <conditionalFormatting sqref="S81:W81">
    <cfRule type="expression" dxfId="77" priority="191">
      <formula>IF(NoColor,1,0)</formula>
    </cfRule>
  </conditionalFormatting>
  <conditionalFormatting sqref="S89:W89">
    <cfRule type="expression" dxfId="76" priority="42">
      <formula>IF(NoColor,1,0)</formula>
    </cfRule>
  </conditionalFormatting>
  <conditionalFormatting sqref="S97:W97">
    <cfRule type="expression" dxfId="75" priority="39">
      <formula>IF(NoColor,1,0)</formula>
    </cfRule>
  </conditionalFormatting>
  <conditionalFormatting sqref="S105:W105">
    <cfRule type="expression" dxfId="74" priority="36">
      <formula>IF(NoColor,1,0)</formula>
    </cfRule>
  </conditionalFormatting>
  <conditionalFormatting sqref="W2">
    <cfRule type="expression" dxfId="73" priority="99">
      <formula>IF(NoColor,1,0)</formula>
    </cfRule>
  </conditionalFormatting>
  <conditionalFormatting sqref="W25">
    <cfRule type="expression" dxfId="72" priority="128">
      <formula>IF(NoColor,1,0)</formula>
    </cfRule>
  </conditionalFormatting>
  <conditionalFormatting sqref="W76:AA76">
    <cfRule type="expression" dxfId="71" priority="194">
      <formula>IF(NoColor,1,0)</formula>
    </cfRule>
  </conditionalFormatting>
  <conditionalFormatting sqref="W84:AA84">
    <cfRule type="expression" dxfId="70" priority="57">
      <formula>IF(NoColor,1,0)</formula>
    </cfRule>
  </conditionalFormatting>
  <conditionalFormatting sqref="W92:AA92">
    <cfRule type="expression" dxfId="69" priority="53">
      <formula>IF(NoColor,1,0)</formula>
    </cfRule>
  </conditionalFormatting>
  <conditionalFormatting sqref="W100:AA100">
    <cfRule type="expression" dxfId="68" priority="49">
      <formula>IF(NoColor,1,0)</formula>
    </cfRule>
  </conditionalFormatting>
  <conditionalFormatting sqref="W117:AA117">
    <cfRule type="expression" dxfId="67" priority="164">
      <formula>IF(NoColor,1,0)</formula>
    </cfRule>
  </conditionalFormatting>
  <conditionalFormatting sqref="W119:AA119">
    <cfRule type="expression" dxfId="66" priority="45">
      <formula>IF(NoColor,1,0)</formula>
    </cfRule>
  </conditionalFormatting>
  <conditionalFormatting sqref="X19:AC20">
    <cfRule type="expression" dxfId="65" priority="31">
      <formula>IF(NoColor,1,0)</formula>
    </cfRule>
  </conditionalFormatting>
  <conditionalFormatting sqref="Y10">
    <cfRule type="expression" dxfId="64" priority="75">
      <formula>IF(NoColor,1,0)</formula>
    </cfRule>
  </conditionalFormatting>
  <conditionalFormatting sqref="Z33">
    <cfRule type="expression" dxfId="63" priority="132">
      <formula>IF(NoColor,1,0)</formula>
    </cfRule>
  </conditionalFormatting>
  <conditionalFormatting sqref="Z36">
    <cfRule type="expression" dxfId="62" priority="129">
      <formula>IF(NoColor,1,0)</formula>
    </cfRule>
  </conditionalFormatting>
  <conditionalFormatting sqref="AB81:AF81">
    <cfRule type="expression" dxfId="61" priority="190">
      <formula>IF(NoColor,1,0)</formula>
    </cfRule>
  </conditionalFormatting>
  <conditionalFormatting sqref="AB89:AF89">
    <cfRule type="expression" dxfId="60" priority="41">
      <formula>IF(NoColor,1,0)</formula>
    </cfRule>
  </conditionalFormatting>
  <conditionalFormatting sqref="AB97:AF97">
    <cfRule type="expression" dxfId="59" priority="38">
      <formula>IF(NoColor,1,0)</formula>
    </cfRule>
  </conditionalFormatting>
  <conditionalFormatting sqref="AB105:AF105">
    <cfRule type="expression" dxfId="58" priority="35">
      <formula>IF(NoColor,1,0)</formula>
    </cfRule>
  </conditionalFormatting>
  <conditionalFormatting sqref="AD76:AH76">
    <cfRule type="expression" dxfId="57" priority="193">
      <formula>IF(NoColor,1,0)</formula>
    </cfRule>
  </conditionalFormatting>
  <conditionalFormatting sqref="AD84:AH84">
    <cfRule type="expression" dxfId="56" priority="56">
      <formula>IF(NoColor,1,0)</formula>
    </cfRule>
  </conditionalFormatting>
  <conditionalFormatting sqref="AD92:AH92">
    <cfRule type="expression" dxfId="55" priority="52">
      <formula>IF(NoColor,1,0)</formula>
    </cfRule>
  </conditionalFormatting>
  <conditionalFormatting sqref="AD100:AH100">
    <cfRule type="expression" dxfId="54" priority="48">
      <formula>IF(NoColor,1,0)</formula>
    </cfRule>
  </conditionalFormatting>
  <conditionalFormatting sqref="AD117:AH117">
    <cfRule type="expression" dxfId="53" priority="163">
      <formula>IF(NoColor,1,0)</formula>
    </cfRule>
  </conditionalFormatting>
  <conditionalFormatting sqref="AD119:AH119">
    <cfRule type="expression" dxfId="52" priority="44">
      <formula>IF(NoColor,1,0)</formula>
    </cfRule>
  </conditionalFormatting>
  <conditionalFormatting sqref="AE25:AE26">
    <cfRule type="expression" dxfId="51" priority="214">
      <formula>IF(NoColor,1,0)</formula>
    </cfRule>
  </conditionalFormatting>
  <conditionalFormatting sqref="AE17:AJ17">
    <cfRule type="expression" dxfId="50" priority="207">
      <formula>IF(NoColor,1,0)</formula>
    </cfRule>
  </conditionalFormatting>
  <conditionalFormatting sqref="AE22:AJ22">
    <cfRule type="expression" dxfId="49" priority="211">
      <formula>IF(NoColor,1,0)</formula>
    </cfRule>
  </conditionalFormatting>
  <conditionalFormatting sqref="AE25:AJ25">
    <cfRule type="expression" dxfId="48" priority="213">
      <formula>IF(NoColor,1,0)</formula>
    </cfRule>
  </conditionalFormatting>
  <conditionalFormatting sqref="AE28:AJ28">
    <cfRule type="expression" dxfId="47" priority="229">
      <formula>IF(NoColor,1,0)</formula>
    </cfRule>
  </conditionalFormatting>
  <conditionalFormatting sqref="AE30:AJ30">
    <cfRule type="expression" dxfId="46" priority="231">
      <formula>IF(NoColor,1,0)</formula>
    </cfRule>
  </conditionalFormatting>
  <conditionalFormatting sqref="AE60:AJ61">
    <cfRule type="expression" dxfId="45" priority="203">
      <formula>IF(NoColor,1,0)</formula>
    </cfRule>
  </conditionalFormatting>
  <conditionalFormatting sqref="AE64:AJ64">
    <cfRule type="expression" dxfId="44" priority="201">
      <formula>IF(NoColor,1,0)</formula>
    </cfRule>
  </conditionalFormatting>
  <conditionalFormatting sqref="AE66:AJ67">
    <cfRule type="expression" dxfId="43" priority="124">
      <formula>IF(NoColor,1,0)</formula>
    </cfRule>
  </conditionalFormatting>
  <conditionalFormatting sqref="AE69:AJ69">
    <cfRule type="expression" dxfId="42" priority="149">
      <formula>IF(NoColor,1,0)</formula>
    </cfRule>
  </conditionalFormatting>
  <conditionalFormatting sqref="AI13">
    <cfRule type="expression" dxfId="41" priority="12">
      <formula>IF(NoColor,1,0)</formula>
    </cfRule>
  </conditionalFormatting>
  <conditionalFormatting sqref="AJ15">
    <cfRule type="expression" dxfId="40" priority="139">
      <formula>IF(AL15&lt;&gt;"",1,0)</formula>
    </cfRule>
  </conditionalFormatting>
  <conditionalFormatting sqref="AJ26">
    <cfRule type="expression" dxfId="39" priority="215">
      <formula>IF(NoColor,1,0)</formula>
    </cfRule>
  </conditionalFormatting>
  <conditionalFormatting sqref="AL13">
    <cfRule type="expression" dxfId="38" priority="4808">
      <formula>IF(AND(File_Marr_Sep&lt;&gt;"",#REF!&lt;&gt;""),TRUE,FALSE)</formula>
    </cfRule>
    <cfRule type="expression" dxfId="37" priority="4809">
      <formula>OR(File_Marr_Sep&lt;&gt;"",AND(File_Marr_Sep="",AI13&lt;&gt;""))</formula>
    </cfRule>
  </conditionalFormatting>
  <conditionalFormatting sqref="AL15">
    <cfRule type="expression" dxfId="36" priority="29">
      <formula>OR($AM$13,$AL$15&lt;&gt;"")</formula>
    </cfRule>
  </conditionalFormatting>
  <conditionalFormatting sqref="AM5:AR11">
    <cfRule type="expression" dxfId="35" priority="4806">
      <formula>File_Marr_Sep&lt;&gt;""</formula>
    </cfRule>
  </conditionalFormatting>
  <conditionalFormatting sqref="AP55 AP63:AP64">
    <cfRule type="expression" dxfId="34" priority="4843">
      <formula>AND($AR$65&lt;&gt;"---",$AR$65&lt;&gt;"",$AV$66)</formula>
    </cfRule>
  </conditionalFormatting>
  <conditionalFormatting sqref="AP57 AP65">
    <cfRule type="expression" dxfId="33" priority="4845">
      <formula>AND($AR$65&lt;&gt;"",NOT($AV$66))</formula>
    </cfRule>
  </conditionalFormatting>
  <conditionalFormatting sqref="AP67">
    <cfRule type="expression" dxfId="32" priority="4">
      <formula>$AP$66</formula>
    </cfRule>
  </conditionalFormatting>
  <conditionalFormatting sqref="AP68">
    <cfRule type="expression" dxfId="31" priority="4842">
      <formula>AND($AR$65&lt;&gt;"",$AR$65&lt;100)</formula>
    </cfRule>
  </conditionalFormatting>
  <conditionalFormatting sqref="AS2">
    <cfRule type="expression" dxfId="30" priority="138">
      <formula>IF(File_Marr_Sep&lt;&gt;"",TRUE,FALSE)</formula>
    </cfRule>
  </conditionalFormatting>
  <conditionalFormatting sqref="AU29">
    <cfRule type="expression" dxfId="29" priority="122">
      <formula>IF(NoColor,1,0)</formula>
    </cfRule>
  </conditionalFormatting>
  <conditionalFormatting sqref="AU33">
    <cfRule type="expression" dxfId="28" priority="64">
      <formula>IF(NoColor,1,0)</formula>
    </cfRule>
  </conditionalFormatting>
  <conditionalFormatting sqref="AU39">
    <cfRule type="expression" dxfId="27" priority="18">
      <formula>IF(NoColor,1,0)</formula>
    </cfRule>
  </conditionalFormatting>
  <conditionalFormatting sqref="AV25">
    <cfRule type="expression" dxfId="26" priority="115">
      <formula>IF(NoColor,1,0)</formula>
    </cfRule>
  </conditionalFormatting>
  <conditionalFormatting sqref="AV43">
    <cfRule type="expression" dxfId="25" priority="17">
      <formula>IF(NoColor,1,0)</formula>
    </cfRule>
  </conditionalFormatting>
  <conditionalFormatting sqref="BG30">
    <cfRule type="expression" dxfId="24" priority="104">
      <formula>IF(NoColor,1,0)</formula>
    </cfRule>
  </conditionalFormatting>
  <conditionalFormatting sqref="BG34">
    <cfRule type="expression" dxfId="23" priority="13">
      <formula>IF(NoColor,1,0)</formula>
    </cfRule>
  </conditionalFormatting>
  <conditionalFormatting sqref="BG39">
    <cfRule type="expression" dxfId="22" priority="22">
      <formula>IF(NoColor,1,0)</formula>
    </cfRule>
  </conditionalFormatting>
  <conditionalFormatting sqref="BH25">
    <cfRule type="expression" dxfId="21" priority="109">
      <formula>IF(NoColor,1,0)</formula>
    </cfRule>
  </conditionalFormatting>
  <conditionalFormatting sqref="BH42">
    <cfRule type="expression" dxfId="20" priority="117">
      <formula>IF(NoColor,1,0)</formula>
    </cfRule>
  </conditionalFormatting>
  <hyperlinks>
    <hyperlink ref="C129:D131" location="'Table of Contents'!A1" display="Table of Contents" xr:uid="{00000000-0004-0000-3700-000000000000}"/>
    <hyperlink ref="B124:H124" r:id="rId1" display="Download Form 1040 Schedule R" xr:uid="{00000000-0004-0000-3700-000001000000}"/>
    <hyperlink ref="B126:H126" r:id="rId2" display="Download Form 1040 Schedule R Instructions" xr:uid="{00000000-0004-0000-3700-000002000000}"/>
    <hyperlink ref="B124:I124" r:id="rId3" display="Download Form 1040 Form 8962" xr:uid="{00000000-0004-0000-3700-000003000000}"/>
    <hyperlink ref="B126:L126" r:id="rId4" display="Download Form 8962 Instructions" xr:uid="{00000000-0004-0000-3700-000004000000}"/>
    <hyperlink ref="B124:L124" r:id="rId5" display="Download Form 8962" xr:uid="{00000000-0004-0000-3700-000005000000}"/>
  </hyperlinks>
  <pageMargins left="0.75" right="0.25" top="0.36" bottom="0.28999999999999998" header="0.36" footer="0.21"/>
  <pageSetup scale="69" fitToHeight="0" orientation="portrait" r:id="rId6"/>
  <rowBreaks count="1" manualBreakCount="1">
    <brk id="70" min="1" max="35"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Y52"/>
  <sheetViews>
    <sheetView zoomScaleNormal="100" zoomScaleSheetLayoutView="100" workbookViewId="0">
      <selection activeCell="W31" sqref="W31"/>
    </sheetView>
  </sheetViews>
  <sheetFormatPr defaultColWidth="3.42578125" defaultRowHeight="12.75"/>
  <cols>
    <col min="1" max="1" width="3.42578125" style="39"/>
    <col min="2" max="5" width="3.85546875" style="39" customWidth="1"/>
    <col min="6" max="6" width="5.7109375" style="39" customWidth="1"/>
    <col min="7" max="8" width="3.42578125" style="39" customWidth="1"/>
    <col min="9" max="9" width="4.28515625" style="39" customWidth="1"/>
    <col min="10" max="14" width="3.42578125" style="39" customWidth="1"/>
    <col min="15" max="15" width="2.7109375" style="39" customWidth="1"/>
    <col min="16" max="16" width="3.42578125" style="39" customWidth="1"/>
    <col min="17" max="17" width="11.42578125" style="39" customWidth="1"/>
    <col min="18" max="18" width="4.28515625" style="39" customWidth="1"/>
    <col min="19" max="19" width="3.42578125" style="39" customWidth="1"/>
    <col min="20" max="20" width="3.85546875" style="39" customWidth="1"/>
    <col min="21" max="21" width="4.28515625" style="39" customWidth="1"/>
    <col min="22" max="22" width="5" style="39" customWidth="1"/>
    <col min="23" max="26" width="3.42578125" style="39" customWidth="1"/>
    <col min="27" max="27" width="3.28515625" style="39" customWidth="1"/>
    <col min="28" max="28" width="5" style="39" customWidth="1"/>
    <col min="29" max="31" width="3.42578125" style="39"/>
    <col min="32" max="32" width="5.5703125" style="39" customWidth="1"/>
    <col min="33" max="33" width="4.140625" style="39" customWidth="1"/>
    <col min="34" max="34" width="3.42578125" style="39"/>
    <col min="35" max="35" width="4.140625" style="39" customWidth="1"/>
    <col min="36" max="36" width="15" style="39" customWidth="1"/>
    <col min="37" max="37" width="2.5703125" style="39" customWidth="1"/>
    <col min="38" max="38" width="13.140625" style="39" customWidth="1"/>
    <col min="39" max="39" width="15.85546875" style="39" customWidth="1"/>
    <col min="40" max="40" width="3.42578125" style="39"/>
    <col min="41" max="41" width="14.5703125" style="2725" customWidth="1"/>
    <col min="42" max="51" width="10.7109375" style="2038" customWidth="1"/>
    <col min="52" max="53" width="3.42578125" style="39"/>
    <col min="54" max="64" width="3.28515625" style="39" customWidth="1"/>
    <col min="65" max="16384" width="3.42578125" style="39"/>
  </cols>
  <sheetData>
    <row r="1" spans="1:51" ht="15">
      <c r="A1" s="2162"/>
      <c r="B1" s="2162"/>
      <c r="C1" s="2162"/>
      <c r="D1" s="2162"/>
      <c r="E1" s="2162"/>
      <c r="F1" s="2162"/>
      <c r="G1" s="2162"/>
      <c r="H1" s="2162"/>
      <c r="I1" s="2162"/>
      <c r="J1" s="2162"/>
      <c r="K1" s="2162"/>
      <c r="L1" s="2162"/>
      <c r="M1" s="2162"/>
      <c r="N1" s="2162"/>
      <c r="O1" s="2162"/>
      <c r="P1" s="2162"/>
      <c r="Q1" s="2162"/>
      <c r="R1" s="2162"/>
      <c r="S1" s="2162"/>
      <c r="T1" s="2162"/>
      <c r="U1" s="2162"/>
      <c r="V1" s="2162"/>
      <c r="W1" s="2162"/>
      <c r="X1" s="2162"/>
      <c r="Y1" s="2162"/>
      <c r="Z1" s="2162"/>
      <c r="AA1" s="2162"/>
      <c r="AB1" s="2162"/>
      <c r="AC1" s="2162"/>
      <c r="AD1" s="2162"/>
      <c r="AE1" s="2162"/>
      <c r="AF1" s="2162"/>
      <c r="AG1" s="2162"/>
      <c r="AH1" s="2162"/>
      <c r="AJ1" s="260"/>
      <c r="AL1" s="4415"/>
      <c r="AO1" s="2723" t="s">
        <v>241</v>
      </c>
    </row>
    <row r="2" spans="1:51" ht="18" customHeight="1">
      <c r="A2" s="2162"/>
      <c r="B2" s="10402" t="s">
        <v>5328</v>
      </c>
      <c r="C2" s="10402"/>
      <c r="D2" s="10403">
        <v>8995</v>
      </c>
      <c r="E2" s="10403"/>
      <c r="F2" s="10404"/>
      <c r="G2" s="5198"/>
      <c r="H2" s="808"/>
      <c r="I2" s="808"/>
      <c r="J2" s="808"/>
      <c r="K2" s="808"/>
      <c r="L2" s="808"/>
      <c r="M2" s="808"/>
      <c r="N2" s="808"/>
      <c r="O2" s="892"/>
      <c r="P2" s="808"/>
      <c r="Q2" s="2182"/>
      <c r="R2" s="808"/>
      <c r="S2" s="808"/>
      <c r="T2" s="808"/>
      <c r="U2" s="808"/>
      <c r="V2" s="808"/>
      <c r="W2" s="808"/>
      <c r="X2" s="808"/>
      <c r="Y2" s="808"/>
      <c r="Z2" s="808"/>
      <c r="AA2" s="808"/>
      <c r="AB2" s="6917" t="s">
        <v>5329</v>
      </c>
      <c r="AC2" s="6918"/>
      <c r="AD2" s="6918"/>
      <c r="AE2" s="6918"/>
      <c r="AF2" s="6918"/>
      <c r="AG2" s="6918"/>
      <c r="AH2" s="2162"/>
      <c r="AJ2" s="260"/>
      <c r="AL2" s="4415"/>
      <c r="AO2" s="4830" t="s">
        <v>5330</v>
      </c>
    </row>
    <row r="3" spans="1:51" ht="19.5" customHeight="1">
      <c r="A3" s="2162"/>
      <c r="B3" s="10402"/>
      <c r="C3" s="10402"/>
      <c r="D3" s="10403"/>
      <c r="E3" s="10403"/>
      <c r="F3" s="10404"/>
      <c r="G3" s="8159" t="s">
        <v>5331</v>
      </c>
      <c r="H3" s="8160"/>
      <c r="I3" s="8160"/>
      <c r="J3" s="8160"/>
      <c r="K3" s="8160"/>
      <c r="L3" s="8160"/>
      <c r="M3" s="8160"/>
      <c r="N3" s="8160"/>
      <c r="O3" s="8160"/>
      <c r="P3" s="8160"/>
      <c r="Q3" s="8160"/>
      <c r="R3" s="8160"/>
      <c r="S3" s="8160"/>
      <c r="T3" s="8160"/>
      <c r="U3" s="8160"/>
      <c r="V3" s="8160"/>
      <c r="W3" s="8160"/>
      <c r="X3" s="8160"/>
      <c r="Y3" s="8160"/>
      <c r="Z3" s="8160"/>
      <c r="AA3" s="8161"/>
      <c r="AB3" s="6863">
        <f>TaxYear</f>
        <v>2023</v>
      </c>
      <c r="AC3" s="6864"/>
      <c r="AD3" s="6864"/>
      <c r="AE3" s="6864"/>
      <c r="AF3" s="6864"/>
      <c r="AG3" s="6864"/>
      <c r="AH3" s="2162"/>
      <c r="AJ3" s="260"/>
      <c r="AL3" s="1268"/>
    </row>
    <row r="4" spans="1:51" ht="19.5" customHeight="1">
      <c r="A4" s="2162"/>
      <c r="B4" s="6747"/>
      <c r="C4" s="6748"/>
      <c r="D4" s="6748"/>
      <c r="E4" s="6748"/>
      <c r="F4" s="6749"/>
      <c r="G4" s="10405" t="s">
        <v>5332</v>
      </c>
      <c r="H4" s="8767"/>
      <c r="I4" s="8767"/>
      <c r="J4" s="8767"/>
      <c r="K4" s="8767"/>
      <c r="L4" s="8767"/>
      <c r="M4" s="8767"/>
      <c r="N4" s="8767"/>
      <c r="O4" s="8767"/>
      <c r="P4" s="8767"/>
      <c r="Q4" s="8767"/>
      <c r="R4" s="8767"/>
      <c r="S4" s="8767"/>
      <c r="T4" s="8767"/>
      <c r="U4" s="8767"/>
      <c r="V4" s="8767"/>
      <c r="W4" s="8767"/>
      <c r="X4" s="8767"/>
      <c r="Y4" s="8767"/>
      <c r="Z4" s="8767"/>
      <c r="AA4" s="10406"/>
      <c r="AB4" s="6865"/>
      <c r="AC4" s="6733"/>
      <c r="AD4" s="6733"/>
      <c r="AE4" s="6733"/>
      <c r="AF4" s="6733"/>
      <c r="AG4" s="6733"/>
      <c r="AH4" s="2162"/>
      <c r="AJ4" s="260"/>
      <c r="AL4" s="902">
        <v>182100</v>
      </c>
    </row>
    <row r="5" spans="1:51" ht="14.25" customHeight="1">
      <c r="A5" s="2162"/>
      <c r="B5" s="6872" t="s">
        <v>535</v>
      </c>
      <c r="C5" s="6872"/>
      <c r="D5" s="6872"/>
      <c r="E5" s="6872"/>
      <c r="F5" s="6873"/>
      <c r="G5" s="894"/>
      <c r="H5" s="808"/>
      <c r="I5" s="808"/>
      <c r="J5" s="808"/>
      <c r="K5" s="808"/>
      <c r="L5" s="808"/>
      <c r="M5" s="808"/>
      <c r="N5" s="808"/>
      <c r="O5" s="808"/>
      <c r="P5" s="1376"/>
      <c r="Q5" s="1376" t="s">
        <v>3898</v>
      </c>
      <c r="R5" s="808"/>
      <c r="S5" s="808"/>
      <c r="T5" s="808"/>
      <c r="U5" s="808"/>
      <c r="V5" s="808"/>
      <c r="W5" s="808"/>
      <c r="X5" s="808"/>
      <c r="Y5" s="808"/>
      <c r="Z5" s="808"/>
      <c r="AA5" s="808"/>
      <c r="AB5" s="3337" t="s">
        <v>1194</v>
      </c>
      <c r="AC5" s="1715"/>
      <c r="AD5" s="3335"/>
      <c r="AE5" s="3335"/>
      <c r="AF5" s="10400">
        <v>55</v>
      </c>
      <c r="AG5" s="3335"/>
      <c r="AH5" s="2162"/>
      <c r="AJ5" s="260"/>
      <c r="AL5" s="4831">
        <v>170050</v>
      </c>
      <c r="AM5" s="676"/>
    </row>
    <row r="6" spans="1:51" ht="13.5" thickBot="1">
      <c r="A6" s="2162"/>
      <c r="B6" s="6866" t="s">
        <v>537</v>
      </c>
      <c r="C6" s="6866"/>
      <c r="D6" s="6866"/>
      <c r="E6" s="6866"/>
      <c r="F6" s="6867"/>
      <c r="G6" s="2399" t="s">
        <v>5333</v>
      </c>
      <c r="H6" s="2400"/>
      <c r="I6" s="2399"/>
      <c r="J6" s="2401"/>
      <c r="K6" s="2400"/>
      <c r="L6" s="2400"/>
      <c r="M6" s="2400"/>
      <c r="N6" s="2400"/>
      <c r="O6" s="2400"/>
      <c r="P6" s="2400"/>
      <c r="Q6" s="2400"/>
      <c r="R6" s="2400"/>
      <c r="S6" s="2400"/>
      <c r="T6" s="2400"/>
      <c r="U6" s="2400"/>
      <c r="V6" s="2400"/>
      <c r="W6" s="2400"/>
      <c r="X6" s="2400"/>
      <c r="Y6" s="2400"/>
      <c r="Z6" s="2400"/>
      <c r="AA6" s="2400"/>
      <c r="AB6" s="3338" t="s">
        <v>3474</v>
      </c>
      <c r="AC6" s="1715"/>
      <c r="AD6" s="3336"/>
      <c r="AE6" s="3336"/>
      <c r="AF6" s="10401"/>
      <c r="AG6" s="3336"/>
      <c r="AH6" s="2162"/>
      <c r="AJ6" s="260"/>
      <c r="AL6" s="902">
        <v>364200</v>
      </c>
    </row>
    <row r="7" spans="1:51">
      <c r="A7" s="2162"/>
      <c r="B7" s="892" t="s">
        <v>2208</v>
      </c>
      <c r="C7" s="808"/>
      <c r="D7" s="808"/>
      <c r="E7" s="808"/>
      <c r="F7" s="808"/>
      <c r="G7" s="808"/>
      <c r="H7" s="808"/>
      <c r="I7" s="808"/>
      <c r="J7" s="808"/>
      <c r="K7" s="808"/>
      <c r="L7" s="808"/>
      <c r="M7" s="808"/>
      <c r="N7" s="808"/>
      <c r="O7" s="808"/>
      <c r="P7" s="808"/>
      <c r="Q7" s="808"/>
      <c r="R7" s="808"/>
      <c r="S7" s="808"/>
      <c r="T7" s="808"/>
      <c r="U7" s="808"/>
      <c r="V7" s="808"/>
      <c r="W7" s="808"/>
      <c r="X7" s="808"/>
      <c r="Y7" s="2394"/>
      <c r="Z7" s="808"/>
      <c r="AA7" s="808"/>
      <c r="AB7" s="2394"/>
      <c r="AC7" s="3339" t="s">
        <v>5334</v>
      </c>
      <c r="AD7" s="890"/>
      <c r="AE7" s="890"/>
      <c r="AF7" s="890"/>
      <c r="AG7" s="890"/>
      <c r="AH7" s="2162"/>
      <c r="AJ7" s="260"/>
      <c r="AL7" s="902">
        <f>IF(File_Marr_Joint&lt;&gt;"",AL6,AL4)</f>
        <v>182100</v>
      </c>
    </row>
    <row r="8" spans="1:51" ht="9.75" customHeight="1">
      <c r="A8" s="2162"/>
      <c r="B8" s="10385" t="str">
        <f>Names</f>
        <v/>
      </c>
      <c r="C8" s="10385"/>
      <c r="D8" s="10385"/>
      <c r="E8" s="10385"/>
      <c r="F8" s="10385"/>
      <c r="G8" s="10385"/>
      <c r="H8" s="10385"/>
      <c r="I8" s="10385"/>
      <c r="J8" s="10385"/>
      <c r="K8" s="10385"/>
      <c r="L8" s="10385"/>
      <c r="M8" s="10385"/>
      <c r="N8" s="10385"/>
      <c r="O8" s="10385"/>
      <c r="P8" s="10385"/>
      <c r="Q8" s="10385"/>
      <c r="R8" s="10385"/>
      <c r="S8" s="10385"/>
      <c r="T8" s="10385"/>
      <c r="U8" s="10385"/>
      <c r="V8" s="10385"/>
      <c r="W8" s="10385"/>
      <c r="X8" s="10386"/>
      <c r="Y8" s="10389">
        <f>IF(NoSSN,"",SS_Yours)</f>
        <v>1010001</v>
      </c>
      <c r="Z8" s="10390"/>
      <c r="AA8" s="10390"/>
      <c r="AB8" s="10390"/>
      <c r="AC8" s="10390"/>
      <c r="AD8" s="10390"/>
      <c r="AE8" s="10390"/>
      <c r="AF8" s="10390"/>
      <c r="AG8" s="10390"/>
      <c r="AH8" s="2162"/>
      <c r="AJ8" s="260"/>
      <c r="AL8" s="902">
        <f>SUM(Adj_Gross_Inc,-Deductions)</f>
        <v>0</v>
      </c>
    </row>
    <row r="9" spans="1:51" ht="9.75" customHeight="1">
      <c r="A9" s="2162"/>
      <c r="B9" s="10387"/>
      <c r="C9" s="10387"/>
      <c r="D9" s="10387"/>
      <c r="E9" s="10387"/>
      <c r="F9" s="10387"/>
      <c r="G9" s="10387"/>
      <c r="H9" s="10387"/>
      <c r="I9" s="10387"/>
      <c r="J9" s="10387"/>
      <c r="K9" s="10387"/>
      <c r="L9" s="10387"/>
      <c r="M9" s="10387"/>
      <c r="N9" s="10387"/>
      <c r="O9" s="10387"/>
      <c r="P9" s="10387"/>
      <c r="Q9" s="10387"/>
      <c r="R9" s="10387"/>
      <c r="S9" s="10387"/>
      <c r="T9" s="10387"/>
      <c r="U9" s="10387"/>
      <c r="V9" s="10387"/>
      <c r="W9" s="10387"/>
      <c r="X9" s="10388"/>
      <c r="Y9" s="10391"/>
      <c r="Z9" s="10392"/>
      <c r="AA9" s="10392"/>
      <c r="AB9" s="10392"/>
      <c r="AC9" s="10392"/>
      <c r="AD9" s="10392"/>
      <c r="AE9" s="10392"/>
      <c r="AF9" s="10392"/>
      <c r="AG9" s="10392"/>
      <c r="AH9" s="2162"/>
      <c r="AI9" s="1984"/>
      <c r="AJ9" s="3860" t="str">
        <f>IF(AL10,"Hide emphasis.","")</f>
        <v/>
      </c>
      <c r="AL9" s="1499" t="b">
        <f>(AL8&gt;AL7)</f>
        <v>0</v>
      </c>
      <c r="AM9" s="4654"/>
    </row>
    <row r="10" spans="1:51" ht="42" customHeight="1">
      <c r="A10" s="2162"/>
      <c r="B10" s="10407" t="s">
        <v>5335</v>
      </c>
      <c r="C10" s="10407"/>
      <c r="D10" s="10407"/>
      <c r="E10" s="10407"/>
      <c r="F10" s="10407"/>
      <c r="G10" s="10407"/>
      <c r="H10" s="10407"/>
      <c r="I10" s="10407"/>
      <c r="J10" s="10407"/>
      <c r="K10" s="10407"/>
      <c r="L10" s="10407"/>
      <c r="M10" s="10407"/>
      <c r="N10" s="10407"/>
      <c r="O10" s="10407"/>
      <c r="P10" s="10407"/>
      <c r="Q10" s="10407"/>
      <c r="R10" s="10407"/>
      <c r="S10" s="10407"/>
      <c r="T10" s="10407"/>
      <c r="U10" s="10407"/>
      <c r="V10" s="10407"/>
      <c r="W10" s="10407"/>
      <c r="X10" s="10407"/>
      <c r="Y10" s="10407"/>
      <c r="Z10" s="10407"/>
      <c r="AA10" s="10407"/>
      <c r="AB10" s="10407"/>
      <c r="AC10" s="10407"/>
      <c r="AD10" s="10407"/>
      <c r="AE10" s="10407"/>
      <c r="AF10" s="10407"/>
      <c r="AG10" s="10407"/>
      <c r="AH10" s="2162"/>
      <c r="AJ10" s="10410" t="str">
        <f>IF(AL10,"Your taxable income, before your QBI deduction, is "&amp;TEXT(AL8,"$0,000")&amp;".","")</f>
        <v/>
      </c>
      <c r="AL10" s="1499" t="b">
        <f>AND(AL11,AL9)</f>
        <v>0</v>
      </c>
    </row>
    <row r="11" spans="1:51" s="649" customFormat="1" ht="30" customHeight="1">
      <c r="A11" s="2191"/>
      <c r="B11" s="10408" t="str">
        <f>"Use this form if your taxable income, before your qualified business income deduction, is at or below "&amp;TEXT(AL4,"$0,000")&amp;" ("&amp;TEXT(AL6,"$0,000")&amp;" if married"&amp;CHAR(10)&amp;"filing jointly), and you aren't a patron of an agricultural or horticultural cooperative."</f>
        <v>Use this form if your taxable income, before your qualified business income deduction, is at or below $182,100 ($364,200 if married
filing jointly), and you aren't a patron of an agricultural or horticultural cooperative.</v>
      </c>
      <c r="C11" s="10409"/>
      <c r="D11" s="10409"/>
      <c r="E11" s="10409"/>
      <c r="F11" s="10409"/>
      <c r="G11" s="10409"/>
      <c r="H11" s="10409"/>
      <c r="I11" s="10409"/>
      <c r="J11" s="10409"/>
      <c r="K11" s="10409"/>
      <c r="L11" s="10409"/>
      <c r="M11" s="10409"/>
      <c r="N11" s="10409"/>
      <c r="O11" s="10409"/>
      <c r="P11" s="10409"/>
      <c r="Q11" s="10409"/>
      <c r="R11" s="10409"/>
      <c r="S11" s="10409"/>
      <c r="T11" s="10409"/>
      <c r="U11" s="10409"/>
      <c r="V11" s="10409"/>
      <c r="W11" s="10409"/>
      <c r="X11" s="10409"/>
      <c r="Y11" s="10409"/>
      <c r="Z11" s="10409"/>
      <c r="AA11" s="10409"/>
      <c r="AB11" s="10409"/>
      <c r="AC11" s="10409"/>
      <c r="AD11" s="10409"/>
      <c r="AE11" s="10409"/>
      <c r="AF11" s="10409"/>
      <c r="AG11" s="10409"/>
      <c r="AH11" s="2191"/>
      <c r="AJ11" s="10410"/>
      <c r="AL11" s="4702" t="b">
        <f>OR(AND(W25&lt;&gt;"",W25&lt;&gt;0),X26&lt;&gt;"",AND(W34&lt;&gt;"",W34&lt;&gt;0))</f>
        <v>0</v>
      </c>
      <c r="AO11" s="4832"/>
      <c r="AP11" s="2042"/>
      <c r="AQ11" s="2042"/>
      <c r="AR11" s="2042"/>
      <c r="AS11" s="2042"/>
      <c r="AT11" s="2042"/>
      <c r="AU11" s="2042"/>
      <c r="AV11" s="2042"/>
      <c r="AW11" s="2042"/>
      <c r="AX11" s="2042"/>
      <c r="AY11" s="2042"/>
    </row>
    <row r="12" spans="1:51" ht="37.5" customHeight="1">
      <c r="A12" s="2162"/>
      <c r="B12" s="10393" t="s">
        <v>5336</v>
      </c>
      <c r="C12" s="10394"/>
      <c r="D12" s="10395" t="s">
        <v>5337</v>
      </c>
      <c r="E12" s="10396"/>
      <c r="F12" s="10396"/>
      <c r="G12" s="10396"/>
      <c r="H12" s="10396"/>
      <c r="I12" s="10396"/>
      <c r="J12" s="10396"/>
      <c r="K12" s="10396"/>
      <c r="L12" s="10396"/>
      <c r="M12" s="10396"/>
      <c r="N12" s="10396"/>
      <c r="O12" s="10396"/>
      <c r="P12" s="10396"/>
      <c r="Q12" s="10396"/>
      <c r="R12" s="10396"/>
      <c r="S12" s="10396"/>
      <c r="T12" s="10396"/>
      <c r="U12" s="10397"/>
      <c r="V12" s="8902" t="s">
        <v>5338</v>
      </c>
      <c r="W12" s="10398"/>
      <c r="X12" s="10398"/>
      <c r="Y12" s="10398"/>
      <c r="Z12" s="10398"/>
      <c r="AA12" s="10399"/>
      <c r="AB12" s="8902" t="s">
        <v>5339</v>
      </c>
      <c r="AC12" s="10398"/>
      <c r="AD12" s="10398"/>
      <c r="AE12" s="10398"/>
      <c r="AF12" s="10398"/>
      <c r="AG12" s="10398"/>
      <c r="AH12" s="2162"/>
      <c r="AJ12" s="2397"/>
      <c r="AL12" s="4415"/>
    </row>
    <row r="13" spans="1:51" ht="17.25" customHeight="1">
      <c r="A13" s="2162"/>
      <c r="B13" s="10374" t="s">
        <v>672</v>
      </c>
      <c r="C13" s="8730"/>
      <c r="D13" s="10375"/>
      <c r="E13" s="10376"/>
      <c r="F13" s="10376"/>
      <c r="G13" s="10376"/>
      <c r="H13" s="10376"/>
      <c r="I13" s="10376"/>
      <c r="J13" s="10376"/>
      <c r="K13" s="10376"/>
      <c r="L13" s="10376"/>
      <c r="M13" s="10376"/>
      <c r="N13" s="10376"/>
      <c r="O13" s="10376"/>
      <c r="P13" s="10376"/>
      <c r="Q13" s="10376"/>
      <c r="R13" s="10376"/>
      <c r="S13" s="10376"/>
      <c r="T13" s="10376"/>
      <c r="U13" s="10377"/>
      <c r="V13" s="9933"/>
      <c r="W13" s="9934"/>
      <c r="X13" s="9934"/>
      <c r="Y13" s="9934"/>
      <c r="Z13" s="9934"/>
      <c r="AA13" s="9935"/>
      <c r="AB13" s="8011"/>
      <c r="AC13" s="8731"/>
      <c r="AD13" s="8731"/>
      <c r="AE13" s="8731"/>
      <c r="AF13" s="8731"/>
      <c r="AG13" s="8731"/>
      <c r="AH13" s="2162"/>
      <c r="AJ13" s="2397"/>
    </row>
    <row r="14" spans="1:51" ht="17.25" customHeight="1">
      <c r="A14" s="2162"/>
      <c r="B14" s="8810"/>
      <c r="C14" s="8138"/>
      <c r="D14" s="10378"/>
      <c r="E14" s="10379"/>
      <c r="F14" s="10379"/>
      <c r="G14" s="10379"/>
      <c r="H14" s="10379"/>
      <c r="I14" s="10379"/>
      <c r="J14" s="10379"/>
      <c r="K14" s="10379"/>
      <c r="L14" s="10379"/>
      <c r="M14" s="10379"/>
      <c r="N14" s="10379"/>
      <c r="O14" s="10379"/>
      <c r="P14" s="10379"/>
      <c r="Q14" s="10379"/>
      <c r="R14" s="10379"/>
      <c r="S14" s="10379"/>
      <c r="T14" s="10379"/>
      <c r="U14" s="10380"/>
      <c r="V14" s="10381"/>
      <c r="W14" s="10382"/>
      <c r="X14" s="10382"/>
      <c r="Y14" s="10382"/>
      <c r="Z14" s="10382"/>
      <c r="AA14" s="10383"/>
      <c r="AB14" s="10384"/>
      <c r="AC14" s="9602"/>
      <c r="AD14" s="9602"/>
      <c r="AE14" s="9602"/>
      <c r="AF14" s="9602"/>
      <c r="AG14" s="9602"/>
      <c r="AH14" s="2162"/>
      <c r="AJ14" s="2397"/>
    </row>
    <row r="15" spans="1:51" ht="17.25" customHeight="1">
      <c r="A15" s="2162"/>
      <c r="B15" s="10374" t="s">
        <v>5340</v>
      </c>
      <c r="C15" s="8730"/>
      <c r="D15" s="10375"/>
      <c r="E15" s="10376"/>
      <c r="F15" s="10376"/>
      <c r="G15" s="10376"/>
      <c r="H15" s="10376"/>
      <c r="I15" s="10376"/>
      <c r="J15" s="10376"/>
      <c r="K15" s="10376"/>
      <c r="L15" s="10376"/>
      <c r="M15" s="10376"/>
      <c r="N15" s="10376"/>
      <c r="O15" s="10376"/>
      <c r="P15" s="10376"/>
      <c r="Q15" s="10376"/>
      <c r="R15" s="10376"/>
      <c r="S15" s="10376"/>
      <c r="T15" s="10376"/>
      <c r="U15" s="10377"/>
      <c r="V15" s="9933"/>
      <c r="W15" s="9934"/>
      <c r="X15" s="9934"/>
      <c r="Y15" s="9934"/>
      <c r="Z15" s="9934"/>
      <c r="AA15" s="9935"/>
      <c r="AB15" s="8011"/>
      <c r="AC15" s="8731"/>
      <c r="AD15" s="8731"/>
      <c r="AE15" s="8731"/>
      <c r="AF15" s="8731"/>
      <c r="AG15" s="8731"/>
      <c r="AH15" s="2162"/>
      <c r="AJ15" s="2397"/>
    </row>
    <row r="16" spans="1:51" ht="17.25" customHeight="1">
      <c r="A16" s="2162"/>
      <c r="B16" s="8810"/>
      <c r="C16" s="8138"/>
      <c r="D16" s="10378"/>
      <c r="E16" s="10379"/>
      <c r="F16" s="10379"/>
      <c r="G16" s="10379"/>
      <c r="H16" s="10379"/>
      <c r="I16" s="10379"/>
      <c r="J16" s="10379"/>
      <c r="K16" s="10379"/>
      <c r="L16" s="10379"/>
      <c r="M16" s="10379"/>
      <c r="N16" s="10379"/>
      <c r="O16" s="10379"/>
      <c r="P16" s="10379"/>
      <c r="Q16" s="10379"/>
      <c r="R16" s="10379"/>
      <c r="S16" s="10379"/>
      <c r="T16" s="10379"/>
      <c r="U16" s="10380"/>
      <c r="V16" s="10381"/>
      <c r="W16" s="10382"/>
      <c r="X16" s="10382"/>
      <c r="Y16" s="10382"/>
      <c r="Z16" s="10382"/>
      <c r="AA16" s="10383"/>
      <c r="AB16" s="10384"/>
      <c r="AC16" s="9602"/>
      <c r="AD16" s="9602"/>
      <c r="AE16" s="9602"/>
      <c r="AF16" s="9602"/>
      <c r="AG16" s="9602"/>
      <c r="AH16" s="2162"/>
      <c r="AJ16" s="2397"/>
    </row>
    <row r="17" spans="1:38" ht="17.25" customHeight="1">
      <c r="A17" s="2162"/>
      <c r="B17" s="10374" t="s">
        <v>5341</v>
      </c>
      <c r="C17" s="8730"/>
      <c r="D17" s="10375"/>
      <c r="E17" s="10376"/>
      <c r="F17" s="10376"/>
      <c r="G17" s="10376"/>
      <c r="H17" s="10376"/>
      <c r="I17" s="10376"/>
      <c r="J17" s="10376"/>
      <c r="K17" s="10376"/>
      <c r="L17" s="10376"/>
      <c r="M17" s="10376"/>
      <c r="N17" s="10376"/>
      <c r="O17" s="10376"/>
      <c r="P17" s="10376"/>
      <c r="Q17" s="10376"/>
      <c r="R17" s="10376"/>
      <c r="S17" s="10376"/>
      <c r="T17" s="10376"/>
      <c r="U17" s="10377"/>
      <c r="V17" s="9933"/>
      <c r="W17" s="9934"/>
      <c r="X17" s="9934"/>
      <c r="Y17" s="9934"/>
      <c r="Z17" s="9934"/>
      <c r="AA17" s="9935"/>
      <c r="AB17" s="8011"/>
      <c r="AC17" s="8731"/>
      <c r="AD17" s="8731"/>
      <c r="AE17" s="8731"/>
      <c r="AF17" s="8731"/>
      <c r="AG17" s="8731"/>
      <c r="AH17" s="2162"/>
      <c r="AJ17" s="2397"/>
    </row>
    <row r="18" spans="1:38" ht="17.25" customHeight="1">
      <c r="A18" s="2162"/>
      <c r="B18" s="8810"/>
      <c r="C18" s="8138"/>
      <c r="D18" s="10378"/>
      <c r="E18" s="10379"/>
      <c r="F18" s="10379"/>
      <c r="G18" s="10379"/>
      <c r="H18" s="10379"/>
      <c r="I18" s="10379"/>
      <c r="J18" s="10379"/>
      <c r="K18" s="10379"/>
      <c r="L18" s="10379"/>
      <c r="M18" s="10379"/>
      <c r="N18" s="10379"/>
      <c r="O18" s="10379"/>
      <c r="P18" s="10379"/>
      <c r="Q18" s="10379"/>
      <c r="R18" s="10379"/>
      <c r="S18" s="10379"/>
      <c r="T18" s="10379"/>
      <c r="U18" s="10380"/>
      <c r="V18" s="10381"/>
      <c r="W18" s="10382"/>
      <c r="X18" s="10382"/>
      <c r="Y18" s="10382"/>
      <c r="Z18" s="10382"/>
      <c r="AA18" s="10383"/>
      <c r="AB18" s="10384"/>
      <c r="AC18" s="9602"/>
      <c r="AD18" s="9602"/>
      <c r="AE18" s="9602"/>
      <c r="AF18" s="9602"/>
      <c r="AG18" s="9602"/>
      <c r="AH18" s="2162"/>
      <c r="AJ18" s="2397"/>
    </row>
    <row r="19" spans="1:38" ht="17.25" customHeight="1">
      <c r="A19" s="2162"/>
      <c r="B19" s="10374" t="s">
        <v>5342</v>
      </c>
      <c r="C19" s="8730"/>
      <c r="D19" s="10375"/>
      <c r="E19" s="10376"/>
      <c r="F19" s="10376"/>
      <c r="G19" s="10376"/>
      <c r="H19" s="10376"/>
      <c r="I19" s="10376"/>
      <c r="J19" s="10376"/>
      <c r="K19" s="10376"/>
      <c r="L19" s="10376"/>
      <c r="M19" s="10376"/>
      <c r="N19" s="10376"/>
      <c r="O19" s="10376"/>
      <c r="P19" s="10376"/>
      <c r="Q19" s="10376"/>
      <c r="R19" s="10376"/>
      <c r="S19" s="10376"/>
      <c r="T19" s="10376"/>
      <c r="U19" s="10377"/>
      <c r="V19" s="9933"/>
      <c r="W19" s="9934"/>
      <c r="X19" s="9934"/>
      <c r="Y19" s="9934"/>
      <c r="Z19" s="9934"/>
      <c r="AA19" s="9935"/>
      <c r="AB19" s="8011"/>
      <c r="AC19" s="8731"/>
      <c r="AD19" s="8731"/>
      <c r="AE19" s="8731"/>
      <c r="AF19" s="8731"/>
      <c r="AG19" s="8731"/>
      <c r="AH19" s="2162"/>
      <c r="AJ19" s="2397"/>
    </row>
    <row r="20" spans="1:38" ht="17.25" customHeight="1">
      <c r="A20" s="2162"/>
      <c r="B20" s="8810"/>
      <c r="C20" s="8138"/>
      <c r="D20" s="10378"/>
      <c r="E20" s="10379"/>
      <c r="F20" s="10379"/>
      <c r="G20" s="10379"/>
      <c r="H20" s="10379"/>
      <c r="I20" s="10379"/>
      <c r="J20" s="10379"/>
      <c r="K20" s="10379"/>
      <c r="L20" s="10379"/>
      <c r="M20" s="10379"/>
      <c r="N20" s="10379"/>
      <c r="O20" s="10379"/>
      <c r="P20" s="10379"/>
      <c r="Q20" s="10379"/>
      <c r="R20" s="10379"/>
      <c r="S20" s="10379"/>
      <c r="T20" s="10379"/>
      <c r="U20" s="10380"/>
      <c r="V20" s="10381"/>
      <c r="W20" s="10382"/>
      <c r="X20" s="10382"/>
      <c r="Y20" s="10382"/>
      <c r="Z20" s="10382"/>
      <c r="AA20" s="10383"/>
      <c r="AB20" s="10384"/>
      <c r="AC20" s="9602"/>
      <c r="AD20" s="9602"/>
      <c r="AE20" s="9602"/>
      <c r="AF20" s="9602"/>
      <c r="AG20" s="9602"/>
      <c r="AH20" s="2162"/>
      <c r="AJ20" s="6706" t="s">
        <v>637</v>
      </c>
    </row>
    <row r="21" spans="1:38" ht="17.25" customHeight="1">
      <c r="A21" s="2162"/>
      <c r="B21" s="10374" t="s">
        <v>5343</v>
      </c>
      <c r="C21" s="8730"/>
      <c r="D21" s="10375"/>
      <c r="E21" s="10376"/>
      <c r="F21" s="10376"/>
      <c r="G21" s="10376"/>
      <c r="H21" s="10376"/>
      <c r="I21" s="10376"/>
      <c r="J21" s="10376"/>
      <c r="K21" s="10376"/>
      <c r="L21" s="10376"/>
      <c r="M21" s="10376"/>
      <c r="N21" s="10376"/>
      <c r="O21" s="10376"/>
      <c r="P21" s="10376"/>
      <c r="Q21" s="10376"/>
      <c r="R21" s="10376"/>
      <c r="S21" s="10376"/>
      <c r="T21" s="10376"/>
      <c r="U21" s="10377"/>
      <c r="V21" s="9933"/>
      <c r="W21" s="9934"/>
      <c r="X21" s="9934"/>
      <c r="Y21" s="9934"/>
      <c r="Z21" s="9934"/>
      <c r="AA21" s="9935"/>
      <c r="AB21" s="8011"/>
      <c r="AC21" s="8731"/>
      <c r="AD21" s="8731"/>
      <c r="AE21" s="8731"/>
      <c r="AF21" s="8731"/>
      <c r="AG21" s="8731"/>
      <c r="AH21" s="2162"/>
      <c r="AJ21" s="6707"/>
    </row>
    <row r="22" spans="1:38" ht="17.25" customHeight="1">
      <c r="A22" s="2162"/>
      <c r="B22" s="8810"/>
      <c r="C22" s="8138"/>
      <c r="D22" s="10378"/>
      <c r="E22" s="10379"/>
      <c r="F22" s="10379"/>
      <c r="G22" s="10379"/>
      <c r="H22" s="10379"/>
      <c r="I22" s="10379"/>
      <c r="J22" s="10379"/>
      <c r="K22" s="10379"/>
      <c r="L22" s="10379"/>
      <c r="M22" s="10379"/>
      <c r="N22" s="10379"/>
      <c r="O22" s="10379"/>
      <c r="P22" s="10379"/>
      <c r="Q22" s="10379"/>
      <c r="R22" s="10379"/>
      <c r="S22" s="10379"/>
      <c r="T22" s="10379"/>
      <c r="U22" s="10380"/>
      <c r="V22" s="10381"/>
      <c r="W22" s="10382"/>
      <c r="X22" s="10382"/>
      <c r="Y22" s="10382"/>
      <c r="Z22" s="10382"/>
      <c r="AA22" s="10383"/>
      <c r="AB22" s="10384"/>
      <c r="AC22" s="9602"/>
      <c r="AD22" s="9602"/>
      <c r="AE22" s="9602"/>
      <c r="AF22" s="9602"/>
      <c r="AG22" s="9602"/>
      <c r="AH22" s="2162"/>
      <c r="AJ22" s="6708"/>
    </row>
    <row r="23" spans="1:38" ht="14.25" customHeight="1">
      <c r="A23" s="2162"/>
      <c r="B23" s="2121"/>
      <c r="C23" s="2119"/>
      <c r="D23" s="808"/>
      <c r="E23" s="808"/>
      <c r="F23" s="1376"/>
      <c r="G23" s="892"/>
      <c r="H23" s="808"/>
      <c r="I23" s="808"/>
      <c r="J23" s="808"/>
      <c r="K23" s="808"/>
      <c r="L23" s="808"/>
      <c r="M23" s="808"/>
      <c r="N23" s="808"/>
      <c r="O23" s="808"/>
      <c r="P23" s="808"/>
      <c r="Q23" s="808"/>
      <c r="R23" s="808"/>
      <c r="S23" s="808"/>
      <c r="T23" s="808"/>
      <c r="U23" s="808"/>
      <c r="V23" s="1123"/>
      <c r="W23" s="2183"/>
      <c r="X23" s="3343"/>
      <c r="Y23" s="3343"/>
      <c r="Z23" s="3343"/>
      <c r="AA23" s="3343"/>
      <c r="AB23" s="3347"/>
      <c r="AC23" s="2183"/>
      <c r="AD23" s="3343"/>
      <c r="AE23" s="3343"/>
      <c r="AF23" s="3343"/>
      <c r="AG23" s="3343"/>
      <c r="AH23" s="2162"/>
      <c r="AJ23" s="260"/>
    </row>
    <row r="24" spans="1:38" ht="14.25" customHeight="1">
      <c r="A24" s="2162"/>
      <c r="B24" s="7978">
        <v>2</v>
      </c>
      <c r="C24" s="8432"/>
      <c r="D24" s="1108" t="s">
        <v>5344</v>
      </c>
      <c r="E24" s="808"/>
      <c r="F24" s="1376"/>
      <c r="G24" s="892"/>
      <c r="H24" s="808"/>
      <c r="I24" s="808"/>
      <c r="J24" s="808"/>
      <c r="K24" s="808"/>
      <c r="L24" s="808"/>
      <c r="M24" s="808"/>
      <c r="N24" s="808"/>
      <c r="O24" s="808"/>
      <c r="P24" s="808"/>
      <c r="Q24" s="808"/>
      <c r="R24" s="808"/>
      <c r="S24" s="808"/>
      <c r="T24" s="808"/>
      <c r="U24" s="808"/>
      <c r="V24" s="1126"/>
      <c r="W24" s="2950"/>
      <c r="X24" s="899"/>
      <c r="Y24" s="899"/>
      <c r="Z24" s="899"/>
      <c r="AA24" s="899"/>
      <c r="AB24" s="2392"/>
      <c r="AC24" s="2950"/>
      <c r="AD24" s="899"/>
      <c r="AE24" s="899"/>
      <c r="AF24" s="899"/>
      <c r="AG24" s="899"/>
      <c r="AH24" s="2162"/>
      <c r="AJ24" s="260"/>
    </row>
    <row r="25" spans="1:38" ht="14.25" customHeight="1">
      <c r="A25" s="2162"/>
      <c r="B25" s="7978"/>
      <c r="C25" s="8432"/>
      <c r="D25" s="1108" t="s">
        <v>5345</v>
      </c>
      <c r="E25" s="808"/>
      <c r="F25" s="1376"/>
      <c r="G25" s="892"/>
      <c r="H25" s="808"/>
      <c r="I25" s="808"/>
      <c r="J25" s="808"/>
      <c r="K25" s="808"/>
      <c r="L25" s="808"/>
      <c r="M25" s="808"/>
      <c r="N25" s="808"/>
      <c r="O25" s="808"/>
      <c r="P25" s="808"/>
      <c r="Q25" s="808"/>
      <c r="R25" s="808"/>
      <c r="S25" s="808"/>
      <c r="T25" s="808"/>
      <c r="U25" s="1128" t="s">
        <v>988</v>
      </c>
      <c r="V25" s="1125">
        <v>2</v>
      </c>
      <c r="W25" s="10362" t="str">
        <f>IF(AL25,IF(AJ25&lt;&gt;"",ROUND(AJ25,0),SUM(ROUND(AB14,0),ROUND(AB16,0),ROUND(AB18,0),ROUND(AB20,0),ROUND(AB22,0))),"")</f>
        <v/>
      </c>
      <c r="X25" s="10372"/>
      <c r="Y25" s="10372"/>
      <c r="Z25" s="10372"/>
      <c r="AA25" s="10373"/>
      <c r="AB25" s="2392"/>
      <c r="AC25" s="2950"/>
      <c r="AD25" s="899"/>
      <c r="AE25" s="899"/>
      <c r="AF25" s="899"/>
      <c r="AG25" s="899"/>
      <c r="AH25" s="2162"/>
      <c r="AJ25" s="2499"/>
      <c r="AL25" s="2671" t="b">
        <f>OR(AJ25&lt;&gt;"",SUM(AB14,AB16,AB18,AB20,AB22)&gt;0)</f>
        <v>0</v>
      </c>
    </row>
    <row r="26" spans="1:38" ht="14.25" customHeight="1">
      <c r="A26" s="2162"/>
      <c r="B26" s="7978">
        <v>3</v>
      </c>
      <c r="C26" s="8432"/>
      <c r="D26" s="1108" t="s">
        <v>5346</v>
      </c>
      <c r="E26" s="808"/>
      <c r="F26" s="1376"/>
      <c r="G26" s="892"/>
      <c r="H26" s="808"/>
      <c r="I26" s="808"/>
      <c r="J26" s="808"/>
      <c r="K26" s="808"/>
      <c r="L26" s="808"/>
      <c r="M26" s="808"/>
      <c r="N26" s="808"/>
      <c r="O26" s="808"/>
      <c r="P26" s="808"/>
      <c r="Q26" s="808"/>
      <c r="R26" s="808"/>
      <c r="S26" s="808"/>
      <c r="T26" s="808"/>
      <c r="U26" s="1128" t="s">
        <v>992</v>
      </c>
      <c r="V26" s="1125">
        <v>3</v>
      </c>
      <c r="W26" s="3348" t="s">
        <v>905</v>
      </c>
      <c r="X26" s="10369"/>
      <c r="Y26" s="10369"/>
      <c r="Z26" s="10369"/>
      <c r="AA26" s="3349" t="s">
        <v>906</v>
      </c>
      <c r="AB26" s="2392"/>
      <c r="AC26" s="2950"/>
      <c r="AD26" s="899"/>
      <c r="AE26" s="899"/>
      <c r="AF26" s="899"/>
      <c r="AG26" s="899"/>
      <c r="AH26" s="2162"/>
      <c r="AJ26" s="260"/>
      <c r="AL26" s="2671" t="b">
        <f>X26&lt;&gt;""</f>
        <v>0</v>
      </c>
    </row>
    <row r="27" spans="1:38" ht="14.25" customHeight="1">
      <c r="A27" s="2162"/>
      <c r="B27" s="7978">
        <v>4</v>
      </c>
      <c r="C27" s="8432"/>
      <c r="D27" s="2112" t="s">
        <v>5347</v>
      </c>
      <c r="E27" s="808"/>
      <c r="F27" s="1376"/>
      <c r="G27" s="892"/>
      <c r="H27" s="808"/>
      <c r="I27" s="808"/>
      <c r="J27" s="808"/>
      <c r="K27" s="808"/>
      <c r="L27" s="808"/>
      <c r="M27" s="808"/>
      <c r="N27" s="808"/>
      <c r="O27" s="808"/>
      <c r="P27" s="808"/>
      <c r="Q27" s="808"/>
      <c r="R27" s="808"/>
      <c r="S27" s="808"/>
      <c r="T27" s="808"/>
      <c r="U27" s="808"/>
      <c r="V27" s="1125">
        <v>4</v>
      </c>
      <c r="W27" s="10359" t="str">
        <f>IF(AL27,MAX(0,SUM(W25,-ROUND(X26,0))),"")</f>
        <v/>
      </c>
      <c r="X27" s="10370"/>
      <c r="Y27" s="10370"/>
      <c r="Z27" s="10370"/>
      <c r="AA27" s="10370"/>
      <c r="AB27" s="2392"/>
      <c r="AC27" s="10371">
        <v>0.2</v>
      </c>
      <c r="AD27" s="8474"/>
      <c r="AE27" s="8474"/>
      <c r="AF27" s="8474"/>
      <c r="AG27" s="8474"/>
      <c r="AH27" s="2162"/>
      <c r="AJ27" s="260"/>
      <c r="AL27" s="2671" t="b">
        <f>OR(AND(W25&lt;&gt;"",W25&gt;=0),X26&lt;&gt;"")</f>
        <v>0</v>
      </c>
    </row>
    <row r="28" spans="1:38" ht="14.25" customHeight="1">
      <c r="A28" s="2162"/>
      <c r="B28" s="7978">
        <v>5</v>
      </c>
      <c r="C28" s="8432"/>
      <c r="D28" s="2112" t="str">
        <f>"Qualified business income component. Multiply line 4 by "&amp;TEXT(AC27,"0%")&amp;" ("&amp;TEXT(AC27,"0.00"&amp;")")</f>
        <v>Qualified business income component. Multiply line 4 by 20% (0.20)</v>
      </c>
      <c r="E28" s="808"/>
      <c r="F28" s="1376"/>
      <c r="G28" s="892"/>
      <c r="H28" s="808"/>
      <c r="I28" s="808"/>
      <c r="J28" s="808"/>
      <c r="K28" s="808"/>
      <c r="L28" s="808"/>
      <c r="M28" s="808"/>
      <c r="N28" s="808"/>
      <c r="O28" s="808"/>
      <c r="P28" s="808"/>
      <c r="Q28" s="808"/>
      <c r="R28" s="808"/>
      <c r="S28" s="808"/>
      <c r="T28" s="808"/>
      <c r="U28" s="808"/>
      <c r="V28" s="874"/>
      <c r="W28" s="808"/>
      <c r="X28" s="808"/>
      <c r="Y28" s="808"/>
      <c r="Z28" s="808"/>
      <c r="AA28" s="1128" t="s">
        <v>922</v>
      </c>
      <c r="AB28" s="1125">
        <v>5</v>
      </c>
      <c r="AC28" s="10361" t="str">
        <f>IF(AND(AL11,AL28),IF(AJ28&lt;&gt;"",ROUND(AJ28,0),ROUND(W27*AC27,0)),"")</f>
        <v/>
      </c>
      <c r="AD28" s="9876"/>
      <c r="AE28" s="9876"/>
      <c r="AF28" s="9876"/>
      <c r="AG28" s="9876"/>
      <c r="AH28" s="2162"/>
      <c r="AJ28" s="2499"/>
      <c r="AL28" s="902" t="b">
        <f>OR(AJ28&lt;&gt;"",AND(W27&lt;&gt;"",AC27&lt;&gt;""))</f>
        <v>0</v>
      </c>
    </row>
    <row r="29" spans="1:38" ht="14.25" customHeight="1">
      <c r="A29" s="2162"/>
      <c r="B29" s="7978">
        <v>6</v>
      </c>
      <c r="C29" s="8432"/>
      <c r="D29" s="2112" t="s">
        <v>5348</v>
      </c>
      <c r="E29" s="808"/>
      <c r="F29" s="1376"/>
      <c r="G29" s="892"/>
      <c r="H29" s="808"/>
      <c r="I29" s="808"/>
      <c r="J29" s="808"/>
      <c r="K29" s="808"/>
      <c r="L29" s="808"/>
      <c r="M29" s="808"/>
      <c r="N29" s="808"/>
      <c r="O29" s="808"/>
      <c r="P29" s="808"/>
      <c r="Q29" s="808"/>
      <c r="R29" s="808"/>
      <c r="S29" s="808"/>
      <c r="T29" s="808"/>
      <c r="U29" s="808"/>
      <c r="V29" s="1126"/>
      <c r="W29" s="2950"/>
      <c r="X29" s="899"/>
      <c r="Y29" s="899"/>
      <c r="Z29" s="899"/>
      <c r="AA29" s="899"/>
      <c r="AB29" s="3347"/>
      <c r="AC29" s="2950"/>
      <c r="AD29" s="899"/>
      <c r="AE29" s="899"/>
      <c r="AF29" s="899"/>
      <c r="AG29" s="899"/>
      <c r="AH29" s="2162"/>
      <c r="AJ29" s="260"/>
      <c r="AL29" s="902"/>
    </row>
    <row r="30" spans="1:38" ht="14.25" customHeight="1">
      <c r="A30" s="2162"/>
      <c r="B30" s="7978"/>
      <c r="C30" s="8432"/>
      <c r="D30" s="2112" t="s">
        <v>2326</v>
      </c>
      <c r="E30" s="808"/>
      <c r="F30" s="1376"/>
      <c r="G30" s="892"/>
      <c r="H30" s="808"/>
      <c r="I30" s="808"/>
      <c r="J30" s="808"/>
      <c r="K30" s="808"/>
      <c r="L30" s="808"/>
      <c r="M30" s="808"/>
      <c r="N30" s="808"/>
      <c r="O30" s="808"/>
      <c r="P30" s="808"/>
      <c r="Q30" s="808"/>
      <c r="R30" s="808"/>
      <c r="S30" s="808"/>
      <c r="T30" s="808"/>
      <c r="U30" s="1128" t="s">
        <v>2143</v>
      </c>
      <c r="V30" s="1125">
        <v>6</v>
      </c>
      <c r="W30" s="10361" t="str">
        <f>IF(AJ30&lt;&gt;"",ROUND(AJ30,0),IF(AL30,Sect199ADividends,""))</f>
        <v/>
      </c>
      <c r="X30" s="9876"/>
      <c r="Y30" s="9876"/>
      <c r="Z30" s="9876"/>
      <c r="AA30" s="9876"/>
      <c r="AB30" s="2392"/>
      <c r="AC30" s="2950"/>
      <c r="AD30" s="899"/>
      <c r="AE30" s="899"/>
      <c r="AF30" s="899"/>
      <c r="AG30" s="899"/>
      <c r="AH30" s="2162"/>
      <c r="AJ30" s="2499"/>
      <c r="AL30" s="902" t="b">
        <f>AND(NOT(AL9),OR(AJ30&lt;&gt;"",AND(Sect199ADividends&lt;&gt;"",Sect199ADividends&gt;0)))</f>
        <v>0</v>
      </c>
    </row>
    <row r="31" spans="1:38" ht="14.25" customHeight="1">
      <c r="A31" s="2162"/>
      <c r="B31" s="7978">
        <v>7</v>
      </c>
      <c r="C31" s="8432"/>
      <c r="D31" s="2112" t="s">
        <v>5349</v>
      </c>
      <c r="E31" s="808"/>
      <c r="F31" s="1376"/>
      <c r="G31" s="892"/>
      <c r="H31" s="808"/>
      <c r="I31" s="808"/>
      <c r="J31" s="808"/>
      <c r="K31" s="808"/>
      <c r="L31" s="808"/>
      <c r="M31" s="808"/>
      <c r="N31" s="808"/>
      <c r="O31" s="808"/>
      <c r="P31" s="808"/>
      <c r="Q31" s="808"/>
      <c r="R31" s="808"/>
      <c r="S31" s="808"/>
      <c r="T31" s="808"/>
      <c r="U31" s="808"/>
      <c r="V31" s="1126"/>
      <c r="W31" s="2950"/>
      <c r="X31" s="899"/>
      <c r="Y31" s="899"/>
      <c r="Z31" s="899"/>
      <c r="AA31" s="899"/>
      <c r="AB31" s="2392"/>
      <c r="AC31" s="2950"/>
      <c r="AD31" s="899"/>
      <c r="AE31" s="899"/>
      <c r="AF31" s="899"/>
      <c r="AG31" s="899"/>
      <c r="AH31" s="2162"/>
      <c r="AJ31" s="260"/>
      <c r="AL31" s="902"/>
    </row>
    <row r="32" spans="1:38" ht="14.25" customHeight="1">
      <c r="A32" s="2162"/>
      <c r="B32" s="7978"/>
      <c r="C32" s="8432"/>
      <c r="D32" s="1108" t="s">
        <v>2902</v>
      </c>
      <c r="E32" s="808"/>
      <c r="F32" s="1376"/>
      <c r="G32" s="892"/>
      <c r="H32" s="808"/>
      <c r="I32" s="808"/>
      <c r="J32" s="808"/>
      <c r="K32" s="808"/>
      <c r="L32" s="808"/>
      <c r="M32" s="808"/>
      <c r="N32" s="808"/>
      <c r="O32" s="808"/>
      <c r="P32" s="808"/>
      <c r="Q32" s="808"/>
      <c r="R32" s="808"/>
      <c r="S32" s="808"/>
      <c r="T32" s="808"/>
      <c r="U32" s="1128" t="s">
        <v>985</v>
      </c>
      <c r="V32" s="1125">
        <v>7</v>
      </c>
      <c r="W32" s="3348" t="s">
        <v>905</v>
      </c>
      <c r="X32" s="9602"/>
      <c r="Y32" s="9602"/>
      <c r="Z32" s="9602"/>
      <c r="AA32" s="3349" t="s">
        <v>906</v>
      </c>
      <c r="AB32" s="2392"/>
      <c r="AC32" s="2950"/>
      <c r="AD32" s="899"/>
      <c r="AE32" s="899"/>
      <c r="AF32" s="899"/>
      <c r="AG32" s="899"/>
      <c r="AH32" s="2162"/>
      <c r="AJ32" s="260"/>
      <c r="AL32" s="902"/>
    </row>
    <row r="33" spans="1:39" ht="14.25" customHeight="1">
      <c r="A33" s="2162"/>
      <c r="B33" s="7978">
        <v>8</v>
      </c>
      <c r="C33" s="8432"/>
      <c r="D33" s="2112" t="s">
        <v>5350</v>
      </c>
      <c r="E33" s="808"/>
      <c r="F33" s="1376"/>
      <c r="G33" s="892"/>
      <c r="H33" s="808"/>
      <c r="I33" s="808"/>
      <c r="J33" s="808"/>
      <c r="K33" s="808"/>
      <c r="L33" s="808"/>
      <c r="M33" s="808"/>
      <c r="N33" s="808"/>
      <c r="O33" s="808"/>
      <c r="P33" s="808"/>
      <c r="Q33" s="808"/>
      <c r="R33" s="808"/>
      <c r="S33" s="808"/>
      <c r="T33" s="808"/>
      <c r="U33" s="808"/>
      <c r="V33" s="1126"/>
      <c r="W33" s="10366">
        <f>IF(X32&gt;0,-X32,X32)</f>
        <v>0</v>
      </c>
      <c r="X33" s="10367"/>
      <c r="Y33" s="10367"/>
      <c r="Z33" s="10367"/>
      <c r="AA33" s="10368"/>
      <c r="AB33" s="2392"/>
      <c r="AC33" s="2950"/>
      <c r="AD33" s="899"/>
      <c r="AE33" s="899"/>
      <c r="AF33" s="899"/>
      <c r="AG33" s="899"/>
      <c r="AH33" s="2162"/>
      <c r="AJ33" s="260"/>
      <c r="AL33" s="902"/>
    </row>
    <row r="34" spans="1:39" ht="14.25" customHeight="1">
      <c r="A34" s="2162"/>
      <c r="B34" s="7978"/>
      <c r="C34" s="8432"/>
      <c r="D34" s="2112" t="s">
        <v>5351</v>
      </c>
      <c r="E34" s="808"/>
      <c r="F34" s="1376"/>
      <c r="G34" s="892"/>
      <c r="H34" s="808"/>
      <c r="I34" s="808"/>
      <c r="J34" s="808"/>
      <c r="K34" s="808"/>
      <c r="L34" s="808"/>
      <c r="M34" s="808"/>
      <c r="N34" s="808"/>
      <c r="O34" s="808"/>
      <c r="P34" s="808"/>
      <c r="Q34" s="808"/>
      <c r="R34" s="808"/>
      <c r="S34" s="808"/>
      <c r="T34" s="808"/>
      <c r="U34" s="1128" t="s">
        <v>2143</v>
      </c>
      <c r="V34" s="1125">
        <v>8</v>
      </c>
      <c r="W34" s="10361" t="str">
        <f>IF(AL34,IF(AJ34&lt;&gt;"",ROUND(AJ34,0),MAX(0,SUM(W30,W33))),"")</f>
        <v/>
      </c>
      <c r="X34" s="9876"/>
      <c r="Y34" s="9876"/>
      <c r="Z34" s="9876"/>
      <c r="AA34" s="9876"/>
      <c r="AB34" s="2392"/>
      <c r="AC34" s="2950"/>
      <c r="AD34" s="899"/>
      <c r="AE34" s="899"/>
      <c r="AF34" s="899"/>
      <c r="AG34" s="899"/>
      <c r="AH34" s="2162"/>
      <c r="AJ34" s="2499"/>
      <c r="AL34" s="902" t="b">
        <f>OR(AJ34&lt;&gt;"",AND(W30&lt;&gt;"",W30&lt;&gt;0),AND(W33&lt;&gt;"",W33&lt;&gt;0))</f>
        <v>0</v>
      </c>
    </row>
    <row r="35" spans="1:39" ht="14.25" customHeight="1">
      <c r="A35" s="2162"/>
      <c r="B35" s="7978">
        <v>9</v>
      </c>
      <c r="C35" s="8432"/>
      <c r="D35" s="2112" t="str">
        <f>"REIT and PTP component. Multiply line 8 by "&amp;TEXT(AC27,"0%")&amp;" ("&amp;TEXT(AC27,"0.00")&amp;")"</f>
        <v>REIT and PTP component. Multiply line 8 by 20% (0.20)</v>
      </c>
      <c r="E35" s="808"/>
      <c r="F35" s="1376"/>
      <c r="G35" s="892"/>
      <c r="H35" s="808"/>
      <c r="I35" s="808"/>
      <c r="J35" s="808"/>
      <c r="K35" s="808"/>
      <c r="L35" s="808"/>
      <c r="M35" s="808"/>
      <c r="N35" s="808"/>
      <c r="O35" s="808"/>
      <c r="P35" s="808"/>
      <c r="Q35" s="808"/>
      <c r="R35" s="808"/>
      <c r="S35" s="808"/>
      <c r="T35" s="808"/>
      <c r="U35" s="808"/>
      <c r="V35" s="874"/>
      <c r="W35" s="808"/>
      <c r="X35" s="808"/>
      <c r="Y35" s="808"/>
      <c r="Z35" s="808"/>
      <c r="AA35" s="1128" t="s">
        <v>917</v>
      </c>
      <c r="AB35" s="1125">
        <v>9</v>
      </c>
      <c r="AC35" s="10361" t="str">
        <f>IF(AL35,ROUND(W34*AC27,0),"")</f>
        <v/>
      </c>
      <c r="AD35" s="9876"/>
      <c r="AE35" s="9876"/>
      <c r="AF35" s="9876"/>
      <c r="AG35" s="9876"/>
      <c r="AH35" s="2162"/>
      <c r="AJ35" s="260"/>
      <c r="AL35" s="902" t="b">
        <f>AND(AL11,AL34,AC27&lt;&gt;"",AC27&lt;&gt;0)</f>
        <v>0</v>
      </c>
    </row>
    <row r="36" spans="1:39" ht="14.25" customHeight="1">
      <c r="A36" s="2162"/>
      <c r="B36" s="7978">
        <v>10</v>
      </c>
      <c r="C36" s="8432"/>
      <c r="D36" s="2112" t="s">
        <v>5352</v>
      </c>
      <c r="E36" s="808"/>
      <c r="F36" s="1376"/>
      <c r="G36" s="892"/>
      <c r="H36" s="808"/>
      <c r="I36" s="808"/>
      <c r="J36" s="808"/>
      <c r="K36" s="808"/>
      <c r="L36" s="808"/>
      <c r="M36" s="808"/>
      <c r="N36" s="808"/>
      <c r="O36" s="808"/>
      <c r="P36" s="808"/>
      <c r="Q36" s="808"/>
      <c r="R36" s="808"/>
      <c r="S36" s="808"/>
      <c r="T36" s="808"/>
      <c r="U36" s="808"/>
      <c r="V36" s="874"/>
      <c r="W36" s="808"/>
      <c r="X36" s="808"/>
      <c r="Y36" s="808"/>
      <c r="Z36" s="808"/>
      <c r="AA36" s="3342"/>
      <c r="AB36" s="1125">
        <v>10</v>
      </c>
      <c r="AC36" s="10361" t="str">
        <f>IF(AL11,SUM(AC28,AC35),"")</f>
        <v/>
      </c>
      <c r="AD36" s="9876"/>
      <c r="AE36" s="9876"/>
      <c r="AF36" s="9876"/>
      <c r="AG36" s="9876"/>
      <c r="AH36" s="2162"/>
      <c r="AJ36" s="260"/>
      <c r="AL36" s="902" t="b">
        <f>OR(AL11,AC28&lt;&gt;"",AC35&lt;&gt;"")</f>
        <v>0</v>
      </c>
    </row>
    <row r="37" spans="1:39" ht="14.25" customHeight="1">
      <c r="A37" s="2162"/>
      <c r="B37" s="7978">
        <v>11</v>
      </c>
      <c r="C37" s="8432"/>
      <c r="D37" s="2112" t="s">
        <v>5787</v>
      </c>
      <c r="E37" s="808"/>
      <c r="F37" s="1376"/>
      <c r="G37" s="892"/>
      <c r="H37" s="808"/>
      <c r="I37" s="808"/>
      <c r="J37" s="808"/>
      <c r="K37" s="808"/>
      <c r="L37" s="808"/>
      <c r="M37" s="808"/>
      <c r="N37" s="808"/>
      <c r="O37" s="808"/>
      <c r="P37" s="808"/>
      <c r="Q37" s="808"/>
      <c r="R37" s="808"/>
      <c r="S37" s="808"/>
      <c r="T37" s="808"/>
      <c r="U37" s="1128"/>
      <c r="V37" s="1125">
        <v>11</v>
      </c>
      <c r="W37" s="10362" t="str">
        <f>IF(NOT(AL37),"",IF(AJ37&lt;&gt;"",ROUND(AJ37,0),SUM(Adj_Gross_Inc,-Deductions)))</f>
        <v/>
      </c>
      <c r="X37" s="10363"/>
      <c r="Y37" s="10363"/>
      <c r="Z37" s="10363"/>
      <c r="AA37" s="10364"/>
      <c r="AB37" s="3347"/>
      <c r="AC37" s="2950"/>
      <c r="AD37" s="899"/>
      <c r="AE37" s="899"/>
      <c r="AF37" s="899"/>
      <c r="AG37" s="899"/>
      <c r="AH37" s="2162"/>
      <c r="AJ37" s="2499"/>
      <c r="AL37" s="902" t="b">
        <f>AND(AL11,OR(AJ37&lt;&gt;"",NOT(ISERROR(SUM(Adj_Gross_Inc,-Deductions)))))</f>
        <v>0</v>
      </c>
    </row>
    <row r="38" spans="1:39" ht="14.25" customHeight="1">
      <c r="A38" s="2162"/>
      <c r="B38" s="7978">
        <v>12</v>
      </c>
      <c r="C38" s="8432"/>
      <c r="D38" s="2112" t="s">
        <v>5788</v>
      </c>
      <c r="E38" s="808"/>
      <c r="F38" s="1376"/>
      <c r="G38" s="892"/>
      <c r="H38" s="808"/>
      <c r="I38" s="808"/>
      <c r="J38" s="808"/>
      <c r="K38" s="808"/>
      <c r="L38" s="808"/>
      <c r="M38" s="808"/>
      <c r="N38" s="808"/>
      <c r="O38" s="808"/>
      <c r="P38" s="808"/>
      <c r="Q38" s="808"/>
      <c r="R38" s="808"/>
      <c r="S38" s="808"/>
      <c r="T38" s="808"/>
      <c r="U38" s="808"/>
      <c r="V38" s="1126"/>
      <c r="W38" s="10366"/>
      <c r="X38" s="10367"/>
      <c r="Y38" s="10367"/>
      <c r="Z38" s="10367"/>
      <c r="AA38" s="10368"/>
      <c r="AB38" s="2392"/>
      <c r="AC38" s="2950"/>
      <c r="AD38" s="899"/>
      <c r="AE38" s="899"/>
      <c r="AF38" s="899"/>
      <c r="AG38" s="899"/>
      <c r="AH38" s="2162"/>
      <c r="AJ38" s="260"/>
      <c r="AL38" s="902"/>
    </row>
    <row r="39" spans="1:39" ht="14.25" customHeight="1">
      <c r="A39" s="2162"/>
      <c r="B39" s="7978"/>
      <c r="C39" s="8432"/>
      <c r="D39" s="2112" t="s">
        <v>2326</v>
      </c>
      <c r="E39" s="808"/>
      <c r="F39" s="1376"/>
      <c r="G39" s="892"/>
      <c r="H39" s="808"/>
      <c r="I39" s="808"/>
      <c r="J39" s="808"/>
      <c r="K39" s="808"/>
      <c r="L39" s="808"/>
      <c r="M39" s="808"/>
      <c r="N39" s="808"/>
      <c r="O39" s="808"/>
      <c r="P39" s="808"/>
      <c r="Q39" s="808"/>
      <c r="R39" s="808"/>
      <c r="S39" s="808"/>
      <c r="T39" s="808"/>
      <c r="U39" s="1128" t="s">
        <v>2143</v>
      </c>
      <c r="V39" s="1125">
        <v>12</v>
      </c>
      <c r="W39" s="10362" t="str">
        <f>IF(AJ39&lt;&gt;"",ROUND(AJ39,0),IF(AL11,SUM(Qualified_Dividends,NetCapitalGain),""))</f>
        <v/>
      </c>
      <c r="X39" s="10363"/>
      <c r="Y39" s="10363"/>
      <c r="Z39" s="10363"/>
      <c r="AA39" s="10364"/>
      <c r="AB39" s="2392"/>
      <c r="AC39" s="9816">
        <f>IF(SchD_NotReqd,CapitalGains,IF(OR(SchDLine15&lt;=0,SchDLine16&lt;=0),0,MIN(SchDLine15,SchDLine16)))</f>
        <v>0</v>
      </c>
      <c r="AD39" s="10365"/>
      <c r="AE39" s="10365"/>
      <c r="AF39" s="10365"/>
      <c r="AG39" s="10365"/>
      <c r="AH39" s="2162"/>
      <c r="AJ39" s="2499"/>
    </row>
    <row r="40" spans="1:39" ht="14.25" customHeight="1">
      <c r="A40" s="2162"/>
      <c r="B40" s="7978">
        <v>13</v>
      </c>
      <c r="C40" s="8432"/>
      <c r="D40" s="2112" t="s">
        <v>5353</v>
      </c>
      <c r="E40" s="808"/>
      <c r="F40" s="1376"/>
      <c r="G40" s="892"/>
      <c r="H40" s="808"/>
      <c r="I40" s="808"/>
      <c r="J40" s="808"/>
      <c r="K40" s="808"/>
      <c r="L40" s="808"/>
      <c r="M40" s="808"/>
      <c r="N40" s="808"/>
      <c r="O40" s="808"/>
      <c r="P40" s="808"/>
      <c r="Q40" s="808"/>
      <c r="R40" s="808"/>
      <c r="S40" s="808"/>
      <c r="T40" s="808"/>
      <c r="U40" s="1128" t="s">
        <v>994</v>
      </c>
      <c r="V40" s="1125">
        <v>13</v>
      </c>
      <c r="W40" s="10359" t="str">
        <f>IF(AL11,MAX(0,SUM(W37,-W39)),"")</f>
        <v/>
      </c>
      <c r="X40" s="10360"/>
      <c r="Y40" s="10360"/>
      <c r="Z40" s="10360"/>
      <c r="AA40" s="10360"/>
      <c r="AB40" s="2392"/>
      <c r="AC40" s="2950"/>
      <c r="AD40" s="899"/>
      <c r="AE40" s="899"/>
      <c r="AF40" s="899"/>
      <c r="AG40" s="899"/>
      <c r="AH40" s="2162"/>
      <c r="AJ40" s="260"/>
    </row>
    <row r="41" spans="1:39" ht="14.25" customHeight="1">
      <c r="A41" s="2162"/>
      <c r="B41" s="7978">
        <v>14</v>
      </c>
      <c r="C41" s="8432"/>
      <c r="D41" s="2112" t="str">
        <f>"Income limitation. Multiply line 13 by "&amp;TEXT(AC27,"0%")&amp;" ("&amp;TEXT(AC27,"0.00")&amp;")"</f>
        <v>Income limitation. Multiply line 13 by 20% (0.20)</v>
      </c>
      <c r="E41" s="808"/>
      <c r="F41" s="1376"/>
      <c r="G41" s="892"/>
      <c r="H41" s="808"/>
      <c r="I41" s="808"/>
      <c r="J41" s="808"/>
      <c r="K41" s="808"/>
      <c r="L41" s="808"/>
      <c r="M41" s="808"/>
      <c r="N41" s="808"/>
      <c r="O41" s="808"/>
      <c r="P41" s="808"/>
      <c r="Q41" s="808"/>
      <c r="R41" s="808"/>
      <c r="S41" s="808"/>
      <c r="T41" s="808"/>
      <c r="U41" s="808"/>
      <c r="V41" s="874"/>
      <c r="W41" s="808"/>
      <c r="X41" s="808"/>
      <c r="Y41" s="808"/>
      <c r="Z41" s="808"/>
      <c r="AA41" s="1128" t="s">
        <v>1211</v>
      </c>
      <c r="AB41" s="1125">
        <v>14</v>
      </c>
      <c r="AC41" s="10361" t="str">
        <f>IF(AL11,ROUND(W40*AC27,0),"")</f>
        <v/>
      </c>
      <c r="AD41" s="9876"/>
      <c r="AE41" s="9876"/>
      <c r="AF41" s="9876"/>
      <c r="AG41" s="9876"/>
      <c r="AH41" s="2162"/>
      <c r="AJ41" s="260"/>
    </row>
    <row r="42" spans="1:39" ht="14.25" customHeight="1">
      <c r="A42" s="2162"/>
      <c r="B42" s="7978">
        <v>15</v>
      </c>
      <c r="C42" s="8432"/>
      <c r="D42" s="2112" t="s">
        <v>5354</v>
      </c>
      <c r="E42" s="808"/>
      <c r="F42" s="1376"/>
      <c r="G42" s="892"/>
      <c r="H42" s="808"/>
      <c r="I42" s="808"/>
      <c r="J42" s="808"/>
      <c r="K42" s="808"/>
      <c r="L42" s="808"/>
      <c r="M42" s="808"/>
      <c r="N42" s="808"/>
      <c r="O42" s="808"/>
      <c r="P42" s="808"/>
      <c r="Q42" s="808"/>
      <c r="R42" s="808"/>
      <c r="S42" s="808"/>
      <c r="T42" s="808"/>
      <c r="U42" s="808"/>
      <c r="V42" s="808"/>
      <c r="W42" s="808"/>
      <c r="X42" s="808"/>
      <c r="Y42" s="808"/>
      <c r="Z42" s="808"/>
      <c r="AA42" s="3341"/>
      <c r="AB42" s="2389"/>
      <c r="AC42" s="3282"/>
      <c r="AD42" s="3282"/>
      <c r="AE42" s="3282"/>
      <c r="AF42" s="3282"/>
      <c r="AG42" s="3340"/>
      <c r="AH42" s="2162"/>
      <c r="AJ42" s="260"/>
    </row>
    <row r="43" spans="1:39" ht="14.25" customHeight="1">
      <c r="A43" s="2162"/>
      <c r="B43" s="7978"/>
      <c r="C43" s="8432"/>
      <c r="D43" s="2112" t="s">
        <v>5355</v>
      </c>
      <c r="E43" s="808"/>
      <c r="F43" s="1376"/>
      <c r="G43" s="892"/>
      <c r="H43" s="808"/>
      <c r="I43" s="808"/>
      <c r="J43" s="808"/>
      <c r="K43" s="808"/>
      <c r="L43" s="808"/>
      <c r="M43" s="808"/>
      <c r="N43" s="808"/>
      <c r="O43" s="808"/>
      <c r="P43" s="808"/>
      <c r="Q43" s="808"/>
      <c r="R43" s="808"/>
      <c r="S43" s="808"/>
      <c r="T43" s="808"/>
      <c r="U43" s="808"/>
      <c r="V43" s="874"/>
      <c r="W43" s="808"/>
      <c r="X43" s="808"/>
      <c r="Y43" s="808"/>
      <c r="Z43" s="808"/>
      <c r="AA43" s="1128" t="s">
        <v>3937</v>
      </c>
      <c r="AB43" s="1125">
        <v>15</v>
      </c>
      <c r="AC43" s="10361" t="str">
        <f>IF(AL11,MIN(AC36,AC41),"")</f>
        <v/>
      </c>
      <c r="AD43" s="9876"/>
      <c r="AE43" s="9876"/>
      <c r="AF43" s="9876"/>
      <c r="AG43" s="9876"/>
      <c r="AH43" s="2162"/>
      <c r="AJ43" s="260"/>
    </row>
    <row r="44" spans="1:39" ht="14.25" customHeight="1">
      <c r="A44" s="2162"/>
      <c r="B44" s="7978">
        <v>16</v>
      </c>
      <c r="C44" s="8432"/>
      <c r="D44" s="2112" t="s">
        <v>5356</v>
      </c>
      <c r="E44" s="808"/>
      <c r="F44" s="1376"/>
      <c r="G44" s="892"/>
      <c r="H44" s="808"/>
      <c r="I44" s="808"/>
      <c r="J44" s="808"/>
      <c r="K44" s="808"/>
      <c r="L44" s="808"/>
      <c r="M44" s="808"/>
      <c r="N44" s="808"/>
      <c r="O44" s="808"/>
      <c r="P44" s="808"/>
      <c r="Q44" s="808"/>
      <c r="R44" s="808"/>
      <c r="S44" s="808"/>
      <c r="T44" s="808"/>
      <c r="U44" s="808"/>
      <c r="V44" s="874"/>
      <c r="W44" s="808"/>
      <c r="X44" s="808"/>
      <c r="Y44" s="808"/>
      <c r="Z44" s="808"/>
      <c r="AA44" s="1128" t="s">
        <v>934</v>
      </c>
      <c r="AB44" s="1125">
        <v>16</v>
      </c>
      <c r="AC44" s="3351" t="s">
        <v>905</v>
      </c>
      <c r="AD44" s="10358" t="str">
        <f>IF(AJ44&lt;&gt;"",ROUND(AJ44,0),IF(AL11,-MIN(0,SUM(W25,-ROUND(X26,0))),""))</f>
        <v/>
      </c>
      <c r="AE44" s="10358"/>
      <c r="AF44" s="10358"/>
      <c r="AG44" s="3352" t="s">
        <v>906</v>
      </c>
      <c r="AH44" s="2162"/>
      <c r="AJ44" s="2499"/>
      <c r="AL44" s="902" t="b">
        <f>SUM(W25,-X26)&lt;0</f>
        <v>0</v>
      </c>
      <c r="AM44" s="2611"/>
    </row>
    <row r="45" spans="1:39" ht="14.25" customHeight="1">
      <c r="A45" s="2162"/>
      <c r="B45" s="7978">
        <v>17</v>
      </c>
      <c r="C45" s="8432"/>
      <c r="D45" s="2112" t="s">
        <v>5357</v>
      </c>
      <c r="E45" s="808"/>
      <c r="F45" s="1376"/>
      <c r="G45" s="892"/>
      <c r="H45" s="808"/>
      <c r="I45" s="808"/>
      <c r="J45" s="808"/>
      <c r="K45" s="808"/>
      <c r="L45" s="808"/>
      <c r="M45" s="808"/>
      <c r="N45" s="808"/>
      <c r="O45" s="808"/>
      <c r="P45" s="808"/>
      <c r="Q45" s="808"/>
      <c r="R45" s="808"/>
      <c r="S45" s="808"/>
      <c r="T45" s="808"/>
      <c r="U45" s="808"/>
      <c r="V45" s="808"/>
      <c r="W45" s="808"/>
      <c r="X45" s="808"/>
      <c r="Y45" s="808"/>
      <c r="Z45" s="808"/>
      <c r="AA45" s="3350"/>
      <c r="AB45" s="2389"/>
      <c r="AC45" s="2398"/>
      <c r="AD45" s="2402"/>
      <c r="AE45" s="2402"/>
      <c r="AF45" s="2402"/>
      <c r="AG45" s="3861"/>
      <c r="AH45" s="2162"/>
      <c r="AJ45" s="260"/>
    </row>
    <row r="46" spans="1:39" ht="14.25" customHeight="1" thickBot="1">
      <c r="A46" s="2162"/>
      <c r="B46" s="7978"/>
      <c r="C46" s="8432"/>
      <c r="D46" s="2112" t="s">
        <v>5358</v>
      </c>
      <c r="E46" s="808"/>
      <c r="F46" s="1376"/>
      <c r="G46" s="892"/>
      <c r="H46" s="808"/>
      <c r="I46" s="808"/>
      <c r="J46" s="808"/>
      <c r="K46" s="808"/>
      <c r="L46" s="808"/>
      <c r="M46" s="808"/>
      <c r="N46" s="808"/>
      <c r="O46" s="808"/>
      <c r="P46" s="808"/>
      <c r="Q46" s="808"/>
      <c r="R46" s="808"/>
      <c r="S46" s="808"/>
      <c r="T46" s="808"/>
      <c r="U46" s="808"/>
      <c r="V46" s="874"/>
      <c r="W46" s="808"/>
      <c r="X46" s="808"/>
      <c r="Y46" s="808"/>
      <c r="Z46" s="808"/>
      <c r="AA46" s="1128" t="s">
        <v>2298</v>
      </c>
      <c r="AB46" s="1125">
        <v>17</v>
      </c>
      <c r="AC46" s="3862" t="s">
        <v>905</v>
      </c>
      <c r="AD46" s="9874" t="str">
        <f>IF(AJ46&lt;&gt;"",ROUND(AJ46,0),IF(AL11,-MIN(0,SUM(W30,-X32)),""))</f>
        <v/>
      </c>
      <c r="AE46" s="9874"/>
      <c r="AF46" s="9874"/>
      <c r="AG46" s="3863" t="s">
        <v>906</v>
      </c>
      <c r="AH46" s="2162"/>
      <c r="AJ46" s="2499"/>
    </row>
    <row r="47" spans="1:39" ht="15.75">
      <c r="A47" s="2162"/>
      <c r="B47" s="980" t="s">
        <v>5359</v>
      </c>
      <c r="C47" s="2379"/>
      <c r="D47" s="890"/>
      <c r="E47" s="890"/>
      <c r="F47" s="890"/>
      <c r="G47" s="890"/>
      <c r="H47" s="890"/>
      <c r="I47" s="890"/>
      <c r="J47" s="890"/>
      <c r="K47" s="890"/>
      <c r="L47" s="890"/>
      <c r="M47" s="890"/>
      <c r="N47" s="890"/>
      <c r="O47" s="890"/>
      <c r="P47" s="890"/>
      <c r="Q47" s="890"/>
      <c r="R47" s="890"/>
      <c r="S47" s="890"/>
      <c r="T47" s="2393"/>
      <c r="U47" s="2393" t="s">
        <v>5360</v>
      </c>
      <c r="V47" s="890"/>
      <c r="W47" s="2381"/>
      <c r="X47" s="890"/>
      <c r="Y47" s="890"/>
      <c r="Z47" s="890"/>
      <c r="AA47" s="890"/>
      <c r="AB47" s="890"/>
      <c r="AC47" s="890"/>
      <c r="AD47" s="1119" t="s">
        <v>5361</v>
      </c>
      <c r="AE47" s="890"/>
      <c r="AF47" s="890"/>
      <c r="AG47" s="3344" t="str">
        <f>"("&amp;TaxYear&amp;")"</f>
        <v>(2023)</v>
      </c>
      <c r="AH47" s="2162"/>
      <c r="AJ47" s="260"/>
    </row>
    <row r="48" spans="1:39">
      <c r="A48" s="2162"/>
      <c r="B48" s="2162"/>
      <c r="C48" s="2162"/>
      <c r="D48" s="2162"/>
      <c r="E48" s="2162"/>
      <c r="F48" s="2162"/>
      <c r="G48" s="2162"/>
      <c r="H48" s="2162"/>
      <c r="I48" s="2162"/>
      <c r="J48" s="2162"/>
      <c r="K48" s="2162"/>
      <c r="L48" s="2162"/>
      <c r="M48" s="2162"/>
      <c r="N48" s="2162"/>
      <c r="O48" s="2162"/>
      <c r="P48" s="2162"/>
      <c r="Q48" s="2162"/>
      <c r="R48" s="2162"/>
      <c r="S48" s="2162"/>
      <c r="T48" s="2162"/>
      <c r="U48" s="2162"/>
      <c r="V48" s="2162"/>
      <c r="W48" s="2162"/>
      <c r="X48" s="2162"/>
      <c r="Y48" s="2162"/>
      <c r="Z48" s="2162"/>
      <c r="AA48" s="2162"/>
      <c r="AB48" s="2162"/>
      <c r="AC48" s="2162"/>
      <c r="AD48" s="2162"/>
      <c r="AE48" s="2162"/>
      <c r="AF48" s="2162"/>
      <c r="AG48" s="2162"/>
      <c r="AH48" s="2162"/>
      <c r="AJ48" s="260"/>
    </row>
    <row r="49" spans="2:6" ht="13.5" thickBot="1"/>
    <row r="50" spans="2:6" ht="12.95" customHeight="1">
      <c r="B50" s="6767" t="s">
        <v>46</v>
      </c>
      <c r="C50" s="6768"/>
      <c r="D50" s="6768"/>
      <c r="E50" s="6768"/>
      <c r="F50" s="6769"/>
    </row>
    <row r="51" spans="2:6" ht="12.95" customHeight="1">
      <c r="B51" s="6770"/>
      <c r="C51" s="6771"/>
      <c r="D51" s="6771"/>
      <c r="E51" s="6771"/>
      <c r="F51" s="6772"/>
    </row>
    <row r="52" spans="2:6" ht="12.95" customHeight="1" thickBot="1">
      <c r="B52" s="6773"/>
      <c r="C52" s="6774"/>
      <c r="D52" s="6774"/>
      <c r="E52" s="6774"/>
      <c r="F52" s="6775"/>
    </row>
  </sheetData>
  <sheetProtection algorithmName="SHA-512" hashValue="mFp7ogTCtTKhjuXO2B85WasTHiev355+gM0YCddHW0kEmL8NJa8FA63q5LS8KtiIoHyit9Zc2uTNNw/7EsmVlw==" saltValue="cigz6HgBK2d9UQIrVSqq5Q==" spinCount="100000" sheet="1" objects="1" scenarios="1"/>
  <mergeCells count="94">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 ref="AB2:AG2"/>
    <mergeCell ref="AB3:AG4"/>
    <mergeCell ref="B4:F4"/>
    <mergeCell ref="B6:F6"/>
    <mergeCell ref="B5:F5"/>
    <mergeCell ref="AF5:AF6"/>
    <mergeCell ref="B2:C3"/>
    <mergeCell ref="D2:F3"/>
    <mergeCell ref="G3:AA3"/>
    <mergeCell ref="G4:AA4"/>
    <mergeCell ref="B50:F52"/>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D19:U20"/>
    <mergeCell ref="V19:AA19"/>
    <mergeCell ref="AB19:AG19"/>
    <mergeCell ref="V20:AA20"/>
    <mergeCell ref="AB20:AG20"/>
    <mergeCell ref="B25:C25"/>
    <mergeCell ref="B26:C26"/>
    <mergeCell ref="B24:C24"/>
    <mergeCell ref="W25:AA25"/>
    <mergeCell ref="B21:C22"/>
    <mergeCell ref="D21:U22"/>
    <mergeCell ref="V21:AA21"/>
    <mergeCell ref="V22:AA22"/>
    <mergeCell ref="B27:C27"/>
    <mergeCell ref="X26:Z26"/>
    <mergeCell ref="B28:C28"/>
    <mergeCell ref="AC28:AG28"/>
    <mergeCell ref="W27:AA27"/>
    <mergeCell ref="AC27:AG27"/>
    <mergeCell ref="B29:C29"/>
    <mergeCell ref="B30:C30"/>
    <mergeCell ref="W30:AA30"/>
    <mergeCell ref="B31:C31"/>
    <mergeCell ref="B32:C32"/>
    <mergeCell ref="X32:Z32"/>
    <mergeCell ref="B33:C33"/>
    <mergeCell ref="B34:C34"/>
    <mergeCell ref="W34:AA34"/>
    <mergeCell ref="B35:C35"/>
    <mergeCell ref="AC35:AG35"/>
    <mergeCell ref="W33:AA33"/>
    <mergeCell ref="B36:C36"/>
    <mergeCell ref="AC36:AG36"/>
    <mergeCell ref="B37:C37"/>
    <mergeCell ref="W37:AA37"/>
    <mergeCell ref="B39:C39"/>
    <mergeCell ref="W39:AA39"/>
    <mergeCell ref="AC39:AG39"/>
    <mergeCell ref="B38:C38"/>
    <mergeCell ref="W38:AA38"/>
    <mergeCell ref="B40:C40"/>
    <mergeCell ref="W40:AA40"/>
    <mergeCell ref="B41:C41"/>
    <mergeCell ref="AC41:AG41"/>
    <mergeCell ref="B43:C43"/>
    <mergeCell ref="AC43:AG43"/>
    <mergeCell ref="B44:C44"/>
    <mergeCell ref="B42:C42"/>
    <mergeCell ref="B45:C45"/>
    <mergeCell ref="B46:C46"/>
    <mergeCell ref="AD44:AF44"/>
    <mergeCell ref="AD46:AF46"/>
  </mergeCells>
  <conditionalFormatting sqref="B8 Y8">
    <cfRule type="expression" dxfId="19" priority="78">
      <formula>NoColor</formula>
    </cfRule>
  </conditionalFormatting>
  <conditionalFormatting sqref="B11:D11 F11:AG11">
    <cfRule type="expression" dxfId="18" priority="4">
      <formula>AND($AL$10,AI9="")</formula>
    </cfRule>
  </conditionalFormatting>
  <conditionalFormatting sqref="B4:F4">
    <cfRule type="expression" dxfId="17" priority="56">
      <formula>NOT(Draft)</formula>
    </cfRule>
  </conditionalFormatting>
  <conditionalFormatting sqref="D46">
    <cfRule type="expression" dxfId="16" priority="6">
      <formula>$AD$46&lt;0</formula>
    </cfRule>
  </conditionalFormatting>
  <conditionalFormatting sqref="D13:AG22">
    <cfRule type="expression" dxfId="15" priority="21">
      <formula>NoColor</formula>
    </cfRule>
  </conditionalFormatting>
  <conditionalFormatting sqref="E11">
    <cfRule type="expression" dxfId="14" priority="4065">
      <formula>AND($AL$10,AL11="")</formula>
    </cfRule>
  </conditionalFormatting>
  <conditionalFormatting sqref="W25:AA27 W28:Z28 W29:AA32 W33 W34:AA34 W35:Z35 W36:AA37 W38 W39:AA40">
    <cfRule type="expression" dxfId="13" priority="19">
      <formula>NoColor</formula>
    </cfRule>
  </conditionalFormatting>
  <conditionalFormatting sqref="AA42">
    <cfRule type="expression" dxfId="12" priority="37">
      <formula>IF(NoColor,1,0)</formula>
    </cfRule>
  </conditionalFormatting>
  <conditionalFormatting sqref="AA45">
    <cfRule type="expression" dxfId="11" priority="7">
      <formula>$AD$46&lt;0</formula>
    </cfRule>
    <cfRule type="expression" dxfId="10" priority="8">
      <formula>IF(NoColor,1,0)</formula>
    </cfRule>
  </conditionalFormatting>
  <conditionalFormatting sqref="AC28:AG28">
    <cfRule type="expression" dxfId="9" priority="18">
      <formula>NoColor</formula>
    </cfRule>
  </conditionalFormatting>
  <conditionalFormatting sqref="AC35:AG36">
    <cfRule type="expression" dxfId="8" priority="16">
      <formula>NoColor</formula>
    </cfRule>
  </conditionalFormatting>
  <conditionalFormatting sqref="AC41:AG41">
    <cfRule type="expression" dxfId="7" priority="15">
      <formula>NoColor</formula>
    </cfRule>
  </conditionalFormatting>
  <conditionalFormatting sqref="AC42:AG42">
    <cfRule type="expression" dxfId="6" priority="52">
      <formula>IF(NoColor,1,0)</formula>
    </cfRule>
  </conditionalFormatting>
  <conditionalFormatting sqref="AC43:AG44">
    <cfRule type="expression" dxfId="5" priority="9">
      <formula>NoColor</formula>
    </cfRule>
  </conditionalFormatting>
  <conditionalFormatting sqref="AC45:AG45">
    <cfRule type="expression" dxfId="4" priority="24">
      <formula>IF(NoColor,1,0)</formula>
    </cfRule>
  </conditionalFormatting>
  <conditionalFormatting sqref="AC46:AG46">
    <cfRule type="expression" dxfId="3" priority="11">
      <formula>NoColor</formula>
    </cfRule>
  </conditionalFormatting>
  <conditionalFormatting sqref="AI9">
    <cfRule type="expression" dxfId="2" priority="2">
      <formula>$AL$10</formula>
    </cfRule>
  </conditionalFormatting>
  <conditionalFormatting sqref="AJ9">
    <cfRule type="expression" dxfId="1" priority="3">
      <formula>$AL$10</formula>
    </cfRule>
  </conditionalFormatting>
  <conditionalFormatting sqref="AJ10">
    <cfRule type="expression" dxfId="0" priority="5">
      <formula>$AL$10</formula>
    </cfRule>
  </conditionalFormatting>
  <hyperlinks>
    <hyperlink ref="B50:F52" location="'Table of Contents'!A1" display="Table of Contents" xr:uid="{00000000-0004-0000-3800-000000000000}"/>
  </hyperlinks>
  <pageMargins left="0.75" right="0.25" top="0.36" bottom="0.28999999999999998" header="0.36" footer="0.21"/>
  <pageSetup scale="74" fitToHeight="0"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U1278"/>
  <sheetViews>
    <sheetView zoomScaleNormal="100" workbookViewId="0">
      <pane xSplit="2" ySplit="2" topLeftCell="C3" activePane="bottomRight" state="frozen"/>
      <selection pane="topRight"/>
      <selection pane="bottomLeft"/>
      <selection pane="bottomRight"/>
    </sheetView>
  </sheetViews>
  <sheetFormatPr defaultColWidth="14.7109375" defaultRowHeight="12.75"/>
  <cols>
    <col min="1" max="1" width="14.7109375" style="1282" customWidth="1"/>
    <col min="2" max="2" width="14.7109375" style="1306" customWidth="1"/>
    <col min="3" max="5" width="11.85546875" style="1282" customWidth="1"/>
    <col min="6" max="6" width="11.85546875" style="1306" customWidth="1"/>
    <col min="7" max="9" width="11.85546875" style="4814" customWidth="1"/>
    <col min="10" max="10" width="11.85546875" style="4815" customWidth="1"/>
    <col min="11" max="11" width="6.140625" style="600" customWidth="1"/>
    <col min="12" max="12" width="14.7109375" style="1282" customWidth="1"/>
    <col min="13" max="13" width="18" style="1282" customWidth="1"/>
    <col min="14" max="22" width="14.7109375" style="1282" customWidth="1"/>
    <col min="23" max="16384" width="14.7109375" style="1282"/>
  </cols>
  <sheetData>
    <row r="1" spans="1:21" s="1301" customFormat="1">
      <c r="A1" s="10414" t="s">
        <v>5362</v>
      </c>
      <c r="B1" s="10414"/>
      <c r="C1" s="10411" t="s">
        <v>5363</v>
      </c>
      <c r="D1" s="10412"/>
      <c r="E1" s="10412"/>
      <c r="F1" s="10413"/>
      <c r="G1" s="10415" t="s">
        <v>3328</v>
      </c>
      <c r="H1" s="10416"/>
      <c r="I1" s="10416"/>
      <c r="J1" s="10417"/>
      <c r="N1" s="10411" t="s">
        <v>5363</v>
      </c>
      <c r="O1" s="10412"/>
      <c r="P1" s="10412"/>
      <c r="Q1" s="10413"/>
      <c r="R1" s="10411" t="s">
        <v>3328</v>
      </c>
      <c r="S1" s="10412"/>
      <c r="T1" s="10412"/>
      <c r="U1" s="10413"/>
    </row>
    <row r="2" spans="1:21" s="779" customFormat="1" ht="14.25" thickBot="1">
      <c r="A2" s="1302" t="s">
        <v>5364</v>
      </c>
      <c r="B2" s="1303" t="s">
        <v>5365</v>
      </c>
      <c r="C2" s="1304" t="s">
        <v>5366</v>
      </c>
      <c r="D2" s="1304" t="s">
        <v>5367</v>
      </c>
      <c r="E2" s="1304" t="s">
        <v>5368</v>
      </c>
      <c r="F2" s="1305" t="s">
        <v>5369</v>
      </c>
      <c r="G2" s="4812" t="s">
        <v>5366</v>
      </c>
      <c r="H2" s="4812" t="s">
        <v>5367</v>
      </c>
      <c r="I2" s="4812" t="s">
        <v>5368</v>
      </c>
      <c r="J2" s="4813" t="s">
        <v>5369</v>
      </c>
      <c r="K2" s="462"/>
      <c r="L2" s="4803" t="s">
        <v>5370</v>
      </c>
      <c r="N2" s="4802" t="s">
        <v>5366</v>
      </c>
      <c r="O2" s="1304" t="s">
        <v>5367</v>
      </c>
      <c r="P2" s="1304" t="s">
        <v>5368</v>
      </c>
      <c r="Q2" s="1305" t="s">
        <v>5369</v>
      </c>
      <c r="R2" s="1304" t="s">
        <v>5366</v>
      </c>
      <c r="S2" s="1304" t="s">
        <v>5367</v>
      </c>
      <c r="T2" s="1304" t="s">
        <v>5368</v>
      </c>
      <c r="U2" s="1305" t="s">
        <v>5369</v>
      </c>
    </row>
    <row r="3" spans="1:21" ht="13.5">
      <c r="A3" s="2908">
        <v>1</v>
      </c>
      <c r="B3" s="2909">
        <v>50</v>
      </c>
      <c r="C3" s="4806">
        <f t="shared" ref="C3:J3" si="0">IF($L3&gt;N$5,MAX(0,N$3+ROUND((N$9*($L3-N$5)),0)),IF($L3&gt;N$4,N$3,ROUND($L3*N$7,0)))</f>
        <v>2</v>
      </c>
      <c r="D3" s="4807">
        <f t="shared" si="0"/>
        <v>8</v>
      </c>
      <c r="E3" s="4807">
        <f t="shared" si="0"/>
        <v>10</v>
      </c>
      <c r="F3" s="4808">
        <f t="shared" si="0"/>
        <v>11</v>
      </c>
      <c r="G3" s="4806">
        <f t="shared" si="0"/>
        <v>2</v>
      </c>
      <c r="H3" s="4807">
        <f t="shared" si="0"/>
        <v>8</v>
      </c>
      <c r="I3" s="4807">
        <f t="shared" si="0"/>
        <v>10</v>
      </c>
      <c r="J3" s="4808">
        <f t="shared" si="0"/>
        <v>11</v>
      </c>
      <c r="K3" s="1282"/>
      <c r="L3" s="2908">
        <f>ROUND((A3+B3)/2,2)-1</f>
        <v>24.5</v>
      </c>
      <c r="M3" s="2908" t="s">
        <v>5371</v>
      </c>
      <c r="N3" s="2908">
        <v>600</v>
      </c>
      <c r="O3" s="2908">
        <v>3995</v>
      </c>
      <c r="P3" s="2908">
        <v>6604</v>
      </c>
      <c r="Q3" s="2908">
        <v>7430</v>
      </c>
      <c r="R3" s="2908">
        <v>600</v>
      </c>
      <c r="S3" s="2908">
        <v>3995</v>
      </c>
      <c r="T3" s="2908">
        <v>6604</v>
      </c>
      <c r="U3" s="2908">
        <v>7430</v>
      </c>
    </row>
    <row r="4" spans="1:21" ht="13.5">
      <c r="A4" s="1406">
        <v>50</v>
      </c>
      <c r="B4" s="1405">
        <v>100</v>
      </c>
      <c r="C4" s="4809">
        <v>6</v>
      </c>
      <c r="D4" s="1406">
        <v>26</v>
      </c>
      <c r="E4" s="1406">
        <v>30</v>
      </c>
      <c r="F4" s="1405">
        <v>34</v>
      </c>
      <c r="G4" s="4809">
        <v>6</v>
      </c>
      <c r="H4" s="1406">
        <v>26</v>
      </c>
      <c r="I4" s="1406">
        <v>30</v>
      </c>
      <c r="J4" s="1405">
        <v>34</v>
      </c>
      <c r="K4" s="1282"/>
      <c r="L4" s="1406">
        <f t="shared" ref="L4:L67" si="1">ROUND((A4+B4)/2,2)</f>
        <v>75</v>
      </c>
      <c r="M4" s="2908" t="s">
        <v>5372</v>
      </c>
      <c r="N4" s="1406">
        <v>7840</v>
      </c>
      <c r="O4" s="1406">
        <v>11750</v>
      </c>
      <c r="P4" s="1406">
        <v>16510</v>
      </c>
      <c r="Q4" s="1406">
        <v>16510</v>
      </c>
      <c r="R4" s="1406">
        <v>7320</v>
      </c>
      <c r="S4" s="1406">
        <v>11750</v>
      </c>
      <c r="T4" s="1406">
        <v>16510</v>
      </c>
      <c r="U4" s="1406">
        <v>16510</v>
      </c>
    </row>
    <row r="5" spans="1:21" ht="13.5">
      <c r="A5" s="1406">
        <v>100</v>
      </c>
      <c r="B5" s="1405">
        <v>150</v>
      </c>
      <c r="C5" s="4809">
        <v>10</v>
      </c>
      <c r="D5" s="1406">
        <v>43</v>
      </c>
      <c r="E5" s="1406">
        <v>50</v>
      </c>
      <c r="F5" s="1405">
        <v>56</v>
      </c>
      <c r="G5" s="4809">
        <v>10</v>
      </c>
      <c r="H5" s="1406">
        <v>43</v>
      </c>
      <c r="I5" s="1406">
        <v>50</v>
      </c>
      <c r="J5" s="1405">
        <v>56</v>
      </c>
      <c r="K5" s="1282"/>
      <c r="L5" s="1406">
        <f t="shared" si="1"/>
        <v>125</v>
      </c>
      <c r="M5" s="2908" t="s">
        <v>5373</v>
      </c>
      <c r="N5" s="1406">
        <v>9800</v>
      </c>
      <c r="O5" s="1406">
        <v>21560</v>
      </c>
      <c r="P5" s="1406">
        <v>21560</v>
      </c>
      <c r="Q5" s="1406">
        <v>21560</v>
      </c>
      <c r="R5" s="1406">
        <v>16370</v>
      </c>
      <c r="S5" s="1406">
        <v>28120</v>
      </c>
      <c r="T5" s="1406">
        <v>28120</v>
      </c>
      <c r="U5" s="1406">
        <v>28120</v>
      </c>
    </row>
    <row r="6" spans="1:21" ht="13.5">
      <c r="A6" s="1406">
        <v>150</v>
      </c>
      <c r="B6" s="1405">
        <v>200</v>
      </c>
      <c r="C6" s="4809">
        <v>13</v>
      </c>
      <c r="D6" s="1406">
        <v>60</v>
      </c>
      <c r="E6" s="1406">
        <v>70</v>
      </c>
      <c r="F6" s="1405">
        <v>79</v>
      </c>
      <c r="G6" s="4809">
        <v>13</v>
      </c>
      <c r="H6" s="1406">
        <v>60</v>
      </c>
      <c r="I6" s="1406">
        <v>70</v>
      </c>
      <c r="J6" s="1405">
        <v>79</v>
      </c>
      <c r="K6" s="1282"/>
      <c r="L6" s="1406">
        <f t="shared" si="1"/>
        <v>175</v>
      </c>
      <c r="M6" s="2908" t="s">
        <v>5374</v>
      </c>
      <c r="N6" s="1406">
        <v>17640</v>
      </c>
      <c r="O6" s="1406">
        <v>46560</v>
      </c>
      <c r="P6" s="1406">
        <v>52918</v>
      </c>
      <c r="Q6" s="1406">
        <v>56838</v>
      </c>
      <c r="R6" s="1406">
        <v>24210</v>
      </c>
      <c r="S6" s="1406">
        <v>53120</v>
      </c>
      <c r="T6" s="1406">
        <v>59478</v>
      </c>
      <c r="U6" s="1406">
        <v>63398</v>
      </c>
    </row>
    <row r="7" spans="1:21" ht="13.5">
      <c r="A7" s="1406">
        <v>200</v>
      </c>
      <c r="B7" s="1405">
        <v>250</v>
      </c>
      <c r="C7" s="4809">
        <v>17</v>
      </c>
      <c r="D7" s="1406">
        <v>77</v>
      </c>
      <c r="E7" s="1406">
        <v>90</v>
      </c>
      <c r="F7" s="1405">
        <v>101</v>
      </c>
      <c r="G7" s="4809">
        <v>17</v>
      </c>
      <c r="H7" s="1406">
        <v>77</v>
      </c>
      <c r="I7" s="1406">
        <v>90</v>
      </c>
      <c r="J7" s="1405">
        <v>101</v>
      </c>
      <c r="K7" s="1282"/>
      <c r="L7" s="1406">
        <f t="shared" si="1"/>
        <v>225</v>
      </c>
      <c r="M7" s="2908" t="s">
        <v>5375</v>
      </c>
      <c r="N7" s="4811">
        <f t="shared" ref="N7:U7" si="2">ROUND(N3/N4,4)</f>
        <v>7.6499999999999999E-2</v>
      </c>
      <c r="O7" s="4811">
        <f t="shared" si="2"/>
        <v>0.34</v>
      </c>
      <c r="P7" s="4811">
        <f t="shared" si="2"/>
        <v>0.4</v>
      </c>
      <c r="Q7" s="4811">
        <f t="shared" si="2"/>
        <v>0.45</v>
      </c>
      <c r="R7" s="4811">
        <f t="shared" si="2"/>
        <v>8.2000000000000003E-2</v>
      </c>
      <c r="S7" s="4811">
        <f t="shared" si="2"/>
        <v>0.34</v>
      </c>
      <c r="T7" s="4811">
        <f t="shared" si="2"/>
        <v>0.4</v>
      </c>
      <c r="U7" s="4811">
        <f t="shared" si="2"/>
        <v>0.45</v>
      </c>
    </row>
    <row r="8" spans="1:21" ht="13.5">
      <c r="A8" s="1406">
        <v>250</v>
      </c>
      <c r="B8" s="1405">
        <v>300</v>
      </c>
      <c r="C8" s="4809">
        <v>21</v>
      </c>
      <c r="D8" s="1406">
        <v>94</v>
      </c>
      <c r="E8" s="1406">
        <v>110</v>
      </c>
      <c r="F8" s="1405">
        <v>124</v>
      </c>
      <c r="G8" s="4809">
        <v>21</v>
      </c>
      <c r="H8" s="1406">
        <v>94</v>
      </c>
      <c r="I8" s="1406">
        <v>110</v>
      </c>
      <c r="J8" s="1405">
        <v>124</v>
      </c>
      <c r="K8" s="1282"/>
      <c r="L8" s="1406">
        <f t="shared" si="1"/>
        <v>275</v>
      </c>
      <c r="M8" s="2908" t="s">
        <v>5376</v>
      </c>
      <c r="N8" s="4811">
        <v>0</v>
      </c>
      <c r="O8" s="4811">
        <v>0</v>
      </c>
      <c r="P8" s="4811">
        <v>0</v>
      </c>
      <c r="Q8" s="4811">
        <v>0</v>
      </c>
      <c r="R8" s="4811">
        <v>0</v>
      </c>
      <c r="S8" s="4811">
        <v>0</v>
      </c>
      <c r="T8" s="4811">
        <v>0</v>
      </c>
      <c r="U8" s="4811">
        <v>0</v>
      </c>
    </row>
    <row r="9" spans="1:21" ht="13.5">
      <c r="A9" s="1406">
        <v>300</v>
      </c>
      <c r="B9" s="1405">
        <v>350</v>
      </c>
      <c r="C9" s="4809">
        <v>25</v>
      </c>
      <c r="D9" s="1406">
        <v>111</v>
      </c>
      <c r="E9" s="1406">
        <v>130</v>
      </c>
      <c r="F9" s="1405">
        <v>146</v>
      </c>
      <c r="G9" s="4809">
        <v>25</v>
      </c>
      <c r="H9" s="1406">
        <v>111</v>
      </c>
      <c r="I9" s="1406">
        <v>130</v>
      </c>
      <c r="J9" s="1405">
        <v>146</v>
      </c>
      <c r="K9" s="1282"/>
      <c r="L9" s="1406">
        <f t="shared" si="1"/>
        <v>325</v>
      </c>
      <c r="M9" s="2908" t="s">
        <v>5377</v>
      </c>
      <c r="N9" s="4816">
        <f>-ROUND(N3/(N6-N5),7)</f>
        <v>-7.6530600000000004E-2</v>
      </c>
      <c r="O9" s="4816">
        <f>-ROUND(O3/(O6-O5),7)</f>
        <v>-0.1598</v>
      </c>
      <c r="P9" s="4816">
        <f>-ROUND(P3/(P6-P5),6)</f>
        <v>-0.21060000000000001</v>
      </c>
      <c r="Q9" s="4816">
        <f>-ROUND(Q3/(Q6-Q5),6)</f>
        <v>-0.21061299999999999</v>
      </c>
      <c r="R9" s="4816">
        <f>N9</f>
        <v>-7.6530600000000004E-2</v>
      </c>
      <c r="S9" s="4816">
        <f>O9</f>
        <v>-0.1598</v>
      </c>
      <c r="T9" s="4816">
        <f>P9</f>
        <v>-0.21060000000000001</v>
      </c>
      <c r="U9" s="4816">
        <f>-ROUND(U3/(U6-U5),6)</f>
        <v>-0.21061299999999999</v>
      </c>
    </row>
    <row r="10" spans="1:21" ht="13.5">
      <c r="A10" s="1406">
        <v>350</v>
      </c>
      <c r="B10" s="1405">
        <v>400</v>
      </c>
      <c r="C10" s="4809">
        <v>29</v>
      </c>
      <c r="D10" s="1406">
        <v>128</v>
      </c>
      <c r="E10" s="1406">
        <v>150</v>
      </c>
      <c r="F10" s="1405">
        <v>169</v>
      </c>
      <c r="G10" s="4809">
        <v>29</v>
      </c>
      <c r="H10" s="1406">
        <v>128</v>
      </c>
      <c r="I10" s="1406">
        <v>150</v>
      </c>
      <c r="J10" s="1405">
        <v>169</v>
      </c>
      <c r="K10" s="1282"/>
      <c r="L10" s="1406">
        <f t="shared" si="1"/>
        <v>375</v>
      </c>
    </row>
    <row r="11" spans="1:21" ht="13.5">
      <c r="A11" s="1406">
        <v>400</v>
      </c>
      <c r="B11" s="1405">
        <v>450</v>
      </c>
      <c r="C11" s="4809">
        <v>33</v>
      </c>
      <c r="D11" s="1406">
        <v>145</v>
      </c>
      <c r="E11" s="1406">
        <v>170</v>
      </c>
      <c r="F11" s="1405">
        <v>191</v>
      </c>
      <c r="G11" s="4809">
        <v>33</v>
      </c>
      <c r="H11" s="1406">
        <v>145</v>
      </c>
      <c r="I11" s="1406">
        <v>170</v>
      </c>
      <c r="J11" s="1405">
        <v>191</v>
      </c>
      <c r="K11" s="1282"/>
      <c r="L11" s="1406">
        <f t="shared" si="1"/>
        <v>425</v>
      </c>
    </row>
    <row r="12" spans="1:21" ht="13.5">
      <c r="A12" s="1406">
        <v>450</v>
      </c>
      <c r="B12" s="1405">
        <v>500</v>
      </c>
      <c r="C12" s="4809">
        <v>36</v>
      </c>
      <c r="D12" s="1406">
        <v>162</v>
      </c>
      <c r="E12" s="1406">
        <v>190</v>
      </c>
      <c r="F12" s="1405">
        <v>214</v>
      </c>
      <c r="G12" s="4809">
        <v>36</v>
      </c>
      <c r="H12" s="1406">
        <v>162</v>
      </c>
      <c r="I12" s="1406">
        <v>190</v>
      </c>
      <c r="J12" s="1405">
        <v>214</v>
      </c>
      <c r="K12" s="1282"/>
      <c r="L12" s="1406">
        <f t="shared" si="1"/>
        <v>475</v>
      </c>
    </row>
    <row r="13" spans="1:21" ht="13.5">
      <c r="A13" s="1406">
        <v>500</v>
      </c>
      <c r="B13" s="1405">
        <v>550</v>
      </c>
      <c r="C13" s="4809">
        <v>40</v>
      </c>
      <c r="D13" s="1406">
        <v>179</v>
      </c>
      <c r="E13" s="1406">
        <v>210</v>
      </c>
      <c r="F13" s="1405">
        <v>236</v>
      </c>
      <c r="G13" s="4809">
        <v>40</v>
      </c>
      <c r="H13" s="1406">
        <v>179</v>
      </c>
      <c r="I13" s="1406">
        <v>210</v>
      </c>
      <c r="J13" s="1405">
        <v>236</v>
      </c>
      <c r="K13" s="1282"/>
      <c r="L13" s="1406">
        <f t="shared" si="1"/>
        <v>525</v>
      </c>
    </row>
    <row r="14" spans="1:21" ht="13.5">
      <c r="A14" s="1406">
        <v>550</v>
      </c>
      <c r="B14" s="1405">
        <v>600</v>
      </c>
      <c r="C14" s="4809">
        <v>44</v>
      </c>
      <c r="D14" s="1406">
        <v>196</v>
      </c>
      <c r="E14" s="1406">
        <v>230</v>
      </c>
      <c r="F14" s="1405">
        <v>259</v>
      </c>
      <c r="G14" s="4809">
        <v>44</v>
      </c>
      <c r="H14" s="1406">
        <v>196</v>
      </c>
      <c r="I14" s="1406">
        <v>230</v>
      </c>
      <c r="J14" s="1405">
        <v>259</v>
      </c>
      <c r="K14" s="1282"/>
      <c r="L14" s="1406">
        <f t="shared" si="1"/>
        <v>575</v>
      </c>
    </row>
    <row r="15" spans="1:21" ht="13.5">
      <c r="A15" s="1406">
        <v>600</v>
      </c>
      <c r="B15" s="1405">
        <v>650</v>
      </c>
      <c r="C15" s="4809">
        <v>48</v>
      </c>
      <c r="D15" s="1406">
        <v>213</v>
      </c>
      <c r="E15" s="1406">
        <v>250</v>
      </c>
      <c r="F15" s="1405">
        <v>281</v>
      </c>
      <c r="G15" s="4809">
        <v>48</v>
      </c>
      <c r="H15" s="1406">
        <v>213</v>
      </c>
      <c r="I15" s="1406">
        <v>250</v>
      </c>
      <c r="J15" s="1405">
        <v>281</v>
      </c>
      <c r="K15" s="1282"/>
      <c r="L15" s="1406">
        <f t="shared" si="1"/>
        <v>625</v>
      </c>
    </row>
    <row r="16" spans="1:21" ht="13.5">
      <c r="A16" s="1406">
        <v>650</v>
      </c>
      <c r="B16" s="1405">
        <v>700</v>
      </c>
      <c r="C16" s="4809">
        <v>52</v>
      </c>
      <c r="D16" s="1406">
        <v>230</v>
      </c>
      <c r="E16" s="1406">
        <v>270</v>
      </c>
      <c r="F16" s="1405">
        <v>304</v>
      </c>
      <c r="G16" s="4809">
        <v>52</v>
      </c>
      <c r="H16" s="1406">
        <v>230</v>
      </c>
      <c r="I16" s="1406">
        <v>270</v>
      </c>
      <c r="J16" s="1405">
        <v>304</v>
      </c>
      <c r="K16" s="1282"/>
      <c r="L16" s="1406">
        <f t="shared" si="1"/>
        <v>675</v>
      </c>
    </row>
    <row r="17" spans="1:12" ht="13.5">
      <c r="A17" s="1406">
        <v>700</v>
      </c>
      <c r="B17" s="1405">
        <v>750</v>
      </c>
      <c r="C17" s="4809">
        <v>55</v>
      </c>
      <c r="D17" s="1406">
        <v>247</v>
      </c>
      <c r="E17" s="1406">
        <v>290</v>
      </c>
      <c r="F17" s="1405">
        <v>326</v>
      </c>
      <c r="G17" s="4809">
        <v>55</v>
      </c>
      <c r="H17" s="1406">
        <v>247</v>
      </c>
      <c r="I17" s="1406">
        <v>290</v>
      </c>
      <c r="J17" s="1405">
        <v>326</v>
      </c>
      <c r="K17" s="1282"/>
      <c r="L17" s="1406">
        <f t="shared" si="1"/>
        <v>725</v>
      </c>
    </row>
    <row r="18" spans="1:12" ht="13.5">
      <c r="A18" s="1406">
        <v>750</v>
      </c>
      <c r="B18" s="1405">
        <v>800</v>
      </c>
      <c r="C18" s="4809">
        <v>59</v>
      </c>
      <c r="D18" s="1406">
        <v>264</v>
      </c>
      <c r="E18" s="1406">
        <v>310</v>
      </c>
      <c r="F18" s="1405">
        <v>349</v>
      </c>
      <c r="G18" s="4809">
        <v>59</v>
      </c>
      <c r="H18" s="1406">
        <v>264</v>
      </c>
      <c r="I18" s="1406">
        <v>310</v>
      </c>
      <c r="J18" s="1405">
        <v>349</v>
      </c>
      <c r="K18" s="1282"/>
      <c r="L18" s="1406">
        <f t="shared" si="1"/>
        <v>775</v>
      </c>
    </row>
    <row r="19" spans="1:12" ht="13.5">
      <c r="A19" s="1406">
        <v>800</v>
      </c>
      <c r="B19" s="1405">
        <v>850</v>
      </c>
      <c r="C19" s="4809">
        <v>63</v>
      </c>
      <c r="D19" s="1406">
        <v>281</v>
      </c>
      <c r="E19" s="1406">
        <v>330</v>
      </c>
      <c r="F19" s="1405">
        <v>371</v>
      </c>
      <c r="G19" s="4809">
        <v>63</v>
      </c>
      <c r="H19" s="1406">
        <v>281</v>
      </c>
      <c r="I19" s="1406">
        <v>330</v>
      </c>
      <c r="J19" s="1405">
        <v>371</v>
      </c>
      <c r="K19" s="1282"/>
      <c r="L19" s="1406">
        <f t="shared" si="1"/>
        <v>825</v>
      </c>
    </row>
    <row r="20" spans="1:12" ht="13.5">
      <c r="A20" s="1406">
        <v>850</v>
      </c>
      <c r="B20" s="1405">
        <v>900</v>
      </c>
      <c r="C20" s="4809">
        <v>67</v>
      </c>
      <c r="D20" s="1406">
        <v>298</v>
      </c>
      <c r="E20" s="1406">
        <v>350</v>
      </c>
      <c r="F20" s="1405">
        <v>394</v>
      </c>
      <c r="G20" s="4809">
        <v>67</v>
      </c>
      <c r="H20" s="1406">
        <v>298</v>
      </c>
      <c r="I20" s="1406">
        <v>350</v>
      </c>
      <c r="J20" s="1405">
        <v>394</v>
      </c>
      <c r="K20" s="1282"/>
      <c r="L20" s="1406">
        <f t="shared" si="1"/>
        <v>875</v>
      </c>
    </row>
    <row r="21" spans="1:12" ht="13.5">
      <c r="A21" s="1406">
        <v>900</v>
      </c>
      <c r="B21" s="1405">
        <v>950</v>
      </c>
      <c r="C21" s="4809">
        <v>71</v>
      </c>
      <c r="D21" s="1406">
        <v>315</v>
      </c>
      <c r="E21" s="1406">
        <v>370</v>
      </c>
      <c r="F21" s="1405">
        <v>416</v>
      </c>
      <c r="G21" s="4809">
        <v>71</v>
      </c>
      <c r="H21" s="1406">
        <v>315</v>
      </c>
      <c r="I21" s="1406">
        <v>370</v>
      </c>
      <c r="J21" s="1405">
        <v>416</v>
      </c>
      <c r="K21" s="1282"/>
      <c r="L21" s="1406">
        <f t="shared" si="1"/>
        <v>925</v>
      </c>
    </row>
    <row r="22" spans="1:12" ht="13.5">
      <c r="A22" s="1406">
        <v>950</v>
      </c>
      <c r="B22" s="1405">
        <v>1000</v>
      </c>
      <c r="C22" s="4809">
        <v>75</v>
      </c>
      <c r="D22" s="1406">
        <v>332</v>
      </c>
      <c r="E22" s="1406">
        <v>390</v>
      </c>
      <c r="F22" s="1405">
        <v>439</v>
      </c>
      <c r="G22" s="4809">
        <v>75</v>
      </c>
      <c r="H22" s="1406">
        <v>332</v>
      </c>
      <c r="I22" s="1406">
        <v>390</v>
      </c>
      <c r="J22" s="1405">
        <v>439</v>
      </c>
      <c r="K22" s="1282"/>
      <c r="L22" s="1406">
        <f t="shared" si="1"/>
        <v>975</v>
      </c>
    </row>
    <row r="23" spans="1:12" ht="13.5">
      <c r="A23" s="1406">
        <v>1000</v>
      </c>
      <c r="B23" s="1405">
        <v>1050</v>
      </c>
      <c r="C23" s="4809">
        <v>78</v>
      </c>
      <c r="D23" s="1406">
        <v>349</v>
      </c>
      <c r="E23" s="1406">
        <v>410</v>
      </c>
      <c r="F23" s="1405">
        <v>461</v>
      </c>
      <c r="G23" s="4809">
        <v>78</v>
      </c>
      <c r="H23" s="1406">
        <v>349</v>
      </c>
      <c r="I23" s="1406">
        <v>410</v>
      </c>
      <c r="J23" s="1405">
        <v>461</v>
      </c>
      <c r="K23" s="1282"/>
      <c r="L23" s="1406">
        <f t="shared" si="1"/>
        <v>1025</v>
      </c>
    </row>
    <row r="24" spans="1:12" ht="13.5">
      <c r="A24" s="1406">
        <v>1050</v>
      </c>
      <c r="B24" s="1405">
        <v>1100</v>
      </c>
      <c r="C24" s="4809">
        <v>82</v>
      </c>
      <c r="D24" s="1406">
        <v>366</v>
      </c>
      <c r="E24" s="1406">
        <v>430</v>
      </c>
      <c r="F24" s="1405">
        <v>484</v>
      </c>
      <c r="G24" s="4809">
        <v>82</v>
      </c>
      <c r="H24" s="1406">
        <v>366</v>
      </c>
      <c r="I24" s="1406">
        <v>430</v>
      </c>
      <c r="J24" s="1405">
        <v>484</v>
      </c>
      <c r="K24" s="1282"/>
      <c r="L24" s="1406">
        <f t="shared" si="1"/>
        <v>1075</v>
      </c>
    </row>
    <row r="25" spans="1:12" ht="13.5">
      <c r="A25" s="1406">
        <v>1100</v>
      </c>
      <c r="B25" s="1405">
        <v>1150</v>
      </c>
      <c r="C25" s="4809">
        <v>86</v>
      </c>
      <c r="D25" s="1406">
        <v>383</v>
      </c>
      <c r="E25" s="1406">
        <v>450</v>
      </c>
      <c r="F25" s="1405">
        <v>506</v>
      </c>
      <c r="G25" s="4809">
        <v>86</v>
      </c>
      <c r="H25" s="1406">
        <v>383</v>
      </c>
      <c r="I25" s="1406">
        <v>450</v>
      </c>
      <c r="J25" s="1405">
        <v>506</v>
      </c>
      <c r="K25" s="1282"/>
      <c r="L25" s="1406">
        <f t="shared" si="1"/>
        <v>1125</v>
      </c>
    </row>
    <row r="26" spans="1:12" ht="13.5">
      <c r="A26" s="1406">
        <v>1150</v>
      </c>
      <c r="B26" s="1405">
        <v>1200</v>
      </c>
      <c r="C26" s="4809">
        <v>90</v>
      </c>
      <c r="D26" s="1406">
        <v>400</v>
      </c>
      <c r="E26" s="1406">
        <v>470</v>
      </c>
      <c r="F26" s="1405">
        <v>529</v>
      </c>
      <c r="G26" s="4809">
        <v>90</v>
      </c>
      <c r="H26" s="1406">
        <v>400</v>
      </c>
      <c r="I26" s="1406">
        <v>470</v>
      </c>
      <c r="J26" s="1405">
        <v>529</v>
      </c>
      <c r="K26" s="1282"/>
      <c r="L26" s="1406">
        <f t="shared" si="1"/>
        <v>1175</v>
      </c>
    </row>
    <row r="27" spans="1:12" ht="13.5">
      <c r="A27" s="1406">
        <v>1200</v>
      </c>
      <c r="B27" s="1405">
        <v>1250</v>
      </c>
      <c r="C27" s="4809">
        <v>94</v>
      </c>
      <c r="D27" s="1406">
        <v>417</v>
      </c>
      <c r="E27" s="1406">
        <v>490</v>
      </c>
      <c r="F27" s="1405">
        <v>551</v>
      </c>
      <c r="G27" s="4809">
        <v>94</v>
      </c>
      <c r="H27" s="1406">
        <v>417</v>
      </c>
      <c r="I27" s="1406">
        <v>490</v>
      </c>
      <c r="J27" s="1405">
        <v>551</v>
      </c>
      <c r="K27" s="1282"/>
      <c r="L27" s="1406">
        <f t="shared" si="1"/>
        <v>1225</v>
      </c>
    </row>
    <row r="28" spans="1:12" ht="13.5">
      <c r="A28" s="1406">
        <v>1250</v>
      </c>
      <c r="B28" s="1405">
        <v>1300</v>
      </c>
      <c r="C28" s="4809">
        <v>98</v>
      </c>
      <c r="D28" s="1406">
        <v>434</v>
      </c>
      <c r="E28" s="1406">
        <v>510</v>
      </c>
      <c r="F28" s="1405">
        <v>574</v>
      </c>
      <c r="G28" s="4809">
        <v>98</v>
      </c>
      <c r="H28" s="1406">
        <v>434</v>
      </c>
      <c r="I28" s="1406">
        <v>510</v>
      </c>
      <c r="J28" s="1405">
        <v>574</v>
      </c>
      <c r="K28" s="1282"/>
      <c r="L28" s="1406">
        <f t="shared" si="1"/>
        <v>1275</v>
      </c>
    </row>
    <row r="29" spans="1:12" ht="13.5">
      <c r="A29" s="1406">
        <v>1300</v>
      </c>
      <c r="B29" s="1405">
        <v>1350</v>
      </c>
      <c r="C29" s="4809">
        <v>101</v>
      </c>
      <c r="D29" s="1406">
        <v>451</v>
      </c>
      <c r="E29" s="1406">
        <v>530</v>
      </c>
      <c r="F29" s="1405">
        <v>596</v>
      </c>
      <c r="G29" s="4809">
        <v>101</v>
      </c>
      <c r="H29" s="1406">
        <v>451</v>
      </c>
      <c r="I29" s="1406">
        <v>530</v>
      </c>
      <c r="J29" s="1405">
        <v>596</v>
      </c>
      <c r="K29" s="1282"/>
      <c r="L29" s="1406">
        <f t="shared" si="1"/>
        <v>1325</v>
      </c>
    </row>
    <row r="30" spans="1:12" ht="13.5">
      <c r="A30" s="1406">
        <v>1350</v>
      </c>
      <c r="B30" s="1405">
        <v>1400</v>
      </c>
      <c r="C30" s="4809">
        <v>105</v>
      </c>
      <c r="D30" s="1406">
        <v>468</v>
      </c>
      <c r="E30" s="1406">
        <v>550</v>
      </c>
      <c r="F30" s="1405">
        <v>619</v>
      </c>
      <c r="G30" s="4809">
        <v>105</v>
      </c>
      <c r="H30" s="1406">
        <v>468</v>
      </c>
      <c r="I30" s="1406">
        <v>550</v>
      </c>
      <c r="J30" s="1405">
        <v>619</v>
      </c>
      <c r="K30" s="1282"/>
      <c r="L30" s="1406">
        <f t="shared" si="1"/>
        <v>1375</v>
      </c>
    </row>
    <row r="31" spans="1:12" ht="13.5">
      <c r="A31" s="1406">
        <v>1400</v>
      </c>
      <c r="B31" s="1405">
        <v>1450</v>
      </c>
      <c r="C31" s="4809">
        <v>109</v>
      </c>
      <c r="D31" s="1406">
        <v>485</v>
      </c>
      <c r="E31" s="1406">
        <v>570</v>
      </c>
      <c r="F31" s="1405">
        <v>641</v>
      </c>
      <c r="G31" s="4809">
        <v>109</v>
      </c>
      <c r="H31" s="1406">
        <v>485</v>
      </c>
      <c r="I31" s="1406">
        <v>570</v>
      </c>
      <c r="J31" s="1405">
        <v>641</v>
      </c>
      <c r="K31" s="1282"/>
      <c r="L31" s="1406">
        <f t="shared" si="1"/>
        <v>1425</v>
      </c>
    </row>
    <row r="32" spans="1:12" ht="13.5">
      <c r="A32" s="1406">
        <v>1450</v>
      </c>
      <c r="B32" s="1405">
        <v>1500</v>
      </c>
      <c r="C32" s="4809">
        <v>113</v>
      </c>
      <c r="D32" s="1406">
        <v>502</v>
      </c>
      <c r="E32" s="1406">
        <v>590</v>
      </c>
      <c r="F32" s="1405">
        <v>664</v>
      </c>
      <c r="G32" s="4809">
        <v>113</v>
      </c>
      <c r="H32" s="1406">
        <v>502</v>
      </c>
      <c r="I32" s="1406">
        <v>590</v>
      </c>
      <c r="J32" s="1405">
        <v>664</v>
      </c>
      <c r="K32" s="1282"/>
      <c r="L32" s="1406">
        <f t="shared" si="1"/>
        <v>1475</v>
      </c>
    </row>
    <row r="33" spans="1:12" ht="13.5">
      <c r="A33" s="1406">
        <v>1500</v>
      </c>
      <c r="B33" s="1405">
        <v>1550</v>
      </c>
      <c r="C33" s="4809">
        <v>117</v>
      </c>
      <c r="D33" s="1406">
        <v>519</v>
      </c>
      <c r="E33" s="1406">
        <v>610</v>
      </c>
      <c r="F33" s="1405">
        <v>686</v>
      </c>
      <c r="G33" s="4809">
        <v>117</v>
      </c>
      <c r="H33" s="1406">
        <v>519</v>
      </c>
      <c r="I33" s="1406">
        <v>610</v>
      </c>
      <c r="J33" s="1405">
        <v>686</v>
      </c>
      <c r="K33" s="1282"/>
      <c r="L33" s="1406">
        <f t="shared" si="1"/>
        <v>1525</v>
      </c>
    </row>
    <row r="34" spans="1:12" ht="13.5">
      <c r="A34" s="1406">
        <v>1550</v>
      </c>
      <c r="B34" s="1405">
        <v>1600</v>
      </c>
      <c r="C34" s="4809">
        <v>120</v>
      </c>
      <c r="D34" s="1406">
        <v>536</v>
      </c>
      <c r="E34" s="1406">
        <v>630</v>
      </c>
      <c r="F34" s="1405">
        <v>709</v>
      </c>
      <c r="G34" s="4809">
        <v>120</v>
      </c>
      <c r="H34" s="1406">
        <v>536</v>
      </c>
      <c r="I34" s="1406">
        <v>630</v>
      </c>
      <c r="J34" s="1405">
        <v>709</v>
      </c>
      <c r="K34" s="1282"/>
      <c r="L34" s="1406">
        <f t="shared" si="1"/>
        <v>1575</v>
      </c>
    </row>
    <row r="35" spans="1:12" ht="13.5">
      <c r="A35" s="1406">
        <v>1600</v>
      </c>
      <c r="B35" s="1405">
        <v>1650</v>
      </c>
      <c r="C35" s="4809">
        <v>124</v>
      </c>
      <c r="D35" s="1406">
        <v>553</v>
      </c>
      <c r="E35" s="1406">
        <v>650</v>
      </c>
      <c r="F35" s="1405">
        <v>731</v>
      </c>
      <c r="G35" s="4809">
        <v>124</v>
      </c>
      <c r="H35" s="1406">
        <v>553</v>
      </c>
      <c r="I35" s="1406">
        <v>650</v>
      </c>
      <c r="J35" s="1405">
        <v>731</v>
      </c>
      <c r="K35" s="1282"/>
      <c r="L35" s="1406">
        <f t="shared" si="1"/>
        <v>1625</v>
      </c>
    </row>
    <row r="36" spans="1:12" ht="13.5">
      <c r="A36" s="1406">
        <v>1650</v>
      </c>
      <c r="B36" s="1405">
        <v>1700</v>
      </c>
      <c r="C36" s="4809">
        <v>128</v>
      </c>
      <c r="D36" s="1406">
        <v>570</v>
      </c>
      <c r="E36" s="1406">
        <v>670</v>
      </c>
      <c r="F36" s="1405">
        <v>754</v>
      </c>
      <c r="G36" s="4809">
        <v>128</v>
      </c>
      <c r="H36" s="1406">
        <v>570</v>
      </c>
      <c r="I36" s="1406">
        <v>670</v>
      </c>
      <c r="J36" s="1405">
        <v>754</v>
      </c>
      <c r="K36" s="1282"/>
      <c r="L36" s="1406">
        <f t="shared" si="1"/>
        <v>1675</v>
      </c>
    </row>
    <row r="37" spans="1:12" ht="13.5">
      <c r="A37" s="1406">
        <v>1700</v>
      </c>
      <c r="B37" s="1405">
        <v>1750</v>
      </c>
      <c r="C37" s="4809">
        <v>132</v>
      </c>
      <c r="D37" s="1406">
        <v>587</v>
      </c>
      <c r="E37" s="1406">
        <v>690</v>
      </c>
      <c r="F37" s="1405">
        <v>776</v>
      </c>
      <c r="G37" s="4809">
        <v>132</v>
      </c>
      <c r="H37" s="1406">
        <v>587</v>
      </c>
      <c r="I37" s="1406">
        <v>690</v>
      </c>
      <c r="J37" s="1405">
        <v>776</v>
      </c>
      <c r="K37" s="1282"/>
      <c r="L37" s="1406">
        <f t="shared" si="1"/>
        <v>1725</v>
      </c>
    </row>
    <row r="38" spans="1:12" ht="13.5">
      <c r="A38" s="1406">
        <v>1750</v>
      </c>
      <c r="B38" s="1405">
        <v>1800</v>
      </c>
      <c r="C38" s="4809">
        <v>136</v>
      </c>
      <c r="D38" s="1406">
        <v>604</v>
      </c>
      <c r="E38" s="1406">
        <v>710</v>
      </c>
      <c r="F38" s="1405">
        <v>799</v>
      </c>
      <c r="G38" s="4809">
        <v>136</v>
      </c>
      <c r="H38" s="1406">
        <v>604</v>
      </c>
      <c r="I38" s="1406">
        <v>710</v>
      </c>
      <c r="J38" s="1405">
        <v>799</v>
      </c>
      <c r="K38" s="1282"/>
      <c r="L38" s="1406">
        <f t="shared" si="1"/>
        <v>1775</v>
      </c>
    </row>
    <row r="39" spans="1:12" ht="13.5">
      <c r="A39" s="1406">
        <v>1800</v>
      </c>
      <c r="B39" s="1405">
        <v>1850</v>
      </c>
      <c r="C39" s="4809">
        <v>140</v>
      </c>
      <c r="D39" s="1406">
        <v>621</v>
      </c>
      <c r="E39" s="1406">
        <v>730</v>
      </c>
      <c r="F39" s="1405">
        <v>821</v>
      </c>
      <c r="G39" s="4809">
        <v>140</v>
      </c>
      <c r="H39" s="1406">
        <v>621</v>
      </c>
      <c r="I39" s="1406">
        <v>730</v>
      </c>
      <c r="J39" s="1405">
        <v>821</v>
      </c>
      <c r="K39" s="1282"/>
      <c r="L39" s="1406">
        <f t="shared" si="1"/>
        <v>1825</v>
      </c>
    </row>
    <row r="40" spans="1:12" ht="13.5">
      <c r="A40" s="1406">
        <v>1850</v>
      </c>
      <c r="B40" s="1405">
        <v>1900</v>
      </c>
      <c r="C40" s="4809">
        <v>143</v>
      </c>
      <c r="D40" s="1406">
        <v>638</v>
      </c>
      <c r="E40" s="1406">
        <v>750</v>
      </c>
      <c r="F40" s="1405">
        <v>844</v>
      </c>
      <c r="G40" s="4809">
        <v>143</v>
      </c>
      <c r="H40" s="1406">
        <v>638</v>
      </c>
      <c r="I40" s="1406">
        <v>750</v>
      </c>
      <c r="J40" s="1405">
        <v>844</v>
      </c>
      <c r="K40" s="1282"/>
      <c r="L40" s="1406">
        <f t="shared" si="1"/>
        <v>1875</v>
      </c>
    </row>
    <row r="41" spans="1:12" ht="13.5">
      <c r="A41" s="1406">
        <v>1900</v>
      </c>
      <c r="B41" s="1405">
        <v>1950</v>
      </c>
      <c r="C41" s="4809">
        <v>147</v>
      </c>
      <c r="D41" s="1406">
        <v>655</v>
      </c>
      <c r="E41" s="1406">
        <v>770</v>
      </c>
      <c r="F41" s="1405">
        <v>866</v>
      </c>
      <c r="G41" s="4809">
        <v>147</v>
      </c>
      <c r="H41" s="1406">
        <v>655</v>
      </c>
      <c r="I41" s="1406">
        <v>770</v>
      </c>
      <c r="J41" s="1405">
        <v>866</v>
      </c>
      <c r="K41" s="1282"/>
      <c r="L41" s="1406">
        <f t="shared" si="1"/>
        <v>1925</v>
      </c>
    </row>
    <row r="42" spans="1:12" ht="13.5">
      <c r="A42" s="1406">
        <v>1950</v>
      </c>
      <c r="B42" s="1405">
        <v>2000</v>
      </c>
      <c r="C42" s="4809">
        <v>151</v>
      </c>
      <c r="D42" s="1406">
        <v>672</v>
      </c>
      <c r="E42" s="1406">
        <v>790</v>
      </c>
      <c r="F42" s="1405">
        <v>889</v>
      </c>
      <c r="G42" s="4809">
        <v>151</v>
      </c>
      <c r="H42" s="1406">
        <v>672</v>
      </c>
      <c r="I42" s="1406">
        <v>790</v>
      </c>
      <c r="J42" s="1405">
        <v>889</v>
      </c>
      <c r="K42" s="1282"/>
      <c r="L42" s="1406">
        <f t="shared" si="1"/>
        <v>1975</v>
      </c>
    </row>
    <row r="43" spans="1:12" ht="13.5">
      <c r="A43" s="1406">
        <v>2000</v>
      </c>
      <c r="B43" s="1405">
        <v>2050</v>
      </c>
      <c r="C43" s="4809">
        <v>155</v>
      </c>
      <c r="D43" s="1406">
        <v>689</v>
      </c>
      <c r="E43" s="1406">
        <v>810</v>
      </c>
      <c r="F43" s="1405">
        <v>911</v>
      </c>
      <c r="G43" s="4809">
        <v>155</v>
      </c>
      <c r="H43" s="1406">
        <v>689</v>
      </c>
      <c r="I43" s="1406">
        <v>810</v>
      </c>
      <c r="J43" s="1405">
        <v>911</v>
      </c>
      <c r="K43" s="1282"/>
      <c r="L43" s="1406">
        <f t="shared" si="1"/>
        <v>2025</v>
      </c>
    </row>
    <row r="44" spans="1:12" ht="13.5">
      <c r="A44" s="1406">
        <v>2050</v>
      </c>
      <c r="B44" s="1405">
        <v>2100</v>
      </c>
      <c r="C44" s="4809">
        <v>159</v>
      </c>
      <c r="D44" s="1406">
        <v>706</v>
      </c>
      <c r="E44" s="1406">
        <v>830</v>
      </c>
      <c r="F44" s="1405">
        <v>934</v>
      </c>
      <c r="G44" s="4809">
        <v>159</v>
      </c>
      <c r="H44" s="1406">
        <v>706</v>
      </c>
      <c r="I44" s="1406">
        <v>830</v>
      </c>
      <c r="J44" s="1405">
        <v>934</v>
      </c>
      <c r="K44" s="1282"/>
      <c r="L44" s="1406">
        <f t="shared" si="1"/>
        <v>2075</v>
      </c>
    </row>
    <row r="45" spans="1:12" ht="13.5">
      <c r="A45" s="1406">
        <v>2100</v>
      </c>
      <c r="B45" s="1405">
        <v>2150</v>
      </c>
      <c r="C45" s="4809">
        <v>163</v>
      </c>
      <c r="D45" s="1406">
        <v>723</v>
      </c>
      <c r="E45" s="1406">
        <v>850</v>
      </c>
      <c r="F45" s="1405">
        <v>956</v>
      </c>
      <c r="G45" s="4809">
        <v>163</v>
      </c>
      <c r="H45" s="1406">
        <v>723</v>
      </c>
      <c r="I45" s="1406">
        <v>850</v>
      </c>
      <c r="J45" s="1405">
        <v>956</v>
      </c>
      <c r="K45" s="1282"/>
      <c r="L45" s="1406">
        <f t="shared" si="1"/>
        <v>2125</v>
      </c>
    </row>
    <row r="46" spans="1:12" ht="13.5">
      <c r="A46" s="1406">
        <v>2150</v>
      </c>
      <c r="B46" s="1405">
        <v>2200</v>
      </c>
      <c r="C46" s="4809">
        <v>166</v>
      </c>
      <c r="D46" s="1406">
        <v>740</v>
      </c>
      <c r="E46" s="1406">
        <v>870</v>
      </c>
      <c r="F46" s="1405">
        <v>979</v>
      </c>
      <c r="G46" s="4809">
        <v>166</v>
      </c>
      <c r="H46" s="1406">
        <v>740</v>
      </c>
      <c r="I46" s="1406">
        <v>870</v>
      </c>
      <c r="J46" s="1405">
        <v>979</v>
      </c>
      <c r="K46" s="1282"/>
      <c r="L46" s="1406">
        <f t="shared" si="1"/>
        <v>2175</v>
      </c>
    </row>
    <row r="47" spans="1:12" ht="13.5">
      <c r="A47" s="1406">
        <v>2200</v>
      </c>
      <c r="B47" s="1405">
        <v>2250</v>
      </c>
      <c r="C47" s="4809">
        <v>170</v>
      </c>
      <c r="D47" s="1406">
        <v>757</v>
      </c>
      <c r="E47" s="1406">
        <v>890</v>
      </c>
      <c r="F47" s="1405">
        <v>1001</v>
      </c>
      <c r="G47" s="4809">
        <v>170</v>
      </c>
      <c r="H47" s="1406">
        <v>757</v>
      </c>
      <c r="I47" s="1406">
        <v>890</v>
      </c>
      <c r="J47" s="1405">
        <v>1001</v>
      </c>
      <c r="K47" s="1282"/>
      <c r="L47" s="1406">
        <f t="shared" si="1"/>
        <v>2225</v>
      </c>
    </row>
    <row r="48" spans="1:12" ht="13.5">
      <c r="A48" s="1406">
        <v>2250</v>
      </c>
      <c r="B48" s="1405">
        <v>2300</v>
      </c>
      <c r="C48" s="4809">
        <v>174</v>
      </c>
      <c r="D48" s="1406">
        <v>774</v>
      </c>
      <c r="E48" s="1406">
        <v>910</v>
      </c>
      <c r="F48" s="1405">
        <v>1024</v>
      </c>
      <c r="G48" s="4809">
        <v>174</v>
      </c>
      <c r="H48" s="1406">
        <v>774</v>
      </c>
      <c r="I48" s="1406">
        <v>910</v>
      </c>
      <c r="J48" s="1405">
        <v>1024</v>
      </c>
      <c r="K48" s="1282"/>
      <c r="L48" s="1406">
        <f t="shared" si="1"/>
        <v>2275</v>
      </c>
    </row>
    <row r="49" spans="1:12" ht="13.5">
      <c r="A49" s="1406">
        <v>2300</v>
      </c>
      <c r="B49" s="1405">
        <v>2350</v>
      </c>
      <c r="C49" s="4809">
        <v>178</v>
      </c>
      <c r="D49" s="1406">
        <v>791</v>
      </c>
      <c r="E49" s="1406">
        <v>930</v>
      </c>
      <c r="F49" s="1405">
        <v>1046</v>
      </c>
      <c r="G49" s="4809">
        <v>178</v>
      </c>
      <c r="H49" s="1406">
        <v>791</v>
      </c>
      <c r="I49" s="1406">
        <v>930</v>
      </c>
      <c r="J49" s="1405">
        <v>1046</v>
      </c>
      <c r="K49" s="1282"/>
      <c r="L49" s="1406">
        <f t="shared" si="1"/>
        <v>2325</v>
      </c>
    </row>
    <row r="50" spans="1:12" ht="13.5">
      <c r="A50" s="1406">
        <v>2350</v>
      </c>
      <c r="B50" s="1405">
        <v>2400</v>
      </c>
      <c r="C50" s="4809">
        <v>182</v>
      </c>
      <c r="D50" s="1406">
        <v>808</v>
      </c>
      <c r="E50" s="1406">
        <v>950</v>
      </c>
      <c r="F50" s="1405">
        <v>1069</v>
      </c>
      <c r="G50" s="4809">
        <v>182</v>
      </c>
      <c r="H50" s="1406">
        <v>808</v>
      </c>
      <c r="I50" s="1406">
        <v>950</v>
      </c>
      <c r="J50" s="1405">
        <v>1069</v>
      </c>
      <c r="K50" s="1282"/>
      <c r="L50" s="1406">
        <f t="shared" si="1"/>
        <v>2375</v>
      </c>
    </row>
    <row r="51" spans="1:12" ht="13.5">
      <c r="A51" s="1406">
        <v>2400</v>
      </c>
      <c r="B51" s="1405">
        <v>2450</v>
      </c>
      <c r="C51" s="4809">
        <v>186</v>
      </c>
      <c r="D51" s="1406">
        <v>825</v>
      </c>
      <c r="E51" s="1406">
        <v>970</v>
      </c>
      <c r="F51" s="1405">
        <v>1091</v>
      </c>
      <c r="G51" s="4809">
        <v>186</v>
      </c>
      <c r="H51" s="1406">
        <v>825</v>
      </c>
      <c r="I51" s="1406">
        <v>970</v>
      </c>
      <c r="J51" s="1405">
        <v>1091</v>
      </c>
      <c r="K51" s="1282"/>
      <c r="L51" s="1406">
        <f t="shared" si="1"/>
        <v>2425</v>
      </c>
    </row>
    <row r="52" spans="1:12" ht="13.5">
      <c r="A52" s="1406">
        <v>2450</v>
      </c>
      <c r="B52" s="1405">
        <v>2500</v>
      </c>
      <c r="C52" s="4809">
        <v>189</v>
      </c>
      <c r="D52" s="1406">
        <v>842</v>
      </c>
      <c r="E52" s="1406">
        <v>990</v>
      </c>
      <c r="F52" s="1405">
        <v>1114</v>
      </c>
      <c r="G52" s="4809">
        <v>189</v>
      </c>
      <c r="H52" s="1406">
        <v>842</v>
      </c>
      <c r="I52" s="1406">
        <v>990</v>
      </c>
      <c r="J52" s="1405">
        <v>1114</v>
      </c>
      <c r="K52" s="1282"/>
      <c r="L52" s="1406">
        <f t="shared" si="1"/>
        <v>2475</v>
      </c>
    </row>
    <row r="53" spans="1:12" ht="13.5">
      <c r="A53" s="1406">
        <v>2500</v>
      </c>
      <c r="B53" s="1405">
        <v>2550</v>
      </c>
      <c r="C53" s="4809">
        <v>193</v>
      </c>
      <c r="D53" s="1406">
        <v>859</v>
      </c>
      <c r="E53" s="1406">
        <v>1010</v>
      </c>
      <c r="F53" s="1405">
        <v>1136</v>
      </c>
      <c r="G53" s="4809">
        <v>193</v>
      </c>
      <c r="H53" s="1406">
        <v>859</v>
      </c>
      <c r="I53" s="1406">
        <v>1010</v>
      </c>
      <c r="J53" s="1405">
        <v>1136</v>
      </c>
      <c r="K53" s="1282"/>
      <c r="L53" s="1406">
        <f t="shared" si="1"/>
        <v>2525</v>
      </c>
    </row>
    <row r="54" spans="1:12" ht="13.5">
      <c r="A54" s="1406">
        <v>2550</v>
      </c>
      <c r="B54" s="1405">
        <v>2600</v>
      </c>
      <c r="C54" s="4809">
        <v>197</v>
      </c>
      <c r="D54" s="1406">
        <v>876</v>
      </c>
      <c r="E54" s="1406">
        <v>1030</v>
      </c>
      <c r="F54" s="1405">
        <v>1159</v>
      </c>
      <c r="G54" s="4809">
        <v>197</v>
      </c>
      <c r="H54" s="1406">
        <v>876</v>
      </c>
      <c r="I54" s="1406">
        <v>1030</v>
      </c>
      <c r="J54" s="1405">
        <v>1159</v>
      </c>
      <c r="K54" s="1282"/>
      <c r="L54" s="1406">
        <f t="shared" si="1"/>
        <v>2575</v>
      </c>
    </row>
    <row r="55" spans="1:12" ht="13.5">
      <c r="A55" s="1406">
        <v>2600</v>
      </c>
      <c r="B55" s="1405">
        <v>2650</v>
      </c>
      <c r="C55" s="4809">
        <v>201</v>
      </c>
      <c r="D55" s="1406">
        <v>893</v>
      </c>
      <c r="E55" s="1406">
        <v>1050</v>
      </c>
      <c r="F55" s="1405">
        <v>1181</v>
      </c>
      <c r="G55" s="4809">
        <v>201</v>
      </c>
      <c r="H55" s="1406">
        <v>893</v>
      </c>
      <c r="I55" s="1406">
        <v>1050</v>
      </c>
      <c r="J55" s="1405">
        <v>1181</v>
      </c>
      <c r="K55" s="1282"/>
      <c r="L55" s="1406">
        <f t="shared" si="1"/>
        <v>2625</v>
      </c>
    </row>
    <row r="56" spans="1:12" ht="13.5">
      <c r="A56" s="1406">
        <v>2650</v>
      </c>
      <c r="B56" s="1405">
        <v>2700</v>
      </c>
      <c r="C56" s="4809">
        <v>205</v>
      </c>
      <c r="D56" s="1406">
        <v>910</v>
      </c>
      <c r="E56" s="1406">
        <v>1070</v>
      </c>
      <c r="F56" s="1405">
        <v>1204</v>
      </c>
      <c r="G56" s="4809">
        <v>205</v>
      </c>
      <c r="H56" s="1406">
        <v>910</v>
      </c>
      <c r="I56" s="1406">
        <v>1070</v>
      </c>
      <c r="J56" s="1405">
        <v>1204</v>
      </c>
      <c r="K56" s="1282"/>
      <c r="L56" s="1406">
        <f t="shared" si="1"/>
        <v>2675</v>
      </c>
    </row>
    <row r="57" spans="1:12" ht="13.5">
      <c r="A57" s="1406">
        <v>2700</v>
      </c>
      <c r="B57" s="1405">
        <v>2750</v>
      </c>
      <c r="C57" s="4809">
        <v>208</v>
      </c>
      <c r="D57" s="1406">
        <v>927</v>
      </c>
      <c r="E57" s="1406">
        <v>1090</v>
      </c>
      <c r="F57" s="1405">
        <v>1226</v>
      </c>
      <c r="G57" s="4809">
        <v>208</v>
      </c>
      <c r="H57" s="1406">
        <v>927</v>
      </c>
      <c r="I57" s="1406">
        <v>1090</v>
      </c>
      <c r="J57" s="1405">
        <v>1226</v>
      </c>
      <c r="K57" s="1282"/>
      <c r="L57" s="1406">
        <f t="shared" si="1"/>
        <v>2725</v>
      </c>
    </row>
    <row r="58" spans="1:12" ht="13.5">
      <c r="A58" s="1406">
        <v>2750</v>
      </c>
      <c r="B58" s="1405">
        <v>2800</v>
      </c>
      <c r="C58" s="4809">
        <v>212</v>
      </c>
      <c r="D58" s="1406">
        <v>944</v>
      </c>
      <c r="E58" s="1406">
        <v>1110</v>
      </c>
      <c r="F58" s="1405">
        <v>1249</v>
      </c>
      <c r="G58" s="4809">
        <v>212</v>
      </c>
      <c r="H58" s="1406">
        <v>944</v>
      </c>
      <c r="I58" s="1406">
        <v>1110</v>
      </c>
      <c r="J58" s="1405">
        <v>1249</v>
      </c>
      <c r="K58" s="1282"/>
      <c r="L58" s="1406">
        <f t="shared" si="1"/>
        <v>2775</v>
      </c>
    </row>
    <row r="59" spans="1:12" ht="13.5">
      <c r="A59" s="1406">
        <v>2800</v>
      </c>
      <c r="B59" s="1405">
        <v>2850</v>
      </c>
      <c r="C59" s="4809">
        <v>216</v>
      </c>
      <c r="D59" s="1406">
        <v>961</v>
      </c>
      <c r="E59" s="1406">
        <v>1130</v>
      </c>
      <c r="F59" s="1405">
        <v>1271</v>
      </c>
      <c r="G59" s="4809">
        <v>216</v>
      </c>
      <c r="H59" s="1406">
        <v>961</v>
      </c>
      <c r="I59" s="1406">
        <v>1130</v>
      </c>
      <c r="J59" s="1405">
        <v>1271</v>
      </c>
      <c r="K59" s="1282"/>
      <c r="L59" s="1406">
        <f t="shared" si="1"/>
        <v>2825</v>
      </c>
    </row>
    <row r="60" spans="1:12" ht="13.5">
      <c r="A60" s="1406">
        <v>2850</v>
      </c>
      <c r="B60" s="1405">
        <v>2900</v>
      </c>
      <c r="C60" s="4809">
        <v>220</v>
      </c>
      <c r="D60" s="1406">
        <v>978</v>
      </c>
      <c r="E60" s="1406">
        <v>1150</v>
      </c>
      <c r="F60" s="1405">
        <v>1294</v>
      </c>
      <c r="G60" s="4809">
        <v>220</v>
      </c>
      <c r="H60" s="1406">
        <v>978</v>
      </c>
      <c r="I60" s="1406">
        <v>1150</v>
      </c>
      <c r="J60" s="1405">
        <v>1294</v>
      </c>
      <c r="K60" s="1282"/>
      <c r="L60" s="1406">
        <f t="shared" si="1"/>
        <v>2875</v>
      </c>
    </row>
    <row r="61" spans="1:12" ht="13.5">
      <c r="A61" s="1406">
        <v>2900</v>
      </c>
      <c r="B61" s="1405">
        <v>2950</v>
      </c>
      <c r="C61" s="4809">
        <v>224</v>
      </c>
      <c r="D61" s="1406">
        <v>995</v>
      </c>
      <c r="E61" s="1406">
        <v>1170</v>
      </c>
      <c r="F61" s="1405">
        <v>1316</v>
      </c>
      <c r="G61" s="4809">
        <v>224</v>
      </c>
      <c r="H61" s="1406">
        <v>995</v>
      </c>
      <c r="I61" s="1406">
        <v>1170</v>
      </c>
      <c r="J61" s="1405">
        <v>1316</v>
      </c>
      <c r="K61" s="1282"/>
      <c r="L61" s="1406">
        <f t="shared" si="1"/>
        <v>2925</v>
      </c>
    </row>
    <row r="62" spans="1:12" ht="13.5">
      <c r="A62" s="1406">
        <v>2950</v>
      </c>
      <c r="B62" s="1405">
        <v>3000</v>
      </c>
      <c r="C62" s="4809">
        <v>228</v>
      </c>
      <c r="D62" s="1406">
        <v>1012</v>
      </c>
      <c r="E62" s="1406">
        <v>1190</v>
      </c>
      <c r="F62" s="1405">
        <v>1339</v>
      </c>
      <c r="G62" s="4809">
        <v>228</v>
      </c>
      <c r="H62" s="1406">
        <v>1012</v>
      </c>
      <c r="I62" s="1406">
        <v>1190</v>
      </c>
      <c r="J62" s="1405">
        <v>1339</v>
      </c>
      <c r="K62" s="1282"/>
      <c r="L62" s="1406">
        <f t="shared" si="1"/>
        <v>2975</v>
      </c>
    </row>
    <row r="63" spans="1:12" ht="13.5">
      <c r="A63" s="1406">
        <v>3000</v>
      </c>
      <c r="B63" s="1405">
        <v>3050</v>
      </c>
      <c r="C63" s="4809">
        <v>231</v>
      </c>
      <c r="D63" s="1406">
        <v>1029</v>
      </c>
      <c r="E63" s="1406">
        <v>1210</v>
      </c>
      <c r="F63" s="1405">
        <v>1361</v>
      </c>
      <c r="G63" s="4809">
        <v>231</v>
      </c>
      <c r="H63" s="1406">
        <v>1029</v>
      </c>
      <c r="I63" s="1406">
        <v>1210</v>
      </c>
      <c r="J63" s="1405">
        <v>1361</v>
      </c>
      <c r="K63" s="1282"/>
      <c r="L63" s="1406">
        <f t="shared" si="1"/>
        <v>3025</v>
      </c>
    </row>
    <row r="64" spans="1:12" ht="13.5">
      <c r="A64" s="1406">
        <v>3050</v>
      </c>
      <c r="B64" s="1405">
        <v>3100</v>
      </c>
      <c r="C64" s="4809">
        <v>235</v>
      </c>
      <c r="D64" s="1406">
        <v>1046</v>
      </c>
      <c r="E64" s="1406">
        <v>1230</v>
      </c>
      <c r="F64" s="1405">
        <v>1384</v>
      </c>
      <c r="G64" s="4809">
        <v>235</v>
      </c>
      <c r="H64" s="1406">
        <v>1046</v>
      </c>
      <c r="I64" s="1406">
        <v>1230</v>
      </c>
      <c r="J64" s="1405">
        <v>1384</v>
      </c>
      <c r="K64" s="1282"/>
      <c r="L64" s="1406">
        <f t="shared" si="1"/>
        <v>3075</v>
      </c>
    </row>
    <row r="65" spans="1:12" ht="13.5">
      <c r="A65" s="1406">
        <v>3100</v>
      </c>
      <c r="B65" s="1405">
        <v>3150</v>
      </c>
      <c r="C65" s="4809">
        <v>239</v>
      </c>
      <c r="D65" s="1406">
        <v>1063</v>
      </c>
      <c r="E65" s="1406">
        <v>1250</v>
      </c>
      <c r="F65" s="1405">
        <v>1406</v>
      </c>
      <c r="G65" s="4809">
        <v>239</v>
      </c>
      <c r="H65" s="1406">
        <v>1063</v>
      </c>
      <c r="I65" s="1406">
        <v>1250</v>
      </c>
      <c r="J65" s="1405">
        <v>1406</v>
      </c>
      <c r="K65" s="1282"/>
      <c r="L65" s="1406">
        <f t="shared" si="1"/>
        <v>3125</v>
      </c>
    </row>
    <row r="66" spans="1:12" ht="13.5">
      <c r="A66" s="1406">
        <v>3150</v>
      </c>
      <c r="B66" s="1405">
        <v>3200</v>
      </c>
      <c r="C66" s="4809">
        <v>243</v>
      </c>
      <c r="D66" s="1406">
        <v>1080</v>
      </c>
      <c r="E66" s="1406">
        <v>1270</v>
      </c>
      <c r="F66" s="1405">
        <v>1429</v>
      </c>
      <c r="G66" s="4809">
        <v>243</v>
      </c>
      <c r="H66" s="1406">
        <v>1080</v>
      </c>
      <c r="I66" s="1406">
        <v>1270</v>
      </c>
      <c r="J66" s="1405">
        <v>1429</v>
      </c>
      <c r="K66" s="1282"/>
      <c r="L66" s="1406">
        <f t="shared" si="1"/>
        <v>3175</v>
      </c>
    </row>
    <row r="67" spans="1:12" ht="13.5">
      <c r="A67" s="1406">
        <v>3200</v>
      </c>
      <c r="B67" s="1405">
        <v>3250</v>
      </c>
      <c r="C67" s="4809">
        <v>247</v>
      </c>
      <c r="D67" s="1406">
        <v>1097</v>
      </c>
      <c r="E67" s="1406">
        <v>1290</v>
      </c>
      <c r="F67" s="1405">
        <v>1451</v>
      </c>
      <c r="G67" s="4809">
        <v>247</v>
      </c>
      <c r="H67" s="1406">
        <v>1097</v>
      </c>
      <c r="I67" s="1406">
        <v>1290</v>
      </c>
      <c r="J67" s="1405">
        <v>1451</v>
      </c>
      <c r="K67" s="1282"/>
      <c r="L67" s="1406">
        <f t="shared" si="1"/>
        <v>3225</v>
      </c>
    </row>
    <row r="68" spans="1:12" ht="13.5">
      <c r="A68" s="1406">
        <v>3250</v>
      </c>
      <c r="B68" s="1405">
        <v>3300</v>
      </c>
      <c r="C68" s="4809">
        <v>251</v>
      </c>
      <c r="D68" s="1406">
        <v>1114</v>
      </c>
      <c r="E68" s="1406">
        <v>1310</v>
      </c>
      <c r="F68" s="1405">
        <v>1474</v>
      </c>
      <c r="G68" s="4809">
        <v>251</v>
      </c>
      <c r="H68" s="1406">
        <v>1114</v>
      </c>
      <c r="I68" s="1406">
        <v>1310</v>
      </c>
      <c r="J68" s="1405">
        <v>1474</v>
      </c>
      <c r="K68" s="1282"/>
      <c r="L68" s="1406">
        <f t="shared" ref="L68:L131" si="3">ROUND((A68+B68)/2,2)</f>
        <v>3275</v>
      </c>
    </row>
    <row r="69" spans="1:12" ht="13.5">
      <c r="A69" s="1406">
        <v>3300</v>
      </c>
      <c r="B69" s="1405">
        <v>3350</v>
      </c>
      <c r="C69" s="4809">
        <v>254</v>
      </c>
      <c r="D69" s="1406">
        <v>1131</v>
      </c>
      <c r="E69" s="1406">
        <v>1330</v>
      </c>
      <c r="F69" s="1405">
        <v>1496</v>
      </c>
      <c r="G69" s="4809">
        <v>254</v>
      </c>
      <c r="H69" s="1406">
        <v>1131</v>
      </c>
      <c r="I69" s="1406">
        <v>1330</v>
      </c>
      <c r="J69" s="1405">
        <v>1496</v>
      </c>
      <c r="K69" s="1282"/>
      <c r="L69" s="1406">
        <f t="shared" si="3"/>
        <v>3325</v>
      </c>
    </row>
    <row r="70" spans="1:12" ht="13.5">
      <c r="A70" s="1406">
        <v>3350</v>
      </c>
      <c r="B70" s="1405">
        <v>3400</v>
      </c>
      <c r="C70" s="4809">
        <v>258</v>
      </c>
      <c r="D70" s="1406">
        <v>1148</v>
      </c>
      <c r="E70" s="1406">
        <v>1350</v>
      </c>
      <c r="F70" s="1405">
        <v>1519</v>
      </c>
      <c r="G70" s="4809">
        <v>258</v>
      </c>
      <c r="H70" s="1406">
        <v>1148</v>
      </c>
      <c r="I70" s="1406">
        <v>1350</v>
      </c>
      <c r="J70" s="1405">
        <v>1519</v>
      </c>
      <c r="K70" s="1282"/>
      <c r="L70" s="1406">
        <f t="shared" si="3"/>
        <v>3375</v>
      </c>
    </row>
    <row r="71" spans="1:12" ht="13.5">
      <c r="A71" s="1406">
        <v>3400</v>
      </c>
      <c r="B71" s="1405">
        <v>3450</v>
      </c>
      <c r="C71" s="4809">
        <v>262</v>
      </c>
      <c r="D71" s="1406">
        <v>1165</v>
      </c>
      <c r="E71" s="1406">
        <v>1370</v>
      </c>
      <c r="F71" s="1405">
        <v>1541</v>
      </c>
      <c r="G71" s="4809">
        <v>262</v>
      </c>
      <c r="H71" s="1406">
        <v>1165</v>
      </c>
      <c r="I71" s="1406">
        <v>1370</v>
      </c>
      <c r="J71" s="1405">
        <v>1541</v>
      </c>
      <c r="K71" s="1282"/>
      <c r="L71" s="1406">
        <f t="shared" si="3"/>
        <v>3425</v>
      </c>
    </row>
    <row r="72" spans="1:12" ht="13.5">
      <c r="A72" s="1406">
        <v>3450</v>
      </c>
      <c r="B72" s="1405">
        <v>3500</v>
      </c>
      <c r="C72" s="4809">
        <v>266</v>
      </c>
      <c r="D72" s="1406">
        <v>1182</v>
      </c>
      <c r="E72" s="1406">
        <v>1390</v>
      </c>
      <c r="F72" s="1405">
        <v>1564</v>
      </c>
      <c r="G72" s="4809">
        <v>266</v>
      </c>
      <c r="H72" s="1406">
        <v>1182</v>
      </c>
      <c r="I72" s="1406">
        <v>1390</v>
      </c>
      <c r="J72" s="1405">
        <v>1564</v>
      </c>
      <c r="K72" s="1282"/>
      <c r="L72" s="1406">
        <f t="shared" si="3"/>
        <v>3475</v>
      </c>
    </row>
    <row r="73" spans="1:12" ht="13.5">
      <c r="A73" s="1406">
        <v>3500</v>
      </c>
      <c r="B73" s="1405">
        <v>3550</v>
      </c>
      <c r="C73" s="4809">
        <v>270</v>
      </c>
      <c r="D73" s="1406">
        <v>1199</v>
      </c>
      <c r="E73" s="1406">
        <v>1410</v>
      </c>
      <c r="F73" s="1405">
        <v>1586</v>
      </c>
      <c r="G73" s="4809">
        <v>270</v>
      </c>
      <c r="H73" s="1406">
        <v>1199</v>
      </c>
      <c r="I73" s="1406">
        <v>1410</v>
      </c>
      <c r="J73" s="1405">
        <v>1586</v>
      </c>
      <c r="K73" s="1282"/>
      <c r="L73" s="1406">
        <f t="shared" si="3"/>
        <v>3525</v>
      </c>
    </row>
    <row r="74" spans="1:12" ht="13.5">
      <c r="A74" s="1406">
        <v>3550</v>
      </c>
      <c r="B74" s="1405">
        <v>3600</v>
      </c>
      <c r="C74" s="4809">
        <v>273</v>
      </c>
      <c r="D74" s="1406">
        <v>1216</v>
      </c>
      <c r="E74" s="1406">
        <v>1430</v>
      </c>
      <c r="F74" s="1405">
        <v>1609</v>
      </c>
      <c r="G74" s="4809">
        <v>273</v>
      </c>
      <c r="H74" s="1406">
        <v>1216</v>
      </c>
      <c r="I74" s="1406">
        <v>1430</v>
      </c>
      <c r="J74" s="1405">
        <v>1609</v>
      </c>
      <c r="K74" s="1282"/>
      <c r="L74" s="1406">
        <f t="shared" si="3"/>
        <v>3575</v>
      </c>
    </row>
    <row r="75" spans="1:12" ht="13.5">
      <c r="A75" s="1406">
        <v>3600</v>
      </c>
      <c r="B75" s="1405">
        <v>3650</v>
      </c>
      <c r="C75" s="4809">
        <v>277</v>
      </c>
      <c r="D75" s="1406">
        <v>1233</v>
      </c>
      <c r="E75" s="1406">
        <v>1450</v>
      </c>
      <c r="F75" s="1405">
        <v>1631</v>
      </c>
      <c r="G75" s="4809">
        <v>277</v>
      </c>
      <c r="H75" s="1406">
        <v>1233</v>
      </c>
      <c r="I75" s="1406">
        <v>1450</v>
      </c>
      <c r="J75" s="1405">
        <v>1631</v>
      </c>
      <c r="K75" s="1282"/>
      <c r="L75" s="1406">
        <f t="shared" si="3"/>
        <v>3625</v>
      </c>
    </row>
    <row r="76" spans="1:12" ht="13.5">
      <c r="A76" s="1406">
        <v>3650</v>
      </c>
      <c r="B76" s="1405">
        <v>3700</v>
      </c>
      <c r="C76" s="4809">
        <v>281</v>
      </c>
      <c r="D76" s="1406">
        <v>1250</v>
      </c>
      <c r="E76" s="1406">
        <v>1470</v>
      </c>
      <c r="F76" s="1405">
        <v>1654</v>
      </c>
      <c r="G76" s="4809">
        <v>281</v>
      </c>
      <c r="H76" s="1406">
        <v>1250</v>
      </c>
      <c r="I76" s="1406">
        <v>1470</v>
      </c>
      <c r="J76" s="1405">
        <v>1654</v>
      </c>
      <c r="K76" s="1282"/>
      <c r="L76" s="1406">
        <f t="shared" si="3"/>
        <v>3675</v>
      </c>
    </row>
    <row r="77" spans="1:12" ht="13.5">
      <c r="A77" s="1406">
        <v>3700</v>
      </c>
      <c r="B77" s="1405">
        <v>3750</v>
      </c>
      <c r="C77" s="4809">
        <v>285</v>
      </c>
      <c r="D77" s="1406">
        <v>1267</v>
      </c>
      <c r="E77" s="1406">
        <v>1490</v>
      </c>
      <c r="F77" s="1405">
        <v>1676</v>
      </c>
      <c r="G77" s="4809">
        <v>285</v>
      </c>
      <c r="H77" s="1406">
        <v>1267</v>
      </c>
      <c r="I77" s="1406">
        <v>1490</v>
      </c>
      <c r="J77" s="1405">
        <v>1676</v>
      </c>
      <c r="K77" s="1282"/>
      <c r="L77" s="1406">
        <f t="shared" si="3"/>
        <v>3725</v>
      </c>
    </row>
    <row r="78" spans="1:12" ht="13.5">
      <c r="A78" s="1406">
        <v>3750</v>
      </c>
      <c r="B78" s="1405">
        <v>3800</v>
      </c>
      <c r="C78" s="4809">
        <v>289</v>
      </c>
      <c r="D78" s="1406">
        <v>1284</v>
      </c>
      <c r="E78" s="1406">
        <v>1510</v>
      </c>
      <c r="F78" s="1405">
        <v>1699</v>
      </c>
      <c r="G78" s="4809">
        <v>289</v>
      </c>
      <c r="H78" s="1406">
        <v>1284</v>
      </c>
      <c r="I78" s="1406">
        <v>1510</v>
      </c>
      <c r="J78" s="1405">
        <v>1699</v>
      </c>
      <c r="K78" s="1282"/>
      <c r="L78" s="1406">
        <f t="shared" si="3"/>
        <v>3775</v>
      </c>
    </row>
    <row r="79" spans="1:12" ht="13.5">
      <c r="A79" s="1406">
        <v>3800</v>
      </c>
      <c r="B79" s="1405">
        <v>3850</v>
      </c>
      <c r="C79" s="4809">
        <v>293</v>
      </c>
      <c r="D79" s="1406">
        <v>1301</v>
      </c>
      <c r="E79" s="1406">
        <v>1530</v>
      </c>
      <c r="F79" s="1405">
        <v>1721</v>
      </c>
      <c r="G79" s="4809">
        <v>293</v>
      </c>
      <c r="H79" s="1406">
        <v>1301</v>
      </c>
      <c r="I79" s="1406">
        <v>1530</v>
      </c>
      <c r="J79" s="1405">
        <v>1721</v>
      </c>
      <c r="K79" s="1282"/>
      <c r="L79" s="1406">
        <f t="shared" si="3"/>
        <v>3825</v>
      </c>
    </row>
    <row r="80" spans="1:12" ht="13.5">
      <c r="A80" s="1406">
        <v>3850</v>
      </c>
      <c r="B80" s="1405">
        <v>3900</v>
      </c>
      <c r="C80" s="4809">
        <v>296</v>
      </c>
      <c r="D80" s="1406">
        <v>1318</v>
      </c>
      <c r="E80" s="1406">
        <v>1550</v>
      </c>
      <c r="F80" s="1405">
        <v>1744</v>
      </c>
      <c r="G80" s="4809">
        <v>296</v>
      </c>
      <c r="H80" s="1406">
        <v>1318</v>
      </c>
      <c r="I80" s="1406">
        <v>1550</v>
      </c>
      <c r="J80" s="1405">
        <v>1744</v>
      </c>
      <c r="K80" s="1282"/>
      <c r="L80" s="1406">
        <f t="shared" si="3"/>
        <v>3875</v>
      </c>
    </row>
    <row r="81" spans="1:12" ht="13.5">
      <c r="A81" s="1406">
        <v>3900</v>
      </c>
      <c r="B81" s="1405">
        <v>3950</v>
      </c>
      <c r="C81" s="4809">
        <v>300</v>
      </c>
      <c r="D81" s="1406">
        <v>1335</v>
      </c>
      <c r="E81" s="1406">
        <v>1570</v>
      </c>
      <c r="F81" s="1405">
        <v>1766</v>
      </c>
      <c r="G81" s="4809">
        <v>300</v>
      </c>
      <c r="H81" s="1406">
        <v>1335</v>
      </c>
      <c r="I81" s="1406">
        <v>1570</v>
      </c>
      <c r="J81" s="1405">
        <v>1766</v>
      </c>
      <c r="K81" s="1282"/>
      <c r="L81" s="1406">
        <f t="shared" si="3"/>
        <v>3925</v>
      </c>
    </row>
    <row r="82" spans="1:12" ht="13.5">
      <c r="A82" s="1406">
        <v>3950</v>
      </c>
      <c r="B82" s="1405">
        <v>4000</v>
      </c>
      <c r="C82" s="4809">
        <v>304</v>
      </c>
      <c r="D82" s="1406">
        <v>1352</v>
      </c>
      <c r="E82" s="1406">
        <v>1590</v>
      </c>
      <c r="F82" s="1405">
        <v>1789</v>
      </c>
      <c r="G82" s="4809">
        <v>304</v>
      </c>
      <c r="H82" s="1406">
        <v>1352</v>
      </c>
      <c r="I82" s="1406">
        <v>1590</v>
      </c>
      <c r="J82" s="1405">
        <v>1789</v>
      </c>
      <c r="K82" s="1282"/>
      <c r="L82" s="1406">
        <f t="shared" si="3"/>
        <v>3975</v>
      </c>
    </row>
    <row r="83" spans="1:12" ht="13.5">
      <c r="A83" s="1406">
        <v>4000</v>
      </c>
      <c r="B83" s="1405">
        <v>4050</v>
      </c>
      <c r="C83" s="4809">
        <v>308</v>
      </c>
      <c r="D83" s="1406">
        <v>1369</v>
      </c>
      <c r="E83" s="1406">
        <v>1610</v>
      </c>
      <c r="F83" s="1405">
        <v>1811</v>
      </c>
      <c r="G83" s="4809">
        <v>308</v>
      </c>
      <c r="H83" s="1406">
        <v>1369</v>
      </c>
      <c r="I83" s="1406">
        <v>1610</v>
      </c>
      <c r="J83" s="1405">
        <v>1811</v>
      </c>
      <c r="K83" s="1282"/>
      <c r="L83" s="1406">
        <f t="shared" si="3"/>
        <v>4025</v>
      </c>
    </row>
    <row r="84" spans="1:12" ht="13.5">
      <c r="A84" s="1406">
        <v>4050</v>
      </c>
      <c r="B84" s="1405">
        <v>4100</v>
      </c>
      <c r="C84" s="4809">
        <v>312</v>
      </c>
      <c r="D84" s="1406">
        <v>1386</v>
      </c>
      <c r="E84" s="1406">
        <v>1630</v>
      </c>
      <c r="F84" s="1405">
        <v>1834</v>
      </c>
      <c r="G84" s="4809">
        <v>312</v>
      </c>
      <c r="H84" s="1406">
        <v>1386</v>
      </c>
      <c r="I84" s="1406">
        <v>1630</v>
      </c>
      <c r="J84" s="1405">
        <v>1834</v>
      </c>
      <c r="K84" s="1282"/>
      <c r="L84" s="1406">
        <f t="shared" si="3"/>
        <v>4075</v>
      </c>
    </row>
    <row r="85" spans="1:12" ht="13.5">
      <c r="A85" s="1406">
        <v>4100</v>
      </c>
      <c r="B85" s="1405">
        <v>4150</v>
      </c>
      <c r="C85" s="4809">
        <v>316</v>
      </c>
      <c r="D85" s="1406">
        <v>1403</v>
      </c>
      <c r="E85" s="1406">
        <v>1650</v>
      </c>
      <c r="F85" s="1405">
        <v>1856</v>
      </c>
      <c r="G85" s="4809">
        <v>316</v>
      </c>
      <c r="H85" s="1406">
        <v>1403</v>
      </c>
      <c r="I85" s="1406">
        <v>1650</v>
      </c>
      <c r="J85" s="1405">
        <v>1856</v>
      </c>
      <c r="K85" s="1282"/>
      <c r="L85" s="1406">
        <f t="shared" si="3"/>
        <v>4125</v>
      </c>
    </row>
    <row r="86" spans="1:12" ht="13.5">
      <c r="A86" s="1406">
        <v>4150</v>
      </c>
      <c r="B86" s="1405">
        <v>4200</v>
      </c>
      <c r="C86" s="4809">
        <v>319</v>
      </c>
      <c r="D86" s="1406">
        <v>1420</v>
      </c>
      <c r="E86" s="1406">
        <v>1670</v>
      </c>
      <c r="F86" s="1405">
        <v>1879</v>
      </c>
      <c r="G86" s="4809">
        <v>319</v>
      </c>
      <c r="H86" s="1406">
        <v>1420</v>
      </c>
      <c r="I86" s="1406">
        <v>1670</v>
      </c>
      <c r="J86" s="1405">
        <v>1879</v>
      </c>
      <c r="K86" s="1282"/>
      <c r="L86" s="1406">
        <f t="shared" si="3"/>
        <v>4175</v>
      </c>
    </row>
    <row r="87" spans="1:12" ht="13.5">
      <c r="A87" s="1406">
        <v>4200</v>
      </c>
      <c r="B87" s="1405">
        <v>4250</v>
      </c>
      <c r="C87" s="4809">
        <v>323</v>
      </c>
      <c r="D87" s="1406">
        <v>1437</v>
      </c>
      <c r="E87" s="1406">
        <v>1690</v>
      </c>
      <c r="F87" s="1405">
        <v>1901</v>
      </c>
      <c r="G87" s="4809">
        <v>323</v>
      </c>
      <c r="H87" s="1406">
        <v>1437</v>
      </c>
      <c r="I87" s="1406">
        <v>1690</v>
      </c>
      <c r="J87" s="1405">
        <v>1901</v>
      </c>
      <c r="K87" s="1282"/>
      <c r="L87" s="1406">
        <f t="shared" si="3"/>
        <v>4225</v>
      </c>
    </row>
    <row r="88" spans="1:12" ht="13.5">
      <c r="A88" s="1406">
        <v>4250</v>
      </c>
      <c r="B88" s="1405">
        <v>4300</v>
      </c>
      <c r="C88" s="4809">
        <v>327</v>
      </c>
      <c r="D88" s="1406">
        <v>1454</v>
      </c>
      <c r="E88" s="1406">
        <v>1710</v>
      </c>
      <c r="F88" s="1405">
        <v>1924</v>
      </c>
      <c r="G88" s="4809">
        <v>327</v>
      </c>
      <c r="H88" s="1406">
        <v>1454</v>
      </c>
      <c r="I88" s="1406">
        <v>1710</v>
      </c>
      <c r="J88" s="1405">
        <v>1924</v>
      </c>
      <c r="K88" s="1282"/>
      <c r="L88" s="1406">
        <f t="shared" si="3"/>
        <v>4275</v>
      </c>
    </row>
    <row r="89" spans="1:12" ht="13.5">
      <c r="A89" s="1406">
        <v>4300</v>
      </c>
      <c r="B89" s="1405">
        <v>4350</v>
      </c>
      <c r="C89" s="4809">
        <v>331</v>
      </c>
      <c r="D89" s="1406">
        <v>1471</v>
      </c>
      <c r="E89" s="1406">
        <v>1730</v>
      </c>
      <c r="F89" s="1405">
        <v>1946</v>
      </c>
      <c r="G89" s="4809">
        <v>331</v>
      </c>
      <c r="H89" s="1406">
        <v>1471</v>
      </c>
      <c r="I89" s="1406">
        <v>1730</v>
      </c>
      <c r="J89" s="1405">
        <v>1946</v>
      </c>
      <c r="K89" s="1282"/>
      <c r="L89" s="1406">
        <f t="shared" si="3"/>
        <v>4325</v>
      </c>
    </row>
    <row r="90" spans="1:12" ht="13.5">
      <c r="A90" s="1406">
        <v>4350</v>
      </c>
      <c r="B90" s="1405">
        <v>4400</v>
      </c>
      <c r="C90" s="4809">
        <v>335</v>
      </c>
      <c r="D90" s="1406">
        <v>1488</v>
      </c>
      <c r="E90" s="1406">
        <v>1750</v>
      </c>
      <c r="F90" s="1405">
        <v>1969</v>
      </c>
      <c r="G90" s="4809">
        <v>335</v>
      </c>
      <c r="H90" s="1406">
        <v>1488</v>
      </c>
      <c r="I90" s="1406">
        <v>1750</v>
      </c>
      <c r="J90" s="1405">
        <v>1969</v>
      </c>
      <c r="K90" s="1282"/>
      <c r="L90" s="1406">
        <f t="shared" si="3"/>
        <v>4375</v>
      </c>
    </row>
    <row r="91" spans="1:12" ht="13.5">
      <c r="A91" s="1406">
        <v>4400</v>
      </c>
      <c r="B91" s="1405">
        <v>4450</v>
      </c>
      <c r="C91" s="4809">
        <v>339</v>
      </c>
      <c r="D91" s="1406">
        <v>1505</v>
      </c>
      <c r="E91" s="1406">
        <v>1770</v>
      </c>
      <c r="F91" s="1405">
        <v>1991</v>
      </c>
      <c r="G91" s="4809">
        <v>339</v>
      </c>
      <c r="H91" s="1406">
        <v>1505</v>
      </c>
      <c r="I91" s="1406">
        <v>1770</v>
      </c>
      <c r="J91" s="1405">
        <v>1991</v>
      </c>
      <c r="K91" s="1282"/>
      <c r="L91" s="1406">
        <f t="shared" si="3"/>
        <v>4425</v>
      </c>
    </row>
    <row r="92" spans="1:12" ht="13.5">
      <c r="A92" s="1406">
        <v>4450</v>
      </c>
      <c r="B92" s="1405">
        <v>4500</v>
      </c>
      <c r="C92" s="4809">
        <v>342</v>
      </c>
      <c r="D92" s="1406">
        <v>1522</v>
      </c>
      <c r="E92" s="1406">
        <v>1790</v>
      </c>
      <c r="F92" s="1405">
        <v>2014</v>
      </c>
      <c r="G92" s="4809">
        <v>342</v>
      </c>
      <c r="H92" s="1406">
        <v>1522</v>
      </c>
      <c r="I92" s="1406">
        <v>1790</v>
      </c>
      <c r="J92" s="1405">
        <v>2014</v>
      </c>
      <c r="K92" s="1282"/>
      <c r="L92" s="1406">
        <f t="shared" si="3"/>
        <v>4475</v>
      </c>
    </row>
    <row r="93" spans="1:12" ht="13.5">
      <c r="A93" s="1406">
        <v>4500</v>
      </c>
      <c r="B93" s="1405">
        <v>4550</v>
      </c>
      <c r="C93" s="4809">
        <v>346</v>
      </c>
      <c r="D93" s="1406">
        <v>1539</v>
      </c>
      <c r="E93" s="1406">
        <v>1810</v>
      </c>
      <c r="F93" s="1405">
        <v>2036</v>
      </c>
      <c r="G93" s="4809">
        <v>346</v>
      </c>
      <c r="H93" s="1406">
        <v>1539</v>
      </c>
      <c r="I93" s="1406">
        <v>1810</v>
      </c>
      <c r="J93" s="1405">
        <v>2036</v>
      </c>
      <c r="K93" s="1282"/>
      <c r="L93" s="1406">
        <f t="shared" si="3"/>
        <v>4525</v>
      </c>
    </row>
    <row r="94" spans="1:12" ht="13.5">
      <c r="A94" s="1406">
        <v>4550</v>
      </c>
      <c r="B94" s="1405">
        <v>4600</v>
      </c>
      <c r="C94" s="4809">
        <v>350</v>
      </c>
      <c r="D94" s="1406">
        <v>1556</v>
      </c>
      <c r="E94" s="1406">
        <v>1830</v>
      </c>
      <c r="F94" s="1405">
        <v>2059</v>
      </c>
      <c r="G94" s="4809">
        <v>350</v>
      </c>
      <c r="H94" s="1406">
        <v>1556</v>
      </c>
      <c r="I94" s="1406">
        <v>1830</v>
      </c>
      <c r="J94" s="1405">
        <v>2059</v>
      </c>
      <c r="K94" s="1282"/>
      <c r="L94" s="1406">
        <f t="shared" si="3"/>
        <v>4575</v>
      </c>
    </row>
    <row r="95" spans="1:12" ht="13.5">
      <c r="A95" s="1406">
        <v>4600</v>
      </c>
      <c r="B95" s="1405">
        <v>4650</v>
      </c>
      <c r="C95" s="4809">
        <v>354</v>
      </c>
      <c r="D95" s="1406">
        <v>1573</v>
      </c>
      <c r="E95" s="1406">
        <v>1850</v>
      </c>
      <c r="F95" s="1405">
        <v>2081</v>
      </c>
      <c r="G95" s="4809">
        <v>354</v>
      </c>
      <c r="H95" s="1406">
        <v>1573</v>
      </c>
      <c r="I95" s="1406">
        <v>1850</v>
      </c>
      <c r="J95" s="1405">
        <v>2081</v>
      </c>
      <c r="K95" s="1282"/>
      <c r="L95" s="1406">
        <f t="shared" si="3"/>
        <v>4625</v>
      </c>
    </row>
    <row r="96" spans="1:12" ht="13.5">
      <c r="A96" s="1406">
        <v>4650</v>
      </c>
      <c r="B96" s="1405">
        <v>4700</v>
      </c>
      <c r="C96" s="4809">
        <v>358</v>
      </c>
      <c r="D96" s="1406">
        <v>1590</v>
      </c>
      <c r="E96" s="1406">
        <v>1870</v>
      </c>
      <c r="F96" s="1405">
        <v>2104</v>
      </c>
      <c r="G96" s="4809">
        <v>358</v>
      </c>
      <c r="H96" s="1406">
        <v>1590</v>
      </c>
      <c r="I96" s="1406">
        <v>1870</v>
      </c>
      <c r="J96" s="1405">
        <v>2104</v>
      </c>
      <c r="K96" s="1282"/>
      <c r="L96" s="1406">
        <f t="shared" si="3"/>
        <v>4675</v>
      </c>
    </row>
    <row r="97" spans="1:12" ht="13.5">
      <c r="A97" s="1406">
        <v>4700</v>
      </c>
      <c r="B97" s="1405">
        <v>4750</v>
      </c>
      <c r="C97" s="4809">
        <v>361</v>
      </c>
      <c r="D97" s="1406">
        <v>1607</v>
      </c>
      <c r="E97" s="1406">
        <v>1890</v>
      </c>
      <c r="F97" s="1405">
        <v>2126</v>
      </c>
      <c r="G97" s="4809">
        <v>361</v>
      </c>
      <c r="H97" s="1406">
        <v>1607</v>
      </c>
      <c r="I97" s="1406">
        <v>1890</v>
      </c>
      <c r="J97" s="1405">
        <v>2126</v>
      </c>
      <c r="K97" s="1282"/>
      <c r="L97" s="1406">
        <f t="shared" si="3"/>
        <v>4725</v>
      </c>
    </row>
    <row r="98" spans="1:12" ht="13.5">
      <c r="A98" s="1406">
        <v>4750</v>
      </c>
      <c r="B98" s="1405">
        <v>4800</v>
      </c>
      <c r="C98" s="4809">
        <v>365</v>
      </c>
      <c r="D98" s="1406">
        <v>1624</v>
      </c>
      <c r="E98" s="1406">
        <v>1910</v>
      </c>
      <c r="F98" s="1405">
        <v>2149</v>
      </c>
      <c r="G98" s="4809">
        <v>365</v>
      </c>
      <c r="H98" s="1406">
        <v>1624</v>
      </c>
      <c r="I98" s="1406">
        <v>1910</v>
      </c>
      <c r="J98" s="1405">
        <v>2149</v>
      </c>
      <c r="K98" s="1282"/>
      <c r="L98" s="1406">
        <f t="shared" si="3"/>
        <v>4775</v>
      </c>
    </row>
    <row r="99" spans="1:12" ht="13.5">
      <c r="A99" s="1406">
        <v>4800</v>
      </c>
      <c r="B99" s="1405">
        <v>4850</v>
      </c>
      <c r="C99" s="4809">
        <v>369</v>
      </c>
      <c r="D99" s="1406">
        <v>1641</v>
      </c>
      <c r="E99" s="1406">
        <v>1930</v>
      </c>
      <c r="F99" s="1405">
        <v>2171</v>
      </c>
      <c r="G99" s="4809">
        <v>369</v>
      </c>
      <c r="H99" s="1406">
        <v>1641</v>
      </c>
      <c r="I99" s="1406">
        <v>1930</v>
      </c>
      <c r="J99" s="1405">
        <v>2171</v>
      </c>
      <c r="K99" s="1282"/>
      <c r="L99" s="1406">
        <f t="shared" si="3"/>
        <v>4825</v>
      </c>
    </row>
    <row r="100" spans="1:12" ht="13.5">
      <c r="A100" s="1406">
        <v>4850</v>
      </c>
      <c r="B100" s="1405">
        <v>4900</v>
      </c>
      <c r="C100" s="4809">
        <v>373</v>
      </c>
      <c r="D100" s="1406">
        <v>1658</v>
      </c>
      <c r="E100" s="1406">
        <v>1950</v>
      </c>
      <c r="F100" s="1405">
        <v>2194</v>
      </c>
      <c r="G100" s="4809">
        <v>373</v>
      </c>
      <c r="H100" s="1406">
        <v>1658</v>
      </c>
      <c r="I100" s="1406">
        <v>1950</v>
      </c>
      <c r="J100" s="1405">
        <v>2194</v>
      </c>
      <c r="K100" s="1282"/>
      <c r="L100" s="1406">
        <f t="shared" si="3"/>
        <v>4875</v>
      </c>
    </row>
    <row r="101" spans="1:12" ht="13.5">
      <c r="A101" s="1406">
        <v>4900</v>
      </c>
      <c r="B101" s="1405">
        <v>4950</v>
      </c>
      <c r="C101" s="4809">
        <v>377</v>
      </c>
      <c r="D101" s="1406">
        <v>1675</v>
      </c>
      <c r="E101" s="1406">
        <v>1970</v>
      </c>
      <c r="F101" s="1405">
        <v>2216</v>
      </c>
      <c r="G101" s="4809">
        <v>377</v>
      </c>
      <c r="H101" s="1406">
        <v>1675</v>
      </c>
      <c r="I101" s="1406">
        <v>1970</v>
      </c>
      <c r="J101" s="1405">
        <v>2216</v>
      </c>
      <c r="K101" s="1282"/>
      <c r="L101" s="1406">
        <f t="shared" si="3"/>
        <v>4925</v>
      </c>
    </row>
    <row r="102" spans="1:12" ht="13.5">
      <c r="A102" s="1406">
        <v>4950</v>
      </c>
      <c r="B102" s="1405">
        <v>5000</v>
      </c>
      <c r="C102" s="4809">
        <v>381</v>
      </c>
      <c r="D102" s="1406">
        <v>1692</v>
      </c>
      <c r="E102" s="1406">
        <v>1990</v>
      </c>
      <c r="F102" s="1405">
        <v>2239</v>
      </c>
      <c r="G102" s="4809">
        <v>381</v>
      </c>
      <c r="H102" s="1406">
        <v>1692</v>
      </c>
      <c r="I102" s="1406">
        <v>1990</v>
      </c>
      <c r="J102" s="1405">
        <v>2239</v>
      </c>
      <c r="K102" s="1282"/>
      <c r="L102" s="1406">
        <f t="shared" si="3"/>
        <v>4975</v>
      </c>
    </row>
    <row r="103" spans="1:12" ht="13.5">
      <c r="A103" s="1406">
        <v>5000</v>
      </c>
      <c r="B103" s="1405">
        <v>5050</v>
      </c>
      <c r="C103" s="4809">
        <v>384</v>
      </c>
      <c r="D103" s="1406">
        <v>1709</v>
      </c>
      <c r="E103" s="1406">
        <v>2010</v>
      </c>
      <c r="F103" s="1405">
        <v>2261</v>
      </c>
      <c r="G103" s="4809">
        <v>384</v>
      </c>
      <c r="H103" s="1406">
        <v>1709</v>
      </c>
      <c r="I103" s="1406">
        <v>2010</v>
      </c>
      <c r="J103" s="1405">
        <v>2261</v>
      </c>
      <c r="K103" s="1282"/>
      <c r="L103" s="1406">
        <f t="shared" si="3"/>
        <v>5025</v>
      </c>
    </row>
    <row r="104" spans="1:12" ht="13.5">
      <c r="A104" s="1406">
        <v>5050</v>
      </c>
      <c r="B104" s="1405">
        <v>5100</v>
      </c>
      <c r="C104" s="4809">
        <v>388</v>
      </c>
      <c r="D104" s="1406">
        <v>1726</v>
      </c>
      <c r="E104" s="1406">
        <v>2030</v>
      </c>
      <c r="F104" s="1405">
        <v>2284</v>
      </c>
      <c r="G104" s="4809">
        <v>388</v>
      </c>
      <c r="H104" s="1406">
        <v>1726</v>
      </c>
      <c r="I104" s="1406">
        <v>2030</v>
      </c>
      <c r="J104" s="1405">
        <v>2284</v>
      </c>
      <c r="K104" s="1282"/>
      <c r="L104" s="1406">
        <f t="shared" si="3"/>
        <v>5075</v>
      </c>
    </row>
    <row r="105" spans="1:12" ht="13.5">
      <c r="A105" s="1406">
        <v>5100</v>
      </c>
      <c r="B105" s="1405">
        <v>5150</v>
      </c>
      <c r="C105" s="4809">
        <v>392</v>
      </c>
      <c r="D105" s="1406">
        <v>1743</v>
      </c>
      <c r="E105" s="1406">
        <v>2050</v>
      </c>
      <c r="F105" s="1405">
        <v>2306</v>
      </c>
      <c r="G105" s="4809">
        <v>392</v>
      </c>
      <c r="H105" s="1406">
        <v>1743</v>
      </c>
      <c r="I105" s="1406">
        <v>2050</v>
      </c>
      <c r="J105" s="1405">
        <v>2306</v>
      </c>
      <c r="K105" s="1282"/>
      <c r="L105" s="1406">
        <f t="shared" si="3"/>
        <v>5125</v>
      </c>
    </row>
    <row r="106" spans="1:12" ht="13.5">
      <c r="A106" s="1406">
        <v>5150</v>
      </c>
      <c r="B106" s="1405">
        <v>5200</v>
      </c>
      <c r="C106" s="4809">
        <v>396</v>
      </c>
      <c r="D106" s="1406">
        <v>1760</v>
      </c>
      <c r="E106" s="1406">
        <v>2070</v>
      </c>
      <c r="F106" s="1405">
        <v>2329</v>
      </c>
      <c r="G106" s="4809">
        <v>396</v>
      </c>
      <c r="H106" s="1406">
        <v>1760</v>
      </c>
      <c r="I106" s="1406">
        <v>2070</v>
      </c>
      <c r="J106" s="1405">
        <v>2329</v>
      </c>
      <c r="K106" s="1282"/>
      <c r="L106" s="1406">
        <f t="shared" si="3"/>
        <v>5175</v>
      </c>
    </row>
    <row r="107" spans="1:12" ht="13.5">
      <c r="A107" s="1406">
        <v>5200</v>
      </c>
      <c r="B107" s="1405">
        <v>5250</v>
      </c>
      <c r="C107" s="4809">
        <v>400</v>
      </c>
      <c r="D107" s="1406">
        <v>1777</v>
      </c>
      <c r="E107" s="1406">
        <v>2090</v>
      </c>
      <c r="F107" s="1405">
        <v>2351</v>
      </c>
      <c r="G107" s="4809">
        <v>400</v>
      </c>
      <c r="H107" s="1406">
        <v>1777</v>
      </c>
      <c r="I107" s="1406">
        <v>2090</v>
      </c>
      <c r="J107" s="1405">
        <v>2351</v>
      </c>
      <c r="K107" s="1282"/>
      <c r="L107" s="1406">
        <f t="shared" si="3"/>
        <v>5225</v>
      </c>
    </row>
    <row r="108" spans="1:12" ht="13.5">
      <c r="A108" s="1406">
        <v>5250</v>
      </c>
      <c r="B108" s="1405">
        <v>5300</v>
      </c>
      <c r="C108" s="4809">
        <v>404</v>
      </c>
      <c r="D108" s="1406">
        <v>1794</v>
      </c>
      <c r="E108" s="1406">
        <v>2110</v>
      </c>
      <c r="F108" s="1405">
        <v>2374</v>
      </c>
      <c r="G108" s="4809">
        <v>404</v>
      </c>
      <c r="H108" s="1406">
        <v>1794</v>
      </c>
      <c r="I108" s="1406">
        <v>2110</v>
      </c>
      <c r="J108" s="1405">
        <v>2374</v>
      </c>
      <c r="K108" s="1282"/>
      <c r="L108" s="1406">
        <f t="shared" si="3"/>
        <v>5275</v>
      </c>
    </row>
    <row r="109" spans="1:12" ht="13.5">
      <c r="A109" s="1406">
        <v>5300</v>
      </c>
      <c r="B109" s="1405">
        <v>5350</v>
      </c>
      <c r="C109" s="4809">
        <v>407</v>
      </c>
      <c r="D109" s="1406">
        <v>1811</v>
      </c>
      <c r="E109" s="1406">
        <v>2130</v>
      </c>
      <c r="F109" s="1405">
        <v>2396</v>
      </c>
      <c r="G109" s="4809">
        <v>407</v>
      </c>
      <c r="H109" s="1406">
        <v>1811</v>
      </c>
      <c r="I109" s="1406">
        <v>2130</v>
      </c>
      <c r="J109" s="1405">
        <v>2396</v>
      </c>
      <c r="K109" s="1282"/>
      <c r="L109" s="1406">
        <f t="shared" si="3"/>
        <v>5325</v>
      </c>
    </row>
    <row r="110" spans="1:12" ht="13.5">
      <c r="A110" s="1406">
        <v>5350</v>
      </c>
      <c r="B110" s="1405">
        <v>5400</v>
      </c>
      <c r="C110" s="4809">
        <v>411</v>
      </c>
      <c r="D110" s="1406">
        <v>1828</v>
      </c>
      <c r="E110" s="1406">
        <v>2150</v>
      </c>
      <c r="F110" s="1405">
        <v>2419</v>
      </c>
      <c r="G110" s="4809">
        <v>411</v>
      </c>
      <c r="H110" s="1406">
        <v>1828</v>
      </c>
      <c r="I110" s="1406">
        <v>2150</v>
      </c>
      <c r="J110" s="1405">
        <v>2419</v>
      </c>
      <c r="K110" s="1282"/>
      <c r="L110" s="1406">
        <f t="shared" si="3"/>
        <v>5375</v>
      </c>
    </row>
    <row r="111" spans="1:12" ht="13.5">
      <c r="A111" s="1406">
        <v>5400</v>
      </c>
      <c r="B111" s="1405">
        <v>5450</v>
      </c>
      <c r="C111" s="4809">
        <v>415</v>
      </c>
      <c r="D111" s="1406">
        <v>1845</v>
      </c>
      <c r="E111" s="1406">
        <v>2170</v>
      </c>
      <c r="F111" s="1405">
        <v>2441</v>
      </c>
      <c r="G111" s="4809">
        <v>415</v>
      </c>
      <c r="H111" s="1406">
        <v>1845</v>
      </c>
      <c r="I111" s="1406">
        <v>2170</v>
      </c>
      <c r="J111" s="1405">
        <v>2441</v>
      </c>
      <c r="K111" s="1282"/>
      <c r="L111" s="1406">
        <f t="shared" si="3"/>
        <v>5425</v>
      </c>
    </row>
    <row r="112" spans="1:12" ht="13.5">
      <c r="A112" s="1406">
        <v>5450</v>
      </c>
      <c r="B112" s="1405">
        <v>5500</v>
      </c>
      <c r="C112" s="4809">
        <v>419</v>
      </c>
      <c r="D112" s="1406">
        <v>1862</v>
      </c>
      <c r="E112" s="1406">
        <v>2190</v>
      </c>
      <c r="F112" s="1405">
        <v>2464</v>
      </c>
      <c r="G112" s="4809">
        <v>419</v>
      </c>
      <c r="H112" s="1406">
        <v>1862</v>
      </c>
      <c r="I112" s="1406">
        <v>2190</v>
      </c>
      <c r="J112" s="1405">
        <v>2464</v>
      </c>
      <c r="K112" s="1282"/>
      <c r="L112" s="1406">
        <f t="shared" si="3"/>
        <v>5475</v>
      </c>
    </row>
    <row r="113" spans="1:12" ht="13.5">
      <c r="A113" s="1406">
        <v>5500</v>
      </c>
      <c r="B113" s="1405">
        <v>5550</v>
      </c>
      <c r="C113" s="4809">
        <v>423</v>
      </c>
      <c r="D113" s="1406">
        <v>1879</v>
      </c>
      <c r="E113" s="1406">
        <v>2210</v>
      </c>
      <c r="F113" s="1405">
        <v>2486</v>
      </c>
      <c r="G113" s="4809">
        <v>423</v>
      </c>
      <c r="H113" s="1406">
        <v>1879</v>
      </c>
      <c r="I113" s="1406">
        <v>2210</v>
      </c>
      <c r="J113" s="1405">
        <v>2486</v>
      </c>
      <c r="K113" s="1282"/>
      <c r="L113" s="1406">
        <f t="shared" si="3"/>
        <v>5525</v>
      </c>
    </row>
    <row r="114" spans="1:12" ht="13.5">
      <c r="A114" s="1406">
        <v>5550</v>
      </c>
      <c r="B114" s="1405">
        <v>5600</v>
      </c>
      <c r="C114" s="4809">
        <v>426</v>
      </c>
      <c r="D114" s="1406">
        <v>1896</v>
      </c>
      <c r="E114" s="1406">
        <v>2230</v>
      </c>
      <c r="F114" s="1405">
        <v>2509</v>
      </c>
      <c r="G114" s="4809">
        <v>426</v>
      </c>
      <c r="H114" s="1406">
        <v>1896</v>
      </c>
      <c r="I114" s="1406">
        <v>2230</v>
      </c>
      <c r="J114" s="1405">
        <v>2509</v>
      </c>
      <c r="K114" s="1282"/>
      <c r="L114" s="1406">
        <f t="shared" si="3"/>
        <v>5575</v>
      </c>
    </row>
    <row r="115" spans="1:12" ht="13.5">
      <c r="A115" s="1406">
        <v>5600</v>
      </c>
      <c r="B115" s="1405">
        <v>5650</v>
      </c>
      <c r="C115" s="4809">
        <v>430</v>
      </c>
      <c r="D115" s="1406">
        <v>1913</v>
      </c>
      <c r="E115" s="1406">
        <v>2250</v>
      </c>
      <c r="F115" s="1405">
        <v>2531</v>
      </c>
      <c r="G115" s="4809">
        <v>430</v>
      </c>
      <c r="H115" s="1406">
        <v>1913</v>
      </c>
      <c r="I115" s="1406">
        <v>2250</v>
      </c>
      <c r="J115" s="1405">
        <v>2531</v>
      </c>
      <c r="K115" s="1282"/>
      <c r="L115" s="1406">
        <f t="shared" si="3"/>
        <v>5625</v>
      </c>
    </row>
    <row r="116" spans="1:12" ht="13.5">
      <c r="A116" s="1406">
        <v>5650</v>
      </c>
      <c r="B116" s="1405">
        <v>5700</v>
      </c>
      <c r="C116" s="4809">
        <v>434</v>
      </c>
      <c r="D116" s="1406">
        <v>1930</v>
      </c>
      <c r="E116" s="1406">
        <v>2270</v>
      </c>
      <c r="F116" s="1405">
        <v>2554</v>
      </c>
      <c r="G116" s="4809">
        <v>434</v>
      </c>
      <c r="H116" s="1406">
        <v>1930</v>
      </c>
      <c r="I116" s="1406">
        <v>2270</v>
      </c>
      <c r="J116" s="1405">
        <v>2554</v>
      </c>
      <c r="K116" s="1282"/>
      <c r="L116" s="1406">
        <f t="shared" si="3"/>
        <v>5675</v>
      </c>
    </row>
    <row r="117" spans="1:12" ht="13.5">
      <c r="A117" s="1406">
        <v>5700</v>
      </c>
      <c r="B117" s="1405">
        <v>5750</v>
      </c>
      <c r="C117" s="4809">
        <v>438</v>
      </c>
      <c r="D117" s="1406">
        <v>1947</v>
      </c>
      <c r="E117" s="1406">
        <v>2290</v>
      </c>
      <c r="F117" s="1405">
        <v>2576</v>
      </c>
      <c r="G117" s="4809">
        <v>438</v>
      </c>
      <c r="H117" s="1406">
        <v>1947</v>
      </c>
      <c r="I117" s="1406">
        <v>2290</v>
      </c>
      <c r="J117" s="1405">
        <v>2576</v>
      </c>
      <c r="K117" s="1282"/>
      <c r="L117" s="1406">
        <f t="shared" si="3"/>
        <v>5725</v>
      </c>
    </row>
    <row r="118" spans="1:12" ht="13.5">
      <c r="A118" s="1406">
        <v>5750</v>
      </c>
      <c r="B118" s="1405">
        <v>5800</v>
      </c>
      <c r="C118" s="4809">
        <v>442</v>
      </c>
      <c r="D118" s="1406">
        <v>1964</v>
      </c>
      <c r="E118" s="1406">
        <v>2310</v>
      </c>
      <c r="F118" s="1405">
        <v>2599</v>
      </c>
      <c r="G118" s="4809">
        <v>442</v>
      </c>
      <c r="H118" s="1406">
        <v>1964</v>
      </c>
      <c r="I118" s="1406">
        <v>2310</v>
      </c>
      <c r="J118" s="1405">
        <v>2599</v>
      </c>
      <c r="K118" s="1282"/>
      <c r="L118" s="1406">
        <f t="shared" si="3"/>
        <v>5775</v>
      </c>
    </row>
    <row r="119" spans="1:12" ht="13.5">
      <c r="A119" s="1406">
        <v>5800</v>
      </c>
      <c r="B119" s="1405">
        <v>5850</v>
      </c>
      <c r="C119" s="4809">
        <v>446</v>
      </c>
      <c r="D119" s="1406">
        <v>1981</v>
      </c>
      <c r="E119" s="1406">
        <v>2330</v>
      </c>
      <c r="F119" s="1405">
        <v>2621</v>
      </c>
      <c r="G119" s="4809">
        <v>446</v>
      </c>
      <c r="H119" s="1406">
        <v>1981</v>
      </c>
      <c r="I119" s="1406">
        <v>2330</v>
      </c>
      <c r="J119" s="1405">
        <v>2621</v>
      </c>
      <c r="K119" s="1282"/>
      <c r="L119" s="1406">
        <f t="shared" si="3"/>
        <v>5825</v>
      </c>
    </row>
    <row r="120" spans="1:12" ht="13.5">
      <c r="A120" s="1406">
        <v>5850</v>
      </c>
      <c r="B120" s="1405">
        <v>5900</v>
      </c>
      <c r="C120" s="4809">
        <v>449</v>
      </c>
      <c r="D120" s="1406">
        <v>1998</v>
      </c>
      <c r="E120" s="1406">
        <v>2350</v>
      </c>
      <c r="F120" s="1405">
        <v>2644</v>
      </c>
      <c r="G120" s="4809">
        <v>449</v>
      </c>
      <c r="H120" s="1406">
        <v>1998</v>
      </c>
      <c r="I120" s="1406">
        <v>2350</v>
      </c>
      <c r="J120" s="1405">
        <v>2644</v>
      </c>
      <c r="K120" s="1282"/>
      <c r="L120" s="1406">
        <f t="shared" si="3"/>
        <v>5875</v>
      </c>
    </row>
    <row r="121" spans="1:12" ht="13.5">
      <c r="A121" s="1406">
        <v>5900</v>
      </c>
      <c r="B121" s="1405">
        <v>5950</v>
      </c>
      <c r="C121" s="4809">
        <v>453</v>
      </c>
      <c r="D121" s="1406">
        <v>2015</v>
      </c>
      <c r="E121" s="1406">
        <v>2370</v>
      </c>
      <c r="F121" s="1405">
        <v>2666</v>
      </c>
      <c r="G121" s="4809">
        <v>453</v>
      </c>
      <c r="H121" s="1406">
        <v>2015</v>
      </c>
      <c r="I121" s="1406">
        <v>2370</v>
      </c>
      <c r="J121" s="1405">
        <v>2666</v>
      </c>
      <c r="K121" s="1282"/>
      <c r="L121" s="1406">
        <f t="shared" si="3"/>
        <v>5925</v>
      </c>
    </row>
    <row r="122" spans="1:12" ht="13.5">
      <c r="A122" s="1406">
        <v>5950</v>
      </c>
      <c r="B122" s="1405">
        <v>6000</v>
      </c>
      <c r="C122" s="4809">
        <v>457</v>
      </c>
      <c r="D122" s="1406">
        <v>2032</v>
      </c>
      <c r="E122" s="1406">
        <v>2390</v>
      </c>
      <c r="F122" s="1405">
        <v>2689</v>
      </c>
      <c r="G122" s="4809">
        <v>457</v>
      </c>
      <c r="H122" s="1406">
        <v>2032</v>
      </c>
      <c r="I122" s="1406">
        <v>2390</v>
      </c>
      <c r="J122" s="1405">
        <v>2689</v>
      </c>
      <c r="K122" s="1282"/>
      <c r="L122" s="1406">
        <f t="shared" si="3"/>
        <v>5975</v>
      </c>
    </row>
    <row r="123" spans="1:12" ht="13.5">
      <c r="A123" s="1406">
        <v>6000</v>
      </c>
      <c r="B123" s="1405">
        <v>6050</v>
      </c>
      <c r="C123" s="4809">
        <v>461</v>
      </c>
      <c r="D123" s="1406">
        <v>2049</v>
      </c>
      <c r="E123" s="1406">
        <v>2410</v>
      </c>
      <c r="F123" s="1405">
        <v>2711</v>
      </c>
      <c r="G123" s="4809">
        <v>461</v>
      </c>
      <c r="H123" s="1406">
        <v>2049</v>
      </c>
      <c r="I123" s="1406">
        <v>2410</v>
      </c>
      <c r="J123" s="1405">
        <v>2711</v>
      </c>
      <c r="K123" s="1282"/>
      <c r="L123" s="1406">
        <f t="shared" si="3"/>
        <v>6025</v>
      </c>
    </row>
    <row r="124" spans="1:12" ht="13.5">
      <c r="A124" s="1406">
        <v>6050</v>
      </c>
      <c r="B124" s="1405">
        <v>6100</v>
      </c>
      <c r="C124" s="4809">
        <v>465</v>
      </c>
      <c r="D124" s="1406">
        <v>2066</v>
      </c>
      <c r="E124" s="1406">
        <v>2430</v>
      </c>
      <c r="F124" s="1405">
        <v>2734</v>
      </c>
      <c r="G124" s="4809">
        <v>465</v>
      </c>
      <c r="H124" s="1406">
        <v>2066</v>
      </c>
      <c r="I124" s="1406">
        <v>2430</v>
      </c>
      <c r="J124" s="1405">
        <v>2734</v>
      </c>
      <c r="K124" s="1282"/>
      <c r="L124" s="1406">
        <f t="shared" si="3"/>
        <v>6075</v>
      </c>
    </row>
    <row r="125" spans="1:12" ht="13.5">
      <c r="A125" s="1406">
        <v>6100</v>
      </c>
      <c r="B125" s="1405">
        <v>6150</v>
      </c>
      <c r="C125" s="4809">
        <v>469</v>
      </c>
      <c r="D125" s="1406">
        <v>2083</v>
      </c>
      <c r="E125" s="1406">
        <v>2450</v>
      </c>
      <c r="F125" s="1405">
        <v>2756</v>
      </c>
      <c r="G125" s="4809">
        <v>469</v>
      </c>
      <c r="H125" s="1406">
        <v>2083</v>
      </c>
      <c r="I125" s="1406">
        <v>2450</v>
      </c>
      <c r="J125" s="1405">
        <v>2756</v>
      </c>
      <c r="K125" s="1282"/>
      <c r="L125" s="1406">
        <f t="shared" si="3"/>
        <v>6125</v>
      </c>
    </row>
    <row r="126" spans="1:12" ht="13.5">
      <c r="A126" s="1406">
        <v>6150</v>
      </c>
      <c r="B126" s="1405">
        <v>6200</v>
      </c>
      <c r="C126" s="4809">
        <v>472</v>
      </c>
      <c r="D126" s="1406">
        <v>2100</v>
      </c>
      <c r="E126" s="1406">
        <v>2470</v>
      </c>
      <c r="F126" s="1405">
        <v>2779</v>
      </c>
      <c r="G126" s="4809">
        <v>472</v>
      </c>
      <c r="H126" s="1406">
        <v>2100</v>
      </c>
      <c r="I126" s="1406">
        <v>2470</v>
      </c>
      <c r="J126" s="1405">
        <v>2779</v>
      </c>
      <c r="K126" s="1282"/>
      <c r="L126" s="1406">
        <f t="shared" si="3"/>
        <v>6175</v>
      </c>
    </row>
    <row r="127" spans="1:12" ht="13.5">
      <c r="A127" s="1406">
        <v>6200</v>
      </c>
      <c r="B127" s="1405">
        <v>6250</v>
      </c>
      <c r="C127" s="4809">
        <v>476</v>
      </c>
      <c r="D127" s="1406">
        <v>2117</v>
      </c>
      <c r="E127" s="1406">
        <v>2490</v>
      </c>
      <c r="F127" s="1405">
        <v>2801</v>
      </c>
      <c r="G127" s="4809">
        <v>476</v>
      </c>
      <c r="H127" s="1406">
        <v>2117</v>
      </c>
      <c r="I127" s="1406">
        <v>2490</v>
      </c>
      <c r="J127" s="1405">
        <v>2801</v>
      </c>
      <c r="K127" s="1282"/>
      <c r="L127" s="1406">
        <f t="shared" si="3"/>
        <v>6225</v>
      </c>
    </row>
    <row r="128" spans="1:12" ht="13.5">
      <c r="A128" s="1406">
        <v>6250</v>
      </c>
      <c r="B128" s="1405">
        <v>6300</v>
      </c>
      <c r="C128" s="4809">
        <v>480</v>
      </c>
      <c r="D128" s="1406">
        <v>2134</v>
      </c>
      <c r="E128" s="1406">
        <v>2510</v>
      </c>
      <c r="F128" s="1405">
        <v>2824</v>
      </c>
      <c r="G128" s="4809">
        <v>480</v>
      </c>
      <c r="H128" s="1406">
        <v>2134</v>
      </c>
      <c r="I128" s="1406">
        <v>2510</v>
      </c>
      <c r="J128" s="1405">
        <v>2824</v>
      </c>
      <c r="K128" s="1282"/>
      <c r="L128" s="1406">
        <f t="shared" si="3"/>
        <v>6275</v>
      </c>
    </row>
    <row r="129" spans="1:12" ht="13.5">
      <c r="A129" s="1406">
        <v>6300</v>
      </c>
      <c r="B129" s="1405">
        <v>6350</v>
      </c>
      <c r="C129" s="4809">
        <v>484</v>
      </c>
      <c r="D129" s="1406">
        <v>2151</v>
      </c>
      <c r="E129" s="1406">
        <v>2530</v>
      </c>
      <c r="F129" s="1405">
        <v>2846</v>
      </c>
      <c r="G129" s="4809">
        <v>484</v>
      </c>
      <c r="H129" s="1406">
        <v>2151</v>
      </c>
      <c r="I129" s="1406">
        <v>2530</v>
      </c>
      <c r="J129" s="1405">
        <v>2846</v>
      </c>
      <c r="K129" s="1282"/>
      <c r="L129" s="1406">
        <f t="shared" si="3"/>
        <v>6325</v>
      </c>
    </row>
    <row r="130" spans="1:12" ht="13.5">
      <c r="A130" s="1406">
        <v>6350</v>
      </c>
      <c r="B130" s="1405">
        <v>6400</v>
      </c>
      <c r="C130" s="4809">
        <v>488</v>
      </c>
      <c r="D130" s="1406">
        <v>2168</v>
      </c>
      <c r="E130" s="1406">
        <v>2550</v>
      </c>
      <c r="F130" s="1405">
        <v>2869</v>
      </c>
      <c r="G130" s="4809">
        <v>488</v>
      </c>
      <c r="H130" s="1406">
        <v>2168</v>
      </c>
      <c r="I130" s="1406">
        <v>2550</v>
      </c>
      <c r="J130" s="1405">
        <v>2869</v>
      </c>
      <c r="K130" s="1282"/>
      <c r="L130" s="1406">
        <f t="shared" si="3"/>
        <v>6375</v>
      </c>
    </row>
    <row r="131" spans="1:12" ht="13.5">
      <c r="A131" s="1406">
        <v>6400</v>
      </c>
      <c r="B131" s="1405">
        <v>6450</v>
      </c>
      <c r="C131" s="4809">
        <v>492</v>
      </c>
      <c r="D131" s="1406">
        <v>2185</v>
      </c>
      <c r="E131" s="1406">
        <v>2570</v>
      </c>
      <c r="F131" s="1405">
        <v>2891</v>
      </c>
      <c r="G131" s="4809">
        <v>492</v>
      </c>
      <c r="H131" s="1406">
        <v>2185</v>
      </c>
      <c r="I131" s="1406">
        <v>2570</v>
      </c>
      <c r="J131" s="1405">
        <v>2891</v>
      </c>
      <c r="K131" s="1282"/>
      <c r="L131" s="1406">
        <f t="shared" si="3"/>
        <v>6425</v>
      </c>
    </row>
    <row r="132" spans="1:12" ht="13.5">
      <c r="A132" s="1406">
        <v>6450</v>
      </c>
      <c r="B132" s="1405">
        <v>6500</v>
      </c>
      <c r="C132" s="4809">
        <v>495</v>
      </c>
      <c r="D132" s="1406">
        <v>2202</v>
      </c>
      <c r="E132" s="1406">
        <v>2590</v>
      </c>
      <c r="F132" s="1405">
        <v>2914</v>
      </c>
      <c r="G132" s="4809">
        <v>495</v>
      </c>
      <c r="H132" s="1406">
        <v>2202</v>
      </c>
      <c r="I132" s="1406">
        <v>2590</v>
      </c>
      <c r="J132" s="1405">
        <v>2914</v>
      </c>
      <c r="K132" s="1282"/>
      <c r="L132" s="1406">
        <f t="shared" ref="L132:L195" si="4">ROUND((A132+B132)/2,2)</f>
        <v>6475</v>
      </c>
    </row>
    <row r="133" spans="1:12" ht="13.5">
      <c r="A133" s="1406">
        <v>6500</v>
      </c>
      <c r="B133" s="1405">
        <v>6550</v>
      </c>
      <c r="C133" s="4809">
        <v>499</v>
      </c>
      <c r="D133" s="1406">
        <v>2219</v>
      </c>
      <c r="E133" s="1406">
        <v>2610</v>
      </c>
      <c r="F133" s="1405">
        <v>2936</v>
      </c>
      <c r="G133" s="4809">
        <v>499</v>
      </c>
      <c r="H133" s="1406">
        <v>2219</v>
      </c>
      <c r="I133" s="1406">
        <v>2610</v>
      </c>
      <c r="J133" s="1405">
        <v>2936</v>
      </c>
      <c r="K133" s="1282"/>
      <c r="L133" s="1406">
        <f t="shared" si="4"/>
        <v>6525</v>
      </c>
    </row>
    <row r="134" spans="1:12" ht="13.5">
      <c r="A134" s="1406">
        <v>6550</v>
      </c>
      <c r="B134" s="1405">
        <v>6600</v>
      </c>
      <c r="C134" s="4809">
        <v>503</v>
      </c>
      <c r="D134" s="1406">
        <v>2236</v>
      </c>
      <c r="E134" s="1406">
        <v>2630</v>
      </c>
      <c r="F134" s="1405">
        <v>2959</v>
      </c>
      <c r="G134" s="4809">
        <v>503</v>
      </c>
      <c r="H134" s="1406">
        <v>2236</v>
      </c>
      <c r="I134" s="1406">
        <v>2630</v>
      </c>
      <c r="J134" s="1405">
        <v>2959</v>
      </c>
      <c r="K134" s="1282"/>
      <c r="L134" s="1406">
        <f t="shared" si="4"/>
        <v>6575</v>
      </c>
    </row>
    <row r="135" spans="1:12" ht="13.5">
      <c r="A135" s="1406">
        <v>6600</v>
      </c>
      <c r="B135" s="1405">
        <v>6650</v>
      </c>
      <c r="C135" s="4809">
        <v>507</v>
      </c>
      <c r="D135" s="1406">
        <v>2253</v>
      </c>
      <c r="E135" s="1406">
        <v>2650</v>
      </c>
      <c r="F135" s="1405">
        <v>2981</v>
      </c>
      <c r="G135" s="4809">
        <v>507</v>
      </c>
      <c r="H135" s="1406">
        <v>2253</v>
      </c>
      <c r="I135" s="1406">
        <v>2650</v>
      </c>
      <c r="J135" s="1405">
        <v>2981</v>
      </c>
      <c r="K135" s="1282"/>
      <c r="L135" s="1406">
        <f t="shared" si="4"/>
        <v>6625</v>
      </c>
    </row>
    <row r="136" spans="1:12" ht="13.5">
      <c r="A136" s="1406">
        <v>6650</v>
      </c>
      <c r="B136" s="1405">
        <v>6700</v>
      </c>
      <c r="C136" s="4809">
        <v>511</v>
      </c>
      <c r="D136" s="1406">
        <v>2270</v>
      </c>
      <c r="E136" s="1406">
        <v>2670</v>
      </c>
      <c r="F136" s="1405">
        <v>3004</v>
      </c>
      <c r="G136" s="4809">
        <v>511</v>
      </c>
      <c r="H136" s="1406">
        <v>2270</v>
      </c>
      <c r="I136" s="1406">
        <v>2670</v>
      </c>
      <c r="J136" s="1405">
        <v>3004</v>
      </c>
      <c r="K136" s="1282"/>
      <c r="L136" s="1406">
        <f t="shared" si="4"/>
        <v>6675</v>
      </c>
    </row>
    <row r="137" spans="1:12" ht="13.5">
      <c r="A137" s="1406">
        <v>6700</v>
      </c>
      <c r="B137" s="1405">
        <v>6750</v>
      </c>
      <c r="C137" s="4809">
        <v>514</v>
      </c>
      <c r="D137" s="1406">
        <v>2287</v>
      </c>
      <c r="E137" s="1406">
        <v>2690</v>
      </c>
      <c r="F137" s="1405">
        <v>3026</v>
      </c>
      <c r="G137" s="4809">
        <v>514</v>
      </c>
      <c r="H137" s="1406">
        <v>2287</v>
      </c>
      <c r="I137" s="1406">
        <v>2690</v>
      </c>
      <c r="J137" s="1405">
        <v>3026</v>
      </c>
      <c r="K137" s="1282"/>
      <c r="L137" s="1406">
        <f t="shared" si="4"/>
        <v>6725</v>
      </c>
    </row>
    <row r="138" spans="1:12" ht="13.5">
      <c r="A138" s="1406">
        <v>6750</v>
      </c>
      <c r="B138" s="1405">
        <v>6800</v>
      </c>
      <c r="C138" s="4809">
        <v>518</v>
      </c>
      <c r="D138" s="1406">
        <v>2304</v>
      </c>
      <c r="E138" s="1406">
        <v>2710</v>
      </c>
      <c r="F138" s="1405">
        <v>3049</v>
      </c>
      <c r="G138" s="4809">
        <v>518</v>
      </c>
      <c r="H138" s="1406">
        <v>2304</v>
      </c>
      <c r="I138" s="1406">
        <v>2710</v>
      </c>
      <c r="J138" s="1405">
        <v>3049</v>
      </c>
      <c r="K138" s="1282"/>
      <c r="L138" s="1406">
        <f t="shared" si="4"/>
        <v>6775</v>
      </c>
    </row>
    <row r="139" spans="1:12" ht="13.5">
      <c r="A139" s="1406">
        <v>6800</v>
      </c>
      <c r="B139" s="1405">
        <v>6850</v>
      </c>
      <c r="C139" s="4809">
        <v>522</v>
      </c>
      <c r="D139" s="1406">
        <v>2321</v>
      </c>
      <c r="E139" s="1406">
        <v>2730</v>
      </c>
      <c r="F139" s="1405">
        <v>3071</v>
      </c>
      <c r="G139" s="4809">
        <v>522</v>
      </c>
      <c r="H139" s="1406">
        <v>2321</v>
      </c>
      <c r="I139" s="1406">
        <v>2730</v>
      </c>
      <c r="J139" s="1405">
        <v>3071</v>
      </c>
      <c r="K139" s="1282"/>
      <c r="L139" s="1406">
        <f t="shared" si="4"/>
        <v>6825</v>
      </c>
    </row>
    <row r="140" spans="1:12" ht="13.5">
      <c r="A140" s="1406">
        <v>6850</v>
      </c>
      <c r="B140" s="1405">
        <v>6900</v>
      </c>
      <c r="C140" s="4809">
        <v>526</v>
      </c>
      <c r="D140" s="1406">
        <v>2338</v>
      </c>
      <c r="E140" s="1406">
        <v>2750</v>
      </c>
      <c r="F140" s="1405">
        <v>3094</v>
      </c>
      <c r="G140" s="4809">
        <v>526</v>
      </c>
      <c r="H140" s="1406">
        <v>2338</v>
      </c>
      <c r="I140" s="1406">
        <v>2750</v>
      </c>
      <c r="J140" s="1405">
        <v>3094</v>
      </c>
      <c r="K140" s="1282"/>
      <c r="L140" s="1406">
        <f t="shared" si="4"/>
        <v>6875</v>
      </c>
    </row>
    <row r="141" spans="1:12" ht="13.5">
      <c r="A141" s="1406">
        <v>6900</v>
      </c>
      <c r="B141" s="1405">
        <v>6950</v>
      </c>
      <c r="C141" s="4809">
        <v>530</v>
      </c>
      <c r="D141" s="1406">
        <v>2355</v>
      </c>
      <c r="E141" s="1406">
        <v>2770</v>
      </c>
      <c r="F141" s="1405">
        <v>3116</v>
      </c>
      <c r="G141" s="4809">
        <v>530</v>
      </c>
      <c r="H141" s="1406">
        <v>2355</v>
      </c>
      <c r="I141" s="1406">
        <v>2770</v>
      </c>
      <c r="J141" s="1405">
        <v>3116</v>
      </c>
      <c r="K141" s="1282"/>
      <c r="L141" s="1406">
        <f t="shared" si="4"/>
        <v>6925</v>
      </c>
    </row>
    <row r="142" spans="1:12" ht="13.5">
      <c r="A142" s="1406">
        <v>6950</v>
      </c>
      <c r="B142" s="1405">
        <v>7000</v>
      </c>
      <c r="C142" s="4809">
        <v>534</v>
      </c>
      <c r="D142" s="1406">
        <v>2372</v>
      </c>
      <c r="E142" s="1406">
        <v>2790</v>
      </c>
      <c r="F142" s="1405">
        <v>3139</v>
      </c>
      <c r="G142" s="4809">
        <v>534</v>
      </c>
      <c r="H142" s="1406">
        <v>2372</v>
      </c>
      <c r="I142" s="1406">
        <v>2790</v>
      </c>
      <c r="J142" s="1405">
        <v>3139</v>
      </c>
      <c r="K142" s="1282"/>
      <c r="L142" s="1406">
        <f t="shared" si="4"/>
        <v>6975</v>
      </c>
    </row>
    <row r="143" spans="1:12" ht="13.5">
      <c r="A143" s="1406">
        <v>7000</v>
      </c>
      <c r="B143" s="1405">
        <v>7050</v>
      </c>
      <c r="C143" s="4809">
        <v>537</v>
      </c>
      <c r="D143" s="1406">
        <v>2389</v>
      </c>
      <c r="E143" s="1406">
        <v>2810</v>
      </c>
      <c r="F143" s="1405">
        <v>3161</v>
      </c>
      <c r="G143" s="4809">
        <v>537</v>
      </c>
      <c r="H143" s="1406">
        <v>2389</v>
      </c>
      <c r="I143" s="1406">
        <v>2810</v>
      </c>
      <c r="J143" s="1405">
        <v>3161</v>
      </c>
      <c r="K143" s="1282"/>
      <c r="L143" s="1406">
        <f t="shared" si="4"/>
        <v>7025</v>
      </c>
    </row>
    <row r="144" spans="1:12" ht="13.5">
      <c r="A144" s="1406">
        <v>7050</v>
      </c>
      <c r="B144" s="1405">
        <v>7100</v>
      </c>
      <c r="C144" s="4809">
        <v>541</v>
      </c>
      <c r="D144" s="1406">
        <v>2406</v>
      </c>
      <c r="E144" s="1406">
        <v>2830</v>
      </c>
      <c r="F144" s="1405">
        <v>3184</v>
      </c>
      <c r="G144" s="4809">
        <v>541</v>
      </c>
      <c r="H144" s="1406">
        <v>2406</v>
      </c>
      <c r="I144" s="1406">
        <v>2830</v>
      </c>
      <c r="J144" s="1405">
        <v>3184</v>
      </c>
      <c r="K144" s="1282"/>
      <c r="L144" s="1406">
        <f t="shared" si="4"/>
        <v>7075</v>
      </c>
    </row>
    <row r="145" spans="1:12" ht="13.5">
      <c r="A145" s="1406">
        <v>7100</v>
      </c>
      <c r="B145" s="1405">
        <v>7150</v>
      </c>
      <c r="C145" s="4809">
        <v>545</v>
      </c>
      <c r="D145" s="1406">
        <v>2423</v>
      </c>
      <c r="E145" s="1406">
        <v>2850</v>
      </c>
      <c r="F145" s="1405">
        <v>3206</v>
      </c>
      <c r="G145" s="4809">
        <v>545</v>
      </c>
      <c r="H145" s="1406">
        <v>2423</v>
      </c>
      <c r="I145" s="1406">
        <v>2850</v>
      </c>
      <c r="J145" s="1405">
        <v>3206</v>
      </c>
      <c r="K145" s="1282"/>
      <c r="L145" s="1406">
        <f t="shared" si="4"/>
        <v>7125</v>
      </c>
    </row>
    <row r="146" spans="1:12" ht="13.5">
      <c r="A146" s="1406">
        <v>7150</v>
      </c>
      <c r="B146" s="1405">
        <v>7200</v>
      </c>
      <c r="C146" s="4809">
        <v>549</v>
      </c>
      <c r="D146" s="1406">
        <v>2440</v>
      </c>
      <c r="E146" s="1406">
        <v>2870</v>
      </c>
      <c r="F146" s="1405">
        <v>3229</v>
      </c>
      <c r="G146" s="4809">
        <v>549</v>
      </c>
      <c r="H146" s="1406">
        <v>2440</v>
      </c>
      <c r="I146" s="1406">
        <v>2870</v>
      </c>
      <c r="J146" s="1405">
        <v>3229</v>
      </c>
      <c r="K146" s="1282"/>
      <c r="L146" s="1406">
        <f t="shared" si="4"/>
        <v>7175</v>
      </c>
    </row>
    <row r="147" spans="1:12" ht="13.5">
      <c r="A147" s="1406">
        <v>7200</v>
      </c>
      <c r="B147" s="1405">
        <v>7250</v>
      </c>
      <c r="C147" s="4809">
        <v>553</v>
      </c>
      <c r="D147" s="1406">
        <v>2457</v>
      </c>
      <c r="E147" s="1406">
        <v>2890</v>
      </c>
      <c r="F147" s="1405">
        <v>3251</v>
      </c>
      <c r="G147" s="4809">
        <v>553</v>
      </c>
      <c r="H147" s="1406">
        <v>2457</v>
      </c>
      <c r="I147" s="1406">
        <v>2890</v>
      </c>
      <c r="J147" s="1405">
        <v>3251</v>
      </c>
      <c r="K147" s="1282"/>
      <c r="L147" s="1406">
        <f t="shared" si="4"/>
        <v>7225</v>
      </c>
    </row>
    <row r="148" spans="1:12" ht="13.5">
      <c r="A148" s="1406">
        <v>7250</v>
      </c>
      <c r="B148" s="1405">
        <v>7300</v>
      </c>
      <c r="C148" s="4809">
        <v>557</v>
      </c>
      <c r="D148" s="1406">
        <v>2474</v>
      </c>
      <c r="E148" s="1406">
        <v>2910</v>
      </c>
      <c r="F148" s="1405">
        <v>3274</v>
      </c>
      <c r="G148" s="4809">
        <v>557</v>
      </c>
      <c r="H148" s="1406">
        <v>2474</v>
      </c>
      <c r="I148" s="1406">
        <v>2910</v>
      </c>
      <c r="J148" s="1405">
        <v>3274</v>
      </c>
      <c r="K148" s="1282"/>
      <c r="L148" s="1406">
        <f t="shared" si="4"/>
        <v>7275</v>
      </c>
    </row>
    <row r="149" spans="1:12" ht="13.5">
      <c r="A149" s="1406">
        <v>7300</v>
      </c>
      <c r="B149" s="1405">
        <v>7350</v>
      </c>
      <c r="C149" s="4809">
        <v>560</v>
      </c>
      <c r="D149" s="1406">
        <v>2491</v>
      </c>
      <c r="E149" s="1406">
        <v>2930</v>
      </c>
      <c r="F149" s="1405">
        <v>3296</v>
      </c>
      <c r="G149" s="4809">
        <v>560</v>
      </c>
      <c r="H149" s="1406">
        <v>2491</v>
      </c>
      <c r="I149" s="1406">
        <v>2930</v>
      </c>
      <c r="J149" s="1405">
        <v>3296</v>
      </c>
      <c r="K149" s="1282"/>
      <c r="L149" s="1406">
        <f t="shared" si="4"/>
        <v>7325</v>
      </c>
    </row>
    <row r="150" spans="1:12" ht="13.5">
      <c r="A150" s="1406">
        <v>7350</v>
      </c>
      <c r="B150" s="1405">
        <v>7400</v>
      </c>
      <c r="C150" s="4809">
        <v>564</v>
      </c>
      <c r="D150" s="1406">
        <v>2508</v>
      </c>
      <c r="E150" s="1406">
        <v>2950</v>
      </c>
      <c r="F150" s="1405">
        <v>3319</v>
      </c>
      <c r="G150" s="4809">
        <v>564</v>
      </c>
      <c r="H150" s="1406">
        <v>2508</v>
      </c>
      <c r="I150" s="1406">
        <v>2950</v>
      </c>
      <c r="J150" s="1405">
        <v>3319</v>
      </c>
      <c r="K150" s="1282"/>
      <c r="L150" s="1406">
        <f t="shared" si="4"/>
        <v>7375</v>
      </c>
    </row>
    <row r="151" spans="1:12" ht="13.5">
      <c r="A151" s="1406">
        <v>7400</v>
      </c>
      <c r="B151" s="1405">
        <v>7450</v>
      </c>
      <c r="C151" s="4809">
        <v>568</v>
      </c>
      <c r="D151" s="1406">
        <v>2525</v>
      </c>
      <c r="E151" s="1406">
        <v>2970</v>
      </c>
      <c r="F151" s="1405">
        <v>3341</v>
      </c>
      <c r="G151" s="4809">
        <v>568</v>
      </c>
      <c r="H151" s="1406">
        <v>2525</v>
      </c>
      <c r="I151" s="1406">
        <v>2970</v>
      </c>
      <c r="J151" s="1405">
        <v>3341</v>
      </c>
      <c r="K151" s="1282"/>
      <c r="L151" s="1406">
        <f t="shared" si="4"/>
        <v>7425</v>
      </c>
    </row>
    <row r="152" spans="1:12" ht="13.5">
      <c r="A152" s="1406">
        <v>7450</v>
      </c>
      <c r="B152" s="1405">
        <v>7500</v>
      </c>
      <c r="C152" s="4809">
        <v>572</v>
      </c>
      <c r="D152" s="1406">
        <v>2542</v>
      </c>
      <c r="E152" s="1406">
        <v>2990</v>
      </c>
      <c r="F152" s="1405">
        <v>3364</v>
      </c>
      <c r="G152" s="4809">
        <v>572</v>
      </c>
      <c r="H152" s="1406">
        <v>2542</v>
      </c>
      <c r="I152" s="1406">
        <v>2990</v>
      </c>
      <c r="J152" s="1405">
        <v>3364</v>
      </c>
      <c r="K152" s="1282"/>
      <c r="L152" s="1406">
        <f t="shared" si="4"/>
        <v>7475</v>
      </c>
    </row>
    <row r="153" spans="1:12" ht="13.5">
      <c r="A153" s="1406">
        <v>7500</v>
      </c>
      <c r="B153" s="1405">
        <v>7550</v>
      </c>
      <c r="C153" s="4809">
        <v>576</v>
      </c>
      <c r="D153" s="1406">
        <v>2559</v>
      </c>
      <c r="E153" s="1406">
        <v>3010</v>
      </c>
      <c r="F153" s="1405">
        <v>3386</v>
      </c>
      <c r="G153" s="4809">
        <v>576</v>
      </c>
      <c r="H153" s="1406">
        <v>2559</v>
      </c>
      <c r="I153" s="1406">
        <v>3010</v>
      </c>
      <c r="J153" s="1405">
        <v>3386</v>
      </c>
      <c r="K153" s="1282"/>
      <c r="L153" s="1406">
        <f t="shared" si="4"/>
        <v>7525</v>
      </c>
    </row>
    <row r="154" spans="1:12" ht="13.5">
      <c r="A154" s="1406">
        <v>7550</v>
      </c>
      <c r="B154" s="1405">
        <v>7600</v>
      </c>
      <c r="C154" s="4809">
        <v>579</v>
      </c>
      <c r="D154" s="1406">
        <v>2576</v>
      </c>
      <c r="E154" s="1406">
        <v>3030</v>
      </c>
      <c r="F154" s="1405">
        <v>3409</v>
      </c>
      <c r="G154" s="4809">
        <v>579</v>
      </c>
      <c r="H154" s="1406">
        <v>2576</v>
      </c>
      <c r="I154" s="1406">
        <v>3030</v>
      </c>
      <c r="J154" s="1405">
        <v>3409</v>
      </c>
      <c r="K154" s="1282"/>
      <c r="L154" s="1406">
        <f t="shared" si="4"/>
        <v>7575</v>
      </c>
    </row>
    <row r="155" spans="1:12" ht="13.5">
      <c r="A155" s="1406">
        <v>7600</v>
      </c>
      <c r="B155" s="1405">
        <v>7650</v>
      </c>
      <c r="C155" s="4809">
        <v>583</v>
      </c>
      <c r="D155" s="1406">
        <v>2593</v>
      </c>
      <c r="E155" s="1406">
        <v>3050</v>
      </c>
      <c r="F155" s="1405">
        <v>3431</v>
      </c>
      <c r="G155" s="4809">
        <v>583</v>
      </c>
      <c r="H155" s="1406">
        <v>2593</v>
      </c>
      <c r="I155" s="1406">
        <v>3050</v>
      </c>
      <c r="J155" s="1405">
        <v>3431</v>
      </c>
      <c r="K155" s="1282"/>
      <c r="L155" s="1406">
        <f t="shared" si="4"/>
        <v>7625</v>
      </c>
    </row>
    <row r="156" spans="1:12" ht="13.5">
      <c r="A156" s="1406">
        <v>7650</v>
      </c>
      <c r="B156" s="1405">
        <v>7700</v>
      </c>
      <c r="C156" s="4809">
        <v>587</v>
      </c>
      <c r="D156" s="1406">
        <v>2610</v>
      </c>
      <c r="E156" s="1406">
        <v>3070</v>
      </c>
      <c r="F156" s="1405">
        <v>3454</v>
      </c>
      <c r="G156" s="4809">
        <v>587</v>
      </c>
      <c r="H156" s="1406">
        <v>2610</v>
      </c>
      <c r="I156" s="1406">
        <v>3070</v>
      </c>
      <c r="J156" s="1405">
        <v>3454</v>
      </c>
      <c r="K156" s="1282"/>
      <c r="L156" s="1406">
        <f t="shared" si="4"/>
        <v>7675</v>
      </c>
    </row>
    <row r="157" spans="1:12" ht="13.5">
      <c r="A157" s="1406">
        <v>7700</v>
      </c>
      <c r="B157" s="1405">
        <v>7750</v>
      </c>
      <c r="C157" s="4809">
        <v>591</v>
      </c>
      <c r="D157" s="1406">
        <v>2627</v>
      </c>
      <c r="E157" s="1406">
        <v>3090</v>
      </c>
      <c r="F157" s="1405">
        <v>3476</v>
      </c>
      <c r="G157" s="4809">
        <v>591</v>
      </c>
      <c r="H157" s="1406">
        <v>2627</v>
      </c>
      <c r="I157" s="1406">
        <v>3090</v>
      </c>
      <c r="J157" s="1405">
        <v>3476</v>
      </c>
      <c r="K157" s="1282"/>
      <c r="L157" s="1406">
        <f t="shared" si="4"/>
        <v>7725</v>
      </c>
    </row>
    <row r="158" spans="1:12" ht="13.5">
      <c r="A158" s="1406">
        <v>7750</v>
      </c>
      <c r="B158" s="1405">
        <v>7800</v>
      </c>
      <c r="C158" s="4809">
        <v>595</v>
      </c>
      <c r="D158" s="1406">
        <v>2644</v>
      </c>
      <c r="E158" s="1406">
        <v>3110</v>
      </c>
      <c r="F158" s="1405">
        <v>3499</v>
      </c>
      <c r="G158" s="4809">
        <v>595</v>
      </c>
      <c r="H158" s="1406">
        <v>2644</v>
      </c>
      <c r="I158" s="1406">
        <v>3110</v>
      </c>
      <c r="J158" s="1405">
        <v>3499</v>
      </c>
      <c r="K158" s="1282"/>
      <c r="L158" s="1406">
        <f t="shared" si="4"/>
        <v>7775</v>
      </c>
    </row>
    <row r="159" spans="1:12" ht="13.5">
      <c r="A159" s="1406">
        <v>7800</v>
      </c>
      <c r="B159" s="1405">
        <v>7850</v>
      </c>
      <c r="C159" s="4809">
        <v>600</v>
      </c>
      <c r="D159" s="1406">
        <v>2661</v>
      </c>
      <c r="E159" s="1406">
        <v>3130</v>
      </c>
      <c r="F159" s="1405">
        <v>3521</v>
      </c>
      <c r="G159" s="4809">
        <v>600</v>
      </c>
      <c r="H159" s="1406">
        <v>2661</v>
      </c>
      <c r="I159" s="1406">
        <v>3130</v>
      </c>
      <c r="J159" s="1405">
        <v>3521</v>
      </c>
      <c r="K159" s="1282"/>
      <c r="L159" s="1406">
        <f t="shared" si="4"/>
        <v>7825</v>
      </c>
    </row>
    <row r="160" spans="1:12" ht="13.5">
      <c r="A160" s="1406">
        <v>7850</v>
      </c>
      <c r="B160" s="1405">
        <v>7900</v>
      </c>
      <c r="C160" s="4809">
        <v>600</v>
      </c>
      <c r="D160" s="1406">
        <v>2678</v>
      </c>
      <c r="E160" s="1406">
        <v>3150</v>
      </c>
      <c r="F160" s="1405">
        <v>3544</v>
      </c>
      <c r="G160" s="4809">
        <v>600</v>
      </c>
      <c r="H160" s="1406">
        <v>2678</v>
      </c>
      <c r="I160" s="1406">
        <v>3150</v>
      </c>
      <c r="J160" s="1405">
        <v>3544</v>
      </c>
      <c r="K160" s="1282"/>
      <c r="L160" s="1406">
        <f t="shared" si="4"/>
        <v>7875</v>
      </c>
    </row>
    <row r="161" spans="1:12" ht="13.5">
      <c r="A161" s="1406">
        <v>7900</v>
      </c>
      <c r="B161" s="1405">
        <v>7950</v>
      </c>
      <c r="C161" s="4809">
        <v>600</v>
      </c>
      <c r="D161" s="1406">
        <v>2695</v>
      </c>
      <c r="E161" s="1406">
        <v>3170</v>
      </c>
      <c r="F161" s="1405">
        <v>3566</v>
      </c>
      <c r="G161" s="4809">
        <v>600</v>
      </c>
      <c r="H161" s="1406">
        <v>2695</v>
      </c>
      <c r="I161" s="1406">
        <v>3170</v>
      </c>
      <c r="J161" s="1405">
        <v>3566</v>
      </c>
      <c r="K161" s="1282"/>
      <c r="L161" s="1406">
        <f t="shared" si="4"/>
        <v>7925</v>
      </c>
    </row>
    <row r="162" spans="1:12" ht="13.5">
      <c r="A162" s="1406">
        <v>7950</v>
      </c>
      <c r="B162" s="1405">
        <v>8000</v>
      </c>
      <c r="C162" s="4809">
        <v>600</v>
      </c>
      <c r="D162" s="1406">
        <v>2712</v>
      </c>
      <c r="E162" s="1406">
        <v>3190</v>
      </c>
      <c r="F162" s="1405">
        <v>3589</v>
      </c>
      <c r="G162" s="4809">
        <v>600</v>
      </c>
      <c r="H162" s="1406">
        <v>2712</v>
      </c>
      <c r="I162" s="1406">
        <v>3190</v>
      </c>
      <c r="J162" s="1405">
        <v>3589</v>
      </c>
      <c r="K162" s="1282"/>
      <c r="L162" s="1406">
        <f t="shared" si="4"/>
        <v>7975</v>
      </c>
    </row>
    <row r="163" spans="1:12" ht="13.5">
      <c r="A163" s="1406">
        <v>8000</v>
      </c>
      <c r="B163" s="1405">
        <v>8050</v>
      </c>
      <c r="C163" s="4809">
        <v>600</v>
      </c>
      <c r="D163" s="1406">
        <v>2729</v>
      </c>
      <c r="E163" s="1406">
        <v>3210</v>
      </c>
      <c r="F163" s="1405">
        <v>3611</v>
      </c>
      <c r="G163" s="4809">
        <v>600</v>
      </c>
      <c r="H163" s="1406">
        <v>2729</v>
      </c>
      <c r="I163" s="1406">
        <v>3210</v>
      </c>
      <c r="J163" s="1405">
        <v>3611</v>
      </c>
      <c r="K163" s="1282"/>
      <c r="L163" s="1406">
        <f t="shared" si="4"/>
        <v>8025</v>
      </c>
    </row>
    <row r="164" spans="1:12" ht="13.5">
      <c r="A164" s="1406">
        <v>8050</v>
      </c>
      <c r="B164" s="1405">
        <v>8100</v>
      </c>
      <c r="C164" s="4809">
        <v>600</v>
      </c>
      <c r="D164" s="1406">
        <v>2746</v>
      </c>
      <c r="E164" s="1406">
        <v>3230</v>
      </c>
      <c r="F164" s="1405">
        <v>3634</v>
      </c>
      <c r="G164" s="4809">
        <v>600</v>
      </c>
      <c r="H164" s="1406">
        <v>2746</v>
      </c>
      <c r="I164" s="1406">
        <v>3230</v>
      </c>
      <c r="J164" s="1405">
        <v>3634</v>
      </c>
      <c r="K164" s="1282"/>
      <c r="L164" s="1406">
        <f t="shared" si="4"/>
        <v>8075</v>
      </c>
    </row>
    <row r="165" spans="1:12" ht="13.5">
      <c r="A165" s="1406">
        <v>8100</v>
      </c>
      <c r="B165" s="1405">
        <v>8150</v>
      </c>
      <c r="C165" s="4809">
        <v>600</v>
      </c>
      <c r="D165" s="1406">
        <v>2763</v>
      </c>
      <c r="E165" s="1406">
        <v>3250</v>
      </c>
      <c r="F165" s="1405">
        <v>3656</v>
      </c>
      <c r="G165" s="4809">
        <v>600</v>
      </c>
      <c r="H165" s="1406">
        <v>2763</v>
      </c>
      <c r="I165" s="1406">
        <v>3250</v>
      </c>
      <c r="J165" s="1405">
        <v>3656</v>
      </c>
      <c r="K165" s="1282"/>
      <c r="L165" s="1406">
        <f t="shared" si="4"/>
        <v>8125</v>
      </c>
    </row>
    <row r="166" spans="1:12" ht="13.5">
      <c r="A166" s="1406">
        <v>8150</v>
      </c>
      <c r="B166" s="1405">
        <v>8200</v>
      </c>
      <c r="C166" s="4809">
        <v>600</v>
      </c>
      <c r="D166" s="1406">
        <v>2780</v>
      </c>
      <c r="E166" s="1406">
        <v>3270</v>
      </c>
      <c r="F166" s="1405">
        <v>3679</v>
      </c>
      <c r="G166" s="4809">
        <v>600</v>
      </c>
      <c r="H166" s="1406">
        <v>2780</v>
      </c>
      <c r="I166" s="1406">
        <v>3270</v>
      </c>
      <c r="J166" s="1405">
        <v>3679</v>
      </c>
      <c r="K166" s="1282"/>
      <c r="L166" s="1406">
        <f t="shared" si="4"/>
        <v>8175</v>
      </c>
    </row>
    <row r="167" spans="1:12" ht="13.5">
      <c r="A167" s="1406">
        <v>8200</v>
      </c>
      <c r="B167" s="1405">
        <v>8250</v>
      </c>
      <c r="C167" s="4809">
        <v>600</v>
      </c>
      <c r="D167" s="1406">
        <v>2797</v>
      </c>
      <c r="E167" s="1406">
        <v>3290</v>
      </c>
      <c r="F167" s="1405">
        <v>3701</v>
      </c>
      <c r="G167" s="4809">
        <v>600</v>
      </c>
      <c r="H167" s="1406">
        <v>2797</v>
      </c>
      <c r="I167" s="1406">
        <v>3290</v>
      </c>
      <c r="J167" s="1405">
        <v>3701</v>
      </c>
      <c r="K167" s="1282"/>
      <c r="L167" s="1406">
        <f t="shared" si="4"/>
        <v>8225</v>
      </c>
    </row>
    <row r="168" spans="1:12" ht="13.5">
      <c r="A168" s="1406">
        <v>8250</v>
      </c>
      <c r="B168" s="1405">
        <v>8300</v>
      </c>
      <c r="C168" s="4809">
        <v>600</v>
      </c>
      <c r="D168" s="1406">
        <v>2814</v>
      </c>
      <c r="E168" s="1406">
        <v>3310</v>
      </c>
      <c r="F168" s="1405">
        <v>3724</v>
      </c>
      <c r="G168" s="4809">
        <v>600</v>
      </c>
      <c r="H168" s="1406">
        <v>2814</v>
      </c>
      <c r="I168" s="1406">
        <v>3310</v>
      </c>
      <c r="J168" s="1405">
        <v>3724</v>
      </c>
      <c r="K168" s="1282"/>
      <c r="L168" s="1406">
        <f t="shared" si="4"/>
        <v>8275</v>
      </c>
    </row>
    <row r="169" spans="1:12" ht="13.5">
      <c r="A169" s="1406">
        <v>8300</v>
      </c>
      <c r="B169" s="1405">
        <v>8350</v>
      </c>
      <c r="C169" s="4809">
        <v>600</v>
      </c>
      <c r="D169" s="1406">
        <v>2831</v>
      </c>
      <c r="E169" s="1406">
        <v>3330</v>
      </c>
      <c r="F169" s="1405">
        <v>3746</v>
      </c>
      <c r="G169" s="4809">
        <v>600</v>
      </c>
      <c r="H169" s="1406">
        <v>2831</v>
      </c>
      <c r="I169" s="1406">
        <v>3330</v>
      </c>
      <c r="J169" s="1405">
        <v>3746</v>
      </c>
      <c r="K169" s="1282"/>
      <c r="L169" s="1406">
        <f t="shared" si="4"/>
        <v>8325</v>
      </c>
    </row>
    <row r="170" spans="1:12" ht="13.5">
      <c r="A170" s="1406">
        <v>8350</v>
      </c>
      <c r="B170" s="1405">
        <v>8400</v>
      </c>
      <c r="C170" s="4809">
        <v>600</v>
      </c>
      <c r="D170" s="1406">
        <v>2848</v>
      </c>
      <c r="E170" s="1406">
        <v>3350</v>
      </c>
      <c r="F170" s="1405">
        <v>3769</v>
      </c>
      <c r="G170" s="4809">
        <v>600</v>
      </c>
      <c r="H170" s="1406">
        <v>2848</v>
      </c>
      <c r="I170" s="1406">
        <v>3350</v>
      </c>
      <c r="J170" s="1405">
        <v>3769</v>
      </c>
      <c r="K170" s="1282"/>
      <c r="L170" s="1406">
        <f t="shared" si="4"/>
        <v>8375</v>
      </c>
    </row>
    <row r="171" spans="1:12" ht="13.5">
      <c r="A171" s="1406">
        <v>8400</v>
      </c>
      <c r="B171" s="1405">
        <v>8450</v>
      </c>
      <c r="C171" s="4809">
        <v>600</v>
      </c>
      <c r="D171" s="1406">
        <v>2865</v>
      </c>
      <c r="E171" s="1406">
        <v>3370</v>
      </c>
      <c r="F171" s="1405">
        <v>3791</v>
      </c>
      <c r="G171" s="4809">
        <v>600</v>
      </c>
      <c r="H171" s="1406">
        <v>2865</v>
      </c>
      <c r="I171" s="1406">
        <v>3370</v>
      </c>
      <c r="J171" s="1405">
        <v>3791</v>
      </c>
      <c r="K171" s="1282"/>
      <c r="L171" s="1406">
        <f t="shared" si="4"/>
        <v>8425</v>
      </c>
    </row>
    <row r="172" spans="1:12" ht="13.5">
      <c r="A172" s="1406">
        <v>8450</v>
      </c>
      <c r="B172" s="1405">
        <v>8500</v>
      </c>
      <c r="C172" s="4809">
        <v>600</v>
      </c>
      <c r="D172" s="1406">
        <v>2882</v>
      </c>
      <c r="E172" s="1406">
        <v>3390</v>
      </c>
      <c r="F172" s="1405">
        <v>3814</v>
      </c>
      <c r="G172" s="4809">
        <v>600</v>
      </c>
      <c r="H172" s="1406">
        <v>2882</v>
      </c>
      <c r="I172" s="1406">
        <v>3390</v>
      </c>
      <c r="J172" s="1405">
        <v>3814</v>
      </c>
      <c r="K172" s="1282"/>
      <c r="L172" s="1406">
        <f t="shared" si="4"/>
        <v>8475</v>
      </c>
    </row>
    <row r="173" spans="1:12" ht="13.5">
      <c r="A173" s="1406">
        <v>8500</v>
      </c>
      <c r="B173" s="1405">
        <v>8550</v>
      </c>
      <c r="C173" s="4809">
        <v>600</v>
      </c>
      <c r="D173" s="1406">
        <v>2899</v>
      </c>
      <c r="E173" s="1406">
        <v>3410</v>
      </c>
      <c r="F173" s="1405">
        <v>3836</v>
      </c>
      <c r="G173" s="4809">
        <v>600</v>
      </c>
      <c r="H173" s="1406">
        <v>2899</v>
      </c>
      <c r="I173" s="1406">
        <v>3410</v>
      </c>
      <c r="J173" s="1405">
        <v>3836</v>
      </c>
      <c r="K173" s="1282"/>
      <c r="L173" s="1406">
        <f t="shared" si="4"/>
        <v>8525</v>
      </c>
    </row>
    <row r="174" spans="1:12" ht="13.5">
      <c r="A174" s="1406">
        <v>8550</v>
      </c>
      <c r="B174" s="1405">
        <v>8600</v>
      </c>
      <c r="C174" s="4809">
        <v>600</v>
      </c>
      <c r="D174" s="1406">
        <v>2916</v>
      </c>
      <c r="E174" s="1406">
        <v>3430</v>
      </c>
      <c r="F174" s="1405">
        <v>3859</v>
      </c>
      <c r="G174" s="4809">
        <v>600</v>
      </c>
      <c r="H174" s="1406">
        <v>2916</v>
      </c>
      <c r="I174" s="1406">
        <v>3430</v>
      </c>
      <c r="J174" s="1405">
        <v>3859</v>
      </c>
      <c r="K174" s="1282"/>
      <c r="L174" s="1406">
        <f t="shared" si="4"/>
        <v>8575</v>
      </c>
    </row>
    <row r="175" spans="1:12" ht="13.5">
      <c r="A175" s="1406">
        <v>8600</v>
      </c>
      <c r="B175" s="1405">
        <v>8650</v>
      </c>
      <c r="C175" s="4809">
        <v>600</v>
      </c>
      <c r="D175" s="1406">
        <v>2933</v>
      </c>
      <c r="E175" s="1406">
        <v>3450</v>
      </c>
      <c r="F175" s="1405">
        <v>3881</v>
      </c>
      <c r="G175" s="4809">
        <v>600</v>
      </c>
      <c r="H175" s="1406">
        <v>2933</v>
      </c>
      <c r="I175" s="1406">
        <v>3450</v>
      </c>
      <c r="J175" s="1405">
        <v>3881</v>
      </c>
      <c r="K175" s="1282"/>
      <c r="L175" s="1406">
        <f t="shared" si="4"/>
        <v>8625</v>
      </c>
    </row>
    <row r="176" spans="1:12" ht="13.5">
      <c r="A176" s="1406">
        <v>8650</v>
      </c>
      <c r="B176" s="1405">
        <v>8700</v>
      </c>
      <c r="C176" s="4809">
        <v>600</v>
      </c>
      <c r="D176" s="1406">
        <v>2950</v>
      </c>
      <c r="E176" s="1406">
        <v>3470</v>
      </c>
      <c r="F176" s="1405">
        <v>3904</v>
      </c>
      <c r="G176" s="4809">
        <v>600</v>
      </c>
      <c r="H176" s="1406">
        <v>2950</v>
      </c>
      <c r="I176" s="1406">
        <v>3470</v>
      </c>
      <c r="J176" s="1405">
        <v>3904</v>
      </c>
      <c r="K176" s="1282"/>
      <c r="L176" s="1406">
        <f t="shared" si="4"/>
        <v>8675</v>
      </c>
    </row>
    <row r="177" spans="1:12" ht="13.5">
      <c r="A177" s="1406">
        <v>8700</v>
      </c>
      <c r="B177" s="1405">
        <v>8750</v>
      </c>
      <c r="C177" s="4809">
        <v>600</v>
      </c>
      <c r="D177" s="1406">
        <v>2967</v>
      </c>
      <c r="E177" s="1406">
        <v>3490</v>
      </c>
      <c r="F177" s="1405">
        <v>3926</v>
      </c>
      <c r="G177" s="4809">
        <v>600</v>
      </c>
      <c r="H177" s="1406">
        <v>2967</v>
      </c>
      <c r="I177" s="1406">
        <v>3490</v>
      </c>
      <c r="J177" s="1405">
        <v>3926</v>
      </c>
      <c r="K177" s="1282"/>
      <c r="L177" s="1406">
        <f t="shared" si="4"/>
        <v>8725</v>
      </c>
    </row>
    <row r="178" spans="1:12" ht="13.5">
      <c r="A178" s="1406">
        <v>8750</v>
      </c>
      <c r="B178" s="1405">
        <v>8800</v>
      </c>
      <c r="C178" s="4809">
        <v>600</v>
      </c>
      <c r="D178" s="1406">
        <v>2984</v>
      </c>
      <c r="E178" s="1406">
        <v>3510</v>
      </c>
      <c r="F178" s="1405">
        <v>3949</v>
      </c>
      <c r="G178" s="4809">
        <v>600</v>
      </c>
      <c r="H178" s="1406">
        <v>2984</v>
      </c>
      <c r="I178" s="1406">
        <v>3510</v>
      </c>
      <c r="J178" s="1405">
        <v>3949</v>
      </c>
      <c r="K178" s="1282"/>
      <c r="L178" s="1406">
        <f t="shared" si="4"/>
        <v>8775</v>
      </c>
    </row>
    <row r="179" spans="1:12" ht="13.5">
      <c r="A179" s="1406">
        <v>8800</v>
      </c>
      <c r="B179" s="1405">
        <v>8850</v>
      </c>
      <c r="C179" s="4809">
        <v>600</v>
      </c>
      <c r="D179" s="1406">
        <v>3001</v>
      </c>
      <c r="E179" s="1406">
        <v>3530</v>
      </c>
      <c r="F179" s="1405">
        <v>3971</v>
      </c>
      <c r="G179" s="4809">
        <v>600</v>
      </c>
      <c r="H179" s="1406">
        <v>3001</v>
      </c>
      <c r="I179" s="1406">
        <v>3530</v>
      </c>
      <c r="J179" s="1405">
        <v>3971</v>
      </c>
      <c r="K179" s="1282"/>
      <c r="L179" s="1406">
        <f t="shared" si="4"/>
        <v>8825</v>
      </c>
    </row>
    <row r="180" spans="1:12" ht="13.5">
      <c r="A180" s="1406">
        <v>8850</v>
      </c>
      <c r="B180" s="1405">
        <v>8900</v>
      </c>
      <c r="C180" s="4809">
        <v>600</v>
      </c>
      <c r="D180" s="1406">
        <v>3018</v>
      </c>
      <c r="E180" s="1406">
        <v>3550</v>
      </c>
      <c r="F180" s="1405">
        <v>3994</v>
      </c>
      <c r="G180" s="4809">
        <v>600</v>
      </c>
      <c r="H180" s="1406">
        <v>3018</v>
      </c>
      <c r="I180" s="1406">
        <v>3550</v>
      </c>
      <c r="J180" s="1405">
        <v>3994</v>
      </c>
      <c r="K180" s="1282"/>
      <c r="L180" s="1406">
        <f t="shared" si="4"/>
        <v>8875</v>
      </c>
    </row>
    <row r="181" spans="1:12" ht="13.5">
      <c r="A181" s="1406">
        <v>8900</v>
      </c>
      <c r="B181" s="1405">
        <v>8950</v>
      </c>
      <c r="C181" s="4809">
        <v>600</v>
      </c>
      <c r="D181" s="1406">
        <v>3035</v>
      </c>
      <c r="E181" s="1406">
        <v>3570</v>
      </c>
      <c r="F181" s="1405">
        <v>4016</v>
      </c>
      <c r="G181" s="4809">
        <v>600</v>
      </c>
      <c r="H181" s="1406">
        <v>3035</v>
      </c>
      <c r="I181" s="1406">
        <v>3570</v>
      </c>
      <c r="J181" s="1405">
        <v>4016</v>
      </c>
      <c r="K181" s="1282"/>
      <c r="L181" s="1406">
        <f t="shared" si="4"/>
        <v>8925</v>
      </c>
    </row>
    <row r="182" spans="1:12" ht="13.5">
      <c r="A182" s="1406">
        <v>8950</v>
      </c>
      <c r="B182" s="1405">
        <v>9000</v>
      </c>
      <c r="C182" s="4809">
        <v>600</v>
      </c>
      <c r="D182" s="1406">
        <v>3052</v>
      </c>
      <c r="E182" s="1406">
        <v>3590</v>
      </c>
      <c r="F182" s="1405">
        <v>4039</v>
      </c>
      <c r="G182" s="4809">
        <v>600</v>
      </c>
      <c r="H182" s="1406">
        <v>3052</v>
      </c>
      <c r="I182" s="1406">
        <v>3590</v>
      </c>
      <c r="J182" s="1405">
        <v>4039</v>
      </c>
      <c r="K182" s="1282"/>
      <c r="L182" s="1406">
        <f t="shared" si="4"/>
        <v>8975</v>
      </c>
    </row>
    <row r="183" spans="1:12" ht="13.5">
      <c r="A183" s="1406">
        <v>9000</v>
      </c>
      <c r="B183" s="1405">
        <v>9050</v>
      </c>
      <c r="C183" s="4809">
        <v>600</v>
      </c>
      <c r="D183" s="1406">
        <v>3069</v>
      </c>
      <c r="E183" s="1406">
        <v>3610</v>
      </c>
      <c r="F183" s="1405">
        <v>4061</v>
      </c>
      <c r="G183" s="4809">
        <v>600</v>
      </c>
      <c r="H183" s="1406">
        <v>3069</v>
      </c>
      <c r="I183" s="1406">
        <v>3610</v>
      </c>
      <c r="J183" s="1405">
        <v>4061</v>
      </c>
      <c r="K183" s="1282"/>
      <c r="L183" s="1406">
        <f t="shared" si="4"/>
        <v>9025</v>
      </c>
    </row>
    <row r="184" spans="1:12" ht="13.5">
      <c r="A184" s="1406">
        <v>9050</v>
      </c>
      <c r="B184" s="1405">
        <v>9100</v>
      </c>
      <c r="C184" s="4809">
        <v>600</v>
      </c>
      <c r="D184" s="1406">
        <v>3086</v>
      </c>
      <c r="E184" s="1406">
        <v>3630</v>
      </c>
      <c r="F184" s="1405">
        <v>4084</v>
      </c>
      <c r="G184" s="4809">
        <v>600</v>
      </c>
      <c r="H184" s="1406">
        <v>3086</v>
      </c>
      <c r="I184" s="1406">
        <v>3630</v>
      </c>
      <c r="J184" s="1405">
        <v>4084</v>
      </c>
      <c r="K184" s="1282"/>
      <c r="L184" s="1406">
        <f t="shared" si="4"/>
        <v>9075</v>
      </c>
    </row>
    <row r="185" spans="1:12" ht="13.5">
      <c r="A185" s="1406">
        <v>9100</v>
      </c>
      <c r="B185" s="1405">
        <v>9150</v>
      </c>
      <c r="C185" s="4809">
        <v>600</v>
      </c>
      <c r="D185" s="1406">
        <v>3103</v>
      </c>
      <c r="E185" s="1406">
        <v>3650</v>
      </c>
      <c r="F185" s="1405">
        <v>4106</v>
      </c>
      <c r="G185" s="4809">
        <v>600</v>
      </c>
      <c r="H185" s="1406">
        <v>3103</v>
      </c>
      <c r="I185" s="1406">
        <v>3650</v>
      </c>
      <c r="J185" s="1405">
        <v>4106</v>
      </c>
      <c r="K185" s="1282"/>
      <c r="L185" s="1406">
        <f t="shared" si="4"/>
        <v>9125</v>
      </c>
    </row>
    <row r="186" spans="1:12" ht="13.5">
      <c r="A186" s="1406">
        <v>9150</v>
      </c>
      <c r="B186" s="1405">
        <v>9200</v>
      </c>
      <c r="C186" s="4809">
        <v>600</v>
      </c>
      <c r="D186" s="1406">
        <v>3120</v>
      </c>
      <c r="E186" s="1406">
        <v>3670</v>
      </c>
      <c r="F186" s="1405">
        <v>4129</v>
      </c>
      <c r="G186" s="4809">
        <v>600</v>
      </c>
      <c r="H186" s="1406">
        <v>3120</v>
      </c>
      <c r="I186" s="1406">
        <v>3670</v>
      </c>
      <c r="J186" s="1405">
        <v>4129</v>
      </c>
      <c r="K186" s="1282"/>
      <c r="L186" s="1406">
        <f t="shared" si="4"/>
        <v>9175</v>
      </c>
    </row>
    <row r="187" spans="1:12" ht="13.5">
      <c r="A187" s="1406">
        <v>9200</v>
      </c>
      <c r="B187" s="1405">
        <v>9250</v>
      </c>
      <c r="C187" s="4809">
        <v>600</v>
      </c>
      <c r="D187" s="1406">
        <v>3137</v>
      </c>
      <c r="E187" s="1406">
        <v>3690</v>
      </c>
      <c r="F187" s="1405">
        <v>4151</v>
      </c>
      <c r="G187" s="4809">
        <v>600</v>
      </c>
      <c r="H187" s="1406">
        <v>3137</v>
      </c>
      <c r="I187" s="1406">
        <v>3690</v>
      </c>
      <c r="J187" s="1405">
        <v>4151</v>
      </c>
      <c r="K187" s="1282"/>
      <c r="L187" s="1406">
        <f t="shared" si="4"/>
        <v>9225</v>
      </c>
    </row>
    <row r="188" spans="1:12" ht="13.5">
      <c r="A188" s="1406">
        <v>9250</v>
      </c>
      <c r="B188" s="1405">
        <v>9300</v>
      </c>
      <c r="C188" s="4809">
        <v>600</v>
      </c>
      <c r="D188" s="1406">
        <v>3154</v>
      </c>
      <c r="E188" s="1406">
        <v>3710</v>
      </c>
      <c r="F188" s="1405">
        <v>4174</v>
      </c>
      <c r="G188" s="4809">
        <v>600</v>
      </c>
      <c r="H188" s="1406">
        <v>3154</v>
      </c>
      <c r="I188" s="1406">
        <v>3710</v>
      </c>
      <c r="J188" s="1405">
        <v>4174</v>
      </c>
      <c r="K188" s="1282"/>
      <c r="L188" s="1406">
        <f t="shared" si="4"/>
        <v>9275</v>
      </c>
    </row>
    <row r="189" spans="1:12" ht="13.5">
      <c r="A189" s="1406">
        <v>9300</v>
      </c>
      <c r="B189" s="1405">
        <v>9350</v>
      </c>
      <c r="C189" s="4809">
        <v>600</v>
      </c>
      <c r="D189" s="1406">
        <v>3171</v>
      </c>
      <c r="E189" s="1406">
        <v>3730</v>
      </c>
      <c r="F189" s="1405">
        <v>4196</v>
      </c>
      <c r="G189" s="4809">
        <v>600</v>
      </c>
      <c r="H189" s="1406">
        <v>3171</v>
      </c>
      <c r="I189" s="1406">
        <v>3730</v>
      </c>
      <c r="J189" s="1405">
        <v>4196</v>
      </c>
      <c r="K189" s="1282"/>
      <c r="L189" s="1406">
        <f t="shared" si="4"/>
        <v>9325</v>
      </c>
    </row>
    <row r="190" spans="1:12" ht="13.5">
      <c r="A190" s="1406">
        <v>9350</v>
      </c>
      <c r="B190" s="1405">
        <v>9400</v>
      </c>
      <c r="C190" s="4809">
        <v>600</v>
      </c>
      <c r="D190" s="1406">
        <v>3188</v>
      </c>
      <c r="E190" s="1406">
        <v>3750</v>
      </c>
      <c r="F190" s="1405">
        <v>4219</v>
      </c>
      <c r="G190" s="4809">
        <v>600</v>
      </c>
      <c r="H190" s="1406">
        <v>3188</v>
      </c>
      <c r="I190" s="1406">
        <v>3750</v>
      </c>
      <c r="J190" s="1405">
        <v>4219</v>
      </c>
      <c r="K190" s="1282"/>
      <c r="L190" s="1406">
        <f t="shared" si="4"/>
        <v>9375</v>
      </c>
    </row>
    <row r="191" spans="1:12" ht="13.5">
      <c r="A191" s="1406">
        <v>9400</v>
      </c>
      <c r="B191" s="1405">
        <v>9450</v>
      </c>
      <c r="C191" s="4809">
        <v>600</v>
      </c>
      <c r="D191" s="1406">
        <v>3205</v>
      </c>
      <c r="E191" s="1406">
        <v>3770</v>
      </c>
      <c r="F191" s="1405">
        <v>4241</v>
      </c>
      <c r="G191" s="4809">
        <v>600</v>
      </c>
      <c r="H191" s="1406">
        <v>3205</v>
      </c>
      <c r="I191" s="1406">
        <v>3770</v>
      </c>
      <c r="J191" s="1405">
        <v>4241</v>
      </c>
      <c r="K191" s="1282"/>
      <c r="L191" s="1406">
        <f t="shared" si="4"/>
        <v>9425</v>
      </c>
    </row>
    <row r="192" spans="1:12" ht="13.5">
      <c r="A192" s="1406">
        <v>9450</v>
      </c>
      <c r="B192" s="1405">
        <v>9500</v>
      </c>
      <c r="C192" s="4809">
        <v>600</v>
      </c>
      <c r="D192" s="1406">
        <v>3222</v>
      </c>
      <c r="E192" s="1406">
        <v>3790</v>
      </c>
      <c r="F192" s="1405">
        <v>4264</v>
      </c>
      <c r="G192" s="4809">
        <v>600</v>
      </c>
      <c r="H192" s="1406">
        <v>3222</v>
      </c>
      <c r="I192" s="1406">
        <v>3790</v>
      </c>
      <c r="J192" s="1405">
        <v>4264</v>
      </c>
      <c r="K192" s="1282"/>
      <c r="L192" s="1406">
        <f t="shared" si="4"/>
        <v>9475</v>
      </c>
    </row>
    <row r="193" spans="1:12" ht="13.5">
      <c r="A193" s="1406">
        <v>9500</v>
      </c>
      <c r="B193" s="1405">
        <v>9550</v>
      </c>
      <c r="C193" s="4809">
        <v>600</v>
      </c>
      <c r="D193" s="1406">
        <v>3239</v>
      </c>
      <c r="E193" s="1406">
        <v>3810</v>
      </c>
      <c r="F193" s="1405">
        <v>4286</v>
      </c>
      <c r="G193" s="4809">
        <v>600</v>
      </c>
      <c r="H193" s="1406">
        <v>3239</v>
      </c>
      <c r="I193" s="1406">
        <v>3810</v>
      </c>
      <c r="J193" s="1405">
        <v>4286</v>
      </c>
      <c r="K193" s="1282"/>
      <c r="L193" s="1406">
        <f t="shared" si="4"/>
        <v>9525</v>
      </c>
    </row>
    <row r="194" spans="1:12" ht="13.5">
      <c r="A194" s="1406">
        <v>9550</v>
      </c>
      <c r="B194" s="1405">
        <v>9600</v>
      </c>
      <c r="C194" s="4809">
        <v>600</v>
      </c>
      <c r="D194" s="1406">
        <v>3256</v>
      </c>
      <c r="E194" s="1406">
        <v>3830</v>
      </c>
      <c r="F194" s="1405">
        <v>4309</v>
      </c>
      <c r="G194" s="4809">
        <v>600</v>
      </c>
      <c r="H194" s="1406">
        <v>3256</v>
      </c>
      <c r="I194" s="1406">
        <v>3830</v>
      </c>
      <c r="J194" s="1405">
        <v>4309</v>
      </c>
      <c r="K194" s="1282"/>
      <c r="L194" s="1406">
        <f t="shared" si="4"/>
        <v>9575</v>
      </c>
    </row>
    <row r="195" spans="1:12" ht="13.5">
      <c r="A195" s="1406">
        <v>9600</v>
      </c>
      <c r="B195" s="1405">
        <v>9650</v>
      </c>
      <c r="C195" s="4809">
        <v>600</v>
      </c>
      <c r="D195" s="1406">
        <v>3273</v>
      </c>
      <c r="E195" s="1406">
        <v>3850</v>
      </c>
      <c r="F195" s="1405">
        <v>4331</v>
      </c>
      <c r="G195" s="4809">
        <v>600</v>
      </c>
      <c r="H195" s="1406">
        <v>3273</v>
      </c>
      <c r="I195" s="1406">
        <v>3850</v>
      </c>
      <c r="J195" s="1405">
        <v>4331</v>
      </c>
      <c r="K195" s="1282"/>
      <c r="L195" s="1406">
        <f t="shared" si="4"/>
        <v>9625</v>
      </c>
    </row>
    <row r="196" spans="1:12" ht="13.5">
      <c r="A196" s="1406">
        <v>9650</v>
      </c>
      <c r="B196" s="1405">
        <v>9700</v>
      </c>
      <c r="C196" s="4809">
        <v>600</v>
      </c>
      <c r="D196" s="1406">
        <v>3290</v>
      </c>
      <c r="E196" s="1406">
        <v>3870</v>
      </c>
      <c r="F196" s="1405">
        <v>4354</v>
      </c>
      <c r="G196" s="4809">
        <v>600</v>
      </c>
      <c r="H196" s="1406">
        <v>3290</v>
      </c>
      <c r="I196" s="1406">
        <v>3870</v>
      </c>
      <c r="J196" s="1405">
        <v>4354</v>
      </c>
      <c r="K196" s="1282"/>
      <c r="L196" s="1406">
        <f t="shared" ref="L196:L259" si="5">ROUND((A196+B196)/2,2)</f>
        <v>9675</v>
      </c>
    </row>
    <row r="197" spans="1:12" ht="13.5">
      <c r="A197" s="1406">
        <v>9700</v>
      </c>
      <c r="B197" s="1405">
        <v>9750</v>
      </c>
      <c r="C197" s="4809">
        <v>600</v>
      </c>
      <c r="D197" s="1406">
        <v>3307</v>
      </c>
      <c r="E197" s="1406">
        <v>3890</v>
      </c>
      <c r="F197" s="1405">
        <v>4376</v>
      </c>
      <c r="G197" s="4809">
        <v>600</v>
      </c>
      <c r="H197" s="1406">
        <v>3307</v>
      </c>
      <c r="I197" s="1406">
        <v>3890</v>
      </c>
      <c r="J197" s="1405">
        <v>4376</v>
      </c>
      <c r="K197" s="1282"/>
      <c r="L197" s="1406">
        <f t="shared" si="5"/>
        <v>9725</v>
      </c>
    </row>
    <row r="198" spans="1:12" ht="13.5">
      <c r="A198" s="1406">
        <v>9750</v>
      </c>
      <c r="B198" s="1405">
        <v>9800</v>
      </c>
      <c r="C198" s="4809">
        <v>600</v>
      </c>
      <c r="D198" s="1406">
        <v>3324</v>
      </c>
      <c r="E198" s="1406">
        <v>3910</v>
      </c>
      <c r="F198" s="1405">
        <v>4399</v>
      </c>
      <c r="G198" s="4809">
        <v>600</v>
      </c>
      <c r="H198" s="1406">
        <v>3324</v>
      </c>
      <c r="I198" s="1406">
        <v>3910</v>
      </c>
      <c r="J198" s="1405">
        <v>4399</v>
      </c>
      <c r="K198" s="1282"/>
      <c r="L198" s="1406">
        <f t="shared" si="5"/>
        <v>9775</v>
      </c>
    </row>
    <row r="199" spans="1:12" ht="13.5">
      <c r="A199" s="1406">
        <v>9800</v>
      </c>
      <c r="B199" s="1405">
        <v>9850</v>
      </c>
      <c r="C199" s="4809">
        <v>598</v>
      </c>
      <c r="D199" s="1406">
        <v>3341</v>
      </c>
      <c r="E199" s="1406">
        <v>3930</v>
      </c>
      <c r="F199" s="1405">
        <v>4421</v>
      </c>
      <c r="G199" s="4809">
        <v>600</v>
      </c>
      <c r="H199" s="1406">
        <v>3341</v>
      </c>
      <c r="I199" s="1406">
        <v>3930</v>
      </c>
      <c r="J199" s="1405">
        <v>4421</v>
      </c>
      <c r="K199" s="1282"/>
      <c r="L199" s="1406">
        <f t="shared" si="5"/>
        <v>9825</v>
      </c>
    </row>
    <row r="200" spans="1:12" ht="13.5">
      <c r="A200" s="1406">
        <v>9850</v>
      </c>
      <c r="B200" s="1405">
        <v>9900</v>
      </c>
      <c r="C200" s="4809">
        <v>594</v>
      </c>
      <c r="D200" s="1406">
        <v>3358</v>
      </c>
      <c r="E200" s="1406">
        <v>3950</v>
      </c>
      <c r="F200" s="1405">
        <v>4444</v>
      </c>
      <c r="G200" s="4809">
        <v>600</v>
      </c>
      <c r="H200" s="1406">
        <v>3358</v>
      </c>
      <c r="I200" s="1406">
        <v>3950</v>
      </c>
      <c r="J200" s="1405">
        <v>4444</v>
      </c>
      <c r="K200" s="1282"/>
      <c r="L200" s="1406">
        <f t="shared" si="5"/>
        <v>9875</v>
      </c>
    </row>
    <row r="201" spans="1:12" ht="13.5">
      <c r="A201" s="1406">
        <v>9900</v>
      </c>
      <c r="B201" s="1405">
        <v>9950</v>
      </c>
      <c r="C201" s="4809">
        <v>590</v>
      </c>
      <c r="D201" s="1406">
        <v>3375</v>
      </c>
      <c r="E201" s="1406">
        <v>3970</v>
      </c>
      <c r="F201" s="1405">
        <v>4466</v>
      </c>
      <c r="G201" s="4809">
        <v>600</v>
      </c>
      <c r="H201" s="1406">
        <v>3375</v>
      </c>
      <c r="I201" s="1406">
        <v>3970</v>
      </c>
      <c r="J201" s="1405">
        <v>4466</v>
      </c>
      <c r="K201" s="1282"/>
      <c r="L201" s="1406">
        <f t="shared" si="5"/>
        <v>9925</v>
      </c>
    </row>
    <row r="202" spans="1:12" ht="13.5">
      <c r="A202" s="1406">
        <v>9950</v>
      </c>
      <c r="B202" s="1405">
        <v>10000</v>
      </c>
      <c r="C202" s="4809">
        <v>586</v>
      </c>
      <c r="D202" s="1406">
        <v>3392</v>
      </c>
      <c r="E202" s="1406">
        <v>3990</v>
      </c>
      <c r="F202" s="1405">
        <v>4489</v>
      </c>
      <c r="G202" s="4809">
        <v>600</v>
      </c>
      <c r="H202" s="1406">
        <v>3392</v>
      </c>
      <c r="I202" s="1406">
        <v>3990</v>
      </c>
      <c r="J202" s="1405">
        <v>4489</v>
      </c>
      <c r="K202" s="1282"/>
      <c r="L202" s="1406">
        <f t="shared" si="5"/>
        <v>9975</v>
      </c>
    </row>
    <row r="203" spans="1:12" ht="13.5">
      <c r="A203" s="1406">
        <v>10000</v>
      </c>
      <c r="B203" s="1405">
        <v>10050</v>
      </c>
      <c r="C203" s="4809">
        <v>583</v>
      </c>
      <c r="D203" s="1406">
        <v>3409</v>
      </c>
      <c r="E203" s="1406">
        <v>4010</v>
      </c>
      <c r="F203" s="1405">
        <v>4511</v>
      </c>
      <c r="G203" s="4809">
        <v>600</v>
      </c>
      <c r="H203" s="1406">
        <v>3409</v>
      </c>
      <c r="I203" s="1406">
        <v>4010</v>
      </c>
      <c r="J203" s="1405">
        <v>4511</v>
      </c>
      <c r="K203" s="1282"/>
      <c r="L203" s="1406">
        <f t="shared" si="5"/>
        <v>10025</v>
      </c>
    </row>
    <row r="204" spans="1:12" ht="13.5">
      <c r="A204" s="1406">
        <v>10050</v>
      </c>
      <c r="B204" s="1405">
        <v>10100</v>
      </c>
      <c r="C204" s="4809">
        <v>579</v>
      </c>
      <c r="D204" s="1406">
        <v>3426</v>
      </c>
      <c r="E204" s="1406">
        <v>4030</v>
      </c>
      <c r="F204" s="1405">
        <v>4534</v>
      </c>
      <c r="G204" s="4809">
        <v>600</v>
      </c>
      <c r="H204" s="1406">
        <v>3426</v>
      </c>
      <c r="I204" s="1406">
        <v>4030</v>
      </c>
      <c r="J204" s="1405">
        <v>4534</v>
      </c>
      <c r="K204" s="1282"/>
      <c r="L204" s="1406">
        <f t="shared" si="5"/>
        <v>10075</v>
      </c>
    </row>
    <row r="205" spans="1:12" ht="13.5">
      <c r="A205" s="1406">
        <v>10100</v>
      </c>
      <c r="B205" s="1405">
        <v>10150</v>
      </c>
      <c r="C205" s="4809">
        <v>575</v>
      </c>
      <c r="D205" s="1406">
        <v>3443</v>
      </c>
      <c r="E205" s="1406">
        <v>4050</v>
      </c>
      <c r="F205" s="1405">
        <v>4556</v>
      </c>
      <c r="G205" s="4809">
        <v>600</v>
      </c>
      <c r="H205" s="1406">
        <v>3443</v>
      </c>
      <c r="I205" s="1406">
        <v>4050</v>
      </c>
      <c r="J205" s="1405">
        <v>4556</v>
      </c>
      <c r="K205" s="1282"/>
      <c r="L205" s="1406">
        <f t="shared" si="5"/>
        <v>10125</v>
      </c>
    </row>
    <row r="206" spans="1:12" ht="13.5">
      <c r="A206" s="1406">
        <v>10150</v>
      </c>
      <c r="B206" s="1405">
        <v>10200</v>
      </c>
      <c r="C206" s="4809">
        <v>571</v>
      </c>
      <c r="D206" s="1406">
        <v>3460</v>
      </c>
      <c r="E206" s="1406">
        <v>4070</v>
      </c>
      <c r="F206" s="1405">
        <v>4579</v>
      </c>
      <c r="G206" s="4809">
        <v>600</v>
      </c>
      <c r="H206" s="1406">
        <v>3460</v>
      </c>
      <c r="I206" s="1406">
        <v>4070</v>
      </c>
      <c r="J206" s="1405">
        <v>4579</v>
      </c>
      <c r="K206" s="1282"/>
      <c r="L206" s="1406">
        <f t="shared" si="5"/>
        <v>10175</v>
      </c>
    </row>
    <row r="207" spans="1:12" ht="13.5">
      <c r="A207" s="1406">
        <v>10200</v>
      </c>
      <c r="B207" s="1405">
        <v>10250</v>
      </c>
      <c r="C207" s="4809">
        <v>567</v>
      </c>
      <c r="D207" s="1406">
        <v>3477</v>
      </c>
      <c r="E207" s="1406">
        <v>4090</v>
      </c>
      <c r="F207" s="1405">
        <v>4601</v>
      </c>
      <c r="G207" s="4809">
        <v>600</v>
      </c>
      <c r="H207" s="1406">
        <v>3477</v>
      </c>
      <c r="I207" s="1406">
        <v>4090</v>
      </c>
      <c r="J207" s="1405">
        <v>4601</v>
      </c>
      <c r="K207" s="1282"/>
      <c r="L207" s="1406">
        <f t="shared" si="5"/>
        <v>10225</v>
      </c>
    </row>
    <row r="208" spans="1:12" ht="13.5">
      <c r="A208" s="1406">
        <v>10250</v>
      </c>
      <c r="B208" s="1405">
        <v>10300</v>
      </c>
      <c r="C208" s="4809">
        <v>563</v>
      </c>
      <c r="D208" s="1406">
        <v>3494</v>
      </c>
      <c r="E208" s="1406">
        <v>4110</v>
      </c>
      <c r="F208" s="1405">
        <v>4624</v>
      </c>
      <c r="G208" s="4809">
        <v>600</v>
      </c>
      <c r="H208" s="1406">
        <v>3494</v>
      </c>
      <c r="I208" s="1406">
        <v>4110</v>
      </c>
      <c r="J208" s="1405">
        <v>4624</v>
      </c>
      <c r="K208" s="1282"/>
      <c r="L208" s="1406">
        <f t="shared" si="5"/>
        <v>10275</v>
      </c>
    </row>
    <row r="209" spans="1:12" ht="13.5">
      <c r="A209" s="1406">
        <v>10300</v>
      </c>
      <c r="B209" s="1405">
        <v>10350</v>
      </c>
      <c r="C209" s="4809">
        <v>560</v>
      </c>
      <c r="D209" s="1406">
        <v>3511</v>
      </c>
      <c r="E209" s="1406">
        <v>4130</v>
      </c>
      <c r="F209" s="1405">
        <v>4646</v>
      </c>
      <c r="G209" s="4809">
        <v>600</v>
      </c>
      <c r="H209" s="1406">
        <v>3511</v>
      </c>
      <c r="I209" s="1406">
        <v>4130</v>
      </c>
      <c r="J209" s="1405">
        <v>4646</v>
      </c>
      <c r="K209" s="1282"/>
      <c r="L209" s="1406">
        <f t="shared" si="5"/>
        <v>10325</v>
      </c>
    </row>
    <row r="210" spans="1:12" ht="13.5">
      <c r="A210" s="1406">
        <v>10350</v>
      </c>
      <c r="B210" s="1405">
        <v>10400</v>
      </c>
      <c r="C210" s="4809">
        <v>556</v>
      </c>
      <c r="D210" s="1406">
        <v>3528</v>
      </c>
      <c r="E210" s="1406">
        <v>4150</v>
      </c>
      <c r="F210" s="1405">
        <v>4669</v>
      </c>
      <c r="G210" s="4809">
        <v>600</v>
      </c>
      <c r="H210" s="1406">
        <v>3528</v>
      </c>
      <c r="I210" s="1406">
        <v>4150</v>
      </c>
      <c r="J210" s="1405">
        <v>4669</v>
      </c>
      <c r="K210" s="1282"/>
      <c r="L210" s="1406">
        <f t="shared" si="5"/>
        <v>10375</v>
      </c>
    </row>
    <row r="211" spans="1:12" ht="13.5">
      <c r="A211" s="1406">
        <v>10400</v>
      </c>
      <c r="B211" s="1405">
        <v>10450</v>
      </c>
      <c r="C211" s="4809">
        <v>552</v>
      </c>
      <c r="D211" s="1406">
        <v>3545</v>
      </c>
      <c r="E211" s="1406">
        <v>4170</v>
      </c>
      <c r="F211" s="1405">
        <v>4691</v>
      </c>
      <c r="G211" s="4809">
        <v>600</v>
      </c>
      <c r="H211" s="1406">
        <v>3545</v>
      </c>
      <c r="I211" s="1406">
        <v>4170</v>
      </c>
      <c r="J211" s="1405">
        <v>4691</v>
      </c>
      <c r="K211" s="1282"/>
      <c r="L211" s="1406">
        <f t="shared" si="5"/>
        <v>10425</v>
      </c>
    </row>
    <row r="212" spans="1:12" ht="13.5">
      <c r="A212" s="1406">
        <v>10450</v>
      </c>
      <c r="B212" s="1405">
        <v>10500</v>
      </c>
      <c r="C212" s="4809">
        <v>548</v>
      </c>
      <c r="D212" s="1406">
        <v>3562</v>
      </c>
      <c r="E212" s="1406">
        <v>4190</v>
      </c>
      <c r="F212" s="1405">
        <v>4714</v>
      </c>
      <c r="G212" s="4809">
        <v>600</v>
      </c>
      <c r="H212" s="1406">
        <v>3562</v>
      </c>
      <c r="I212" s="1406">
        <v>4190</v>
      </c>
      <c r="J212" s="1405">
        <v>4714</v>
      </c>
      <c r="K212" s="1282"/>
      <c r="L212" s="1406">
        <f t="shared" si="5"/>
        <v>10475</v>
      </c>
    </row>
    <row r="213" spans="1:12" ht="13.5">
      <c r="A213" s="1406">
        <v>10500</v>
      </c>
      <c r="B213" s="1405">
        <v>10550</v>
      </c>
      <c r="C213" s="4809">
        <v>544</v>
      </c>
      <c r="D213" s="1406">
        <v>3579</v>
      </c>
      <c r="E213" s="1406">
        <v>4210</v>
      </c>
      <c r="F213" s="1405">
        <v>4736</v>
      </c>
      <c r="G213" s="4809">
        <v>600</v>
      </c>
      <c r="H213" s="1406">
        <v>3579</v>
      </c>
      <c r="I213" s="1406">
        <v>4210</v>
      </c>
      <c r="J213" s="1405">
        <v>4736</v>
      </c>
      <c r="K213" s="1282"/>
      <c r="L213" s="1406">
        <f t="shared" si="5"/>
        <v>10525</v>
      </c>
    </row>
    <row r="214" spans="1:12" ht="13.5">
      <c r="A214" s="1406">
        <v>10550</v>
      </c>
      <c r="B214" s="1405">
        <v>10600</v>
      </c>
      <c r="C214" s="4809">
        <v>540</v>
      </c>
      <c r="D214" s="1406">
        <v>3596</v>
      </c>
      <c r="E214" s="1406">
        <v>4230</v>
      </c>
      <c r="F214" s="1405">
        <v>4759</v>
      </c>
      <c r="G214" s="4809">
        <v>600</v>
      </c>
      <c r="H214" s="1406">
        <v>3596</v>
      </c>
      <c r="I214" s="1406">
        <v>4230</v>
      </c>
      <c r="J214" s="1405">
        <v>4759</v>
      </c>
      <c r="K214" s="1282"/>
      <c r="L214" s="1406">
        <f t="shared" si="5"/>
        <v>10575</v>
      </c>
    </row>
    <row r="215" spans="1:12" ht="13.5">
      <c r="A215" s="1406">
        <v>10600</v>
      </c>
      <c r="B215" s="1405">
        <v>10650</v>
      </c>
      <c r="C215" s="4809">
        <v>537</v>
      </c>
      <c r="D215" s="1406">
        <v>3613</v>
      </c>
      <c r="E215" s="1406">
        <v>4250</v>
      </c>
      <c r="F215" s="1405">
        <v>4781</v>
      </c>
      <c r="G215" s="4809">
        <v>600</v>
      </c>
      <c r="H215" s="1406">
        <v>3613</v>
      </c>
      <c r="I215" s="1406">
        <v>4250</v>
      </c>
      <c r="J215" s="1405">
        <v>4781</v>
      </c>
      <c r="K215" s="1282"/>
      <c r="L215" s="1406">
        <f t="shared" si="5"/>
        <v>10625</v>
      </c>
    </row>
    <row r="216" spans="1:12" ht="13.5">
      <c r="A216" s="1406">
        <v>10650</v>
      </c>
      <c r="B216" s="1405">
        <v>10700</v>
      </c>
      <c r="C216" s="4809">
        <v>533</v>
      </c>
      <c r="D216" s="1406">
        <v>3630</v>
      </c>
      <c r="E216" s="1406">
        <v>4270</v>
      </c>
      <c r="F216" s="1405">
        <v>4804</v>
      </c>
      <c r="G216" s="4809">
        <v>600</v>
      </c>
      <c r="H216" s="1406">
        <v>3630</v>
      </c>
      <c r="I216" s="1406">
        <v>4270</v>
      </c>
      <c r="J216" s="1405">
        <v>4804</v>
      </c>
      <c r="K216" s="1282"/>
      <c r="L216" s="1406">
        <f t="shared" si="5"/>
        <v>10675</v>
      </c>
    </row>
    <row r="217" spans="1:12" ht="13.5">
      <c r="A217" s="1406">
        <v>10700</v>
      </c>
      <c r="B217" s="1405">
        <v>10750</v>
      </c>
      <c r="C217" s="4809">
        <v>529</v>
      </c>
      <c r="D217" s="1406">
        <v>3647</v>
      </c>
      <c r="E217" s="1406">
        <v>4290</v>
      </c>
      <c r="F217" s="1405">
        <v>4826</v>
      </c>
      <c r="G217" s="4809">
        <v>600</v>
      </c>
      <c r="H217" s="1406">
        <v>3647</v>
      </c>
      <c r="I217" s="1406">
        <v>4290</v>
      </c>
      <c r="J217" s="1405">
        <v>4826</v>
      </c>
      <c r="K217" s="1282"/>
      <c r="L217" s="1406">
        <f t="shared" si="5"/>
        <v>10725</v>
      </c>
    </row>
    <row r="218" spans="1:12" ht="13.5">
      <c r="A218" s="1406">
        <v>10750</v>
      </c>
      <c r="B218" s="1405">
        <v>10800</v>
      </c>
      <c r="C218" s="4809">
        <v>525</v>
      </c>
      <c r="D218" s="1406">
        <v>3664</v>
      </c>
      <c r="E218" s="1406">
        <v>4310</v>
      </c>
      <c r="F218" s="1405">
        <v>4849</v>
      </c>
      <c r="G218" s="4809">
        <v>600</v>
      </c>
      <c r="H218" s="1406">
        <v>3664</v>
      </c>
      <c r="I218" s="1406">
        <v>4310</v>
      </c>
      <c r="J218" s="1405">
        <v>4849</v>
      </c>
      <c r="K218" s="1282"/>
      <c r="L218" s="1406">
        <f t="shared" si="5"/>
        <v>10775</v>
      </c>
    </row>
    <row r="219" spans="1:12" ht="13.5">
      <c r="A219" s="1406">
        <v>10800</v>
      </c>
      <c r="B219" s="1405">
        <v>10850</v>
      </c>
      <c r="C219" s="4809">
        <v>521</v>
      </c>
      <c r="D219" s="1406">
        <v>3681</v>
      </c>
      <c r="E219" s="1406">
        <v>4330</v>
      </c>
      <c r="F219" s="1405">
        <v>4871</v>
      </c>
      <c r="G219" s="4809">
        <v>600</v>
      </c>
      <c r="H219" s="1406">
        <v>3681</v>
      </c>
      <c r="I219" s="1406">
        <v>4330</v>
      </c>
      <c r="J219" s="1405">
        <v>4871</v>
      </c>
      <c r="K219" s="1282"/>
      <c r="L219" s="1406">
        <f t="shared" si="5"/>
        <v>10825</v>
      </c>
    </row>
    <row r="220" spans="1:12" ht="13.5">
      <c r="A220" s="1406">
        <v>10850</v>
      </c>
      <c r="B220" s="1405">
        <v>10900</v>
      </c>
      <c r="C220" s="4809">
        <v>518</v>
      </c>
      <c r="D220" s="1406">
        <v>3698</v>
      </c>
      <c r="E220" s="1406">
        <v>4350</v>
      </c>
      <c r="F220" s="1405">
        <v>4894</v>
      </c>
      <c r="G220" s="4809">
        <v>600</v>
      </c>
      <c r="H220" s="1406">
        <v>3698</v>
      </c>
      <c r="I220" s="1406">
        <v>4350</v>
      </c>
      <c r="J220" s="1405">
        <v>4894</v>
      </c>
      <c r="K220" s="1282"/>
      <c r="L220" s="1406">
        <f t="shared" si="5"/>
        <v>10875</v>
      </c>
    </row>
    <row r="221" spans="1:12" ht="13.5">
      <c r="A221" s="1406">
        <v>10900</v>
      </c>
      <c r="B221" s="1405">
        <v>10950</v>
      </c>
      <c r="C221" s="4809">
        <v>514</v>
      </c>
      <c r="D221" s="1406">
        <v>3715</v>
      </c>
      <c r="E221" s="1406">
        <v>4370</v>
      </c>
      <c r="F221" s="1405">
        <v>4916</v>
      </c>
      <c r="G221" s="4809">
        <v>600</v>
      </c>
      <c r="H221" s="1406">
        <v>3715</v>
      </c>
      <c r="I221" s="1406">
        <v>4370</v>
      </c>
      <c r="J221" s="1405">
        <v>4916</v>
      </c>
      <c r="K221" s="1282"/>
      <c r="L221" s="1406">
        <f t="shared" si="5"/>
        <v>10925</v>
      </c>
    </row>
    <row r="222" spans="1:12" ht="13.5">
      <c r="A222" s="1406">
        <v>10950</v>
      </c>
      <c r="B222" s="1405">
        <v>11000</v>
      </c>
      <c r="C222" s="4809">
        <v>510</v>
      </c>
      <c r="D222" s="1406">
        <v>3732</v>
      </c>
      <c r="E222" s="1406">
        <v>4390</v>
      </c>
      <c r="F222" s="1405">
        <v>4939</v>
      </c>
      <c r="G222" s="4809">
        <v>600</v>
      </c>
      <c r="H222" s="1406">
        <v>3732</v>
      </c>
      <c r="I222" s="1406">
        <v>4390</v>
      </c>
      <c r="J222" s="1405">
        <v>4939</v>
      </c>
      <c r="K222" s="1282"/>
      <c r="L222" s="1406">
        <f t="shared" si="5"/>
        <v>10975</v>
      </c>
    </row>
    <row r="223" spans="1:12" ht="13.5">
      <c r="A223" s="1406">
        <v>11000</v>
      </c>
      <c r="B223" s="1405">
        <v>11050</v>
      </c>
      <c r="C223" s="4809">
        <v>506</v>
      </c>
      <c r="D223" s="1406">
        <v>3749</v>
      </c>
      <c r="E223" s="1406">
        <v>4410</v>
      </c>
      <c r="F223" s="1405">
        <v>4961</v>
      </c>
      <c r="G223" s="4809">
        <v>600</v>
      </c>
      <c r="H223" s="1406">
        <v>3749</v>
      </c>
      <c r="I223" s="1406">
        <v>4410</v>
      </c>
      <c r="J223" s="1405">
        <v>4961</v>
      </c>
      <c r="K223" s="1282"/>
      <c r="L223" s="1406">
        <f t="shared" si="5"/>
        <v>11025</v>
      </c>
    </row>
    <row r="224" spans="1:12" ht="13.5">
      <c r="A224" s="1406">
        <v>11050</v>
      </c>
      <c r="B224" s="1405">
        <v>11100</v>
      </c>
      <c r="C224" s="4809">
        <v>502</v>
      </c>
      <c r="D224" s="1406">
        <v>3766</v>
      </c>
      <c r="E224" s="1406">
        <v>4430</v>
      </c>
      <c r="F224" s="1405">
        <v>4984</v>
      </c>
      <c r="G224" s="4809">
        <v>600</v>
      </c>
      <c r="H224" s="1406">
        <v>3766</v>
      </c>
      <c r="I224" s="1406">
        <v>4430</v>
      </c>
      <c r="J224" s="1405">
        <v>4984</v>
      </c>
      <c r="K224" s="1282"/>
      <c r="L224" s="1406">
        <f t="shared" si="5"/>
        <v>11075</v>
      </c>
    </row>
    <row r="225" spans="1:12" ht="13.5">
      <c r="A225" s="1406">
        <v>11100</v>
      </c>
      <c r="B225" s="1405">
        <v>11150</v>
      </c>
      <c r="C225" s="4809">
        <v>498</v>
      </c>
      <c r="D225" s="1406">
        <v>3783</v>
      </c>
      <c r="E225" s="1406">
        <v>4450</v>
      </c>
      <c r="F225" s="1405">
        <v>5006</v>
      </c>
      <c r="G225" s="4809">
        <v>600</v>
      </c>
      <c r="H225" s="1406">
        <v>3783</v>
      </c>
      <c r="I225" s="1406">
        <v>4450</v>
      </c>
      <c r="J225" s="1405">
        <v>5006</v>
      </c>
      <c r="K225" s="1282"/>
      <c r="L225" s="1406">
        <f t="shared" si="5"/>
        <v>11125</v>
      </c>
    </row>
    <row r="226" spans="1:12" ht="13.5">
      <c r="A226" s="1406">
        <v>11150</v>
      </c>
      <c r="B226" s="1405">
        <v>11200</v>
      </c>
      <c r="C226" s="4809">
        <v>495</v>
      </c>
      <c r="D226" s="1406">
        <v>3800</v>
      </c>
      <c r="E226" s="1406">
        <v>4470</v>
      </c>
      <c r="F226" s="1405">
        <v>5029</v>
      </c>
      <c r="G226" s="4809">
        <v>600</v>
      </c>
      <c r="H226" s="1406">
        <v>3800</v>
      </c>
      <c r="I226" s="1406">
        <v>4470</v>
      </c>
      <c r="J226" s="1405">
        <v>5029</v>
      </c>
      <c r="K226" s="1282"/>
      <c r="L226" s="1406">
        <f t="shared" si="5"/>
        <v>11175</v>
      </c>
    </row>
    <row r="227" spans="1:12" ht="13.5">
      <c r="A227" s="1406">
        <v>11200</v>
      </c>
      <c r="B227" s="1405">
        <v>11250</v>
      </c>
      <c r="C227" s="4809">
        <v>491</v>
      </c>
      <c r="D227" s="1406">
        <v>3817</v>
      </c>
      <c r="E227" s="1406">
        <v>4490</v>
      </c>
      <c r="F227" s="1405">
        <v>5051</v>
      </c>
      <c r="G227" s="4809">
        <v>600</v>
      </c>
      <c r="H227" s="1406">
        <v>3817</v>
      </c>
      <c r="I227" s="1406">
        <v>4490</v>
      </c>
      <c r="J227" s="1405">
        <v>5051</v>
      </c>
      <c r="K227" s="1282"/>
      <c r="L227" s="1406">
        <f t="shared" si="5"/>
        <v>11225</v>
      </c>
    </row>
    <row r="228" spans="1:12" ht="13.5">
      <c r="A228" s="1406">
        <v>11250</v>
      </c>
      <c r="B228" s="1405">
        <v>11300</v>
      </c>
      <c r="C228" s="4809">
        <v>487</v>
      </c>
      <c r="D228" s="1406">
        <v>3834</v>
      </c>
      <c r="E228" s="1406">
        <v>4510</v>
      </c>
      <c r="F228" s="1405">
        <v>5074</v>
      </c>
      <c r="G228" s="4809">
        <v>600</v>
      </c>
      <c r="H228" s="1406">
        <v>3834</v>
      </c>
      <c r="I228" s="1406">
        <v>4510</v>
      </c>
      <c r="J228" s="1405">
        <v>5074</v>
      </c>
      <c r="K228" s="1282"/>
      <c r="L228" s="1406">
        <f t="shared" si="5"/>
        <v>11275</v>
      </c>
    </row>
    <row r="229" spans="1:12" ht="13.5">
      <c r="A229" s="1406">
        <v>11300</v>
      </c>
      <c r="B229" s="1405">
        <v>11350</v>
      </c>
      <c r="C229" s="4809">
        <v>483</v>
      </c>
      <c r="D229" s="1406">
        <v>3851</v>
      </c>
      <c r="E229" s="1406">
        <v>4530</v>
      </c>
      <c r="F229" s="1405">
        <v>5096</v>
      </c>
      <c r="G229" s="4809">
        <v>600</v>
      </c>
      <c r="H229" s="1406">
        <v>3851</v>
      </c>
      <c r="I229" s="1406">
        <v>4530</v>
      </c>
      <c r="J229" s="1405">
        <v>5096</v>
      </c>
      <c r="K229" s="1282"/>
      <c r="L229" s="1406">
        <f t="shared" si="5"/>
        <v>11325</v>
      </c>
    </row>
    <row r="230" spans="1:12" ht="13.5">
      <c r="A230" s="1406">
        <v>11350</v>
      </c>
      <c r="B230" s="1405">
        <v>11400</v>
      </c>
      <c r="C230" s="4809">
        <v>479</v>
      </c>
      <c r="D230" s="1406">
        <v>3868</v>
      </c>
      <c r="E230" s="1406">
        <v>4550</v>
      </c>
      <c r="F230" s="1405">
        <v>5119</v>
      </c>
      <c r="G230" s="4809">
        <v>600</v>
      </c>
      <c r="H230" s="1406">
        <v>3868</v>
      </c>
      <c r="I230" s="1406">
        <v>4550</v>
      </c>
      <c r="J230" s="1405">
        <v>5119</v>
      </c>
      <c r="K230" s="1282"/>
      <c r="L230" s="1406">
        <f t="shared" si="5"/>
        <v>11375</v>
      </c>
    </row>
    <row r="231" spans="1:12" ht="13.5">
      <c r="A231" s="1406">
        <v>11400</v>
      </c>
      <c r="B231" s="1405">
        <v>11450</v>
      </c>
      <c r="C231" s="4809">
        <v>475</v>
      </c>
      <c r="D231" s="1406">
        <v>3885</v>
      </c>
      <c r="E231" s="1406">
        <v>4570</v>
      </c>
      <c r="F231" s="1405">
        <v>5141</v>
      </c>
      <c r="G231" s="4809">
        <v>600</v>
      </c>
      <c r="H231" s="1406">
        <v>3885</v>
      </c>
      <c r="I231" s="1406">
        <v>4570</v>
      </c>
      <c r="J231" s="1405">
        <v>5141</v>
      </c>
      <c r="K231" s="1282"/>
      <c r="L231" s="1406">
        <f t="shared" si="5"/>
        <v>11425</v>
      </c>
    </row>
    <row r="232" spans="1:12" ht="13.5">
      <c r="A232" s="1406">
        <v>11450</v>
      </c>
      <c r="B232" s="1405">
        <v>11500</v>
      </c>
      <c r="C232" s="4809">
        <v>472</v>
      </c>
      <c r="D232" s="1406">
        <v>3902</v>
      </c>
      <c r="E232" s="1406">
        <v>4590</v>
      </c>
      <c r="F232" s="1405">
        <v>5164</v>
      </c>
      <c r="G232" s="4809">
        <v>600</v>
      </c>
      <c r="H232" s="1406">
        <v>3902</v>
      </c>
      <c r="I232" s="1406">
        <v>4590</v>
      </c>
      <c r="J232" s="1405">
        <v>5164</v>
      </c>
      <c r="K232" s="1282"/>
      <c r="L232" s="1406">
        <f t="shared" si="5"/>
        <v>11475</v>
      </c>
    </row>
    <row r="233" spans="1:12" ht="13.5">
      <c r="A233" s="1406">
        <v>11500</v>
      </c>
      <c r="B233" s="1405">
        <v>11550</v>
      </c>
      <c r="C233" s="4809">
        <v>468</v>
      </c>
      <c r="D233" s="1406">
        <v>3919</v>
      </c>
      <c r="E233" s="1406">
        <v>4610</v>
      </c>
      <c r="F233" s="1405">
        <v>5186</v>
      </c>
      <c r="G233" s="4809">
        <v>600</v>
      </c>
      <c r="H233" s="1406">
        <v>3919</v>
      </c>
      <c r="I233" s="1406">
        <v>4610</v>
      </c>
      <c r="J233" s="1405">
        <v>5186</v>
      </c>
      <c r="K233" s="1282"/>
      <c r="L233" s="1406">
        <f t="shared" si="5"/>
        <v>11525</v>
      </c>
    </row>
    <row r="234" spans="1:12" ht="13.5">
      <c r="A234" s="1406">
        <v>11550</v>
      </c>
      <c r="B234" s="1405">
        <v>11600</v>
      </c>
      <c r="C234" s="4809">
        <v>464</v>
      </c>
      <c r="D234" s="1406">
        <v>3936</v>
      </c>
      <c r="E234" s="1406">
        <v>4630</v>
      </c>
      <c r="F234" s="1405">
        <v>5209</v>
      </c>
      <c r="G234" s="4809">
        <v>600</v>
      </c>
      <c r="H234" s="1406">
        <v>3936</v>
      </c>
      <c r="I234" s="1406">
        <v>4630</v>
      </c>
      <c r="J234" s="1405">
        <v>5209</v>
      </c>
      <c r="K234" s="1282"/>
      <c r="L234" s="1406">
        <f t="shared" si="5"/>
        <v>11575</v>
      </c>
    </row>
    <row r="235" spans="1:12" ht="13.5">
      <c r="A235" s="1406">
        <v>11600</v>
      </c>
      <c r="B235" s="1405">
        <v>11650</v>
      </c>
      <c r="C235" s="4809">
        <v>460</v>
      </c>
      <c r="D235" s="1406">
        <v>3953</v>
      </c>
      <c r="E235" s="1406">
        <v>4650</v>
      </c>
      <c r="F235" s="1405">
        <v>5231</v>
      </c>
      <c r="G235" s="4809">
        <v>600</v>
      </c>
      <c r="H235" s="1406">
        <v>3953</v>
      </c>
      <c r="I235" s="1406">
        <v>4650</v>
      </c>
      <c r="J235" s="1405">
        <v>5231</v>
      </c>
      <c r="K235" s="1282"/>
      <c r="L235" s="1406">
        <f t="shared" si="5"/>
        <v>11625</v>
      </c>
    </row>
    <row r="236" spans="1:12" ht="13.5">
      <c r="A236" s="1406">
        <v>11650</v>
      </c>
      <c r="B236" s="1405">
        <v>11700</v>
      </c>
      <c r="C236" s="4809">
        <v>456</v>
      </c>
      <c r="D236" s="1406">
        <v>3970</v>
      </c>
      <c r="E236" s="1406">
        <v>4670</v>
      </c>
      <c r="F236" s="1405">
        <v>5254</v>
      </c>
      <c r="G236" s="4809">
        <v>600</v>
      </c>
      <c r="H236" s="1406">
        <v>3970</v>
      </c>
      <c r="I236" s="1406">
        <v>4670</v>
      </c>
      <c r="J236" s="1405">
        <v>5254</v>
      </c>
      <c r="K236" s="1282"/>
      <c r="L236" s="1406">
        <f t="shared" si="5"/>
        <v>11675</v>
      </c>
    </row>
    <row r="237" spans="1:12" ht="13.5">
      <c r="A237" s="1406">
        <v>11700</v>
      </c>
      <c r="B237" s="1405">
        <v>11750</v>
      </c>
      <c r="C237" s="4809">
        <v>452</v>
      </c>
      <c r="D237" s="1406">
        <v>3987</v>
      </c>
      <c r="E237" s="1406">
        <v>4690</v>
      </c>
      <c r="F237" s="1405">
        <v>5276</v>
      </c>
      <c r="G237" s="4809">
        <v>600</v>
      </c>
      <c r="H237" s="1406">
        <v>3987</v>
      </c>
      <c r="I237" s="1406">
        <v>4690</v>
      </c>
      <c r="J237" s="1405">
        <v>5276</v>
      </c>
      <c r="K237" s="1282"/>
      <c r="L237" s="1406">
        <f t="shared" si="5"/>
        <v>11725</v>
      </c>
    </row>
    <row r="238" spans="1:12" ht="13.5">
      <c r="A238" s="1406">
        <v>11750</v>
      </c>
      <c r="B238" s="1405">
        <v>11800</v>
      </c>
      <c r="C238" s="4809">
        <v>449</v>
      </c>
      <c r="D238" s="1406">
        <v>3995</v>
      </c>
      <c r="E238" s="1406">
        <v>4710</v>
      </c>
      <c r="F238" s="1405">
        <v>5299</v>
      </c>
      <c r="G238" s="4809">
        <v>600</v>
      </c>
      <c r="H238" s="1406">
        <v>3995</v>
      </c>
      <c r="I238" s="1406">
        <v>4710</v>
      </c>
      <c r="J238" s="1405">
        <v>5299</v>
      </c>
      <c r="K238" s="1282"/>
      <c r="L238" s="1406">
        <f t="shared" si="5"/>
        <v>11775</v>
      </c>
    </row>
    <row r="239" spans="1:12" ht="13.5">
      <c r="A239" s="1406">
        <v>11800</v>
      </c>
      <c r="B239" s="1405">
        <v>11850</v>
      </c>
      <c r="C239" s="4809">
        <v>445</v>
      </c>
      <c r="D239" s="1406">
        <v>3995</v>
      </c>
      <c r="E239" s="1406">
        <v>4730</v>
      </c>
      <c r="F239" s="1405">
        <v>5321</v>
      </c>
      <c r="G239" s="4809">
        <v>600</v>
      </c>
      <c r="H239" s="1406">
        <v>3995</v>
      </c>
      <c r="I239" s="1406">
        <v>4730</v>
      </c>
      <c r="J239" s="1405">
        <v>5321</v>
      </c>
      <c r="K239" s="1282"/>
      <c r="L239" s="1406">
        <f t="shared" si="5"/>
        <v>11825</v>
      </c>
    </row>
    <row r="240" spans="1:12" ht="13.5">
      <c r="A240" s="1406">
        <v>11850</v>
      </c>
      <c r="B240" s="1405">
        <v>11900</v>
      </c>
      <c r="C240" s="4809">
        <v>441</v>
      </c>
      <c r="D240" s="1406">
        <v>3995</v>
      </c>
      <c r="E240" s="1406">
        <v>4750</v>
      </c>
      <c r="F240" s="1405">
        <v>5344</v>
      </c>
      <c r="G240" s="4809">
        <v>600</v>
      </c>
      <c r="H240" s="1406">
        <v>3995</v>
      </c>
      <c r="I240" s="1406">
        <v>4750</v>
      </c>
      <c r="J240" s="1405">
        <v>5344</v>
      </c>
      <c r="K240" s="1282"/>
      <c r="L240" s="1406">
        <f t="shared" si="5"/>
        <v>11875</v>
      </c>
    </row>
    <row r="241" spans="1:12" ht="13.5">
      <c r="A241" s="1406">
        <v>11900</v>
      </c>
      <c r="B241" s="1405">
        <v>11950</v>
      </c>
      <c r="C241" s="4809">
        <v>437</v>
      </c>
      <c r="D241" s="1406">
        <v>3995</v>
      </c>
      <c r="E241" s="1406">
        <v>4770</v>
      </c>
      <c r="F241" s="1405">
        <v>5366</v>
      </c>
      <c r="G241" s="4809">
        <v>600</v>
      </c>
      <c r="H241" s="1406">
        <v>3995</v>
      </c>
      <c r="I241" s="1406">
        <v>4770</v>
      </c>
      <c r="J241" s="1405">
        <v>5366</v>
      </c>
      <c r="K241" s="1282"/>
      <c r="L241" s="1406">
        <f t="shared" si="5"/>
        <v>11925</v>
      </c>
    </row>
    <row r="242" spans="1:12" ht="13.5">
      <c r="A242" s="1406">
        <v>11950</v>
      </c>
      <c r="B242" s="1405">
        <v>12000</v>
      </c>
      <c r="C242" s="4809">
        <v>433</v>
      </c>
      <c r="D242" s="1406">
        <v>3995</v>
      </c>
      <c r="E242" s="1406">
        <v>4790</v>
      </c>
      <c r="F242" s="1405">
        <v>5389</v>
      </c>
      <c r="G242" s="4809">
        <v>600</v>
      </c>
      <c r="H242" s="1406">
        <v>3995</v>
      </c>
      <c r="I242" s="1406">
        <v>4790</v>
      </c>
      <c r="J242" s="1405">
        <v>5389</v>
      </c>
      <c r="K242" s="1282"/>
      <c r="L242" s="1406">
        <f t="shared" si="5"/>
        <v>11975</v>
      </c>
    </row>
    <row r="243" spans="1:12" ht="13.5">
      <c r="A243" s="1406">
        <v>12000</v>
      </c>
      <c r="B243" s="1405">
        <v>12050</v>
      </c>
      <c r="C243" s="4809">
        <v>430</v>
      </c>
      <c r="D243" s="1406">
        <v>3995</v>
      </c>
      <c r="E243" s="1406">
        <v>4810</v>
      </c>
      <c r="F243" s="1405">
        <v>5411</v>
      </c>
      <c r="G243" s="4809">
        <v>600</v>
      </c>
      <c r="H243" s="1406">
        <v>3995</v>
      </c>
      <c r="I243" s="1406">
        <v>4810</v>
      </c>
      <c r="J243" s="1405">
        <v>5411</v>
      </c>
      <c r="K243" s="1282"/>
      <c r="L243" s="1406">
        <f t="shared" si="5"/>
        <v>12025</v>
      </c>
    </row>
    <row r="244" spans="1:12" ht="13.5">
      <c r="A244" s="1406">
        <v>12050</v>
      </c>
      <c r="B244" s="1405">
        <v>12100</v>
      </c>
      <c r="C244" s="4809">
        <v>426</v>
      </c>
      <c r="D244" s="1406">
        <v>3995</v>
      </c>
      <c r="E244" s="1406">
        <v>4830</v>
      </c>
      <c r="F244" s="1405">
        <v>5434</v>
      </c>
      <c r="G244" s="4809">
        <v>600</v>
      </c>
      <c r="H244" s="1406">
        <v>3995</v>
      </c>
      <c r="I244" s="1406">
        <v>4830</v>
      </c>
      <c r="J244" s="1405">
        <v>5434</v>
      </c>
      <c r="K244" s="1282"/>
      <c r="L244" s="1406">
        <f t="shared" si="5"/>
        <v>12075</v>
      </c>
    </row>
    <row r="245" spans="1:12" ht="13.5">
      <c r="A245" s="1406">
        <v>12100</v>
      </c>
      <c r="B245" s="1405">
        <v>12150</v>
      </c>
      <c r="C245" s="4809">
        <v>422</v>
      </c>
      <c r="D245" s="1406">
        <v>3995</v>
      </c>
      <c r="E245" s="1406">
        <v>4850</v>
      </c>
      <c r="F245" s="1405">
        <v>5456</v>
      </c>
      <c r="G245" s="4809">
        <v>600</v>
      </c>
      <c r="H245" s="1406">
        <v>3995</v>
      </c>
      <c r="I245" s="1406">
        <v>4850</v>
      </c>
      <c r="J245" s="1405">
        <v>5456</v>
      </c>
      <c r="K245" s="1282"/>
      <c r="L245" s="1406">
        <f t="shared" si="5"/>
        <v>12125</v>
      </c>
    </row>
    <row r="246" spans="1:12" ht="13.5">
      <c r="A246" s="1406">
        <v>12150</v>
      </c>
      <c r="B246" s="1405">
        <v>12200</v>
      </c>
      <c r="C246" s="4809">
        <v>418</v>
      </c>
      <c r="D246" s="1406">
        <v>3995</v>
      </c>
      <c r="E246" s="1406">
        <v>4870</v>
      </c>
      <c r="F246" s="1405">
        <v>5479</v>
      </c>
      <c r="G246" s="4809">
        <v>600</v>
      </c>
      <c r="H246" s="1406">
        <v>3995</v>
      </c>
      <c r="I246" s="1406">
        <v>4870</v>
      </c>
      <c r="J246" s="1405">
        <v>5479</v>
      </c>
      <c r="K246" s="1282"/>
      <c r="L246" s="1406">
        <f t="shared" si="5"/>
        <v>12175</v>
      </c>
    </row>
    <row r="247" spans="1:12" ht="13.5">
      <c r="A247" s="1406">
        <v>12200</v>
      </c>
      <c r="B247" s="1405">
        <v>12250</v>
      </c>
      <c r="C247" s="4809">
        <v>414</v>
      </c>
      <c r="D247" s="1406">
        <v>3995</v>
      </c>
      <c r="E247" s="1406">
        <v>4890</v>
      </c>
      <c r="F247" s="1405">
        <v>5501</v>
      </c>
      <c r="G247" s="4809">
        <v>600</v>
      </c>
      <c r="H247" s="1406">
        <v>3995</v>
      </c>
      <c r="I247" s="1406">
        <v>4890</v>
      </c>
      <c r="J247" s="1405">
        <v>5501</v>
      </c>
      <c r="K247" s="1282"/>
      <c r="L247" s="1406">
        <f t="shared" si="5"/>
        <v>12225</v>
      </c>
    </row>
    <row r="248" spans="1:12" ht="13.5">
      <c r="A248" s="1406">
        <v>12250</v>
      </c>
      <c r="B248" s="1405">
        <v>12300</v>
      </c>
      <c r="C248" s="4809">
        <v>410</v>
      </c>
      <c r="D248" s="1406">
        <v>3995</v>
      </c>
      <c r="E248" s="1406">
        <v>4910</v>
      </c>
      <c r="F248" s="1405">
        <v>5524</v>
      </c>
      <c r="G248" s="4809">
        <v>600</v>
      </c>
      <c r="H248" s="1406">
        <v>3995</v>
      </c>
      <c r="I248" s="1406">
        <v>4910</v>
      </c>
      <c r="J248" s="1405">
        <v>5524</v>
      </c>
      <c r="K248" s="1282"/>
      <c r="L248" s="1406">
        <f t="shared" si="5"/>
        <v>12275</v>
      </c>
    </row>
    <row r="249" spans="1:12" ht="13.5">
      <c r="A249" s="1406">
        <v>12300</v>
      </c>
      <c r="B249" s="1405">
        <v>12350</v>
      </c>
      <c r="C249" s="4809">
        <v>407</v>
      </c>
      <c r="D249" s="1406">
        <v>3995</v>
      </c>
      <c r="E249" s="1406">
        <v>4930</v>
      </c>
      <c r="F249" s="1405">
        <v>5546</v>
      </c>
      <c r="G249" s="4809">
        <v>600</v>
      </c>
      <c r="H249" s="1406">
        <v>3995</v>
      </c>
      <c r="I249" s="1406">
        <v>4930</v>
      </c>
      <c r="J249" s="1405">
        <v>5546</v>
      </c>
      <c r="K249" s="1282"/>
      <c r="L249" s="1406">
        <f t="shared" si="5"/>
        <v>12325</v>
      </c>
    </row>
    <row r="250" spans="1:12" ht="13.5">
      <c r="A250" s="1406">
        <v>12350</v>
      </c>
      <c r="B250" s="1405">
        <v>12400</v>
      </c>
      <c r="C250" s="4809">
        <v>403</v>
      </c>
      <c r="D250" s="1406">
        <v>3995</v>
      </c>
      <c r="E250" s="1406">
        <v>4950</v>
      </c>
      <c r="F250" s="1405">
        <v>5569</v>
      </c>
      <c r="G250" s="4809">
        <v>600</v>
      </c>
      <c r="H250" s="1406">
        <v>3995</v>
      </c>
      <c r="I250" s="1406">
        <v>4950</v>
      </c>
      <c r="J250" s="1405">
        <v>5569</v>
      </c>
      <c r="K250" s="1282"/>
      <c r="L250" s="1406">
        <f t="shared" si="5"/>
        <v>12375</v>
      </c>
    </row>
    <row r="251" spans="1:12" ht="13.5">
      <c r="A251" s="1406">
        <v>12400</v>
      </c>
      <c r="B251" s="1405">
        <v>12450</v>
      </c>
      <c r="C251" s="4809">
        <v>399</v>
      </c>
      <c r="D251" s="1406">
        <v>3995</v>
      </c>
      <c r="E251" s="1406">
        <v>4970</v>
      </c>
      <c r="F251" s="1405">
        <v>5591</v>
      </c>
      <c r="G251" s="4809">
        <v>600</v>
      </c>
      <c r="H251" s="1406">
        <v>3995</v>
      </c>
      <c r="I251" s="1406">
        <v>4970</v>
      </c>
      <c r="J251" s="1405">
        <v>5591</v>
      </c>
      <c r="K251" s="1282"/>
      <c r="L251" s="1406">
        <f t="shared" si="5"/>
        <v>12425</v>
      </c>
    </row>
    <row r="252" spans="1:12" ht="13.5">
      <c r="A252" s="1406">
        <v>12450</v>
      </c>
      <c r="B252" s="1405">
        <v>12500</v>
      </c>
      <c r="C252" s="4809">
        <v>395</v>
      </c>
      <c r="D252" s="1406">
        <v>3995</v>
      </c>
      <c r="E252" s="1406">
        <v>4990</v>
      </c>
      <c r="F252" s="1405">
        <v>5614</v>
      </c>
      <c r="G252" s="4809">
        <v>600</v>
      </c>
      <c r="H252" s="1406">
        <v>3995</v>
      </c>
      <c r="I252" s="1406">
        <v>4990</v>
      </c>
      <c r="J252" s="1405">
        <v>5614</v>
      </c>
      <c r="K252" s="1282"/>
      <c r="L252" s="1406">
        <f t="shared" si="5"/>
        <v>12475</v>
      </c>
    </row>
    <row r="253" spans="1:12" ht="13.5">
      <c r="A253" s="1406">
        <v>12500</v>
      </c>
      <c r="B253" s="1405">
        <v>12550</v>
      </c>
      <c r="C253" s="4809">
        <v>391</v>
      </c>
      <c r="D253" s="1406">
        <v>3995</v>
      </c>
      <c r="E253" s="1406">
        <v>5010</v>
      </c>
      <c r="F253" s="1405">
        <v>5636</v>
      </c>
      <c r="G253" s="4809">
        <v>600</v>
      </c>
      <c r="H253" s="1406">
        <v>3995</v>
      </c>
      <c r="I253" s="1406">
        <v>5010</v>
      </c>
      <c r="J253" s="1405">
        <v>5636</v>
      </c>
      <c r="K253" s="1282"/>
      <c r="L253" s="1406">
        <f t="shared" si="5"/>
        <v>12525</v>
      </c>
    </row>
    <row r="254" spans="1:12" ht="13.5">
      <c r="A254" s="1406">
        <v>12550</v>
      </c>
      <c r="B254" s="1405">
        <v>12600</v>
      </c>
      <c r="C254" s="4809">
        <v>387</v>
      </c>
      <c r="D254" s="1406">
        <v>3995</v>
      </c>
      <c r="E254" s="1406">
        <v>5030</v>
      </c>
      <c r="F254" s="1405">
        <v>5659</v>
      </c>
      <c r="G254" s="4809">
        <v>600</v>
      </c>
      <c r="H254" s="1406">
        <v>3995</v>
      </c>
      <c r="I254" s="1406">
        <v>5030</v>
      </c>
      <c r="J254" s="1405">
        <v>5659</v>
      </c>
      <c r="K254" s="1282"/>
      <c r="L254" s="1406">
        <f t="shared" si="5"/>
        <v>12575</v>
      </c>
    </row>
    <row r="255" spans="1:12" ht="13.5">
      <c r="A255" s="1406">
        <v>12600</v>
      </c>
      <c r="B255" s="1405">
        <v>12650</v>
      </c>
      <c r="C255" s="4809">
        <v>384</v>
      </c>
      <c r="D255" s="1406">
        <v>3995</v>
      </c>
      <c r="E255" s="1406">
        <v>5050</v>
      </c>
      <c r="F255" s="1405">
        <v>5681</v>
      </c>
      <c r="G255" s="4809">
        <v>600</v>
      </c>
      <c r="H255" s="1406">
        <v>3995</v>
      </c>
      <c r="I255" s="1406">
        <v>5050</v>
      </c>
      <c r="J255" s="1405">
        <v>5681</v>
      </c>
      <c r="K255" s="1282"/>
      <c r="L255" s="1406">
        <f t="shared" si="5"/>
        <v>12625</v>
      </c>
    </row>
    <row r="256" spans="1:12" ht="13.5">
      <c r="A256" s="1406">
        <v>12650</v>
      </c>
      <c r="B256" s="1405">
        <v>12700</v>
      </c>
      <c r="C256" s="4809">
        <v>380</v>
      </c>
      <c r="D256" s="1406">
        <v>3995</v>
      </c>
      <c r="E256" s="1406">
        <v>5070</v>
      </c>
      <c r="F256" s="1405">
        <v>5704</v>
      </c>
      <c r="G256" s="4809">
        <v>600</v>
      </c>
      <c r="H256" s="1406">
        <v>3995</v>
      </c>
      <c r="I256" s="1406">
        <v>5070</v>
      </c>
      <c r="J256" s="1405">
        <v>5704</v>
      </c>
      <c r="K256" s="1282"/>
      <c r="L256" s="1406">
        <f t="shared" si="5"/>
        <v>12675</v>
      </c>
    </row>
    <row r="257" spans="1:12" ht="13.5">
      <c r="A257" s="1406">
        <v>12700</v>
      </c>
      <c r="B257" s="1405">
        <v>12750</v>
      </c>
      <c r="C257" s="4809">
        <v>376</v>
      </c>
      <c r="D257" s="1406">
        <v>3995</v>
      </c>
      <c r="E257" s="1406">
        <v>5090</v>
      </c>
      <c r="F257" s="1405">
        <v>5726</v>
      </c>
      <c r="G257" s="4809">
        <v>600</v>
      </c>
      <c r="H257" s="1406">
        <v>3995</v>
      </c>
      <c r="I257" s="1406">
        <v>5090</v>
      </c>
      <c r="J257" s="1405">
        <v>5726</v>
      </c>
      <c r="K257" s="1282"/>
      <c r="L257" s="1406">
        <f t="shared" si="5"/>
        <v>12725</v>
      </c>
    </row>
    <row r="258" spans="1:12" ht="13.5">
      <c r="A258" s="1406">
        <v>12750</v>
      </c>
      <c r="B258" s="1405">
        <v>12800</v>
      </c>
      <c r="C258" s="4809">
        <v>372</v>
      </c>
      <c r="D258" s="1406">
        <v>3995</v>
      </c>
      <c r="E258" s="1406">
        <v>5110</v>
      </c>
      <c r="F258" s="1405">
        <v>5749</v>
      </c>
      <c r="G258" s="4809">
        <v>600</v>
      </c>
      <c r="H258" s="1406">
        <v>3995</v>
      </c>
      <c r="I258" s="1406">
        <v>5110</v>
      </c>
      <c r="J258" s="1405">
        <v>5749</v>
      </c>
      <c r="K258" s="1282"/>
      <c r="L258" s="1406">
        <f t="shared" si="5"/>
        <v>12775</v>
      </c>
    </row>
    <row r="259" spans="1:12" ht="13.5">
      <c r="A259" s="1406">
        <v>12800</v>
      </c>
      <c r="B259" s="1405">
        <v>12850</v>
      </c>
      <c r="C259" s="4809">
        <v>368</v>
      </c>
      <c r="D259" s="1406">
        <v>3995</v>
      </c>
      <c r="E259" s="1406">
        <v>5130</v>
      </c>
      <c r="F259" s="1405">
        <v>5771</v>
      </c>
      <c r="G259" s="4809">
        <v>600</v>
      </c>
      <c r="H259" s="1406">
        <v>3995</v>
      </c>
      <c r="I259" s="1406">
        <v>5130</v>
      </c>
      <c r="J259" s="1405">
        <v>5771</v>
      </c>
      <c r="K259" s="1282"/>
      <c r="L259" s="1406">
        <f t="shared" si="5"/>
        <v>12825</v>
      </c>
    </row>
    <row r="260" spans="1:12" ht="13.5">
      <c r="A260" s="1406">
        <v>12850</v>
      </c>
      <c r="B260" s="1405">
        <v>12900</v>
      </c>
      <c r="C260" s="4809">
        <v>365</v>
      </c>
      <c r="D260" s="1406">
        <v>3995</v>
      </c>
      <c r="E260" s="1406">
        <v>5150</v>
      </c>
      <c r="F260" s="1405">
        <v>5794</v>
      </c>
      <c r="G260" s="4809">
        <v>600</v>
      </c>
      <c r="H260" s="1406">
        <v>3995</v>
      </c>
      <c r="I260" s="1406">
        <v>5150</v>
      </c>
      <c r="J260" s="1405">
        <v>5794</v>
      </c>
      <c r="K260" s="1282"/>
      <c r="L260" s="1406">
        <f t="shared" ref="L260:L323" si="6">ROUND((A260+B260)/2,2)</f>
        <v>12875</v>
      </c>
    </row>
    <row r="261" spans="1:12" ht="13.5">
      <c r="A261" s="1406">
        <v>12900</v>
      </c>
      <c r="B261" s="1405">
        <v>12950</v>
      </c>
      <c r="C261" s="4809">
        <v>361</v>
      </c>
      <c r="D261" s="1406">
        <v>3995</v>
      </c>
      <c r="E261" s="1406">
        <v>5170</v>
      </c>
      <c r="F261" s="1405">
        <v>5816</v>
      </c>
      <c r="G261" s="4809">
        <v>600</v>
      </c>
      <c r="H261" s="1406">
        <v>3995</v>
      </c>
      <c r="I261" s="1406">
        <v>5170</v>
      </c>
      <c r="J261" s="1405">
        <v>5816</v>
      </c>
      <c r="K261" s="1282"/>
      <c r="L261" s="1406">
        <f t="shared" si="6"/>
        <v>12925</v>
      </c>
    </row>
    <row r="262" spans="1:12" ht="13.5">
      <c r="A262" s="1406">
        <v>12950</v>
      </c>
      <c r="B262" s="1405">
        <v>13000</v>
      </c>
      <c r="C262" s="4809">
        <v>357</v>
      </c>
      <c r="D262" s="1406">
        <v>3995</v>
      </c>
      <c r="E262" s="1406">
        <v>5190</v>
      </c>
      <c r="F262" s="1405">
        <v>5839</v>
      </c>
      <c r="G262" s="4809">
        <v>600</v>
      </c>
      <c r="H262" s="1406">
        <v>3995</v>
      </c>
      <c r="I262" s="1406">
        <v>5190</v>
      </c>
      <c r="J262" s="1405">
        <v>5839</v>
      </c>
      <c r="K262" s="1282"/>
      <c r="L262" s="1406">
        <f t="shared" si="6"/>
        <v>12975</v>
      </c>
    </row>
    <row r="263" spans="1:12" ht="13.5">
      <c r="A263" s="1406">
        <v>13000</v>
      </c>
      <c r="B263" s="1405">
        <v>13050</v>
      </c>
      <c r="C263" s="4809">
        <v>353</v>
      </c>
      <c r="D263" s="1406">
        <v>3995</v>
      </c>
      <c r="E263" s="1406">
        <v>5210</v>
      </c>
      <c r="F263" s="1405">
        <v>5861</v>
      </c>
      <c r="G263" s="4809">
        <v>600</v>
      </c>
      <c r="H263" s="1406">
        <v>3995</v>
      </c>
      <c r="I263" s="1406">
        <v>5210</v>
      </c>
      <c r="J263" s="1405">
        <v>5861</v>
      </c>
      <c r="K263" s="1282"/>
      <c r="L263" s="1406">
        <f t="shared" si="6"/>
        <v>13025</v>
      </c>
    </row>
    <row r="264" spans="1:12" ht="13.5">
      <c r="A264" s="1406">
        <v>13050</v>
      </c>
      <c r="B264" s="1405">
        <v>13100</v>
      </c>
      <c r="C264" s="4809">
        <v>349</v>
      </c>
      <c r="D264" s="1406">
        <v>3995</v>
      </c>
      <c r="E264" s="1406">
        <v>5230</v>
      </c>
      <c r="F264" s="1405">
        <v>5884</v>
      </c>
      <c r="G264" s="4809">
        <v>600</v>
      </c>
      <c r="H264" s="1406">
        <v>3995</v>
      </c>
      <c r="I264" s="1406">
        <v>5230</v>
      </c>
      <c r="J264" s="1405">
        <v>5884</v>
      </c>
      <c r="K264" s="1282"/>
      <c r="L264" s="1406">
        <f t="shared" si="6"/>
        <v>13075</v>
      </c>
    </row>
    <row r="265" spans="1:12" ht="13.5">
      <c r="A265" s="1406">
        <v>13100</v>
      </c>
      <c r="B265" s="1405">
        <v>13150</v>
      </c>
      <c r="C265" s="4809">
        <v>345</v>
      </c>
      <c r="D265" s="1406">
        <v>3995</v>
      </c>
      <c r="E265" s="1406">
        <v>5250</v>
      </c>
      <c r="F265" s="1405">
        <v>5906</v>
      </c>
      <c r="G265" s="4809">
        <v>600</v>
      </c>
      <c r="H265" s="1406">
        <v>3995</v>
      </c>
      <c r="I265" s="1406">
        <v>5250</v>
      </c>
      <c r="J265" s="1405">
        <v>5906</v>
      </c>
      <c r="K265" s="1282"/>
      <c r="L265" s="1406">
        <f t="shared" si="6"/>
        <v>13125</v>
      </c>
    </row>
    <row r="266" spans="1:12" ht="13.5">
      <c r="A266" s="1406">
        <v>13150</v>
      </c>
      <c r="B266" s="1405">
        <v>13200</v>
      </c>
      <c r="C266" s="4809">
        <v>342</v>
      </c>
      <c r="D266" s="1406">
        <v>3995</v>
      </c>
      <c r="E266" s="1406">
        <v>5270</v>
      </c>
      <c r="F266" s="1405">
        <v>5929</v>
      </c>
      <c r="G266" s="4809">
        <v>600</v>
      </c>
      <c r="H266" s="1406">
        <v>3995</v>
      </c>
      <c r="I266" s="1406">
        <v>5270</v>
      </c>
      <c r="J266" s="1405">
        <v>5929</v>
      </c>
      <c r="K266" s="1282"/>
      <c r="L266" s="1406">
        <f t="shared" si="6"/>
        <v>13175</v>
      </c>
    </row>
    <row r="267" spans="1:12" ht="13.5">
      <c r="A267" s="1406">
        <v>13200</v>
      </c>
      <c r="B267" s="1405">
        <v>13250</v>
      </c>
      <c r="C267" s="4809">
        <v>338</v>
      </c>
      <c r="D267" s="1406">
        <v>3995</v>
      </c>
      <c r="E267" s="1406">
        <v>5290</v>
      </c>
      <c r="F267" s="1405">
        <v>5951</v>
      </c>
      <c r="G267" s="4809">
        <v>600</v>
      </c>
      <c r="H267" s="1406">
        <v>3995</v>
      </c>
      <c r="I267" s="1406">
        <v>5290</v>
      </c>
      <c r="J267" s="1405">
        <v>5951</v>
      </c>
      <c r="K267" s="1282"/>
      <c r="L267" s="1406">
        <f t="shared" si="6"/>
        <v>13225</v>
      </c>
    </row>
    <row r="268" spans="1:12" ht="13.5">
      <c r="A268" s="1406">
        <v>13250</v>
      </c>
      <c r="B268" s="1405">
        <v>13300</v>
      </c>
      <c r="C268" s="4809">
        <v>334</v>
      </c>
      <c r="D268" s="1406">
        <v>3995</v>
      </c>
      <c r="E268" s="1406">
        <v>5310</v>
      </c>
      <c r="F268" s="1405">
        <v>5974</v>
      </c>
      <c r="G268" s="4809">
        <v>600</v>
      </c>
      <c r="H268" s="1406">
        <v>3995</v>
      </c>
      <c r="I268" s="1406">
        <v>5310</v>
      </c>
      <c r="J268" s="1405">
        <v>5974</v>
      </c>
      <c r="K268" s="1282"/>
      <c r="L268" s="1406">
        <f t="shared" si="6"/>
        <v>13275</v>
      </c>
    </row>
    <row r="269" spans="1:12" ht="13.5">
      <c r="A269" s="1406">
        <v>13300</v>
      </c>
      <c r="B269" s="1405">
        <v>13350</v>
      </c>
      <c r="C269" s="4809">
        <v>330</v>
      </c>
      <c r="D269" s="1406">
        <v>3995</v>
      </c>
      <c r="E269" s="1406">
        <v>5330</v>
      </c>
      <c r="F269" s="1405">
        <v>5996</v>
      </c>
      <c r="G269" s="4809">
        <v>600</v>
      </c>
      <c r="H269" s="1406">
        <v>3995</v>
      </c>
      <c r="I269" s="1406">
        <v>5330</v>
      </c>
      <c r="J269" s="1405">
        <v>5996</v>
      </c>
      <c r="K269" s="1282"/>
      <c r="L269" s="1406">
        <f t="shared" si="6"/>
        <v>13325</v>
      </c>
    </row>
    <row r="270" spans="1:12" ht="13.5">
      <c r="A270" s="1406">
        <v>13350</v>
      </c>
      <c r="B270" s="1405">
        <v>13400</v>
      </c>
      <c r="C270" s="4809">
        <v>326</v>
      </c>
      <c r="D270" s="1406">
        <v>3995</v>
      </c>
      <c r="E270" s="1406">
        <v>5350</v>
      </c>
      <c r="F270" s="1405">
        <v>6019</v>
      </c>
      <c r="G270" s="4809">
        <v>600</v>
      </c>
      <c r="H270" s="1406">
        <v>3995</v>
      </c>
      <c r="I270" s="1406">
        <v>5350</v>
      </c>
      <c r="J270" s="1405">
        <v>6019</v>
      </c>
      <c r="K270" s="1282"/>
      <c r="L270" s="1406">
        <f t="shared" si="6"/>
        <v>13375</v>
      </c>
    </row>
    <row r="271" spans="1:12" ht="13.5">
      <c r="A271" s="1406">
        <v>13400</v>
      </c>
      <c r="B271" s="1405">
        <v>13450</v>
      </c>
      <c r="C271" s="4809">
        <v>322</v>
      </c>
      <c r="D271" s="1406">
        <v>3995</v>
      </c>
      <c r="E271" s="1406">
        <v>5370</v>
      </c>
      <c r="F271" s="1405">
        <v>6041</v>
      </c>
      <c r="G271" s="4809">
        <v>600</v>
      </c>
      <c r="H271" s="1406">
        <v>3995</v>
      </c>
      <c r="I271" s="1406">
        <v>5370</v>
      </c>
      <c r="J271" s="1405">
        <v>6041</v>
      </c>
      <c r="K271" s="1282"/>
      <c r="L271" s="1406">
        <f t="shared" si="6"/>
        <v>13425</v>
      </c>
    </row>
    <row r="272" spans="1:12" ht="13.5">
      <c r="A272" s="1406">
        <v>13450</v>
      </c>
      <c r="B272" s="1405">
        <v>13500</v>
      </c>
      <c r="C272" s="4809">
        <v>319</v>
      </c>
      <c r="D272" s="1406">
        <v>3995</v>
      </c>
      <c r="E272" s="1406">
        <v>5390</v>
      </c>
      <c r="F272" s="1405">
        <v>6064</v>
      </c>
      <c r="G272" s="4809">
        <v>600</v>
      </c>
      <c r="H272" s="1406">
        <v>3995</v>
      </c>
      <c r="I272" s="1406">
        <v>5390</v>
      </c>
      <c r="J272" s="1405">
        <v>6064</v>
      </c>
      <c r="K272" s="1282"/>
      <c r="L272" s="1406">
        <f t="shared" si="6"/>
        <v>13475</v>
      </c>
    </row>
    <row r="273" spans="1:12" ht="13.5">
      <c r="A273" s="1406">
        <v>13500</v>
      </c>
      <c r="B273" s="1405">
        <v>13550</v>
      </c>
      <c r="C273" s="4809">
        <v>315</v>
      </c>
      <c r="D273" s="1406">
        <v>3995</v>
      </c>
      <c r="E273" s="1406">
        <v>5410</v>
      </c>
      <c r="F273" s="1405">
        <v>6086</v>
      </c>
      <c r="G273" s="4809">
        <v>600</v>
      </c>
      <c r="H273" s="1406">
        <v>3995</v>
      </c>
      <c r="I273" s="1406">
        <v>5410</v>
      </c>
      <c r="J273" s="1405">
        <v>6086</v>
      </c>
      <c r="K273" s="1282"/>
      <c r="L273" s="1406">
        <f t="shared" si="6"/>
        <v>13525</v>
      </c>
    </row>
    <row r="274" spans="1:12" ht="13.5">
      <c r="A274" s="1406">
        <v>13550</v>
      </c>
      <c r="B274" s="1405">
        <v>13600</v>
      </c>
      <c r="C274" s="4809">
        <v>311</v>
      </c>
      <c r="D274" s="1406">
        <v>3995</v>
      </c>
      <c r="E274" s="1406">
        <v>5430</v>
      </c>
      <c r="F274" s="1405">
        <v>6109</v>
      </c>
      <c r="G274" s="4809">
        <v>600</v>
      </c>
      <c r="H274" s="1406">
        <v>3995</v>
      </c>
      <c r="I274" s="1406">
        <v>5430</v>
      </c>
      <c r="J274" s="1405">
        <v>6109</v>
      </c>
      <c r="K274" s="1282"/>
      <c r="L274" s="1406">
        <f t="shared" si="6"/>
        <v>13575</v>
      </c>
    </row>
    <row r="275" spans="1:12" ht="13.5">
      <c r="A275" s="1406">
        <v>13600</v>
      </c>
      <c r="B275" s="1405">
        <v>13650</v>
      </c>
      <c r="C275" s="4809">
        <v>307</v>
      </c>
      <c r="D275" s="1406">
        <v>3995</v>
      </c>
      <c r="E275" s="1406">
        <v>5450</v>
      </c>
      <c r="F275" s="1405">
        <v>6131</v>
      </c>
      <c r="G275" s="4809">
        <v>600</v>
      </c>
      <c r="H275" s="1406">
        <v>3995</v>
      </c>
      <c r="I275" s="1406">
        <v>5450</v>
      </c>
      <c r="J275" s="1405">
        <v>6131</v>
      </c>
      <c r="K275" s="1282"/>
      <c r="L275" s="1406">
        <f t="shared" si="6"/>
        <v>13625</v>
      </c>
    </row>
    <row r="276" spans="1:12" ht="13.5">
      <c r="A276" s="1406">
        <v>13650</v>
      </c>
      <c r="B276" s="1405">
        <v>13700</v>
      </c>
      <c r="C276" s="4809">
        <v>303</v>
      </c>
      <c r="D276" s="1406">
        <v>3995</v>
      </c>
      <c r="E276" s="1406">
        <v>5470</v>
      </c>
      <c r="F276" s="1405">
        <v>6154</v>
      </c>
      <c r="G276" s="4809">
        <v>600</v>
      </c>
      <c r="H276" s="1406">
        <v>3995</v>
      </c>
      <c r="I276" s="1406">
        <v>5470</v>
      </c>
      <c r="J276" s="1405">
        <v>6154</v>
      </c>
      <c r="K276" s="1282"/>
      <c r="L276" s="1406">
        <f t="shared" si="6"/>
        <v>13675</v>
      </c>
    </row>
    <row r="277" spans="1:12" ht="13.5">
      <c r="A277" s="1406">
        <v>13700</v>
      </c>
      <c r="B277" s="1405">
        <v>13750</v>
      </c>
      <c r="C277" s="4809">
        <v>299</v>
      </c>
      <c r="D277" s="1406">
        <v>3995</v>
      </c>
      <c r="E277" s="1406">
        <v>5490</v>
      </c>
      <c r="F277" s="1405">
        <v>6176</v>
      </c>
      <c r="G277" s="4809">
        <v>600</v>
      </c>
      <c r="H277" s="1406">
        <v>3995</v>
      </c>
      <c r="I277" s="1406">
        <v>5490</v>
      </c>
      <c r="J277" s="1405">
        <v>6176</v>
      </c>
      <c r="K277" s="1282"/>
      <c r="L277" s="1406">
        <f t="shared" si="6"/>
        <v>13725</v>
      </c>
    </row>
    <row r="278" spans="1:12" ht="13.5">
      <c r="A278" s="1406">
        <v>13750</v>
      </c>
      <c r="B278" s="1405">
        <v>13800</v>
      </c>
      <c r="C278" s="4809">
        <v>296</v>
      </c>
      <c r="D278" s="1406">
        <v>3995</v>
      </c>
      <c r="E278" s="1406">
        <v>5510</v>
      </c>
      <c r="F278" s="1405">
        <v>6199</v>
      </c>
      <c r="G278" s="4809">
        <v>600</v>
      </c>
      <c r="H278" s="1406">
        <v>3995</v>
      </c>
      <c r="I278" s="1406">
        <v>5510</v>
      </c>
      <c r="J278" s="1405">
        <v>6199</v>
      </c>
      <c r="K278" s="1282"/>
      <c r="L278" s="1406">
        <f t="shared" si="6"/>
        <v>13775</v>
      </c>
    </row>
    <row r="279" spans="1:12" ht="13.5">
      <c r="A279" s="1406">
        <v>13800</v>
      </c>
      <c r="B279" s="1405">
        <v>13850</v>
      </c>
      <c r="C279" s="4809">
        <v>292</v>
      </c>
      <c r="D279" s="1406">
        <v>3995</v>
      </c>
      <c r="E279" s="1406">
        <v>5530</v>
      </c>
      <c r="F279" s="1405">
        <v>6221</v>
      </c>
      <c r="G279" s="4809">
        <v>600</v>
      </c>
      <c r="H279" s="1406">
        <v>3995</v>
      </c>
      <c r="I279" s="1406">
        <v>5530</v>
      </c>
      <c r="J279" s="1405">
        <v>6221</v>
      </c>
      <c r="K279" s="1282"/>
      <c r="L279" s="1406">
        <f t="shared" si="6"/>
        <v>13825</v>
      </c>
    </row>
    <row r="280" spans="1:12" ht="13.5">
      <c r="A280" s="1406">
        <v>13850</v>
      </c>
      <c r="B280" s="1405">
        <v>13900</v>
      </c>
      <c r="C280" s="4809">
        <v>288</v>
      </c>
      <c r="D280" s="1406">
        <v>3995</v>
      </c>
      <c r="E280" s="1406">
        <v>5550</v>
      </c>
      <c r="F280" s="1405">
        <v>6244</v>
      </c>
      <c r="G280" s="4809">
        <v>600</v>
      </c>
      <c r="H280" s="1406">
        <v>3995</v>
      </c>
      <c r="I280" s="1406">
        <v>5550</v>
      </c>
      <c r="J280" s="1405">
        <v>6244</v>
      </c>
      <c r="K280" s="1282"/>
      <c r="L280" s="1406">
        <f t="shared" si="6"/>
        <v>13875</v>
      </c>
    </row>
    <row r="281" spans="1:12" ht="13.5">
      <c r="A281" s="1406">
        <v>13900</v>
      </c>
      <c r="B281" s="1405">
        <v>13950</v>
      </c>
      <c r="C281" s="4809">
        <v>284</v>
      </c>
      <c r="D281" s="1406">
        <v>3995</v>
      </c>
      <c r="E281" s="1406">
        <v>5570</v>
      </c>
      <c r="F281" s="1405">
        <v>6266</v>
      </c>
      <c r="G281" s="4809">
        <v>600</v>
      </c>
      <c r="H281" s="1406">
        <v>3995</v>
      </c>
      <c r="I281" s="1406">
        <v>5570</v>
      </c>
      <c r="J281" s="1405">
        <v>6266</v>
      </c>
      <c r="K281" s="1282"/>
      <c r="L281" s="1406">
        <f t="shared" si="6"/>
        <v>13925</v>
      </c>
    </row>
    <row r="282" spans="1:12" ht="13.5">
      <c r="A282" s="1406">
        <v>13950</v>
      </c>
      <c r="B282" s="1405">
        <v>14000</v>
      </c>
      <c r="C282" s="4809">
        <v>280</v>
      </c>
      <c r="D282" s="1406">
        <v>3995</v>
      </c>
      <c r="E282" s="1406">
        <v>5590</v>
      </c>
      <c r="F282" s="1405">
        <v>6289</v>
      </c>
      <c r="G282" s="4809">
        <v>600</v>
      </c>
      <c r="H282" s="1406">
        <v>3995</v>
      </c>
      <c r="I282" s="1406">
        <v>5590</v>
      </c>
      <c r="J282" s="1405">
        <v>6289</v>
      </c>
      <c r="K282" s="1282"/>
      <c r="L282" s="1406">
        <f t="shared" si="6"/>
        <v>13975</v>
      </c>
    </row>
    <row r="283" spans="1:12" ht="13.5">
      <c r="A283" s="1406">
        <v>14000</v>
      </c>
      <c r="B283" s="1405">
        <v>14050</v>
      </c>
      <c r="C283" s="4809">
        <v>277</v>
      </c>
      <c r="D283" s="1406">
        <v>3995</v>
      </c>
      <c r="E283" s="1406">
        <v>5610</v>
      </c>
      <c r="F283" s="1405">
        <v>6311</v>
      </c>
      <c r="G283" s="4809">
        <v>600</v>
      </c>
      <c r="H283" s="1406">
        <v>3995</v>
      </c>
      <c r="I283" s="1406">
        <v>5610</v>
      </c>
      <c r="J283" s="1405">
        <v>6311</v>
      </c>
      <c r="K283" s="1282"/>
      <c r="L283" s="1406">
        <f t="shared" si="6"/>
        <v>14025</v>
      </c>
    </row>
    <row r="284" spans="1:12" ht="13.5">
      <c r="A284" s="1406">
        <v>14050</v>
      </c>
      <c r="B284" s="1405">
        <v>14100</v>
      </c>
      <c r="C284" s="4809">
        <v>273</v>
      </c>
      <c r="D284" s="1406">
        <v>3995</v>
      </c>
      <c r="E284" s="1406">
        <v>5630</v>
      </c>
      <c r="F284" s="1405">
        <v>6334</v>
      </c>
      <c r="G284" s="4809">
        <v>600</v>
      </c>
      <c r="H284" s="1406">
        <v>3995</v>
      </c>
      <c r="I284" s="1406">
        <v>5630</v>
      </c>
      <c r="J284" s="1405">
        <v>6334</v>
      </c>
      <c r="K284" s="1282"/>
      <c r="L284" s="1406">
        <f t="shared" si="6"/>
        <v>14075</v>
      </c>
    </row>
    <row r="285" spans="1:12" ht="13.5">
      <c r="A285" s="1406">
        <v>14100</v>
      </c>
      <c r="B285" s="1405">
        <v>14150</v>
      </c>
      <c r="C285" s="4809">
        <v>269</v>
      </c>
      <c r="D285" s="1406">
        <v>3995</v>
      </c>
      <c r="E285" s="1406">
        <v>5650</v>
      </c>
      <c r="F285" s="1405">
        <v>6356</v>
      </c>
      <c r="G285" s="4809">
        <v>600</v>
      </c>
      <c r="H285" s="1406">
        <v>3995</v>
      </c>
      <c r="I285" s="1406">
        <v>5650</v>
      </c>
      <c r="J285" s="1405">
        <v>6356</v>
      </c>
      <c r="K285" s="1282"/>
      <c r="L285" s="1406">
        <f t="shared" si="6"/>
        <v>14125</v>
      </c>
    </row>
    <row r="286" spans="1:12" ht="13.5">
      <c r="A286" s="1406">
        <v>14150</v>
      </c>
      <c r="B286" s="1405">
        <v>14200</v>
      </c>
      <c r="C286" s="4809">
        <v>265</v>
      </c>
      <c r="D286" s="1406">
        <v>3995</v>
      </c>
      <c r="E286" s="1406">
        <v>5670</v>
      </c>
      <c r="F286" s="1405">
        <v>6379</v>
      </c>
      <c r="G286" s="4809">
        <v>600</v>
      </c>
      <c r="H286" s="1406">
        <v>3995</v>
      </c>
      <c r="I286" s="1406">
        <v>5670</v>
      </c>
      <c r="J286" s="1405">
        <v>6379</v>
      </c>
      <c r="K286" s="1282"/>
      <c r="L286" s="1406">
        <f t="shared" si="6"/>
        <v>14175</v>
      </c>
    </row>
    <row r="287" spans="1:12" ht="13.5">
      <c r="A287" s="1406">
        <v>14200</v>
      </c>
      <c r="B287" s="1405">
        <v>14250</v>
      </c>
      <c r="C287" s="4809">
        <v>261</v>
      </c>
      <c r="D287" s="1406">
        <v>3995</v>
      </c>
      <c r="E287" s="1406">
        <v>5690</v>
      </c>
      <c r="F287" s="1405">
        <v>6401</v>
      </c>
      <c r="G287" s="4809">
        <v>600</v>
      </c>
      <c r="H287" s="1406">
        <v>3995</v>
      </c>
      <c r="I287" s="1406">
        <v>5690</v>
      </c>
      <c r="J287" s="1405">
        <v>6401</v>
      </c>
      <c r="K287" s="1282"/>
      <c r="L287" s="1406">
        <f t="shared" si="6"/>
        <v>14225</v>
      </c>
    </row>
    <row r="288" spans="1:12" ht="13.5">
      <c r="A288" s="1406">
        <v>14250</v>
      </c>
      <c r="B288" s="1405">
        <v>14300</v>
      </c>
      <c r="C288" s="4809">
        <v>257</v>
      </c>
      <c r="D288" s="1406">
        <v>3995</v>
      </c>
      <c r="E288" s="1406">
        <v>5710</v>
      </c>
      <c r="F288" s="1405">
        <v>6424</v>
      </c>
      <c r="G288" s="4809">
        <v>600</v>
      </c>
      <c r="H288" s="1406">
        <v>3995</v>
      </c>
      <c r="I288" s="1406">
        <v>5710</v>
      </c>
      <c r="J288" s="1405">
        <v>6424</v>
      </c>
      <c r="K288" s="1282"/>
      <c r="L288" s="1406">
        <f t="shared" si="6"/>
        <v>14275</v>
      </c>
    </row>
    <row r="289" spans="1:12" ht="13.5">
      <c r="A289" s="1406">
        <v>14300</v>
      </c>
      <c r="B289" s="1405">
        <v>14350</v>
      </c>
      <c r="C289" s="4809">
        <v>254</v>
      </c>
      <c r="D289" s="1406">
        <v>3995</v>
      </c>
      <c r="E289" s="1406">
        <v>5730</v>
      </c>
      <c r="F289" s="1405">
        <v>6446</v>
      </c>
      <c r="G289" s="4809">
        <v>600</v>
      </c>
      <c r="H289" s="1406">
        <v>3995</v>
      </c>
      <c r="I289" s="1406">
        <v>5730</v>
      </c>
      <c r="J289" s="1405">
        <v>6446</v>
      </c>
      <c r="K289" s="1282"/>
      <c r="L289" s="1406">
        <f t="shared" si="6"/>
        <v>14325</v>
      </c>
    </row>
    <row r="290" spans="1:12" ht="13.5">
      <c r="A290" s="1406">
        <v>14350</v>
      </c>
      <c r="B290" s="1405">
        <v>14400</v>
      </c>
      <c r="C290" s="4809">
        <v>250</v>
      </c>
      <c r="D290" s="1406">
        <v>3995</v>
      </c>
      <c r="E290" s="1406">
        <v>5750</v>
      </c>
      <c r="F290" s="1405">
        <v>6469</v>
      </c>
      <c r="G290" s="4809">
        <v>600</v>
      </c>
      <c r="H290" s="1406">
        <v>3995</v>
      </c>
      <c r="I290" s="1406">
        <v>5750</v>
      </c>
      <c r="J290" s="1405">
        <v>6469</v>
      </c>
      <c r="K290" s="1282"/>
      <c r="L290" s="1406">
        <f t="shared" si="6"/>
        <v>14375</v>
      </c>
    </row>
    <row r="291" spans="1:12" ht="13.5">
      <c r="A291" s="1406">
        <v>14400</v>
      </c>
      <c r="B291" s="1405">
        <v>14450</v>
      </c>
      <c r="C291" s="4809">
        <v>246</v>
      </c>
      <c r="D291" s="1406">
        <v>3995</v>
      </c>
      <c r="E291" s="1406">
        <v>5770</v>
      </c>
      <c r="F291" s="1405">
        <v>6491</v>
      </c>
      <c r="G291" s="4809">
        <v>600</v>
      </c>
      <c r="H291" s="1406">
        <v>3995</v>
      </c>
      <c r="I291" s="1406">
        <v>5770</v>
      </c>
      <c r="J291" s="1405">
        <v>6491</v>
      </c>
      <c r="K291" s="1282"/>
      <c r="L291" s="1406">
        <f t="shared" si="6"/>
        <v>14425</v>
      </c>
    </row>
    <row r="292" spans="1:12" ht="13.5">
      <c r="A292" s="1406">
        <v>14450</v>
      </c>
      <c r="B292" s="1405">
        <v>14500</v>
      </c>
      <c r="C292" s="4809">
        <v>242</v>
      </c>
      <c r="D292" s="1406">
        <v>3995</v>
      </c>
      <c r="E292" s="1406">
        <v>5790</v>
      </c>
      <c r="F292" s="1405">
        <v>6514</v>
      </c>
      <c r="G292" s="4809">
        <v>600</v>
      </c>
      <c r="H292" s="1406">
        <v>3995</v>
      </c>
      <c r="I292" s="1406">
        <v>5790</v>
      </c>
      <c r="J292" s="1405">
        <v>6514</v>
      </c>
      <c r="K292" s="1282"/>
      <c r="L292" s="1406">
        <f t="shared" si="6"/>
        <v>14475</v>
      </c>
    </row>
    <row r="293" spans="1:12" ht="13.5">
      <c r="A293" s="1406">
        <v>14500</v>
      </c>
      <c r="B293" s="1405">
        <v>14550</v>
      </c>
      <c r="C293" s="4809">
        <v>238</v>
      </c>
      <c r="D293" s="1406">
        <v>3995</v>
      </c>
      <c r="E293" s="1406">
        <v>5810</v>
      </c>
      <c r="F293" s="1405">
        <v>6536</v>
      </c>
      <c r="G293" s="4809">
        <v>600</v>
      </c>
      <c r="H293" s="1406">
        <v>3995</v>
      </c>
      <c r="I293" s="1406">
        <v>5810</v>
      </c>
      <c r="J293" s="1405">
        <v>6536</v>
      </c>
      <c r="K293" s="1282"/>
      <c r="L293" s="1406">
        <f t="shared" si="6"/>
        <v>14525</v>
      </c>
    </row>
    <row r="294" spans="1:12" ht="13.5">
      <c r="A294" s="1406">
        <v>14550</v>
      </c>
      <c r="B294" s="1405">
        <v>14600</v>
      </c>
      <c r="C294" s="4809">
        <v>234</v>
      </c>
      <c r="D294" s="1406">
        <v>3995</v>
      </c>
      <c r="E294" s="1406">
        <v>5830</v>
      </c>
      <c r="F294" s="1405">
        <v>6559</v>
      </c>
      <c r="G294" s="4809">
        <v>600</v>
      </c>
      <c r="H294" s="1406">
        <v>3995</v>
      </c>
      <c r="I294" s="1406">
        <v>5830</v>
      </c>
      <c r="J294" s="1405">
        <v>6559</v>
      </c>
      <c r="K294" s="1282"/>
      <c r="L294" s="1406">
        <f t="shared" si="6"/>
        <v>14575</v>
      </c>
    </row>
    <row r="295" spans="1:12" ht="13.5">
      <c r="A295" s="1406">
        <v>14600</v>
      </c>
      <c r="B295" s="1405">
        <v>14650</v>
      </c>
      <c r="C295" s="4809">
        <v>231</v>
      </c>
      <c r="D295" s="1406">
        <v>3995</v>
      </c>
      <c r="E295" s="1406">
        <v>5850</v>
      </c>
      <c r="F295" s="1405">
        <v>6581</v>
      </c>
      <c r="G295" s="4809">
        <v>600</v>
      </c>
      <c r="H295" s="1406">
        <v>3995</v>
      </c>
      <c r="I295" s="1406">
        <v>5850</v>
      </c>
      <c r="J295" s="1405">
        <v>6581</v>
      </c>
      <c r="K295" s="1282"/>
      <c r="L295" s="1406">
        <f t="shared" si="6"/>
        <v>14625</v>
      </c>
    </row>
    <row r="296" spans="1:12" ht="13.5">
      <c r="A296" s="1406">
        <v>14650</v>
      </c>
      <c r="B296" s="1405">
        <v>14700</v>
      </c>
      <c r="C296" s="4809">
        <v>227</v>
      </c>
      <c r="D296" s="1406">
        <v>3995</v>
      </c>
      <c r="E296" s="1406">
        <v>5870</v>
      </c>
      <c r="F296" s="1405">
        <v>6604</v>
      </c>
      <c r="G296" s="4809">
        <v>600</v>
      </c>
      <c r="H296" s="1406">
        <v>3995</v>
      </c>
      <c r="I296" s="1406">
        <v>5870</v>
      </c>
      <c r="J296" s="1405">
        <v>6604</v>
      </c>
      <c r="K296" s="1282"/>
      <c r="L296" s="1406">
        <f t="shared" si="6"/>
        <v>14675</v>
      </c>
    </row>
    <row r="297" spans="1:12" ht="13.5">
      <c r="A297" s="1406">
        <v>14700</v>
      </c>
      <c r="B297" s="1405">
        <v>14750</v>
      </c>
      <c r="C297" s="4809">
        <v>223</v>
      </c>
      <c r="D297" s="1406">
        <v>3995</v>
      </c>
      <c r="E297" s="1406">
        <v>5890</v>
      </c>
      <c r="F297" s="1405">
        <v>6626</v>
      </c>
      <c r="G297" s="4809">
        <v>600</v>
      </c>
      <c r="H297" s="1406">
        <v>3995</v>
      </c>
      <c r="I297" s="1406">
        <v>5890</v>
      </c>
      <c r="J297" s="1405">
        <v>6626</v>
      </c>
      <c r="K297" s="1282"/>
      <c r="L297" s="1406">
        <f t="shared" si="6"/>
        <v>14725</v>
      </c>
    </row>
    <row r="298" spans="1:12" ht="13.5">
      <c r="A298" s="1406">
        <v>14750</v>
      </c>
      <c r="B298" s="1405">
        <v>14800</v>
      </c>
      <c r="C298" s="4809">
        <v>219</v>
      </c>
      <c r="D298" s="1406">
        <v>3995</v>
      </c>
      <c r="E298" s="1406">
        <v>5910</v>
      </c>
      <c r="F298" s="1405">
        <v>6649</v>
      </c>
      <c r="G298" s="4809">
        <v>600</v>
      </c>
      <c r="H298" s="1406">
        <v>3995</v>
      </c>
      <c r="I298" s="1406">
        <v>5910</v>
      </c>
      <c r="J298" s="1405">
        <v>6649</v>
      </c>
      <c r="K298" s="1282"/>
      <c r="L298" s="1406">
        <f t="shared" si="6"/>
        <v>14775</v>
      </c>
    </row>
    <row r="299" spans="1:12" ht="13.5">
      <c r="A299" s="1406">
        <v>14800</v>
      </c>
      <c r="B299" s="1405">
        <v>14850</v>
      </c>
      <c r="C299" s="4809">
        <v>215</v>
      </c>
      <c r="D299" s="1406">
        <v>3995</v>
      </c>
      <c r="E299" s="1406">
        <v>5930</v>
      </c>
      <c r="F299" s="1405">
        <v>6671</v>
      </c>
      <c r="G299" s="4809">
        <v>600</v>
      </c>
      <c r="H299" s="1406">
        <v>3995</v>
      </c>
      <c r="I299" s="1406">
        <v>5930</v>
      </c>
      <c r="J299" s="1405">
        <v>6671</v>
      </c>
      <c r="K299" s="1282"/>
      <c r="L299" s="1406">
        <f t="shared" si="6"/>
        <v>14825</v>
      </c>
    </row>
    <row r="300" spans="1:12" ht="13.5">
      <c r="A300" s="1406">
        <v>14850</v>
      </c>
      <c r="B300" s="1405">
        <v>14900</v>
      </c>
      <c r="C300" s="4809">
        <v>212</v>
      </c>
      <c r="D300" s="1406">
        <v>3995</v>
      </c>
      <c r="E300" s="1406">
        <v>5950</v>
      </c>
      <c r="F300" s="1405">
        <v>6694</v>
      </c>
      <c r="G300" s="4809">
        <v>600</v>
      </c>
      <c r="H300" s="1406">
        <v>3995</v>
      </c>
      <c r="I300" s="1406">
        <v>5950</v>
      </c>
      <c r="J300" s="1405">
        <v>6694</v>
      </c>
      <c r="K300" s="1282"/>
      <c r="L300" s="1406">
        <f t="shared" si="6"/>
        <v>14875</v>
      </c>
    </row>
    <row r="301" spans="1:12" ht="13.5">
      <c r="A301" s="1406">
        <v>14900</v>
      </c>
      <c r="B301" s="1405">
        <v>14950</v>
      </c>
      <c r="C301" s="4809">
        <v>208</v>
      </c>
      <c r="D301" s="1406">
        <v>3995</v>
      </c>
      <c r="E301" s="1406">
        <v>5970</v>
      </c>
      <c r="F301" s="1405">
        <v>6716</v>
      </c>
      <c r="G301" s="4809">
        <v>600</v>
      </c>
      <c r="H301" s="1406">
        <v>3995</v>
      </c>
      <c r="I301" s="1406">
        <v>5970</v>
      </c>
      <c r="J301" s="1405">
        <v>6716</v>
      </c>
      <c r="K301" s="1282"/>
      <c r="L301" s="1406">
        <f t="shared" si="6"/>
        <v>14925</v>
      </c>
    </row>
    <row r="302" spans="1:12" ht="13.5">
      <c r="A302" s="1406">
        <v>14950</v>
      </c>
      <c r="B302" s="1405">
        <v>15000</v>
      </c>
      <c r="C302" s="4809">
        <v>204</v>
      </c>
      <c r="D302" s="1406">
        <v>3995</v>
      </c>
      <c r="E302" s="1406">
        <v>5990</v>
      </c>
      <c r="F302" s="1405">
        <v>6739</v>
      </c>
      <c r="G302" s="4809">
        <v>600</v>
      </c>
      <c r="H302" s="1406">
        <v>3995</v>
      </c>
      <c r="I302" s="1406">
        <v>5990</v>
      </c>
      <c r="J302" s="1405">
        <v>6739</v>
      </c>
      <c r="K302" s="1282"/>
      <c r="L302" s="1406">
        <f t="shared" si="6"/>
        <v>14975</v>
      </c>
    </row>
    <row r="303" spans="1:12" ht="13.5">
      <c r="A303" s="1406">
        <v>15000</v>
      </c>
      <c r="B303" s="1405">
        <v>15050</v>
      </c>
      <c r="C303" s="4809">
        <v>200</v>
      </c>
      <c r="D303" s="1406">
        <v>3995</v>
      </c>
      <c r="E303" s="1406">
        <v>6010</v>
      </c>
      <c r="F303" s="1405">
        <v>6761</v>
      </c>
      <c r="G303" s="4809">
        <v>600</v>
      </c>
      <c r="H303" s="1406">
        <v>3995</v>
      </c>
      <c r="I303" s="1406">
        <v>6010</v>
      </c>
      <c r="J303" s="1405">
        <v>6761</v>
      </c>
      <c r="K303" s="1282"/>
      <c r="L303" s="1406">
        <f t="shared" si="6"/>
        <v>15025</v>
      </c>
    </row>
    <row r="304" spans="1:12" ht="13.5">
      <c r="A304" s="1406">
        <v>15050</v>
      </c>
      <c r="B304" s="1405">
        <v>15100</v>
      </c>
      <c r="C304" s="4809">
        <v>196</v>
      </c>
      <c r="D304" s="1406">
        <v>3995</v>
      </c>
      <c r="E304" s="1406">
        <v>6030</v>
      </c>
      <c r="F304" s="1405">
        <v>6784</v>
      </c>
      <c r="G304" s="4809">
        <v>600</v>
      </c>
      <c r="H304" s="1406">
        <v>3995</v>
      </c>
      <c r="I304" s="1406">
        <v>6030</v>
      </c>
      <c r="J304" s="1405">
        <v>6784</v>
      </c>
      <c r="K304" s="1282"/>
      <c r="L304" s="1406">
        <f t="shared" si="6"/>
        <v>15075</v>
      </c>
    </row>
    <row r="305" spans="1:12" ht="13.5">
      <c r="A305" s="1406">
        <v>15100</v>
      </c>
      <c r="B305" s="1405">
        <v>15150</v>
      </c>
      <c r="C305" s="4809">
        <v>192</v>
      </c>
      <c r="D305" s="1406">
        <v>3995</v>
      </c>
      <c r="E305" s="1406">
        <v>6050</v>
      </c>
      <c r="F305" s="1405">
        <v>6806</v>
      </c>
      <c r="G305" s="4809">
        <v>600</v>
      </c>
      <c r="H305" s="1406">
        <v>3995</v>
      </c>
      <c r="I305" s="1406">
        <v>6050</v>
      </c>
      <c r="J305" s="1405">
        <v>6806</v>
      </c>
      <c r="K305" s="1282"/>
      <c r="L305" s="1406">
        <f t="shared" si="6"/>
        <v>15125</v>
      </c>
    </row>
    <row r="306" spans="1:12" ht="13.5">
      <c r="A306" s="1406">
        <v>15150</v>
      </c>
      <c r="B306" s="1405">
        <v>15200</v>
      </c>
      <c r="C306" s="4809">
        <v>189</v>
      </c>
      <c r="D306" s="1406">
        <v>3995</v>
      </c>
      <c r="E306" s="1406">
        <v>6070</v>
      </c>
      <c r="F306" s="1405">
        <v>6829</v>
      </c>
      <c r="G306" s="4809">
        <v>600</v>
      </c>
      <c r="H306" s="1406">
        <v>3995</v>
      </c>
      <c r="I306" s="1406">
        <v>6070</v>
      </c>
      <c r="J306" s="1405">
        <v>6829</v>
      </c>
      <c r="K306" s="1282"/>
      <c r="L306" s="1406">
        <f t="shared" si="6"/>
        <v>15175</v>
      </c>
    </row>
    <row r="307" spans="1:12" ht="13.5">
      <c r="A307" s="1406">
        <v>15200</v>
      </c>
      <c r="B307" s="1405">
        <v>15250</v>
      </c>
      <c r="C307" s="4809">
        <v>185</v>
      </c>
      <c r="D307" s="1406">
        <v>3995</v>
      </c>
      <c r="E307" s="1406">
        <v>6090</v>
      </c>
      <c r="F307" s="1405">
        <v>6851</v>
      </c>
      <c r="G307" s="4809">
        <v>600</v>
      </c>
      <c r="H307" s="1406">
        <v>3995</v>
      </c>
      <c r="I307" s="1406">
        <v>6090</v>
      </c>
      <c r="J307" s="1405">
        <v>6851</v>
      </c>
      <c r="K307" s="1282"/>
      <c r="L307" s="1406">
        <f t="shared" si="6"/>
        <v>15225</v>
      </c>
    </row>
    <row r="308" spans="1:12" ht="13.5">
      <c r="A308" s="1406">
        <v>15250</v>
      </c>
      <c r="B308" s="1405">
        <v>15300</v>
      </c>
      <c r="C308" s="4809">
        <v>181</v>
      </c>
      <c r="D308" s="1406">
        <v>3995</v>
      </c>
      <c r="E308" s="1406">
        <v>6110</v>
      </c>
      <c r="F308" s="1405">
        <v>6874</v>
      </c>
      <c r="G308" s="4809">
        <v>600</v>
      </c>
      <c r="H308" s="1406">
        <v>3995</v>
      </c>
      <c r="I308" s="1406">
        <v>6110</v>
      </c>
      <c r="J308" s="1405">
        <v>6874</v>
      </c>
      <c r="K308" s="1282"/>
      <c r="L308" s="1406">
        <f t="shared" si="6"/>
        <v>15275</v>
      </c>
    </row>
    <row r="309" spans="1:12" ht="13.5">
      <c r="A309" s="1406">
        <v>15300</v>
      </c>
      <c r="B309" s="1405">
        <v>15350</v>
      </c>
      <c r="C309" s="4809">
        <v>177</v>
      </c>
      <c r="D309" s="1406">
        <v>3995</v>
      </c>
      <c r="E309" s="1406">
        <v>6130</v>
      </c>
      <c r="F309" s="1405">
        <v>6896</v>
      </c>
      <c r="G309" s="4809">
        <v>600</v>
      </c>
      <c r="H309" s="1406">
        <v>3995</v>
      </c>
      <c r="I309" s="1406">
        <v>6130</v>
      </c>
      <c r="J309" s="1405">
        <v>6896</v>
      </c>
      <c r="K309" s="1282"/>
      <c r="L309" s="1406">
        <f t="shared" si="6"/>
        <v>15325</v>
      </c>
    </row>
    <row r="310" spans="1:12" ht="13.5">
      <c r="A310" s="1406">
        <v>15350</v>
      </c>
      <c r="B310" s="1405">
        <v>15400</v>
      </c>
      <c r="C310" s="4809">
        <v>173</v>
      </c>
      <c r="D310" s="1406">
        <v>3995</v>
      </c>
      <c r="E310" s="1406">
        <v>6150</v>
      </c>
      <c r="F310" s="1405">
        <v>6919</v>
      </c>
      <c r="G310" s="4809">
        <v>600</v>
      </c>
      <c r="H310" s="1406">
        <v>3995</v>
      </c>
      <c r="I310" s="1406">
        <v>6150</v>
      </c>
      <c r="J310" s="1405">
        <v>6919</v>
      </c>
      <c r="K310" s="1282"/>
      <c r="L310" s="1406">
        <f t="shared" si="6"/>
        <v>15375</v>
      </c>
    </row>
    <row r="311" spans="1:12" ht="13.5">
      <c r="A311" s="1406">
        <v>15400</v>
      </c>
      <c r="B311" s="1405">
        <v>15450</v>
      </c>
      <c r="C311" s="4809">
        <v>169</v>
      </c>
      <c r="D311" s="1406">
        <v>3995</v>
      </c>
      <c r="E311" s="1406">
        <v>6170</v>
      </c>
      <c r="F311" s="1405">
        <v>6941</v>
      </c>
      <c r="G311" s="4809">
        <v>600</v>
      </c>
      <c r="H311" s="1406">
        <v>3995</v>
      </c>
      <c r="I311" s="1406">
        <v>6170</v>
      </c>
      <c r="J311" s="1405">
        <v>6941</v>
      </c>
      <c r="K311" s="1282"/>
      <c r="L311" s="1406">
        <f t="shared" si="6"/>
        <v>15425</v>
      </c>
    </row>
    <row r="312" spans="1:12" ht="13.5">
      <c r="A312" s="1406">
        <v>15450</v>
      </c>
      <c r="B312" s="1405">
        <v>15500</v>
      </c>
      <c r="C312" s="4809">
        <v>166</v>
      </c>
      <c r="D312" s="1406">
        <v>3995</v>
      </c>
      <c r="E312" s="1406">
        <v>6190</v>
      </c>
      <c r="F312" s="1405">
        <v>6964</v>
      </c>
      <c r="G312" s="4809">
        <v>600</v>
      </c>
      <c r="H312" s="1406">
        <v>3995</v>
      </c>
      <c r="I312" s="1406">
        <v>6190</v>
      </c>
      <c r="J312" s="1405">
        <v>6964</v>
      </c>
      <c r="K312" s="1282"/>
      <c r="L312" s="1406">
        <f t="shared" si="6"/>
        <v>15475</v>
      </c>
    </row>
    <row r="313" spans="1:12" ht="13.5">
      <c r="A313" s="1406">
        <v>15500</v>
      </c>
      <c r="B313" s="1405">
        <v>15550</v>
      </c>
      <c r="C313" s="4809">
        <v>162</v>
      </c>
      <c r="D313" s="1406">
        <v>3995</v>
      </c>
      <c r="E313" s="1406">
        <v>6210</v>
      </c>
      <c r="F313" s="1405">
        <v>6986</v>
      </c>
      <c r="G313" s="4809">
        <v>600</v>
      </c>
      <c r="H313" s="1406">
        <v>3995</v>
      </c>
      <c r="I313" s="1406">
        <v>6210</v>
      </c>
      <c r="J313" s="1405">
        <v>6986</v>
      </c>
      <c r="K313" s="1282"/>
      <c r="L313" s="1406">
        <f t="shared" si="6"/>
        <v>15525</v>
      </c>
    </row>
    <row r="314" spans="1:12" ht="13.5">
      <c r="A314" s="1406">
        <v>15550</v>
      </c>
      <c r="B314" s="1405">
        <v>15600</v>
      </c>
      <c r="C314" s="4809">
        <v>158</v>
      </c>
      <c r="D314" s="1406">
        <v>3995</v>
      </c>
      <c r="E314" s="1406">
        <v>6230</v>
      </c>
      <c r="F314" s="1405">
        <v>7009</v>
      </c>
      <c r="G314" s="4809">
        <v>600</v>
      </c>
      <c r="H314" s="1406">
        <v>3995</v>
      </c>
      <c r="I314" s="1406">
        <v>6230</v>
      </c>
      <c r="J314" s="1405">
        <v>7009</v>
      </c>
      <c r="K314" s="1282"/>
      <c r="L314" s="1406">
        <f t="shared" si="6"/>
        <v>15575</v>
      </c>
    </row>
    <row r="315" spans="1:12" ht="13.5">
      <c r="A315" s="1406">
        <v>15600</v>
      </c>
      <c r="B315" s="1405">
        <v>15650</v>
      </c>
      <c r="C315" s="4809">
        <v>154</v>
      </c>
      <c r="D315" s="1406">
        <v>3995</v>
      </c>
      <c r="E315" s="1406">
        <v>6250</v>
      </c>
      <c r="F315" s="1405">
        <v>7031</v>
      </c>
      <c r="G315" s="4809">
        <v>600</v>
      </c>
      <c r="H315" s="1406">
        <v>3995</v>
      </c>
      <c r="I315" s="1406">
        <v>6250</v>
      </c>
      <c r="J315" s="1405">
        <v>7031</v>
      </c>
      <c r="K315" s="1282"/>
      <c r="L315" s="1406">
        <f t="shared" si="6"/>
        <v>15625</v>
      </c>
    </row>
    <row r="316" spans="1:12" ht="13.5">
      <c r="A316" s="1406">
        <v>15650</v>
      </c>
      <c r="B316" s="1405">
        <v>15700</v>
      </c>
      <c r="C316" s="4809">
        <v>150</v>
      </c>
      <c r="D316" s="1406">
        <v>3995</v>
      </c>
      <c r="E316" s="1406">
        <v>6270</v>
      </c>
      <c r="F316" s="1405">
        <v>7054</v>
      </c>
      <c r="G316" s="4809">
        <v>600</v>
      </c>
      <c r="H316" s="1406">
        <v>3995</v>
      </c>
      <c r="I316" s="1406">
        <v>6270</v>
      </c>
      <c r="J316" s="1405">
        <v>7054</v>
      </c>
      <c r="K316" s="1282"/>
      <c r="L316" s="1406">
        <f t="shared" si="6"/>
        <v>15675</v>
      </c>
    </row>
    <row r="317" spans="1:12" ht="13.5">
      <c r="A317" s="1406">
        <v>15700</v>
      </c>
      <c r="B317" s="1405">
        <v>15750</v>
      </c>
      <c r="C317" s="4809">
        <v>146</v>
      </c>
      <c r="D317" s="1406">
        <v>3995</v>
      </c>
      <c r="E317" s="1406">
        <v>6290</v>
      </c>
      <c r="F317" s="1405">
        <v>7076</v>
      </c>
      <c r="G317" s="4809">
        <v>600</v>
      </c>
      <c r="H317" s="1406">
        <v>3995</v>
      </c>
      <c r="I317" s="1406">
        <v>6290</v>
      </c>
      <c r="J317" s="1405">
        <v>7076</v>
      </c>
      <c r="K317" s="1282"/>
      <c r="L317" s="1406">
        <f t="shared" si="6"/>
        <v>15725</v>
      </c>
    </row>
    <row r="318" spans="1:12" ht="13.5">
      <c r="A318" s="1406">
        <v>15750</v>
      </c>
      <c r="B318" s="1405">
        <v>15800</v>
      </c>
      <c r="C318" s="4809">
        <v>143</v>
      </c>
      <c r="D318" s="1406">
        <v>3995</v>
      </c>
      <c r="E318" s="1406">
        <v>6310</v>
      </c>
      <c r="F318" s="1405">
        <v>7099</v>
      </c>
      <c r="G318" s="4809">
        <v>600</v>
      </c>
      <c r="H318" s="1406">
        <v>3995</v>
      </c>
      <c r="I318" s="1406">
        <v>6310</v>
      </c>
      <c r="J318" s="1405">
        <v>7099</v>
      </c>
      <c r="K318" s="1282"/>
      <c r="L318" s="1406">
        <f t="shared" si="6"/>
        <v>15775</v>
      </c>
    </row>
    <row r="319" spans="1:12" ht="13.5">
      <c r="A319" s="1406">
        <v>15800</v>
      </c>
      <c r="B319" s="1405">
        <v>15850</v>
      </c>
      <c r="C319" s="4809">
        <v>139</v>
      </c>
      <c r="D319" s="1406">
        <v>3995</v>
      </c>
      <c r="E319" s="1406">
        <v>6330</v>
      </c>
      <c r="F319" s="1405">
        <v>7121</v>
      </c>
      <c r="G319" s="4809">
        <v>600</v>
      </c>
      <c r="H319" s="1406">
        <v>3995</v>
      </c>
      <c r="I319" s="1406">
        <v>6330</v>
      </c>
      <c r="J319" s="1405">
        <v>7121</v>
      </c>
      <c r="K319" s="1282"/>
      <c r="L319" s="1406">
        <f t="shared" si="6"/>
        <v>15825</v>
      </c>
    </row>
    <row r="320" spans="1:12" ht="13.5">
      <c r="A320" s="1406">
        <v>15850</v>
      </c>
      <c r="B320" s="1405">
        <v>15900</v>
      </c>
      <c r="C320" s="4809">
        <v>135</v>
      </c>
      <c r="D320" s="1406">
        <v>3995</v>
      </c>
      <c r="E320" s="1406">
        <v>6350</v>
      </c>
      <c r="F320" s="1405">
        <v>7144</v>
      </c>
      <c r="G320" s="4809">
        <v>600</v>
      </c>
      <c r="H320" s="1406">
        <v>3995</v>
      </c>
      <c r="I320" s="1406">
        <v>6350</v>
      </c>
      <c r="J320" s="1405">
        <v>7144</v>
      </c>
      <c r="K320" s="1282"/>
      <c r="L320" s="1406">
        <f t="shared" si="6"/>
        <v>15875</v>
      </c>
    </row>
    <row r="321" spans="1:12" ht="13.5">
      <c r="A321" s="1406">
        <v>15900</v>
      </c>
      <c r="B321" s="1405">
        <v>15950</v>
      </c>
      <c r="C321" s="4809">
        <v>131</v>
      </c>
      <c r="D321" s="1406">
        <v>3995</v>
      </c>
      <c r="E321" s="1406">
        <v>6370</v>
      </c>
      <c r="F321" s="1405">
        <v>7166</v>
      </c>
      <c r="G321" s="4809">
        <v>600</v>
      </c>
      <c r="H321" s="1406">
        <v>3995</v>
      </c>
      <c r="I321" s="1406">
        <v>6370</v>
      </c>
      <c r="J321" s="1405">
        <v>7166</v>
      </c>
      <c r="K321" s="1282"/>
      <c r="L321" s="1406">
        <f t="shared" si="6"/>
        <v>15925</v>
      </c>
    </row>
    <row r="322" spans="1:12" ht="13.5">
      <c r="A322" s="1406">
        <v>15950</v>
      </c>
      <c r="B322" s="1405">
        <v>16000</v>
      </c>
      <c r="C322" s="4809">
        <v>127</v>
      </c>
      <c r="D322" s="1406">
        <v>3995</v>
      </c>
      <c r="E322" s="1406">
        <v>6390</v>
      </c>
      <c r="F322" s="1405">
        <v>7189</v>
      </c>
      <c r="G322" s="4809">
        <v>600</v>
      </c>
      <c r="H322" s="1406">
        <v>3995</v>
      </c>
      <c r="I322" s="1406">
        <v>6390</v>
      </c>
      <c r="J322" s="1405">
        <v>7189</v>
      </c>
      <c r="K322" s="1282"/>
      <c r="L322" s="1406">
        <f t="shared" si="6"/>
        <v>15975</v>
      </c>
    </row>
    <row r="323" spans="1:12" ht="13.5">
      <c r="A323" s="1406">
        <v>16000</v>
      </c>
      <c r="B323" s="1405">
        <v>16050</v>
      </c>
      <c r="C323" s="4809">
        <v>124</v>
      </c>
      <c r="D323" s="1406">
        <v>3995</v>
      </c>
      <c r="E323" s="1406">
        <v>6410</v>
      </c>
      <c r="F323" s="1405">
        <v>7211</v>
      </c>
      <c r="G323" s="4809">
        <v>600</v>
      </c>
      <c r="H323" s="1406">
        <v>3995</v>
      </c>
      <c r="I323" s="1406">
        <v>6410</v>
      </c>
      <c r="J323" s="1405">
        <v>7211</v>
      </c>
      <c r="K323" s="1282"/>
      <c r="L323" s="1406">
        <f t="shared" si="6"/>
        <v>16025</v>
      </c>
    </row>
    <row r="324" spans="1:12" ht="13.5">
      <c r="A324" s="1406">
        <v>16050</v>
      </c>
      <c r="B324" s="1405">
        <v>16100</v>
      </c>
      <c r="C324" s="4809">
        <v>120</v>
      </c>
      <c r="D324" s="1406">
        <v>3995</v>
      </c>
      <c r="E324" s="1406">
        <v>6430</v>
      </c>
      <c r="F324" s="1405">
        <v>7234</v>
      </c>
      <c r="G324" s="4809">
        <v>600</v>
      </c>
      <c r="H324" s="1406">
        <v>3995</v>
      </c>
      <c r="I324" s="1406">
        <v>6430</v>
      </c>
      <c r="J324" s="1405">
        <v>7234</v>
      </c>
      <c r="K324" s="1282"/>
      <c r="L324" s="1406">
        <f t="shared" ref="L324:L389" si="7">ROUND((A324+B324)/2,2)</f>
        <v>16075</v>
      </c>
    </row>
    <row r="325" spans="1:12" ht="13.5">
      <c r="A325" s="1406">
        <v>16100</v>
      </c>
      <c r="B325" s="1405">
        <v>16150</v>
      </c>
      <c r="C325" s="4809">
        <v>116</v>
      </c>
      <c r="D325" s="1406">
        <v>3995</v>
      </c>
      <c r="E325" s="1406">
        <v>6450</v>
      </c>
      <c r="F325" s="1405">
        <v>7256</v>
      </c>
      <c r="G325" s="4809">
        <v>600</v>
      </c>
      <c r="H325" s="1406">
        <v>3995</v>
      </c>
      <c r="I325" s="1406">
        <v>6450</v>
      </c>
      <c r="J325" s="1405">
        <v>7256</v>
      </c>
      <c r="K325" s="1282"/>
      <c r="L325" s="1406">
        <f t="shared" si="7"/>
        <v>16125</v>
      </c>
    </row>
    <row r="326" spans="1:12" ht="13.5">
      <c r="A326" s="1406">
        <v>16150</v>
      </c>
      <c r="B326" s="1405">
        <v>16200</v>
      </c>
      <c r="C326" s="4809">
        <v>112</v>
      </c>
      <c r="D326" s="1406">
        <v>3995</v>
      </c>
      <c r="E326" s="1406">
        <v>6470</v>
      </c>
      <c r="F326" s="1405">
        <v>7279</v>
      </c>
      <c r="G326" s="4809">
        <v>600</v>
      </c>
      <c r="H326" s="1406">
        <v>3995</v>
      </c>
      <c r="I326" s="1406">
        <v>6470</v>
      </c>
      <c r="J326" s="1405">
        <v>7279</v>
      </c>
      <c r="K326" s="1282"/>
      <c r="L326" s="1406">
        <f t="shared" si="7"/>
        <v>16175</v>
      </c>
    </row>
    <row r="327" spans="1:12" ht="13.5">
      <c r="A327" s="1406">
        <v>16200</v>
      </c>
      <c r="B327" s="1405">
        <v>16250</v>
      </c>
      <c r="C327" s="4809">
        <v>108</v>
      </c>
      <c r="D327" s="1406">
        <v>3995</v>
      </c>
      <c r="E327" s="1406">
        <v>6490</v>
      </c>
      <c r="F327" s="1405">
        <v>7301</v>
      </c>
      <c r="G327" s="4809">
        <v>600</v>
      </c>
      <c r="H327" s="1406">
        <v>3995</v>
      </c>
      <c r="I327" s="1406">
        <v>6490</v>
      </c>
      <c r="J327" s="1405">
        <v>7301</v>
      </c>
      <c r="K327" s="1282"/>
      <c r="L327" s="1406">
        <f t="shared" si="7"/>
        <v>16225</v>
      </c>
    </row>
    <row r="328" spans="1:12" ht="13.5">
      <c r="A328" s="1406">
        <v>16250</v>
      </c>
      <c r="B328" s="1405">
        <v>16300</v>
      </c>
      <c r="C328" s="4809">
        <v>104</v>
      </c>
      <c r="D328" s="1406">
        <v>3995</v>
      </c>
      <c r="E328" s="1406">
        <v>6510</v>
      </c>
      <c r="F328" s="1405">
        <v>7324</v>
      </c>
      <c r="G328" s="4809">
        <v>600</v>
      </c>
      <c r="H328" s="1406">
        <v>3995</v>
      </c>
      <c r="I328" s="1406">
        <v>6510</v>
      </c>
      <c r="J328" s="1405">
        <v>7324</v>
      </c>
      <c r="K328" s="1282"/>
      <c r="L328" s="1406">
        <f t="shared" si="7"/>
        <v>16275</v>
      </c>
    </row>
    <row r="329" spans="1:12" ht="13.5">
      <c r="A329" s="1406">
        <v>16300</v>
      </c>
      <c r="B329" s="1405">
        <v>16350</v>
      </c>
      <c r="C329" s="4809">
        <v>101</v>
      </c>
      <c r="D329" s="1406">
        <v>3995</v>
      </c>
      <c r="E329" s="1406">
        <v>6530</v>
      </c>
      <c r="F329" s="1405">
        <v>7346</v>
      </c>
      <c r="G329" s="4809">
        <v>600</v>
      </c>
      <c r="H329" s="1406">
        <v>3995</v>
      </c>
      <c r="I329" s="1406">
        <v>6530</v>
      </c>
      <c r="J329" s="1405">
        <v>7346</v>
      </c>
      <c r="K329" s="1282"/>
      <c r="L329" s="1406">
        <f t="shared" si="7"/>
        <v>16325</v>
      </c>
    </row>
    <row r="330" spans="1:12" ht="13.5">
      <c r="A330" s="1406">
        <v>16350</v>
      </c>
      <c r="B330" s="1405">
        <v>16400</v>
      </c>
      <c r="C330" s="4809">
        <v>97</v>
      </c>
      <c r="D330" s="1406">
        <v>3995</v>
      </c>
      <c r="E330" s="1406">
        <v>6550</v>
      </c>
      <c r="F330" s="1405">
        <v>7369</v>
      </c>
      <c r="G330" s="4809">
        <v>600</v>
      </c>
      <c r="H330" s="1406">
        <v>3995</v>
      </c>
      <c r="I330" s="1406">
        <v>6550</v>
      </c>
      <c r="J330" s="1405">
        <v>7369</v>
      </c>
      <c r="K330" s="1282"/>
      <c r="L330" s="1406">
        <f t="shared" si="7"/>
        <v>16375</v>
      </c>
    </row>
    <row r="331" spans="1:12" ht="13.5">
      <c r="A331" s="1406">
        <v>16400</v>
      </c>
      <c r="B331" s="1405">
        <v>16450</v>
      </c>
      <c r="C331" s="4809">
        <v>93</v>
      </c>
      <c r="D331" s="1406">
        <v>3995</v>
      </c>
      <c r="E331" s="1406">
        <v>6570</v>
      </c>
      <c r="F331" s="1405">
        <v>7391</v>
      </c>
      <c r="G331" s="4809">
        <v>596</v>
      </c>
      <c r="H331" s="1406">
        <v>3995</v>
      </c>
      <c r="I331" s="1406">
        <v>6570</v>
      </c>
      <c r="J331" s="1405">
        <v>7391</v>
      </c>
      <c r="K331" s="1282"/>
      <c r="L331" s="1406">
        <f t="shared" si="7"/>
        <v>16425</v>
      </c>
    </row>
    <row r="332" spans="1:12" ht="13.5">
      <c r="A332" s="1406">
        <v>16450</v>
      </c>
      <c r="B332" s="1405">
        <v>16500</v>
      </c>
      <c r="C332" s="4809">
        <v>89</v>
      </c>
      <c r="D332" s="1406">
        <v>3995</v>
      </c>
      <c r="E332" s="1406">
        <v>6590</v>
      </c>
      <c r="F332" s="1405">
        <v>7414</v>
      </c>
      <c r="G332" s="4809">
        <v>592</v>
      </c>
      <c r="H332" s="1406">
        <v>3995</v>
      </c>
      <c r="I332" s="1406">
        <v>6590</v>
      </c>
      <c r="J332" s="1405">
        <v>7414</v>
      </c>
      <c r="K332" s="1282"/>
      <c r="L332" s="1406">
        <f t="shared" si="7"/>
        <v>16475</v>
      </c>
    </row>
    <row r="333" spans="1:12" ht="13.5">
      <c r="A333" s="1406">
        <v>16500</v>
      </c>
      <c r="B333" s="1405">
        <v>16550</v>
      </c>
      <c r="C333" s="4809">
        <v>85</v>
      </c>
      <c r="D333" s="1406">
        <v>3995</v>
      </c>
      <c r="E333" s="1406">
        <v>6604</v>
      </c>
      <c r="F333" s="1405">
        <v>7430</v>
      </c>
      <c r="G333" s="4809">
        <v>588</v>
      </c>
      <c r="H333" s="1406">
        <v>3995</v>
      </c>
      <c r="I333" s="1406">
        <v>6604</v>
      </c>
      <c r="J333" s="1405">
        <v>7430</v>
      </c>
      <c r="K333" s="1282"/>
      <c r="L333" s="1406">
        <f t="shared" si="7"/>
        <v>16525</v>
      </c>
    </row>
    <row r="334" spans="1:12" ht="13.5">
      <c r="A334" s="1406">
        <v>16550</v>
      </c>
      <c r="B334" s="1405">
        <v>16600</v>
      </c>
      <c r="C334" s="4809">
        <v>81</v>
      </c>
      <c r="D334" s="1406">
        <v>3995</v>
      </c>
      <c r="E334" s="1406">
        <v>6604</v>
      </c>
      <c r="F334" s="1405">
        <v>7430</v>
      </c>
      <c r="G334" s="4809">
        <v>584</v>
      </c>
      <c r="H334" s="1406">
        <v>3995</v>
      </c>
      <c r="I334" s="1406">
        <v>6604</v>
      </c>
      <c r="J334" s="1405">
        <v>7430</v>
      </c>
      <c r="K334" s="1282"/>
      <c r="L334" s="1406">
        <f t="shared" si="7"/>
        <v>16575</v>
      </c>
    </row>
    <row r="335" spans="1:12" ht="13.5">
      <c r="A335" s="1406">
        <v>16600</v>
      </c>
      <c r="B335" s="1405">
        <v>16650</v>
      </c>
      <c r="C335" s="4809">
        <v>78</v>
      </c>
      <c r="D335" s="1406">
        <v>3995</v>
      </c>
      <c r="E335" s="1406">
        <v>6604</v>
      </c>
      <c r="F335" s="1405">
        <v>7430</v>
      </c>
      <c r="G335" s="4809">
        <v>580</v>
      </c>
      <c r="H335" s="1406">
        <v>3995</v>
      </c>
      <c r="I335" s="1406">
        <v>6604</v>
      </c>
      <c r="J335" s="1405">
        <v>7430</v>
      </c>
      <c r="K335" s="1282"/>
      <c r="L335" s="1406">
        <f t="shared" si="7"/>
        <v>16625</v>
      </c>
    </row>
    <row r="336" spans="1:12" ht="13.5">
      <c r="A336" s="1406">
        <v>16650</v>
      </c>
      <c r="B336" s="1405">
        <v>16700</v>
      </c>
      <c r="C336" s="4809">
        <v>74</v>
      </c>
      <c r="D336" s="1406">
        <v>3995</v>
      </c>
      <c r="E336" s="1406">
        <v>6604</v>
      </c>
      <c r="F336" s="1405">
        <v>7430</v>
      </c>
      <c r="G336" s="4809">
        <v>576</v>
      </c>
      <c r="H336" s="1406">
        <v>3995</v>
      </c>
      <c r="I336" s="1406">
        <v>6604</v>
      </c>
      <c r="J336" s="1405">
        <v>7430</v>
      </c>
      <c r="K336" s="1282"/>
      <c r="L336" s="1406">
        <f t="shared" si="7"/>
        <v>16675</v>
      </c>
    </row>
    <row r="337" spans="1:12" ht="13.5">
      <c r="A337" s="1406">
        <v>16700</v>
      </c>
      <c r="B337" s="1405">
        <v>16750</v>
      </c>
      <c r="C337" s="4809">
        <v>70</v>
      </c>
      <c r="D337" s="1406">
        <v>3995</v>
      </c>
      <c r="E337" s="1406">
        <v>6604</v>
      </c>
      <c r="F337" s="1405">
        <v>7430</v>
      </c>
      <c r="G337" s="4809">
        <v>573</v>
      </c>
      <c r="H337" s="1406">
        <v>3995</v>
      </c>
      <c r="I337" s="1406">
        <v>6604</v>
      </c>
      <c r="J337" s="1405">
        <v>7430</v>
      </c>
      <c r="K337" s="1282"/>
      <c r="L337" s="1406">
        <f t="shared" si="7"/>
        <v>16725</v>
      </c>
    </row>
    <row r="338" spans="1:12" ht="13.5">
      <c r="A338" s="1406">
        <v>16750</v>
      </c>
      <c r="B338" s="1405">
        <v>16800</v>
      </c>
      <c r="C338" s="4809">
        <v>66</v>
      </c>
      <c r="D338" s="1406">
        <v>3995</v>
      </c>
      <c r="E338" s="1406">
        <v>6604</v>
      </c>
      <c r="F338" s="1405">
        <v>7430</v>
      </c>
      <c r="G338" s="4809">
        <v>569</v>
      </c>
      <c r="H338" s="1406">
        <v>3995</v>
      </c>
      <c r="I338" s="1406">
        <v>6604</v>
      </c>
      <c r="J338" s="1405">
        <v>7430</v>
      </c>
      <c r="K338" s="1282"/>
      <c r="L338" s="1406">
        <f t="shared" si="7"/>
        <v>16775</v>
      </c>
    </row>
    <row r="339" spans="1:12" ht="13.5">
      <c r="A339" s="1406">
        <v>16800</v>
      </c>
      <c r="B339" s="1405">
        <v>16850</v>
      </c>
      <c r="C339" s="4809">
        <v>62</v>
      </c>
      <c r="D339" s="1406">
        <v>3995</v>
      </c>
      <c r="E339" s="1406">
        <v>6604</v>
      </c>
      <c r="F339" s="1405">
        <v>7430</v>
      </c>
      <c r="G339" s="4809">
        <v>565</v>
      </c>
      <c r="H339" s="1406">
        <v>3995</v>
      </c>
      <c r="I339" s="1406">
        <v>6604</v>
      </c>
      <c r="J339" s="1405">
        <v>7430</v>
      </c>
      <c r="K339" s="1282"/>
      <c r="L339" s="1406">
        <f t="shared" si="7"/>
        <v>16825</v>
      </c>
    </row>
    <row r="340" spans="1:12" ht="13.5">
      <c r="A340" s="1406">
        <v>16850</v>
      </c>
      <c r="B340" s="1405">
        <v>16900</v>
      </c>
      <c r="C340" s="4809">
        <v>59</v>
      </c>
      <c r="D340" s="1406">
        <v>3995</v>
      </c>
      <c r="E340" s="1406">
        <v>6604</v>
      </c>
      <c r="F340" s="1405">
        <v>7430</v>
      </c>
      <c r="G340" s="4809">
        <v>561</v>
      </c>
      <c r="H340" s="1406">
        <v>3995</v>
      </c>
      <c r="I340" s="1406">
        <v>6604</v>
      </c>
      <c r="J340" s="1405">
        <v>7430</v>
      </c>
      <c r="K340" s="1282"/>
      <c r="L340" s="1406">
        <f t="shared" si="7"/>
        <v>16875</v>
      </c>
    </row>
    <row r="341" spans="1:12" ht="13.5">
      <c r="A341" s="1406">
        <v>16900</v>
      </c>
      <c r="B341" s="1405">
        <v>16950</v>
      </c>
      <c r="C341" s="4809">
        <v>55</v>
      </c>
      <c r="D341" s="1406">
        <v>3995</v>
      </c>
      <c r="E341" s="1406">
        <v>6604</v>
      </c>
      <c r="F341" s="1405">
        <v>7430</v>
      </c>
      <c r="G341" s="4809">
        <v>557</v>
      </c>
      <c r="H341" s="1406">
        <v>3995</v>
      </c>
      <c r="I341" s="1406">
        <v>6604</v>
      </c>
      <c r="J341" s="1405">
        <v>7430</v>
      </c>
      <c r="K341" s="1282"/>
      <c r="L341" s="1406">
        <f t="shared" si="7"/>
        <v>16925</v>
      </c>
    </row>
    <row r="342" spans="1:12" ht="13.5">
      <c r="A342" s="1406">
        <v>16950</v>
      </c>
      <c r="B342" s="1405">
        <v>17000</v>
      </c>
      <c r="C342" s="4809">
        <v>51</v>
      </c>
      <c r="D342" s="1406">
        <v>3995</v>
      </c>
      <c r="E342" s="1406">
        <v>6604</v>
      </c>
      <c r="F342" s="1405">
        <v>7430</v>
      </c>
      <c r="G342" s="4809">
        <v>553</v>
      </c>
      <c r="H342" s="1406">
        <v>3995</v>
      </c>
      <c r="I342" s="1406">
        <v>6604</v>
      </c>
      <c r="J342" s="1405">
        <v>7430</v>
      </c>
      <c r="K342" s="1282"/>
      <c r="L342" s="1406">
        <f t="shared" si="7"/>
        <v>16975</v>
      </c>
    </row>
    <row r="343" spans="1:12" ht="13.5">
      <c r="A343" s="1406">
        <v>17000</v>
      </c>
      <c r="B343" s="1405">
        <v>17050</v>
      </c>
      <c r="C343" s="4809">
        <v>47</v>
      </c>
      <c r="D343" s="1406">
        <v>3995</v>
      </c>
      <c r="E343" s="1406">
        <v>6604</v>
      </c>
      <c r="F343" s="1405">
        <v>7430</v>
      </c>
      <c r="G343" s="4809">
        <v>550</v>
      </c>
      <c r="H343" s="1406">
        <v>3995</v>
      </c>
      <c r="I343" s="1406">
        <v>6604</v>
      </c>
      <c r="J343" s="1405">
        <v>7430</v>
      </c>
      <c r="K343" s="1282"/>
      <c r="L343" s="1406">
        <f t="shared" si="7"/>
        <v>17025</v>
      </c>
    </row>
    <row r="344" spans="1:12" ht="13.5">
      <c r="A344" s="1406">
        <v>17050</v>
      </c>
      <c r="B344" s="1405">
        <v>17100</v>
      </c>
      <c r="C344" s="4809">
        <v>43</v>
      </c>
      <c r="D344" s="1406">
        <v>3995</v>
      </c>
      <c r="E344" s="1406">
        <v>6604</v>
      </c>
      <c r="F344" s="1405">
        <v>7430</v>
      </c>
      <c r="G344" s="4809">
        <v>546</v>
      </c>
      <c r="H344" s="1406">
        <v>3995</v>
      </c>
      <c r="I344" s="1406">
        <v>6604</v>
      </c>
      <c r="J344" s="1405">
        <v>7430</v>
      </c>
      <c r="K344" s="1282"/>
      <c r="L344" s="1406">
        <f t="shared" si="7"/>
        <v>17075</v>
      </c>
    </row>
    <row r="345" spans="1:12" ht="13.5">
      <c r="A345" s="1406">
        <v>17100</v>
      </c>
      <c r="B345" s="1405">
        <v>17150</v>
      </c>
      <c r="C345" s="4809">
        <v>39</v>
      </c>
      <c r="D345" s="1406">
        <v>3995</v>
      </c>
      <c r="E345" s="1406">
        <v>6604</v>
      </c>
      <c r="F345" s="1405">
        <v>7430</v>
      </c>
      <c r="G345" s="4809">
        <v>542</v>
      </c>
      <c r="H345" s="1406">
        <v>3995</v>
      </c>
      <c r="I345" s="1406">
        <v>6604</v>
      </c>
      <c r="J345" s="1405">
        <v>7430</v>
      </c>
      <c r="K345" s="1282"/>
      <c r="L345" s="1406">
        <f t="shared" si="7"/>
        <v>17125</v>
      </c>
    </row>
    <row r="346" spans="1:12" ht="13.5">
      <c r="A346" s="1406">
        <v>17150</v>
      </c>
      <c r="B346" s="1405">
        <v>17200</v>
      </c>
      <c r="C346" s="4809">
        <v>36</v>
      </c>
      <c r="D346" s="1406">
        <v>3995</v>
      </c>
      <c r="E346" s="1406">
        <v>6604</v>
      </c>
      <c r="F346" s="1405">
        <v>7430</v>
      </c>
      <c r="G346" s="4809">
        <v>538</v>
      </c>
      <c r="H346" s="1406">
        <v>3995</v>
      </c>
      <c r="I346" s="1406">
        <v>6604</v>
      </c>
      <c r="J346" s="1405">
        <v>7430</v>
      </c>
      <c r="K346" s="1282"/>
      <c r="L346" s="1406">
        <f t="shared" si="7"/>
        <v>17175</v>
      </c>
    </row>
    <row r="347" spans="1:12" ht="13.5">
      <c r="A347" s="1406">
        <v>17200</v>
      </c>
      <c r="B347" s="1405">
        <v>17250</v>
      </c>
      <c r="C347" s="4809">
        <v>32</v>
      </c>
      <c r="D347" s="1406">
        <v>3995</v>
      </c>
      <c r="E347" s="1406">
        <v>6604</v>
      </c>
      <c r="F347" s="1405">
        <v>7430</v>
      </c>
      <c r="G347" s="4809">
        <v>534</v>
      </c>
      <c r="H347" s="1406">
        <v>3995</v>
      </c>
      <c r="I347" s="1406">
        <v>6604</v>
      </c>
      <c r="J347" s="1405">
        <v>7430</v>
      </c>
      <c r="K347" s="1282"/>
      <c r="L347" s="1406">
        <f t="shared" si="7"/>
        <v>17225</v>
      </c>
    </row>
    <row r="348" spans="1:12" ht="13.5">
      <c r="A348" s="1406">
        <v>17250</v>
      </c>
      <c r="B348" s="1405">
        <v>17300</v>
      </c>
      <c r="C348" s="4809">
        <v>28</v>
      </c>
      <c r="D348" s="1406">
        <v>3995</v>
      </c>
      <c r="E348" s="1406">
        <v>6604</v>
      </c>
      <c r="F348" s="1405">
        <v>7430</v>
      </c>
      <c r="G348" s="4809">
        <v>531</v>
      </c>
      <c r="H348" s="1406">
        <v>3995</v>
      </c>
      <c r="I348" s="1406">
        <v>6604</v>
      </c>
      <c r="J348" s="1405">
        <v>7430</v>
      </c>
      <c r="K348" s="1282"/>
      <c r="L348" s="1406">
        <f t="shared" si="7"/>
        <v>17275</v>
      </c>
    </row>
    <row r="349" spans="1:12" ht="13.5">
      <c r="A349" s="1406">
        <v>17300</v>
      </c>
      <c r="B349" s="1405">
        <v>17350</v>
      </c>
      <c r="C349" s="4809">
        <v>24</v>
      </c>
      <c r="D349" s="1406">
        <v>3995</v>
      </c>
      <c r="E349" s="1406">
        <v>6604</v>
      </c>
      <c r="F349" s="1405">
        <v>7430</v>
      </c>
      <c r="G349" s="4809">
        <v>527</v>
      </c>
      <c r="H349" s="1406">
        <v>3995</v>
      </c>
      <c r="I349" s="1406">
        <v>6604</v>
      </c>
      <c r="J349" s="1405">
        <v>7430</v>
      </c>
      <c r="K349" s="1282"/>
      <c r="L349" s="1406">
        <f t="shared" si="7"/>
        <v>17325</v>
      </c>
    </row>
    <row r="350" spans="1:12" ht="13.5">
      <c r="A350" s="1406">
        <v>17350</v>
      </c>
      <c r="B350" s="1405">
        <v>17400</v>
      </c>
      <c r="C350" s="4809">
        <v>20</v>
      </c>
      <c r="D350" s="1406">
        <v>3995</v>
      </c>
      <c r="E350" s="1406">
        <v>6604</v>
      </c>
      <c r="F350" s="1405">
        <v>7430</v>
      </c>
      <c r="G350" s="4809">
        <v>523</v>
      </c>
      <c r="H350" s="1406">
        <v>3995</v>
      </c>
      <c r="I350" s="1406">
        <v>6604</v>
      </c>
      <c r="J350" s="1405">
        <v>7430</v>
      </c>
      <c r="K350" s="1282"/>
      <c r="L350" s="1406">
        <f t="shared" si="7"/>
        <v>17375</v>
      </c>
    </row>
    <row r="351" spans="1:12" ht="13.5">
      <c r="A351" s="1406">
        <v>17400</v>
      </c>
      <c r="B351" s="1405">
        <v>17450</v>
      </c>
      <c r="C351" s="4809">
        <v>16</v>
      </c>
      <c r="D351" s="1406">
        <v>3995</v>
      </c>
      <c r="E351" s="1406">
        <v>6604</v>
      </c>
      <c r="F351" s="1405">
        <v>7430</v>
      </c>
      <c r="G351" s="4809">
        <v>519</v>
      </c>
      <c r="H351" s="1406">
        <v>3995</v>
      </c>
      <c r="I351" s="1406">
        <v>6604</v>
      </c>
      <c r="J351" s="1405">
        <v>7430</v>
      </c>
      <c r="K351" s="1282"/>
      <c r="L351" s="1406">
        <f t="shared" si="7"/>
        <v>17425</v>
      </c>
    </row>
    <row r="352" spans="1:12" ht="13.5">
      <c r="A352" s="1406">
        <v>17450</v>
      </c>
      <c r="B352" s="1405">
        <v>17500</v>
      </c>
      <c r="C352" s="4809">
        <v>13</v>
      </c>
      <c r="D352" s="1406">
        <v>3995</v>
      </c>
      <c r="E352" s="1406">
        <v>6604</v>
      </c>
      <c r="F352" s="1405">
        <v>7430</v>
      </c>
      <c r="G352" s="4809">
        <v>515</v>
      </c>
      <c r="H352" s="1406">
        <v>3995</v>
      </c>
      <c r="I352" s="1406">
        <v>6604</v>
      </c>
      <c r="J352" s="1405">
        <v>7430</v>
      </c>
      <c r="K352" s="1282"/>
      <c r="L352" s="1406">
        <f t="shared" si="7"/>
        <v>17475</v>
      </c>
    </row>
    <row r="353" spans="1:13" ht="13.5">
      <c r="A353" s="1406">
        <v>17500</v>
      </c>
      <c r="B353" s="1405">
        <v>17550</v>
      </c>
      <c r="C353" s="4809">
        <v>9</v>
      </c>
      <c r="D353" s="1406">
        <v>3995</v>
      </c>
      <c r="E353" s="1406">
        <v>6604</v>
      </c>
      <c r="F353" s="1405">
        <v>7430</v>
      </c>
      <c r="G353" s="4809">
        <v>511</v>
      </c>
      <c r="H353" s="1406">
        <v>3995</v>
      </c>
      <c r="I353" s="1406">
        <v>6604</v>
      </c>
      <c r="J353" s="1405">
        <v>7430</v>
      </c>
      <c r="K353" s="1282"/>
      <c r="L353" s="1406">
        <f t="shared" si="7"/>
        <v>17525</v>
      </c>
    </row>
    <row r="354" spans="1:13" ht="13.5">
      <c r="A354" s="1406">
        <v>17550</v>
      </c>
      <c r="B354" s="1405">
        <v>17600</v>
      </c>
      <c r="C354" s="4809">
        <v>5</v>
      </c>
      <c r="D354" s="1406">
        <v>3995</v>
      </c>
      <c r="E354" s="1406">
        <v>6604</v>
      </c>
      <c r="F354" s="1405">
        <v>7430</v>
      </c>
      <c r="G354" s="4809">
        <v>508</v>
      </c>
      <c r="H354" s="1406">
        <v>3995</v>
      </c>
      <c r="I354" s="1406">
        <v>6604</v>
      </c>
      <c r="J354" s="1405">
        <v>7430</v>
      </c>
      <c r="K354" s="1282"/>
      <c r="L354" s="1406">
        <f t="shared" si="7"/>
        <v>17575</v>
      </c>
    </row>
    <row r="355" spans="1:13" ht="13.5">
      <c r="A355" s="5325">
        <v>17600</v>
      </c>
      <c r="B355" s="5326">
        <v>17640</v>
      </c>
      <c r="C355" s="5327">
        <v>2</v>
      </c>
      <c r="D355" s="5325">
        <v>3995</v>
      </c>
      <c r="E355" s="5325">
        <v>6604</v>
      </c>
      <c r="F355" s="5326">
        <v>7430</v>
      </c>
      <c r="G355" s="5327">
        <v>504</v>
      </c>
      <c r="H355" s="5325">
        <v>3995</v>
      </c>
      <c r="I355" s="5325">
        <v>6604</v>
      </c>
      <c r="J355" s="5326">
        <v>7430</v>
      </c>
      <c r="K355" s="5329"/>
      <c r="L355" s="5325">
        <f t="shared" si="7"/>
        <v>17620</v>
      </c>
      <c r="M355" s="5324" t="s">
        <v>5379</v>
      </c>
    </row>
    <row r="356" spans="1:13" s="5323" customFormat="1" ht="13.5">
      <c r="A356" s="5335">
        <v>17640</v>
      </c>
      <c r="B356" s="5336">
        <v>17650</v>
      </c>
      <c r="C356" s="5337">
        <v>0</v>
      </c>
      <c r="D356" s="5335">
        <v>3995</v>
      </c>
      <c r="E356" s="5335">
        <v>6604</v>
      </c>
      <c r="F356" s="5336">
        <v>7430</v>
      </c>
      <c r="G356" s="5337">
        <v>500</v>
      </c>
      <c r="H356" s="5335">
        <v>3995</v>
      </c>
      <c r="I356" s="5335">
        <v>6604</v>
      </c>
      <c r="J356" s="5336">
        <v>7430</v>
      </c>
      <c r="K356" s="5338"/>
      <c r="L356" s="5335">
        <f>ROUND((A356+B356)/2,2)</f>
        <v>17645</v>
      </c>
      <c r="M356" s="5324" t="s">
        <v>5378</v>
      </c>
    </row>
    <row r="357" spans="1:13" s="5323" customFormat="1" ht="13.5">
      <c r="A357" s="1406">
        <v>17650</v>
      </c>
      <c r="B357" s="1405">
        <v>17700</v>
      </c>
      <c r="C357" s="4809">
        <v>0</v>
      </c>
      <c r="D357" s="1406">
        <v>3995</v>
      </c>
      <c r="E357" s="1406">
        <v>6604</v>
      </c>
      <c r="F357" s="1405">
        <v>7430</v>
      </c>
      <c r="G357" s="4809">
        <v>500</v>
      </c>
      <c r="H357" s="1406">
        <v>3995</v>
      </c>
      <c r="I357" s="1406">
        <v>6604</v>
      </c>
      <c r="J357" s="1405">
        <v>7430</v>
      </c>
      <c r="K357" s="1282"/>
      <c r="L357" s="1406">
        <f>ROUND((A357+B357)/2,2)</f>
        <v>17675</v>
      </c>
      <c r="M357" s="5324"/>
    </row>
    <row r="358" spans="1:13" ht="13.5">
      <c r="A358" s="1406">
        <v>17700</v>
      </c>
      <c r="B358" s="1405">
        <v>17750</v>
      </c>
      <c r="C358" s="4809">
        <v>0</v>
      </c>
      <c r="D358" s="1406">
        <v>3995</v>
      </c>
      <c r="E358" s="1406">
        <v>6604</v>
      </c>
      <c r="F358" s="1405">
        <v>7430</v>
      </c>
      <c r="G358" s="4809">
        <v>496</v>
      </c>
      <c r="H358" s="1406">
        <v>3995</v>
      </c>
      <c r="I358" s="1406">
        <v>6604</v>
      </c>
      <c r="J358" s="1405">
        <v>7430</v>
      </c>
      <c r="K358" s="1282"/>
      <c r="L358" s="1406">
        <f t="shared" si="7"/>
        <v>17725</v>
      </c>
    </row>
    <row r="359" spans="1:13" ht="13.5">
      <c r="A359" s="1406">
        <v>17750</v>
      </c>
      <c r="B359" s="1405">
        <v>17800</v>
      </c>
      <c r="C359" s="4809">
        <v>0</v>
      </c>
      <c r="D359" s="1406">
        <v>3995</v>
      </c>
      <c r="E359" s="1406">
        <v>6604</v>
      </c>
      <c r="F359" s="1405">
        <v>7430</v>
      </c>
      <c r="G359" s="4809">
        <v>492</v>
      </c>
      <c r="H359" s="1406">
        <v>3995</v>
      </c>
      <c r="I359" s="1406">
        <v>6604</v>
      </c>
      <c r="J359" s="1405">
        <v>7430</v>
      </c>
      <c r="K359" s="1282"/>
      <c r="L359" s="1406">
        <f t="shared" si="7"/>
        <v>17775</v>
      </c>
    </row>
    <row r="360" spans="1:13" ht="13.5">
      <c r="A360" s="1406">
        <v>17800</v>
      </c>
      <c r="B360" s="1405">
        <v>17850</v>
      </c>
      <c r="C360" s="4809">
        <v>0</v>
      </c>
      <c r="D360" s="1406">
        <v>3995</v>
      </c>
      <c r="E360" s="1406">
        <v>6604</v>
      </c>
      <c r="F360" s="1405">
        <v>7430</v>
      </c>
      <c r="G360" s="4809">
        <v>488</v>
      </c>
      <c r="H360" s="1406">
        <v>3995</v>
      </c>
      <c r="I360" s="1406">
        <v>6604</v>
      </c>
      <c r="J360" s="1405">
        <v>7430</v>
      </c>
      <c r="K360" s="1282"/>
      <c r="L360" s="1406">
        <f t="shared" si="7"/>
        <v>17825</v>
      </c>
    </row>
    <row r="361" spans="1:13" ht="13.5">
      <c r="A361" s="1406">
        <v>17850</v>
      </c>
      <c r="B361" s="1405">
        <v>17900</v>
      </c>
      <c r="C361" s="4809">
        <v>0</v>
      </c>
      <c r="D361" s="1406">
        <v>3995</v>
      </c>
      <c r="E361" s="1406">
        <v>6604</v>
      </c>
      <c r="F361" s="1405">
        <v>7430</v>
      </c>
      <c r="G361" s="4809">
        <v>485</v>
      </c>
      <c r="H361" s="1406">
        <v>3995</v>
      </c>
      <c r="I361" s="1406">
        <v>6604</v>
      </c>
      <c r="J361" s="1405">
        <v>7430</v>
      </c>
      <c r="K361" s="1282"/>
      <c r="L361" s="1406">
        <f t="shared" si="7"/>
        <v>17875</v>
      </c>
    </row>
    <row r="362" spans="1:13" ht="13.5">
      <c r="A362" s="1406">
        <v>17900</v>
      </c>
      <c r="B362" s="1405">
        <v>17950</v>
      </c>
      <c r="C362" s="4809">
        <v>0</v>
      </c>
      <c r="D362" s="1406">
        <v>3995</v>
      </c>
      <c r="E362" s="1406">
        <v>6604</v>
      </c>
      <c r="F362" s="1405">
        <v>7430</v>
      </c>
      <c r="G362" s="4809">
        <v>481</v>
      </c>
      <c r="H362" s="1406">
        <v>3995</v>
      </c>
      <c r="I362" s="1406">
        <v>6604</v>
      </c>
      <c r="J362" s="1405">
        <v>7430</v>
      </c>
      <c r="K362" s="1282"/>
      <c r="L362" s="1406">
        <f t="shared" si="7"/>
        <v>17925</v>
      </c>
    </row>
    <row r="363" spans="1:13" ht="13.5">
      <c r="A363" s="1406">
        <v>17950</v>
      </c>
      <c r="B363" s="1405">
        <v>18000</v>
      </c>
      <c r="C363" s="4809">
        <v>0</v>
      </c>
      <c r="D363" s="1406">
        <v>3995</v>
      </c>
      <c r="E363" s="1406">
        <v>6604</v>
      </c>
      <c r="F363" s="1405">
        <v>7430</v>
      </c>
      <c r="G363" s="4809">
        <v>477</v>
      </c>
      <c r="H363" s="1406">
        <v>3995</v>
      </c>
      <c r="I363" s="1406">
        <v>6604</v>
      </c>
      <c r="J363" s="1405">
        <v>7430</v>
      </c>
      <c r="K363" s="1282"/>
      <c r="L363" s="1406">
        <f t="shared" si="7"/>
        <v>17975</v>
      </c>
    </row>
    <row r="364" spans="1:13" ht="13.5">
      <c r="A364" s="1406">
        <v>18000</v>
      </c>
      <c r="B364" s="1405">
        <v>18050</v>
      </c>
      <c r="C364" s="4809">
        <v>0</v>
      </c>
      <c r="D364" s="1406">
        <v>3995</v>
      </c>
      <c r="E364" s="1406">
        <v>6604</v>
      </c>
      <c r="F364" s="1405">
        <v>7430</v>
      </c>
      <c r="G364" s="4809">
        <v>473</v>
      </c>
      <c r="H364" s="1406">
        <v>3995</v>
      </c>
      <c r="I364" s="1406">
        <v>6604</v>
      </c>
      <c r="J364" s="1405">
        <v>7430</v>
      </c>
      <c r="K364" s="1282"/>
      <c r="L364" s="1406">
        <f t="shared" si="7"/>
        <v>18025</v>
      </c>
    </row>
    <row r="365" spans="1:13" ht="13.5">
      <c r="A365" s="1406">
        <v>18050</v>
      </c>
      <c r="B365" s="1405">
        <v>18100</v>
      </c>
      <c r="C365" s="4809">
        <v>0</v>
      </c>
      <c r="D365" s="1406">
        <v>3995</v>
      </c>
      <c r="E365" s="1406">
        <v>6604</v>
      </c>
      <c r="F365" s="1405">
        <v>7430</v>
      </c>
      <c r="G365" s="4809">
        <v>469</v>
      </c>
      <c r="H365" s="1406">
        <v>3995</v>
      </c>
      <c r="I365" s="1406">
        <v>6604</v>
      </c>
      <c r="J365" s="1405">
        <v>7430</v>
      </c>
      <c r="K365" s="1282"/>
      <c r="L365" s="1406">
        <f t="shared" si="7"/>
        <v>18075</v>
      </c>
    </row>
    <row r="366" spans="1:13" ht="13.5">
      <c r="A366" s="1406">
        <v>18100</v>
      </c>
      <c r="B366" s="1405">
        <v>18150</v>
      </c>
      <c r="C366" s="4809">
        <v>0</v>
      </c>
      <c r="D366" s="1406">
        <v>3995</v>
      </c>
      <c r="E366" s="1406">
        <v>6604</v>
      </c>
      <c r="F366" s="1405">
        <v>7430</v>
      </c>
      <c r="G366" s="4809">
        <v>466</v>
      </c>
      <c r="H366" s="1406">
        <v>3995</v>
      </c>
      <c r="I366" s="1406">
        <v>6604</v>
      </c>
      <c r="J366" s="1405">
        <v>7430</v>
      </c>
      <c r="K366" s="1282"/>
      <c r="L366" s="1406">
        <f t="shared" si="7"/>
        <v>18125</v>
      </c>
    </row>
    <row r="367" spans="1:13" ht="13.5">
      <c r="A367" s="1406">
        <v>18150</v>
      </c>
      <c r="B367" s="1405">
        <v>18200</v>
      </c>
      <c r="C367" s="4809">
        <v>0</v>
      </c>
      <c r="D367" s="1406">
        <v>3995</v>
      </c>
      <c r="E367" s="1406">
        <v>6604</v>
      </c>
      <c r="F367" s="1405">
        <v>7430</v>
      </c>
      <c r="G367" s="4809">
        <v>462</v>
      </c>
      <c r="H367" s="1406">
        <v>3995</v>
      </c>
      <c r="I367" s="1406">
        <v>6604</v>
      </c>
      <c r="J367" s="1405">
        <v>7430</v>
      </c>
      <c r="K367" s="1282"/>
      <c r="L367" s="1406">
        <f t="shared" si="7"/>
        <v>18175</v>
      </c>
    </row>
    <row r="368" spans="1:13" ht="13.5">
      <c r="A368" s="1406">
        <v>18200</v>
      </c>
      <c r="B368" s="1405">
        <v>18250</v>
      </c>
      <c r="C368" s="4809">
        <v>0</v>
      </c>
      <c r="D368" s="1406">
        <v>3995</v>
      </c>
      <c r="E368" s="1406">
        <v>6604</v>
      </c>
      <c r="F368" s="1405">
        <v>7430</v>
      </c>
      <c r="G368" s="4809">
        <v>458</v>
      </c>
      <c r="H368" s="1406">
        <v>3995</v>
      </c>
      <c r="I368" s="1406">
        <v>6604</v>
      </c>
      <c r="J368" s="1405">
        <v>7430</v>
      </c>
      <c r="K368" s="1282"/>
      <c r="L368" s="1406">
        <f t="shared" si="7"/>
        <v>18225</v>
      </c>
    </row>
    <row r="369" spans="1:12" ht="13.5">
      <c r="A369" s="1406">
        <v>18250</v>
      </c>
      <c r="B369" s="1405">
        <v>18300</v>
      </c>
      <c r="C369" s="4809">
        <v>0</v>
      </c>
      <c r="D369" s="1406">
        <v>3995</v>
      </c>
      <c r="E369" s="1406">
        <v>6604</v>
      </c>
      <c r="F369" s="1405">
        <v>7430</v>
      </c>
      <c r="G369" s="4809">
        <v>454</v>
      </c>
      <c r="H369" s="1406">
        <v>3995</v>
      </c>
      <c r="I369" s="1406">
        <v>6604</v>
      </c>
      <c r="J369" s="1405">
        <v>7430</v>
      </c>
      <c r="K369" s="1282"/>
      <c r="L369" s="1406">
        <f t="shared" si="7"/>
        <v>18275</v>
      </c>
    </row>
    <row r="370" spans="1:12" ht="13.5">
      <c r="A370" s="1406">
        <v>18300</v>
      </c>
      <c r="B370" s="1405">
        <v>18350</v>
      </c>
      <c r="C370" s="4809">
        <v>0</v>
      </c>
      <c r="D370" s="1406">
        <v>3995</v>
      </c>
      <c r="E370" s="1406">
        <v>6604</v>
      </c>
      <c r="F370" s="1405">
        <v>7430</v>
      </c>
      <c r="G370" s="4809">
        <v>450</v>
      </c>
      <c r="H370" s="1406">
        <v>3995</v>
      </c>
      <c r="I370" s="1406">
        <v>6604</v>
      </c>
      <c r="J370" s="1405">
        <v>7430</v>
      </c>
      <c r="K370" s="1282"/>
      <c r="L370" s="1406">
        <f t="shared" si="7"/>
        <v>18325</v>
      </c>
    </row>
    <row r="371" spans="1:12" ht="13.5">
      <c r="A371" s="1406">
        <v>18350</v>
      </c>
      <c r="B371" s="1405">
        <v>18400</v>
      </c>
      <c r="C371" s="4809">
        <v>0</v>
      </c>
      <c r="D371" s="1406">
        <v>3995</v>
      </c>
      <c r="E371" s="1406">
        <v>6604</v>
      </c>
      <c r="F371" s="1405">
        <v>7430</v>
      </c>
      <c r="G371" s="4809">
        <v>446</v>
      </c>
      <c r="H371" s="1406">
        <v>3995</v>
      </c>
      <c r="I371" s="1406">
        <v>6604</v>
      </c>
      <c r="J371" s="1405">
        <v>7430</v>
      </c>
      <c r="K371" s="1282"/>
      <c r="L371" s="1406">
        <f t="shared" si="7"/>
        <v>18375</v>
      </c>
    </row>
    <row r="372" spans="1:12" ht="13.5">
      <c r="A372" s="1406">
        <v>18400</v>
      </c>
      <c r="B372" s="1405">
        <v>18450</v>
      </c>
      <c r="C372" s="4809">
        <v>0</v>
      </c>
      <c r="D372" s="1406">
        <v>3995</v>
      </c>
      <c r="E372" s="1406">
        <v>6604</v>
      </c>
      <c r="F372" s="1405">
        <v>7430</v>
      </c>
      <c r="G372" s="4809">
        <v>443</v>
      </c>
      <c r="H372" s="1406">
        <v>3995</v>
      </c>
      <c r="I372" s="1406">
        <v>6604</v>
      </c>
      <c r="J372" s="1405">
        <v>7430</v>
      </c>
      <c r="K372" s="1282"/>
      <c r="L372" s="1406">
        <f t="shared" si="7"/>
        <v>18425</v>
      </c>
    </row>
    <row r="373" spans="1:12" ht="13.5">
      <c r="A373" s="1406">
        <v>18450</v>
      </c>
      <c r="B373" s="1405">
        <v>18500</v>
      </c>
      <c r="C373" s="4809">
        <v>0</v>
      </c>
      <c r="D373" s="1406">
        <v>3995</v>
      </c>
      <c r="E373" s="1406">
        <v>6604</v>
      </c>
      <c r="F373" s="1405">
        <v>7430</v>
      </c>
      <c r="G373" s="4809">
        <v>439</v>
      </c>
      <c r="H373" s="1406">
        <v>3995</v>
      </c>
      <c r="I373" s="1406">
        <v>6604</v>
      </c>
      <c r="J373" s="1405">
        <v>7430</v>
      </c>
      <c r="K373" s="1282"/>
      <c r="L373" s="1406">
        <f t="shared" si="7"/>
        <v>18475</v>
      </c>
    </row>
    <row r="374" spans="1:12" ht="13.5">
      <c r="A374" s="1406">
        <v>18500</v>
      </c>
      <c r="B374" s="1405">
        <v>18550</v>
      </c>
      <c r="C374" s="4809">
        <v>0</v>
      </c>
      <c r="D374" s="1406">
        <v>3995</v>
      </c>
      <c r="E374" s="1406">
        <v>6604</v>
      </c>
      <c r="F374" s="1405">
        <v>7430</v>
      </c>
      <c r="G374" s="4809">
        <v>435</v>
      </c>
      <c r="H374" s="1406">
        <v>3995</v>
      </c>
      <c r="I374" s="1406">
        <v>6604</v>
      </c>
      <c r="J374" s="1405">
        <v>7430</v>
      </c>
      <c r="K374" s="1282"/>
      <c r="L374" s="1406">
        <f t="shared" si="7"/>
        <v>18525</v>
      </c>
    </row>
    <row r="375" spans="1:12" ht="13.5">
      <c r="A375" s="1406">
        <v>18550</v>
      </c>
      <c r="B375" s="1405">
        <v>18600</v>
      </c>
      <c r="C375" s="4809">
        <v>0</v>
      </c>
      <c r="D375" s="1406">
        <v>3995</v>
      </c>
      <c r="E375" s="1406">
        <v>6604</v>
      </c>
      <c r="F375" s="1405">
        <v>7430</v>
      </c>
      <c r="G375" s="4809">
        <v>431</v>
      </c>
      <c r="H375" s="1406">
        <v>3995</v>
      </c>
      <c r="I375" s="1406">
        <v>6604</v>
      </c>
      <c r="J375" s="1405">
        <v>7430</v>
      </c>
      <c r="K375" s="1282"/>
      <c r="L375" s="1406">
        <f t="shared" si="7"/>
        <v>18575</v>
      </c>
    </row>
    <row r="376" spans="1:12" ht="13.5">
      <c r="A376" s="1406">
        <v>18600</v>
      </c>
      <c r="B376" s="1405">
        <v>18650</v>
      </c>
      <c r="C376" s="4809">
        <v>0</v>
      </c>
      <c r="D376" s="1406">
        <v>3995</v>
      </c>
      <c r="E376" s="1406">
        <v>6604</v>
      </c>
      <c r="F376" s="1405">
        <v>7430</v>
      </c>
      <c r="G376" s="4809">
        <v>427</v>
      </c>
      <c r="H376" s="1406">
        <v>3995</v>
      </c>
      <c r="I376" s="1406">
        <v>6604</v>
      </c>
      <c r="J376" s="1405">
        <v>7430</v>
      </c>
      <c r="K376" s="1282"/>
      <c r="L376" s="1406">
        <f t="shared" si="7"/>
        <v>18625</v>
      </c>
    </row>
    <row r="377" spans="1:12" ht="13.5">
      <c r="A377" s="1406">
        <v>18650</v>
      </c>
      <c r="B377" s="1405">
        <v>18700</v>
      </c>
      <c r="C377" s="4809">
        <v>0</v>
      </c>
      <c r="D377" s="1406">
        <v>3995</v>
      </c>
      <c r="E377" s="1406">
        <v>6604</v>
      </c>
      <c r="F377" s="1405">
        <v>7430</v>
      </c>
      <c r="G377" s="4809">
        <v>423</v>
      </c>
      <c r="H377" s="1406">
        <v>3995</v>
      </c>
      <c r="I377" s="1406">
        <v>6604</v>
      </c>
      <c r="J377" s="1405">
        <v>7430</v>
      </c>
      <c r="K377" s="1282"/>
      <c r="L377" s="1406">
        <f t="shared" si="7"/>
        <v>18675</v>
      </c>
    </row>
    <row r="378" spans="1:12" ht="13.5">
      <c r="A378" s="1406">
        <v>18700</v>
      </c>
      <c r="B378" s="1405">
        <v>18750</v>
      </c>
      <c r="C378" s="4809">
        <v>0</v>
      </c>
      <c r="D378" s="1406">
        <v>3995</v>
      </c>
      <c r="E378" s="1406">
        <v>6604</v>
      </c>
      <c r="F378" s="1405">
        <v>7430</v>
      </c>
      <c r="G378" s="4809">
        <v>420</v>
      </c>
      <c r="H378" s="1406">
        <v>3995</v>
      </c>
      <c r="I378" s="1406">
        <v>6604</v>
      </c>
      <c r="J378" s="1405">
        <v>7430</v>
      </c>
      <c r="K378" s="1282"/>
      <c r="L378" s="1406">
        <f t="shared" si="7"/>
        <v>18725</v>
      </c>
    </row>
    <row r="379" spans="1:12" ht="13.5">
      <c r="A379" s="1406">
        <v>18750</v>
      </c>
      <c r="B379" s="1405">
        <v>18800</v>
      </c>
      <c r="C379" s="4809">
        <v>0</v>
      </c>
      <c r="D379" s="1406">
        <v>3995</v>
      </c>
      <c r="E379" s="1406">
        <v>6604</v>
      </c>
      <c r="F379" s="1405">
        <v>7430</v>
      </c>
      <c r="G379" s="4809">
        <v>416</v>
      </c>
      <c r="H379" s="1406">
        <v>3995</v>
      </c>
      <c r="I379" s="1406">
        <v>6604</v>
      </c>
      <c r="J379" s="1405">
        <v>7430</v>
      </c>
      <c r="K379" s="1282"/>
      <c r="L379" s="1406">
        <f t="shared" si="7"/>
        <v>18775</v>
      </c>
    </row>
    <row r="380" spans="1:12" ht="13.5">
      <c r="A380" s="1406">
        <v>18800</v>
      </c>
      <c r="B380" s="1405">
        <v>18850</v>
      </c>
      <c r="C380" s="4809">
        <v>0</v>
      </c>
      <c r="D380" s="1406">
        <v>3995</v>
      </c>
      <c r="E380" s="1406">
        <v>6604</v>
      </c>
      <c r="F380" s="1405">
        <v>7430</v>
      </c>
      <c r="G380" s="4809">
        <v>412</v>
      </c>
      <c r="H380" s="1406">
        <v>3995</v>
      </c>
      <c r="I380" s="1406">
        <v>6604</v>
      </c>
      <c r="J380" s="1405">
        <v>7430</v>
      </c>
      <c r="K380" s="1282"/>
      <c r="L380" s="1406">
        <f t="shared" si="7"/>
        <v>18825</v>
      </c>
    </row>
    <row r="381" spans="1:12" ht="13.5">
      <c r="A381" s="1406">
        <v>18850</v>
      </c>
      <c r="B381" s="1405">
        <v>18900</v>
      </c>
      <c r="C381" s="4809">
        <v>0</v>
      </c>
      <c r="D381" s="1406">
        <v>3995</v>
      </c>
      <c r="E381" s="1406">
        <v>6604</v>
      </c>
      <c r="F381" s="1405">
        <v>7430</v>
      </c>
      <c r="G381" s="4809">
        <v>408</v>
      </c>
      <c r="H381" s="1406">
        <v>3995</v>
      </c>
      <c r="I381" s="1406">
        <v>6604</v>
      </c>
      <c r="J381" s="1405">
        <v>7430</v>
      </c>
      <c r="K381" s="1282"/>
      <c r="L381" s="1406">
        <f t="shared" si="7"/>
        <v>18875</v>
      </c>
    </row>
    <row r="382" spans="1:12" ht="13.5">
      <c r="A382" s="1406">
        <v>18900</v>
      </c>
      <c r="B382" s="1405">
        <v>18950</v>
      </c>
      <c r="C382" s="4809">
        <v>0</v>
      </c>
      <c r="D382" s="1406">
        <v>3995</v>
      </c>
      <c r="E382" s="1406">
        <v>6604</v>
      </c>
      <c r="F382" s="1405">
        <v>7430</v>
      </c>
      <c r="G382" s="4809">
        <v>404</v>
      </c>
      <c r="H382" s="1406">
        <v>3995</v>
      </c>
      <c r="I382" s="1406">
        <v>6604</v>
      </c>
      <c r="J382" s="1405">
        <v>7430</v>
      </c>
      <c r="K382" s="1282"/>
      <c r="L382" s="1406">
        <f t="shared" si="7"/>
        <v>18925</v>
      </c>
    </row>
    <row r="383" spans="1:12" ht="13.5">
      <c r="A383" s="1406">
        <v>18950</v>
      </c>
      <c r="B383" s="1405">
        <v>19000</v>
      </c>
      <c r="C383" s="4809">
        <v>0</v>
      </c>
      <c r="D383" s="1406">
        <v>3995</v>
      </c>
      <c r="E383" s="1406">
        <v>6604</v>
      </c>
      <c r="F383" s="1405">
        <v>7430</v>
      </c>
      <c r="G383" s="4809">
        <v>400</v>
      </c>
      <c r="H383" s="1406">
        <v>3995</v>
      </c>
      <c r="I383" s="1406">
        <v>6604</v>
      </c>
      <c r="J383" s="1405">
        <v>7430</v>
      </c>
      <c r="K383" s="1282"/>
      <c r="L383" s="1406">
        <f t="shared" si="7"/>
        <v>18975</v>
      </c>
    </row>
    <row r="384" spans="1:12" ht="13.5">
      <c r="A384" s="1406">
        <v>19000</v>
      </c>
      <c r="B384" s="1405">
        <v>19050</v>
      </c>
      <c r="C384" s="4809">
        <v>0</v>
      </c>
      <c r="D384" s="1406">
        <v>3995</v>
      </c>
      <c r="E384" s="1406">
        <v>6604</v>
      </c>
      <c r="F384" s="1405">
        <v>7430</v>
      </c>
      <c r="G384" s="4809">
        <v>397</v>
      </c>
      <c r="H384" s="1406">
        <v>3995</v>
      </c>
      <c r="I384" s="1406">
        <v>6604</v>
      </c>
      <c r="J384" s="1405">
        <v>7430</v>
      </c>
      <c r="K384" s="1282"/>
      <c r="L384" s="1406">
        <f t="shared" si="7"/>
        <v>19025</v>
      </c>
    </row>
    <row r="385" spans="1:18" ht="13.5">
      <c r="A385" s="1406">
        <v>19050</v>
      </c>
      <c r="B385" s="1405">
        <v>19100</v>
      </c>
      <c r="C385" s="4809">
        <v>0</v>
      </c>
      <c r="D385" s="1406">
        <v>3995</v>
      </c>
      <c r="E385" s="1406">
        <v>6604</v>
      </c>
      <c r="F385" s="1405">
        <v>7430</v>
      </c>
      <c r="G385" s="4809">
        <v>393</v>
      </c>
      <c r="H385" s="1406">
        <v>3995</v>
      </c>
      <c r="I385" s="1406">
        <v>6604</v>
      </c>
      <c r="J385" s="1405">
        <v>7430</v>
      </c>
      <c r="K385" s="1282"/>
      <c r="L385" s="1406">
        <f t="shared" si="7"/>
        <v>19075</v>
      </c>
    </row>
    <row r="386" spans="1:18" ht="13.5">
      <c r="A386" s="1406">
        <v>19100</v>
      </c>
      <c r="B386" s="1405">
        <v>19150</v>
      </c>
      <c r="C386" s="4809">
        <v>0</v>
      </c>
      <c r="D386" s="1406">
        <v>3995</v>
      </c>
      <c r="E386" s="1406">
        <v>6604</v>
      </c>
      <c r="F386" s="1405">
        <v>7430</v>
      </c>
      <c r="G386" s="4809">
        <v>389</v>
      </c>
      <c r="H386" s="1406">
        <v>3995</v>
      </c>
      <c r="I386" s="1406">
        <v>6604</v>
      </c>
      <c r="J386" s="1405">
        <v>7430</v>
      </c>
      <c r="K386" s="1282"/>
      <c r="L386" s="1406">
        <f t="shared" si="7"/>
        <v>19125</v>
      </c>
    </row>
    <row r="387" spans="1:18" ht="13.5">
      <c r="A387" s="1406">
        <v>19150</v>
      </c>
      <c r="B387" s="1405">
        <v>19200</v>
      </c>
      <c r="C387" s="4809">
        <v>0</v>
      </c>
      <c r="D387" s="1406">
        <v>3995</v>
      </c>
      <c r="E387" s="1406">
        <v>6604</v>
      </c>
      <c r="F387" s="1405">
        <v>7430</v>
      </c>
      <c r="G387" s="4809">
        <v>385</v>
      </c>
      <c r="H387" s="1406">
        <v>3995</v>
      </c>
      <c r="I387" s="1406">
        <v>6604</v>
      </c>
      <c r="J387" s="1405">
        <v>7430</v>
      </c>
      <c r="K387" s="1282"/>
      <c r="L387" s="1406">
        <f t="shared" si="7"/>
        <v>19175</v>
      </c>
    </row>
    <row r="388" spans="1:18" ht="13.5">
      <c r="A388" s="1406">
        <v>19200</v>
      </c>
      <c r="B388" s="1405">
        <v>19250</v>
      </c>
      <c r="C388" s="4809">
        <v>0</v>
      </c>
      <c r="D388" s="1406">
        <v>3995</v>
      </c>
      <c r="E388" s="1406">
        <v>6604</v>
      </c>
      <c r="F388" s="1405">
        <v>7430</v>
      </c>
      <c r="G388" s="4809">
        <v>381</v>
      </c>
      <c r="H388" s="1406">
        <v>3995</v>
      </c>
      <c r="I388" s="1406">
        <v>6604</v>
      </c>
      <c r="J388" s="1405">
        <v>7430</v>
      </c>
      <c r="K388" s="1282"/>
      <c r="L388" s="1406">
        <f t="shared" si="7"/>
        <v>19225</v>
      </c>
    </row>
    <row r="389" spans="1:18" ht="13.5">
      <c r="A389" s="1406">
        <v>19250</v>
      </c>
      <c r="B389" s="1405">
        <v>19300</v>
      </c>
      <c r="C389" s="4809">
        <v>0</v>
      </c>
      <c r="D389" s="1406">
        <v>3995</v>
      </c>
      <c r="E389" s="1406">
        <v>6604</v>
      </c>
      <c r="F389" s="1405">
        <v>7430</v>
      </c>
      <c r="G389" s="4809">
        <v>378</v>
      </c>
      <c r="H389" s="1406">
        <v>3995</v>
      </c>
      <c r="I389" s="1406">
        <v>6604</v>
      </c>
      <c r="J389" s="1405">
        <v>7430</v>
      </c>
      <c r="K389" s="1282"/>
      <c r="L389" s="1406">
        <f t="shared" si="7"/>
        <v>19275</v>
      </c>
    </row>
    <row r="390" spans="1:18" ht="13.5">
      <c r="A390" s="1406">
        <v>19300</v>
      </c>
      <c r="B390" s="1405">
        <v>19350</v>
      </c>
      <c r="C390" s="4809">
        <v>0</v>
      </c>
      <c r="D390" s="1406">
        <v>3995</v>
      </c>
      <c r="E390" s="1406">
        <v>6604</v>
      </c>
      <c r="F390" s="1405">
        <v>7430</v>
      </c>
      <c r="G390" s="4809">
        <v>374</v>
      </c>
      <c r="H390" s="1406">
        <v>3995</v>
      </c>
      <c r="I390" s="1406">
        <v>6604</v>
      </c>
      <c r="J390" s="1405">
        <v>7430</v>
      </c>
      <c r="K390" s="1282"/>
      <c r="L390" s="1406">
        <f t="shared" ref="L390:L452" si="8">ROUND((A390+B390)/2,2)</f>
        <v>19325</v>
      </c>
    </row>
    <row r="391" spans="1:18" ht="13.5">
      <c r="A391" s="1406">
        <v>19350</v>
      </c>
      <c r="B391" s="1405">
        <v>19400</v>
      </c>
      <c r="C391" s="4809">
        <v>0</v>
      </c>
      <c r="D391" s="1406">
        <v>3995</v>
      </c>
      <c r="E391" s="1406">
        <v>6604</v>
      </c>
      <c r="F391" s="1405">
        <v>7430</v>
      </c>
      <c r="G391" s="4809">
        <v>370</v>
      </c>
      <c r="H391" s="1406">
        <v>3995</v>
      </c>
      <c r="I391" s="1406">
        <v>6604</v>
      </c>
      <c r="J391" s="1405">
        <v>7430</v>
      </c>
      <c r="K391" s="1282"/>
      <c r="L391" s="1406">
        <f t="shared" si="8"/>
        <v>19375</v>
      </c>
    </row>
    <row r="392" spans="1:18" ht="13.5">
      <c r="A392" s="1406">
        <v>19400</v>
      </c>
      <c r="B392" s="1405">
        <v>19450</v>
      </c>
      <c r="C392" s="4809">
        <v>0</v>
      </c>
      <c r="D392" s="1406">
        <v>3995</v>
      </c>
      <c r="E392" s="1406">
        <v>6604</v>
      </c>
      <c r="F392" s="1405">
        <v>7430</v>
      </c>
      <c r="G392" s="4809">
        <v>366</v>
      </c>
      <c r="H392" s="1406">
        <v>3995</v>
      </c>
      <c r="I392" s="1406">
        <v>6604</v>
      </c>
      <c r="J392" s="1405">
        <v>7430</v>
      </c>
      <c r="K392" s="1282"/>
      <c r="L392" s="1406">
        <f t="shared" si="8"/>
        <v>19425</v>
      </c>
    </row>
    <row r="393" spans="1:18" ht="13.5">
      <c r="A393" s="1406">
        <v>19450</v>
      </c>
      <c r="B393" s="1405">
        <v>19500</v>
      </c>
      <c r="C393" s="4809">
        <v>0</v>
      </c>
      <c r="D393" s="1406">
        <v>3995</v>
      </c>
      <c r="E393" s="1406">
        <v>6604</v>
      </c>
      <c r="F393" s="1405">
        <v>7430</v>
      </c>
      <c r="G393" s="4809">
        <v>362</v>
      </c>
      <c r="H393" s="1406">
        <v>3995</v>
      </c>
      <c r="I393" s="1406">
        <v>6604</v>
      </c>
      <c r="J393" s="1405">
        <v>7430</v>
      </c>
      <c r="K393" s="1282"/>
      <c r="L393" s="1406">
        <f t="shared" si="8"/>
        <v>19475</v>
      </c>
    </row>
    <row r="394" spans="1:18" ht="13.5">
      <c r="A394" s="1406">
        <v>19500</v>
      </c>
      <c r="B394" s="1405">
        <v>19550</v>
      </c>
      <c r="C394" s="4809">
        <v>0</v>
      </c>
      <c r="D394" s="1406">
        <v>3995</v>
      </c>
      <c r="E394" s="1406">
        <v>6604</v>
      </c>
      <c r="F394" s="1405">
        <v>7430</v>
      </c>
      <c r="G394" s="4809">
        <v>358</v>
      </c>
      <c r="H394" s="1406">
        <v>3995</v>
      </c>
      <c r="I394" s="1406">
        <v>6604</v>
      </c>
      <c r="J394" s="1405">
        <v>7430</v>
      </c>
      <c r="K394" s="1282"/>
      <c r="L394" s="1406">
        <f t="shared" si="8"/>
        <v>19525</v>
      </c>
    </row>
    <row r="395" spans="1:18" ht="13.5">
      <c r="A395" s="1406">
        <v>19550</v>
      </c>
      <c r="B395" s="1405">
        <v>19600</v>
      </c>
      <c r="C395" s="4809">
        <v>0</v>
      </c>
      <c r="D395" s="1406">
        <v>3995</v>
      </c>
      <c r="E395" s="1406">
        <v>6604</v>
      </c>
      <c r="F395" s="1405">
        <v>7430</v>
      </c>
      <c r="G395" s="4809">
        <v>355</v>
      </c>
      <c r="H395" s="1406">
        <v>3995</v>
      </c>
      <c r="I395" s="1406">
        <v>6604</v>
      </c>
      <c r="J395" s="1405">
        <v>7430</v>
      </c>
      <c r="K395" s="1282"/>
      <c r="L395" s="1406">
        <f t="shared" si="8"/>
        <v>19575</v>
      </c>
      <c r="M395" s="4804"/>
      <c r="N395" s="4804"/>
      <c r="O395" s="4805"/>
      <c r="Q395" s="1406"/>
      <c r="R395" s="1406"/>
    </row>
    <row r="396" spans="1:18" ht="13.5">
      <c r="A396" s="1406">
        <v>19600</v>
      </c>
      <c r="B396" s="1405">
        <v>19650</v>
      </c>
      <c r="C396" s="4809">
        <v>0</v>
      </c>
      <c r="D396" s="1406">
        <v>3995</v>
      </c>
      <c r="E396" s="1406">
        <v>6604</v>
      </c>
      <c r="F396" s="1405">
        <v>7430</v>
      </c>
      <c r="G396" s="4809">
        <v>351</v>
      </c>
      <c r="H396" s="1406">
        <v>3995</v>
      </c>
      <c r="I396" s="1406">
        <v>6604</v>
      </c>
      <c r="J396" s="1405">
        <v>7430</v>
      </c>
      <c r="K396" s="1282"/>
      <c r="L396" s="1406">
        <f t="shared" si="8"/>
        <v>19625</v>
      </c>
      <c r="M396" s="4804"/>
      <c r="N396" s="4804"/>
      <c r="O396" s="4805"/>
      <c r="Q396" s="1406"/>
      <c r="R396" s="1406"/>
    </row>
    <row r="397" spans="1:18" ht="13.5">
      <c r="A397" s="1406">
        <v>19650</v>
      </c>
      <c r="B397" s="1405">
        <v>19700</v>
      </c>
      <c r="C397" s="4809">
        <v>0</v>
      </c>
      <c r="D397" s="1406">
        <v>3995</v>
      </c>
      <c r="E397" s="1406">
        <v>6604</v>
      </c>
      <c r="F397" s="1405">
        <v>7430</v>
      </c>
      <c r="G397" s="4809">
        <v>347</v>
      </c>
      <c r="H397" s="1406">
        <v>3995</v>
      </c>
      <c r="I397" s="1406">
        <v>6604</v>
      </c>
      <c r="J397" s="1405">
        <v>7430</v>
      </c>
      <c r="K397" s="1282"/>
      <c r="L397" s="1406">
        <f t="shared" si="8"/>
        <v>19675</v>
      </c>
      <c r="M397" s="4804"/>
      <c r="N397" s="4804"/>
      <c r="O397" s="4805"/>
      <c r="Q397" s="1406"/>
      <c r="R397" s="1406"/>
    </row>
    <row r="398" spans="1:18" ht="13.5">
      <c r="A398" s="1406">
        <v>19700</v>
      </c>
      <c r="B398" s="1405">
        <v>19750</v>
      </c>
      <c r="C398" s="4809">
        <v>0</v>
      </c>
      <c r="D398" s="1406">
        <v>3995</v>
      </c>
      <c r="E398" s="1406">
        <v>6604</v>
      </c>
      <c r="F398" s="1405">
        <v>7430</v>
      </c>
      <c r="G398" s="4809">
        <v>343</v>
      </c>
      <c r="H398" s="1406">
        <v>3995</v>
      </c>
      <c r="I398" s="1406">
        <v>6604</v>
      </c>
      <c r="J398" s="1405">
        <v>7430</v>
      </c>
      <c r="K398" s="1282"/>
      <c r="L398" s="1406">
        <f t="shared" si="8"/>
        <v>19725</v>
      </c>
      <c r="M398" s="4804"/>
      <c r="N398" s="4804"/>
      <c r="O398" s="4805"/>
      <c r="Q398" s="1406"/>
      <c r="R398" s="1406"/>
    </row>
    <row r="399" spans="1:18" ht="13.5">
      <c r="A399" s="1406">
        <v>19750</v>
      </c>
      <c r="B399" s="1405">
        <v>19800</v>
      </c>
      <c r="C399" s="4809">
        <v>0</v>
      </c>
      <c r="D399" s="1406">
        <v>3995</v>
      </c>
      <c r="E399" s="1406">
        <v>6604</v>
      </c>
      <c r="F399" s="1405">
        <v>7430</v>
      </c>
      <c r="G399" s="4809">
        <v>339</v>
      </c>
      <c r="H399" s="1406">
        <v>3995</v>
      </c>
      <c r="I399" s="1406">
        <v>6604</v>
      </c>
      <c r="J399" s="1405">
        <v>7430</v>
      </c>
      <c r="K399" s="1282"/>
      <c r="L399" s="1406">
        <f t="shared" si="8"/>
        <v>19775</v>
      </c>
      <c r="M399" s="4804"/>
      <c r="N399" s="4804"/>
      <c r="O399" s="4805"/>
      <c r="Q399" s="1406"/>
      <c r="R399" s="1406"/>
    </row>
    <row r="400" spans="1:18" ht="13.5">
      <c r="A400" s="1406">
        <v>19800</v>
      </c>
      <c r="B400" s="1405">
        <v>19850</v>
      </c>
      <c r="C400" s="4809">
        <v>0</v>
      </c>
      <c r="D400" s="1406">
        <v>3995</v>
      </c>
      <c r="E400" s="1406">
        <v>6604</v>
      </c>
      <c r="F400" s="1405">
        <v>7430</v>
      </c>
      <c r="G400" s="4809">
        <v>335</v>
      </c>
      <c r="H400" s="1406">
        <v>3995</v>
      </c>
      <c r="I400" s="1406">
        <v>6604</v>
      </c>
      <c r="J400" s="1405">
        <v>7430</v>
      </c>
      <c r="K400" s="1282"/>
      <c r="L400" s="1406">
        <f t="shared" si="8"/>
        <v>19825</v>
      </c>
      <c r="M400" s="4804"/>
      <c r="N400" s="4804"/>
      <c r="O400" s="4805"/>
      <c r="Q400" s="1406"/>
      <c r="R400" s="1406"/>
    </row>
    <row r="401" spans="1:18" ht="13.5">
      <c r="A401" s="1406">
        <v>19850</v>
      </c>
      <c r="B401" s="1405">
        <v>19900</v>
      </c>
      <c r="C401" s="4809">
        <v>0</v>
      </c>
      <c r="D401" s="1406">
        <v>3995</v>
      </c>
      <c r="E401" s="1406">
        <v>6604</v>
      </c>
      <c r="F401" s="1405">
        <v>7430</v>
      </c>
      <c r="G401" s="4809">
        <v>332</v>
      </c>
      <c r="H401" s="1406">
        <v>3995</v>
      </c>
      <c r="I401" s="1406">
        <v>6604</v>
      </c>
      <c r="J401" s="1405">
        <v>7430</v>
      </c>
      <c r="K401" s="1282"/>
      <c r="L401" s="1406">
        <f t="shared" si="8"/>
        <v>19875</v>
      </c>
      <c r="M401" s="4804"/>
      <c r="N401" s="4804"/>
      <c r="O401" s="4805"/>
      <c r="Q401" s="1406"/>
      <c r="R401" s="1406"/>
    </row>
    <row r="402" spans="1:18" ht="13.5">
      <c r="A402" s="1406">
        <v>19900</v>
      </c>
      <c r="B402" s="1405">
        <v>19950</v>
      </c>
      <c r="C402" s="4809">
        <v>0</v>
      </c>
      <c r="D402" s="1406">
        <v>3995</v>
      </c>
      <c r="E402" s="1406">
        <v>6604</v>
      </c>
      <c r="F402" s="1405">
        <v>7430</v>
      </c>
      <c r="G402" s="4809">
        <v>328</v>
      </c>
      <c r="H402" s="1406">
        <v>3995</v>
      </c>
      <c r="I402" s="1406">
        <v>6604</v>
      </c>
      <c r="J402" s="1405">
        <v>7430</v>
      </c>
      <c r="K402" s="1282"/>
      <c r="L402" s="1406">
        <f t="shared" si="8"/>
        <v>19925</v>
      </c>
      <c r="M402" s="4804"/>
      <c r="N402" s="4804"/>
      <c r="O402" s="4805"/>
      <c r="Q402" s="1406"/>
      <c r="R402" s="1406"/>
    </row>
    <row r="403" spans="1:18" ht="13.5">
      <c r="A403" s="1406">
        <v>19950</v>
      </c>
      <c r="B403" s="1405">
        <v>20000</v>
      </c>
      <c r="C403" s="4809">
        <v>0</v>
      </c>
      <c r="D403" s="1406">
        <v>3995</v>
      </c>
      <c r="E403" s="1406">
        <v>6604</v>
      </c>
      <c r="F403" s="1405">
        <v>7430</v>
      </c>
      <c r="G403" s="4809">
        <v>324</v>
      </c>
      <c r="H403" s="1406">
        <v>3995</v>
      </c>
      <c r="I403" s="1406">
        <v>6604</v>
      </c>
      <c r="J403" s="1405">
        <v>7430</v>
      </c>
      <c r="K403" s="1282"/>
      <c r="L403" s="1406">
        <f t="shared" si="8"/>
        <v>19975</v>
      </c>
      <c r="M403" s="4804"/>
      <c r="N403" s="4804"/>
      <c r="O403" s="4805"/>
      <c r="Q403" s="1406"/>
      <c r="R403" s="1406"/>
    </row>
    <row r="404" spans="1:18" ht="13.5">
      <c r="A404" s="1406">
        <v>20000</v>
      </c>
      <c r="B404" s="1405">
        <v>20050</v>
      </c>
      <c r="C404" s="4809">
        <v>0</v>
      </c>
      <c r="D404" s="1406">
        <v>3995</v>
      </c>
      <c r="E404" s="1406">
        <v>6604</v>
      </c>
      <c r="F404" s="1405">
        <v>7430</v>
      </c>
      <c r="G404" s="4809">
        <v>320</v>
      </c>
      <c r="H404" s="1406">
        <v>3995</v>
      </c>
      <c r="I404" s="1406">
        <v>6604</v>
      </c>
      <c r="J404" s="1405">
        <v>7430</v>
      </c>
      <c r="K404" s="1282"/>
      <c r="L404" s="1406">
        <f t="shared" si="8"/>
        <v>20025</v>
      </c>
      <c r="M404" s="4804"/>
      <c r="N404" s="4804"/>
      <c r="O404" s="4805"/>
      <c r="Q404" s="1406"/>
      <c r="R404" s="1406"/>
    </row>
    <row r="405" spans="1:18" ht="13.5">
      <c r="A405" s="1406">
        <v>20050</v>
      </c>
      <c r="B405" s="1405">
        <v>20100</v>
      </c>
      <c r="C405" s="4809">
        <v>0</v>
      </c>
      <c r="D405" s="1406">
        <v>3995</v>
      </c>
      <c r="E405" s="1406">
        <v>6604</v>
      </c>
      <c r="F405" s="1405">
        <v>7430</v>
      </c>
      <c r="G405" s="4809">
        <v>316</v>
      </c>
      <c r="H405" s="1406">
        <v>3995</v>
      </c>
      <c r="I405" s="1406">
        <v>6604</v>
      </c>
      <c r="J405" s="1405">
        <v>7430</v>
      </c>
      <c r="K405" s="1282"/>
      <c r="L405" s="1406">
        <f t="shared" si="8"/>
        <v>20075</v>
      </c>
      <c r="M405" s="4804"/>
      <c r="N405" s="4804"/>
      <c r="O405" s="4805"/>
      <c r="Q405" s="1406"/>
      <c r="R405" s="1406"/>
    </row>
    <row r="406" spans="1:18" ht="13.5">
      <c r="A406" s="1406">
        <v>20100</v>
      </c>
      <c r="B406" s="1405">
        <v>20150</v>
      </c>
      <c r="C406" s="4809">
        <v>0</v>
      </c>
      <c r="D406" s="1406">
        <v>3995</v>
      </c>
      <c r="E406" s="1406">
        <v>6604</v>
      </c>
      <c r="F406" s="1405">
        <v>7430</v>
      </c>
      <c r="G406" s="4809">
        <v>313</v>
      </c>
      <c r="H406" s="1406">
        <v>3995</v>
      </c>
      <c r="I406" s="1406">
        <v>6604</v>
      </c>
      <c r="J406" s="1405">
        <v>7430</v>
      </c>
      <c r="K406" s="1282"/>
      <c r="L406" s="1406">
        <f t="shared" si="8"/>
        <v>20125</v>
      </c>
      <c r="M406" s="4804"/>
      <c r="N406" s="4804"/>
      <c r="O406" s="4805"/>
      <c r="Q406" s="1406"/>
      <c r="R406" s="1406"/>
    </row>
    <row r="407" spans="1:18" ht="13.5">
      <c r="A407" s="1406">
        <v>20150</v>
      </c>
      <c r="B407" s="1405">
        <v>20200</v>
      </c>
      <c r="C407" s="4809">
        <v>0</v>
      </c>
      <c r="D407" s="1406">
        <v>3995</v>
      </c>
      <c r="E407" s="1406">
        <v>6604</v>
      </c>
      <c r="F407" s="1405">
        <v>7430</v>
      </c>
      <c r="G407" s="4809">
        <v>309</v>
      </c>
      <c r="H407" s="1406">
        <v>3995</v>
      </c>
      <c r="I407" s="1406">
        <v>6604</v>
      </c>
      <c r="J407" s="1405">
        <v>7430</v>
      </c>
      <c r="K407" s="1282"/>
      <c r="L407" s="1406">
        <f t="shared" si="8"/>
        <v>20175</v>
      </c>
      <c r="M407" s="4804"/>
      <c r="N407" s="4804"/>
      <c r="O407" s="4805"/>
      <c r="Q407" s="1406"/>
      <c r="R407" s="1406"/>
    </row>
    <row r="408" spans="1:18" ht="13.5">
      <c r="A408" s="1406">
        <v>20200</v>
      </c>
      <c r="B408" s="1405">
        <v>20250</v>
      </c>
      <c r="C408" s="4809">
        <v>0</v>
      </c>
      <c r="D408" s="1406">
        <v>3995</v>
      </c>
      <c r="E408" s="1406">
        <v>6604</v>
      </c>
      <c r="F408" s="1405">
        <v>7430</v>
      </c>
      <c r="G408" s="4809">
        <v>305</v>
      </c>
      <c r="H408" s="1406">
        <v>3995</v>
      </c>
      <c r="I408" s="1406">
        <v>6604</v>
      </c>
      <c r="J408" s="1405">
        <v>7430</v>
      </c>
      <c r="K408" s="1282"/>
      <c r="L408" s="1406">
        <f t="shared" si="8"/>
        <v>20225</v>
      </c>
      <c r="M408" s="4804"/>
      <c r="N408" s="4804"/>
      <c r="O408" s="4805"/>
      <c r="Q408" s="1406"/>
      <c r="R408" s="1406"/>
    </row>
    <row r="409" spans="1:18" ht="13.5">
      <c r="A409" s="1406">
        <v>20250</v>
      </c>
      <c r="B409" s="1405">
        <v>20300</v>
      </c>
      <c r="C409" s="4809">
        <v>0</v>
      </c>
      <c r="D409" s="1406">
        <v>3995</v>
      </c>
      <c r="E409" s="1406">
        <v>6604</v>
      </c>
      <c r="F409" s="1405">
        <v>7430</v>
      </c>
      <c r="G409" s="4809">
        <v>301</v>
      </c>
      <c r="H409" s="1406">
        <v>3995</v>
      </c>
      <c r="I409" s="1406">
        <v>6604</v>
      </c>
      <c r="J409" s="1405">
        <v>7430</v>
      </c>
      <c r="K409" s="1282"/>
      <c r="L409" s="1406">
        <f t="shared" si="8"/>
        <v>20275</v>
      </c>
      <c r="M409" s="4804"/>
      <c r="N409" s="4804"/>
      <c r="O409" s="4805"/>
      <c r="Q409" s="1406"/>
      <c r="R409" s="1406"/>
    </row>
    <row r="410" spans="1:18" ht="13.5">
      <c r="A410" s="1406">
        <v>20300</v>
      </c>
      <c r="B410" s="1405">
        <v>20350</v>
      </c>
      <c r="C410" s="4809">
        <v>0</v>
      </c>
      <c r="D410" s="1406">
        <v>3995</v>
      </c>
      <c r="E410" s="1406">
        <v>6604</v>
      </c>
      <c r="F410" s="1405">
        <v>7430</v>
      </c>
      <c r="G410" s="4809">
        <v>297</v>
      </c>
      <c r="H410" s="1406">
        <v>3995</v>
      </c>
      <c r="I410" s="1406">
        <v>6604</v>
      </c>
      <c r="J410" s="1405">
        <v>7430</v>
      </c>
      <c r="K410" s="1282"/>
      <c r="L410" s="1406">
        <f t="shared" si="8"/>
        <v>20325</v>
      </c>
      <c r="M410" s="4804"/>
      <c r="N410" s="4804"/>
      <c r="O410" s="4805"/>
      <c r="Q410" s="1406"/>
      <c r="R410" s="1406"/>
    </row>
    <row r="411" spans="1:18" ht="13.5">
      <c r="A411" s="1406">
        <v>20350</v>
      </c>
      <c r="B411" s="1405">
        <v>20400</v>
      </c>
      <c r="C411" s="4809">
        <v>0</v>
      </c>
      <c r="D411" s="1406">
        <v>3995</v>
      </c>
      <c r="E411" s="1406">
        <v>6604</v>
      </c>
      <c r="F411" s="1405">
        <v>7430</v>
      </c>
      <c r="G411" s="4809">
        <v>293</v>
      </c>
      <c r="H411" s="1406">
        <v>3995</v>
      </c>
      <c r="I411" s="1406">
        <v>6604</v>
      </c>
      <c r="J411" s="1405">
        <v>7430</v>
      </c>
      <c r="K411" s="1282"/>
      <c r="L411" s="1406">
        <f t="shared" si="8"/>
        <v>20375</v>
      </c>
      <c r="M411" s="4804"/>
      <c r="N411" s="4804"/>
      <c r="O411" s="4805"/>
      <c r="Q411" s="1406"/>
      <c r="R411" s="1406"/>
    </row>
    <row r="412" spans="1:18" ht="13.5">
      <c r="A412" s="1406">
        <v>20400</v>
      </c>
      <c r="B412" s="1405">
        <v>20450</v>
      </c>
      <c r="C412" s="4809">
        <v>0</v>
      </c>
      <c r="D412" s="1406">
        <v>3995</v>
      </c>
      <c r="E412" s="1406">
        <v>6604</v>
      </c>
      <c r="F412" s="1405">
        <v>7430</v>
      </c>
      <c r="G412" s="4809">
        <v>290</v>
      </c>
      <c r="H412" s="1406">
        <v>3995</v>
      </c>
      <c r="I412" s="1406">
        <v>6604</v>
      </c>
      <c r="J412" s="1405">
        <v>7430</v>
      </c>
      <c r="K412" s="1282"/>
      <c r="L412" s="1406">
        <f t="shared" si="8"/>
        <v>20425</v>
      </c>
      <c r="M412" s="4804"/>
      <c r="N412" s="4804"/>
      <c r="O412" s="4805"/>
      <c r="Q412" s="1406"/>
      <c r="R412" s="1406"/>
    </row>
    <row r="413" spans="1:18" ht="13.5">
      <c r="A413" s="1406">
        <v>20450</v>
      </c>
      <c r="B413" s="1405">
        <v>20500</v>
      </c>
      <c r="C413" s="4809">
        <v>0</v>
      </c>
      <c r="D413" s="1406">
        <v>3995</v>
      </c>
      <c r="E413" s="1406">
        <v>6604</v>
      </c>
      <c r="F413" s="1405">
        <v>7430</v>
      </c>
      <c r="G413" s="4809">
        <v>286</v>
      </c>
      <c r="H413" s="1406">
        <v>3995</v>
      </c>
      <c r="I413" s="1406">
        <v>6604</v>
      </c>
      <c r="J413" s="1405">
        <v>7430</v>
      </c>
      <c r="K413" s="1282"/>
      <c r="L413" s="1406">
        <f t="shared" si="8"/>
        <v>20475</v>
      </c>
      <c r="M413" s="4804"/>
      <c r="N413" s="4804"/>
      <c r="O413" s="4805"/>
      <c r="Q413" s="1406"/>
      <c r="R413" s="1406"/>
    </row>
    <row r="414" spans="1:18" ht="13.5">
      <c r="A414" s="1406">
        <v>20500</v>
      </c>
      <c r="B414" s="1405">
        <v>20550</v>
      </c>
      <c r="C414" s="4809">
        <v>0</v>
      </c>
      <c r="D414" s="1406">
        <v>3995</v>
      </c>
      <c r="E414" s="1406">
        <v>6604</v>
      </c>
      <c r="F414" s="1405">
        <v>7430</v>
      </c>
      <c r="G414" s="4809">
        <v>282</v>
      </c>
      <c r="H414" s="1406">
        <v>3995</v>
      </c>
      <c r="I414" s="1406">
        <v>6604</v>
      </c>
      <c r="J414" s="1405">
        <v>7430</v>
      </c>
      <c r="K414" s="1282"/>
      <c r="L414" s="1406">
        <f t="shared" si="8"/>
        <v>20525</v>
      </c>
      <c r="M414" s="4804"/>
      <c r="N414" s="4804"/>
      <c r="O414" s="4805"/>
      <c r="Q414" s="1406"/>
      <c r="R414" s="1406"/>
    </row>
    <row r="415" spans="1:18" ht="13.5">
      <c r="A415" s="1406">
        <v>20550</v>
      </c>
      <c r="B415" s="1405">
        <v>20600</v>
      </c>
      <c r="C415" s="4809">
        <v>0</v>
      </c>
      <c r="D415" s="1406">
        <v>3995</v>
      </c>
      <c r="E415" s="1406">
        <v>6604</v>
      </c>
      <c r="F415" s="1405">
        <v>7430</v>
      </c>
      <c r="G415" s="4809">
        <v>278</v>
      </c>
      <c r="H415" s="1406">
        <v>3995</v>
      </c>
      <c r="I415" s="1406">
        <v>6604</v>
      </c>
      <c r="J415" s="1405">
        <v>7430</v>
      </c>
      <c r="K415" s="1282"/>
      <c r="L415" s="1406">
        <f t="shared" si="8"/>
        <v>20575</v>
      </c>
      <c r="M415" s="4804"/>
      <c r="N415" s="4804"/>
      <c r="O415" s="4805"/>
      <c r="Q415" s="1406"/>
      <c r="R415" s="1406"/>
    </row>
    <row r="416" spans="1:18" ht="13.5">
      <c r="A416" s="1406">
        <v>20600</v>
      </c>
      <c r="B416" s="1405">
        <v>20650</v>
      </c>
      <c r="C416" s="4809">
        <v>0</v>
      </c>
      <c r="D416" s="1406">
        <v>3995</v>
      </c>
      <c r="E416" s="1406">
        <v>6604</v>
      </c>
      <c r="F416" s="1405">
        <v>7430</v>
      </c>
      <c r="G416" s="4809">
        <v>274</v>
      </c>
      <c r="H416" s="1406">
        <v>3995</v>
      </c>
      <c r="I416" s="1406">
        <v>6604</v>
      </c>
      <c r="J416" s="1405">
        <v>7430</v>
      </c>
      <c r="K416" s="1282"/>
      <c r="L416" s="1406">
        <f t="shared" si="8"/>
        <v>20625</v>
      </c>
      <c r="M416" s="4804"/>
      <c r="N416" s="4804"/>
      <c r="O416" s="4805"/>
      <c r="Q416" s="1406"/>
      <c r="R416" s="1406"/>
    </row>
    <row r="417" spans="1:18" ht="13.5">
      <c r="A417" s="1406">
        <v>20650</v>
      </c>
      <c r="B417" s="1405">
        <v>20700</v>
      </c>
      <c r="C417" s="4809">
        <v>0</v>
      </c>
      <c r="D417" s="1406">
        <v>3995</v>
      </c>
      <c r="E417" s="1406">
        <v>6604</v>
      </c>
      <c r="F417" s="1405">
        <v>7430</v>
      </c>
      <c r="G417" s="4809">
        <v>270</v>
      </c>
      <c r="H417" s="1406">
        <v>3995</v>
      </c>
      <c r="I417" s="1406">
        <v>6604</v>
      </c>
      <c r="J417" s="1405">
        <v>7430</v>
      </c>
      <c r="K417" s="1282"/>
      <c r="L417" s="1406">
        <f t="shared" si="8"/>
        <v>20675</v>
      </c>
      <c r="M417" s="4804"/>
      <c r="N417" s="4804"/>
      <c r="O417" s="4805"/>
      <c r="Q417" s="1406"/>
      <c r="R417" s="1406"/>
    </row>
    <row r="418" spans="1:18" ht="13.5">
      <c r="A418" s="1406">
        <v>20700</v>
      </c>
      <c r="B418" s="1405">
        <v>20750</v>
      </c>
      <c r="C418" s="4809">
        <v>0</v>
      </c>
      <c r="D418" s="1406">
        <v>3995</v>
      </c>
      <c r="E418" s="1406">
        <v>6604</v>
      </c>
      <c r="F418" s="1405">
        <v>7430</v>
      </c>
      <c r="G418" s="4809">
        <v>267</v>
      </c>
      <c r="H418" s="1406">
        <v>3995</v>
      </c>
      <c r="I418" s="1406">
        <v>6604</v>
      </c>
      <c r="J418" s="1405">
        <v>7430</v>
      </c>
      <c r="K418" s="1282"/>
      <c r="L418" s="1406">
        <f t="shared" si="8"/>
        <v>20725</v>
      </c>
      <c r="M418" s="4804"/>
      <c r="N418" s="4804"/>
      <c r="O418" s="4805"/>
      <c r="Q418" s="1406"/>
      <c r="R418" s="1406"/>
    </row>
    <row r="419" spans="1:18" ht="13.5">
      <c r="A419" s="1406">
        <v>20750</v>
      </c>
      <c r="B419" s="1405">
        <v>20800</v>
      </c>
      <c r="C419" s="4809">
        <v>0</v>
      </c>
      <c r="D419" s="1406">
        <v>3995</v>
      </c>
      <c r="E419" s="1406">
        <v>6604</v>
      </c>
      <c r="F419" s="1405">
        <v>7430</v>
      </c>
      <c r="G419" s="4809">
        <v>263</v>
      </c>
      <c r="H419" s="1406">
        <v>3995</v>
      </c>
      <c r="I419" s="1406">
        <v>6604</v>
      </c>
      <c r="J419" s="1405">
        <v>7430</v>
      </c>
      <c r="K419" s="1282"/>
      <c r="L419" s="1406">
        <f t="shared" si="8"/>
        <v>20775</v>
      </c>
      <c r="M419" s="4804"/>
      <c r="N419" s="4804"/>
      <c r="O419" s="4805"/>
      <c r="Q419" s="1406"/>
      <c r="R419" s="1406"/>
    </row>
    <row r="420" spans="1:18" ht="13.5">
      <c r="A420" s="1406">
        <v>20800</v>
      </c>
      <c r="B420" s="1405">
        <v>20850</v>
      </c>
      <c r="C420" s="4809">
        <v>0</v>
      </c>
      <c r="D420" s="1406">
        <v>3995</v>
      </c>
      <c r="E420" s="1406">
        <v>6604</v>
      </c>
      <c r="F420" s="1405">
        <v>7430</v>
      </c>
      <c r="G420" s="4809">
        <v>259</v>
      </c>
      <c r="H420" s="1406">
        <v>3995</v>
      </c>
      <c r="I420" s="1406">
        <v>6604</v>
      </c>
      <c r="J420" s="1405">
        <v>7430</v>
      </c>
      <c r="K420" s="1282"/>
      <c r="L420" s="1406">
        <f t="shared" si="8"/>
        <v>20825</v>
      </c>
    </row>
    <row r="421" spans="1:18" ht="13.5">
      <c r="A421" s="1406">
        <v>20850</v>
      </c>
      <c r="B421" s="1405">
        <v>20900</v>
      </c>
      <c r="C421" s="4809">
        <v>0</v>
      </c>
      <c r="D421" s="1406">
        <v>3995</v>
      </c>
      <c r="E421" s="1406">
        <v>6604</v>
      </c>
      <c r="F421" s="1405">
        <v>7430</v>
      </c>
      <c r="G421" s="4809">
        <v>255</v>
      </c>
      <c r="H421" s="1406">
        <v>3995</v>
      </c>
      <c r="I421" s="1406">
        <v>6604</v>
      </c>
      <c r="J421" s="1405">
        <v>7430</v>
      </c>
      <c r="K421" s="1282"/>
      <c r="L421" s="1406">
        <f t="shared" si="8"/>
        <v>20875</v>
      </c>
    </row>
    <row r="422" spans="1:18" ht="13.5">
      <c r="A422" s="1406">
        <v>20900</v>
      </c>
      <c r="B422" s="1405">
        <v>20950</v>
      </c>
      <c r="C422" s="4809">
        <v>0</v>
      </c>
      <c r="D422" s="1406">
        <v>3995</v>
      </c>
      <c r="E422" s="1406">
        <v>6604</v>
      </c>
      <c r="F422" s="1405">
        <v>7430</v>
      </c>
      <c r="G422" s="4809">
        <v>251</v>
      </c>
      <c r="H422" s="1406">
        <v>3995</v>
      </c>
      <c r="I422" s="1406">
        <v>6604</v>
      </c>
      <c r="J422" s="1405">
        <v>7430</v>
      </c>
      <c r="K422" s="1282"/>
      <c r="L422" s="1406">
        <f t="shared" si="8"/>
        <v>20925</v>
      </c>
    </row>
    <row r="423" spans="1:18" ht="13.5">
      <c r="A423" s="1406">
        <v>20950</v>
      </c>
      <c r="B423" s="1405">
        <v>21000</v>
      </c>
      <c r="C423" s="4809">
        <v>0</v>
      </c>
      <c r="D423" s="1406">
        <v>3995</v>
      </c>
      <c r="E423" s="1406">
        <v>6604</v>
      </c>
      <c r="F423" s="1405">
        <v>7430</v>
      </c>
      <c r="G423" s="4809">
        <v>247</v>
      </c>
      <c r="H423" s="1406">
        <v>3995</v>
      </c>
      <c r="I423" s="1406">
        <v>6604</v>
      </c>
      <c r="J423" s="1405">
        <v>7430</v>
      </c>
      <c r="K423" s="1282"/>
      <c r="L423" s="1406">
        <f t="shared" si="8"/>
        <v>20975</v>
      </c>
    </row>
    <row r="424" spans="1:18" ht="13.5">
      <c r="A424" s="1406">
        <v>21000</v>
      </c>
      <c r="B424" s="1405">
        <v>21050</v>
      </c>
      <c r="C424" s="4809">
        <v>0</v>
      </c>
      <c r="D424" s="1406">
        <v>3995</v>
      </c>
      <c r="E424" s="1406">
        <v>6604</v>
      </c>
      <c r="F424" s="1405">
        <v>7430</v>
      </c>
      <c r="G424" s="4809">
        <v>244</v>
      </c>
      <c r="H424" s="1406">
        <v>3995</v>
      </c>
      <c r="I424" s="1406">
        <v>6604</v>
      </c>
      <c r="J424" s="1405">
        <v>7430</v>
      </c>
      <c r="K424" s="1282"/>
      <c r="L424" s="1406">
        <f t="shared" si="8"/>
        <v>21025</v>
      </c>
    </row>
    <row r="425" spans="1:18" ht="13.5">
      <c r="A425" s="1406">
        <v>21050</v>
      </c>
      <c r="B425" s="1405">
        <v>21100</v>
      </c>
      <c r="C425" s="4809">
        <v>0</v>
      </c>
      <c r="D425" s="1406">
        <v>3995</v>
      </c>
      <c r="E425" s="1406">
        <v>6604</v>
      </c>
      <c r="F425" s="1405">
        <v>7430</v>
      </c>
      <c r="G425" s="4809">
        <v>240</v>
      </c>
      <c r="H425" s="1406">
        <v>3995</v>
      </c>
      <c r="I425" s="1406">
        <v>6604</v>
      </c>
      <c r="J425" s="1405">
        <v>7430</v>
      </c>
      <c r="K425" s="1282"/>
      <c r="L425" s="1406">
        <f t="shared" si="8"/>
        <v>21075</v>
      </c>
    </row>
    <row r="426" spans="1:18" ht="13.5">
      <c r="A426" s="1406">
        <v>21100</v>
      </c>
      <c r="B426" s="1405">
        <v>21150</v>
      </c>
      <c r="C426" s="4809">
        <v>0</v>
      </c>
      <c r="D426" s="1406">
        <v>3995</v>
      </c>
      <c r="E426" s="1406">
        <v>6604</v>
      </c>
      <c r="F426" s="1405">
        <v>7430</v>
      </c>
      <c r="G426" s="4809">
        <v>236</v>
      </c>
      <c r="H426" s="1406">
        <v>3995</v>
      </c>
      <c r="I426" s="1406">
        <v>6604</v>
      </c>
      <c r="J426" s="1405">
        <v>7430</v>
      </c>
      <c r="K426" s="1282"/>
      <c r="L426" s="1406">
        <f t="shared" si="8"/>
        <v>21125</v>
      </c>
    </row>
    <row r="427" spans="1:18" ht="13.5">
      <c r="A427" s="1406">
        <v>21150</v>
      </c>
      <c r="B427" s="1405">
        <v>21200</v>
      </c>
      <c r="C427" s="4809">
        <v>0</v>
      </c>
      <c r="D427" s="1406">
        <v>3995</v>
      </c>
      <c r="E427" s="1406">
        <v>6604</v>
      </c>
      <c r="F427" s="1405">
        <v>7430</v>
      </c>
      <c r="G427" s="4809">
        <v>232</v>
      </c>
      <c r="H427" s="1406">
        <v>3995</v>
      </c>
      <c r="I427" s="1406">
        <v>6604</v>
      </c>
      <c r="J427" s="1405">
        <v>7430</v>
      </c>
      <c r="K427" s="1282"/>
      <c r="L427" s="1406">
        <f t="shared" si="8"/>
        <v>21175</v>
      </c>
    </row>
    <row r="428" spans="1:18" ht="13.5">
      <c r="A428" s="1406">
        <v>21200</v>
      </c>
      <c r="B428" s="1405">
        <v>21250</v>
      </c>
      <c r="C428" s="4809">
        <v>0</v>
      </c>
      <c r="D428" s="1406">
        <v>3995</v>
      </c>
      <c r="E428" s="1406">
        <v>6604</v>
      </c>
      <c r="F428" s="1405">
        <v>7430</v>
      </c>
      <c r="G428" s="4809">
        <v>228</v>
      </c>
      <c r="H428" s="1406">
        <v>3995</v>
      </c>
      <c r="I428" s="1406">
        <v>6604</v>
      </c>
      <c r="J428" s="1405">
        <v>7430</v>
      </c>
      <c r="K428" s="1282"/>
      <c r="L428" s="1406">
        <f t="shared" si="8"/>
        <v>21225</v>
      </c>
    </row>
    <row r="429" spans="1:18" ht="13.5">
      <c r="A429" s="1406">
        <v>21250</v>
      </c>
      <c r="B429" s="1405">
        <v>21300</v>
      </c>
      <c r="C429" s="4809">
        <v>0</v>
      </c>
      <c r="D429" s="1406">
        <v>3995</v>
      </c>
      <c r="E429" s="1406">
        <v>6604</v>
      </c>
      <c r="F429" s="1405">
        <v>7430</v>
      </c>
      <c r="G429" s="4809">
        <v>225</v>
      </c>
      <c r="H429" s="1406">
        <v>3995</v>
      </c>
      <c r="I429" s="1406">
        <v>6604</v>
      </c>
      <c r="J429" s="1405">
        <v>7430</v>
      </c>
      <c r="K429" s="1282"/>
      <c r="L429" s="1406">
        <f t="shared" si="8"/>
        <v>21275</v>
      </c>
    </row>
    <row r="430" spans="1:18" ht="13.5">
      <c r="A430" s="1406">
        <v>21300</v>
      </c>
      <c r="B430" s="1405">
        <v>21350</v>
      </c>
      <c r="C430" s="4809">
        <v>0</v>
      </c>
      <c r="D430" s="1406">
        <v>3995</v>
      </c>
      <c r="E430" s="1406">
        <v>6604</v>
      </c>
      <c r="F430" s="1405">
        <v>7430</v>
      </c>
      <c r="G430" s="4809">
        <v>221</v>
      </c>
      <c r="H430" s="1406">
        <v>3995</v>
      </c>
      <c r="I430" s="1406">
        <v>6604</v>
      </c>
      <c r="J430" s="1405">
        <v>7430</v>
      </c>
      <c r="K430" s="1282"/>
      <c r="L430" s="1406">
        <f t="shared" si="8"/>
        <v>21325</v>
      </c>
    </row>
    <row r="431" spans="1:18" ht="13.5">
      <c r="A431" s="1406">
        <v>21350</v>
      </c>
      <c r="B431" s="1405">
        <v>21400</v>
      </c>
      <c r="C431" s="4809">
        <v>0</v>
      </c>
      <c r="D431" s="1406">
        <v>3995</v>
      </c>
      <c r="E431" s="1406">
        <v>6604</v>
      </c>
      <c r="F431" s="1405">
        <v>7430</v>
      </c>
      <c r="G431" s="4809">
        <v>217</v>
      </c>
      <c r="H431" s="1406">
        <v>3995</v>
      </c>
      <c r="I431" s="1406">
        <v>6604</v>
      </c>
      <c r="J431" s="1405">
        <v>7430</v>
      </c>
      <c r="K431" s="1282"/>
      <c r="L431" s="1406">
        <f t="shared" si="8"/>
        <v>21375</v>
      </c>
    </row>
    <row r="432" spans="1:18" ht="13.5">
      <c r="A432" s="1406">
        <v>21400</v>
      </c>
      <c r="B432" s="1405">
        <v>21450</v>
      </c>
      <c r="C432" s="4809">
        <v>0</v>
      </c>
      <c r="D432" s="1406">
        <v>3995</v>
      </c>
      <c r="E432" s="1406">
        <v>6604</v>
      </c>
      <c r="F432" s="1405">
        <v>7430</v>
      </c>
      <c r="G432" s="4809">
        <v>213</v>
      </c>
      <c r="H432" s="1406">
        <v>3995</v>
      </c>
      <c r="I432" s="1406">
        <v>6604</v>
      </c>
      <c r="J432" s="1405">
        <v>7430</v>
      </c>
      <c r="K432" s="1282"/>
      <c r="L432" s="1406">
        <f t="shared" si="8"/>
        <v>21425</v>
      </c>
    </row>
    <row r="433" spans="1:12" ht="13.5">
      <c r="A433" s="1406">
        <v>21450</v>
      </c>
      <c r="B433" s="1405">
        <v>21500</v>
      </c>
      <c r="C433" s="4809">
        <v>0</v>
      </c>
      <c r="D433" s="1406">
        <v>3995</v>
      </c>
      <c r="E433" s="1406">
        <v>6604</v>
      </c>
      <c r="F433" s="1405">
        <v>7430</v>
      </c>
      <c r="G433" s="4809">
        <v>209</v>
      </c>
      <c r="H433" s="1406">
        <v>3995</v>
      </c>
      <c r="I433" s="1406">
        <v>6604</v>
      </c>
      <c r="J433" s="1405">
        <v>7430</v>
      </c>
      <c r="K433" s="1282"/>
      <c r="L433" s="1406">
        <f t="shared" si="8"/>
        <v>21475</v>
      </c>
    </row>
    <row r="434" spans="1:12" ht="13.5">
      <c r="A434" s="1406">
        <v>21500</v>
      </c>
      <c r="B434" s="1405">
        <v>21550</v>
      </c>
      <c r="C434" s="4809">
        <v>0</v>
      </c>
      <c r="D434" s="1406">
        <v>3995</v>
      </c>
      <c r="E434" s="1406">
        <v>6604</v>
      </c>
      <c r="F434" s="1405">
        <v>7430</v>
      </c>
      <c r="G434" s="4809">
        <v>205</v>
      </c>
      <c r="H434" s="1406">
        <v>3995</v>
      </c>
      <c r="I434" s="1406">
        <v>6604</v>
      </c>
      <c r="J434" s="1405">
        <v>7430</v>
      </c>
      <c r="K434" s="1282"/>
      <c r="L434" s="1406">
        <f t="shared" si="8"/>
        <v>21525</v>
      </c>
    </row>
    <row r="435" spans="1:12" ht="13.5">
      <c r="A435" s="1406">
        <v>21550</v>
      </c>
      <c r="B435" s="1405">
        <v>21600</v>
      </c>
      <c r="C435" s="4809">
        <v>0</v>
      </c>
      <c r="D435" s="1406">
        <v>3995</v>
      </c>
      <c r="E435" s="1406">
        <v>6604</v>
      </c>
      <c r="F435" s="1405">
        <v>7430</v>
      </c>
      <c r="G435" s="4809">
        <v>202</v>
      </c>
      <c r="H435" s="1406">
        <v>3995</v>
      </c>
      <c r="I435" s="1406">
        <v>6604</v>
      </c>
      <c r="J435" s="1405">
        <v>7430</v>
      </c>
      <c r="K435" s="1282"/>
      <c r="L435" s="1406">
        <f t="shared" si="8"/>
        <v>21575</v>
      </c>
    </row>
    <row r="436" spans="1:12" ht="13.5">
      <c r="A436" s="1406">
        <v>21600</v>
      </c>
      <c r="B436" s="1405">
        <v>21650</v>
      </c>
      <c r="C436" s="4809">
        <v>0</v>
      </c>
      <c r="D436" s="1406">
        <v>3985</v>
      </c>
      <c r="E436" s="1406">
        <v>6590</v>
      </c>
      <c r="F436" s="1405">
        <v>7416</v>
      </c>
      <c r="G436" s="4809">
        <v>198</v>
      </c>
      <c r="H436" s="1406">
        <v>3995</v>
      </c>
      <c r="I436" s="1406">
        <v>6604</v>
      </c>
      <c r="J436" s="1405">
        <v>7430</v>
      </c>
      <c r="K436" s="1282"/>
      <c r="L436" s="1406">
        <f t="shared" si="8"/>
        <v>21625</v>
      </c>
    </row>
    <row r="437" spans="1:12" ht="13.5">
      <c r="A437" s="1406">
        <v>21650</v>
      </c>
      <c r="B437" s="1405">
        <v>21700</v>
      </c>
      <c r="C437" s="4809">
        <v>0</v>
      </c>
      <c r="D437" s="1406">
        <v>3977</v>
      </c>
      <c r="E437" s="1406">
        <v>6580</v>
      </c>
      <c r="F437" s="1405">
        <v>7405</v>
      </c>
      <c r="G437" s="4809">
        <v>194</v>
      </c>
      <c r="H437" s="1406">
        <v>3995</v>
      </c>
      <c r="I437" s="1406">
        <v>6604</v>
      </c>
      <c r="J437" s="1405">
        <v>7430</v>
      </c>
      <c r="K437" s="1282"/>
      <c r="L437" s="1406">
        <f t="shared" si="8"/>
        <v>21675</v>
      </c>
    </row>
    <row r="438" spans="1:12" ht="13.5">
      <c r="A438" s="1406">
        <v>21700</v>
      </c>
      <c r="B438" s="1405">
        <v>21750</v>
      </c>
      <c r="C438" s="4809">
        <v>0</v>
      </c>
      <c r="D438" s="1406">
        <v>3969</v>
      </c>
      <c r="E438" s="1406">
        <v>6569</v>
      </c>
      <c r="F438" s="1405">
        <v>7395</v>
      </c>
      <c r="G438" s="4809">
        <v>190</v>
      </c>
      <c r="H438" s="1406">
        <v>3995</v>
      </c>
      <c r="I438" s="1406">
        <v>6604</v>
      </c>
      <c r="J438" s="1405">
        <v>7430</v>
      </c>
      <c r="K438" s="1282"/>
      <c r="L438" s="1406">
        <f t="shared" si="8"/>
        <v>21725</v>
      </c>
    </row>
    <row r="439" spans="1:12" ht="13.5">
      <c r="A439" s="1406">
        <v>21750</v>
      </c>
      <c r="B439" s="1405">
        <v>21800</v>
      </c>
      <c r="C439" s="4809">
        <v>0</v>
      </c>
      <c r="D439" s="1406">
        <v>3961</v>
      </c>
      <c r="E439" s="1406">
        <v>6559</v>
      </c>
      <c r="F439" s="1405">
        <v>7384</v>
      </c>
      <c r="G439" s="4809">
        <v>186</v>
      </c>
      <c r="H439" s="1406">
        <v>3995</v>
      </c>
      <c r="I439" s="1406">
        <v>6604</v>
      </c>
      <c r="J439" s="1405">
        <v>7430</v>
      </c>
      <c r="K439" s="1282"/>
      <c r="L439" s="1406">
        <f t="shared" si="8"/>
        <v>21775</v>
      </c>
    </row>
    <row r="440" spans="1:12" ht="13.5">
      <c r="A440" s="1406">
        <v>21800</v>
      </c>
      <c r="B440" s="1405">
        <v>21850</v>
      </c>
      <c r="C440" s="4809">
        <v>0</v>
      </c>
      <c r="D440" s="1406">
        <v>3953</v>
      </c>
      <c r="E440" s="1406">
        <v>6548</v>
      </c>
      <c r="F440" s="1405">
        <v>7374</v>
      </c>
      <c r="G440" s="4809">
        <v>182</v>
      </c>
      <c r="H440" s="1406">
        <v>3995</v>
      </c>
      <c r="I440" s="1406">
        <v>6604</v>
      </c>
      <c r="J440" s="1405">
        <v>7430</v>
      </c>
      <c r="K440" s="1282"/>
      <c r="L440" s="1406">
        <f t="shared" si="8"/>
        <v>21825</v>
      </c>
    </row>
    <row r="441" spans="1:12" ht="13.5">
      <c r="A441" s="1406">
        <v>21850</v>
      </c>
      <c r="B441" s="1405">
        <v>21900</v>
      </c>
      <c r="C441" s="4809">
        <v>0</v>
      </c>
      <c r="D441" s="1406">
        <v>3945</v>
      </c>
      <c r="E441" s="1406">
        <v>6538</v>
      </c>
      <c r="F441" s="1405">
        <v>7363</v>
      </c>
      <c r="G441" s="4809">
        <v>179</v>
      </c>
      <c r="H441" s="1406">
        <v>3995</v>
      </c>
      <c r="I441" s="1406">
        <v>6604</v>
      </c>
      <c r="J441" s="1405">
        <v>7430</v>
      </c>
      <c r="K441" s="1282"/>
      <c r="L441" s="1406">
        <f t="shared" si="8"/>
        <v>21875</v>
      </c>
    </row>
    <row r="442" spans="1:12" ht="13.5">
      <c r="A442" s="1406">
        <v>21900</v>
      </c>
      <c r="B442" s="1405">
        <v>21950</v>
      </c>
      <c r="C442" s="4809">
        <v>0</v>
      </c>
      <c r="D442" s="1406">
        <v>3937</v>
      </c>
      <c r="E442" s="1406">
        <v>6527</v>
      </c>
      <c r="F442" s="1405">
        <v>7353</v>
      </c>
      <c r="G442" s="4809">
        <v>175</v>
      </c>
      <c r="H442" s="1406">
        <v>3995</v>
      </c>
      <c r="I442" s="1406">
        <v>6604</v>
      </c>
      <c r="J442" s="1405">
        <v>7430</v>
      </c>
      <c r="K442" s="1282"/>
      <c r="L442" s="1406">
        <f t="shared" si="8"/>
        <v>21925</v>
      </c>
    </row>
    <row r="443" spans="1:12" ht="13.5">
      <c r="A443" s="1406">
        <v>21950</v>
      </c>
      <c r="B443" s="1405">
        <v>22000</v>
      </c>
      <c r="C443" s="4809">
        <v>0</v>
      </c>
      <c r="D443" s="1406">
        <v>3929</v>
      </c>
      <c r="E443" s="1406">
        <v>6517</v>
      </c>
      <c r="F443" s="1405">
        <v>7342</v>
      </c>
      <c r="G443" s="4809">
        <v>171</v>
      </c>
      <c r="H443" s="1406">
        <v>3995</v>
      </c>
      <c r="I443" s="1406">
        <v>6604</v>
      </c>
      <c r="J443" s="1405">
        <v>7430</v>
      </c>
      <c r="K443" s="1282"/>
      <c r="L443" s="1406">
        <f t="shared" si="8"/>
        <v>21975</v>
      </c>
    </row>
    <row r="444" spans="1:12" ht="13.5">
      <c r="A444" s="1406">
        <v>22000</v>
      </c>
      <c r="B444" s="1405">
        <v>22050</v>
      </c>
      <c r="C444" s="4809">
        <v>0</v>
      </c>
      <c r="D444" s="1406">
        <v>3921</v>
      </c>
      <c r="E444" s="1406">
        <v>6506</v>
      </c>
      <c r="F444" s="1405">
        <v>7332</v>
      </c>
      <c r="G444" s="4809">
        <v>167</v>
      </c>
      <c r="H444" s="1406">
        <v>3995</v>
      </c>
      <c r="I444" s="1406">
        <v>6604</v>
      </c>
      <c r="J444" s="1405">
        <v>7430</v>
      </c>
      <c r="K444" s="1282"/>
      <c r="L444" s="1406">
        <f t="shared" si="8"/>
        <v>22025</v>
      </c>
    </row>
    <row r="445" spans="1:12" ht="13.5">
      <c r="A445" s="1406">
        <v>22050</v>
      </c>
      <c r="B445" s="1405">
        <v>22100</v>
      </c>
      <c r="C445" s="4809">
        <v>0</v>
      </c>
      <c r="D445" s="1406">
        <v>3913</v>
      </c>
      <c r="E445" s="1406">
        <v>6496</v>
      </c>
      <c r="F445" s="1405">
        <v>7321</v>
      </c>
      <c r="G445" s="4809">
        <v>163</v>
      </c>
      <c r="H445" s="1406">
        <v>3995</v>
      </c>
      <c r="I445" s="1406">
        <v>6604</v>
      </c>
      <c r="J445" s="1405">
        <v>7430</v>
      </c>
      <c r="K445" s="1282"/>
      <c r="L445" s="1406">
        <f t="shared" si="8"/>
        <v>22075</v>
      </c>
    </row>
    <row r="446" spans="1:12" ht="13.5">
      <c r="A446" s="1406">
        <v>22100</v>
      </c>
      <c r="B446" s="1405">
        <v>22150</v>
      </c>
      <c r="C446" s="4809">
        <v>0</v>
      </c>
      <c r="D446" s="1406">
        <v>3905</v>
      </c>
      <c r="E446" s="1406">
        <v>6485</v>
      </c>
      <c r="F446" s="1405">
        <v>7311</v>
      </c>
      <c r="G446" s="4809">
        <v>160</v>
      </c>
      <c r="H446" s="1406">
        <v>3995</v>
      </c>
      <c r="I446" s="1406">
        <v>6604</v>
      </c>
      <c r="J446" s="1405">
        <v>7430</v>
      </c>
      <c r="K446" s="1282"/>
      <c r="L446" s="1406">
        <f t="shared" si="8"/>
        <v>22125</v>
      </c>
    </row>
    <row r="447" spans="1:12" ht="13.5">
      <c r="A447" s="1406">
        <v>22150</v>
      </c>
      <c r="B447" s="1405">
        <v>22200</v>
      </c>
      <c r="C447" s="4809">
        <v>0</v>
      </c>
      <c r="D447" s="1406">
        <v>3897</v>
      </c>
      <c r="E447" s="1406">
        <v>6474</v>
      </c>
      <c r="F447" s="1405">
        <v>7300</v>
      </c>
      <c r="G447" s="4809">
        <v>156</v>
      </c>
      <c r="H447" s="1406">
        <v>3995</v>
      </c>
      <c r="I447" s="1406">
        <v>6604</v>
      </c>
      <c r="J447" s="1405">
        <v>7430</v>
      </c>
      <c r="K447" s="1282"/>
      <c r="L447" s="1406">
        <f t="shared" si="8"/>
        <v>22175</v>
      </c>
    </row>
    <row r="448" spans="1:12" ht="13.5">
      <c r="A448" s="1406">
        <v>22200</v>
      </c>
      <c r="B448" s="1405">
        <v>22250</v>
      </c>
      <c r="C448" s="4809">
        <v>0</v>
      </c>
      <c r="D448" s="1406">
        <v>3889</v>
      </c>
      <c r="E448" s="1406">
        <v>6464</v>
      </c>
      <c r="F448" s="1405">
        <v>7289</v>
      </c>
      <c r="G448" s="4809">
        <v>152</v>
      </c>
      <c r="H448" s="1406">
        <v>3995</v>
      </c>
      <c r="I448" s="1406">
        <v>6604</v>
      </c>
      <c r="J448" s="1405">
        <v>7430</v>
      </c>
      <c r="K448" s="1282"/>
      <c r="L448" s="1406">
        <f t="shared" si="8"/>
        <v>22225</v>
      </c>
    </row>
    <row r="449" spans="1:12" ht="13.5">
      <c r="A449" s="1406">
        <v>22250</v>
      </c>
      <c r="B449" s="1405">
        <v>22300</v>
      </c>
      <c r="C449" s="4809">
        <v>0</v>
      </c>
      <c r="D449" s="1406">
        <v>3881</v>
      </c>
      <c r="E449" s="1406">
        <v>6453</v>
      </c>
      <c r="F449" s="1405">
        <v>7279</v>
      </c>
      <c r="G449" s="4809">
        <v>148</v>
      </c>
      <c r="H449" s="1406">
        <v>3995</v>
      </c>
      <c r="I449" s="1406">
        <v>6604</v>
      </c>
      <c r="J449" s="1405">
        <v>7430</v>
      </c>
      <c r="K449" s="1282"/>
      <c r="L449" s="1406">
        <f t="shared" si="8"/>
        <v>22275</v>
      </c>
    </row>
    <row r="450" spans="1:12" ht="13.5">
      <c r="A450" s="1406">
        <v>22300</v>
      </c>
      <c r="B450" s="1405">
        <v>22350</v>
      </c>
      <c r="C450" s="4809">
        <v>0</v>
      </c>
      <c r="D450" s="1406">
        <v>3873</v>
      </c>
      <c r="E450" s="1406">
        <v>6443</v>
      </c>
      <c r="F450" s="1405">
        <v>7268</v>
      </c>
      <c r="G450" s="4809">
        <v>144</v>
      </c>
      <c r="H450" s="1406">
        <v>3995</v>
      </c>
      <c r="I450" s="1406">
        <v>6604</v>
      </c>
      <c r="J450" s="1405">
        <v>7430</v>
      </c>
      <c r="K450" s="1282"/>
      <c r="L450" s="1406">
        <f t="shared" si="8"/>
        <v>22325</v>
      </c>
    </row>
    <row r="451" spans="1:12" ht="13.5">
      <c r="A451" s="1406">
        <v>22350</v>
      </c>
      <c r="B451" s="1405">
        <v>22400</v>
      </c>
      <c r="C451" s="4809">
        <v>0</v>
      </c>
      <c r="D451" s="1406">
        <v>3865</v>
      </c>
      <c r="E451" s="1406">
        <v>6432</v>
      </c>
      <c r="F451" s="1405">
        <v>7258</v>
      </c>
      <c r="G451" s="4809">
        <v>140</v>
      </c>
      <c r="H451" s="1406">
        <v>3995</v>
      </c>
      <c r="I451" s="1406">
        <v>6604</v>
      </c>
      <c r="J451" s="1405">
        <v>7430</v>
      </c>
      <c r="K451" s="1282"/>
      <c r="L451" s="1406">
        <f t="shared" si="8"/>
        <v>22375</v>
      </c>
    </row>
    <row r="452" spans="1:12" ht="13.5">
      <c r="A452" s="1406">
        <v>22400</v>
      </c>
      <c r="B452" s="1405">
        <v>22450</v>
      </c>
      <c r="C452" s="4809">
        <v>0</v>
      </c>
      <c r="D452" s="1406">
        <v>3857</v>
      </c>
      <c r="E452" s="1406">
        <v>6422</v>
      </c>
      <c r="F452" s="1405">
        <v>7247</v>
      </c>
      <c r="G452" s="4809">
        <v>137</v>
      </c>
      <c r="H452" s="1406">
        <v>3995</v>
      </c>
      <c r="I452" s="1406">
        <v>6604</v>
      </c>
      <c r="J452" s="1405">
        <v>7430</v>
      </c>
      <c r="K452" s="1282"/>
      <c r="L452" s="1406">
        <f t="shared" si="8"/>
        <v>22425</v>
      </c>
    </row>
    <row r="453" spans="1:12" ht="13.5">
      <c r="A453" s="1406">
        <v>22450</v>
      </c>
      <c r="B453" s="1405">
        <v>22500</v>
      </c>
      <c r="C453" s="4809">
        <v>0</v>
      </c>
      <c r="D453" s="1406">
        <v>3849</v>
      </c>
      <c r="E453" s="1406">
        <v>6411</v>
      </c>
      <c r="F453" s="1405">
        <v>7237</v>
      </c>
      <c r="G453" s="4809">
        <v>133</v>
      </c>
      <c r="H453" s="1406">
        <v>3995</v>
      </c>
      <c r="I453" s="1406">
        <v>6604</v>
      </c>
      <c r="J453" s="1405">
        <v>7430</v>
      </c>
      <c r="K453" s="1282"/>
      <c r="L453" s="1406">
        <f t="shared" ref="L453:L516" si="9">ROUND((A453+B453)/2,2)</f>
        <v>22475</v>
      </c>
    </row>
    <row r="454" spans="1:12" ht="13.5">
      <c r="A454" s="1406">
        <v>22500</v>
      </c>
      <c r="B454" s="1405">
        <v>22550</v>
      </c>
      <c r="C454" s="4809">
        <v>0</v>
      </c>
      <c r="D454" s="1406">
        <v>3841</v>
      </c>
      <c r="E454" s="1406">
        <v>6401</v>
      </c>
      <c r="F454" s="1405">
        <v>7226</v>
      </c>
      <c r="G454" s="4809">
        <v>129</v>
      </c>
      <c r="H454" s="1406">
        <v>3995</v>
      </c>
      <c r="I454" s="1406">
        <v>6604</v>
      </c>
      <c r="J454" s="1405">
        <v>7430</v>
      </c>
      <c r="K454" s="1282"/>
      <c r="L454" s="1406">
        <f t="shared" si="9"/>
        <v>22525</v>
      </c>
    </row>
    <row r="455" spans="1:12" ht="13.5">
      <c r="A455" s="1406">
        <v>22550</v>
      </c>
      <c r="B455" s="1405">
        <v>22600</v>
      </c>
      <c r="C455" s="4809">
        <v>0</v>
      </c>
      <c r="D455" s="1406">
        <v>3833</v>
      </c>
      <c r="E455" s="1406">
        <v>6390</v>
      </c>
      <c r="F455" s="1405">
        <v>7216</v>
      </c>
      <c r="G455" s="4809">
        <v>125</v>
      </c>
      <c r="H455" s="1406">
        <v>3995</v>
      </c>
      <c r="I455" s="1406">
        <v>6604</v>
      </c>
      <c r="J455" s="1405">
        <v>7430</v>
      </c>
      <c r="K455" s="1282"/>
      <c r="L455" s="1406">
        <f t="shared" si="9"/>
        <v>22575</v>
      </c>
    </row>
    <row r="456" spans="1:12" ht="13.5">
      <c r="A456" s="1406">
        <v>22600</v>
      </c>
      <c r="B456" s="1405">
        <v>22650</v>
      </c>
      <c r="C456" s="4809">
        <v>0</v>
      </c>
      <c r="D456" s="1406">
        <v>3825</v>
      </c>
      <c r="E456" s="1406">
        <v>6380</v>
      </c>
      <c r="F456" s="1405">
        <v>7205</v>
      </c>
      <c r="G456" s="4809">
        <v>121</v>
      </c>
      <c r="H456" s="1406">
        <v>3995</v>
      </c>
      <c r="I456" s="1406">
        <v>6604</v>
      </c>
      <c r="J456" s="1405">
        <v>7430</v>
      </c>
      <c r="K456" s="1282"/>
      <c r="L456" s="1406">
        <f t="shared" si="9"/>
        <v>22625</v>
      </c>
    </row>
    <row r="457" spans="1:12" ht="13.5">
      <c r="A457" s="1406">
        <v>22650</v>
      </c>
      <c r="B457" s="1405">
        <v>22700</v>
      </c>
      <c r="C457" s="4809">
        <v>0</v>
      </c>
      <c r="D457" s="1406">
        <v>3817</v>
      </c>
      <c r="E457" s="1406">
        <v>6369</v>
      </c>
      <c r="F457" s="1405">
        <v>7195</v>
      </c>
      <c r="G457" s="4809">
        <v>117</v>
      </c>
      <c r="H457" s="1406">
        <v>3995</v>
      </c>
      <c r="I457" s="1406">
        <v>6604</v>
      </c>
      <c r="J457" s="1405">
        <v>7430</v>
      </c>
      <c r="K457" s="1282"/>
      <c r="L457" s="1406">
        <f t="shared" si="9"/>
        <v>22675</v>
      </c>
    </row>
    <row r="458" spans="1:12" ht="13.5">
      <c r="A458" s="1406">
        <v>22700</v>
      </c>
      <c r="B458" s="1405">
        <v>22750</v>
      </c>
      <c r="C458" s="4809">
        <v>0</v>
      </c>
      <c r="D458" s="1406">
        <v>3809</v>
      </c>
      <c r="E458" s="1406">
        <v>6359</v>
      </c>
      <c r="F458" s="1405">
        <v>7184</v>
      </c>
      <c r="G458" s="4809">
        <v>114</v>
      </c>
      <c r="H458" s="1406">
        <v>3995</v>
      </c>
      <c r="I458" s="1406">
        <v>6604</v>
      </c>
      <c r="J458" s="1405">
        <v>7430</v>
      </c>
      <c r="K458" s="1282"/>
      <c r="L458" s="1406">
        <f t="shared" si="9"/>
        <v>22725</v>
      </c>
    </row>
    <row r="459" spans="1:12" ht="13.5">
      <c r="A459" s="1406">
        <v>22750</v>
      </c>
      <c r="B459" s="1405">
        <v>22800</v>
      </c>
      <c r="C459" s="4809">
        <v>0</v>
      </c>
      <c r="D459" s="1406">
        <v>3801</v>
      </c>
      <c r="E459" s="1406">
        <v>6348</v>
      </c>
      <c r="F459" s="1405">
        <v>7174</v>
      </c>
      <c r="G459" s="4809">
        <v>110</v>
      </c>
      <c r="H459" s="1406">
        <v>3995</v>
      </c>
      <c r="I459" s="1406">
        <v>6604</v>
      </c>
      <c r="J459" s="1405">
        <v>7430</v>
      </c>
      <c r="K459" s="1282"/>
      <c r="L459" s="1406">
        <f t="shared" si="9"/>
        <v>22775</v>
      </c>
    </row>
    <row r="460" spans="1:12" ht="13.5">
      <c r="A460" s="1406">
        <v>22800</v>
      </c>
      <c r="B460" s="1405">
        <v>22850</v>
      </c>
      <c r="C460" s="4809">
        <v>0</v>
      </c>
      <c r="D460" s="1406">
        <v>3793</v>
      </c>
      <c r="E460" s="1406">
        <v>6338</v>
      </c>
      <c r="F460" s="1405">
        <v>7163</v>
      </c>
      <c r="G460" s="4809">
        <v>106</v>
      </c>
      <c r="H460" s="1406">
        <v>3995</v>
      </c>
      <c r="I460" s="1406">
        <v>6604</v>
      </c>
      <c r="J460" s="1405">
        <v>7430</v>
      </c>
      <c r="K460" s="1282"/>
      <c r="L460" s="1406">
        <f t="shared" si="9"/>
        <v>22825</v>
      </c>
    </row>
    <row r="461" spans="1:12" ht="13.5">
      <c r="A461" s="1406">
        <v>22850</v>
      </c>
      <c r="B461" s="1405">
        <v>22900</v>
      </c>
      <c r="C461" s="4809">
        <v>0</v>
      </c>
      <c r="D461" s="1406">
        <v>3785</v>
      </c>
      <c r="E461" s="1406">
        <v>6327</v>
      </c>
      <c r="F461" s="1405">
        <v>7153</v>
      </c>
      <c r="G461" s="4809">
        <v>102</v>
      </c>
      <c r="H461" s="1406">
        <v>3995</v>
      </c>
      <c r="I461" s="1406">
        <v>6604</v>
      </c>
      <c r="J461" s="1405">
        <v>7430</v>
      </c>
      <c r="K461" s="1282"/>
      <c r="L461" s="1406">
        <f t="shared" si="9"/>
        <v>22875</v>
      </c>
    </row>
    <row r="462" spans="1:12" ht="13.5">
      <c r="A462" s="1406">
        <v>22900</v>
      </c>
      <c r="B462" s="1405">
        <v>22950</v>
      </c>
      <c r="C462" s="4809">
        <v>0</v>
      </c>
      <c r="D462" s="1406">
        <v>3777</v>
      </c>
      <c r="E462" s="1406">
        <v>6317</v>
      </c>
      <c r="F462" s="1405">
        <v>7142</v>
      </c>
      <c r="G462" s="4809">
        <v>98</v>
      </c>
      <c r="H462" s="1406">
        <v>3995</v>
      </c>
      <c r="I462" s="1406">
        <v>6604</v>
      </c>
      <c r="J462" s="1405">
        <v>7430</v>
      </c>
      <c r="K462" s="1282"/>
      <c r="L462" s="1406">
        <f t="shared" si="9"/>
        <v>22925</v>
      </c>
    </row>
    <row r="463" spans="1:12" ht="13.5">
      <c r="A463" s="1406">
        <v>22950</v>
      </c>
      <c r="B463" s="1405">
        <v>23000</v>
      </c>
      <c r="C463" s="4809">
        <v>0</v>
      </c>
      <c r="D463" s="1406">
        <v>3769</v>
      </c>
      <c r="E463" s="1406">
        <v>6306</v>
      </c>
      <c r="F463" s="1405">
        <v>7132</v>
      </c>
      <c r="G463" s="4809">
        <v>94</v>
      </c>
      <c r="H463" s="1406">
        <v>3995</v>
      </c>
      <c r="I463" s="1406">
        <v>6604</v>
      </c>
      <c r="J463" s="1405">
        <v>7430</v>
      </c>
      <c r="K463" s="1282"/>
      <c r="L463" s="1406">
        <f t="shared" si="9"/>
        <v>22975</v>
      </c>
    </row>
    <row r="464" spans="1:12" ht="13.5">
      <c r="A464" s="1406">
        <v>23000</v>
      </c>
      <c r="B464" s="1405">
        <v>23050</v>
      </c>
      <c r="C464" s="4809">
        <v>0</v>
      </c>
      <c r="D464" s="1406">
        <v>3761</v>
      </c>
      <c r="E464" s="1406">
        <v>6295</v>
      </c>
      <c r="F464" s="1405">
        <v>7121</v>
      </c>
      <c r="G464" s="4809">
        <v>91</v>
      </c>
      <c r="H464" s="1406">
        <v>3995</v>
      </c>
      <c r="I464" s="1406">
        <v>6604</v>
      </c>
      <c r="J464" s="1405">
        <v>7430</v>
      </c>
      <c r="K464" s="1282"/>
      <c r="L464" s="1406">
        <f t="shared" si="9"/>
        <v>23025</v>
      </c>
    </row>
    <row r="465" spans="1:12" ht="13.5">
      <c r="A465" s="1406">
        <v>23050</v>
      </c>
      <c r="B465" s="1405">
        <v>23100</v>
      </c>
      <c r="C465" s="4809">
        <v>0</v>
      </c>
      <c r="D465" s="1406">
        <v>3753</v>
      </c>
      <c r="E465" s="1406">
        <v>6285</v>
      </c>
      <c r="F465" s="1405">
        <v>7110</v>
      </c>
      <c r="G465" s="4809">
        <v>87</v>
      </c>
      <c r="H465" s="1406">
        <v>3995</v>
      </c>
      <c r="I465" s="1406">
        <v>6604</v>
      </c>
      <c r="J465" s="1405">
        <v>7430</v>
      </c>
      <c r="K465" s="1282"/>
      <c r="L465" s="1406">
        <f t="shared" si="9"/>
        <v>23075</v>
      </c>
    </row>
    <row r="466" spans="1:12" ht="13.5">
      <c r="A466" s="1406">
        <v>23100</v>
      </c>
      <c r="B466" s="1405">
        <v>23150</v>
      </c>
      <c r="C466" s="4809">
        <v>0</v>
      </c>
      <c r="D466" s="1406">
        <v>3745</v>
      </c>
      <c r="E466" s="1406">
        <v>6274</v>
      </c>
      <c r="F466" s="1405">
        <v>7100</v>
      </c>
      <c r="G466" s="4809">
        <v>83</v>
      </c>
      <c r="H466" s="1406">
        <v>3995</v>
      </c>
      <c r="I466" s="1406">
        <v>6604</v>
      </c>
      <c r="J466" s="1405">
        <v>7430</v>
      </c>
      <c r="K466" s="1282"/>
      <c r="L466" s="1406">
        <f t="shared" si="9"/>
        <v>23125</v>
      </c>
    </row>
    <row r="467" spans="1:12" ht="13.5">
      <c r="A467" s="1406">
        <v>23150</v>
      </c>
      <c r="B467" s="1405">
        <v>23200</v>
      </c>
      <c r="C467" s="4809">
        <v>0</v>
      </c>
      <c r="D467" s="1406">
        <v>3737</v>
      </c>
      <c r="E467" s="1406">
        <v>6264</v>
      </c>
      <c r="F467" s="1405">
        <v>7089</v>
      </c>
      <c r="G467" s="4809">
        <v>79</v>
      </c>
      <c r="H467" s="1406">
        <v>3995</v>
      </c>
      <c r="I467" s="1406">
        <v>6604</v>
      </c>
      <c r="J467" s="1405">
        <v>7430</v>
      </c>
      <c r="K467" s="1282"/>
      <c r="L467" s="1406">
        <f t="shared" si="9"/>
        <v>23175</v>
      </c>
    </row>
    <row r="468" spans="1:12" ht="13.5">
      <c r="A468" s="1406">
        <v>23200</v>
      </c>
      <c r="B468" s="1405">
        <v>23250</v>
      </c>
      <c r="C468" s="4809">
        <v>0</v>
      </c>
      <c r="D468" s="1406">
        <v>3729</v>
      </c>
      <c r="E468" s="1406">
        <v>6253</v>
      </c>
      <c r="F468" s="1405">
        <v>7079</v>
      </c>
      <c r="G468" s="4809">
        <v>75</v>
      </c>
      <c r="H468" s="1406">
        <v>3995</v>
      </c>
      <c r="I468" s="1406">
        <v>6604</v>
      </c>
      <c r="J468" s="1405">
        <v>7430</v>
      </c>
      <c r="K468" s="1282"/>
      <c r="L468" s="1406">
        <f t="shared" si="9"/>
        <v>23225</v>
      </c>
    </row>
    <row r="469" spans="1:12" ht="13.5">
      <c r="A469" s="1406">
        <v>23250</v>
      </c>
      <c r="B469" s="1405">
        <v>23300</v>
      </c>
      <c r="C469" s="4809">
        <v>0</v>
      </c>
      <c r="D469" s="1406">
        <v>3721</v>
      </c>
      <c r="E469" s="1406">
        <v>6243</v>
      </c>
      <c r="F469" s="1405">
        <v>7068</v>
      </c>
      <c r="G469" s="4809">
        <v>72</v>
      </c>
      <c r="H469" s="1406">
        <v>3995</v>
      </c>
      <c r="I469" s="1406">
        <v>6604</v>
      </c>
      <c r="J469" s="1405">
        <v>7430</v>
      </c>
      <c r="K469" s="1282"/>
      <c r="L469" s="1406">
        <f t="shared" si="9"/>
        <v>23275</v>
      </c>
    </row>
    <row r="470" spans="1:12" ht="13.5">
      <c r="A470" s="1406">
        <v>23300</v>
      </c>
      <c r="B470" s="1405">
        <v>23350</v>
      </c>
      <c r="C470" s="4809">
        <v>0</v>
      </c>
      <c r="D470" s="1406">
        <v>3713</v>
      </c>
      <c r="E470" s="1406">
        <v>6232</v>
      </c>
      <c r="F470" s="1405">
        <v>7058</v>
      </c>
      <c r="G470" s="4809">
        <v>68</v>
      </c>
      <c r="H470" s="1406">
        <v>3995</v>
      </c>
      <c r="I470" s="1406">
        <v>6604</v>
      </c>
      <c r="J470" s="1405">
        <v>7430</v>
      </c>
      <c r="K470" s="1282"/>
      <c r="L470" s="1406">
        <f t="shared" si="9"/>
        <v>23325</v>
      </c>
    </row>
    <row r="471" spans="1:12" ht="13.5">
      <c r="A471" s="1406">
        <v>23350</v>
      </c>
      <c r="B471" s="1405">
        <v>23400</v>
      </c>
      <c r="C471" s="4809">
        <v>0</v>
      </c>
      <c r="D471" s="1406">
        <v>3705</v>
      </c>
      <c r="E471" s="1406">
        <v>6222</v>
      </c>
      <c r="F471" s="1405">
        <v>7047</v>
      </c>
      <c r="G471" s="4809">
        <v>64</v>
      </c>
      <c r="H471" s="1406">
        <v>3995</v>
      </c>
      <c r="I471" s="1406">
        <v>6604</v>
      </c>
      <c r="J471" s="1405">
        <v>7430</v>
      </c>
      <c r="K471" s="1282"/>
      <c r="L471" s="1406">
        <f t="shared" si="9"/>
        <v>23375</v>
      </c>
    </row>
    <row r="472" spans="1:12" ht="13.5">
      <c r="A472" s="1406">
        <v>23400</v>
      </c>
      <c r="B472" s="1405">
        <v>23450</v>
      </c>
      <c r="C472" s="4809">
        <v>0</v>
      </c>
      <c r="D472" s="1406">
        <v>3697</v>
      </c>
      <c r="E472" s="1406">
        <v>6211</v>
      </c>
      <c r="F472" s="1405">
        <v>7037</v>
      </c>
      <c r="G472" s="4809">
        <v>60</v>
      </c>
      <c r="H472" s="1406">
        <v>3995</v>
      </c>
      <c r="I472" s="1406">
        <v>6604</v>
      </c>
      <c r="J472" s="1405">
        <v>7430</v>
      </c>
      <c r="K472" s="1282"/>
      <c r="L472" s="1406">
        <f t="shared" si="9"/>
        <v>23425</v>
      </c>
    </row>
    <row r="473" spans="1:12" ht="13.5">
      <c r="A473" s="1406">
        <v>23450</v>
      </c>
      <c r="B473" s="1405">
        <v>23500</v>
      </c>
      <c r="C473" s="4809">
        <v>0</v>
      </c>
      <c r="D473" s="1406">
        <v>3689</v>
      </c>
      <c r="E473" s="1406">
        <v>6201</v>
      </c>
      <c r="F473" s="1405">
        <v>7026</v>
      </c>
      <c r="G473" s="4809">
        <v>56</v>
      </c>
      <c r="H473" s="1406">
        <v>3995</v>
      </c>
      <c r="I473" s="1406">
        <v>6604</v>
      </c>
      <c r="J473" s="1405">
        <v>7430</v>
      </c>
      <c r="K473" s="1282"/>
      <c r="L473" s="1406">
        <f t="shared" si="9"/>
        <v>23475</v>
      </c>
    </row>
    <row r="474" spans="1:12" ht="13.5">
      <c r="A474" s="1406">
        <v>23500</v>
      </c>
      <c r="B474" s="1405">
        <v>23550</v>
      </c>
      <c r="C474" s="4809">
        <v>0</v>
      </c>
      <c r="D474" s="1406">
        <v>3681</v>
      </c>
      <c r="E474" s="1406">
        <v>6190</v>
      </c>
      <c r="F474" s="1405">
        <v>7016</v>
      </c>
      <c r="G474" s="4809">
        <v>52</v>
      </c>
      <c r="H474" s="1406">
        <v>3995</v>
      </c>
      <c r="I474" s="1406">
        <v>6604</v>
      </c>
      <c r="J474" s="1405">
        <v>7430</v>
      </c>
      <c r="K474" s="1282"/>
      <c r="L474" s="1406">
        <f t="shared" si="9"/>
        <v>23525</v>
      </c>
    </row>
    <row r="475" spans="1:12" ht="13.5">
      <c r="A475" s="1406">
        <v>23550</v>
      </c>
      <c r="B475" s="1405">
        <v>23600</v>
      </c>
      <c r="C475" s="4809">
        <v>0</v>
      </c>
      <c r="D475" s="1406">
        <v>3673</v>
      </c>
      <c r="E475" s="1406">
        <v>6180</v>
      </c>
      <c r="F475" s="1405">
        <v>7005</v>
      </c>
      <c r="G475" s="4809">
        <v>49</v>
      </c>
      <c r="H475" s="1406">
        <v>3995</v>
      </c>
      <c r="I475" s="1406">
        <v>6604</v>
      </c>
      <c r="J475" s="1405">
        <v>7430</v>
      </c>
      <c r="K475" s="1282"/>
      <c r="L475" s="1406">
        <f t="shared" si="9"/>
        <v>23575</v>
      </c>
    </row>
    <row r="476" spans="1:12" ht="13.5">
      <c r="A476" s="1406">
        <v>23600</v>
      </c>
      <c r="B476" s="1405">
        <v>23650</v>
      </c>
      <c r="C476" s="4809">
        <v>0</v>
      </c>
      <c r="D476" s="1406">
        <v>3665</v>
      </c>
      <c r="E476" s="1406">
        <v>6169</v>
      </c>
      <c r="F476" s="1405">
        <v>6995</v>
      </c>
      <c r="G476" s="4809">
        <v>45</v>
      </c>
      <c r="H476" s="1406">
        <v>3995</v>
      </c>
      <c r="I476" s="1406">
        <v>6604</v>
      </c>
      <c r="J476" s="1405">
        <v>7430</v>
      </c>
      <c r="K476" s="1282"/>
      <c r="L476" s="1406">
        <f t="shared" si="9"/>
        <v>23625</v>
      </c>
    </row>
    <row r="477" spans="1:12" ht="13.5">
      <c r="A477" s="1406">
        <v>23650</v>
      </c>
      <c r="B477" s="1405">
        <v>23700</v>
      </c>
      <c r="C477" s="4809">
        <v>0</v>
      </c>
      <c r="D477" s="1406">
        <v>3657</v>
      </c>
      <c r="E477" s="1406">
        <v>6159</v>
      </c>
      <c r="F477" s="1405">
        <v>6984</v>
      </c>
      <c r="G477" s="4809">
        <v>41</v>
      </c>
      <c r="H477" s="1406">
        <v>3995</v>
      </c>
      <c r="I477" s="1406">
        <v>6604</v>
      </c>
      <c r="J477" s="1405">
        <v>7430</v>
      </c>
      <c r="K477" s="1282"/>
      <c r="L477" s="1406">
        <f t="shared" si="9"/>
        <v>23675</v>
      </c>
    </row>
    <row r="478" spans="1:12" ht="13.5">
      <c r="A478" s="1406">
        <v>23700</v>
      </c>
      <c r="B478" s="1405">
        <v>23750</v>
      </c>
      <c r="C478" s="4809">
        <v>0</v>
      </c>
      <c r="D478" s="1406">
        <v>3649</v>
      </c>
      <c r="E478" s="1406">
        <v>6148</v>
      </c>
      <c r="F478" s="1405">
        <v>6974</v>
      </c>
      <c r="G478" s="4809">
        <v>37</v>
      </c>
      <c r="H478" s="1406">
        <v>3995</v>
      </c>
      <c r="I478" s="1406">
        <v>6604</v>
      </c>
      <c r="J478" s="1405">
        <v>7430</v>
      </c>
      <c r="K478" s="1282"/>
      <c r="L478" s="1406">
        <f t="shared" si="9"/>
        <v>23725</v>
      </c>
    </row>
    <row r="479" spans="1:12" ht="13.5">
      <c r="A479" s="1406">
        <v>23750</v>
      </c>
      <c r="B479" s="1405">
        <v>23800</v>
      </c>
      <c r="C479" s="4809">
        <v>0</v>
      </c>
      <c r="D479" s="1406">
        <v>3641</v>
      </c>
      <c r="E479" s="1406">
        <v>6138</v>
      </c>
      <c r="F479" s="1405">
        <v>6963</v>
      </c>
      <c r="G479" s="4809">
        <v>33</v>
      </c>
      <c r="H479" s="1406">
        <v>3995</v>
      </c>
      <c r="I479" s="1406">
        <v>6604</v>
      </c>
      <c r="J479" s="1405">
        <v>7430</v>
      </c>
      <c r="K479" s="1282"/>
      <c r="L479" s="1406">
        <f t="shared" si="9"/>
        <v>23775</v>
      </c>
    </row>
    <row r="480" spans="1:12" ht="13.5">
      <c r="A480" s="1406">
        <v>23800</v>
      </c>
      <c r="B480" s="1405">
        <v>23850</v>
      </c>
      <c r="C480" s="4809">
        <v>0</v>
      </c>
      <c r="D480" s="1406">
        <v>3633</v>
      </c>
      <c r="E480" s="1406">
        <v>6127</v>
      </c>
      <c r="F480" s="1405">
        <v>6952</v>
      </c>
      <c r="G480" s="4809">
        <v>29</v>
      </c>
      <c r="H480" s="1406">
        <v>3995</v>
      </c>
      <c r="I480" s="1406">
        <v>6604</v>
      </c>
      <c r="J480" s="1405">
        <v>7430</v>
      </c>
      <c r="K480" s="1282"/>
      <c r="L480" s="1406">
        <f t="shared" si="9"/>
        <v>23825</v>
      </c>
    </row>
    <row r="481" spans="1:12" ht="13.5">
      <c r="A481" s="1406">
        <v>23850</v>
      </c>
      <c r="B481" s="1405">
        <v>23900</v>
      </c>
      <c r="C481" s="4809">
        <v>0</v>
      </c>
      <c r="D481" s="1406">
        <v>3625</v>
      </c>
      <c r="E481" s="1406">
        <v>6116</v>
      </c>
      <c r="F481" s="1405">
        <v>6942</v>
      </c>
      <c r="G481" s="4809">
        <v>26</v>
      </c>
      <c r="H481" s="1406">
        <v>3995</v>
      </c>
      <c r="I481" s="1406">
        <v>6604</v>
      </c>
      <c r="J481" s="1405">
        <v>7430</v>
      </c>
      <c r="K481" s="1282"/>
      <c r="L481" s="1406">
        <f t="shared" si="9"/>
        <v>23875</v>
      </c>
    </row>
    <row r="482" spans="1:12" ht="13.5">
      <c r="A482" s="1406">
        <v>23900</v>
      </c>
      <c r="B482" s="1405">
        <v>23950</v>
      </c>
      <c r="C482" s="4809">
        <v>0</v>
      </c>
      <c r="D482" s="1406">
        <v>3617</v>
      </c>
      <c r="E482" s="1406">
        <v>6106</v>
      </c>
      <c r="F482" s="1405">
        <v>6931</v>
      </c>
      <c r="G482" s="4809">
        <v>22</v>
      </c>
      <c r="H482" s="1406">
        <v>3995</v>
      </c>
      <c r="I482" s="1406">
        <v>6604</v>
      </c>
      <c r="J482" s="1405">
        <v>7430</v>
      </c>
      <c r="K482" s="1282"/>
      <c r="L482" s="1406">
        <f t="shared" si="9"/>
        <v>23925</v>
      </c>
    </row>
    <row r="483" spans="1:12" ht="13.5">
      <c r="A483" s="1406">
        <v>23950</v>
      </c>
      <c r="B483" s="1405">
        <v>24000</v>
      </c>
      <c r="C483" s="4809">
        <v>0</v>
      </c>
      <c r="D483" s="1406">
        <v>3609</v>
      </c>
      <c r="E483" s="1406">
        <v>6095</v>
      </c>
      <c r="F483" s="1405">
        <v>6921</v>
      </c>
      <c r="G483" s="4809">
        <v>18</v>
      </c>
      <c r="H483" s="1406">
        <v>3995</v>
      </c>
      <c r="I483" s="1406">
        <v>6604</v>
      </c>
      <c r="J483" s="1405">
        <v>7430</v>
      </c>
      <c r="K483" s="1282"/>
      <c r="L483" s="1406">
        <f t="shared" si="9"/>
        <v>23975</v>
      </c>
    </row>
    <row r="484" spans="1:12" ht="13.5">
      <c r="A484" s="1406">
        <v>24000</v>
      </c>
      <c r="B484" s="1405">
        <v>24050</v>
      </c>
      <c r="C484" s="4809">
        <v>0</v>
      </c>
      <c r="D484" s="1406">
        <v>3601</v>
      </c>
      <c r="E484" s="1406">
        <v>6085</v>
      </c>
      <c r="F484" s="1405">
        <v>6910</v>
      </c>
      <c r="G484" s="4809">
        <v>14</v>
      </c>
      <c r="H484" s="1406">
        <v>3995</v>
      </c>
      <c r="I484" s="1406">
        <v>6604</v>
      </c>
      <c r="J484" s="1405">
        <v>7430</v>
      </c>
      <c r="K484" s="1282"/>
      <c r="L484" s="1406">
        <f t="shared" si="9"/>
        <v>24025</v>
      </c>
    </row>
    <row r="485" spans="1:12" ht="13.5">
      <c r="A485" s="1406">
        <v>24050</v>
      </c>
      <c r="B485" s="1405">
        <v>24100</v>
      </c>
      <c r="C485" s="4809">
        <v>0</v>
      </c>
      <c r="D485" s="1406">
        <v>3593</v>
      </c>
      <c r="E485" s="1406">
        <v>6074</v>
      </c>
      <c r="F485" s="1405">
        <v>6900</v>
      </c>
      <c r="G485" s="4809">
        <v>10</v>
      </c>
      <c r="H485" s="1406">
        <v>3995</v>
      </c>
      <c r="I485" s="1406">
        <v>6604</v>
      </c>
      <c r="J485" s="1405">
        <v>7430</v>
      </c>
      <c r="K485" s="1282"/>
      <c r="L485" s="1406">
        <f t="shared" si="9"/>
        <v>24075</v>
      </c>
    </row>
    <row r="486" spans="1:12" ht="13.5">
      <c r="A486" s="1406">
        <v>24100</v>
      </c>
      <c r="B486" s="1405">
        <v>24150</v>
      </c>
      <c r="C486" s="4809">
        <v>0</v>
      </c>
      <c r="D486" s="1406">
        <v>3585</v>
      </c>
      <c r="E486" s="1406">
        <v>6064</v>
      </c>
      <c r="F486" s="1405">
        <v>6889</v>
      </c>
      <c r="G486" s="4809">
        <v>7</v>
      </c>
      <c r="H486" s="1406">
        <v>3995</v>
      </c>
      <c r="I486" s="1406">
        <v>6604</v>
      </c>
      <c r="J486" s="1405">
        <v>7430</v>
      </c>
      <c r="K486" s="1282"/>
      <c r="L486" s="1406">
        <f t="shared" si="9"/>
        <v>24125</v>
      </c>
    </row>
    <row r="487" spans="1:12" ht="13.5">
      <c r="A487" s="1406">
        <v>24150</v>
      </c>
      <c r="B487" s="1405">
        <v>24200</v>
      </c>
      <c r="C487" s="4809">
        <v>0</v>
      </c>
      <c r="D487" s="1406">
        <v>3577</v>
      </c>
      <c r="E487" s="1406">
        <v>6053</v>
      </c>
      <c r="F487" s="1405">
        <v>6879</v>
      </c>
      <c r="G487" s="4809">
        <v>3</v>
      </c>
      <c r="H487" s="1406">
        <v>3995</v>
      </c>
      <c r="I487" s="1406">
        <v>6604</v>
      </c>
      <c r="J487" s="1405">
        <v>7430</v>
      </c>
      <c r="K487" s="1282"/>
      <c r="L487" s="1406">
        <f t="shared" si="9"/>
        <v>24175</v>
      </c>
    </row>
    <row r="488" spans="1:12" ht="13.5">
      <c r="A488" s="1406">
        <v>24200</v>
      </c>
      <c r="B488" s="1405">
        <v>24250</v>
      </c>
      <c r="C488" s="4809">
        <v>0</v>
      </c>
      <c r="D488" s="1406">
        <v>3569</v>
      </c>
      <c r="E488" s="1406">
        <v>6043</v>
      </c>
      <c r="F488" s="1405">
        <v>6868</v>
      </c>
      <c r="G488" s="4809">
        <v>0</v>
      </c>
      <c r="H488" s="1406">
        <v>3995</v>
      </c>
      <c r="I488" s="1406">
        <v>6604</v>
      </c>
      <c r="J488" s="1405">
        <v>7430</v>
      </c>
      <c r="K488" s="1282"/>
      <c r="L488" s="1406">
        <f t="shared" si="9"/>
        <v>24225</v>
      </c>
    </row>
    <row r="489" spans="1:12" ht="13.5">
      <c r="A489" s="1406">
        <v>24250</v>
      </c>
      <c r="B489" s="1405">
        <v>24300</v>
      </c>
      <c r="C489" s="4809">
        <v>0</v>
      </c>
      <c r="D489" s="1406">
        <v>3561</v>
      </c>
      <c r="E489" s="1406">
        <v>6032</v>
      </c>
      <c r="F489" s="1405">
        <v>6858</v>
      </c>
      <c r="G489" s="4809">
        <v>0</v>
      </c>
      <c r="H489" s="1406">
        <v>3995</v>
      </c>
      <c r="I489" s="1406">
        <v>6604</v>
      </c>
      <c r="J489" s="1405">
        <v>7430</v>
      </c>
      <c r="K489" s="1282"/>
      <c r="L489" s="1406">
        <f t="shared" si="9"/>
        <v>24275</v>
      </c>
    </row>
    <row r="490" spans="1:12" ht="13.5">
      <c r="A490" s="1406">
        <v>24300</v>
      </c>
      <c r="B490" s="1405">
        <v>24350</v>
      </c>
      <c r="C490" s="4809">
        <v>0</v>
      </c>
      <c r="D490" s="1406">
        <v>3553</v>
      </c>
      <c r="E490" s="1406">
        <v>6022</v>
      </c>
      <c r="F490" s="1405">
        <v>6847</v>
      </c>
      <c r="G490" s="4809">
        <v>0</v>
      </c>
      <c r="H490" s="1406">
        <v>3995</v>
      </c>
      <c r="I490" s="1406">
        <v>6604</v>
      </c>
      <c r="J490" s="1405">
        <v>7430</v>
      </c>
      <c r="K490" s="1282"/>
      <c r="L490" s="1406">
        <f t="shared" si="9"/>
        <v>24325</v>
      </c>
    </row>
    <row r="491" spans="1:12" ht="13.5">
      <c r="A491" s="1406">
        <v>24350</v>
      </c>
      <c r="B491" s="1405">
        <v>24400</v>
      </c>
      <c r="C491" s="4809">
        <v>0</v>
      </c>
      <c r="D491" s="1406">
        <v>3545</v>
      </c>
      <c r="E491" s="1406">
        <v>6011</v>
      </c>
      <c r="F491" s="1405">
        <v>6837</v>
      </c>
      <c r="G491" s="4809">
        <v>0</v>
      </c>
      <c r="H491" s="1406">
        <v>3995</v>
      </c>
      <c r="I491" s="1406">
        <v>6604</v>
      </c>
      <c r="J491" s="1405">
        <v>7430</v>
      </c>
      <c r="K491" s="1282"/>
      <c r="L491" s="1406">
        <f t="shared" si="9"/>
        <v>24375</v>
      </c>
    </row>
    <row r="492" spans="1:12" ht="13.5">
      <c r="A492" s="1406">
        <v>24400</v>
      </c>
      <c r="B492" s="1405">
        <v>24450</v>
      </c>
      <c r="C492" s="4809">
        <v>0</v>
      </c>
      <c r="D492" s="1406">
        <v>3537</v>
      </c>
      <c r="E492" s="1406">
        <v>6001</v>
      </c>
      <c r="F492" s="1405">
        <v>6826</v>
      </c>
      <c r="G492" s="4809">
        <v>0</v>
      </c>
      <c r="H492" s="1406">
        <v>3995</v>
      </c>
      <c r="I492" s="1406">
        <v>6604</v>
      </c>
      <c r="J492" s="1405">
        <v>7430</v>
      </c>
      <c r="K492" s="1282"/>
      <c r="L492" s="1406">
        <f t="shared" si="9"/>
        <v>24425</v>
      </c>
    </row>
    <row r="493" spans="1:12" ht="13.5">
      <c r="A493" s="1406">
        <v>24450</v>
      </c>
      <c r="B493" s="1405">
        <v>24500</v>
      </c>
      <c r="C493" s="4809">
        <v>0</v>
      </c>
      <c r="D493" s="1406">
        <v>3529</v>
      </c>
      <c r="E493" s="1406">
        <v>5990</v>
      </c>
      <c r="F493" s="1405">
        <v>6816</v>
      </c>
      <c r="G493" s="4809">
        <v>0</v>
      </c>
      <c r="H493" s="1406">
        <v>3995</v>
      </c>
      <c r="I493" s="1406">
        <v>6604</v>
      </c>
      <c r="J493" s="1405">
        <v>7430</v>
      </c>
      <c r="K493" s="1282"/>
      <c r="L493" s="1406">
        <f t="shared" si="9"/>
        <v>24475</v>
      </c>
    </row>
    <row r="494" spans="1:12" ht="13.5">
      <c r="A494" s="1406">
        <v>24500</v>
      </c>
      <c r="B494" s="1405">
        <v>24550</v>
      </c>
      <c r="C494" s="4809">
        <v>0</v>
      </c>
      <c r="D494" s="1406">
        <v>3521</v>
      </c>
      <c r="E494" s="1406">
        <v>5980</v>
      </c>
      <c r="F494" s="1405">
        <v>6805</v>
      </c>
      <c r="G494" s="4809">
        <v>0</v>
      </c>
      <c r="H494" s="1406">
        <v>3995</v>
      </c>
      <c r="I494" s="1406">
        <v>6604</v>
      </c>
      <c r="J494" s="1405">
        <v>7430</v>
      </c>
      <c r="K494" s="1282"/>
      <c r="L494" s="1406">
        <f t="shared" si="9"/>
        <v>24525</v>
      </c>
    </row>
    <row r="495" spans="1:12" ht="13.5">
      <c r="A495" s="1406">
        <v>24550</v>
      </c>
      <c r="B495" s="1405">
        <v>24600</v>
      </c>
      <c r="C495" s="4809">
        <v>0</v>
      </c>
      <c r="D495" s="1406">
        <v>3513</v>
      </c>
      <c r="E495" s="1406">
        <v>5969</v>
      </c>
      <c r="F495" s="1405">
        <v>6795</v>
      </c>
      <c r="G495" s="4809">
        <v>0</v>
      </c>
      <c r="H495" s="1406">
        <v>3995</v>
      </c>
      <c r="I495" s="1406">
        <v>6604</v>
      </c>
      <c r="J495" s="1405">
        <v>7430</v>
      </c>
      <c r="K495" s="1282"/>
      <c r="L495" s="1406">
        <f t="shared" si="9"/>
        <v>24575</v>
      </c>
    </row>
    <row r="496" spans="1:12" ht="13.5">
      <c r="A496" s="1406">
        <v>24600</v>
      </c>
      <c r="B496" s="1405">
        <v>24650</v>
      </c>
      <c r="C496" s="4809">
        <v>0</v>
      </c>
      <c r="D496" s="1406">
        <v>3505</v>
      </c>
      <c r="E496" s="1406">
        <v>5959</v>
      </c>
      <c r="F496" s="1405">
        <v>6784</v>
      </c>
      <c r="G496" s="4809">
        <v>0</v>
      </c>
      <c r="H496" s="1406">
        <v>3995</v>
      </c>
      <c r="I496" s="1406">
        <v>6604</v>
      </c>
      <c r="J496" s="1405">
        <v>7430</v>
      </c>
      <c r="K496" s="1282"/>
      <c r="L496" s="1406">
        <f t="shared" si="9"/>
        <v>24625</v>
      </c>
    </row>
    <row r="497" spans="1:12" ht="13.5">
      <c r="A497" s="1406">
        <v>24650</v>
      </c>
      <c r="B497" s="1405">
        <v>24700</v>
      </c>
      <c r="C497" s="4809">
        <v>0</v>
      </c>
      <c r="D497" s="1406">
        <v>3497</v>
      </c>
      <c r="E497" s="1406">
        <v>5948</v>
      </c>
      <c r="F497" s="1405">
        <v>6773</v>
      </c>
      <c r="G497" s="4809">
        <v>0</v>
      </c>
      <c r="H497" s="1406">
        <v>3995</v>
      </c>
      <c r="I497" s="1406">
        <v>6604</v>
      </c>
      <c r="J497" s="1405">
        <v>7430</v>
      </c>
      <c r="K497" s="1282"/>
      <c r="L497" s="1406">
        <f t="shared" si="9"/>
        <v>24675</v>
      </c>
    </row>
    <row r="498" spans="1:12" ht="13.5">
      <c r="A498" s="1406">
        <v>24700</v>
      </c>
      <c r="B498" s="1405">
        <v>24750</v>
      </c>
      <c r="C498" s="4809">
        <v>0</v>
      </c>
      <c r="D498" s="1406">
        <v>3489</v>
      </c>
      <c r="E498" s="1406">
        <v>5937</v>
      </c>
      <c r="F498" s="1405">
        <v>6763</v>
      </c>
      <c r="G498" s="4809">
        <v>0</v>
      </c>
      <c r="H498" s="1406">
        <v>3995</v>
      </c>
      <c r="I498" s="1406">
        <v>6604</v>
      </c>
      <c r="J498" s="1405">
        <v>7430</v>
      </c>
      <c r="K498" s="1282"/>
      <c r="L498" s="1406">
        <f t="shared" si="9"/>
        <v>24725</v>
      </c>
    </row>
    <row r="499" spans="1:12" ht="13.5">
      <c r="A499" s="1406">
        <v>24750</v>
      </c>
      <c r="B499" s="1405">
        <v>24800</v>
      </c>
      <c r="C499" s="4809">
        <v>0</v>
      </c>
      <c r="D499" s="1406">
        <v>3481</v>
      </c>
      <c r="E499" s="1406">
        <v>5927</v>
      </c>
      <c r="F499" s="1405">
        <v>6752</v>
      </c>
      <c r="G499" s="4809">
        <v>0</v>
      </c>
      <c r="H499" s="1406">
        <v>3995</v>
      </c>
      <c r="I499" s="1406">
        <v>6604</v>
      </c>
      <c r="J499" s="1405">
        <v>7430</v>
      </c>
      <c r="K499" s="1282"/>
      <c r="L499" s="1406">
        <f t="shared" si="9"/>
        <v>24775</v>
      </c>
    </row>
    <row r="500" spans="1:12" ht="13.5">
      <c r="A500" s="1406">
        <v>24800</v>
      </c>
      <c r="B500" s="1405">
        <v>24850</v>
      </c>
      <c r="C500" s="4809">
        <v>0</v>
      </c>
      <c r="D500" s="1406">
        <v>3473</v>
      </c>
      <c r="E500" s="1406">
        <v>5916</v>
      </c>
      <c r="F500" s="1405">
        <v>6742</v>
      </c>
      <c r="G500" s="4809">
        <v>0</v>
      </c>
      <c r="H500" s="1406">
        <v>3995</v>
      </c>
      <c r="I500" s="1406">
        <v>6604</v>
      </c>
      <c r="J500" s="1405">
        <v>7430</v>
      </c>
      <c r="K500" s="1282"/>
      <c r="L500" s="1406">
        <f t="shared" si="9"/>
        <v>24825</v>
      </c>
    </row>
    <row r="501" spans="1:12" ht="13.5">
      <c r="A501" s="1406">
        <v>24850</v>
      </c>
      <c r="B501" s="1405">
        <v>24900</v>
      </c>
      <c r="C501" s="4809">
        <v>0</v>
      </c>
      <c r="D501" s="1406">
        <v>3465</v>
      </c>
      <c r="E501" s="1406">
        <v>5906</v>
      </c>
      <c r="F501" s="1405">
        <v>6731</v>
      </c>
      <c r="G501" s="4809">
        <v>0</v>
      </c>
      <c r="H501" s="1406">
        <v>3995</v>
      </c>
      <c r="I501" s="1406">
        <v>6604</v>
      </c>
      <c r="J501" s="1405">
        <v>7430</v>
      </c>
      <c r="K501" s="1282"/>
      <c r="L501" s="1406">
        <f t="shared" si="9"/>
        <v>24875</v>
      </c>
    </row>
    <row r="502" spans="1:12" ht="13.5">
      <c r="A502" s="1406">
        <v>24900</v>
      </c>
      <c r="B502" s="1405">
        <v>24950</v>
      </c>
      <c r="C502" s="4809">
        <v>0</v>
      </c>
      <c r="D502" s="1406">
        <v>3457</v>
      </c>
      <c r="E502" s="1406">
        <v>5895</v>
      </c>
      <c r="F502" s="1405">
        <v>6721</v>
      </c>
      <c r="G502" s="4809">
        <v>0</v>
      </c>
      <c r="H502" s="1406">
        <v>3995</v>
      </c>
      <c r="I502" s="1406">
        <v>6604</v>
      </c>
      <c r="J502" s="1405">
        <v>7430</v>
      </c>
      <c r="K502" s="1282"/>
      <c r="L502" s="1406">
        <f t="shared" si="9"/>
        <v>24925</v>
      </c>
    </row>
    <row r="503" spans="1:12" ht="13.5">
      <c r="A503" s="1406">
        <v>24950</v>
      </c>
      <c r="B503" s="1405">
        <v>25000</v>
      </c>
      <c r="C503" s="4809">
        <v>0</v>
      </c>
      <c r="D503" s="1406">
        <v>3449</v>
      </c>
      <c r="E503" s="1406">
        <v>5885</v>
      </c>
      <c r="F503" s="1405">
        <v>6710</v>
      </c>
      <c r="G503" s="4809">
        <v>0</v>
      </c>
      <c r="H503" s="1406">
        <v>3995</v>
      </c>
      <c r="I503" s="1406">
        <v>6604</v>
      </c>
      <c r="J503" s="1405">
        <v>7430</v>
      </c>
      <c r="K503" s="1282"/>
      <c r="L503" s="1406">
        <f t="shared" si="9"/>
        <v>24975</v>
      </c>
    </row>
    <row r="504" spans="1:12" ht="13.5">
      <c r="A504" s="1406">
        <v>25000</v>
      </c>
      <c r="B504" s="1405">
        <v>25050</v>
      </c>
      <c r="C504" s="4809">
        <v>0</v>
      </c>
      <c r="D504" s="1406">
        <v>3441</v>
      </c>
      <c r="E504" s="1406">
        <v>5874</v>
      </c>
      <c r="F504" s="1405">
        <v>6700</v>
      </c>
      <c r="G504" s="4809">
        <v>0</v>
      </c>
      <c r="H504" s="1406">
        <v>3995</v>
      </c>
      <c r="I504" s="1406">
        <v>6604</v>
      </c>
      <c r="J504" s="1405">
        <v>7430</v>
      </c>
      <c r="K504" s="1282"/>
      <c r="L504" s="1406">
        <f t="shared" si="9"/>
        <v>25025</v>
      </c>
    </row>
    <row r="505" spans="1:12" ht="13.5">
      <c r="A505" s="1406">
        <v>25050</v>
      </c>
      <c r="B505" s="1405">
        <v>25100</v>
      </c>
      <c r="C505" s="4809">
        <v>0</v>
      </c>
      <c r="D505" s="1406">
        <v>3433</v>
      </c>
      <c r="E505" s="1406">
        <v>5864</v>
      </c>
      <c r="F505" s="1405">
        <v>6689</v>
      </c>
      <c r="G505" s="4809">
        <v>0</v>
      </c>
      <c r="H505" s="1406">
        <v>3995</v>
      </c>
      <c r="I505" s="1406">
        <v>6604</v>
      </c>
      <c r="J505" s="1405">
        <v>7430</v>
      </c>
      <c r="K505" s="1282"/>
      <c r="L505" s="1406">
        <f t="shared" si="9"/>
        <v>25075</v>
      </c>
    </row>
    <row r="506" spans="1:12" ht="13.5">
      <c r="A506" s="1406">
        <v>25100</v>
      </c>
      <c r="B506" s="1405">
        <v>25150</v>
      </c>
      <c r="C506" s="4809">
        <v>0</v>
      </c>
      <c r="D506" s="1406">
        <v>3425</v>
      </c>
      <c r="E506" s="1406">
        <v>5853</v>
      </c>
      <c r="F506" s="1405">
        <v>6679</v>
      </c>
      <c r="G506" s="4809">
        <v>0</v>
      </c>
      <c r="H506" s="1406">
        <v>3995</v>
      </c>
      <c r="I506" s="1406">
        <v>6604</v>
      </c>
      <c r="J506" s="1405">
        <v>7430</v>
      </c>
      <c r="K506" s="1282"/>
      <c r="L506" s="1406">
        <f t="shared" si="9"/>
        <v>25125</v>
      </c>
    </row>
    <row r="507" spans="1:12" ht="13.5">
      <c r="A507" s="1406">
        <v>25150</v>
      </c>
      <c r="B507" s="1405">
        <v>25200</v>
      </c>
      <c r="C507" s="4809">
        <v>0</v>
      </c>
      <c r="D507" s="1406">
        <v>3417</v>
      </c>
      <c r="E507" s="1406">
        <v>5843</v>
      </c>
      <c r="F507" s="1405">
        <v>6668</v>
      </c>
      <c r="G507" s="4809">
        <v>0</v>
      </c>
      <c r="H507" s="1406">
        <v>3995</v>
      </c>
      <c r="I507" s="1406">
        <v>6604</v>
      </c>
      <c r="J507" s="1405">
        <v>7430</v>
      </c>
      <c r="K507" s="1282"/>
      <c r="L507" s="1406">
        <f t="shared" si="9"/>
        <v>25175</v>
      </c>
    </row>
    <row r="508" spans="1:12" ht="13.5">
      <c r="A508" s="1406">
        <v>25200</v>
      </c>
      <c r="B508" s="1405">
        <v>25250</v>
      </c>
      <c r="C508" s="4809">
        <v>0</v>
      </c>
      <c r="D508" s="1406">
        <v>3409</v>
      </c>
      <c r="E508" s="1406">
        <v>5832</v>
      </c>
      <c r="F508" s="1405">
        <v>6658</v>
      </c>
      <c r="G508" s="4809">
        <v>0</v>
      </c>
      <c r="H508" s="1406">
        <v>3995</v>
      </c>
      <c r="I508" s="1406">
        <v>6604</v>
      </c>
      <c r="J508" s="1405">
        <v>7430</v>
      </c>
      <c r="K508" s="1282"/>
      <c r="L508" s="1406">
        <f t="shared" si="9"/>
        <v>25225</v>
      </c>
    </row>
    <row r="509" spans="1:12" ht="13.5">
      <c r="A509" s="1406">
        <v>25250</v>
      </c>
      <c r="B509" s="1405">
        <v>25300</v>
      </c>
      <c r="C509" s="4809">
        <v>0</v>
      </c>
      <c r="D509" s="1406">
        <v>3401</v>
      </c>
      <c r="E509" s="1406">
        <v>5822</v>
      </c>
      <c r="F509" s="1405">
        <v>6647</v>
      </c>
      <c r="G509" s="4809">
        <v>0</v>
      </c>
      <c r="H509" s="1406">
        <v>3995</v>
      </c>
      <c r="I509" s="1406">
        <v>6604</v>
      </c>
      <c r="J509" s="1405">
        <v>7430</v>
      </c>
      <c r="K509" s="1282"/>
      <c r="L509" s="1406">
        <f t="shared" si="9"/>
        <v>25275</v>
      </c>
    </row>
    <row r="510" spans="1:12" ht="13.5">
      <c r="A510" s="1406">
        <v>25300</v>
      </c>
      <c r="B510" s="1405">
        <v>25350</v>
      </c>
      <c r="C510" s="4809">
        <v>0</v>
      </c>
      <c r="D510" s="1406">
        <v>3393</v>
      </c>
      <c r="E510" s="1406">
        <v>5811</v>
      </c>
      <c r="F510" s="1405">
        <v>6637</v>
      </c>
      <c r="G510" s="4809">
        <v>0</v>
      </c>
      <c r="H510" s="1406">
        <v>3995</v>
      </c>
      <c r="I510" s="1406">
        <v>6604</v>
      </c>
      <c r="J510" s="1405">
        <v>7430</v>
      </c>
      <c r="K510" s="1282"/>
      <c r="L510" s="1406">
        <f t="shared" si="9"/>
        <v>25325</v>
      </c>
    </row>
    <row r="511" spans="1:12" ht="13.5">
      <c r="A511" s="1406">
        <v>25350</v>
      </c>
      <c r="B511" s="1405">
        <v>25400</v>
      </c>
      <c r="C511" s="4809">
        <v>0</v>
      </c>
      <c r="D511" s="1406">
        <v>3385</v>
      </c>
      <c r="E511" s="1406">
        <v>5801</v>
      </c>
      <c r="F511" s="1405">
        <v>6626</v>
      </c>
      <c r="G511" s="4809">
        <v>0</v>
      </c>
      <c r="H511" s="1406">
        <v>3995</v>
      </c>
      <c r="I511" s="1406">
        <v>6604</v>
      </c>
      <c r="J511" s="1405">
        <v>7430</v>
      </c>
      <c r="K511" s="1282"/>
      <c r="L511" s="1406">
        <f t="shared" si="9"/>
        <v>25375</v>
      </c>
    </row>
    <row r="512" spans="1:12" ht="13.5">
      <c r="A512" s="1406">
        <v>25400</v>
      </c>
      <c r="B512" s="1405">
        <v>25450</v>
      </c>
      <c r="C512" s="4809">
        <v>0</v>
      </c>
      <c r="D512" s="1406">
        <v>3377</v>
      </c>
      <c r="E512" s="1406">
        <v>5790</v>
      </c>
      <c r="F512" s="1405">
        <v>6616</v>
      </c>
      <c r="G512" s="4809">
        <v>0</v>
      </c>
      <c r="H512" s="1406">
        <v>3995</v>
      </c>
      <c r="I512" s="1406">
        <v>6604</v>
      </c>
      <c r="J512" s="1405">
        <v>7430</v>
      </c>
      <c r="K512" s="1282"/>
      <c r="L512" s="1406">
        <f t="shared" si="9"/>
        <v>25425</v>
      </c>
    </row>
    <row r="513" spans="1:12" ht="13.5">
      <c r="A513" s="1406">
        <v>25450</v>
      </c>
      <c r="B513" s="1405">
        <v>25500</v>
      </c>
      <c r="C513" s="4809">
        <v>0</v>
      </c>
      <c r="D513" s="1406">
        <v>3369</v>
      </c>
      <c r="E513" s="1406">
        <v>5780</v>
      </c>
      <c r="F513" s="1405">
        <v>6605</v>
      </c>
      <c r="G513" s="4809">
        <v>0</v>
      </c>
      <c r="H513" s="1406">
        <v>3995</v>
      </c>
      <c r="I513" s="1406">
        <v>6604</v>
      </c>
      <c r="J513" s="1405">
        <v>7430</v>
      </c>
      <c r="K513" s="1282"/>
      <c r="L513" s="1406">
        <f t="shared" si="9"/>
        <v>25475</v>
      </c>
    </row>
    <row r="514" spans="1:12" ht="13.5">
      <c r="A514" s="1406">
        <v>25500</v>
      </c>
      <c r="B514" s="1405">
        <v>25550</v>
      </c>
      <c r="C514" s="4809">
        <v>0</v>
      </c>
      <c r="D514" s="1406">
        <v>3361</v>
      </c>
      <c r="E514" s="1406">
        <v>5769</v>
      </c>
      <c r="F514" s="1405">
        <v>6594</v>
      </c>
      <c r="G514" s="4809">
        <v>0</v>
      </c>
      <c r="H514" s="1406">
        <v>3995</v>
      </c>
      <c r="I514" s="1406">
        <v>6604</v>
      </c>
      <c r="J514" s="1405">
        <v>7430</v>
      </c>
      <c r="K514" s="1282"/>
      <c r="L514" s="1406">
        <f t="shared" si="9"/>
        <v>25525</v>
      </c>
    </row>
    <row r="515" spans="1:12" ht="13.5">
      <c r="A515" s="1406">
        <v>25550</v>
      </c>
      <c r="B515" s="1405">
        <v>25600</v>
      </c>
      <c r="C515" s="4809">
        <v>0</v>
      </c>
      <c r="D515" s="1406">
        <v>3353</v>
      </c>
      <c r="E515" s="1406">
        <v>5758</v>
      </c>
      <c r="F515" s="1405">
        <v>6584</v>
      </c>
      <c r="G515" s="4809">
        <v>0</v>
      </c>
      <c r="H515" s="1406">
        <v>3995</v>
      </c>
      <c r="I515" s="1406">
        <v>6604</v>
      </c>
      <c r="J515" s="1405">
        <v>7430</v>
      </c>
      <c r="K515" s="1282"/>
      <c r="L515" s="1406">
        <f t="shared" si="9"/>
        <v>25575</v>
      </c>
    </row>
    <row r="516" spans="1:12" ht="13.5">
      <c r="A516" s="1406">
        <v>25600</v>
      </c>
      <c r="B516" s="1405">
        <v>25650</v>
      </c>
      <c r="C516" s="4809">
        <v>0</v>
      </c>
      <c r="D516" s="1406">
        <v>3345</v>
      </c>
      <c r="E516" s="1406">
        <v>5748</v>
      </c>
      <c r="F516" s="1405">
        <v>6573</v>
      </c>
      <c r="G516" s="4809">
        <v>0</v>
      </c>
      <c r="H516" s="1406">
        <v>3995</v>
      </c>
      <c r="I516" s="1406">
        <v>6604</v>
      </c>
      <c r="J516" s="1405">
        <v>7430</v>
      </c>
      <c r="K516" s="1282"/>
      <c r="L516" s="1406">
        <f t="shared" si="9"/>
        <v>25625</v>
      </c>
    </row>
    <row r="517" spans="1:12" ht="13.5">
      <c r="A517" s="1406">
        <v>25650</v>
      </c>
      <c r="B517" s="1405">
        <v>25700</v>
      </c>
      <c r="C517" s="4809">
        <v>0</v>
      </c>
      <c r="D517" s="1406">
        <v>3337</v>
      </c>
      <c r="E517" s="1406">
        <v>5737</v>
      </c>
      <c r="F517" s="1405">
        <v>6563</v>
      </c>
      <c r="G517" s="4809">
        <v>0</v>
      </c>
      <c r="H517" s="1406">
        <v>3995</v>
      </c>
      <c r="I517" s="1406">
        <v>6604</v>
      </c>
      <c r="J517" s="1405">
        <v>7430</v>
      </c>
      <c r="K517" s="1282"/>
      <c r="L517" s="1406">
        <f t="shared" ref="L517:L579" si="10">ROUND((A517+B517)/2,2)</f>
        <v>25675</v>
      </c>
    </row>
    <row r="518" spans="1:12" ht="13.5">
      <c r="A518" s="1406">
        <v>25700</v>
      </c>
      <c r="B518" s="1405">
        <v>25750</v>
      </c>
      <c r="C518" s="4809">
        <v>0</v>
      </c>
      <c r="D518" s="1406">
        <v>3329</v>
      </c>
      <c r="E518" s="1406">
        <v>5727</v>
      </c>
      <c r="F518" s="1405">
        <v>6552</v>
      </c>
      <c r="G518" s="4809">
        <v>0</v>
      </c>
      <c r="H518" s="1406">
        <v>3995</v>
      </c>
      <c r="I518" s="1406">
        <v>6604</v>
      </c>
      <c r="J518" s="1405">
        <v>7430</v>
      </c>
      <c r="K518" s="1282"/>
      <c r="L518" s="1406">
        <f t="shared" si="10"/>
        <v>25725</v>
      </c>
    </row>
    <row r="519" spans="1:12" ht="13.5">
      <c r="A519" s="1406">
        <v>25750</v>
      </c>
      <c r="B519" s="1405">
        <v>25800</v>
      </c>
      <c r="C519" s="4809">
        <v>0</v>
      </c>
      <c r="D519" s="1406">
        <v>3321</v>
      </c>
      <c r="E519" s="1406">
        <v>5716</v>
      </c>
      <c r="F519" s="1405">
        <v>6542</v>
      </c>
      <c r="G519" s="4809">
        <v>0</v>
      </c>
      <c r="H519" s="1406">
        <v>3995</v>
      </c>
      <c r="I519" s="1406">
        <v>6604</v>
      </c>
      <c r="J519" s="1405">
        <v>7430</v>
      </c>
      <c r="K519" s="1282"/>
      <c r="L519" s="1406">
        <f t="shared" si="10"/>
        <v>25775</v>
      </c>
    </row>
    <row r="520" spans="1:12" ht="13.5">
      <c r="A520" s="1406">
        <v>25800</v>
      </c>
      <c r="B520" s="1405">
        <v>25850</v>
      </c>
      <c r="C520" s="4809">
        <v>0</v>
      </c>
      <c r="D520" s="1406">
        <v>3313</v>
      </c>
      <c r="E520" s="1406">
        <v>5706</v>
      </c>
      <c r="F520" s="1405">
        <v>6531</v>
      </c>
      <c r="G520" s="4809">
        <v>0</v>
      </c>
      <c r="H520" s="1406">
        <v>3995</v>
      </c>
      <c r="I520" s="1406">
        <v>6604</v>
      </c>
      <c r="J520" s="1405">
        <v>7430</v>
      </c>
      <c r="K520" s="1282"/>
      <c r="L520" s="1406">
        <f t="shared" si="10"/>
        <v>25825</v>
      </c>
    </row>
    <row r="521" spans="1:12" ht="13.5">
      <c r="A521" s="1406">
        <v>25850</v>
      </c>
      <c r="B521" s="1405">
        <v>25900</v>
      </c>
      <c r="C521" s="4809">
        <v>0</v>
      </c>
      <c r="D521" s="1406">
        <v>3305</v>
      </c>
      <c r="E521" s="1406">
        <v>5695</v>
      </c>
      <c r="F521" s="1405">
        <v>6521</v>
      </c>
      <c r="G521" s="4809">
        <v>0</v>
      </c>
      <c r="H521" s="1406">
        <v>3995</v>
      </c>
      <c r="I521" s="1406">
        <v>6604</v>
      </c>
      <c r="J521" s="1405">
        <v>7430</v>
      </c>
      <c r="K521" s="1282"/>
      <c r="L521" s="1406">
        <f t="shared" si="10"/>
        <v>25875</v>
      </c>
    </row>
    <row r="522" spans="1:12" ht="13.5">
      <c r="A522" s="1406">
        <v>25900</v>
      </c>
      <c r="B522" s="1405">
        <v>25950</v>
      </c>
      <c r="C522" s="4809">
        <v>0</v>
      </c>
      <c r="D522" s="1406">
        <v>3297</v>
      </c>
      <c r="E522" s="1406">
        <v>5685</v>
      </c>
      <c r="F522" s="1405">
        <v>6510</v>
      </c>
      <c r="G522" s="4809">
        <v>0</v>
      </c>
      <c r="H522" s="1406">
        <v>3995</v>
      </c>
      <c r="I522" s="1406">
        <v>6604</v>
      </c>
      <c r="J522" s="1405">
        <v>7430</v>
      </c>
      <c r="K522" s="1282"/>
      <c r="L522" s="1406">
        <f t="shared" si="10"/>
        <v>25925</v>
      </c>
    </row>
    <row r="523" spans="1:12" ht="13.5">
      <c r="A523" s="1406">
        <v>25950</v>
      </c>
      <c r="B523" s="1405">
        <v>26000</v>
      </c>
      <c r="C523" s="4809">
        <v>0</v>
      </c>
      <c r="D523" s="1406">
        <v>3289</v>
      </c>
      <c r="E523" s="1406">
        <v>5674</v>
      </c>
      <c r="F523" s="1405">
        <v>6500</v>
      </c>
      <c r="G523" s="4809">
        <v>0</v>
      </c>
      <c r="H523" s="1406">
        <v>3995</v>
      </c>
      <c r="I523" s="1406">
        <v>6604</v>
      </c>
      <c r="J523" s="1405">
        <v>7430</v>
      </c>
      <c r="K523" s="1282"/>
      <c r="L523" s="1406">
        <f t="shared" si="10"/>
        <v>25975</v>
      </c>
    </row>
    <row r="524" spans="1:12" ht="13.5">
      <c r="A524" s="1406">
        <v>26000</v>
      </c>
      <c r="B524" s="1405">
        <v>26050</v>
      </c>
      <c r="C524" s="4809">
        <v>0</v>
      </c>
      <c r="D524" s="1406">
        <v>3281</v>
      </c>
      <c r="E524" s="1406">
        <v>5664</v>
      </c>
      <c r="F524" s="1405">
        <v>6489</v>
      </c>
      <c r="G524" s="4809">
        <v>0</v>
      </c>
      <c r="H524" s="1406">
        <v>3995</v>
      </c>
      <c r="I524" s="1406">
        <v>6604</v>
      </c>
      <c r="J524" s="1405">
        <v>7430</v>
      </c>
      <c r="K524" s="1282"/>
      <c r="L524" s="1406">
        <f t="shared" si="10"/>
        <v>26025</v>
      </c>
    </row>
    <row r="525" spans="1:12" ht="13.5">
      <c r="A525" s="1406">
        <v>26050</v>
      </c>
      <c r="B525" s="1405">
        <v>26100</v>
      </c>
      <c r="C525" s="4809">
        <v>0</v>
      </c>
      <c r="D525" s="1406">
        <v>3274</v>
      </c>
      <c r="E525" s="1406">
        <v>5653</v>
      </c>
      <c r="F525" s="1405">
        <v>6479</v>
      </c>
      <c r="G525" s="4809">
        <v>0</v>
      </c>
      <c r="H525" s="1406">
        <v>3995</v>
      </c>
      <c r="I525" s="1406">
        <v>6604</v>
      </c>
      <c r="J525" s="1405">
        <v>7430</v>
      </c>
      <c r="K525" s="1282"/>
      <c r="L525" s="1406">
        <f t="shared" si="10"/>
        <v>26075</v>
      </c>
    </row>
    <row r="526" spans="1:12" ht="13.5">
      <c r="A526" s="1406">
        <v>26100</v>
      </c>
      <c r="B526" s="1405">
        <v>26150</v>
      </c>
      <c r="C526" s="4809">
        <v>0</v>
      </c>
      <c r="D526" s="1406">
        <v>3266</v>
      </c>
      <c r="E526" s="1406">
        <v>5643</v>
      </c>
      <c r="F526" s="1405">
        <v>6468</v>
      </c>
      <c r="G526" s="4809">
        <v>0</v>
      </c>
      <c r="H526" s="1406">
        <v>3995</v>
      </c>
      <c r="I526" s="1406">
        <v>6604</v>
      </c>
      <c r="J526" s="1405">
        <v>7430</v>
      </c>
      <c r="K526" s="1282"/>
      <c r="L526" s="1406">
        <f t="shared" si="10"/>
        <v>26125</v>
      </c>
    </row>
    <row r="527" spans="1:12" ht="13.5">
      <c r="A527" s="1406">
        <v>26150</v>
      </c>
      <c r="B527" s="1405">
        <v>26200</v>
      </c>
      <c r="C527" s="4809">
        <v>0</v>
      </c>
      <c r="D527" s="1406">
        <v>3258</v>
      </c>
      <c r="E527" s="1406">
        <v>5632</v>
      </c>
      <c r="F527" s="1405">
        <v>6458</v>
      </c>
      <c r="G527" s="4809">
        <v>0</v>
      </c>
      <c r="H527" s="1406">
        <v>3995</v>
      </c>
      <c r="I527" s="1406">
        <v>6604</v>
      </c>
      <c r="J527" s="1405">
        <v>7430</v>
      </c>
      <c r="K527" s="1282"/>
      <c r="L527" s="1406">
        <f t="shared" si="10"/>
        <v>26175</v>
      </c>
    </row>
    <row r="528" spans="1:12" ht="13.5">
      <c r="A528" s="1406">
        <v>26200</v>
      </c>
      <c r="B528" s="1405">
        <v>26250</v>
      </c>
      <c r="C528" s="4809">
        <v>0</v>
      </c>
      <c r="D528" s="1406">
        <v>3250</v>
      </c>
      <c r="E528" s="1406">
        <v>5622</v>
      </c>
      <c r="F528" s="1405">
        <v>6447</v>
      </c>
      <c r="G528" s="4809">
        <v>0</v>
      </c>
      <c r="H528" s="1406">
        <v>3995</v>
      </c>
      <c r="I528" s="1406">
        <v>6604</v>
      </c>
      <c r="J528" s="1405">
        <v>7430</v>
      </c>
      <c r="K528" s="1282"/>
      <c r="L528" s="1406">
        <f t="shared" si="10"/>
        <v>26225</v>
      </c>
    </row>
    <row r="529" spans="1:12" ht="13.5">
      <c r="A529" s="1406">
        <v>26250</v>
      </c>
      <c r="B529" s="1405">
        <v>26300</v>
      </c>
      <c r="C529" s="4809">
        <v>0</v>
      </c>
      <c r="D529" s="1406">
        <v>3242</v>
      </c>
      <c r="E529" s="1406">
        <v>5611</v>
      </c>
      <c r="F529" s="1405">
        <v>6437</v>
      </c>
      <c r="G529" s="4809">
        <v>0</v>
      </c>
      <c r="H529" s="1406">
        <v>3995</v>
      </c>
      <c r="I529" s="1406">
        <v>6604</v>
      </c>
      <c r="J529" s="1405">
        <v>7430</v>
      </c>
      <c r="K529" s="1282"/>
      <c r="L529" s="1406">
        <f t="shared" si="10"/>
        <v>26275</v>
      </c>
    </row>
    <row r="530" spans="1:12" ht="13.5">
      <c r="A530" s="1406">
        <v>26300</v>
      </c>
      <c r="B530" s="1405">
        <v>26350</v>
      </c>
      <c r="C530" s="4809">
        <v>0</v>
      </c>
      <c r="D530" s="1406">
        <v>3234</v>
      </c>
      <c r="E530" s="1406">
        <v>5600</v>
      </c>
      <c r="F530" s="1405">
        <v>6426</v>
      </c>
      <c r="G530" s="4809">
        <v>0</v>
      </c>
      <c r="H530" s="1406">
        <v>3995</v>
      </c>
      <c r="I530" s="1406">
        <v>6604</v>
      </c>
      <c r="J530" s="1405">
        <v>7430</v>
      </c>
      <c r="K530" s="1282"/>
      <c r="L530" s="1406">
        <f t="shared" si="10"/>
        <v>26325</v>
      </c>
    </row>
    <row r="531" spans="1:12" ht="13.5">
      <c r="A531" s="1406">
        <v>26350</v>
      </c>
      <c r="B531" s="1405">
        <v>26400</v>
      </c>
      <c r="C531" s="4809">
        <v>0</v>
      </c>
      <c r="D531" s="1406">
        <v>3226</v>
      </c>
      <c r="E531" s="1406">
        <v>5590</v>
      </c>
      <c r="F531" s="1405">
        <v>6415</v>
      </c>
      <c r="G531" s="4809">
        <v>0</v>
      </c>
      <c r="H531" s="1406">
        <v>3995</v>
      </c>
      <c r="I531" s="1406">
        <v>6604</v>
      </c>
      <c r="J531" s="1405">
        <v>7430</v>
      </c>
      <c r="K531" s="1282"/>
      <c r="L531" s="1406">
        <f t="shared" si="10"/>
        <v>26375</v>
      </c>
    </row>
    <row r="532" spans="1:12" ht="13.5">
      <c r="A532" s="1406">
        <v>26400</v>
      </c>
      <c r="B532" s="1405">
        <v>26450</v>
      </c>
      <c r="C532" s="4809">
        <v>0</v>
      </c>
      <c r="D532" s="1406">
        <v>3218</v>
      </c>
      <c r="E532" s="1406">
        <v>5579</v>
      </c>
      <c r="F532" s="1405">
        <v>6405</v>
      </c>
      <c r="G532" s="4809">
        <v>0</v>
      </c>
      <c r="H532" s="1406">
        <v>3995</v>
      </c>
      <c r="I532" s="1406">
        <v>6604</v>
      </c>
      <c r="J532" s="1405">
        <v>7430</v>
      </c>
      <c r="K532" s="1282"/>
      <c r="L532" s="1406">
        <f t="shared" si="10"/>
        <v>26425</v>
      </c>
    </row>
    <row r="533" spans="1:12" ht="13.5">
      <c r="A533" s="1406">
        <v>26450</v>
      </c>
      <c r="B533" s="1405">
        <v>26500</v>
      </c>
      <c r="C533" s="4809">
        <v>0</v>
      </c>
      <c r="D533" s="1406">
        <v>3210</v>
      </c>
      <c r="E533" s="1406">
        <v>5569</v>
      </c>
      <c r="F533" s="1405">
        <v>6394</v>
      </c>
      <c r="G533" s="4809">
        <v>0</v>
      </c>
      <c r="H533" s="1406">
        <v>3995</v>
      </c>
      <c r="I533" s="1406">
        <v>6604</v>
      </c>
      <c r="J533" s="1405">
        <v>7430</v>
      </c>
      <c r="K533" s="1282"/>
      <c r="L533" s="1406">
        <f t="shared" si="10"/>
        <v>26475</v>
      </c>
    </row>
    <row r="534" spans="1:12" ht="13.5">
      <c r="A534" s="1406">
        <v>26500</v>
      </c>
      <c r="B534" s="1405">
        <v>26550</v>
      </c>
      <c r="C534" s="4809">
        <v>0</v>
      </c>
      <c r="D534" s="1406">
        <v>3202</v>
      </c>
      <c r="E534" s="1406">
        <v>5558</v>
      </c>
      <c r="F534" s="1405">
        <v>6384</v>
      </c>
      <c r="G534" s="4809">
        <v>0</v>
      </c>
      <c r="H534" s="1406">
        <v>3995</v>
      </c>
      <c r="I534" s="1406">
        <v>6604</v>
      </c>
      <c r="J534" s="1405">
        <v>7430</v>
      </c>
      <c r="K534" s="1282"/>
      <c r="L534" s="1406">
        <f t="shared" si="10"/>
        <v>26525</v>
      </c>
    </row>
    <row r="535" spans="1:12" ht="13.5">
      <c r="A535" s="1406">
        <v>26550</v>
      </c>
      <c r="B535" s="1405">
        <v>26600</v>
      </c>
      <c r="C535" s="4809">
        <v>0</v>
      </c>
      <c r="D535" s="1406">
        <v>3194</v>
      </c>
      <c r="E535" s="1406">
        <v>5548</v>
      </c>
      <c r="F535" s="1405">
        <v>6373</v>
      </c>
      <c r="G535" s="4809">
        <v>0</v>
      </c>
      <c r="H535" s="1406">
        <v>3995</v>
      </c>
      <c r="I535" s="1406">
        <v>6604</v>
      </c>
      <c r="J535" s="1405">
        <v>7430</v>
      </c>
      <c r="K535" s="1282"/>
      <c r="L535" s="1406">
        <f t="shared" si="10"/>
        <v>26575</v>
      </c>
    </row>
    <row r="536" spans="1:12" ht="13.5">
      <c r="A536" s="1406">
        <v>26600</v>
      </c>
      <c r="B536" s="1405">
        <v>26650</v>
      </c>
      <c r="C536" s="4809">
        <v>0</v>
      </c>
      <c r="D536" s="1406">
        <v>3186</v>
      </c>
      <c r="E536" s="1406">
        <v>5537</v>
      </c>
      <c r="F536" s="1405">
        <v>6363</v>
      </c>
      <c r="G536" s="4809">
        <v>0</v>
      </c>
      <c r="H536" s="1406">
        <v>3995</v>
      </c>
      <c r="I536" s="1406">
        <v>6604</v>
      </c>
      <c r="J536" s="1405">
        <v>7430</v>
      </c>
      <c r="K536" s="1282"/>
      <c r="L536" s="1406">
        <f t="shared" si="10"/>
        <v>26625</v>
      </c>
    </row>
    <row r="537" spans="1:12" ht="13.5">
      <c r="A537" s="1406">
        <v>26650</v>
      </c>
      <c r="B537" s="1405">
        <v>26700</v>
      </c>
      <c r="C537" s="4809">
        <v>0</v>
      </c>
      <c r="D537" s="1406">
        <v>3178</v>
      </c>
      <c r="E537" s="1406">
        <v>5527</v>
      </c>
      <c r="F537" s="1405">
        <v>6352</v>
      </c>
      <c r="G537" s="4809">
        <v>0</v>
      </c>
      <c r="H537" s="1406">
        <v>3995</v>
      </c>
      <c r="I537" s="1406">
        <v>6604</v>
      </c>
      <c r="J537" s="1405">
        <v>7430</v>
      </c>
      <c r="K537" s="1282"/>
      <c r="L537" s="1406">
        <f t="shared" si="10"/>
        <v>26675</v>
      </c>
    </row>
    <row r="538" spans="1:12" ht="13.5">
      <c r="A538" s="1406">
        <v>26700</v>
      </c>
      <c r="B538" s="1405">
        <v>26750</v>
      </c>
      <c r="C538" s="4809">
        <v>0</v>
      </c>
      <c r="D538" s="1406">
        <v>3170</v>
      </c>
      <c r="E538" s="1406">
        <v>5516</v>
      </c>
      <c r="F538" s="1405">
        <v>6342</v>
      </c>
      <c r="G538" s="4809">
        <v>0</v>
      </c>
      <c r="H538" s="1406">
        <v>3995</v>
      </c>
      <c r="I538" s="1406">
        <v>6604</v>
      </c>
      <c r="J538" s="1405">
        <v>7430</v>
      </c>
      <c r="K538" s="1282"/>
      <c r="L538" s="1406">
        <f t="shared" si="10"/>
        <v>26725</v>
      </c>
    </row>
    <row r="539" spans="1:12" ht="13.5">
      <c r="A539" s="1406">
        <v>26750</v>
      </c>
      <c r="B539" s="1405">
        <v>26800</v>
      </c>
      <c r="C539" s="4809">
        <v>0</v>
      </c>
      <c r="D539" s="1406">
        <v>3162</v>
      </c>
      <c r="E539" s="1406">
        <v>5506</v>
      </c>
      <c r="F539" s="1405">
        <v>6331</v>
      </c>
      <c r="G539" s="4809">
        <v>0</v>
      </c>
      <c r="H539" s="1406">
        <v>3995</v>
      </c>
      <c r="I539" s="1406">
        <v>6604</v>
      </c>
      <c r="J539" s="1405">
        <v>7430</v>
      </c>
      <c r="K539" s="1282"/>
      <c r="L539" s="1406">
        <f t="shared" si="10"/>
        <v>26775</v>
      </c>
    </row>
    <row r="540" spans="1:12" ht="13.5">
      <c r="A540" s="1406">
        <v>26800</v>
      </c>
      <c r="B540" s="1405">
        <v>26850</v>
      </c>
      <c r="C540" s="4809">
        <v>0</v>
      </c>
      <c r="D540" s="1406">
        <v>3154</v>
      </c>
      <c r="E540" s="1406">
        <v>5495</v>
      </c>
      <c r="F540" s="1405">
        <v>6321</v>
      </c>
      <c r="G540" s="4809">
        <v>0</v>
      </c>
      <c r="H540" s="1406">
        <v>3995</v>
      </c>
      <c r="I540" s="1406">
        <v>6604</v>
      </c>
      <c r="J540" s="1405">
        <v>7430</v>
      </c>
      <c r="K540" s="1282"/>
      <c r="L540" s="1406">
        <f t="shared" si="10"/>
        <v>26825</v>
      </c>
    </row>
    <row r="541" spans="1:12" ht="13.5">
      <c r="A541" s="1406">
        <v>26850</v>
      </c>
      <c r="B541" s="1405">
        <v>26900</v>
      </c>
      <c r="C541" s="4809">
        <v>0</v>
      </c>
      <c r="D541" s="1406">
        <v>3146</v>
      </c>
      <c r="E541" s="1406">
        <v>5485</v>
      </c>
      <c r="F541" s="1405">
        <v>6310</v>
      </c>
      <c r="G541" s="4809">
        <v>0</v>
      </c>
      <c r="H541" s="1406">
        <v>3995</v>
      </c>
      <c r="I541" s="1406">
        <v>6604</v>
      </c>
      <c r="J541" s="1405">
        <v>7430</v>
      </c>
      <c r="K541" s="1282"/>
      <c r="L541" s="1406">
        <f t="shared" si="10"/>
        <v>26875</v>
      </c>
    </row>
    <row r="542" spans="1:12" ht="13.5">
      <c r="A542" s="1406">
        <v>26900</v>
      </c>
      <c r="B542" s="1405">
        <v>26950</v>
      </c>
      <c r="C542" s="4809">
        <v>0</v>
      </c>
      <c r="D542" s="1406">
        <v>3138</v>
      </c>
      <c r="E542" s="1406">
        <v>5474</v>
      </c>
      <c r="F542" s="1405">
        <v>6300</v>
      </c>
      <c r="G542" s="4809">
        <v>0</v>
      </c>
      <c r="H542" s="1406">
        <v>3995</v>
      </c>
      <c r="I542" s="1406">
        <v>6604</v>
      </c>
      <c r="J542" s="1405">
        <v>7430</v>
      </c>
      <c r="K542" s="1282"/>
      <c r="L542" s="1406">
        <f t="shared" si="10"/>
        <v>26925</v>
      </c>
    </row>
    <row r="543" spans="1:12" ht="13.5">
      <c r="A543" s="1406">
        <v>26950</v>
      </c>
      <c r="B543" s="1405">
        <v>27000</v>
      </c>
      <c r="C543" s="4809">
        <v>0</v>
      </c>
      <c r="D543" s="1406">
        <v>3130</v>
      </c>
      <c r="E543" s="1406">
        <v>5464</v>
      </c>
      <c r="F543" s="1405">
        <v>6289</v>
      </c>
      <c r="G543" s="4809">
        <v>0</v>
      </c>
      <c r="H543" s="1406">
        <v>3995</v>
      </c>
      <c r="I543" s="1406">
        <v>6604</v>
      </c>
      <c r="J543" s="1405">
        <v>7430</v>
      </c>
      <c r="K543" s="1282"/>
      <c r="L543" s="1406">
        <f t="shared" si="10"/>
        <v>26975</v>
      </c>
    </row>
    <row r="544" spans="1:12" ht="13.5">
      <c r="A544" s="1406">
        <v>27000</v>
      </c>
      <c r="B544" s="1405">
        <v>27050</v>
      </c>
      <c r="C544" s="4809">
        <v>0</v>
      </c>
      <c r="D544" s="1406">
        <v>3122</v>
      </c>
      <c r="E544" s="1406">
        <v>5453</v>
      </c>
      <c r="F544" s="1405">
        <v>6279</v>
      </c>
      <c r="G544" s="4809">
        <v>0</v>
      </c>
      <c r="H544" s="1406">
        <v>3995</v>
      </c>
      <c r="I544" s="1406">
        <v>6604</v>
      </c>
      <c r="J544" s="1405">
        <v>7430</v>
      </c>
      <c r="K544" s="1282"/>
      <c r="L544" s="1406">
        <f t="shared" si="10"/>
        <v>27025</v>
      </c>
    </row>
    <row r="545" spans="1:12" ht="13.5">
      <c r="A545" s="1406">
        <v>27050</v>
      </c>
      <c r="B545" s="1405">
        <v>27100</v>
      </c>
      <c r="C545" s="4809">
        <v>0</v>
      </c>
      <c r="D545" s="1406">
        <v>3114</v>
      </c>
      <c r="E545" s="1406">
        <v>5443</v>
      </c>
      <c r="F545" s="1405">
        <v>6268</v>
      </c>
      <c r="G545" s="4809">
        <v>0</v>
      </c>
      <c r="H545" s="1406">
        <v>3995</v>
      </c>
      <c r="I545" s="1406">
        <v>6604</v>
      </c>
      <c r="J545" s="1405">
        <v>7430</v>
      </c>
      <c r="K545" s="1282"/>
      <c r="L545" s="1406">
        <f t="shared" si="10"/>
        <v>27075</v>
      </c>
    </row>
    <row r="546" spans="1:12" ht="13.5">
      <c r="A546" s="1406">
        <v>27100</v>
      </c>
      <c r="B546" s="1405">
        <v>27150</v>
      </c>
      <c r="C546" s="4809">
        <v>0</v>
      </c>
      <c r="D546" s="1406">
        <v>3106</v>
      </c>
      <c r="E546" s="1406">
        <v>5432</v>
      </c>
      <c r="F546" s="1405">
        <v>6258</v>
      </c>
      <c r="G546" s="4809">
        <v>0</v>
      </c>
      <c r="H546" s="1406">
        <v>3995</v>
      </c>
      <c r="I546" s="1406">
        <v>6604</v>
      </c>
      <c r="J546" s="1405">
        <v>7430</v>
      </c>
      <c r="K546" s="1282"/>
      <c r="L546" s="1406">
        <f t="shared" si="10"/>
        <v>27125</v>
      </c>
    </row>
    <row r="547" spans="1:12" ht="13.5">
      <c r="A547" s="1406">
        <v>27150</v>
      </c>
      <c r="B547" s="1405">
        <v>27200</v>
      </c>
      <c r="C547" s="4809">
        <v>0</v>
      </c>
      <c r="D547" s="1406">
        <v>3098</v>
      </c>
      <c r="E547" s="1406">
        <v>5421</v>
      </c>
      <c r="F547" s="1405">
        <v>6247</v>
      </c>
      <c r="G547" s="4809">
        <v>0</v>
      </c>
      <c r="H547" s="1406">
        <v>3995</v>
      </c>
      <c r="I547" s="1406">
        <v>6604</v>
      </c>
      <c r="J547" s="1405">
        <v>7430</v>
      </c>
      <c r="K547" s="1282"/>
      <c r="L547" s="1406">
        <f t="shared" si="10"/>
        <v>27175</v>
      </c>
    </row>
    <row r="548" spans="1:12" ht="13.5">
      <c r="A548" s="1406">
        <v>27200</v>
      </c>
      <c r="B548" s="1405">
        <v>27250</v>
      </c>
      <c r="C548" s="4809">
        <v>0</v>
      </c>
      <c r="D548" s="1406">
        <v>3090</v>
      </c>
      <c r="E548" s="1406">
        <v>5411</v>
      </c>
      <c r="F548" s="1405">
        <v>6236</v>
      </c>
      <c r="G548" s="4809">
        <v>0</v>
      </c>
      <c r="H548" s="1406">
        <v>3995</v>
      </c>
      <c r="I548" s="1406">
        <v>6604</v>
      </c>
      <c r="J548" s="1405">
        <v>7430</v>
      </c>
      <c r="K548" s="1282"/>
      <c r="L548" s="1406">
        <f t="shared" si="10"/>
        <v>27225</v>
      </c>
    </row>
    <row r="549" spans="1:12" ht="13.5">
      <c r="A549" s="1406">
        <v>27250</v>
      </c>
      <c r="B549" s="1405">
        <v>27300</v>
      </c>
      <c r="C549" s="4809">
        <v>0</v>
      </c>
      <c r="D549" s="1406">
        <v>3082</v>
      </c>
      <c r="E549" s="1406">
        <v>5400</v>
      </c>
      <c r="F549" s="1405">
        <v>6226</v>
      </c>
      <c r="G549" s="4809">
        <v>0</v>
      </c>
      <c r="H549" s="1406">
        <v>3995</v>
      </c>
      <c r="I549" s="1406">
        <v>6604</v>
      </c>
      <c r="J549" s="1405">
        <v>7430</v>
      </c>
      <c r="K549" s="1282"/>
      <c r="L549" s="1406">
        <f t="shared" si="10"/>
        <v>27275</v>
      </c>
    </row>
    <row r="550" spans="1:12" ht="13.5">
      <c r="A550" s="1406">
        <v>27300</v>
      </c>
      <c r="B550" s="1405">
        <v>27350</v>
      </c>
      <c r="C550" s="4809">
        <v>0</v>
      </c>
      <c r="D550" s="1406">
        <v>3074</v>
      </c>
      <c r="E550" s="1406">
        <v>5390</v>
      </c>
      <c r="F550" s="1405">
        <v>6215</v>
      </c>
      <c r="G550" s="4809">
        <v>0</v>
      </c>
      <c r="H550" s="1406">
        <v>3995</v>
      </c>
      <c r="I550" s="1406">
        <v>6604</v>
      </c>
      <c r="J550" s="1405">
        <v>7430</v>
      </c>
      <c r="K550" s="1282"/>
      <c r="L550" s="1406">
        <f t="shared" si="10"/>
        <v>27325</v>
      </c>
    </row>
    <row r="551" spans="1:12" ht="13.5">
      <c r="A551" s="1406">
        <v>27350</v>
      </c>
      <c r="B551" s="1405">
        <v>27400</v>
      </c>
      <c r="C551" s="4809">
        <v>0</v>
      </c>
      <c r="D551" s="1406">
        <v>3066</v>
      </c>
      <c r="E551" s="1406">
        <v>5379</v>
      </c>
      <c r="F551" s="1405">
        <v>6205</v>
      </c>
      <c r="G551" s="4809">
        <v>0</v>
      </c>
      <c r="H551" s="1406">
        <v>3995</v>
      </c>
      <c r="I551" s="1406">
        <v>6604</v>
      </c>
      <c r="J551" s="1405">
        <v>7430</v>
      </c>
      <c r="K551" s="1282"/>
      <c r="L551" s="1406">
        <f t="shared" si="10"/>
        <v>27375</v>
      </c>
    </row>
    <row r="552" spans="1:12" ht="13.5">
      <c r="A552" s="1406">
        <v>27400</v>
      </c>
      <c r="B552" s="1405">
        <v>27450</v>
      </c>
      <c r="C552" s="4809">
        <v>0</v>
      </c>
      <c r="D552" s="1406">
        <v>3058</v>
      </c>
      <c r="E552" s="1406">
        <v>5369</v>
      </c>
      <c r="F552" s="1405">
        <v>6194</v>
      </c>
      <c r="G552" s="4809">
        <v>0</v>
      </c>
      <c r="H552" s="1406">
        <v>3995</v>
      </c>
      <c r="I552" s="1406">
        <v>6604</v>
      </c>
      <c r="J552" s="1405">
        <v>7430</v>
      </c>
      <c r="K552" s="1282"/>
      <c r="L552" s="1406">
        <f t="shared" si="10"/>
        <v>27425</v>
      </c>
    </row>
    <row r="553" spans="1:12" ht="13.5">
      <c r="A553" s="1406">
        <v>27450</v>
      </c>
      <c r="B553" s="1405">
        <v>27500</v>
      </c>
      <c r="C553" s="4809">
        <v>0</v>
      </c>
      <c r="D553" s="1406">
        <v>3050</v>
      </c>
      <c r="E553" s="1406">
        <v>5358</v>
      </c>
      <c r="F553" s="1405">
        <v>6184</v>
      </c>
      <c r="G553" s="4809">
        <v>0</v>
      </c>
      <c r="H553" s="1406">
        <v>3995</v>
      </c>
      <c r="I553" s="1406">
        <v>6604</v>
      </c>
      <c r="J553" s="1405">
        <v>7430</v>
      </c>
      <c r="K553" s="1282"/>
      <c r="L553" s="1406">
        <f t="shared" si="10"/>
        <v>27475</v>
      </c>
    </row>
    <row r="554" spans="1:12" ht="13.5">
      <c r="A554" s="1406">
        <v>27500</v>
      </c>
      <c r="B554" s="1405">
        <v>27550</v>
      </c>
      <c r="C554" s="4809">
        <v>0</v>
      </c>
      <c r="D554" s="1406">
        <v>3042</v>
      </c>
      <c r="E554" s="1406">
        <v>5348</v>
      </c>
      <c r="F554" s="1405">
        <v>6173</v>
      </c>
      <c r="G554" s="4809">
        <v>0</v>
      </c>
      <c r="H554" s="1406">
        <v>3995</v>
      </c>
      <c r="I554" s="1406">
        <v>6604</v>
      </c>
      <c r="J554" s="1405">
        <v>7430</v>
      </c>
      <c r="K554" s="1282"/>
      <c r="L554" s="1406">
        <f t="shared" si="10"/>
        <v>27525</v>
      </c>
    </row>
    <row r="555" spans="1:12" ht="13.5">
      <c r="A555" s="1406">
        <v>27550</v>
      </c>
      <c r="B555" s="1405">
        <v>27600</v>
      </c>
      <c r="C555" s="4809">
        <v>0</v>
      </c>
      <c r="D555" s="1406">
        <v>3034</v>
      </c>
      <c r="E555" s="1406">
        <v>5337</v>
      </c>
      <c r="F555" s="1405">
        <v>6163</v>
      </c>
      <c r="G555" s="4809">
        <v>0</v>
      </c>
      <c r="H555" s="1406">
        <v>3995</v>
      </c>
      <c r="I555" s="1406">
        <v>6604</v>
      </c>
      <c r="J555" s="1405">
        <v>7430</v>
      </c>
      <c r="K555" s="1282"/>
      <c r="L555" s="1406">
        <f t="shared" si="10"/>
        <v>27575</v>
      </c>
    </row>
    <row r="556" spans="1:12" ht="13.5">
      <c r="A556" s="1406">
        <v>27600</v>
      </c>
      <c r="B556" s="1405">
        <v>27650</v>
      </c>
      <c r="C556" s="4809">
        <v>0</v>
      </c>
      <c r="D556" s="1406">
        <v>3026</v>
      </c>
      <c r="E556" s="1406">
        <v>5327</v>
      </c>
      <c r="F556" s="1405">
        <v>6152</v>
      </c>
      <c r="G556" s="4809">
        <v>0</v>
      </c>
      <c r="H556" s="1406">
        <v>3995</v>
      </c>
      <c r="I556" s="1406">
        <v>6604</v>
      </c>
      <c r="J556" s="1405">
        <v>7430</v>
      </c>
      <c r="K556" s="1282"/>
      <c r="L556" s="1406">
        <f t="shared" si="10"/>
        <v>27625</v>
      </c>
    </row>
    <row r="557" spans="1:12" ht="13.5">
      <c r="A557" s="1406">
        <v>27650</v>
      </c>
      <c r="B557" s="1405">
        <v>27700</v>
      </c>
      <c r="C557" s="4809">
        <v>0</v>
      </c>
      <c r="D557" s="1406">
        <v>3018</v>
      </c>
      <c r="E557" s="1406">
        <v>5316</v>
      </c>
      <c r="F557" s="1405">
        <v>6142</v>
      </c>
      <c r="G557" s="4809">
        <v>0</v>
      </c>
      <c r="H557" s="1406">
        <v>3995</v>
      </c>
      <c r="I557" s="1406">
        <v>6604</v>
      </c>
      <c r="J557" s="1405">
        <v>7430</v>
      </c>
      <c r="K557" s="1282"/>
      <c r="L557" s="1406">
        <f t="shared" si="10"/>
        <v>27675</v>
      </c>
    </row>
    <row r="558" spans="1:12" ht="13.5">
      <c r="A558" s="1406">
        <v>27700</v>
      </c>
      <c r="B558" s="1405">
        <v>27750</v>
      </c>
      <c r="C558" s="4809">
        <v>0</v>
      </c>
      <c r="D558" s="1406">
        <v>3010</v>
      </c>
      <c r="E558" s="1406">
        <v>5306</v>
      </c>
      <c r="F558" s="1405">
        <v>6131</v>
      </c>
      <c r="G558" s="4809">
        <v>0</v>
      </c>
      <c r="H558" s="1406">
        <v>3995</v>
      </c>
      <c r="I558" s="1406">
        <v>6604</v>
      </c>
      <c r="J558" s="1405">
        <v>7430</v>
      </c>
      <c r="K558" s="1282"/>
      <c r="L558" s="1406">
        <f t="shared" si="10"/>
        <v>27725</v>
      </c>
    </row>
    <row r="559" spans="1:12" ht="13.5">
      <c r="A559" s="1406">
        <v>27750</v>
      </c>
      <c r="B559" s="1405">
        <v>27800</v>
      </c>
      <c r="C559" s="4809">
        <v>0</v>
      </c>
      <c r="D559" s="1406">
        <v>3002</v>
      </c>
      <c r="E559" s="1406">
        <v>5295</v>
      </c>
      <c r="F559" s="1405">
        <v>6121</v>
      </c>
      <c r="G559" s="4809">
        <v>0</v>
      </c>
      <c r="H559" s="1406">
        <v>3995</v>
      </c>
      <c r="I559" s="1406">
        <v>6604</v>
      </c>
      <c r="J559" s="1405">
        <v>7430</v>
      </c>
      <c r="K559" s="1282"/>
      <c r="L559" s="1406">
        <f t="shared" si="10"/>
        <v>27775</v>
      </c>
    </row>
    <row r="560" spans="1:12" ht="13.5">
      <c r="A560" s="1406">
        <v>27800</v>
      </c>
      <c r="B560" s="1405">
        <v>27850</v>
      </c>
      <c r="C560" s="4809">
        <v>0</v>
      </c>
      <c r="D560" s="1406">
        <v>2994</v>
      </c>
      <c r="E560" s="1406">
        <v>5285</v>
      </c>
      <c r="F560" s="1405">
        <v>6110</v>
      </c>
      <c r="G560" s="4809">
        <v>0</v>
      </c>
      <c r="H560" s="1406">
        <v>3995</v>
      </c>
      <c r="I560" s="1406">
        <v>6604</v>
      </c>
      <c r="J560" s="1405">
        <v>7430</v>
      </c>
      <c r="K560" s="1282"/>
      <c r="L560" s="1406">
        <f t="shared" si="10"/>
        <v>27825</v>
      </c>
    </row>
    <row r="561" spans="1:12" ht="13.5">
      <c r="A561" s="1406">
        <v>27850</v>
      </c>
      <c r="B561" s="1405">
        <v>27900</v>
      </c>
      <c r="C561" s="4809">
        <v>0</v>
      </c>
      <c r="D561" s="1406">
        <v>2986</v>
      </c>
      <c r="E561" s="1406">
        <v>5274</v>
      </c>
      <c r="F561" s="1405">
        <v>6100</v>
      </c>
      <c r="G561" s="4809">
        <v>0</v>
      </c>
      <c r="H561" s="1406">
        <v>3995</v>
      </c>
      <c r="I561" s="1406">
        <v>6604</v>
      </c>
      <c r="J561" s="1405">
        <v>7430</v>
      </c>
      <c r="K561" s="1282"/>
      <c r="L561" s="1406">
        <f t="shared" si="10"/>
        <v>27875</v>
      </c>
    </row>
    <row r="562" spans="1:12" ht="13.5">
      <c r="A562" s="1406">
        <v>27900</v>
      </c>
      <c r="B562" s="1405">
        <v>27950</v>
      </c>
      <c r="C562" s="4809">
        <v>0</v>
      </c>
      <c r="D562" s="1406">
        <v>2978</v>
      </c>
      <c r="E562" s="1406">
        <v>5264</v>
      </c>
      <c r="F562" s="1405">
        <v>6089</v>
      </c>
      <c r="G562" s="4809">
        <v>0</v>
      </c>
      <c r="H562" s="1406">
        <v>3995</v>
      </c>
      <c r="I562" s="1406">
        <v>6604</v>
      </c>
      <c r="J562" s="1405">
        <v>7430</v>
      </c>
      <c r="K562" s="1282"/>
      <c r="L562" s="1406">
        <f t="shared" si="10"/>
        <v>27925</v>
      </c>
    </row>
    <row r="563" spans="1:12" ht="13.5">
      <c r="A563" s="1406">
        <v>27950</v>
      </c>
      <c r="B563" s="1405">
        <v>28000</v>
      </c>
      <c r="C563" s="4809">
        <v>0</v>
      </c>
      <c r="D563" s="1406">
        <v>2970</v>
      </c>
      <c r="E563" s="1406">
        <v>5253</v>
      </c>
      <c r="F563" s="1405">
        <v>6079</v>
      </c>
      <c r="G563" s="4809">
        <v>0</v>
      </c>
      <c r="H563" s="1406">
        <v>3995</v>
      </c>
      <c r="I563" s="1406">
        <v>6604</v>
      </c>
      <c r="J563" s="1405">
        <v>7430</v>
      </c>
      <c r="K563" s="1282"/>
      <c r="L563" s="1406">
        <f t="shared" si="10"/>
        <v>27975</v>
      </c>
    </row>
    <row r="564" spans="1:12" ht="13.5">
      <c r="A564" s="1406">
        <v>28000</v>
      </c>
      <c r="B564" s="1405">
        <v>28050</v>
      </c>
      <c r="C564" s="4809">
        <v>0</v>
      </c>
      <c r="D564" s="1406">
        <v>2962</v>
      </c>
      <c r="E564" s="1406">
        <v>5242</v>
      </c>
      <c r="F564" s="1405">
        <v>6068</v>
      </c>
      <c r="G564" s="4809">
        <v>0</v>
      </c>
      <c r="H564" s="1406">
        <v>3995</v>
      </c>
      <c r="I564" s="1406">
        <v>6604</v>
      </c>
      <c r="J564" s="1405">
        <v>7430</v>
      </c>
      <c r="K564" s="1282"/>
      <c r="L564" s="1406">
        <f t="shared" si="10"/>
        <v>28025</v>
      </c>
    </row>
    <row r="565" spans="1:12" ht="13.5">
      <c r="A565" s="1406">
        <v>28050</v>
      </c>
      <c r="B565" s="1405">
        <v>28100</v>
      </c>
      <c r="C565" s="4809">
        <v>0</v>
      </c>
      <c r="D565" s="1406">
        <v>2954</v>
      </c>
      <c r="E565" s="1406">
        <v>5232</v>
      </c>
      <c r="F565" s="1405">
        <v>6057</v>
      </c>
      <c r="G565" s="4809">
        <v>0</v>
      </c>
      <c r="H565" s="1406">
        <v>3995</v>
      </c>
      <c r="I565" s="1406">
        <v>6604</v>
      </c>
      <c r="J565" s="1405">
        <v>7430</v>
      </c>
      <c r="K565" s="1282"/>
      <c r="L565" s="1406">
        <f t="shared" si="10"/>
        <v>28075</v>
      </c>
    </row>
    <row r="566" spans="1:12" ht="13.5">
      <c r="A566" s="1406">
        <v>28100</v>
      </c>
      <c r="B566" s="1405">
        <v>28150</v>
      </c>
      <c r="C566" s="4809">
        <v>0</v>
      </c>
      <c r="D566" s="1406">
        <v>2946</v>
      </c>
      <c r="E566" s="1406">
        <v>5221</v>
      </c>
      <c r="F566" s="1405">
        <v>6047</v>
      </c>
      <c r="G566" s="4809">
        <v>0</v>
      </c>
      <c r="H566" s="1406">
        <v>3995</v>
      </c>
      <c r="I566" s="1406">
        <v>6604</v>
      </c>
      <c r="J566" s="1405">
        <v>7430</v>
      </c>
      <c r="K566" s="1282"/>
      <c r="L566" s="1406">
        <f t="shared" si="10"/>
        <v>28125</v>
      </c>
    </row>
    <row r="567" spans="1:12" ht="13.5">
      <c r="A567" s="1406">
        <v>28150</v>
      </c>
      <c r="B567" s="1405">
        <v>28200</v>
      </c>
      <c r="C567" s="4809">
        <v>0</v>
      </c>
      <c r="D567" s="1406">
        <v>2938</v>
      </c>
      <c r="E567" s="1406">
        <v>5211</v>
      </c>
      <c r="F567" s="1405">
        <v>6036</v>
      </c>
      <c r="G567" s="4809">
        <v>0</v>
      </c>
      <c r="H567" s="1406">
        <v>3986</v>
      </c>
      <c r="I567" s="1406">
        <v>6592</v>
      </c>
      <c r="J567" s="1405">
        <v>7418</v>
      </c>
      <c r="K567" s="1282"/>
      <c r="L567" s="1406">
        <f t="shared" si="10"/>
        <v>28175</v>
      </c>
    </row>
    <row r="568" spans="1:12" ht="13.5">
      <c r="A568" s="1406">
        <v>28200</v>
      </c>
      <c r="B568" s="1405">
        <v>28250</v>
      </c>
      <c r="C568" s="4809">
        <v>0</v>
      </c>
      <c r="D568" s="1406">
        <v>2930</v>
      </c>
      <c r="E568" s="1406">
        <v>5200</v>
      </c>
      <c r="F568" s="1405">
        <v>6026</v>
      </c>
      <c r="G568" s="4809">
        <v>0</v>
      </c>
      <c r="H568" s="1406">
        <v>3978</v>
      </c>
      <c r="I568" s="1406">
        <v>6582</v>
      </c>
      <c r="J568" s="1405">
        <v>7407</v>
      </c>
      <c r="K568" s="1282"/>
      <c r="L568" s="1406">
        <f t="shared" si="10"/>
        <v>28225</v>
      </c>
    </row>
    <row r="569" spans="1:12" ht="13.5">
      <c r="A569" s="1406">
        <v>28250</v>
      </c>
      <c r="B569" s="1405">
        <v>28300</v>
      </c>
      <c r="C569" s="4809">
        <v>0</v>
      </c>
      <c r="D569" s="1406">
        <v>2922</v>
      </c>
      <c r="E569" s="1406">
        <v>5190</v>
      </c>
      <c r="F569" s="1405">
        <v>6015</v>
      </c>
      <c r="G569" s="4809">
        <v>0</v>
      </c>
      <c r="H569" s="1406">
        <v>3970</v>
      </c>
      <c r="I569" s="1406">
        <v>6571</v>
      </c>
      <c r="J569" s="1405">
        <v>7397</v>
      </c>
      <c r="K569" s="1282"/>
      <c r="L569" s="1406">
        <f t="shared" si="10"/>
        <v>28275</v>
      </c>
    </row>
    <row r="570" spans="1:12" ht="13.5">
      <c r="A570" s="1406">
        <v>28300</v>
      </c>
      <c r="B570" s="1405">
        <v>28350</v>
      </c>
      <c r="C570" s="4809">
        <v>0</v>
      </c>
      <c r="D570" s="1406">
        <v>2914</v>
      </c>
      <c r="E570" s="1406">
        <v>5179</v>
      </c>
      <c r="F570" s="1405">
        <v>6005</v>
      </c>
      <c r="G570" s="4809">
        <v>0</v>
      </c>
      <c r="H570" s="1406">
        <v>3962</v>
      </c>
      <c r="I570" s="1406">
        <v>6561</v>
      </c>
      <c r="J570" s="1405">
        <v>7386</v>
      </c>
      <c r="K570" s="1282"/>
      <c r="L570" s="1406">
        <f t="shared" si="10"/>
        <v>28325</v>
      </c>
    </row>
    <row r="571" spans="1:12" ht="13.5">
      <c r="A571" s="1406">
        <v>28350</v>
      </c>
      <c r="B571" s="1405">
        <v>28400</v>
      </c>
      <c r="C571" s="4809">
        <v>0</v>
      </c>
      <c r="D571" s="1406">
        <v>2906</v>
      </c>
      <c r="E571" s="1406">
        <v>5169</v>
      </c>
      <c r="F571" s="1405">
        <v>5994</v>
      </c>
      <c r="G571" s="4809">
        <v>0</v>
      </c>
      <c r="H571" s="1406">
        <v>3954</v>
      </c>
      <c r="I571" s="1406">
        <v>6550</v>
      </c>
      <c r="J571" s="1405">
        <v>7376</v>
      </c>
      <c r="K571" s="1282"/>
      <c r="L571" s="1406">
        <f t="shared" si="10"/>
        <v>28375</v>
      </c>
    </row>
    <row r="572" spans="1:12" ht="13.5">
      <c r="A572" s="1406">
        <v>28400</v>
      </c>
      <c r="B572" s="1405">
        <v>28450</v>
      </c>
      <c r="C572" s="4809">
        <v>0</v>
      </c>
      <c r="D572" s="1406">
        <v>2898</v>
      </c>
      <c r="E572" s="1406">
        <v>5158</v>
      </c>
      <c r="F572" s="1405">
        <v>5984</v>
      </c>
      <c r="G572" s="4809">
        <v>0</v>
      </c>
      <c r="H572" s="1406">
        <v>3946</v>
      </c>
      <c r="I572" s="1406">
        <v>6540</v>
      </c>
      <c r="J572" s="1405">
        <v>7365</v>
      </c>
      <c r="K572" s="1282"/>
      <c r="L572" s="1406">
        <f t="shared" si="10"/>
        <v>28425</v>
      </c>
    </row>
    <row r="573" spans="1:12" ht="13.5">
      <c r="A573" s="1406">
        <v>28450</v>
      </c>
      <c r="B573" s="1405">
        <v>28500</v>
      </c>
      <c r="C573" s="4809">
        <v>0</v>
      </c>
      <c r="D573" s="1406">
        <v>2890</v>
      </c>
      <c r="E573" s="1406">
        <v>5148</v>
      </c>
      <c r="F573" s="1405">
        <v>5973</v>
      </c>
      <c r="G573" s="4809">
        <v>0</v>
      </c>
      <c r="H573" s="1406">
        <v>3938</v>
      </c>
      <c r="I573" s="1406">
        <v>6529</v>
      </c>
      <c r="J573" s="1405">
        <v>7355</v>
      </c>
      <c r="K573" s="1282"/>
      <c r="L573" s="1406">
        <f t="shared" si="10"/>
        <v>28475</v>
      </c>
    </row>
    <row r="574" spans="1:12" ht="13.5">
      <c r="A574" s="1406">
        <v>28500</v>
      </c>
      <c r="B574" s="1405">
        <v>28550</v>
      </c>
      <c r="C574" s="4809">
        <v>0</v>
      </c>
      <c r="D574" s="1406">
        <v>2882</v>
      </c>
      <c r="E574" s="1406">
        <v>5137</v>
      </c>
      <c r="F574" s="1405">
        <v>5963</v>
      </c>
      <c r="G574" s="4809">
        <v>0</v>
      </c>
      <c r="H574" s="1406">
        <v>3930</v>
      </c>
      <c r="I574" s="1406">
        <v>6519</v>
      </c>
      <c r="J574" s="1405">
        <v>7344</v>
      </c>
      <c r="K574" s="1282"/>
      <c r="L574" s="1406">
        <f t="shared" si="10"/>
        <v>28525</v>
      </c>
    </row>
    <row r="575" spans="1:12" ht="13.5">
      <c r="A575" s="1406">
        <v>28550</v>
      </c>
      <c r="B575" s="1405">
        <v>28600</v>
      </c>
      <c r="C575" s="4809">
        <v>0</v>
      </c>
      <c r="D575" s="1406">
        <v>2874</v>
      </c>
      <c r="E575" s="1406">
        <v>5127</v>
      </c>
      <c r="F575" s="1405">
        <v>5952</v>
      </c>
      <c r="G575" s="4809">
        <v>0</v>
      </c>
      <c r="H575" s="1406">
        <v>3922</v>
      </c>
      <c r="I575" s="1406">
        <v>6508</v>
      </c>
      <c r="J575" s="1405">
        <v>7334</v>
      </c>
      <c r="K575" s="1282"/>
      <c r="L575" s="1406">
        <f t="shared" si="10"/>
        <v>28575</v>
      </c>
    </row>
    <row r="576" spans="1:12" ht="13.5">
      <c r="A576" s="1406">
        <v>28600</v>
      </c>
      <c r="B576" s="1405">
        <v>28650</v>
      </c>
      <c r="C576" s="4809">
        <v>0</v>
      </c>
      <c r="D576" s="1406">
        <v>2866</v>
      </c>
      <c r="E576" s="1406">
        <v>5116</v>
      </c>
      <c r="F576" s="1405">
        <v>5942</v>
      </c>
      <c r="G576" s="4809">
        <v>0</v>
      </c>
      <c r="H576" s="1406">
        <v>3914</v>
      </c>
      <c r="I576" s="1406">
        <v>6498</v>
      </c>
      <c r="J576" s="1405">
        <v>7323</v>
      </c>
      <c r="K576" s="1282"/>
      <c r="L576" s="1406">
        <f t="shared" si="10"/>
        <v>28625</v>
      </c>
    </row>
    <row r="577" spans="1:12" ht="13.5">
      <c r="A577" s="1406">
        <v>28650</v>
      </c>
      <c r="B577" s="1405">
        <v>28700</v>
      </c>
      <c r="C577" s="4809">
        <v>0</v>
      </c>
      <c r="D577" s="1406">
        <v>2858</v>
      </c>
      <c r="E577" s="1406">
        <v>5106</v>
      </c>
      <c r="F577" s="1405">
        <v>5931</v>
      </c>
      <c r="G577" s="4809">
        <v>0</v>
      </c>
      <c r="H577" s="1406">
        <v>3906</v>
      </c>
      <c r="I577" s="1406">
        <v>6487</v>
      </c>
      <c r="J577" s="1405">
        <v>7313</v>
      </c>
      <c r="K577" s="1282"/>
      <c r="L577" s="1406">
        <f t="shared" si="10"/>
        <v>28675</v>
      </c>
    </row>
    <row r="578" spans="1:12" ht="13.5">
      <c r="A578" s="1406">
        <v>28700</v>
      </c>
      <c r="B578" s="1405">
        <v>28750</v>
      </c>
      <c r="C578" s="4809">
        <v>0</v>
      </c>
      <c r="D578" s="1406">
        <v>2850</v>
      </c>
      <c r="E578" s="1406">
        <v>5095</v>
      </c>
      <c r="F578" s="1405">
        <v>5921</v>
      </c>
      <c r="G578" s="4809">
        <v>0</v>
      </c>
      <c r="H578" s="1406">
        <v>3898</v>
      </c>
      <c r="I578" s="1406">
        <v>6477</v>
      </c>
      <c r="J578" s="1405">
        <v>7302</v>
      </c>
      <c r="K578" s="1282"/>
      <c r="L578" s="1406">
        <f t="shared" si="10"/>
        <v>28725</v>
      </c>
    </row>
    <row r="579" spans="1:12" ht="13.5">
      <c r="A579" s="1406">
        <v>28750</v>
      </c>
      <c r="B579" s="1405">
        <v>28800</v>
      </c>
      <c r="C579" s="4809">
        <v>0</v>
      </c>
      <c r="D579" s="1406">
        <v>2842</v>
      </c>
      <c r="E579" s="1406">
        <v>5085</v>
      </c>
      <c r="F579" s="1405">
        <v>5910</v>
      </c>
      <c r="G579" s="4809">
        <v>0</v>
      </c>
      <c r="H579" s="1406">
        <v>3890</v>
      </c>
      <c r="I579" s="1406">
        <v>6466</v>
      </c>
      <c r="J579" s="1405">
        <v>7292</v>
      </c>
      <c r="K579" s="1282"/>
      <c r="L579" s="1406">
        <f t="shared" si="10"/>
        <v>28775</v>
      </c>
    </row>
    <row r="580" spans="1:12" ht="13.5">
      <c r="A580" s="1406">
        <v>28800</v>
      </c>
      <c r="B580" s="1405">
        <v>28850</v>
      </c>
      <c r="C580" s="4809">
        <v>0</v>
      </c>
      <c r="D580" s="1406">
        <v>2834</v>
      </c>
      <c r="E580" s="1406">
        <v>5074</v>
      </c>
      <c r="F580" s="1405">
        <v>5899</v>
      </c>
      <c r="G580" s="4809">
        <v>0</v>
      </c>
      <c r="H580" s="1406">
        <v>3882</v>
      </c>
      <c r="I580" s="1406">
        <v>6456</v>
      </c>
      <c r="J580" s="1405">
        <v>7281</v>
      </c>
      <c r="K580" s="1282"/>
      <c r="L580" s="1406">
        <f t="shared" ref="L580:L643" si="11">ROUND((A580+B580)/2,2)</f>
        <v>28825</v>
      </c>
    </row>
    <row r="581" spans="1:12" ht="13.5">
      <c r="A581" s="1406">
        <v>28850</v>
      </c>
      <c r="B581" s="1405">
        <v>28900</v>
      </c>
      <c r="C581" s="4809">
        <v>0</v>
      </c>
      <c r="D581" s="1406">
        <v>2826</v>
      </c>
      <c r="E581" s="1406">
        <v>5063</v>
      </c>
      <c r="F581" s="1405">
        <v>5889</v>
      </c>
      <c r="G581" s="4809">
        <v>0</v>
      </c>
      <c r="H581" s="1406">
        <v>3874</v>
      </c>
      <c r="I581" s="1406">
        <v>6445</v>
      </c>
      <c r="J581" s="1405">
        <v>7270</v>
      </c>
      <c r="K581" s="1282"/>
      <c r="L581" s="1406">
        <f t="shared" si="11"/>
        <v>28875</v>
      </c>
    </row>
    <row r="582" spans="1:12" ht="13.5">
      <c r="A582" s="1406">
        <v>28900</v>
      </c>
      <c r="B582" s="1405">
        <v>28950</v>
      </c>
      <c r="C582" s="4809">
        <v>0</v>
      </c>
      <c r="D582" s="1406">
        <v>2818</v>
      </c>
      <c r="E582" s="1406">
        <v>5053</v>
      </c>
      <c r="F582" s="1405">
        <v>5878</v>
      </c>
      <c r="G582" s="4809">
        <v>0</v>
      </c>
      <c r="H582" s="1406">
        <v>3866</v>
      </c>
      <c r="I582" s="1406">
        <v>6434</v>
      </c>
      <c r="J582" s="1405">
        <v>7260</v>
      </c>
      <c r="K582" s="1282"/>
      <c r="L582" s="1406">
        <f t="shared" si="11"/>
        <v>28925</v>
      </c>
    </row>
    <row r="583" spans="1:12" ht="13.5">
      <c r="A583" s="1406">
        <v>28950</v>
      </c>
      <c r="B583" s="1405">
        <v>29000</v>
      </c>
      <c r="C583" s="4809">
        <v>0</v>
      </c>
      <c r="D583" s="1406">
        <v>2810</v>
      </c>
      <c r="E583" s="1406">
        <v>5042</v>
      </c>
      <c r="F583" s="1405">
        <v>5868</v>
      </c>
      <c r="G583" s="4809">
        <v>0</v>
      </c>
      <c r="H583" s="1406">
        <v>3858</v>
      </c>
      <c r="I583" s="1406">
        <v>6424</v>
      </c>
      <c r="J583" s="1405">
        <v>7249</v>
      </c>
      <c r="K583" s="1282"/>
      <c r="L583" s="1406">
        <f t="shared" si="11"/>
        <v>28975</v>
      </c>
    </row>
    <row r="584" spans="1:12" ht="13.5">
      <c r="A584" s="1406">
        <v>29000</v>
      </c>
      <c r="B584" s="1405">
        <v>29050</v>
      </c>
      <c r="C584" s="4809">
        <v>0</v>
      </c>
      <c r="D584" s="1406">
        <v>2802</v>
      </c>
      <c r="E584" s="1406">
        <v>5032</v>
      </c>
      <c r="F584" s="1405">
        <v>5857</v>
      </c>
      <c r="G584" s="4809">
        <v>0</v>
      </c>
      <c r="H584" s="1406">
        <v>3850</v>
      </c>
      <c r="I584" s="1406">
        <v>6413</v>
      </c>
      <c r="J584" s="1405">
        <v>7239</v>
      </c>
      <c r="K584" s="1282"/>
      <c r="L584" s="1406">
        <f t="shared" si="11"/>
        <v>29025</v>
      </c>
    </row>
    <row r="585" spans="1:12" ht="13.5">
      <c r="A585" s="1406">
        <v>29050</v>
      </c>
      <c r="B585" s="1405">
        <v>29100</v>
      </c>
      <c r="C585" s="4809">
        <v>0</v>
      </c>
      <c r="D585" s="1406">
        <v>2794</v>
      </c>
      <c r="E585" s="1406">
        <v>5021</v>
      </c>
      <c r="F585" s="1405">
        <v>5847</v>
      </c>
      <c r="G585" s="4809">
        <v>0</v>
      </c>
      <c r="H585" s="1406">
        <v>3842</v>
      </c>
      <c r="I585" s="1406">
        <v>6403</v>
      </c>
      <c r="J585" s="1405">
        <v>7228</v>
      </c>
      <c r="K585" s="1282"/>
      <c r="L585" s="1406">
        <f t="shared" si="11"/>
        <v>29075</v>
      </c>
    </row>
    <row r="586" spans="1:12" ht="13.5">
      <c r="A586" s="1406">
        <v>29100</v>
      </c>
      <c r="B586" s="1405">
        <v>29150</v>
      </c>
      <c r="C586" s="4809">
        <v>0</v>
      </c>
      <c r="D586" s="1406">
        <v>2786</v>
      </c>
      <c r="E586" s="1406">
        <v>5011</v>
      </c>
      <c r="F586" s="1405">
        <v>5836</v>
      </c>
      <c r="G586" s="4809">
        <v>0</v>
      </c>
      <c r="H586" s="1406">
        <v>3834</v>
      </c>
      <c r="I586" s="1406">
        <v>6392</v>
      </c>
      <c r="J586" s="1405">
        <v>7218</v>
      </c>
      <c r="K586" s="1282"/>
      <c r="L586" s="1406">
        <f t="shared" si="11"/>
        <v>29125</v>
      </c>
    </row>
    <row r="587" spans="1:12" ht="13.5">
      <c r="A587" s="1406">
        <v>29150</v>
      </c>
      <c r="B587" s="1405">
        <v>29200</v>
      </c>
      <c r="C587" s="4809">
        <v>0</v>
      </c>
      <c r="D587" s="1406">
        <v>2778</v>
      </c>
      <c r="E587" s="1406">
        <v>5000</v>
      </c>
      <c r="F587" s="1405">
        <v>5826</v>
      </c>
      <c r="G587" s="4809">
        <v>0</v>
      </c>
      <c r="H587" s="1406">
        <v>3826</v>
      </c>
      <c r="I587" s="1406">
        <v>6382</v>
      </c>
      <c r="J587" s="1405">
        <v>7207</v>
      </c>
      <c r="K587" s="1282"/>
      <c r="L587" s="1406">
        <f t="shared" si="11"/>
        <v>29175</v>
      </c>
    </row>
    <row r="588" spans="1:12" ht="13.5">
      <c r="A588" s="1406">
        <v>29200</v>
      </c>
      <c r="B588" s="1405">
        <v>29250</v>
      </c>
      <c r="C588" s="4809">
        <v>0</v>
      </c>
      <c r="D588" s="1406">
        <v>2770</v>
      </c>
      <c r="E588" s="1406">
        <v>4990</v>
      </c>
      <c r="F588" s="1405">
        <v>5815</v>
      </c>
      <c r="G588" s="4809">
        <v>0</v>
      </c>
      <c r="H588" s="1406">
        <v>3818</v>
      </c>
      <c r="I588" s="1406">
        <v>6371</v>
      </c>
      <c r="J588" s="1405">
        <v>7197</v>
      </c>
      <c r="K588" s="1282"/>
      <c r="L588" s="1406">
        <f t="shared" si="11"/>
        <v>29225</v>
      </c>
    </row>
    <row r="589" spans="1:12" ht="13.5">
      <c r="A589" s="1406">
        <v>29250</v>
      </c>
      <c r="B589" s="1405">
        <v>29300</v>
      </c>
      <c r="C589" s="4809">
        <v>0</v>
      </c>
      <c r="D589" s="1406">
        <v>2762</v>
      </c>
      <c r="E589" s="1406">
        <v>4979</v>
      </c>
      <c r="F589" s="1405">
        <v>5805</v>
      </c>
      <c r="G589" s="4809">
        <v>0</v>
      </c>
      <c r="H589" s="1406">
        <v>3810</v>
      </c>
      <c r="I589" s="1406">
        <v>6361</v>
      </c>
      <c r="J589" s="1405">
        <v>7186</v>
      </c>
      <c r="K589" s="1282"/>
      <c r="L589" s="1406">
        <f t="shared" si="11"/>
        <v>29275</v>
      </c>
    </row>
    <row r="590" spans="1:12" ht="13.5">
      <c r="A590" s="1406">
        <v>29300</v>
      </c>
      <c r="B590" s="1405">
        <v>29350</v>
      </c>
      <c r="C590" s="4809">
        <v>0</v>
      </c>
      <c r="D590" s="1406">
        <v>2754</v>
      </c>
      <c r="E590" s="1406">
        <v>4969</v>
      </c>
      <c r="F590" s="1405">
        <v>5794</v>
      </c>
      <c r="G590" s="4809">
        <v>0</v>
      </c>
      <c r="H590" s="1406">
        <v>3802</v>
      </c>
      <c r="I590" s="1406">
        <v>6350</v>
      </c>
      <c r="J590" s="1405">
        <v>7176</v>
      </c>
      <c r="K590" s="1282"/>
      <c r="L590" s="1406">
        <f t="shared" si="11"/>
        <v>29325</v>
      </c>
    </row>
    <row r="591" spans="1:12" ht="13.5">
      <c r="A591" s="1406">
        <v>29350</v>
      </c>
      <c r="B591" s="1405">
        <v>29400</v>
      </c>
      <c r="C591" s="4809">
        <v>0</v>
      </c>
      <c r="D591" s="1406">
        <v>2746</v>
      </c>
      <c r="E591" s="1406">
        <v>4958</v>
      </c>
      <c r="F591" s="1405">
        <v>5784</v>
      </c>
      <c r="G591" s="4809">
        <v>0</v>
      </c>
      <c r="H591" s="1406">
        <v>3794</v>
      </c>
      <c r="I591" s="1406">
        <v>6340</v>
      </c>
      <c r="J591" s="1405">
        <v>7165</v>
      </c>
      <c r="K591" s="1282"/>
      <c r="L591" s="1406">
        <f t="shared" si="11"/>
        <v>29375</v>
      </c>
    </row>
    <row r="592" spans="1:12" ht="13.5">
      <c r="A592" s="1406">
        <v>29400</v>
      </c>
      <c r="B592" s="1405">
        <v>29450</v>
      </c>
      <c r="C592" s="4809">
        <v>0</v>
      </c>
      <c r="D592" s="1406">
        <v>2738</v>
      </c>
      <c r="E592" s="1406">
        <v>4948</v>
      </c>
      <c r="F592" s="1405">
        <v>5773</v>
      </c>
      <c r="G592" s="4809">
        <v>0</v>
      </c>
      <c r="H592" s="1406">
        <v>3786</v>
      </c>
      <c r="I592" s="1406">
        <v>6329</v>
      </c>
      <c r="J592" s="1405">
        <v>7155</v>
      </c>
      <c r="K592" s="1282"/>
      <c r="L592" s="1406">
        <f t="shared" si="11"/>
        <v>29425</v>
      </c>
    </row>
    <row r="593" spans="1:12" ht="13.5">
      <c r="A593" s="1406">
        <v>29450</v>
      </c>
      <c r="B593" s="1405">
        <v>29500</v>
      </c>
      <c r="C593" s="4809">
        <v>0</v>
      </c>
      <c r="D593" s="1406">
        <v>2730</v>
      </c>
      <c r="E593" s="1406">
        <v>4937</v>
      </c>
      <c r="F593" s="1405">
        <v>5763</v>
      </c>
      <c r="G593" s="4809">
        <v>0</v>
      </c>
      <c r="H593" s="1406">
        <v>3778</v>
      </c>
      <c r="I593" s="1406">
        <v>6319</v>
      </c>
      <c r="J593" s="1405">
        <v>7144</v>
      </c>
      <c r="K593" s="1282"/>
      <c r="L593" s="1406">
        <f t="shared" si="11"/>
        <v>29475</v>
      </c>
    </row>
    <row r="594" spans="1:12" ht="13.5">
      <c r="A594" s="1406">
        <v>29500</v>
      </c>
      <c r="B594" s="1405">
        <v>29550</v>
      </c>
      <c r="C594" s="4809">
        <v>0</v>
      </c>
      <c r="D594" s="1406">
        <v>2722</v>
      </c>
      <c r="E594" s="1406">
        <v>4927</v>
      </c>
      <c r="F594" s="1405">
        <v>5752</v>
      </c>
      <c r="G594" s="4809">
        <v>0</v>
      </c>
      <c r="H594" s="1406">
        <v>3770</v>
      </c>
      <c r="I594" s="1406">
        <v>6308</v>
      </c>
      <c r="J594" s="1405">
        <v>7134</v>
      </c>
      <c r="K594" s="1282"/>
      <c r="L594" s="1406">
        <f t="shared" si="11"/>
        <v>29525</v>
      </c>
    </row>
    <row r="595" spans="1:12" ht="13.5">
      <c r="A595" s="1406">
        <v>29550</v>
      </c>
      <c r="B595" s="1405">
        <v>29600</v>
      </c>
      <c r="C595" s="4809">
        <v>0</v>
      </c>
      <c r="D595" s="1406">
        <v>2714</v>
      </c>
      <c r="E595" s="1406">
        <v>4916</v>
      </c>
      <c r="F595" s="1405">
        <v>5742</v>
      </c>
      <c r="G595" s="4809">
        <v>0</v>
      </c>
      <c r="H595" s="1406">
        <v>3762</v>
      </c>
      <c r="I595" s="1406">
        <v>6298</v>
      </c>
      <c r="J595" s="1405">
        <v>7123</v>
      </c>
      <c r="K595" s="1282"/>
      <c r="L595" s="1406">
        <f t="shared" si="11"/>
        <v>29575</v>
      </c>
    </row>
    <row r="596" spans="1:12" ht="13.5">
      <c r="A596" s="1406">
        <v>29600</v>
      </c>
      <c r="B596" s="1405">
        <v>29650</v>
      </c>
      <c r="C596" s="4809">
        <v>0</v>
      </c>
      <c r="D596" s="1406">
        <v>2706</v>
      </c>
      <c r="E596" s="1406">
        <v>4906</v>
      </c>
      <c r="F596" s="1405">
        <v>5731</v>
      </c>
      <c r="G596" s="4809">
        <v>0</v>
      </c>
      <c r="H596" s="1406">
        <v>3755</v>
      </c>
      <c r="I596" s="1406">
        <v>6287</v>
      </c>
      <c r="J596" s="1405">
        <v>7113</v>
      </c>
      <c r="K596" s="1282"/>
      <c r="L596" s="1406">
        <f t="shared" si="11"/>
        <v>29625</v>
      </c>
    </row>
    <row r="597" spans="1:12" ht="13.5">
      <c r="A597" s="1406">
        <v>29650</v>
      </c>
      <c r="B597" s="1405">
        <v>29700</v>
      </c>
      <c r="C597" s="4809">
        <v>0</v>
      </c>
      <c r="D597" s="1406">
        <v>2698</v>
      </c>
      <c r="E597" s="1406">
        <v>4895</v>
      </c>
      <c r="F597" s="1405">
        <v>5720</v>
      </c>
      <c r="G597" s="4809">
        <v>0</v>
      </c>
      <c r="H597" s="1406">
        <v>3747</v>
      </c>
      <c r="I597" s="1406">
        <v>6277</v>
      </c>
      <c r="J597" s="1405">
        <v>7102</v>
      </c>
      <c r="K597" s="1282"/>
      <c r="L597" s="1406">
        <f t="shared" si="11"/>
        <v>29675</v>
      </c>
    </row>
    <row r="598" spans="1:12" ht="13.5">
      <c r="A598" s="1406">
        <v>29700</v>
      </c>
      <c r="B598" s="1405">
        <v>29750</v>
      </c>
      <c r="C598" s="4809">
        <v>0</v>
      </c>
      <c r="D598" s="1406">
        <v>2690</v>
      </c>
      <c r="E598" s="1406">
        <v>4884</v>
      </c>
      <c r="F598" s="1405">
        <v>5710</v>
      </c>
      <c r="G598" s="4809">
        <v>0</v>
      </c>
      <c r="H598" s="1406">
        <v>3739</v>
      </c>
      <c r="I598" s="1406">
        <v>6266</v>
      </c>
      <c r="J598" s="1405">
        <v>7091</v>
      </c>
      <c r="K598" s="1282"/>
      <c r="L598" s="1406">
        <f t="shared" si="11"/>
        <v>29725</v>
      </c>
    </row>
    <row r="599" spans="1:12" ht="13.5">
      <c r="A599" s="1406">
        <v>29750</v>
      </c>
      <c r="B599" s="1405">
        <v>29800</v>
      </c>
      <c r="C599" s="4809">
        <v>0</v>
      </c>
      <c r="D599" s="1406">
        <v>2682</v>
      </c>
      <c r="E599" s="1406">
        <v>4874</v>
      </c>
      <c r="F599" s="1405">
        <v>5699</v>
      </c>
      <c r="G599" s="4809">
        <v>0</v>
      </c>
      <c r="H599" s="1406">
        <v>3731</v>
      </c>
      <c r="I599" s="1406">
        <v>6255</v>
      </c>
      <c r="J599" s="1405">
        <v>7081</v>
      </c>
      <c r="K599" s="1282"/>
      <c r="L599" s="1406">
        <f t="shared" si="11"/>
        <v>29775</v>
      </c>
    </row>
    <row r="600" spans="1:12" ht="13.5">
      <c r="A600" s="1406">
        <v>29800</v>
      </c>
      <c r="B600" s="1405">
        <v>29850</v>
      </c>
      <c r="C600" s="4809">
        <v>0</v>
      </c>
      <c r="D600" s="1406">
        <v>2674</v>
      </c>
      <c r="E600" s="1406">
        <v>4863</v>
      </c>
      <c r="F600" s="1405">
        <v>5689</v>
      </c>
      <c r="G600" s="4809">
        <v>0</v>
      </c>
      <c r="H600" s="1406">
        <v>3723</v>
      </c>
      <c r="I600" s="1406">
        <v>6245</v>
      </c>
      <c r="J600" s="1405">
        <v>7070</v>
      </c>
      <c r="K600" s="1282"/>
      <c r="L600" s="1406">
        <f t="shared" si="11"/>
        <v>29825</v>
      </c>
    </row>
    <row r="601" spans="1:12" ht="13.5">
      <c r="A601" s="1406">
        <v>29850</v>
      </c>
      <c r="B601" s="1405">
        <v>29900</v>
      </c>
      <c r="C601" s="4809">
        <v>0</v>
      </c>
      <c r="D601" s="1406">
        <v>2666</v>
      </c>
      <c r="E601" s="1406">
        <v>4853</v>
      </c>
      <c r="F601" s="1405">
        <v>5678</v>
      </c>
      <c r="G601" s="4809">
        <v>0</v>
      </c>
      <c r="H601" s="1406">
        <v>3715</v>
      </c>
      <c r="I601" s="1406">
        <v>6234</v>
      </c>
      <c r="J601" s="1405">
        <v>7060</v>
      </c>
      <c r="K601" s="1282"/>
      <c r="L601" s="1406">
        <f t="shared" si="11"/>
        <v>29875</v>
      </c>
    </row>
    <row r="602" spans="1:12" ht="13.5">
      <c r="A602" s="1406">
        <v>29900</v>
      </c>
      <c r="B602" s="1405">
        <v>29950</v>
      </c>
      <c r="C602" s="4809">
        <v>0</v>
      </c>
      <c r="D602" s="1406">
        <v>2658</v>
      </c>
      <c r="E602" s="1406">
        <v>4842</v>
      </c>
      <c r="F602" s="1405">
        <v>5668</v>
      </c>
      <c r="G602" s="4809">
        <v>0</v>
      </c>
      <c r="H602" s="1406">
        <v>3707</v>
      </c>
      <c r="I602" s="1406">
        <v>6224</v>
      </c>
      <c r="J602" s="1405">
        <v>7049</v>
      </c>
      <c r="K602" s="1282"/>
      <c r="L602" s="1406">
        <f t="shared" si="11"/>
        <v>29925</v>
      </c>
    </row>
    <row r="603" spans="1:12" ht="13.5">
      <c r="A603" s="1406">
        <v>29950</v>
      </c>
      <c r="B603" s="1405">
        <v>30000</v>
      </c>
      <c r="C603" s="4809">
        <v>0</v>
      </c>
      <c r="D603" s="1406">
        <v>2650</v>
      </c>
      <c r="E603" s="1406">
        <v>4832</v>
      </c>
      <c r="F603" s="1405">
        <v>5657</v>
      </c>
      <c r="G603" s="4809">
        <v>0</v>
      </c>
      <c r="H603" s="1406">
        <v>3699</v>
      </c>
      <c r="I603" s="1406">
        <v>6213</v>
      </c>
      <c r="J603" s="1405">
        <v>7039</v>
      </c>
      <c r="K603" s="1282"/>
      <c r="L603" s="1406">
        <f t="shared" si="11"/>
        <v>29975</v>
      </c>
    </row>
    <row r="604" spans="1:12" ht="13.5">
      <c r="A604" s="1406">
        <v>30000</v>
      </c>
      <c r="B604" s="1405">
        <v>30050</v>
      </c>
      <c r="C604" s="4809">
        <v>0</v>
      </c>
      <c r="D604" s="1406">
        <v>2642</v>
      </c>
      <c r="E604" s="1406">
        <v>4821</v>
      </c>
      <c r="F604" s="1405">
        <v>5647</v>
      </c>
      <c r="G604" s="4809">
        <v>0</v>
      </c>
      <c r="H604" s="1406">
        <v>3691</v>
      </c>
      <c r="I604" s="1406">
        <v>6203</v>
      </c>
      <c r="J604" s="1405">
        <v>7028</v>
      </c>
      <c r="K604" s="1282"/>
      <c r="L604" s="1406">
        <f t="shared" si="11"/>
        <v>30025</v>
      </c>
    </row>
    <row r="605" spans="1:12" ht="13.5">
      <c r="A605" s="1406">
        <v>30050</v>
      </c>
      <c r="B605" s="1405">
        <v>30100</v>
      </c>
      <c r="C605" s="4809">
        <v>0</v>
      </c>
      <c r="D605" s="1406">
        <v>2634</v>
      </c>
      <c r="E605" s="1406">
        <v>4811</v>
      </c>
      <c r="F605" s="1405">
        <v>5636</v>
      </c>
      <c r="G605" s="4809">
        <v>0</v>
      </c>
      <c r="H605" s="1406">
        <v>3683</v>
      </c>
      <c r="I605" s="1406">
        <v>6192</v>
      </c>
      <c r="J605" s="1405">
        <v>7018</v>
      </c>
      <c r="K605" s="1282"/>
      <c r="L605" s="1406">
        <f t="shared" si="11"/>
        <v>30075</v>
      </c>
    </row>
    <row r="606" spans="1:12" ht="13.5">
      <c r="A606" s="1406">
        <v>30100</v>
      </c>
      <c r="B606" s="1405">
        <v>30150</v>
      </c>
      <c r="C606" s="4809">
        <v>0</v>
      </c>
      <c r="D606" s="1406">
        <v>2626</v>
      </c>
      <c r="E606" s="1406">
        <v>4800</v>
      </c>
      <c r="F606" s="1405">
        <v>5626</v>
      </c>
      <c r="G606" s="4809">
        <v>0</v>
      </c>
      <c r="H606" s="1406">
        <v>3675</v>
      </c>
      <c r="I606" s="1406">
        <v>6182</v>
      </c>
      <c r="J606" s="1405">
        <v>7007</v>
      </c>
      <c r="K606" s="1282"/>
      <c r="L606" s="1406">
        <f t="shared" si="11"/>
        <v>30125</v>
      </c>
    </row>
    <row r="607" spans="1:12" ht="13.5">
      <c r="A607" s="1406">
        <v>30150</v>
      </c>
      <c r="B607" s="1405">
        <v>30200</v>
      </c>
      <c r="C607" s="4809">
        <v>0</v>
      </c>
      <c r="D607" s="1406">
        <v>2618</v>
      </c>
      <c r="E607" s="1406">
        <v>4790</v>
      </c>
      <c r="F607" s="1405">
        <v>5615</v>
      </c>
      <c r="G607" s="4809">
        <v>0</v>
      </c>
      <c r="H607" s="1406">
        <v>3667</v>
      </c>
      <c r="I607" s="1406">
        <v>6171</v>
      </c>
      <c r="J607" s="1405">
        <v>6997</v>
      </c>
      <c r="K607" s="1282"/>
      <c r="L607" s="1406">
        <f t="shared" si="11"/>
        <v>30175</v>
      </c>
    </row>
    <row r="608" spans="1:12" ht="13.5">
      <c r="A608" s="1406">
        <v>30200</v>
      </c>
      <c r="B608" s="1405">
        <v>30250</v>
      </c>
      <c r="C608" s="4809">
        <v>0</v>
      </c>
      <c r="D608" s="1406">
        <v>2610</v>
      </c>
      <c r="E608" s="1406">
        <v>4779</v>
      </c>
      <c r="F608" s="1405">
        <v>5605</v>
      </c>
      <c r="G608" s="4809">
        <v>0</v>
      </c>
      <c r="H608" s="1406">
        <v>3659</v>
      </c>
      <c r="I608" s="1406">
        <v>6161</v>
      </c>
      <c r="J608" s="1405">
        <v>6986</v>
      </c>
      <c r="K608" s="1282"/>
      <c r="L608" s="1406">
        <f t="shared" si="11"/>
        <v>30225</v>
      </c>
    </row>
    <row r="609" spans="1:12" ht="13.5">
      <c r="A609" s="1406">
        <v>30250</v>
      </c>
      <c r="B609" s="1405">
        <v>30300</v>
      </c>
      <c r="C609" s="4809">
        <v>0</v>
      </c>
      <c r="D609" s="1406">
        <v>2602</v>
      </c>
      <c r="E609" s="1406">
        <v>4769</v>
      </c>
      <c r="F609" s="1405">
        <v>5594</v>
      </c>
      <c r="G609" s="4809">
        <v>0</v>
      </c>
      <c r="H609" s="1406">
        <v>3651</v>
      </c>
      <c r="I609" s="1406">
        <v>6150</v>
      </c>
      <c r="J609" s="1405">
        <v>6976</v>
      </c>
      <c r="K609" s="1282"/>
      <c r="L609" s="1406">
        <f t="shared" si="11"/>
        <v>30275</v>
      </c>
    </row>
    <row r="610" spans="1:12" ht="13.5">
      <c r="A610" s="1406">
        <v>30300</v>
      </c>
      <c r="B610" s="1405">
        <v>30350</v>
      </c>
      <c r="C610" s="4809">
        <v>0</v>
      </c>
      <c r="D610" s="1406">
        <v>2594</v>
      </c>
      <c r="E610" s="1406">
        <v>4758</v>
      </c>
      <c r="F610" s="1405">
        <v>5584</v>
      </c>
      <c r="G610" s="4809">
        <v>0</v>
      </c>
      <c r="H610" s="1406">
        <v>3643</v>
      </c>
      <c r="I610" s="1406">
        <v>6140</v>
      </c>
      <c r="J610" s="1405">
        <v>6965</v>
      </c>
      <c r="K610" s="1282"/>
      <c r="L610" s="1406">
        <f t="shared" si="11"/>
        <v>30325</v>
      </c>
    </row>
    <row r="611" spans="1:12" ht="13.5">
      <c r="A611" s="1406">
        <v>30350</v>
      </c>
      <c r="B611" s="1405">
        <v>30400</v>
      </c>
      <c r="C611" s="4809">
        <v>0</v>
      </c>
      <c r="D611" s="1406">
        <v>2586</v>
      </c>
      <c r="E611" s="1406">
        <v>4748</v>
      </c>
      <c r="F611" s="1405">
        <v>5573</v>
      </c>
      <c r="G611" s="4809">
        <v>0</v>
      </c>
      <c r="H611" s="1406">
        <v>3635</v>
      </c>
      <c r="I611" s="1406">
        <v>6129</v>
      </c>
      <c r="J611" s="1405">
        <v>6955</v>
      </c>
      <c r="K611" s="1282"/>
      <c r="L611" s="1406">
        <f t="shared" si="11"/>
        <v>30375</v>
      </c>
    </row>
    <row r="612" spans="1:12" ht="13.5">
      <c r="A612" s="1406">
        <v>30400</v>
      </c>
      <c r="B612" s="1405">
        <v>30450</v>
      </c>
      <c r="C612" s="4809">
        <v>0</v>
      </c>
      <c r="D612" s="1406">
        <v>2578</v>
      </c>
      <c r="E612" s="1406">
        <v>4737</v>
      </c>
      <c r="F612" s="1405">
        <v>5563</v>
      </c>
      <c r="G612" s="4809">
        <v>0</v>
      </c>
      <c r="H612" s="1406">
        <v>3627</v>
      </c>
      <c r="I612" s="1406">
        <v>6119</v>
      </c>
      <c r="J612" s="1405">
        <v>6944</v>
      </c>
      <c r="K612" s="1282"/>
      <c r="L612" s="1406">
        <f t="shared" si="11"/>
        <v>30425</v>
      </c>
    </row>
    <row r="613" spans="1:12" ht="13.5">
      <c r="A613" s="1406">
        <v>30450</v>
      </c>
      <c r="B613" s="1405">
        <v>30500</v>
      </c>
      <c r="C613" s="4809">
        <v>0</v>
      </c>
      <c r="D613" s="1406">
        <v>2570</v>
      </c>
      <c r="E613" s="1406">
        <v>4727</v>
      </c>
      <c r="F613" s="1405">
        <v>5552</v>
      </c>
      <c r="G613" s="4809">
        <v>0</v>
      </c>
      <c r="H613" s="1406">
        <v>3619</v>
      </c>
      <c r="I613" s="1406">
        <v>6108</v>
      </c>
      <c r="J613" s="1405">
        <v>6934</v>
      </c>
      <c r="K613" s="1282"/>
      <c r="L613" s="1406">
        <f t="shared" si="11"/>
        <v>30475</v>
      </c>
    </row>
    <row r="614" spans="1:12" ht="13.5">
      <c r="A614" s="1406">
        <v>30500</v>
      </c>
      <c r="B614" s="1405">
        <v>30550</v>
      </c>
      <c r="C614" s="4809">
        <v>0</v>
      </c>
      <c r="D614" s="1406">
        <v>2562</v>
      </c>
      <c r="E614" s="1406">
        <v>4716</v>
      </c>
      <c r="F614" s="1405">
        <v>5541</v>
      </c>
      <c r="G614" s="4809">
        <v>0</v>
      </c>
      <c r="H614" s="1406">
        <v>3611</v>
      </c>
      <c r="I614" s="1406">
        <v>6098</v>
      </c>
      <c r="J614" s="1405">
        <v>6923</v>
      </c>
      <c r="K614" s="1282"/>
      <c r="L614" s="1406">
        <f t="shared" si="11"/>
        <v>30525</v>
      </c>
    </row>
    <row r="615" spans="1:12" ht="13.5">
      <c r="A615" s="1406">
        <v>30550</v>
      </c>
      <c r="B615" s="1405">
        <v>30600</v>
      </c>
      <c r="C615" s="4809">
        <v>0</v>
      </c>
      <c r="D615" s="1406">
        <v>2554</v>
      </c>
      <c r="E615" s="1406">
        <v>4705</v>
      </c>
      <c r="F615" s="1405">
        <v>5531</v>
      </c>
      <c r="G615" s="4809">
        <v>0</v>
      </c>
      <c r="H615" s="1406">
        <v>3603</v>
      </c>
      <c r="I615" s="1406">
        <v>6087</v>
      </c>
      <c r="J615" s="1405">
        <v>6912</v>
      </c>
      <c r="K615" s="1282"/>
      <c r="L615" s="1406">
        <f t="shared" si="11"/>
        <v>30575</v>
      </c>
    </row>
    <row r="616" spans="1:12" ht="13.5">
      <c r="A616" s="1406">
        <v>30600</v>
      </c>
      <c r="B616" s="1405">
        <v>30650</v>
      </c>
      <c r="C616" s="4809">
        <v>0</v>
      </c>
      <c r="D616" s="1406">
        <v>2546</v>
      </c>
      <c r="E616" s="1406">
        <v>4695</v>
      </c>
      <c r="F616" s="1405">
        <v>5520</v>
      </c>
      <c r="G616" s="4809">
        <v>0</v>
      </c>
      <c r="H616" s="1406">
        <v>3595</v>
      </c>
      <c r="I616" s="1406">
        <v>6076</v>
      </c>
      <c r="J616" s="1405">
        <v>6902</v>
      </c>
      <c r="K616" s="1282"/>
      <c r="L616" s="1406">
        <f t="shared" si="11"/>
        <v>30625</v>
      </c>
    </row>
    <row r="617" spans="1:12" ht="13.5">
      <c r="A617" s="1406">
        <v>30650</v>
      </c>
      <c r="B617" s="1405">
        <v>30700</v>
      </c>
      <c r="C617" s="4809">
        <v>0</v>
      </c>
      <c r="D617" s="1406">
        <v>2538</v>
      </c>
      <c r="E617" s="1406">
        <v>4684</v>
      </c>
      <c r="F617" s="1405">
        <v>5510</v>
      </c>
      <c r="G617" s="4809">
        <v>0</v>
      </c>
      <c r="H617" s="1406">
        <v>3587</v>
      </c>
      <c r="I617" s="1406">
        <v>6066</v>
      </c>
      <c r="J617" s="1405">
        <v>6891</v>
      </c>
      <c r="K617" s="1282"/>
      <c r="L617" s="1406">
        <f t="shared" si="11"/>
        <v>30675</v>
      </c>
    </row>
    <row r="618" spans="1:12" ht="13.5">
      <c r="A618" s="1406">
        <v>30700</v>
      </c>
      <c r="B618" s="1405">
        <v>30750</v>
      </c>
      <c r="C618" s="4809">
        <v>0</v>
      </c>
      <c r="D618" s="1406">
        <v>2530</v>
      </c>
      <c r="E618" s="1406">
        <v>4674</v>
      </c>
      <c r="F618" s="1405">
        <v>5499</v>
      </c>
      <c r="G618" s="4809">
        <v>0</v>
      </c>
      <c r="H618" s="1406">
        <v>3579</v>
      </c>
      <c r="I618" s="1406">
        <v>6055</v>
      </c>
      <c r="J618" s="1405">
        <v>6881</v>
      </c>
      <c r="K618" s="1282"/>
      <c r="L618" s="1406">
        <f t="shared" si="11"/>
        <v>30725</v>
      </c>
    </row>
    <row r="619" spans="1:12" ht="13.5">
      <c r="A619" s="1406">
        <v>30750</v>
      </c>
      <c r="B619" s="1405">
        <v>30800</v>
      </c>
      <c r="C619" s="4809">
        <v>0</v>
      </c>
      <c r="D619" s="1406">
        <v>2522</v>
      </c>
      <c r="E619" s="1406">
        <v>4663</v>
      </c>
      <c r="F619" s="1405">
        <v>5489</v>
      </c>
      <c r="G619" s="4809">
        <v>0</v>
      </c>
      <c r="H619" s="1406">
        <v>3571</v>
      </c>
      <c r="I619" s="1406">
        <v>6045</v>
      </c>
      <c r="J619" s="1405">
        <v>6870</v>
      </c>
      <c r="K619" s="1282"/>
      <c r="L619" s="1406">
        <f t="shared" si="11"/>
        <v>30775</v>
      </c>
    </row>
    <row r="620" spans="1:12" ht="13.5">
      <c r="A620" s="1406">
        <v>30800</v>
      </c>
      <c r="B620" s="1405">
        <v>30850</v>
      </c>
      <c r="C620" s="4809">
        <v>0</v>
      </c>
      <c r="D620" s="1406">
        <v>2514</v>
      </c>
      <c r="E620" s="1406">
        <v>4653</v>
      </c>
      <c r="F620" s="1405">
        <v>5478</v>
      </c>
      <c r="G620" s="4809">
        <v>0</v>
      </c>
      <c r="H620" s="1406">
        <v>3563</v>
      </c>
      <c r="I620" s="1406">
        <v>6034</v>
      </c>
      <c r="J620" s="1405">
        <v>6860</v>
      </c>
      <c r="K620" s="1282"/>
      <c r="L620" s="1406">
        <f t="shared" si="11"/>
        <v>30825</v>
      </c>
    </row>
    <row r="621" spans="1:12" ht="13.5">
      <c r="A621" s="1406">
        <v>30850</v>
      </c>
      <c r="B621" s="1405">
        <v>30900</v>
      </c>
      <c r="C621" s="4809">
        <v>0</v>
      </c>
      <c r="D621" s="1406">
        <v>2506</v>
      </c>
      <c r="E621" s="1406">
        <v>4642</v>
      </c>
      <c r="F621" s="1405">
        <v>5468</v>
      </c>
      <c r="G621" s="4809">
        <v>0</v>
      </c>
      <c r="H621" s="1406">
        <v>3555</v>
      </c>
      <c r="I621" s="1406">
        <v>6024</v>
      </c>
      <c r="J621" s="1405">
        <v>6849</v>
      </c>
      <c r="K621" s="1282"/>
      <c r="L621" s="1406">
        <f t="shared" si="11"/>
        <v>30875</v>
      </c>
    </row>
    <row r="622" spans="1:12" ht="13.5">
      <c r="A622" s="1406">
        <v>30900</v>
      </c>
      <c r="B622" s="1405">
        <v>30950</v>
      </c>
      <c r="C622" s="4809">
        <v>0</v>
      </c>
      <c r="D622" s="1406">
        <v>2498</v>
      </c>
      <c r="E622" s="1406">
        <v>4632</v>
      </c>
      <c r="F622" s="1405">
        <v>5457</v>
      </c>
      <c r="G622" s="4809">
        <v>0</v>
      </c>
      <c r="H622" s="1406">
        <v>3547</v>
      </c>
      <c r="I622" s="1406">
        <v>6013</v>
      </c>
      <c r="J622" s="1405">
        <v>6839</v>
      </c>
      <c r="K622" s="1282"/>
      <c r="L622" s="1406">
        <f t="shared" si="11"/>
        <v>30925</v>
      </c>
    </row>
    <row r="623" spans="1:12" ht="13.5">
      <c r="A623" s="1406">
        <v>30950</v>
      </c>
      <c r="B623" s="1405">
        <v>31000</v>
      </c>
      <c r="C623" s="4809">
        <v>0</v>
      </c>
      <c r="D623" s="1406">
        <v>2490</v>
      </c>
      <c r="E623" s="1406">
        <v>4621</v>
      </c>
      <c r="F623" s="1405">
        <v>5447</v>
      </c>
      <c r="G623" s="4809">
        <v>0</v>
      </c>
      <c r="H623" s="1406">
        <v>3539</v>
      </c>
      <c r="I623" s="1406">
        <v>6003</v>
      </c>
      <c r="J623" s="1405">
        <v>6828</v>
      </c>
      <c r="K623" s="1282"/>
      <c r="L623" s="1406">
        <f t="shared" si="11"/>
        <v>30975</v>
      </c>
    </row>
    <row r="624" spans="1:12" ht="13.5">
      <c r="A624" s="1406">
        <v>31000</v>
      </c>
      <c r="B624" s="1405">
        <v>31050</v>
      </c>
      <c r="C624" s="4809">
        <v>0</v>
      </c>
      <c r="D624" s="1406">
        <v>2482</v>
      </c>
      <c r="E624" s="1406">
        <v>4611</v>
      </c>
      <c r="F624" s="1405">
        <v>5436</v>
      </c>
      <c r="G624" s="4809">
        <v>0</v>
      </c>
      <c r="H624" s="1406">
        <v>3531</v>
      </c>
      <c r="I624" s="1406">
        <v>5992</v>
      </c>
      <c r="J624" s="1405">
        <v>6818</v>
      </c>
      <c r="K624" s="1282"/>
      <c r="L624" s="1406">
        <f t="shared" si="11"/>
        <v>31025</v>
      </c>
    </row>
    <row r="625" spans="1:12" ht="13.5">
      <c r="A625" s="1406">
        <v>31050</v>
      </c>
      <c r="B625" s="1405">
        <v>31100</v>
      </c>
      <c r="C625" s="4809">
        <v>0</v>
      </c>
      <c r="D625" s="1406">
        <v>2475</v>
      </c>
      <c r="E625" s="1406">
        <v>4600</v>
      </c>
      <c r="F625" s="1405">
        <v>5426</v>
      </c>
      <c r="G625" s="4809">
        <v>0</v>
      </c>
      <c r="H625" s="1406">
        <v>3523</v>
      </c>
      <c r="I625" s="1406">
        <v>5982</v>
      </c>
      <c r="J625" s="1405">
        <v>6807</v>
      </c>
      <c r="K625" s="1282"/>
      <c r="L625" s="1406">
        <f t="shared" si="11"/>
        <v>31075</v>
      </c>
    </row>
    <row r="626" spans="1:12" ht="13.5">
      <c r="A626" s="1406">
        <v>31100</v>
      </c>
      <c r="B626" s="1405">
        <v>31150</v>
      </c>
      <c r="C626" s="4809">
        <v>0</v>
      </c>
      <c r="D626" s="1406">
        <v>2467</v>
      </c>
      <c r="E626" s="1406">
        <v>4590</v>
      </c>
      <c r="F626" s="1405">
        <v>5415</v>
      </c>
      <c r="G626" s="4809">
        <v>0</v>
      </c>
      <c r="H626" s="1406">
        <v>3515</v>
      </c>
      <c r="I626" s="1406">
        <v>5971</v>
      </c>
      <c r="J626" s="1405">
        <v>6797</v>
      </c>
      <c r="K626" s="1282"/>
      <c r="L626" s="1406">
        <f t="shared" si="11"/>
        <v>31125</v>
      </c>
    </row>
    <row r="627" spans="1:12" ht="13.5">
      <c r="A627" s="1406">
        <v>31150</v>
      </c>
      <c r="B627" s="1405">
        <v>31200</v>
      </c>
      <c r="C627" s="4809">
        <v>0</v>
      </c>
      <c r="D627" s="1406">
        <v>2459</v>
      </c>
      <c r="E627" s="1406">
        <v>4579</v>
      </c>
      <c r="F627" s="1405">
        <v>5405</v>
      </c>
      <c r="G627" s="4809">
        <v>0</v>
      </c>
      <c r="H627" s="1406">
        <v>3507</v>
      </c>
      <c r="I627" s="1406">
        <v>5961</v>
      </c>
      <c r="J627" s="1405">
        <v>6786</v>
      </c>
      <c r="K627" s="1282"/>
      <c r="L627" s="1406">
        <f t="shared" si="11"/>
        <v>31175</v>
      </c>
    </row>
    <row r="628" spans="1:12" ht="13.5">
      <c r="A628" s="1406">
        <v>31200</v>
      </c>
      <c r="B628" s="1405">
        <v>31250</v>
      </c>
      <c r="C628" s="4809">
        <v>0</v>
      </c>
      <c r="D628" s="1406">
        <v>2451</v>
      </c>
      <c r="E628" s="1406">
        <v>4569</v>
      </c>
      <c r="F628" s="1405">
        <v>5394</v>
      </c>
      <c r="G628" s="4809">
        <v>0</v>
      </c>
      <c r="H628" s="1406">
        <v>3499</v>
      </c>
      <c r="I628" s="1406">
        <v>5950</v>
      </c>
      <c r="J628" s="1405">
        <v>6776</v>
      </c>
      <c r="K628" s="1282"/>
      <c r="L628" s="1406">
        <f t="shared" si="11"/>
        <v>31225</v>
      </c>
    </row>
    <row r="629" spans="1:12" ht="13.5">
      <c r="A629" s="1406">
        <v>31250</v>
      </c>
      <c r="B629" s="1405">
        <v>31300</v>
      </c>
      <c r="C629" s="4809">
        <v>0</v>
      </c>
      <c r="D629" s="1406">
        <v>2443</v>
      </c>
      <c r="E629" s="1406">
        <v>4558</v>
      </c>
      <c r="F629" s="1405">
        <v>5384</v>
      </c>
      <c r="G629" s="4809">
        <v>0</v>
      </c>
      <c r="H629" s="1406">
        <v>3491</v>
      </c>
      <c r="I629" s="1406">
        <v>5940</v>
      </c>
      <c r="J629" s="1405">
        <v>6765</v>
      </c>
      <c r="K629" s="1282"/>
      <c r="L629" s="1406">
        <f t="shared" si="11"/>
        <v>31275</v>
      </c>
    </row>
    <row r="630" spans="1:12" ht="13.5">
      <c r="A630" s="1406">
        <v>31300</v>
      </c>
      <c r="B630" s="1405">
        <v>31350</v>
      </c>
      <c r="C630" s="4809">
        <v>0</v>
      </c>
      <c r="D630" s="1406">
        <v>2435</v>
      </c>
      <c r="E630" s="1406">
        <v>4547</v>
      </c>
      <c r="F630" s="1405">
        <v>5373</v>
      </c>
      <c r="G630" s="4809">
        <v>0</v>
      </c>
      <c r="H630" s="1406">
        <v>3483</v>
      </c>
      <c r="I630" s="1406">
        <v>5929</v>
      </c>
      <c r="J630" s="1405">
        <v>6755</v>
      </c>
      <c r="K630" s="1282"/>
      <c r="L630" s="1406">
        <f t="shared" si="11"/>
        <v>31325</v>
      </c>
    </row>
    <row r="631" spans="1:12" ht="13.5">
      <c r="A631" s="1406">
        <v>31350</v>
      </c>
      <c r="B631" s="1405">
        <v>31400</v>
      </c>
      <c r="C631" s="4809">
        <v>0</v>
      </c>
      <c r="D631" s="1406">
        <v>2427</v>
      </c>
      <c r="E631" s="1406">
        <v>4537</v>
      </c>
      <c r="F631" s="1405">
        <v>5362</v>
      </c>
      <c r="G631" s="4809">
        <v>0</v>
      </c>
      <c r="H631" s="1406">
        <v>3475</v>
      </c>
      <c r="I631" s="1406">
        <v>5918</v>
      </c>
      <c r="J631" s="1405">
        <v>6744</v>
      </c>
      <c r="K631" s="1282"/>
      <c r="L631" s="1406">
        <f t="shared" si="11"/>
        <v>31375</v>
      </c>
    </row>
    <row r="632" spans="1:12" ht="13.5">
      <c r="A632" s="1406">
        <v>31400</v>
      </c>
      <c r="B632" s="1405">
        <v>31450</v>
      </c>
      <c r="C632" s="4809">
        <v>0</v>
      </c>
      <c r="D632" s="1406">
        <v>2419</v>
      </c>
      <c r="E632" s="1406">
        <v>4526</v>
      </c>
      <c r="F632" s="1405">
        <v>5352</v>
      </c>
      <c r="G632" s="4809">
        <v>0</v>
      </c>
      <c r="H632" s="1406">
        <v>3467</v>
      </c>
      <c r="I632" s="1406">
        <v>5908</v>
      </c>
      <c r="J632" s="1405">
        <v>6733</v>
      </c>
      <c r="K632" s="1282"/>
      <c r="L632" s="1406">
        <f t="shared" si="11"/>
        <v>31425</v>
      </c>
    </row>
    <row r="633" spans="1:12" ht="13.5">
      <c r="A633" s="1406">
        <v>31450</v>
      </c>
      <c r="B633" s="1405">
        <v>31500</v>
      </c>
      <c r="C633" s="4809">
        <v>0</v>
      </c>
      <c r="D633" s="1406">
        <v>2411</v>
      </c>
      <c r="E633" s="1406">
        <v>4516</v>
      </c>
      <c r="F633" s="1405">
        <v>5341</v>
      </c>
      <c r="G633" s="4809">
        <v>0</v>
      </c>
      <c r="H633" s="1406">
        <v>3459</v>
      </c>
      <c r="I633" s="1406">
        <v>5897</v>
      </c>
      <c r="J633" s="1405">
        <v>6723</v>
      </c>
      <c r="K633" s="1282"/>
      <c r="L633" s="1406">
        <f t="shared" si="11"/>
        <v>31475</v>
      </c>
    </row>
    <row r="634" spans="1:12" ht="13.5">
      <c r="A634" s="1406">
        <v>31500</v>
      </c>
      <c r="B634" s="1405">
        <v>31550</v>
      </c>
      <c r="C634" s="4809">
        <v>0</v>
      </c>
      <c r="D634" s="1406">
        <v>2403</v>
      </c>
      <c r="E634" s="1406">
        <v>4505</v>
      </c>
      <c r="F634" s="1405">
        <v>5331</v>
      </c>
      <c r="G634" s="4809">
        <v>0</v>
      </c>
      <c r="H634" s="1406">
        <v>3451</v>
      </c>
      <c r="I634" s="1406">
        <v>5887</v>
      </c>
      <c r="J634" s="1405">
        <v>6712</v>
      </c>
      <c r="K634" s="1282"/>
      <c r="L634" s="1406">
        <f t="shared" si="11"/>
        <v>31525</v>
      </c>
    </row>
    <row r="635" spans="1:12" ht="13.5">
      <c r="A635" s="1406">
        <v>31550</v>
      </c>
      <c r="B635" s="1405">
        <v>31600</v>
      </c>
      <c r="C635" s="4809">
        <v>0</v>
      </c>
      <c r="D635" s="1406">
        <v>2395</v>
      </c>
      <c r="E635" s="1406">
        <v>4495</v>
      </c>
      <c r="F635" s="1405">
        <v>5320</v>
      </c>
      <c r="G635" s="4809">
        <v>0</v>
      </c>
      <c r="H635" s="1406">
        <v>3443</v>
      </c>
      <c r="I635" s="1406">
        <v>5876</v>
      </c>
      <c r="J635" s="1405">
        <v>6702</v>
      </c>
      <c r="K635" s="1282"/>
      <c r="L635" s="1406">
        <f t="shared" si="11"/>
        <v>31575</v>
      </c>
    </row>
    <row r="636" spans="1:12" ht="13.5">
      <c r="A636" s="1406">
        <v>31600</v>
      </c>
      <c r="B636" s="1405">
        <v>31650</v>
      </c>
      <c r="C636" s="4809">
        <v>0</v>
      </c>
      <c r="D636" s="1406">
        <v>2387</v>
      </c>
      <c r="E636" s="1406">
        <v>4484</v>
      </c>
      <c r="F636" s="1405">
        <v>5310</v>
      </c>
      <c r="G636" s="4809">
        <v>0</v>
      </c>
      <c r="H636" s="1406">
        <v>3435</v>
      </c>
      <c r="I636" s="1406">
        <v>5866</v>
      </c>
      <c r="J636" s="1405">
        <v>6691</v>
      </c>
      <c r="K636" s="1282"/>
      <c r="L636" s="1406">
        <f t="shared" si="11"/>
        <v>31625</v>
      </c>
    </row>
    <row r="637" spans="1:12" ht="13.5">
      <c r="A637" s="1406">
        <v>31650</v>
      </c>
      <c r="B637" s="1405">
        <v>31700</v>
      </c>
      <c r="C637" s="4809">
        <v>0</v>
      </c>
      <c r="D637" s="1406">
        <v>2379</v>
      </c>
      <c r="E637" s="1406">
        <v>4474</v>
      </c>
      <c r="F637" s="1405">
        <v>5299</v>
      </c>
      <c r="G637" s="4809">
        <v>0</v>
      </c>
      <c r="H637" s="1406">
        <v>3427</v>
      </c>
      <c r="I637" s="1406">
        <v>5855</v>
      </c>
      <c r="J637" s="1405">
        <v>6681</v>
      </c>
      <c r="K637" s="1282"/>
      <c r="L637" s="1406">
        <f t="shared" si="11"/>
        <v>31675</v>
      </c>
    </row>
    <row r="638" spans="1:12" ht="13.5">
      <c r="A638" s="1406">
        <v>31700</v>
      </c>
      <c r="B638" s="1405">
        <v>31750</v>
      </c>
      <c r="C638" s="4809">
        <v>0</v>
      </c>
      <c r="D638" s="1406">
        <v>2371</v>
      </c>
      <c r="E638" s="1406">
        <v>4463</v>
      </c>
      <c r="F638" s="1405">
        <v>5289</v>
      </c>
      <c r="G638" s="4809">
        <v>0</v>
      </c>
      <c r="H638" s="1406">
        <v>3419</v>
      </c>
      <c r="I638" s="1406">
        <v>5845</v>
      </c>
      <c r="J638" s="1405">
        <v>6670</v>
      </c>
      <c r="K638" s="1282"/>
      <c r="L638" s="1406">
        <f t="shared" si="11"/>
        <v>31725</v>
      </c>
    </row>
    <row r="639" spans="1:12" ht="13.5">
      <c r="A639" s="1406">
        <v>31750</v>
      </c>
      <c r="B639" s="1405">
        <v>31800</v>
      </c>
      <c r="C639" s="4809">
        <v>0</v>
      </c>
      <c r="D639" s="1406">
        <v>2363</v>
      </c>
      <c r="E639" s="1406">
        <v>4453</v>
      </c>
      <c r="F639" s="1405">
        <v>5278</v>
      </c>
      <c r="G639" s="4809">
        <v>0</v>
      </c>
      <c r="H639" s="1406">
        <v>3411</v>
      </c>
      <c r="I639" s="1406">
        <v>5834</v>
      </c>
      <c r="J639" s="1405">
        <v>6660</v>
      </c>
      <c r="K639" s="1282"/>
      <c r="L639" s="1406">
        <f t="shared" si="11"/>
        <v>31775</v>
      </c>
    </row>
    <row r="640" spans="1:12" ht="13.5">
      <c r="A640" s="1406">
        <v>31800</v>
      </c>
      <c r="B640" s="1405">
        <v>31850</v>
      </c>
      <c r="C640" s="4809">
        <v>0</v>
      </c>
      <c r="D640" s="1406">
        <v>2355</v>
      </c>
      <c r="E640" s="1406">
        <v>4442</v>
      </c>
      <c r="F640" s="1405">
        <v>5268</v>
      </c>
      <c r="G640" s="4809">
        <v>0</v>
      </c>
      <c r="H640" s="1406">
        <v>3403</v>
      </c>
      <c r="I640" s="1406">
        <v>5824</v>
      </c>
      <c r="J640" s="1405">
        <v>6649</v>
      </c>
      <c r="K640" s="1282"/>
      <c r="L640" s="1406">
        <f t="shared" si="11"/>
        <v>31825</v>
      </c>
    </row>
    <row r="641" spans="1:12" ht="13.5">
      <c r="A641" s="1406">
        <v>31850</v>
      </c>
      <c r="B641" s="1405">
        <v>31900</v>
      </c>
      <c r="C641" s="4809">
        <v>0</v>
      </c>
      <c r="D641" s="1406">
        <v>2347</v>
      </c>
      <c r="E641" s="1406">
        <v>4432</v>
      </c>
      <c r="F641" s="1405">
        <v>5257</v>
      </c>
      <c r="G641" s="4809">
        <v>0</v>
      </c>
      <c r="H641" s="1406">
        <v>3395</v>
      </c>
      <c r="I641" s="1406">
        <v>5813</v>
      </c>
      <c r="J641" s="1405">
        <v>6639</v>
      </c>
      <c r="K641" s="1282"/>
      <c r="L641" s="1406">
        <f t="shared" si="11"/>
        <v>31875</v>
      </c>
    </row>
    <row r="642" spans="1:12" ht="13.5">
      <c r="A642" s="1406">
        <v>31900</v>
      </c>
      <c r="B642" s="1405">
        <v>31950</v>
      </c>
      <c r="C642" s="4809">
        <v>0</v>
      </c>
      <c r="D642" s="1406">
        <v>2339</v>
      </c>
      <c r="E642" s="1406">
        <v>4421</v>
      </c>
      <c r="F642" s="1405">
        <v>5247</v>
      </c>
      <c r="G642" s="4809">
        <v>0</v>
      </c>
      <c r="H642" s="1406">
        <v>3387</v>
      </c>
      <c r="I642" s="1406">
        <v>5803</v>
      </c>
      <c r="J642" s="1405">
        <v>6628</v>
      </c>
      <c r="K642" s="1282"/>
      <c r="L642" s="1406">
        <f t="shared" si="11"/>
        <v>31925</v>
      </c>
    </row>
    <row r="643" spans="1:12" ht="13.5">
      <c r="A643" s="1406">
        <v>31950</v>
      </c>
      <c r="B643" s="1405">
        <v>32000</v>
      </c>
      <c r="C643" s="4809">
        <v>0</v>
      </c>
      <c r="D643" s="1406">
        <v>2331</v>
      </c>
      <c r="E643" s="1406">
        <v>4411</v>
      </c>
      <c r="F643" s="1405">
        <v>5236</v>
      </c>
      <c r="G643" s="4809">
        <v>0</v>
      </c>
      <c r="H643" s="1406">
        <v>3379</v>
      </c>
      <c r="I643" s="1406">
        <v>5792</v>
      </c>
      <c r="J643" s="1405">
        <v>6618</v>
      </c>
      <c r="K643" s="1282"/>
      <c r="L643" s="1406">
        <f t="shared" si="11"/>
        <v>31975</v>
      </c>
    </row>
    <row r="644" spans="1:12" ht="13.5">
      <c r="A644" s="1406">
        <v>32000</v>
      </c>
      <c r="B644" s="1405">
        <v>32050</v>
      </c>
      <c r="C644" s="4809">
        <v>0</v>
      </c>
      <c r="D644" s="1406">
        <v>2323</v>
      </c>
      <c r="E644" s="1406">
        <v>4400</v>
      </c>
      <c r="F644" s="1405">
        <v>5226</v>
      </c>
      <c r="G644" s="4809">
        <v>0</v>
      </c>
      <c r="H644" s="1406">
        <v>3371</v>
      </c>
      <c r="I644" s="1406">
        <v>5782</v>
      </c>
      <c r="J644" s="1405">
        <v>6607</v>
      </c>
      <c r="K644" s="1282"/>
      <c r="L644" s="1406">
        <f t="shared" ref="L644:L707" si="12">ROUND((A644+B644)/2,2)</f>
        <v>32025</v>
      </c>
    </row>
    <row r="645" spans="1:12" ht="13.5">
      <c r="A645" s="1406">
        <v>32050</v>
      </c>
      <c r="B645" s="1405">
        <v>32100</v>
      </c>
      <c r="C645" s="4809">
        <v>0</v>
      </c>
      <c r="D645" s="1406">
        <v>2315</v>
      </c>
      <c r="E645" s="1406">
        <v>4390</v>
      </c>
      <c r="F645" s="1405">
        <v>5215</v>
      </c>
      <c r="G645" s="4809">
        <v>0</v>
      </c>
      <c r="H645" s="1406">
        <v>3363</v>
      </c>
      <c r="I645" s="1406">
        <v>5771</v>
      </c>
      <c r="J645" s="1405">
        <v>6597</v>
      </c>
      <c r="K645" s="1282"/>
      <c r="L645" s="1406">
        <f t="shared" si="12"/>
        <v>32075</v>
      </c>
    </row>
    <row r="646" spans="1:12" ht="13.5">
      <c r="A646" s="1406">
        <v>32100</v>
      </c>
      <c r="B646" s="1405">
        <v>32150</v>
      </c>
      <c r="C646" s="4809">
        <v>0</v>
      </c>
      <c r="D646" s="1406">
        <v>2307</v>
      </c>
      <c r="E646" s="1406">
        <v>4379</v>
      </c>
      <c r="F646" s="1405">
        <v>5205</v>
      </c>
      <c r="G646" s="4809">
        <v>0</v>
      </c>
      <c r="H646" s="1406">
        <v>3355</v>
      </c>
      <c r="I646" s="1406">
        <v>5761</v>
      </c>
      <c r="J646" s="1405">
        <v>6586</v>
      </c>
      <c r="K646" s="1282"/>
      <c r="L646" s="1406">
        <f t="shared" si="12"/>
        <v>32125</v>
      </c>
    </row>
    <row r="647" spans="1:12" ht="13.5">
      <c r="A647" s="1406">
        <v>32150</v>
      </c>
      <c r="B647" s="1405">
        <v>32200</v>
      </c>
      <c r="C647" s="4809">
        <v>0</v>
      </c>
      <c r="D647" s="1406">
        <v>2299</v>
      </c>
      <c r="E647" s="1406">
        <v>4368</v>
      </c>
      <c r="F647" s="1405">
        <v>5194</v>
      </c>
      <c r="G647" s="4809">
        <v>0</v>
      </c>
      <c r="H647" s="1406">
        <v>3347</v>
      </c>
      <c r="I647" s="1406">
        <v>5750</v>
      </c>
      <c r="J647" s="1405">
        <v>6576</v>
      </c>
      <c r="K647" s="1282"/>
      <c r="L647" s="1406">
        <f t="shared" si="12"/>
        <v>32175</v>
      </c>
    </row>
    <row r="648" spans="1:12" ht="13.5">
      <c r="A648" s="1406">
        <v>32200</v>
      </c>
      <c r="B648" s="1405">
        <v>32250</v>
      </c>
      <c r="C648" s="4809">
        <v>0</v>
      </c>
      <c r="D648" s="1406">
        <v>2291</v>
      </c>
      <c r="E648" s="1406">
        <v>4358</v>
      </c>
      <c r="F648" s="1405">
        <v>5183</v>
      </c>
      <c r="G648" s="4809">
        <v>0</v>
      </c>
      <c r="H648" s="1406">
        <v>3339</v>
      </c>
      <c r="I648" s="1406">
        <v>5739</v>
      </c>
      <c r="J648" s="1405">
        <v>6565</v>
      </c>
      <c r="K648" s="1282"/>
      <c r="L648" s="1406">
        <f t="shared" si="12"/>
        <v>32225</v>
      </c>
    </row>
    <row r="649" spans="1:12" ht="13.5">
      <c r="A649" s="1406">
        <v>32250</v>
      </c>
      <c r="B649" s="1405">
        <v>32300</v>
      </c>
      <c r="C649" s="4809">
        <v>0</v>
      </c>
      <c r="D649" s="1406">
        <v>2283</v>
      </c>
      <c r="E649" s="1406">
        <v>4347</v>
      </c>
      <c r="F649" s="1405">
        <v>5173</v>
      </c>
      <c r="G649" s="4809">
        <v>0</v>
      </c>
      <c r="H649" s="1406">
        <v>3331</v>
      </c>
      <c r="I649" s="1406">
        <v>5729</v>
      </c>
      <c r="J649" s="1405">
        <v>6554</v>
      </c>
      <c r="K649" s="1282"/>
      <c r="L649" s="1406">
        <f t="shared" si="12"/>
        <v>32275</v>
      </c>
    </row>
    <row r="650" spans="1:12" ht="13.5">
      <c r="A650" s="1406">
        <v>32300</v>
      </c>
      <c r="B650" s="1405">
        <v>32350</v>
      </c>
      <c r="C650" s="4809">
        <v>0</v>
      </c>
      <c r="D650" s="1406">
        <v>2275</v>
      </c>
      <c r="E650" s="1406">
        <v>4337</v>
      </c>
      <c r="F650" s="1405">
        <v>5162</v>
      </c>
      <c r="G650" s="4809">
        <v>0</v>
      </c>
      <c r="H650" s="1406">
        <v>3323</v>
      </c>
      <c r="I650" s="1406">
        <v>5718</v>
      </c>
      <c r="J650" s="1405">
        <v>6544</v>
      </c>
      <c r="K650" s="1282"/>
      <c r="L650" s="1406">
        <f t="shared" si="12"/>
        <v>32325</v>
      </c>
    </row>
    <row r="651" spans="1:12" ht="13.5">
      <c r="A651" s="1406">
        <v>32350</v>
      </c>
      <c r="B651" s="1405">
        <v>32400</v>
      </c>
      <c r="C651" s="4809">
        <v>0</v>
      </c>
      <c r="D651" s="1406">
        <v>2267</v>
      </c>
      <c r="E651" s="1406">
        <v>4326</v>
      </c>
      <c r="F651" s="1405">
        <v>5152</v>
      </c>
      <c r="G651" s="4809">
        <v>0</v>
      </c>
      <c r="H651" s="1406">
        <v>3315</v>
      </c>
      <c r="I651" s="1406">
        <v>5708</v>
      </c>
      <c r="J651" s="1405">
        <v>6533</v>
      </c>
      <c r="K651" s="1282"/>
      <c r="L651" s="1406">
        <f t="shared" si="12"/>
        <v>32375</v>
      </c>
    </row>
    <row r="652" spans="1:12" ht="13.5">
      <c r="A652" s="1406">
        <v>32400</v>
      </c>
      <c r="B652" s="1405">
        <v>32450</v>
      </c>
      <c r="C652" s="4809">
        <v>0</v>
      </c>
      <c r="D652" s="1406">
        <v>2259</v>
      </c>
      <c r="E652" s="1406">
        <v>4316</v>
      </c>
      <c r="F652" s="1405">
        <v>5141</v>
      </c>
      <c r="G652" s="4809">
        <v>0</v>
      </c>
      <c r="H652" s="1406">
        <v>3307</v>
      </c>
      <c r="I652" s="1406">
        <v>5697</v>
      </c>
      <c r="J652" s="1405">
        <v>6523</v>
      </c>
      <c r="K652" s="1282"/>
      <c r="L652" s="1406">
        <f t="shared" si="12"/>
        <v>32425</v>
      </c>
    </row>
    <row r="653" spans="1:12" ht="13.5">
      <c r="A653" s="1406">
        <v>32450</v>
      </c>
      <c r="B653" s="1405">
        <v>32500</v>
      </c>
      <c r="C653" s="4809">
        <v>0</v>
      </c>
      <c r="D653" s="1406">
        <v>2251</v>
      </c>
      <c r="E653" s="1406">
        <v>4305</v>
      </c>
      <c r="F653" s="1405">
        <v>5131</v>
      </c>
      <c r="G653" s="4809">
        <v>0</v>
      </c>
      <c r="H653" s="1406">
        <v>3299</v>
      </c>
      <c r="I653" s="1406">
        <v>5687</v>
      </c>
      <c r="J653" s="1405">
        <v>6512</v>
      </c>
      <c r="K653" s="1282"/>
      <c r="L653" s="1406">
        <f t="shared" si="12"/>
        <v>32475</v>
      </c>
    </row>
    <row r="654" spans="1:12" ht="13.5">
      <c r="A654" s="1406">
        <v>32500</v>
      </c>
      <c r="B654" s="1405">
        <v>32550</v>
      </c>
      <c r="C654" s="4809">
        <v>0</v>
      </c>
      <c r="D654" s="1406">
        <v>2243</v>
      </c>
      <c r="E654" s="1406">
        <v>4295</v>
      </c>
      <c r="F654" s="1405">
        <v>5120</v>
      </c>
      <c r="G654" s="4809">
        <v>0</v>
      </c>
      <c r="H654" s="1406">
        <v>3291</v>
      </c>
      <c r="I654" s="1406">
        <v>5676</v>
      </c>
      <c r="J654" s="1405">
        <v>6502</v>
      </c>
      <c r="K654" s="1282"/>
      <c r="L654" s="1406">
        <f t="shared" si="12"/>
        <v>32525</v>
      </c>
    </row>
    <row r="655" spans="1:12" ht="13.5">
      <c r="A655" s="1406">
        <v>32550</v>
      </c>
      <c r="B655" s="1405">
        <v>32600</v>
      </c>
      <c r="C655" s="4809">
        <v>0</v>
      </c>
      <c r="D655" s="1406">
        <v>2235</v>
      </c>
      <c r="E655" s="1406">
        <v>4284</v>
      </c>
      <c r="F655" s="1405">
        <v>5110</v>
      </c>
      <c r="G655" s="4809">
        <v>0</v>
      </c>
      <c r="H655" s="1406">
        <v>3283</v>
      </c>
      <c r="I655" s="1406">
        <v>5666</v>
      </c>
      <c r="J655" s="1405">
        <v>6491</v>
      </c>
      <c r="K655" s="1282"/>
      <c r="L655" s="1406">
        <f t="shared" si="12"/>
        <v>32575</v>
      </c>
    </row>
    <row r="656" spans="1:12" ht="13.5">
      <c r="A656" s="1406">
        <v>32600</v>
      </c>
      <c r="B656" s="1405">
        <v>32650</v>
      </c>
      <c r="C656" s="4809">
        <v>0</v>
      </c>
      <c r="D656" s="1406">
        <v>2227</v>
      </c>
      <c r="E656" s="1406">
        <v>4274</v>
      </c>
      <c r="F656" s="1405">
        <v>5099</v>
      </c>
      <c r="G656" s="4809">
        <v>0</v>
      </c>
      <c r="H656" s="1406">
        <v>3275</v>
      </c>
      <c r="I656" s="1406">
        <v>5655</v>
      </c>
      <c r="J656" s="1405">
        <v>6481</v>
      </c>
      <c r="K656" s="1282"/>
      <c r="L656" s="1406">
        <f t="shared" si="12"/>
        <v>32625</v>
      </c>
    </row>
    <row r="657" spans="1:12" ht="13.5">
      <c r="A657" s="1406">
        <v>32650</v>
      </c>
      <c r="B657" s="1405">
        <v>32700</v>
      </c>
      <c r="C657" s="4809">
        <v>0</v>
      </c>
      <c r="D657" s="1406">
        <v>2219</v>
      </c>
      <c r="E657" s="1406">
        <v>4263</v>
      </c>
      <c r="F657" s="1405">
        <v>5089</v>
      </c>
      <c r="G657" s="4809">
        <v>0</v>
      </c>
      <c r="H657" s="1406">
        <v>3267</v>
      </c>
      <c r="I657" s="1406">
        <v>5645</v>
      </c>
      <c r="J657" s="1405">
        <v>6470</v>
      </c>
      <c r="K657" s="1282"/>
      <c r="L657" s="1406">
        <f t="shared" si="12"/>
        <v>32675</v>
      </c>
    </row>
    <row r="658" spans="1:12" ht="13.5">
      <c r="A658" s="1406">
        <v>32700</v>
      </c>
      <c r="B658" s="1405">
        <v>32750</v>
      </c>
      <c r="C658" s="4809">
        <v>0</v>
      </c>
      <c r="D658" s="1406">
        <v>2211</v>
      </c>
      <c r="E658" s="1406">
        <v>4253</v>
      </c>
      <c r="F658" s="1405">
        <v>5078</v>
      </c>
      <c r="G658" s="4809">
        <v>0</v>
      </c>
      <c r="H658" s="1406">
        <v>3259</v>
      </c>
      <c r="I658" s="1406">
        <v>5634</v>
      </c>
      <c r="J658" s="1405">
        <v>6460</v>
      </c>
      <c r="K658" s="1282"/>
      <c r="L658" s="1406">
        <f t="shared" si="12"/>
        <v>32725</v>
      </c>
    </row>
    <row r="659" spans="1:12" ht="13.5">
      <c r="A659" s="1406">
        <v>32750</v>
      </c>
      <c r="B659" s="1405">
        <v>32800</v>
      </c>
      <c r="C659" s="4809">
        <v>0</v>
      </c>
      <c r="D659" s="1406">
        <v>2203</v>
      </c>
      <c r="E659" s="1406">
        <v>4242</v>
      </c>
      <c r="F659" s="1405">
        <v>5068</v>
      </c>
      <c r="G659" s="4809">
        <v>0</v>
      </c>
      <c r="H659" s="1406">
        <v>3251</v>
      </c>
      <c r="I659" s="1406">
        <v>5624</v>
      </c>
      <c r="J659" s="1405">
        <v>6449</v>
      </c>
      <c r="K659" s="1282"/>
      <c r="L659" s="1406">
        <f t="shared" si="12"/>
        <v>32775</v>
      </c>
    </row>
    <row r="660" spans="1:12" ht="13.5">
      <c r="A660" s="1406">
        <v>32800</v>
      </c>
      <c r="B660" s="1405">
        <v>32850</v>
      </c>
      <c r="C660" s="4809">
        <v>0</v>
      </c>
      <c r="D660" s="1406">
        <v>2195</v>
      </c>
      <c r="E660" s="1406">
        <v>4232</v>
      </c>
      <c r="F660" s="1405">
        <v>5057</v>
      </c>
      <c r="G660" s="4809">
        <v>0</v>
      </c>
      <c r="H660" s="1406">
        <v>3243</v>
      </c>
      <c r="I660" s="1406">
        <v>5613</v>
      </c>
      <c r="J660" s="1405">
        <v>6439</v>
      </c>
      <c r="K660" s="1282"/>
      <c r="L660" s="1406">
        <f t="shared" si="12"/>
        <v>32825</v>
      </c>
    </row>
    <row r="661" spans="1:12" ht="13.5">
      <c r="A661" s="1406">
        <v>32850</v>
      </c>
      <c r="B661" s="1405">
        <v>32900</v>
      </c>
      <c r="C661" s="4809">
        <v>0</v>
      </c>
      <c r="D661" s="1406">
        <v>2187</v>
      </c>
      <c r="E661" s="1406">
        <v>4221</v>
      </c>
      <c r="F661" s="1405">
        <v>5047</v>
      </c>
      <c r="G661" s="4809">
        <v>0</v>
      </c>
      <c r="H661" s="1406">
        <v>3235</v>
      </c>
      <c r="I661" s="1406">
        <v>5603</v>
      </c>
      <c r="J661" s="1405">
        <v>6428</v>
      </c>
      <c r="K661" s="1282"/>
      <c r="L661" s="1406">
        <f t="shared" si="12"/>
        <v>32875</v>
      </c>
    </row>
    <row r="662" spans="1:12" ht="13.5">
      <c r="A662" s="1406">
        <v>32900</v>
      </c>
      <c r="B662" s="1405">
        <v>32950</v>
      </c>
      <c r="C662" s="4809">
        <v>0</v>
      </c>
      <c r="D662" s="1406">
        <v>2179</v>
      </c>
      <c r="E662" s="1406">
        <v>4211</v>
      </c>
      <c r="F662" s="1405">
        <v>5036</v>
      </c>
      <c r="G662" s="4809">
        <v>0</v>
      </c>
      <c r="H662" s="1406">
        <v>3227</v>
      </c>
      <c r="I662" s="1406">
        <v>5592</v>
      </c>
      <c r="J662" s="1405">
        <v>6418</v>
      </c>
      <c r="K662" s="1282"/>
      <c r="L662" s="1406">
        <f t="shared" si="12"/>
        <v>32925</v>
      </c>
    </row>
    <row r="663" spans="1:12" ht="13.5">
      <c r="A663" s="1406">
        <v>32950</v>
      </c>
      <c r="B663" s="1405">
        <v>33000</v>
      </c>
      <c r="C663" s="4809">
        <v>0</v>
      </c>
      <c r="D663" s="1406">
        <v>2171</v>
      </c>
      <c r="E663" s="1406">
        <v>4200</v>
      </c>
      <c r="F663" s="1405">
        <v>5026</v>
      </c>
      <c r="G663" s="4809">
        <v>0</v>
      </c>
      <c r="H663" s="1406">
        <v>3219</v>
      </c>
      <c r="I663" s="1406">
        <v>5582</v>
      </c>
      <c r="J663" s="1405">
        <v>6407</v>
      </c>
      <c r="K663" s="1282"/>
      <c r="L663" s="1406">
        <f t="shared" si="12"/>
        <v>32975</v>
      </c>
    </row>
    <row r="664" spans="1:12" ht="13.5">
      <c r="A664" s="1406">
        <v>33000</v>
      </c>
      <c r="B664" s="1405">
        <v>33050</v>
      </c>
      <c r="C664" s="4809">
        <v>0</v>
      </c>
      <c r="D664" s="1406">
        <v>2163</v>
      </c>
      <c r="E664" s="1406">
        <v>4189</v>
      </c>
      <c r="F664" s="1405">
        <v>5015</v>
      </c>
      <c r="G664" s="4809">
        <v>0</v>
      </c>
      <c r="H664" s="1406">
        <v>3211</v>
      </c>
      <c r="I664" s="1406">
        <v>5571</v>
      </c>
      <c r="J664" s="1405">
        <v>6397</v>
      </c>
      <c r="K664" s="1282"/>
      <c r="L664" s="1406">
        <f t="shared" si="12"/>
        <v>33025</v>
      </c>
    </row>
    <row r="665" spans="1:12" ht="13.5">
      <c r="A665" s="1406">
        <v>33050</v>
      </c>
      <c r="B665" s="1405">
        <v>33100</v>
      </c>
      <c r="C665" s="4809">
        <v>0</v>
      </c>
      <c r="D665" s="1406">
        <v>2155</v>
      </c>
      <c r="E665" s="1406">
        <v>4179</v>
      </c>
      <c r="F665" s="1405">
        <v>5004</v>
      </c>
      <c r="G665" s="4809">
        <v>0</v>
      </c>
      <c r="H665" s="1406">
        <v>3203</v>
      </c>
      <c r="I665" s="1406">
        <v>5560</v>
      </c>
      <c r="J665" s="1405">
        <v>6386</v>
      </c>
      <c r="K665" s="1282"/>
      <c r="L665" s="1406">
        <f t="shared" si="12"/>
        <v>33075</v>
      </c>
    </row>
    <row r="666" spans="1:12" ht="13.5">
      <c r="A666" s="1406">
        <v>33100</v>
      </c>
      <c r="B666" s="1405">
        <v>33150</v>
      </c>
      <c r="C666" s="4809">
        <v>0</v>
      </c>
      <c r="D666" s="1406">
        <v>2147</v>
      </c>
      <c r="E666" s="1406">
        <v>4168</v>
      </c>
      <c r="F666" s="1405">
        <v>4994</v>
      </c>
      <c r="G666" s="4809">
        <v>0</v>
      </c>
      <c r="H666" s="1406">
        <v>3195</v>
      </c>
      <c r="I666" s="1406">
        <v>5550</v>
      </c>
      <c r="J666" s="1405">
        <v>6375</v>
      </c>
      <c r="K666" s="1282"/>
      <c r="L666" s="1406">
        <f t="shared" si="12"/>
        <v>33125</v>
      </c>
    </row>
    <row r="667" spans="1:12" ht="13.5">
      <c r="A667" s="1406">
        <v>33150</v>
      </c>
      <c r="B667" s="1405">
        <v>33200</v>
      </c>
      <c r="C667" s="4809">
        <v>0</v>
      </c>
      <c r="D667" s="1406">
        <v>2139</v>
      </c>
      <c r="E667" s="1406">
        <v>4158</v>
      </c>
      <c r="F667" s="1405">
        <v>4983</v>
      </c>
      <c r="G667" s="4809">
        <v>0</v>
      </c>
      <c r="H667" s="1406">
        <v>3187</v>
      </c>
      <c r="I667" s="1406">
        <v>5539</v>
      </c>
      <c r="J667" s="1405">
        <v>6365</v>
      </c>
      <c r="K667" s="1282"/>
      <c r="L667" s="1406">
        <f t="shared" si="12"/>
        <v>33175</v>
      </c>
    </row>
    <row r="668" spans="1:12" ht="13.5">
      <c r="A668" s="1406">
        <v>33200</v>
      </c>
      <c r="B668" s="1405">
        <v>33250</v>
      </c>
      <c r="C668" s="4809">
        <v>0</v>
      </c>
      <c r="D668" s="1406">
        <v>2131</v>
      </c>
      <c r="E668" s="1406">
        <v>4147</v>
      </c>
      <c r="F668" s="1405">
        <v>4973</v>
      </c>
      <c r="G668" s="4809">
        <v>0</v>
      </c>
      <c r="H668" s="1406">
        <v>3179</v>
      </c>
      <c r="I668" s="1406">
        <v>5529</v>
      </c>
      <c r="J668" s="1405">
        <v>6354</v>
      </c>
      <c r="K668" s="1282"/>
      <c r="L668" s="1406">
        <f t="shared" si="12"/>
        <v>33225</v>
      </c>
    </row>
    <row r="669" spans="1:12" ht="13.5">
      <c r="A669" s="1406">
        <v>33250</v>
      </c>
      <c r="B669" s="1405">
        <v>33300</v>
      </c>
      <c r="C669" s="4809">
        <v>0</v>
      </c>
      <c r="D669" s="1406">
        <v>2123</v>
      </c>
      <c r="E669" s="1406">
        <v>4137</v>
      </c>
      <c r="F669" s="1405">
        <v>4962</v>
      </c>
      <c r="G669" s="4809">
        <v>0</v>
      </c>
      <c r="H669" s="1406">
        <v>3171</v>
      </c>
      <c r="I669" s="1406">
        <v>5518</v>
      </c>
      <c r="J669" s="1405">
        <v>6344</v>
      </c>
      <c r="K669" s="1282"/>
      <c r="L669" s="1406">
        <f t="shared" si="12"/>
        <v>33275</v>
      </c>
    </row>
    <row r="670" spans="1:12" ht="13.5">
      <c r="A670" s="1406">
        <v>33300</v>
      </c>
      <c r="B670" s="1405">
        <v>33350</v>
      </c>
      <c r="C670" s="4809">
        <v>0</v>
      </c>
      <c r="D670" s="1406">
        <v>2115</v>
      </c>
      <c r="E670" s="1406">
        <v>4126</v>
      </c>
      <c r="F670" s="1405">
        <v>4952</v>
      </c>
      <c r="G670" s="4809">
        <v>0</v>
      </c>
      <c r="H670" s="1406">
        <v>3163</v>
      </c>
      <c r="I670" s="1406">
        <v>5508</v>
      </c>
      <c r="J670" s="1405">
        <v>6333</v>
      </c>
      <c r="K670" s="1282"/>
      <c r="L670" s="1406">
        <f t="shared" si="12"/>
        <v>33325</v>
      </c>
    </row>
    <row r="671" spans="1:12" ht="13.5">
      <c r="A671" s="1406">
        <v>33350</v>
      </c>
      <c r="B671" s="1405">
        <v>33400</v>
      </c>
      <c r="C671" s="4809">
        <v>0</v>
      </c>
      <c r="D671" s="1406">
        <v>2107</v>
      </c>
      <c r="E671" s="1406">
        <v>4116</v>
      </c>
      <c r="F671" s="1405">
        <v>4941</v>
      </c>
      <c r="G671" s="4809">
        <v>0</v>
      </c>
      <c r="H671" s="1406">
        <v>3155</v>
      </c>
      <c r="I671" s="1406">
        <v>5497</v>
      </c>
      <c r="J671" s="1405">
        <v>6323</v>
      </c>
      <c r="K671" s="1282"/>
      <c r="L671" s="1406">
        <f t="shared" si="12"/>
        <v>33375</v>
      </c>
    </row>
    <row r="672" spans="1:12" ht="13.5">
      <c r="A672" s="1406">
        <v>33400</v>
      </c>
      <c r="B672" s="1405">
        <v>33450</v>
      </c>
      <c r="C672" s="4809">
        <v>0</v>
      </c>
      <c r="D672" s="1406">
        <v>2099</v>
      </c>
      <c r="E672" s="1406">
        <v>4105</v>
      </c>
      <c r="F672" s="1405">
        <v>4931</v>
      </c>
      <c r="G672" s="4809">
        <v>0</v>
      </c>
      <c r="H672" s="1406">
        <v>3147</v>
      </c>
      <c r="I672" s="1406">
        <v>5487</v>
      </c>
      <c r="J672" s="1405">
        <v>6312</v>
      </c>
      <c r="K672" s="1282"/>
      <c r="L672" s="1406">
        <f t="shared" si="12"/>
        <v>33425</v>
      </c>
    </row>
    <row r="673" spans="1:12" ht="13.5">
      <c r="A673" s="1406">
        <v>33450</v>
      </c>
      <c r="B673" s="1405">
        <v>33500</v>
      </c>
      <c r="C673" s="4809">
        <v>0</v>
      </c>
      <c r="D673" s="1406">
        <v>2091</v>
      </c>
      <c r="E673" s="1406">
        <v>4095</v>
      </c>
      <c r="F673" s="1405">
        <v>4920</v>
      </c>
      <c r="G673" s="4809">
        <v>0</v>
      </c>
      <c r="H673" s="1406">
        <v>3139</v>
      </c>
      <c r="I673" s="1406">
        <v>5476</v>
      </c>
      <c r="J673" s="1405">
        <v>6302</v>
      </c>
      <c r="K673" s="1282"/>
      <c r="L673" s="1406">
        <f t="shared" si="12"/>
        <v>33475</v>
      </c>
    </row>
    <row r="674" spans="1:12" ht="13.5">
      <c r="A674" s="1406">
        <v>33500</v>
      </c>
      <c r="B674" s="1405">
        <v>33550</v>
      </c>
      <c r="C674" s="4809">
        <v>0</v>
      </c>
      <c r="D674" s="1406">
        <v>2083</v>
      </c>
      <c r="E674" s="1406">
        <v>4084</v>
      </c>
      <c r="F674" s="1405">
        <v>4910</v>
      </c>
      <c r="G674" s="4809">
        <v>0</v>
      </c>
      <c r="H674" s="1406">
        <v>3131</v>
      </c>
      <c r="I674" s="1406">
        <v>5466</v>
      </c>
      <c r="J674" s="1405">
        <v>6291</v>
      </c>
      <c r="K674" s="1282"/>
      <c r="L674" s="1406">
        <f t="shared" si="12"/>
        <v>33525</v>
      </c>
    </row>
    <row r="675" spans="1:12" ht="13.5">
      <c r="A675" s="1406">
        <v>33550</v>
      </c>
      <c r="B675" s="1405">
        <v>33600</v>
      </c>
      <c r="C675" s="4809">
        <v>0</v>
      </c>
      <c r="D675" s="1406">
        <v>2075</v>
      </c>
      <c r="E675" s="1406">
        <v>4074</v>
      </c>
      <c r="F675" s="1405">
        <v>4899</v>
      </c>
      <c r="G675" s="4809">
        <v>0</v>
      </c>
      <c r="H675" s="1406">
        <v>3123</v>
      </c>
      <c r="I675" s="1406">
        <v>5455</v>
      </c>
      <c r="J675" s="1405">
        <v>6281</v>
      </c>
      <c r="K675" s="1282"/>
      <c r="L675" s="1406">
        <f t="shared" si="12"/>
        <v>33575</v>
      </c>
    </row>
    <row r="676" spans="1:12" ht="13.5">
      <c r="A676" s="1406">
        <v>33600</v>
      </c>
      <c r="B676" s="1405">
        <v>33650</v>
      </c>
      <c r="C676" s="4809">
        <v>0</v>
      </c>
      <c r="D676" s="1406">
        <v>2067</v>
      </c>
      <c r="E676" s="1406">
        <v>4063</v>
      </c>
      <c r="F676" s="1405">
        <v>4889</v>
      </c>
      <c r="G676" s="4809">
        <v>0</v>
      </c>
      <c r="H676" s="1406">
        <v>3115</v>
      </c>
      <c r="I676" s="1406">
        <v>5445</v>
      </c>
      <c r="J676" s="1405">
        <v>6270</v>
      </c>
      <c r="K676" s="1282"/>
      <c r="L676" s="1406">
        <f t="shared" si="12"/>
        <v>33625</v>
      </c>
    </row>
    <row r="677" spans="1:12" ht="13.5">
      <c r="A677" s="1406">
        <v>33650</v>
      </c>
      <c r="B677" s="1405">
        <v>33700</v>
      </c>
      <c r="C677" s="4809">
        <v>0</v>
      </c>
      <c r="D677" s="1406">
        <v>2059</v>
      </c>
      <c r="E677" s="1406">
        <v>4053</v>
      </c>
      <c r="F677" s="1405">
        <v>4878</v>
      </c>
      <c r="G677" s="4809">
        <v>0</v>
      </c>
      <c r="H677" s="1406">
        <v>3107</v>
      </c>
      <c r="I677" s="1406">
        <v>5434</v>
      </c>
      <c r="J677" s="1405">
        <v>6260</v>
      </c>
      <c r="K677" s="1282"/>
      <c r="L677" s="1406">
        <f t="shared" si="12"/>
        <v>33675</v>
      </c>
    </row>
    <row r="678" spans="1:12" ht="13.5">
      <c r="A678" s="1406">
        <v>33700</v>
      </c>
      <c r="B678" s="1405">
        <v>33750</v>
      </c>
      <c r="C678" s="4809">
        <v>0</v>
      </c>
      <c r="D678" s="1406">
        <v>2051</v>
      </c>
      <c r="E678" s="1406">
        <v>4042</v>
      </c>
      <c r="F678" s="1405">
        <v>4868</v>
      </c>
      <c r="G678" s="4809">
        <v>0</v>
      </c>
      <c r="H678" s="1406">
        <v>3099</v>
      </c>
      <c r="I678" s="1406">
        <v>5424</v>
      </c>
      <c r="J678" s="1405">
        <v>6249</v>
      </c>
      <c r="K678" s="1282"/>
      <c r="L678" s="1406">
        <f t="shared" si="12"/>
        <v>33725</v>
      </c>
    </row>
    <row r="679" spans="1:12" ht="13.5">
      <c r="A679" s="1406">
        <v>33750</v>
      </c>
      <c r="B679" s="1405">
        <v>33800</v>
      </c>
      <c r="C679" s="4809">
        <v>0</v>
      </c>
      <c r="D679" s="1406">
        <v>2043</v>
      </c>
      <c r="E679" s="1406">
        <v>4032</v>
      </c>
      <c r="F679" s="1405">
        <v>4857</v>
      </c>
      <c r="G679" s="4809">
        <v>0</v>
      </c>
      <c r="H679" s="1406">
        <v>3091</v>
      </c>
      <c r="I679" s="1406">
        <v>5413</v>
      </c>
      <c r="J679" s="1405">
        <v>6239</v>
      </c>
      <c r="K679" s="1282"/>
      <c r="L679" s="1406">
        <f t="shared" si="12"/>
        <v>33775</v>
      </c>
    </row>
    <row r="680" spans="1:12" ht="13.5">
      <c r="A680" s="1406">
        <v>33800</v>
      </c>
      <c r="B680" s="1405">
        <v>33850</v>
      </c>
      <c r="C680" s="4809">
        <v>0</v>
      </c>
      <c r="D680" s="1406">
        <v>2035</v>
      </c>
      <c r="E680" s="1406">
        <v>4021</v>
      </c>
      <c r="F680" s="1405">
        <v>4846</v>
      </c>
      <c r="G680" s="4809">
        <v>0</v>
      </c>
      <c r="H680" s="1406">
        <v>3083</v>
      </c>
      <c r="I680" s="1406">
        <v>5403</v>
      </c>
      <c r="J680" s="1405">
        <v>6228</v>
      </c>
      <c r="K680" s="1282"/>
      <c r="L680" s="1406">
        <f t="shared" si="12"/>
        <v>33825</v>
      </c>
    </row>
    <row r="681" spans="1:12" ht="13.5">
      <c r="A681" s="1406">
        <v>33850</v>
      </c>
      <c r="B681" s="1405">
        <v>33900</v>
      </c>
      <c r="C681" s="4809">
        <v>0</v>
      </c>
      <c r="D681" s="1406">
        <v>2027</v>
      </c>
      <c r="E681" s="1406">
        <v>4010</v>
      </c>
      <c r="F681" s="1405">
        <v>4836</v>
      </c>
      <c r="G681" s="4809">
        <v>0</v>
      </c>
      <c r="H681" s="1406">
        <v>3075</v>
      </c>
      <c r="I681" s="1406">
        <v>5392</v>
      </c>
      <c r="J681" s="1405">
        <v>6217</v>
      </c>
      <c r="K681" s="1282"/>
      <c r="L681" s="1406">
        <f t="shared" si="12"/>
        <v>33875</v>
      </c>
    </row>
    <row r="682" spans="1:12" ht="13.5">
      <c r="A682" s="1406">
        <v>33900</v>
      </c>
      <c r="B682" s="1405">
        <v>33950</v>
      </c>
      <c r="C682" s="4809">
        <v>0</v>
      </c>
      <c r="D682" s="1406">
        <v>2019</v>
      </c>
      <c r="E682" s="1406">
        <v>4000</v>
      </c>
      <c r="F682" s="1405">
        <v>4825</v>
      </c>
      <c r="G682" s="4809">
        <v>0</v>
      </c>
      <c r="H682" s="1406">
        <v>3067</v>
      </c>
      <c r="I682" s="1406">
        <v>5381</v>
      </c>
      <c r="J682" s="1405">
        <v>6207</v>
      </c>
      <c r="K682" s="1282"/>
      <c r="L682" s="1406">
        <f t="shared" si="12"/>
        <v>33925</v>
      </c>
    </row>
    <row r="683" spans="1:12" ht="13.5">
      <c r="A683" s="1406">
        <v>33950</v>
      </c>
      <c r="B683" s="1405">
        <v>34000</v>
      </c>
      <c r="C683" s="4809">
        <v>0</v>
      </c>
      <c r="D683" s="1406">
        <v>2011</v>
      </c>
      <c r="E683" s="1406">
        <v>3989</v>
      </c>
      <c r="F683" s="1405">
        <v>4815</v>
      </c>
      <c r="G683" s="4809">
        <v>0</v>
      </c>
      <c r="H683" s="1406">
        <v>3059</v>
      </c>
      <c r="I683" s="1406">
        <v>5371</v>
      </c>
      <c r="J683" s="1405">
        <v>6196</v>
      </c>
      <c r="K683" s="1282"/>
      <c r="L683" s="1406">
        <f t="shared" si="12"/>
        <v>33975</v>
      </c>
    </row>
    <row r="684" spans="1:12" ht="13.5">
      <c r="A684" s="1406">
        <v>34000</v>
      </c>
      <c r="B684" s="1405">
        <v>34050</v>
      </c>
      <c r="C684" s="4809">
        <v>0</v>
      </c>
      <c r="D684" s="1406">
        <v>2003</v>
      </c>
      <c r="E684" s="1406">
        <v>3979</v>
      </c>
      <c r="F684" s="1405">
        <v>4804</v>
      </c>
      <c r="G684" s="4809">
        <v>0</v>
      </c>
      <c r="H684" s="1406">
        <v>3051</v>
      </c>
      <c r="I684" s="1406">
        <v>5360</v>
      </c>
      <c r="J684" s="1405">
        <v>6186</v>
      </c>
      <c r="K684" s="1282"/>
      <c r="L684" s="1406">
        <f t="shared" si="12"/>
        <v>34025</v>
      </c>
    </row>
    <row r="685" spans="1:12" ht="13.5">
      <c r="A685" s="1406">
        <v>34050</v>
      </c>
      <c r="B685" s="1405">
        <v>34100</v>
      </c>
      <c r="C685" s="4809">
        <v>0</v>
      </c>
      <c r="D685" s="1406">
        <v>1995</v>
      </c>
      <c r="E685" s="1406">
        <v>3968</v>
      </c>
      <c r="F685" s="1405">
        <v>4794</v>
      </c>
      <c r="G685" s="4809">
        <v>0</v>
      </c>
      <c r="H685" s="1406">
        <v>3043</v>
      </c>
      <c r="I685" s="1406">
        <v>5350</v>
      </c>
      <c r="J685" s="1405">
        <v>6175</v>
      </c>
      <c r="K685" s="1282"/>
      <c r="L685" s="1406">
        <f t="shared" si="12"/>
        <v>34075</v>
      </c>
    </row>
    <row r="686" spans="1:12" ht="13.5">
      <c r="A686" s="1406">
        <v>34100</v>
      </c>
      <c r="B686" s="1405">
        <v>34150</v>
      </c>
      <c r="C686" s="4809">
        <v>0</v>
      </c>
      <c r="D686" s="1406">
        <v>1987</v>
      </c>
      <c r="E686" s="1406">
        <v>3958</v>
      </c>
      <c r="F686" s="1405">
        <v>4783</v>
      </c>
      <c r="G686" s="4809">
        <v>0</v>
      </c>
      <c r="H686" s="1406">
        <v>3035</v>
      </c>
      <c r="I686" s="1406">
        <v>5339</v>
      </c>
      <c r="J686" s="1405">
        <v>6165</v>
      </c>
      <c r="K686" s="1282"/>
      <c r="L686" s="1406">
        <f t="shared" si="12"/>
        <v>34125</v>
      </c>
    </row>
    <row r="687" spans="1:12" ht="13.5">
      <c r="A687" s="1406">
        <v>34150</v>
      </c>
      <c r="B687" s="1405">
        <v>34200</v>
      </c>
      <c r="C687" s="4809">
        <v>0</v>
      </c>
      <c r="D687" s="1406">
        <v>1979</v>
      </c>
      <c r="E687" s="1406">
        <v>3947</v>
      </c>
      <c r="F687" s="1405">
        <v>4773</v>
      </c>
      <c r="G687" s="4809">
        <v>0</v>
      </c>
      <c r="H687" s="1406">
        <v>3027</v>
      </c>
      <c r="I687" s="1406">
        <v>5329</v>
      </c>
      <c r="J687" s="1405">
        <v>6154</v>
      </c>
      <c r="K687" s="1282"/>
      <c r="L687" s="1406">
        <f t="shared" si="12"/>
        <v>34175</v>
      </c>
    </row>
    <row r="688" spans="1:12" ht="13.5">
      <c r="A688" s="1406">
        <v>34200</v>
      </c>
      <c r="B688" s="1405">
        <v>34250</v>
      </c>
      <c r="C688" s="4809">
        <v>0</v>
      </c>
      <c r="D688" s="1406">
        <v>1971</v>
      </c>
      <c r="E688" s="1406">
        <v>3937</v>
      </c>
      <c r="F688" s="1405">
        <v>4762</v>
      </c>
      <c r="G688" s="4809">
        <v>0</v>
      </c>
      <c r="H688" s="1406">
        <v>3019</v>
      </c>
      <c r="I688" s="1406">
        <v>5318</v>
      </c>
      <c r="J688" s="1405">
        <v>6144</v>
      </c>
      <c r="K688" s="1282"/>
      <c r="L688" s="1406">
        <f t="shared" si="12"/>
        <v>34225</v>
      </c>
    </row>
    <row r="689" spans="1:12" ht="13.5">
      <c r="A689" s="1406">
        <v>34250</v>
      </c>
      <c r="B689" s="1405">
        <v>34300</v>
      </c>
      <c r="C689" s="4809">
        <v>0</v>
      </c>
      <c r="D689" s="1406">
        <v>1963</v>
      </c>
      <c r="E689" s="1406">
        <v>3926</v>
      </c>
      <c r="F689" s="1405">
        <v>4752</v>
      </c>
      <c r="G689" s="4809">
        <v>0</v>
      </c>
      <c r="H689" s="1406">
        <v>3011</v>
      </c>
      <c r="I689" s="1406">
        <v>5308</v>
      </c>
      <c r="J689" s="1405">
        <v>6133</v>
      </c>
      <c r="K689" s="1282"/>
      <c r="L689" s="1406">
        <f t="shared" si="12"/>
        <v>34275</v>
      </c>
    </row>
    <row r="690" spans="1:12" ht="13.5">
      <c r="A690" s="1406">
        <v>34300</v>
      </c>
      <c r="B690" s="1405">
        <v>34350</v>
      </c>
      <c r="C690" s="4809">
        <v>0</v>
      </c>
      <c r="D690" s="1406">
        <v>1955</v>
      </c>
      <c r="E690" s="1406">
        <v>3916</v>
      </c>
      <c r="F690" s="1405">
        <v>4741</v>
      </c>
      <c r="G690" s="4809">
        <v>0</v>
      </c>
      <c r="H690" s="1406">
        <v>3003</v>
      </c>
      <c r="I690" s="1406">
        <v>5297</v>
      </c>
      <c r="J690" s="1405">
        <v>6123</v>
      </c>
      <c r="K690" s="1282"/>
      <c r="L690" s="1406">
        <f t="shared" si="12"/>
        <v>34325</v>
      </c>
    </row>
    <row r="691" spans="1:12" ht="13.5">
      <c r="A691" s="1406">
        <v>34350</v>
      </c>
      <c r="B691" s="1405">
        <v>34400</v>
      </c>
      <c r="C691" s="4809">
        <v>0</v>
      </c>
      <c r="D691" s="1406">
        <v>1947</v>
      </c>
      <c r="E691" s="1406">
        <v>3905</v>
      </c>
      <c r="F691" s="1405">
        <v>4731</v>
      </c>
      <c r="G691" s="4809">
        <v>0</v>
      </c>
      <c r="H691" s="1406">
        <v>2995</v>
      </c>
      <c r="I691" s="1406">
        <v>5287</v>
      </c>
      <c r="J691" s="1405">
        <v>6112</v>
      </c>
      <c r="K691" s="1282"/>
      <c r="L691" s="1406">
        <f t="shared" si="12"/>
        <v>34375</v>
      </c>
    </row>
    <row r="692" spans="1:12" ht="13.5">
      <c r="A692" s="1406">
        <v>34400</v>
      </c>
      <c r="B692" s="1405">
        <v>34450</v>
      </c>
      <c r="C692" s="4809">
        <v>0</v>
      </c>
      <c r="D692" s="1406">
        <v>1939</v>
      </c>
      <c r="E692" s="1406">
        <v>3895</v>
      </c>
      <c r="F692" s="1405">
        <v>4720</v>
      </c>
      <c r="G692" s="4809">
        <v>0</v>
      </c>
      <c r="H692" s="1406">
        <v>2987</v>
      </c>
      <c r="I692" s="1406">
        <v>5276</v>
      </c>
      <c r="J692" s="1405">
        <v>6102</v>
      </c>
      <c r="K692" s="1282"/>
      <c r="L692" s="1406">
        <f t="shared" si="12"/>
        <v>34425</v>
      </c>
    </row>
    <row r="693" spans="1:12" ht="13.5">
      <c r="A693" s="1406">
        <v>34450</v>
      </c>
      <c r="B693" s="1405">
        <v>34500</v>
      </c>
      <c r="C693" s="4809">
        <v>0</v>
      </c>
      <c r="D693" s="1406">
        <v>1931</v>
      </c>
      <c r="E693" s="1406">
        <v>3884</v>
      </c>
      <c r="F693" s="1405">
        <v>4710</v>
      </c>
      <c r="G693" s="4809">
        <v>0</v>
      </c>
      <c r="H693" s="1406">
        <v>2979</v>
      </c>
      <c r="I693" s="1406">
        <v>5266</v>
      </c>
      <c r="J693" s="1405">
        <v>6091</v>
      </c>
      <c r="K693" s="1282"/>
      <c r="L693" s="1406">
        <f t="shared" si="12"/>
        <v>34475</v>
      </c>
    </row>
    <row r="694" spans="1:12" ht="13.5">
      <c r="A694" s="1406">
        <v>34500</v>
      </c>
      <c r="B694" s="1405">
        <v>34550</v>
      </c>
      <c r="C694" s="4809">
        <v>0</v>
      </c>
      <c r="D694" s="1406">
        <v>1923</v>
      </c>
      <c r="E694" s="1406">
        <v>3874</v>
      </c>
      <c r="F694" s="1405">
        <v>4699</v>
      </c>
      <c r="G694" s="4809">
        <v>0</v>
      </c>
      <c r="H694" s="1406">
        <v>2971</v>
      </c>
      <c r="I694" s="1406">
        <v>5255</v>
      </c>
      <c r="J694" s="1405">
        <v>6081</v>
      </c>
      <c r="K694" s="1282"/>
      <c r="L694" s="1406">
        <f t="shared" si="12"/>
        <v>34525</v>
      </c>
    </row>
    <row r="695" spans="1:12" ht="13.5">
      <c r="A695" s="1406">
        <v>34550</v>
      </c>
      <c r="B695" s="1405">
        <v>34600</v>
      </c>
      <c r="C695" s="4809">
        <v>0</v>
      </c>
      <c r="D695" s="1406">
        <v>1915</v>
      </c>
      <c r="E695" s="1406">
        <v>3863</v>
      </c>
      <c r="F695" s="1405">
        <v>4689</v>
      </c>
      <c r="G695" s="4809">
        <v>0</v>
      </c>
      <c r="H695" s="1406">
        <v>2963</v>
      </c>
      <c r="I695" s="1406">
        <v>5245</v>
      </c>
      <c r="J695" s="1405">
        <v>6070</v>
      </c>
      <c r="K695" s="1282"/>
      <c r="L695" s="1406">
        <f t="shared" si="12"/>
        <v>34575</v>
      </c>
    </row>
    <row r="696" spans="1:12" ht="13.5">
      <c r="A696" s="1406">
        <v>34600</v>
      </c>
      <c r="B696" s="1405">
        <v>34650</v>
      </c>
      <c r="C696" s="4809">
        <v>0</v>
      </c>
      <c r="D696" s="1406">
        <v>1907</v>
      </c>
      <c r="E696" s="1406">
        <v>3853</v>
      </c>
      <c r="F696" s="1405">
        <v>4678</v>
      </c>
      <c r="G696" s="4809">
        <v>0</v>
      </c>
      <c r="H696" s="1406">
        <v>2956</v>
      </c>
      <c r="I696" s="1406">
        <v>5234</v>
      </c>
      <c r="J696" s="1405">
        <v>6060</v>
      </c>
      <c r="K696" s="1282"/>
      <c r="L696" s="1406">
        <f t="shared" si="12"/>
        <v>34625</v>
      </c>
    </row>
    <row r="697" spans="1:12" ht="13.5">
      <c r="A697" s="1406">
        <v>34650</v>
      </c>
      <c r="B697" s="1405">
        <v>34700</v>
      </c>
      <c r="C697" s="4809">
        <v>0</v>
      </c>
      <c r="D697" s="1406">
        <v>1899</v>
      </c>
      <c r="E697" s="1406">
        <v>3842</v>
      </c>
      <c r="F697" s="1405">
        <v>4667</v>
      </c>
      <c r="G697" s="4809">
        <v>0</v>
      </c>
      <c r="H697" s="1406">
        <v>2948</v>
      </c>
      <c r="I697" s="1406">
        <v>5224</v>
      </c>
      <c r="J697" s="1405">
        <v>6049</v>
      </c>
      <c r="K697" s="1282"/>
      <c r="L697" s="1406">
        <f t="shared" si="12"/>
        <v>34675</v>
      </c>
    </row>
    <row r="698" spans="1:12" ht="13.5">
      <c r="A698" s="1406">
        <v>34700</v>
      </c>
      <c r="B698" s="1405">
        <v>34750</v>
      </c>
      <c r="C698" s="4809">
        <v>0</v>
      </c>
      <c r="D698" s="1406">
        <v>1891</v>
      </c>
      <c r="E698" s="1406">
        <v>3831</v>
      </c>
      <c r="F698" s="1405">
        <v>4657</v>
      </c>
      <c r="G698" s="4809">
        <v>0</v>
      </c>
      <c r="H698" s="1406">
        <v>2940</v>
      </c>
      <c r="I698" s="1406">
        <v>5213</v>
      </c>
      <c r="J698" s="1405">
        <v>6038</v>
      </c>
      <c r="K698" s="1282"/>
      <c r="L698" s="1406">
        <f t="shared" si="12"/>
        <v>34725</v>
      </c>
    </row>
    <row r="699" spans="1:12" ht="13.5">
      <c r="A699" s="1406">
        <v>34750</v>
      </c>
      <c r="B699" s="1405">
        <v>34800</v>
      </c>
      <c r="C699" s="4809">
        <v>0</v>
      </c>
      <c r="D699" s="1406">
        <v>1883</v>
      </c>
      <c r="E699" s="1406">
        <v>3821</v>
      </c>
      <c r="F699" s="1405">
        <v>4646</v>
      </c>
      <c r="G699" s="4809">
        <v>0</v>
      </c>
      <c r="H699" s="1406">
        <v>2932</v>
      </c>
      <c r="I699" s="1406">
        <v>5202</v>
      </c>
      <c r="J699" s="1405">
        <v>6028</v>
      </c>
      <c r="K699" s="1282"/>
      <c r="L699" s="1406">
        <f t="shared" si="12"/>
        <v>34775</v>
      </c>
    </row>
    <row r="700" spans="1:12" ht="13.5">
      <c r="A700" s="1406">
        <v>34800</v>
      </c>
      <c r="B700" s="1405">
        <v>34850</v>
      </c>
      <c r="C700" s="4809">
        <v>0</v>
      </c>
      <c r="D700" s="1406">
        <v>1875</v>
      </c>
      <c r="E700" s="1406">
        <v>3810</v>
      </c>
      <c r="F700" s="1405">
        <v>4636</v>
      </c>
      <c r="G700" s="4809">
        <v>0</v>
      </c>
      <c r="H700" s="1406">
        <v>2924</v>
      </c>
      <c r="I700" s="1406">
        <v>5192</v>
      </c>
      <c r="J700" s="1405">
        <v>6017</v>
      </c>
      <c r="K700" s="1282"/>
      <c r="L700" s="1406">
        <f t="shared" si="12"/>
        <v>34825</v>
      </c>
    </row>
    <row r="701" spans="1:12" ht="13.5">
      <c r="A701" s="1406">
        <v>34850</v>
      </c>
      <c r="B701" s="1405">
        <v>34900</v>
      </c>
      <c r="C701" s="4809">
        <v>0</v>
      </c>
      <c r="D701" s="1406">
        <v>1867</v>
      </c>
      <c r="E701" s="1406">
        <v>3800</v>
      </c>
      <c r="F701" s="1405">
        <v>4625</v>
      </c>
      <c r="G701" s="4809">
        <v>0</v>
      </c>
      <c r="H701" s="1406">
        <v>2916</v>
      </c>
      <c r="I701" s="1406">
        <v>5181</v>
      </c>
      <c r="J701" s="1405">
        <v>6007</v>
      </c>
      <c r="K701" s="1282"/>
      <c r="L701" s="1406">
        <f t="shared" si="12"/>
        <v>34875</v>
      </c>
    </row>
    <row r="702" spans="1:12" ht="13.5">
      <c r="A702" s="1406">
        <v>34900</v>
      </c>
      <c r="B702" s="1405">
        <v>34950</v>
      </c>
      <c r="C702" s="4809">
        <v>0</v>
      </c>
      <c r="D702" s="1406">
        <v>1859</v>
      </c>
      <c r="E702" s="1406">
        <v>3789</v>
      </c>
      <c r="F702" s="1405">
        <v>4615</v>
      </c>
      <c r="G702" s="4809">
        <v>0</v>
      </c>
      <c r="H702" s="1406">
        <v>2908</v>
      </c>
      <c r="I702" s="1406">
        <v>5171</v>
      </c>
      <c r="J702" s="1405">
        <v>5996</v>
      </c>
      <c r="K702" s="1282"/>
      <c r="L702" s="1406">
        <f t="shared" si="12"/>
        <v>34925</v>
      </c>
    </row>
    <row r="703" spans="1:12" ht="13.5">
      <c r="A703" s="1406">
        <v>34950</v>
      </c>
      <c r="B703" s="1405">
        <v>35000</v>
      </c>
      <c r="C703" s="4809">
        <v>0</v>
      </c>
      <c r="D703" s="1406">
        <v>1851</v>
      </c>
      <c r="E703" s="1406">
        <v>3779</v>
      </c>
      <c r="F703" s="1405">
        <v>4604</v>
      </c>
      <c r="G703" s="4809">
        <v>0</v>
      </c>
      <c r="H703" s="1406">
        <v>2900</v>
      </c>
      <c r="I703" s="1406">
        <v>5160</v>
      </c>
      <c r="J703" s="1405">
        <v>5986</v>
      </c>
      <c r="K703" s="1282"/>
      <c r="L703" s="1406">
        <f t="shared" si="12"/>
        <v>34975</v>
      </c>
    </row>
    <row r="704" spans="1:12" ht="13.5">
      <c r="A704" s="1406">
        <v>35000</v>
      </c>
      <c r="B704" s="1405">
        <v>35050</v>
      </c>
      <c r="C704" s="4809">
        <v>0</v>
      </c>
      <c r="D704" s="1406">
        <v>1843</v>
      </c>
      <c r="E704" s="1406">
        <v>3768</v>
      </c>
      <c r="F704" s="1405">
        <v>4594</v>
      </c>
      <c r="G704" s="4809">
        <v>0</v>
      </c>
      <c r="H704" s="1406">
        <v>2892</v>
      </c>
      <c r="I704" s="1406">
        <v>5150</v>
      </c>
      <c r="J704" s="1405">
        <v>5975</v>
      </c>
      <c r="K704" s="1282"/>
      <c r="L704" s="1406">
        <f t="shared" si="12"/>
        <v>35025</v>
      </c>
    </row>
    <row r="705" spans="1:12" ht="13.5">
      <c r="A705" s="1406">
        <v>35050</v>
      </c>
      <c r="B705" s="1405">
        <v>35100</v>
      </c>
      <c r="C705" s="4809">
        <v>0</v>
      </c>
      <c r="D705" s="1406">
        <v>1835</v>
      </c>
      <c r="E705" s="1406">
        <v>3758</v>
      </c>
      <c r="F705" s="1405">
        <v>4583</v>
      </c>
      <c r="G705" s="4809">
        <v>0</v>
      </c>
      <c r="H705" s="1406">
        <v>2884</v>
      </c>
      <c r="I705" s="1406">
        <v>5139</v>
      </c>
      <c r="J705" s="1405">
        <v>5965</v>
      </c>
      <c r="K705" s="1282"/>
      <c r="L705" s="1406">
        <f t="shared" si="12"/>
        <v>35075</v>
      </c>
    </row>
    <row r="706" spans="1:12" ht="13.5">
      <c r="A706" s="1406">
        <v>35100</v>
      </c>
      <c r="B706" s="1405">
        <v>35150</v>
      </c>
      <c r="C706" s="4809">
        <v>0</v>
      </c>
      <c r="D706" s="1406">
        <v>1827</v>
      </c>
      <c r="E706" s="1406">
        <v>3747</v>
      </c>
      <c r="F706" s="1405">
        <v>4573</v>
      </c>
      <c r="G706" s="4809">
        <v>0</v>
      </c>
      <c r="H706" s="1406">
        <v>2876</v>
      </c>
      <c r="I706" s="1406">
        <v>5129</v>
      </c>
      <c r="J706" s="1405">
        <v>5954</v>
      </c>
      <c r="K706" s="1282"/>
      <c r="L706" s="1406">
        <f t="shared" si="12"/>
        <v>35125</v>
      </c>
    </row>
    <row r="707" spans="1:12" ht="13.5">
      <c r="A707" s="1406">
        <v>35150</v>
      </c>
      <c r="B707" s="1405">
        <v>35200</v>
      </c>
      <c r="C707" s="4809">
        <v>0</v>
      </c>
      <c r="D707" s="1406">
        <v>1819</v>
      </c>
      <c r="E707" s="1406">
        <v>3737</v>
      </c>
      <c r="F707" s="1405">
        <v>4562</v>
      </c>
      <c r="G707" s="4809">
        <v>0</v>
      </c>
      <c r="H707" s="1406">
        <v>2868</v>
      </c>
      <c r="I707" s="1406">
        <v>5118</v>
      </c>
      <c r="J707" s="1405">
        <v>5944</v>
      </c>
      <c r="K707" s="1282"/>
      <c r="L707" s="1406">
        <f t="shared" si="12"/>
        <v>35175</v>
      </c>
    </row>
    <row r="708" spans="1:12" ht="13.5">
      <c r="A708" s="1406">
        <v>35200</v>
      </c>
      <c r="B708" s="1405">
        <v>35250</v>
      </c>
      <c r="C708" s="4809">
        <v>0</v>
      </c>
      <c r="D708" s="1406">
        <v>1811</v>
      </c>
      <c r="E708" s="1406">
        <v>3726</v>
      </c>
      <c r="F708" s="1405">
        <v>4552</v>
      </c>
      <c r="G708" s="4809">
        <v>0</v>
      </c>
      <c r="H708" s="1406">
        <v>2860</v>
      </c>
      <c r="I708" s="1406">
        <v>5108</v>
      </c>
      <c r="J708" s="1405">
        <v>5933</v>
      </c>
      <c r="K708" s="1282"/>
      <c r="L708" s="1406">
        <f t="shared" ref="L708:L771" si="13">ROUND((A708+B708)/2,2)</f>
        <v>35225</v>
      </c>
    </row>
    <row r="709" spans="1:12" ht="13.5">
      <c r="A709" s="1406">
        <v>35250</v>
      </c>
      <c r="B709" s="1405">
        <v>35300</v>
      </c>
      <c r="C709" s="4809">
        <v>0</v>
      </c>
      <c r="D709" s="1406">
        <v>1803</v>
      </c>
      <c r="E709" s="1406">
        <v>3716</v>
      </c>
      <c r="F709" s="1405">
        <v>4541</v>
      </c>
      <c r="G709" s="4809">
        <v>0</v>
      </c>
      <c r="H709" s="1406">
        <v>2852</v>
      </c>
      <c r="I709" s="1406">
        <v>5097</v>
      </c>
      <c r="J709" s="1405">
        <v>5923</v>
      </c>
      <c r="K709" s="1282"/>
      <c r="L709" s="1406">
        <f t="shared" si="13"/>
        <v>35275</v>
      </c>
    </row>
    <row r="710" spans="1:12" ht="13.5">
      <c r="A710" s="1406">
        <v>35300</v>
      </c>
      <c r="B710" s="1405">
        <v>35350</v>
      </c>
      <c r="C710" s="4809">
        <v>0</v>
      </c>
      <c r="D710" s="1406">
        <v>1795</v>
      </c>
      <c r="E710" s="1406">
        <v>3705</v>
      </c>
      <c r="F710" s="1405">
        <v>4531</v>
      </c>
      <c r="G710" s="4809">
        <v>0</v>
      </c>
      <c r="H710" s="1406">
        <v>2844</v>
      </c>
      <c r="I710" s="1406">
        <v>5087</v>
      </c>
      <c r="J710" s="1405">
        <v>5912</v>
      </c>
      <c r="K710" s="1282"/>
      <c r="L710" s="1406">
        <f t="shared" si="13"/>
        <v>35325</v>
      </c>
    </row>
    <row r="711" spans="1:12" ht="13.5">
      <c r="A711" s="1406">
        <v>35350</v>
      </c>
      <c r="B711" s="1405">
        <v>35400</v>
      </c>
      <c r="C711" s="4809">
        <v>0</v>
      </c>
      <c r="D711" s="1406">
        <v>1787</v>
      </c>
      <c r="E711" s="1406">
        <v>3695</v>
      </c>
      <c r="F711" s="1405">
        <v>4520</v>
      </c>
      <c r="G711" s="4809">
        <v>0</v>
      </c>
      <c r="H711" s="1406">
        <v>2836</v>
      </c>
      <c r="I711" s="1406">
        <v>5076</v>
      </c>
      <c r="J711" s="1405">
        <v>5902</v>
      </c>
      <c r="K711" s="1282"/>
      <c r="L711" s="1406">
        <f t="shared" si="13"/>
        <v>35375</v>
      </c>
    </row>
    <row r="712" spans="1:12" ht="13.5">
      <c r="A712" s="1406">
        <v>35400</v>
      </c>
      <c r="B712" s="1405">
        <v>35450</v>
      </c>
      <c r="C712" s="4809">
        <v>0</v>
      </c>
      <c r="D712" s="1406">
        <v>1779</v>
      </c>
      <c r="E712" s="1406">
        <v>3684</v>
      </c>
      <c r="F712" s="1405">
        <v>4510</v>
      </c>
      <c r="G712" s="4809">
        <v>0</v>
      </c>
      <c r="H712" s="1406">
        <v>2828</v>
      </c>
      <c r="I712" s="1406">
        <v>5066</v>
      </c>
      <c r="J712" s="1405">
        <v>5891</v>
      </c>
      <c r="K712" s="1282"/>
      <c r="L712" s="1406">
        <f t="shared" si="13"/>
        <v>35425</v>
      </c>
    </row>
    <row r="713" spans="1:12" ht="13.5">
      <c r="A713" s="1406">
        <v>35450</v>
      </c>
      <c r="B713" s="1405">
        <v>35500</v>
      </c>
      <c r="C713" s="4809">
        <v>0</v>
      </c>
      <c r="D713" s="1406">
        <v>1771</v>
      </c>
      <c r="E713" s="1406">
        <v>3674</v>
      </c>
      <c r="F713" s="1405">
        <v>4499</v>
      </c>
      <c r="G713" s="4809">
        <v>0</v>
      </c>
      <c r="H713" s="1406">
        <v>2820</v>
      </c>
      <c r="I713" s="1406">
        <v>5055</v>
      </c>
      <c r="J713" s="1405">
        <v>5881</v>
      </c>
      <c r="K713" s="1282"/>
      <c r="L713" s="1406">
        <f t="shared" si="13"/>
        <v>35475</v>
      </c>
    </row>
    <row r="714" spans="1:12" ht="13.5">
      <c r="A714" s="1406">
        <v>35500</v>
      </c>
      <c r="B714" s="1405">
        <v>35550</v>
      </c>
      <c r="C714" s="4809">
        <v>0</v>
      </c>
      <c r="D714" s="1406">
        <v>1763</v>
      </c>
      <c r="E714" s="1406">
        <v>3663</v>
      </c>
      <c r="F714" s="1405">
        <v>4488</v>
      </c>
      <c r="G714" s="4809">
        <v>0</v>
      </c>
      <c r="H714" s="1406">
        <v>2812</v>
      </c>
      <c r="I714" s="1406">
        <v>5045</v>
      </c>
      <c r="J714" s="1405">
        <v>5870</v>
      </c>
      <c r="K714" s="1282"/>
      <c r="L714" s="1406">
        <f t="shared" si="13"/>
        <v>35525</v>
      </c>
    </row>
    <row r="715" spans="1:12" ht="13.5">
      <c r="A715" s="1406">
        <v>35550</v>
      </c>
      <c r="B715" s="1405">
        <v>35600</v>
      </c>
      <c r="C715" s="4809">
        <v>0</v>
      </c>
      <c r="D715" s="1406">
        <v>1755</v>
      </c>
      <c r="E715" s="1406">
        <v>3652</v>
      </c>
      <c r="F715" s="1405">
        <v>4478</v>
      </c>
      <c r="G715" s="4809">
        <v>0</v>
      </c>
      <c r="H715" s="1406">
        <v>2804</v>
      </c>
      <c r="I715" s="1406">
        <v>5034</v>
      </c>
      <c r="J715" s="1405">
        <v>5859</v>
      </c>
      <c r="K715" s="1282"/>
      <c r="L715" s="1406">
        <f t="shared" si="13"/>
        <v>35575</v>
      </c>
    </row>
    <row r="716" spans="1:12" ht="13.5">
      <c r="A716" s="1406">
        <v>35600</v>
      </c>
      <c r="B716" s="1405">
        <v>35650</v>
      </c>
      <c r="C716" s="4809">
        <v>0</v>
      </c>
      <c r="D716" s="1406">
        <v>1747</v>
      </c>
      <c r="E716" s="1406">
        <v>3642</v>
      </c>
      <c r="F716" s="1405">
        <v>4467</v>
      </c>
      <c r="G716" s="4809">
        <v>0</v>
      </c>
      <c r="H716" s="1406">
        <v>2796</v>
      </c>
      <c r="I716" s="1406">
        <v>5023</v>
      </c>
      <c r="J716" s="1405">
        <v>5849</v>
      </c>
      <c r="K716" s="1282"/>
      <c r="L716" s="1406">
        <f t="shared" si="13"/>
        <v>35625</v>
      </c>
    </row>
    <row r="717" spans="1:12" ht="13.5">
      <c r="A717" s="1406">
        <v>35650</v>
      </c>
      <c r="B717" s="1405">
        <v>35700</v>
      </c>
      <c r="C717" s="4809">
        <v>0</v>
      </c>
      <c r="D717" s="1406">
        <v>1739</v>
      </c>
      <c r="E717" s="1406">
        <v>3631</v>
      </c>
      <c r="F717" s="1405">
        <v>4457</v>
      </c>
      <c r="G717" s="4809">
        <v>0</v>
      </c>
      <c r="H717" s="1406">
        <v>2788</v>
      </c>
      <c r="I717" s="1406">
        <v>5013</v>
      </c>
      <c r="J717" s="1405">
        <v>5838</v>
      </c>
      <c r="K717" s="1282"/>
      <c r="L717" s="1406">
        <f t="shared" si="13"/>
        <v>35675</v>
      </c>
    </row>
    <row r="718" spans="1:12" ht="13.5">
      <c r="A718" s="1406">
        <v>35700</v>
      </c>
      <c r="B718" s="1405">
        <v>35750</v>
      </c>
      <c r="C718" s="4809">
        <v>0</v>
      </c>
      <c r="D718" s="1406">
        <v>1731</v>
      </c>
      <c r="E718" s="1406">
        <v>3621</v>
      </c>
      <c r="F718" s="1405">
        <v>4446</v>
      </c>
      <c r="G718" s="4809">
        <v>0</v>
      </c>
      <c r="H718" s="1406">
        <v>2780</v>
      </c>
      <c r="I718" s="1406">
        <v>5002</v>
      </c>
      <c r="J718" s="1405">
        <v>5828</v>
      </c>
      <c r="K718" s="1282"/>
      <c r="L718" s="1406">
        <f t="shared" si="13"/>
        <v>35725</v>
      </c>
    </row>
    <row r="719" spans="1:12" ht="13.5">
      <c r="A719" s="1406">
        <v>35750</v>
      </c>
      <c r="B719" s="1405">
        <v>35800</v>
      </c>
      <c r="C719" s="4809">
        <v>0</v>
      </c>
      <c r="D719" s="1406">
        <v>1723</v>
      </c>
      <c r="E719" s="1406">
        <v>3610</v>
      </c>
      <c r="F719" s="1405">
        <v>4436</v>
      </c>
      <c r="G719" s="4809">
        <v>0</v>
      </c>
      <c r="H719" s="1406">
        <v>2772</v>
      </c>
      <c r="I719" s="1406">
        <v>4992</v>
      </c>
      <c r="J719" s="1405">
        <v>5817</v>
      </c>
      <c r="K719" s="1282"/>
      <c r="L719" s="1406">
        <f t="shared" si="13"/>
        <v>35775</v>
      </c>
    </row>
    <row r="720" spans="1:12" ht="13.5">
      <c r="A720" s="1406">
        <v>35800</v>
      </c>
      <c r="B720" s="1405">
        <v>35850</v>
      </c>
      <c r="C720" s="4809">
        <v>0</v>
      </c>
      <c r="D720" s="1406">
        <v>1715</v>
      </c>
      <c r="E720" s="1406">
        <v>3600</v>
      </c>
      <c r="F720" s="1405">
        <v>4425</v>
      </c>
      <c r="G720" s="4809">
        <v>0</v>
      </c>
      <c r="H720" s="1406">
        <v>2764</v>
      </c>
      <c r="I720" s="1406">
        <v>4981</v>
      </c>
      <c r="J720" s="1405">
        <v>5807</v>
      </c>
      <c r="K720" s="1282"/>
      <c r="L720" s="1406">
        <f t="shared" si="13"/>
        <v>35825</v>
      </c>
    </row>
    <row r="721" spans="1:12" ht="13.5">
      <c r="A721" s="1406">
        <v>35850</v>
      </c>
      <c r="B721" s="1405">
        <v>35900</v>
      </c>
      <c r="C721" s="4809">
        <v>0</v>
      </c>
      <c r="D721" s="1406">
        <v>1707</v>
      </c>
      <c r="E721" s="1406">
        <v>3589</v>
      </c>
      <c r="F721" s="1405">
        <v>4415</v>
      </c>
      <c r="G721" s="4809">
        <v>0</v>
      </c>
      <c r="H721" s="1406">
        <v>2756</v>
      </c>
      <c r="I721" s="1406">
        <v>4971</v>
      </c>
      <c r="J721" s="1405">
        <v>5796</v>
      </c>
      <c r="K721" s="1282"/>
      <c r="L721" s="1406">
        <f t="shared" si="13"/>
        <v>35875</v>
      </c>
    </row>
    <row r="722" spans="1:12" ht="13.5">
      <c r="A722" s="1406">
        <v>35900</v>
      </c>
      <c r="B722" s="1405">
        <v>35950</v>
      </c>
      <c r="C722" s="4809">
        <v>0</v>
      </c>
      <c r="D722" s="1406">
        <v>1699</v>
      </c>
      <c r="E722" s="1406">
        <v>3579</v>
      </c>
      <c r="F722" s="1405">
        <v>4404</v>
      </c>
      <c r="G722" s="4809">
        <v>0</v>
      </c>
      <c r="H722" s="1406">
        <v>2748</v>
      </c>
      <c r="I722" s="1406">
        <v>4960</v>
      </c>
      <c r="J722" s="1405">
        <v>5786</v>
      </c>
      <c r="K722" s="1282"/>
      <c r="L722" s="1406">
        <f t="shared" si="13"/>
        <v>35925</v>
      </c>
    </row>
    <row r="723" spans="1:12" ht="13.5">
      <c r="A723" s="1406">
        <v>35950</v>
      </c>
      <c r="B723" s="1405">
        <v>36000</v>
      </c>
      <c r="C723" s="4809">
        <v>0</v>
      </c>
      <c r="D723" s="1406">
        <v>1691</v>
      </c>
      <c r="E723" s="1406">
        <v>3568</v>
      </c>
      <c r="F723" s="1405">
        <v>4394</v>
      </c>
      <c r="G723" s="4809">
        <v>0</v>
      </c>
      <c r="H723" s="1406">
        <v>2740</v>
      </c>
      <c r="I723" s="1406">
        <v>4950</v>
      </c>
      <c r="J723" s="1405">
        <v>5775</v>
      </c>
      <c r="K723" s="1282"/>
      <c r="L723" s="1406">
        <f t="shared" si="13"/>
        <v>35975</v>
      </c>
    </row>
    <row r="724" spans="1:12" ht="13.5">
      <c r="A724" s="1406">
        <v>36000</v>
      </c>
      <c r="B724" s="1405">
        <v>36050</v>
      </c>
      <c r="C724" s="4809">
        <v>0</v>
      </c>
      <c r="D724" s="1406">
        <v>1683</v>
      </c>
      <c r="E724" s="1406">
        <v>3558</v>
      </c>
      <c r="F724" s="1405">
        <v>4383</v>
      </c>
      <c r="G724" s="4809">
        <v>0</v>
      </c>
      <c r="H724" s="1406">
        <v>2732</v>
      </c>
      <c r="I724" s="1406">
        <v>4939</v>
      </c>
      <c r="J724" s="1405">
        <v>5765</v>
      </c>
      <c r="K724" s="1282"/>
      <c r="L724" s="1406">
        <f t="shared" si="13"/>
        <v>36025</v>
      </c>
    </row>
    <row r="725" spans="1:12" ht="13.5">
      <c r="A725" s="1406">
        <v>36050</v>
      </c>
      <c r="B725" s="1405">
        <v>36100</v>
      </c>
      <c r="C725" s="4809">
        <v>0</v>
      </c>
      <c r="D725" s="1406">
        <v>1676</v>
      </c>
      <c r="E725" s="1406">
        <v>3547</v>
      </c>
      <c r="F725" s="1405">
        <v>4373</v>
      </c>
      <c r="G725" s="4809">
        <v>0</v>
      </c>
      <c r="H725" s="1406">
        <v>2724</v>
      </c>
      <c r="I725" s="1406">
        <v>4929</v>
      </c>
      <c r="J725" s="1405">
        <v>5754</v>
      </c>
      <c r="K725" s="1282"/>
      <c r="L725" s="1406">
        <f t="shared" si="13"/>
        <v>36075</v>
      </c>
    </row>
    <row r="726" spans="1:12" ht="13.5">
      <c r="A726" s="1406">
        <v>36100</v>
      </c>
      <c r="B726" s="1405">
        <v>36150</v>
      </c>
      <c r="C726" s="4809">
        <v>0</v>
      </c>
      <c r="D726" s="1406">
        <v>1668</v>
      </c>
      <c r="E726" s="1406">
        <v>3537</v>
      </c>
      <c r="F726" s="1405">
        <v>4362</v>
      </c>
      <c r="G726" s="4809">
        <v>0</v>
      </c>
      <c r="H726" s="1406">
        <v>2716</v>
      </c>
      <c r="I726" s="1406">
        <v>4918</v>
      </c>
      <c r="J726" s="1405">
        <v>5744</v>
      </c>
      <c r="K726" s="1282"/>
      <c r="L726" s="1406">
        <f t="shared" si="13"/>
        <v>36125</v>
      </c>
    </row>
    <row r="727" spans="1:12" ht="13.5">
      <c r="A727" s="1406">
        <v>36150</v>
      </c>
      <c r="B727" s="1405">
        <v>36200</v>
      </c>
      <c r="C727" s="4809">
        <v>0</v>
      </c>
      <c r="D727" s="1406">
        <v>1660</v>
      </c>
      <c r="E727" s="1406">
        <v>3526</v>
      </c>
      <c r="F727" s="1405">
        <v>4352</v>
      </c>
      <c r="G727" s="4809">
        <v>0</v>
      </c>
      <c r="H727" s="1406">
        <v>2708</v>
      </c>
      <c r="I727" s="1406">
        <v>4908</v>
      </c>
      <c r="J727" s="1405">
        <v>5733</v>
      </c>
      <c r="K727" s="1282"/>
      <c r="L727" s="1406">
        <f t="shared" si="13"/>
        <v>36175</v>
      </c>
    </row>
    <row r="728" spans="1:12" ht="13.5">
      <c r="A728" s="1406">
        <v>36200</v>
      </c>
      <c r="B728" s="1405">
        <v>36250</v>
      </c>
      <c r="C728" s="4809">
        <v>0</v>
      </c>
      <c r="D728" s="1406">
        <v>1652</v>
      </c>
      <c r="E728" s="1406">
        <v>3516</v>
      </c>
      <c r="F728" s="1405">
        <v>4341</v>
      </c>
      <c r="G728" s="4809">
        <v>0</v>
      </c>
      <c r="H728" s="1406">
        <v>2700</v>
      </c>
      <c r="I728" s="1406">
        <v>4897</v>
      </c>
      <c r="J728" s="1405">
        <v>5723</v>
      </c>
      <c r="K728" s="1282"/>
      <c r="L728" s="1406">
        <f t="shared" si="13"/>
        <v>36225</v>
      </c>
    </row>
    <row r="729" spans="1:12" ht="13.5">
      <c r="A729" s="1406">
        <v>36250</v>
      </c>
      <c r="B729" s="1405">
        <v>36300</v>
      </c>
      <c r="C729" s="4809">
        <v>0</v>
      </c>
      <c r="D729" s="1406">
        <v>1644</v>
      </c>
      <c r="E729" s="1406">
        <v>3505</v>
      </c>
      <c r="F729" s="1405">
        <v>4331</v>
      </c>
      <c r="G729" s="4809">
        <v>0</v>
      </c>
      <c r="H729" s="1406">
        <v>2692</v>
      </c>
      <c r="I729" s="1406">
        <v>4887</v>
      </c>
      <c r="J729" s="1405">
        <v>5712</v>
      </c>
      <c r="K729" s="1282"/>
      <c r="L729" s="1406">
        <f t="shared" si="13"/>
        <v>36275</v>
      </c>
    </row>
    <row r="730" spans="1:12" ht="13.5">
      <c r="A730" s="1406">
        <v>36300</v>
      </c>
      <c r="B730" s="1405">
        <v>36350</v>
      </c>
      <c r="C730" s="4809">
        <v>0</v>
      </c>
      <c r="D730" s="1406">
        <v>1636</v>
      </c>
      <c r="E730" s="1406">
        <v>3494</v>
      </c>
      <c r="F730" s="1405">
        <v>4320</v>
      </c>
      <c r="G730" s="4809">
        <v>0</v>
      </c>
      <c r="H730" s="1406">
        <v>2684</v>
      </c>
      <c r="I730" s="1406">
        <v>4876</v>
      </c>
      <c r="J730" s="1405">
        <v>5702</v>
      </c>
      <c r="K730" s="1282"/>
      <c r="L730" s="1406">
        <f t="shared" si="13"/>
        <v>36325</v>
      </c>
    </row>
    <row r="731" spans="1:12" ht="13.5">
      <c r="A731" s="1406">
        <v>36350</v>
      </c>
      <c r="B731" s="1405">
        <v>36400</v>
      </c>
      <c r="C731" s="4809">
        <v>0</v>
      </c>
      <c r="D731" s="1406">
        <v>1628</v>
      </c>
      <c r="E731" s="1406">
        <v>3484</v>
      </c>
      <c r="F731" s="1405">
        <v>4309</v>
      </c>
      <c r="G731" s="4809">
        <v>0</v>
      </c>
      <c r="H731" s="1406">
        <v>2676</v>
      </c>
      <c r="I731" s="1406">
        <v>4865</v>
      </c>
      <c r="J731" s="1405">
        <v>5691</v>
      </c>
      <c r="K731" s="1282"/>
      <c r="L731" s="1406">
        <f t="shared" si="13"/>
        <v>36375</v>
      </c>
    </row>
    <row r="732" spans="1:12" ht="13.5">
      <c r="A732" s="1406">
        <v>36400</v>
      </c>
      <c r="B732" s="1405">
        <v>36450</v>
      </c>
      <c r="C732" s="4809">
        <v>0</v>
      </c>
      <c r="D732" s="1406">
        <v>1620</v>
      </c>
      <c r="E732" s="1406">
        <v>3473</v>
      </c>
      <c r="F732" s="1405">
        <v>4299</v>
      </c>
      <c r="G732" s="4809">
        <v>0</v>
      </c>
      <c r="H732" s="1406">
        <v>2668</v>
      </c>
      <c r="I732" s="1406">
        <v>4855</v>
      </c>
      <c r="J732" s="1405">
        <v>5680</v>
      </c>
      <c r="K732" s="1282"/>
      <c r="L732" s="1406">
        <f t="shared" si="13"/>
        <v>36425</v>
      </c>
    </row>
    <row r="733" spans="1:12" ht="13.5">
      <c r="A733" s="1406">
        <v>36450</v>
      </c>
      <c r="B733" s="1405">
        <v>36500</v>
      </c>
      <c r="C733" s="4809">
        <v>0</v>
      </c>
      <c r="D733" s="1406">
        <v>1612</v>
      </c>
      <c r="E733" s="1406">
        <v>3463</v>
      </c>
      <c r="F733" s="1405">
        <v>4288</v>
      </c>
      <c r="G733" s="4809">
        <v>0</v>
      </c>
      <c r="H733" s="1406">
        <v>2660</v>
      </c>
      <c r="I733" s="1406">
        <v>4844</v>
      </c>
      <c r="J733" s="1405">
        <v>5670</v>
      </c>
      <c r="K733" s="1282"/>
      <c r="L733" s="1406">
        <f t="shared" si="13"/>
        <v>36475</v>
      </c>
    </row>
    <row r="734" spans="1:12" ht="13.5">
      <c r="A734" s="1406">
        <v>36500</v>
      </c>
      <c r="B734" s="1405">
        <v>36550</v>
      </c>
      <c r="C734" s="4809">
        <v>0</v>
      </c>
      <c r="D734" s="1406">
        <v>1604</v>
      </c>
      <c r="E734" s="1406">
        <v>3452</v>
      </c>
      <c r="F734" s="1405">
        <v>4278</v>
      </c>
      <c r="G734" s="4809">
        <v>0</v>
      </c>
      <c r="H734" s="1406">
        <v>2652</v>
      </c>
      <c r="I734" s="1406">
        <v>4834</v>
      </c>
      <c r="J734" s="1405">
        <v>5659</v>
      </c>
      <c r="K734" s="1282"/>
      <c r="L734" s="1406">
        <f t="shared" si="13"/>
        <v>36525</v>
      </c>
    </row>
    <row r="735" spans="1:12" ht="13.5">
      <c r="A735" s="1406">
        <v>36550</v>
      </c>
      <c r="B735" s="1405">
        <v>36600</v>
      </c>
      <c r="C735" s="4809">
        <v>0</v>
      </c>
      <c r="D735" s="1406">
        <v>1596</v>
      </c>
      <c r="E735" s="1406">
        <v>3442</v>
      </c>
      <c r="F735" s="1405">
        <v>4267</v>
      </c>
      <c r="G735" s="4809">
        <v>0</v>
      </c>
      <c r="H735" s="1406">
        <v>2644</v>
      </c>
      <c r="I735" s="1406">
        <v>4823</v>
      </c>
      <c r="J735" s="1405">
        <v>5649</v>
      </c>
      <c r="K735" s="1282"/>
      <c r="L735" s="1406">
        <f t="shared" si="13"/>
        <v>36575</v>
      </c>
    </row>
    <row r="736" spans="1:12" ht="13.5">
      <c r="A736" s="1406">
        <v>36600</v>
      </c>
      <c r="B736" s="1405">
        <v>36650</v>
      </c>
      <c r="C736" s="4809">
        <v>0</v>
      </c>
      <c r="D736" s="1406">
        <v>1588</v>
      </c>
      <c r="E736" s="1406">
        <v>3431</v>
      </c>
      <c r="F736" s="1405">
        <v>4257</v>
      </c>
      <c r="G736" s="4809">
        <v>0</v>
      </c>
      <c r="H736" s="1406">
        <v>2636</v>
      </c>
      <c r="I736" s="1406">
        <v>4813</v>
      </c>
      <c r="J736" s="1405">
        <v>5638</v>
      </c>
      <c r="K736" s="1282"/>
      <c r="L736" s="1406">
        <f t="shared" si="13"/>
        <v>36625</v>
      </c>
    </row>
    <row r="737" spans="1:12" ht="13.5">
      <c r="A737" s="1406">
        <v>36650</v>
      </c>
      <c r="B737" s="1405">
        <v>36700</v>
      </c>
      <c r="C737" s="4809">
        <v>0</v>
      </c>
      <c r="D737" s="1406">
        <v>1580</v>
      </c>
      <c r="E737" s="1406">
        <v>3421</v>
      </c>
      <c r="F737" s="1405">
        <v>4246</v>
      </c>
      <c r="G737" s="4809">
        <v>0</v>
      </c>
      <c r="H737" s="1406">
        <v>2628</v>
      </c>
      <c r="I737" s="1406">
        <v>4802</v>
      </c>
      <c r="J737" s="1405">
        <v>5628</v>
      </c>
      <c r="K737" s="1282"/>
      <c r="L737" s="1406">
        <f t="shared" si="13"/>
        <v>36675</v>
      </c>
    </row>
    <row r="738" spans="1:12" ht="13.5">
      <c r="A738" s="1406">
        <v>36700</v>
      </c>
      <c r="B738" s="1405">
        <v>36750</v>
      </c>
      <c r="C738" s="4809">
        <v>0</v>
      </c>
      <c r="D738" s="1406">
        <v>1572</v>
      </c>
      <c r="E738" s="1406">
        <v>3410</v>
      </c>
      <c r="F738" s="1405">
        <v>4236</v>
      </c>
      <c r="G738" s="4809">
        <v>0</v>
      </c>
      <c r="H738" s="1406">
        <v>2620</v>
      </c>
      <c r="I738" s="1406">
        <v>4792</v>
      </c>
      <c r="J738" s="1405">
        <v>5617</v>
      </c>
      <c r="K738" s="1282"/>
      <c r="L738" s="1406">
        <f t="shared" si="13"/>
        <v>36725</v>
      </c>
    </row>
    <row r="739" spans="1:12" ht="13.5">
      <c r="A739" s="1406">
        <v>36750</v>
      </c>
      <c r="B739" s="1405">
        <v>36800</v>
      </c>
      <c r="C739" s="4809">
        <v>0</v>
      </c>
      <c r="D739" s="1406">
        <v>1564</v>
      </c>
      <c r="E739" s="1406">
        <v>3400</v>
      </c>
      <c r="F739" s="1405">
        <v>4225</v>
      </c>
      <c r="G739" s="4809">
        <v>0</v>
      </c>
      <c r="H739" s="1406">
        <v>2612</v>
      </c>
      <c r="I739" s="1406">
        <v>4781</v>
      </c>
      <c r="J739" s="1405">
        <v>5607</v>
      </c>
      <c r="K739" s="1282"/>
      <c r="L739" s="1406">
        <f t="shared" si="13"/>
        <v>36775</v>
      </c>
    </row>
    <row r="740" spans="1:12" ht="13.5">
      <c r="A740" s="1406">
        <v>36800</v>
      </c>
      <c r="B740" s="1405">
        <v>36850</v>
      </c>
      <c r="C740" s="4809">
        <v>0</v>
      </c>
      <c r="D740" s="1406">
        <v>1556</v>
      </c>
      <c r="E740" s="1406">
        <v>3389</v>
      </c>
      <c r="F740" s="1405">
        <v>4215</v>
      </c>
      <c r="G740" s="4809">
        <v>0</v>
      </c>
      <c r="H740" s="1406">
        <v>2604</v>
      </c>
      <c r="I740" s="1406">
        <v>4771</v>
      </c>
      <c r="J740" s="1405">
        <v>5596</v>
      </c>
      <c r="K740" s="1282"/>
      <c r="L740" s="1406">
        <f t="shared" si="13"/>
        <v>36825</v>
      </c>
    </row>
    <row r="741" spans="1:12" ht="13.5">
      <c r="A741" s="1406">
        <v>36850</v>
      </c>
      <c r="B741" s="1405">
        <v>36900</v>
      </c>
      <c r="C741" s="4809">
        <v>0</v>
      </c>
      <c r="D741" s="1406">
        <v>1548</v>
      </c>
      <c r="E741" s="1406">
        <v>3379</v>
      </c>
      <c r="F741" s="1405">
        <v>4204</v>
      </c>
      <c r="G741" s="4809">
        <v>0</v>
      </c>
      <c r="H741" s="1406">
        <v>2596</v>
      </c>
      <c r="I741" s="1406">
        <v>4760</v>
      </c>
      <c r="J741" s="1405">
        <v>5586</v>
      </c>
      <c r="K741" s="1282"/>
      <c r="L741" s="1406">
        <f t="shared" si="13"/>
        <v>36875</v>
      </c>
    </row>
    <row r="742" spans="1:12" ht="13.5">
      <c r="A742" s="1406">
        <v>36900</v>
      </c>
      <c r="B742" s="1405">
        <v>36950</v>
      </c>
      <c r="C742" s="4809">
        <v>0</v>
      </c>
      <c r="D742" s="1406">
        <v>1540</v>
      </c>
      <c r="E742" s="1406">
        <v>3368</v>
      </c>
      <c r="F742" s="1405">
        <v>4194</v>
      </c>
      <c r="G742" s="4809">
        <v>0</v>
      </c>
      <c r="H742" s="1406">
        <v>2588</v>
      </c>
      <c r="I742" s="1406">
        <v>4750</v>
      </c>
      <c r="J742" s="1405">
        <v>5575</v>
      </c>
      <c r="K742" s="1282"/>
      <c r="L742" s="1406">
        <f t="shared" si="13"/>
        <v>36925</v>
      </c>
    </row>
    <row r="743" spans="1:12" ht="13.5">
      <c r="A743" s="1406">
        <v>36950</v>
      </c>
      <c r="B743" s="1405">
        <v>37000</v>
      </c>
      <c r="C743" s="4809">
        <v>0</v>
      </c>
      <c r="D743" s="1406">
        <v>1532</v>
      </c>
      <c r="E743" s="1406">
        <v>3358</v>
      </c>
      <c r="F743" s="1405">
        <v>4183</v>
      </c>
      <c r="G743" s="4809">
        <v>0</v>
      </c>
      <c r="H743" s="1406">
        <v>2580</v>
      </c>
      <c r="I743" s="1406">
        <v>4739</v>
      </c>
      <c r="J743" s="1405">
        <v>5565</v>
      </c>
      <c r="K743" s="1282"/>
      <c r="L743" s="1406">
        <f t="shared" si="13"/>
        <v>36975</v>
      </c>
    </row>
    <row r="744" spans="1:12" ht="13.5">
      <c r="A744" s="1406">
        <v>37000</v>
      </c>
      <c r="B744" s="1405">
        <v>37050</v>
      </c>
      <c r="C744" s="4809">
        <v>0</v>
      </c>
      <c r="D744" s="1406">
        <v>1524</v>
      </c>
      <c r="E744" s="1406">
        <v>3347</v>
      </c>
      <c r="F744" s="1405">
        <v>4173</v>
      </c>
      <c r="G744" s="4809">
        <v>0</v>
      </c>
      <c r="H744" s="1406">
        <v>2572</v>
      </c>
      <c r="I744" s="1406">
        <v>4729</v>
      </c>
      <c r="J744" s="1405">
        <v>5554</v>
      </c>
      <c r="K744" s="1282"/>
      <c r="L744" s="1406">
        <f t="shared" si="13"/>
        <v>37025</v>
      </c>
    </row>
    <row r="745" spans="1:12" ht="13.5">
      <c r="A745" s="1406">
        <v>37050</v>
      </c>
      <c r="B745" s="1405">
        <v>37100</v>
      </c>
      <c r="C745" s="4809">
        <v>0</v>
      </c>
      <c r="D745" s="1406">
        <v>1516</v>
      </c>
      <c r="E745" s="1406">
        <v>3337</v>
      </c>
      <c r="F745" s="1405">
        <v>4162</v>
      </c>
      <c r="G745" s="4809">
        <v>0</v>
      </c>
      <c r="H745" s="1406">
        <v>2564</v>
      </c>
      <c r="I745" s="1406">
        <v>4718</v>
      </c>
      <c r="J745" s="1405">
        <v>5544</v>
      </c>
      <c r="K745" s="1282"/>
      <c r="L745" s="1406">
        <f t="shared" si="13"/>
        <v>37075</v>
      </c>
    </row>
    <row r="746" spans="1:12" ht="13.5">
      <c r="A746" s="1406">
        <v>37100</v>
      </c>
      <c r="B746" s="1405">
        <v>37150</v>
      </c>
      <c r="C746" s="4809">
        <v>0</v>
      </c>
      <c r="D746" s="1406">
        <v>1508</v>
      </c>
      <c r="E746" s="1406">
        <v>3326</v>
      </c>
      <c r="F746" s="1405">
        <v>4152</v>
      </c>
      <c r="G746" s="4809">
        <v>0</v>
      </c>
      <c r="H746" s="1406">
        <v>2556</v>
      </c>
      <c r="I746" s="1406">
        <v>4708</v>
      </c>
      <c r="J746" s="1405">
        <v>5533</v>
      </c>
      <c r="K746" s="1282"/>
      <c r="L746" s="1406">
        <f t="shared" si="13"/>
        <v>37125</v>
      </c>
    </row>
    <row r="747" spans="1:12" ht="13.5">
      <c r="A747" s="1406">
        <v>37150</v>
      </c>
      <c r="B747" s="1405">
        <v>37200</v>
      </c>
      <c r="C747" s="4809">
        <v>0</v>
      </c>
      <c r="D747" s="1406">
        <v>1500</v>
      </c>
      <c r="E747" s="1406">
        <v>3315</v>
      </c>
      <c r="F747" s="1405">
        <v>4141</v>
      </c>
      <c r="G747" s="4809">
        <v>0</v>
      </c>
      <c r="H747" s="1406">
        <v>2548</v>
      </c>
      <c r="I747" s="1406">
        <v>4697</v>
      </c>
      <c r="J747" s="1405">
        <v>5523</v>
      </c>
      <c r="K747" s="1282"/>
      <c r="L747" s="1406">
        <f t="shared" si="13"/>
        <v>37175</v>
      </c>
    </row>
    <row r="748" spans="1:12" ht="13.5">
      <c r="A748" s="1406">
        <v>37200</v>
      </c>
      <c r="B748" s="1405">
        <v>37250</v>
      </c>
      <c r="C748" s="4809">
        <v>0</v>
      </c>
      <c r="D748" s="1406">
        <v>1492</v>
      </c>
      <c r="E748" s="1406">
        <v>3305</v>
      </c>
      <c r="F748" s="1405">
        <v>4130</v>
      </c>
      <c r="G748" s="4809">
        <v>0</v>
      </c>
      <c r="H748" s="1406">
        <v>2540</v>
      </c>
      <c r="I748" s="1406">
        <v>4686</v>
      </c>
      <c r="J748" s="1405">
        <v>5512</v>
      </c>
      <c r="K748" s="1282"/>
      <c r="L748" s="1406">
        <f t="shared" si="13"/>
        <v>37225</v>
      </c>
    </row>
    <row r="749" spans="1:12" ht="13.5">
      <c r="A749" s="1406">
        <v>37250</v>
      </c>
      <c r="B749" s="1405">
        <v>37300</v>
      </c>
      <c r="C749" s="4809">
        <v>0</v>
      </c>
      <c r="D749" s="1406">
        <v>1484</v>
      </c>
      <c r="E749" s="1406">
        <v>3294</v>
      </c>
      <c r="F749" s="1405">
        <v>4120</v>
      </c>
      <c r="G749" s="4809">
        <v>0</v>
      </c>
      <c r="H749" s="1406">
        <v>2532</v>
      </c>
      <c r="I749" s="1406">
        <v>4676</v>
      </c>
      <c r="J749" s="1405">
        <v>5501</v>
      </c>
      <c r="K749" s="1282"/>
      <c r="L749" s="1406">
        <f t="shared" si="13"/>
        <v>37275</v>
      </c>
    </row>
    <row r="750" spans="1:12" ht="13.5">
      <c r="A750" s="1406">
        <v>37300</v>
      </c>
      <c r="B750" s="1405">
        <v>37350</v>
      </c>
      <c r="C750" s="4809">
        <v>0</v>
      </c>
      <c r="D750" s="1406">
        <v>1476</v>
      </c>
      <c r="E750" s="1406">
        <v>3284</v>
      </c>
      <c r="F750" s="1405">
        <v>4109</v>
      </c>
      <c r="G750" s="4809">
        <v>0</v>
      </c>
      <c r="H750" s="1406">
        <v>2524</v>
      </c>
      <c r="I750" s="1406">
        <v>4665</v>
      </c>
      <c r="J750" s="1405">
        <v>5491</v>
      </c>
      <c r="K750" s="1282"/>
      <c r="L750" s="1406">
        <f t="shared" si="13"/>
        <v>37325</v>
      </c>
    </row>
    <row r="751" spans="1:12" ht="13.5">
      <c r="A751" s="1406">
        <v>37350</v>
      </c>
      <c r="B751" s="1405">
        <v>37400</v>
      </c>
      <c r="C751" s="4809">
        <v>0</v>
      </c>
      <c r="D751" s="1406">
        <v>1468</v>
      </c>
      <c r="E751" s="1406">
        <v>3273</v>
      </c>
      <c r="F751" s="1405">
        <v>4099</v>
      </c>
      <c r="G751" s="4809">
        <v>0</v>
      </c>
      <c r="H751" s="1406">
        <v>2516</v>
      </c>
      <c r="I751" s="1406">
        <v>4655</v>
      </c>
      <c r="J751" s="1405">
        <v>5480</v>
      </c>
      <c r="K751" s="1282"/>
      <c r="L751" s="1406">
        <f t="shared" si="13"/>
        <v>37375</v>
      </c>
    </row>
    <row r="752" spans="1:12" ht="13.5">
      <c r="A752" s="1406">
        <v>37400</v>
      </c>
      <c r="B752" s="1405">
        <v>37450</v>
      </c>
      <c r="C752" s="4809">
        <v>0</v>
      </c>
      <c r="D752" s="1406">
        <v>1460</v>
      </c>
      <c r="E752" s="1406">
        <v>3263</v>
      </c>
      <c r="F752" s="1405">
        <v>4088</v>
      </c>
      <c r="G752" s="4809">
        <v>0</v>
      </c>
      <c r="H752" s="1406">
        <v>2508</v>
      </c>
      <c r="I752" s="1406">
        <v>4644</v>
      </c>
      <c r="J752" s="1405">
        <v>5470</v>
      </c>
      <c r="K752" s="1282"/>
      <c r="L752" s="1406">
        <f t="shared" si="13"/>
        <v>37425</v>
      </c>
    </row>
    <row r="753" spans="1:12" ht="13.5">
      <c r="A753" s="1406">
        <v>37450</v>
      </c>
      <c r="B753" s="1405">
        <v>37500</v>
      </c>
      <c r="C753" s="4809">
        <v>0</v>
      </c>
      <c r="D753" s="1406">
        <v>1452</v>
      </c>
      <c r="E753" s="1406">
        <v>3252</v>
      </c>
      <c r="F753" s="1405">
        <v>4078</v>
      </c>
      <c r="G753" s="4809">
        <v>0</v>
      </c>
      <c r="H753" s="1406">
        <v>2500</v>
      </c>
      <c r="I753" s="1406">
        <v>4634</v>
      </c>
      <c r="J753" s="1405">
        <v>5459</v>
      </c>
      <c r="K753" s="1282"/>
      <c r="L753" s="1406">
        <f t="shared" si="13"/>
        <v>37475</v>
      </c>
    </row>
    <row r="754" spans="1:12" ht="13.5">
      <c r="A754" s="1406">
        <v>37500</v>
      </c>
      <c r="B754" s="1405">
        <v>37550</v>
      </c>
      <c r="C754" s="4809">
        <v>0</v>
      </c>
      <c r="D754" s="1406">
        <v>1444</v>
      </c>
      <c r="E754" s="1406">
        <v>3242</v>
      </c>
      <c r="F754" s="1405">
        <v>4067</v>
      </c>
      <c r="G754" s="4809">
        <v>0</v>
      </c>
      <c r="H754" s="1406">
        <v>2492</v>
      </c>
      <c r="I754" s="1406">
        <v>4623</v>
      </c>
      <c r="J754" s="1405">
        <v>5449</v>
      </c>
      <c r="K754" s="1282"/>
      <c r="L754" s="1406">
        <f t="shared" si="13"/>
        <v>37525</v>
      </c>
    </row>
    <row r="755" spans="1:12" ht="13.5">
      <c r="A755" s="1406">
        <v>37550</v>
      </c>
      <c r="B755" s="1405">
        <v>37600</v>
      </c>
      <c r="C755" s="4809">
        <v>0</v>
      </c>
      <c r="D755" s="1406">
        <v>1436</v>
      </c>
      <c r="E755" s="1406">
        <v>3231</v>
      </c>
      <c r="F755" s="1405">
        <v>4057</v>
      </c>
      <c r="G755" s="4809">
        <v>0</v>
      </c>
      <c r="H755" s="1406">
        <v>2484</v>
      </c>
      <c r="I755" s="1406">
        <v>4613</v>
      </c>
      <c r="J755" s="1405">
        <v>5438</v>
      </c>
      <c r="K755" s="1282"/>
      <c r="L755" s="1406">
        <f t="shared" si="13"/>
        <v>37575</v>
      </c>
    </row>
    <row r="756" spans="1:12" ht="13.5">
      <c r="A756" s="1406">
        <v>37600</v>
      </c>
      <c r="B756" s="1405">
        <v>37650</v>
      </c>
      <c r="C756" s="4809">
        <v>0</v>
      </c>
      <c r="D756" s="1406">
        <v>1428</v>
      </c>
      <c r="E756" s="1406">
        <v>3221</v>
      </c>
      <c r="F756" s="1405">
        <v>4046</v>
      </c>
      <c r="G756" s="4809">
        <v>0</v>
      </c>
      <c r="H756" s="1406">
        <v>2476</v>
      </c>
      <c r="I756" s="1406">
        <v>4602</v>
      </c>
      <c r="J756" s="1405">
        <v>5428</v>
      </c>
      <c r="K756" s="1282"/>
      <c r="L756" s="1406">
        <f t="shared" si="13"/>
        <v>37625</v>
      </c>
    </row>
    <row r="757" spans="1:12" ht="13.5">
      <c r="A757" s="1406">
        <v>37650</v>
      </c>
      <c r="B757" s="1405">
        <v>37700</v>
      </c>
      <c r="C757" s="4809">
        <v>0</v>
      </c>
      <c r="D757" s="1406">
        <v>1420</v>
      </c>
      <c r="E757" s="1406">
        <v>3210</v>
      </c>
      <c r="F757" s="1405">
        <v>4036</v>
      </c>
      <c r="G757" s="4809">
        <v>0</v>
      </c>
      <c r="H757" s="1406">
        <v>2468</v>
      </c>
      <c r="I757" s="1406">
        <v>4592</v>
      </c>
      <c r="J757" s="1405">
        <v>5417</v>
      </c>
      <c r="K757" s="1282"/>
      <c r="L757" s="1406">
        <f t="shared" si="13"/>
        <v>37675</v>
      </c>
    </row>
    <row r="758" spans="1:12" ht="13.5">
      <c r="A758" s="1406">
        <v>37700</v>
      </c>
      <c r="B758" s="1405">
        <v>37750</v>
      </c>
      <c r="C758" s="4809">
        <v>0</v>
      </c>
      <c r="D758" s="1406">
        <v>1412</v>
      </c>
      <c r="E758" s="1406">
        <v>3200</v>
      </c>
      <c r="F758" s="1405">
        <v>4025</v>
      </c>
      <c r="G758" s="4809">
        <v>0</v>
      </c>
      <c r="H758" s="1406">
        <v>2460</v>
      </c>
      <c r="I758" s="1406">
        <v>4581</v>
      </c>
      <c r="J758" s="1405">
        <v>5407</v>
      </c>
      <c r="K758" s="1282"/>
      <c r="L758" s="1406">
        <f t="shared" si="13"/>
        <v>37725</v>
      </c>
    </row>
    <row r="759" spans="1:12" ht="13.5">
      <c r="A759" s="1406">
        <v>37750</v>
      </c>
      <c r="B759" s="1405">
        <v>37800</v>
      </c>
      <c r="C759" s="4809">
        <v>0</v>
      </c>
      <c r="D759" s="1406">
        <v>1404</v>
      </c>
      <c r="E759" s="1406">
        <v>3189</v>
      </c>
      <c r="F759" s="1405">
        <v>4015</v>
      </c>
      <c r="G759" s="4809">
        <v>0</v>
      </c>
      <c r="H759" s="1406">
        <v>2452</v>
      </c>
      <c r="I759" s="1406">
        <v>4571</v>
      </c>
      <c r="J759" s="1405">
        <v>5396</v>
      </c>
      <c r="K759" s="1282"/>
      <c r="L759" s="1406">
        <f t="shared" si="13"/>
        <v>37775</v>
      </c>
    </row>
    <row r="760" spans="1:12" ht="13.5">
      <c r="A760" s="1406">
        <v>37800</v>
      </c>
      <c r="B760" s="1405">
        <v>37850</v>
      </c>
      <c r="C760" s="4809">
        <v>0</v>
      </c>
      <c r="D760" s="1406">
        <v>1396</v>
      </c>
      <c r="E760" s="1406">
        <v>3179</v>
      </c>
      <c r="F760" s="1405">
        <v>4004</v>
      </c>
      <c r="G760" s="4809">
        <v>0</v>
      </c>
      <c r="H760" s="1406">
        <v>2444</v>
      </c>
      <c r="I760" s="1406">
        <v>4560</v>
      </c>
      <c r="J760" s="1405">
        <v>5386</v>
      </c>
      <c r="K760" s="1282"/>
      <c r="L760" s="1406">
        <f t="shared" si="13"/>
        <v>37825</v>
      </c>
    </row>
    <row r="761" spans="1:12" ht="13.5">
      <c r="A761" s="1406">
        <v>37850</v>
      </c>
      <c r="B761" s="1405">
        <v>37900</v>
      </c>
      <c r="C761" s="4809">
        <v>0</v>
      </c>
      <c r="D761" s="1406">
        <v>1388</v>
      </c>
      <c r="E761" s="1406">
        <v>3168</v>
      </c>
      <c r="F761" s="1405">
        <v>3994</v>
      </c>
      <c r="G761" s="4809">
        <v>0</v>
      </c>
      <c r="H761" s="1406">
        <v>2436</v>
      </c>
      <c r="I761" s="1406">
        <v>4550</v>
      </c>
      <c r="J761" s="1405">
        <v>5375</v>
      </c>
      <c r="K761" s="1282"/>
      <c r="L761" s="1406">
        <f t="shared" si="13"/>
        <v>37875</v>
      </c>
    </row>
    <row r="762" spans="1:12" ht="13.5">
      <c r="A762" s="1406">
        <v>37900</v>
      </c>
      <c r="B762" s="1405">
        <v>37950</v>
      </c>
      <c r="C762" s="4809">
        <v>0</v>
      </c>
      <c r="D762" s="1406">
        <v>1380</v>
      </c>
      <c r="E762" s="1406">
        <v>3158</v>
      </c>
      <c r="F762" s="1405">
        <v>3983</v>
      </c>
      <c r="G762" s="4809">
        <v>0</v>
      </c>
      <c r="H762" s="1406">
        <v>2428</v>
      </c>
      <c r="I762" s="1406">
        <v>4539</v>
      </c>
      <c r="J762" s="1405">
        <v>5365</v>
      </c>
      <c r="K762" s="1282"/>
      <c r="L762" s="1406">
        <f t="shared" si="13"/>
        <v>37925</v>
      </c>
    </row>
    <row r="763" spans="1:12" ht="13.5">
      <c r="A763" s="1406">
        <v>37950</v>
      </c>
      <c r="B763" s="1405">
        <v>38000</v>
      </c>
      <c r="C763" s="4809">
        <v>0</v>
      </c>
      <c r="D763" s="1406">
        <v>1372</v>
      </c>
      <c r="E763" s="1406">
        <v>3147</v>
      </c>
      <c r="F763" s="1405">
        <v>3973</v>
      </c>
      <c r="G763" s="4809">
        <v>0</v>
      </c>
      <c r="H763" s="1406">
        <v>2420</v>
      </c>
      <c r="I763" s="1406">
        <v>4529</v>
      </c>
      <c r="J763" s="1405">
        <v>5354</v>
      </c>
      <c r="K763" s="1282"/>
      <c r="L763" s="1406">
        <f t="shared" si="13"/>
        <v>37975</v>
      </c>
    </row>
    <row r="764" spans="1:12" ht="13.5">
      <c r="A764" s="1406">
        <v>38000</v>
      </c>
      <c r="B764" s="1405">
        <v>38050</v>
      </c>
      <c r="C764" s="4809">
        <v>0</v>
      </c>
      <c r="D764" s="1406">
        <v>1364</v>
      </c>
      <c r="E764" s="1406">
        <v>3136</v>
      </c>
      <c r="F764" s="1405">
        <v>3962</v>
      </c>
      <c r="G764" s="4809">
        <v>0</v>
      </c>
      <c r="H764" s="1406">
        <v>2412</v>
      </c>
      <c r="I764" s="1406">
        <v>4518</v>
      </c>
      <c r="J764" s="1405">
        <v>5344</v>
      </c>
      <c r="K764" s="1282"/>
      <c r="L764" s="1406">
        <f t="shared" si="13"/>
        <v>38025</v>
      </c>
    </row>
    <row r="765" spans="1:12" ht="13.5">
      <c r="A765" s="1406">
        <v>38050</v>
      </c>
      <c r="B765" s="1405">
        <v>38100</v>
      </c>
      <c r="C765" s="4809">
        <v>0</v>
      </c>
      <c r="D765" s="1406">
        <v>1356</v>
      </c>
      <c r="E765" s="1406">
        <v>3126</v>
      </c>
      <c r="F765" s="1405">
        <v>3951</v>
      </c>
      <c r="G765" s="4809">
        <v>0</v>
      </c>
      <c r="H765" s="1406">
        <v>2404</v>
      </c>
      <c r="I765" s="1406">
        <v>4507</v>
      </c>
      <c r="J765" s="1405">
        <v>5333</v>
      </c>
      <c r="K765" s="1282"/>
      <c r="L765" s="1406">
        <f t="shared" si="13"/>
        <v>38075</v>
      </c>
    </row>
    <row r="766" spans="1:12" ht="13.5">
      <c r="A766" s="1406">
        <v>38100</v>
      </c>
      <c r="B766" s="1405">
        <v>38150</v>
      </c>
      <c r="C766" s="4809">
        <v>0</v>
      </c>
      <c r="D766" s="1406">
        <v>1348</v>
      </c>
      <c r="E766" s="1406">
        <v>3115</v>
      </c>
      <c r="F766" s="1405">
        <v>3941</v>
      </c>
      <c r="G766" s="4809">
        <v>0</v>
      </c>
      <c r="H766" s="1406">
        <v>2396</v>
      </c>
      <c r="I766" s="1406">
        <v>4497</v>
      </c>
      <c r="J766" s="1405">
        <v>5322</v>
      </c>
      <c r="K766" s="1282"/>
      <c r="L766" s="1406">
        <f t="shared" si="13"/>
        <v>38125</v>
      </c>
    </row>
    <row r="767" spans="1:12" ht="13.5">
      <c r="A767" s="1406">
        <v>38150</v>
      </c>
      <c r="B767" s="1405">
        <v>38200</v>
      </c>
      <c r="C767" s="4809">
        <v>0</v>
      </c>
      <c r="D767" s="1406">
        <v>1340</v>
      </c>
      <c r="E767" s="1406">
        <v>3105</v>
      </c>
      <c r="F767" s="1405">
        <v>3930</v>
      </c>
      <c r="G767" s="4809">
        <v>0</v>
      </c>
      <c r="H767" s="1406">
        <v>2388</v>
      </c>
      <c r="I767" s="1406">
        <v>4486</v>
      </c>
      <c r="J767" s="1405">
        <v>5312</v>
      </c>
      <c r="K767" s="1282"/>
      <c r="L767" s="1406">
        <f t="shared" si="13"/>
        <v>38175</v>
      </c>
    </row>
    <row r="768" spans="1:12" ht="13.5">
      <c r="A768" s="1406">
        <v>38200</v>
      </c>
      <c r="B768" s="1405">
        <v>38250</v>
      </c>
      <c r="C768" s="4809">
        <v>0</v>
      </c>
      <c r="D768" s="1406">
        <v>1332</v>
      </c>
      <c r="E768" s="1406">
        <v>3094</v>
      </c>
      <c r="F768" s="1405">
        <v>3920</v>
      </c>
      <c r="G768" s="4809">
        <v>0</v>
      </c>
      <c r="H768" s="1406">
        <v>2380</v>
      </c>
      <c r="I768" s="1406">
        <v>4476</v>
      </c>
      <c r="J768" s="1405">
        <v>5301</v>
      </c>
      <c r="K768" s="1282"/>
      <c r="L768" s="1406">
        <f t="shared" si="13"/>
        <v>38225</v>
      </c>
    </row>
    <row r="769" spans="1:12" ht="13.5">
      <c r="A769" s="1406">
        <v>38250</v>
      </c>
      <c r="B769" s="1405">
        <v>38300</v>
      </c>
      <c r="C769" s="4809">
        <v>0</v>
      </c>
      <c r="D769" s="1406">
        <v>1324</v>
      </c>
      <c r="E769" s="1406">
        <v>3084</v>
      </c>
      <c r="F769" s="1405">
        <v>3909</v>
      </c>
      <c r="G769" s="4809">
        <v>0</v>
      </c>
      <c r="H769" s="1406">
        <v>2372</v>
      </c>
      <c r="I769" s="1406">
        <v>4465</v>
      </c>
      <c r="J769" s="1405">
        <v>5291</v>
      </c>
      <c r="K769" s="1282"/>
      <c r="L769" s="1406">
        <f t="shared" si="13"/>
        <v>38275</v>
      </c>
    </row>
    <row r="770" spans="1:12" ht="13.5">
      <c r="A770" s="1406">
        <v>38300</v>
      </c>
      <c r="B770" s="1405">
        <v>38350</v>
      </c>
      <c r="C770" s="4809">
        <v>0</v>
      </c>
      <c r="D770" s="1406">
        <v>1316</v>
      </c>
      <c r="E770" s="1406">
        <v>3073</v>
      </c>
      <c r="F770" s="1405">
        <v>3899</v>
      </c>
      <c r="G770" s="4809">
        <v>0</v>
      </c>
      <c r="H770" s="1406">
        <v>2364</v>
      </c>
      <c r="I770" s="1406">
        <v>4455</v>
      </c>
      <c r="J770" s="1405">
        <v>5280</v>
      </c>
      <c r="K770" s="1282"/>
      <c r="L770" s="1406">
        <f t="shared" si="13"/>
        <v>38325</v>
      </c>
    </row>
    <row r="771" spans="1:12" ht="13.5">
      <c r="A771" s="1406">
        <v>38350</v>
      </c>
      <c r="B771" s="1405">
        <v>38400</v>
      </c>
      <c r="C771" s="4809">
        <v>0</v>
      </c>
      <c r="D771" s="1406">
        <v>1308</v>
      </c>
      <c r="E771" s="1406">
        <v>3063</v>
      </c>
      <c r="F771" s="1405">
        <v>3888</v>
      </c>
      <c r="G771" s="4809">
        <v>0</v>
      </c>
      <c r="H771" s="1406">
        <v>2356</v>
      </c>
      <c r="I771" s="1406">
        <v>4444</v>
      </c>
      <c r="J771" s="1405">
        <v>5270</v>
      </c>
      <c r="K771" s="1282"/>
      <c r="L771" s="1406">
        <f t="shared" si="13"/>
        <v>38375</v>
      </c>
    </row>
    <row r="772" spans="1:12" ht="13.5">
      <c r="A772" s="1406">
        <v>38400</v>
      </c>
      <c r="B772" s="1405">
        <v>38450</v>
      </c>
      <c r="C772" s="4809">
        <v>0</v>
      </c>
      <c r="D772" s="1406">
        <v>1300</v>
      </c>
      <c r="E772" s="1406">
        <v>3052</v>
      </c>
      <c r="F772" s="1405">
        <v>3878</v>
      </c>
      <c r="G772" s="4809">
        <v>0</v>
      </c>
      <c r="H772" s="1406">
        <v>2348</v>
      </c>
      <c r="I772" s="1406">
        <v>4434</v>
      </c>
      <c r="J772" s="1405">
        <v>5259</v>
      </c>
      <c r="K772" s="1282"/>
      <c r="L772" s="1406">
        <f t="shared" ref="L772:L835" si="14">ROUND((A772+B772)/2,2)</f>
        <v>38425</v>
      </c>
    </row>
    <row r="773" spans="1:12" ht="13.5">
      <c r="A773" s="1406">
        <v>38450</v>
      </c>
      <c r="B773" s="1405">
        <v>38500</v>
      </c>
      <c r="C773" s="4809">
        <v>0</v>
      </c>
      <c r="D773" s="1406">
        <v>1292</v>
      </c>
      <c r="E773" s="1406">
        <v>3042</v>
      </c>
      <c r="F773" s="1405">
        <v>3867</v>
      </c>
      <c r="G773" s="4809">
        <v>0</v>
      </c>
      <c r="H773" s="1406">
        <v>2340</v>
      </c>
      <c r="I773" s="1406">
        <v>4423</v>
      </c>
      <c r="J773" s="1405">
        <v>5249</v>
      </c>
      <c r="K773" s="1282"/>
      <c r="L773" s="1406">
        <f t="shared" si="14"/>
        <v>38475</v>
      </c>
    </row>
    <row r="774" spans="1:12" ht="13.5">
      <c r="A774" s="1406">
        <v>38500</v>
      </c>
      <c r="B774" s="1405">
        <v>38550</v>
      </c>
      <c r="C774" s="4809">
        <v>0</v>
      </c>
      <c r="D774" s="1406">
        <v>1284</v>
      </c>
      <c r="E774" s="1406">
        <v>3031</v>
      </c>
      <c r="F774" s="1405">
        <v>3857</v>
      </c>
      <c r="G774" s="4809">
        <v>0</v>
      </c>
      <c r="H774" s="1406">
        <v>2332</v>
      </c>
      <c r="I774" s="1406">
        <v>4413</v>
      </c>
      <c r="J774" s="1405">
        <v>5238</v>
      </c>
      <c r="K774" s="1282"/>
      <c r="L774" s="1406">
        <f t="shared" si="14"/>
        <v>38525</v>
      </c>
    </row>
    <row r="775" spans="1:12" ht="13.5">
      <c r="A775" s="1406">
        <v>38550</v>
      </c>
      <c r="B775" s="1405">
        <v>38600</v>
      </c>
      <c r="C775" s="4809">
        <v>0</v>
      </c>
      <c r="D775" s="1406">
        <v>1276</v>
      </c>
      <c r="E775" s="1406">
        <v>3021</v>
      </c>
      <c r="F775" s="1405">
        <v>3846</v>
      </c>
      <c r="G775" s="4809">
        <v>0</v>
      </c>
      <c r="H775" s="1406">
        <v>2324</v>
      </c>
      <c r="I775" s="1406">
        <v>4402</v>
      </c>
      <c r="J775" s="1405">
        <v>5228</v>
      </c>
      <c r="K775" s="1282"/>
      <c r="L775" s="1406">
        <f t="shared" si="14"/>
        <v>38575</v>
      </c>
    </row>
    <row r="776" spans="1:12" ht="13.5">
      <c r="A776" s="1406">
        <v>38600</v>
      </c>
      <c r="B776" s="1405">
        <v>38650</v>
      </c>
      <c r="C776" s="4809">
        <v>0</v>
      </c>
      <c r="D776" s="1406">
        <v>1268</v>
      </c>
      <c r="E776" s="1406">
        <v>3010</v>
      </c>
      <c r="F776" s="1405">
        <v>3836</v>
      </c>
      <c r="G776" s="4809">
        <v>0</v>
      </c>
      <c r="H776" s="1406">
        <v>2316</v>
      </c>
      <c r="I776" s="1406">
        <v>4392</v>
      </c>
      <c r="J776" s="1405">
        <v>5217</v>
      </c>
      <c r="K776" s="1282"/>
      <c r="L776" s="1406">
        <f t="shared" si="14"/>
        <v>38625</v>
      </c>
    </row>
    <row r="777" spans="1:12" ht="13.5">
      <c r="A777" s="1406">
        <v>38650</v>
      </c>
      <c r="B777" s="1405">
        <v>38700</v>
      </c>
      <c r="C777" s="4809">
        <v>0</v>
      </c>
      <c r="D777" s="1406">
        <v>1260</v>
      </c>
      <c r="E777" s="1406">
        <v>3000</v>
      </c>
      <c r="F777" s="1405">
        <v>3825</v>
      </c>
      <c r="G777" s="4809">
        <v>0</v>
      </c>
      <c r="H777" s="1406">
        <v>2308</v>
      </c>
      <c r="I777" s="1406">
        <v>4381</v>
      </c>
      <c r="J777" s="1405">
        <v>5207</v>
      </c>
      <c r="K777" s="1282"/>
      <c r="L777" s="1406">
        <f t="shared" si="14"/>
        <v>38675</v>
      </c>
    </row>
    <row r="778" spans="1:12" ht="13.5">
      <c r="A778" s="1406">
        <v>38700</v>
      </c>
      <c r="B778" s="1405">
        <v>38750</v>
      </c>
      <c r="C778" s="4809">
        <v>0</v>
      </c>
      <c r="D778" s="1406">
        <v>1252</v>
      </c>
      <c r="E778" s="1406">
        <v>2989</v>
      </c>
      <c r="F778" s="1405">
        <v>3815</v>
      </c>
      <c r="G778" s="4809">
        <v>0</v>
      </c>
      <c r="H778" s="1406">
        <v>2300</v>
      </c>
      <c r="I778" s="1406">
        <v>4371</v>
      </c>
      <c r="J778" s="1405">
        <v>5196</v>
      </c>
      <c r="K778" s="1282"/>
      <c r="L778" s="1406">
        <f t="shared" si="14"/>
        <v>38725</v>
      </c>
    </row>
    <row r="779" spans="1:12" ht="13.5">
      <c r="A779" s="1406">
        <v>38750</v>
      </c>
      <c r="B779" s="1405">
        <v>38800</v>
      </c>
      <c r="C779" s="4809">
        <v>0</v>
      </c>
      <c r="D779" s="1406">
        <v>1244</v>
      </c>
      <c r="E779" s="1406">
        <v>2979</v>
      </c>
      <c r="F779" s="1405">
        <v>3804</v>
      </c>
      <c r="G779" s="4809">
        <v>0</v>
      </c>
      <c r="H779" s="1406">
        <v>2292</v>
      </c>
      <c r="I779" s="1406">
        <v>4360</v>
      </c>
      <c r="J779" s="1405">
        <v>5186</v>
      </c>
      <c r="K779" s="1282"/>
      <c r="L779" s="1406">
        <f t="shared" si="14"/>
        <v>38775</v>
      </c>
    </row>
    <row r="780" spans="1:12" ht="13.5">
      <c r="A780" s="1406">
        <v>38800</v>
      </c>
      <c r="B780" s="1405">
        <v>38850</v>
      </c>
      <c r="C780" s="4809">
        <v>0</v>
      </c>
      <c r="D780" s="1406">
        <v>1236</v>
      </c>
      <c r="E780" s="1406">
        <v>2968</v>
      </c>
      <c r="F780" s="1405">
        <v>3793</v>
      </c>
      <c r="G780" s="4809">
        <v>0</v>
      </c>
      <c r="H780" s="1406">
        <v>2284</v>
      </c>
      <c r="I780" s="1406">
        <v>4350</v>
      </c>
      <c r="J780" s="1405">
        <v>5175</v>
      </c>
      <c r="K780" s="1282"/>
      <c r="L780" s="1406">
        <f t="shared" si="14"/>
        <v>38825</v>
      </c>
    </row>
    <row r="781" spans="1:12" ht="13.5">
      <c r="A781" s="1406">
        <v>38850</v>
      </c>
      <c r="B781" s="1405">
        <v>38900</v>
      </c>
      <c r="C781" s="4809">
        <v>0</v>
      </c>
      <c r="D781" s="1406">
        <v>1228</v>
      </c>
      <c r="E781" s="1406">
        <v>2957</v>
      </c>
      <c r="F781" s="1405">
        <v>3783</v>
      </c>
      <c r="G781" s="4809">
        <v>0</v>
      </c>
      <c r="H781" s="1406">
        <v>2276</v>
      </c>
      <c r="I781" s="1406">
        <v>4339</v>
      </c>
      <c r="J781" s="1405">
        <v>5164</v>
      </c>
      <c r="K781" s="1282"/>
      <c r="L781" s="1406">
        <f t="shared" si="14"/>
        <v>38875</v>
      </c>
    </row>
    <row r="782" spans="1:12" ht="13.5">
      <c r="A782" s="1406">
        <v>38900</v>
      </c>
      <c r="B782" s="1405">
        <v>38950</v>
      </c>
      <c r="C782" s="4809">
        <v>0</v>
      </c>
      <c r="D782" s="1406">
        <v>1220</v>
      </c>
      <c r="E782" s="1406">
        <v>2947</v>
      </c>
      <c r="F782" s="1405">
        <v>3772</v>
      </c>
      <c r="G782" s="4809">
        <v>0</v>
      </c>
      <c r="H782" s="1406">
        <v>2268</v>
      </c>
      <c r="I782" s="1406">
        <v>4328</v>
      </c>
      <c r="J782" s="1405">
        <v>5154</v>
      </c>
      <c r="K782" s="1282"/>
      <c r="L782" s="1406">
        <f t="shared" si="14"/>
        <v>38925</v>
      </c>
    </row>
    <row r="783" spans="1:12" ht="13.5">
      <c r="A783" s="1406">
        <v>38950</v>
      </c>
      <c r="B783" s="1405">
        <v>39000</v>
      </c>
      <c r="C783" s="4809">
        <v>0</v>
      </c>
      <c r="D783" s="1406">
        <v>1212</v>
      </c>
      <c r="E783" s="1406">
        <v>2936</v>
      </c>
      <c r="F783" s="1405">
        <v>3762</v>
      </c>
      <c r="G783" s="4809">
        <v>0</v>
      </c>
      <c r="H783" s="1406">
        <v>2260</v>
      </c>
      <c r="I783" s="1406">
        <v>4318</v>
      </c>
      <c r="J783" s="1405">
        <v>5143</v>
      </c>
      <c r="K783" s="1282"/>
      <c r="L783" s="1406">
        <f t="shared" si="14"/>
        <v>38975</v>
      </c>
    </row>
    <row r="784" spans="1:12" ht="13.5">
      <c r="A784" s="1406">
        <v>39000</v>
      </c>
      <c r="B784" s="1405">
        <v>39050</v>
      </c>
      <c r="C784" s="4809">
        <v>0</v>
      </c>
      <c r="D784" s="1406">
        <v>1204</v>
      </c>
      <c r="E784" s="1406">
        <v>2926</v>
      </c>
      <c r="F784" s="1405">
        <v>3751</v>
      </c>
      <c r="G784" s="4809">
        <v>0</v>
      </c>
      <c r="H784" s="1406">
        <v>2252</v>
      </c>
      <c r="I784" s="1406">
        <v>4307</v>
      </c>
      <c r="J784" s="1405">
        <v>5133</v>
      </c>
      <c r="K784" s="1282"/>
      <c r="L784" s="1406">
        <f t="shared" si="14"/>
        <v>39025</v>
      </c>
    </row>
    <row r="785" spans="1:12" ht="13.5">
      <c r="A785" s="1406">
        <v>39050</v>
      </c>
      <c r="B785" s="1405">
        <v>39100</v>
      </c>
      <c r="C785" s="4809">
        <v>0</v>
      </c>
      <c r="D785" s="1406">
        <v>1196</v>
      </c>
      <c r="E785" s="1406">
        <v>2915</v>
      </c>
      <c r="F785" s="1405">
        <v>3741</v>
      </c>
      <c r="G785" s="4809">
        <v>0</v>
      </c>
      <c r="H785" s="1406">
        <v>2244</v>
      </c>
      <c r="I785" s="1406">
        <v>4297</v>
      </c>
      <c r="J785" s="1405">
        <v>5122</v>
      </c>
      <c r="K785" s="1282"/>
      <c r="L785" s="1406">
        <f t="shared" si="14"/>
        <v>39075</v>
      </c>
    </row>
    <row r="786" spans="1:12" ht="13.5">
      <c r="A786" s="1406">
        <v>39100</v>
      </c>
      <c r="B786" s="1405">
        <v>39150</v>
      </c>
      <c r="C786" s="4809">
        <v>0</v>
      </c>
      <c r="D786" s="1406">
        <v>1188</v>
      </c>
      <c r="E786" s="1406">
        <v>2905</v>
      </c>
      <c r="F786" s="1405">
        <v>3730</v>
      </c>
      <c r="G786" s="4809">
        <v>0</v>
      </c>
      <c r="H786" s="1406">
        <v>2236</v>
      </c>
      <c r="I786" s="1406">
        <v>4286</v>
      </c>
      <c r="J786" s="1405">
        <v>5112</v>
      </c>
      <c r="K786" s="1282"/>
      <c r="L786" s="1406">
        <f t="shared" si="14"/>
        <v>39125</v>
      </c>
    </row>
    <row r="787" spans="1:12" ht="13.5">
      <c r="A787" s="1406">
        <v>39150</v>
      </c>
      <c r="B787" s="1405">
        <v>39200</v>
      </c>
      <c r="C787" s="4809">
        <v>0</v>
      </c>
      <c r="D787" s="1406">
        <v>1180</v>
      </c>
      <c r="E787" s="1406">
        <v>2894</v>
      </c>
      <c r="F787" s="1405">
        <v>3720</v>
      </c>
      <c r="G787" s="4809">
        <v>0</v>
      </c>
      <c r="H787" s="1406">
        <v>2228</v>
      </c>
      <c r="I787" s="1406">
        <v>4276</v>
      </c>
      <c r="J787" s="1405">
        <v>5101</v>
      </c>
      <c r="K787" s="1282"/>
      <c r="L787" s="1406">
        <f t="shared" si="14"/>
        <v>39175</v>
      </c>
    </row>
    <row r="788" spans="1:12" ht="13.5">
      <c r="A788" s="1406">
        <v>39200</v>
      </c>
      <c r="B788" s="1405">
        <v>39250</v>
      </c>
      <c r="C788" s="4809">
        <v>0</v>
      </c>
      <c r="D788" s="1406">
        <v>1172</v>
      </c>
      <c r="E788" s="1406">
        <v>2884</v>
      </c>
      <c r="F788" s="1405">
        <v>3709</v>
      </c>
      <c r="G788" s="4809">
        <v>0</v>
      </c>
      <c r="H788" s="1406">
        <v>2220</v>
      </c>
      <c r="I788" s="1406">
        <v>4265</v>
      </c>
      <c r="J788" s="1405">
        <v>5091</v>
      </c>
      <c r="K788" s="1282"/>
      <c r="L788" s="1406">
        <f t="shared" si="14"/>
        <v>39225</v>
      </c>
    </row>
    <row r="789" spans="1:12" ht="13.5">
      <c r="A789" s="1406">
        <v>39250</v>
      </c>
      <c r="B789" s="1405">
        <v>39300</v>
      </c>
      <c r="C789" s="4809">
        <v>0</v>
      </c>
      <c r="D789" s="1406">
        <v>1164</v>
      </c>
      <c r="E789" s="1406">
        <v>2873</v>
      </c>
      <c r="F789" s="1405">
        <v>3699</v>
      </c>
      <c r="G789" s="4809">
        <v>0</v>
      </c>
      <c r="H789" s="1406">
        <v>2212</v>
      </c>
      <c r="I789" s="1406">
        <v>4255</v>
      </c>
      <c r="J789" s="1405">
        <v>5080</v>
      </c>
      <c r="K789" s="1282"/>
      <c r="L789" s="1406">
        <f t="shared" si="14"/>
        <v>39275</v>
      </c>
    </row>
    <row r="790" spans="1:12" ht="13.5">
      <c r="A790" s="1406">
        <v>39300</v>
      </c>
      <c r="B790" s="1405">
        <v>39350</v>
      </c>
      <c r="C790" s="4809">
        <v>0</v>
      </c>
      <c r="D790" s="1406">
        <v>1156</v>
      </c>
      <c r="E790" s="1406">
        <v>2863</v>
      </c>
      <c r="F790" s="1405">
        <v>3688</v>
      </c>
      <c r="G790" s="4809">
        <v>0</v>
      </c>
      <c r="H790" s="1406">
        <v>2204</v>
      </c>
      <c r="I790" s="1406">
        <v>4244</v>
      </c>
      <c r="J790" s="1405">
        <v>5070</v>
      </c>
      <c r="K790" s="1282"/>
      <c r="L790" s="1406">
        <f t="shared" si="14"/>
        <v>39325</v>
      </c>
    </row>
    <row r="791" spans="1:12" ht="13.5">
      <c r="A791" s="1406">
        <v>39350</v>
      </c>
      <c r="B791" s="1405">
        <v>39400</v>
      </c>
      <c r="C791" s="4809">
        <v>0</v>
      </c>
      <c r="D791" s="1406">
        <v>1148</v>
      </c>
      <c r="E791" s="1406">
        <v>2852</v>
      </c>
      <c r="F791" s="1405">
        <v>3678</v>
      </c>
      <c r="G791" s="4809">
        <v>0</v>
      </c>
      <c r="H791" s="1406">
        <v>2196</v>
      </c>
      <c r="I791" s="1406">
        <v>4234</v>
      </c>
      <c r="J791" s="1405">
        <v>5059</v>
      </c>
      <c r="K791" s="1282"/>
      <c r="L791" s="1406">
        <f t="shared" si="14"/>
        <v>39375</v>
      </c>
    </row>
    <row r="792" spans="1:12" ht="13.5">
      <c r="A792" s="1406">
        <v>39400</v>
      </c>
      <c r="B792" s="1405">
        <v>39450</v>
      </c>
      <c r="C792" s="4809">
        <v>0</v>
      </c>
      <c r="D792" s="1406">
        <v>1140</v>
      </c>
      <c r="E792" s="1406">
        <v>2842</v>
      </c>
      <c r="F792" s="1405">
        <v>3667</v>
      </c>
      <c r="G792" s="4809">
        <v>0</v>
      </c>
      <c r="H792" s="1406">
        <v>2188</v>
      </c>
      <c r="I792" s="1406">
        <v>4223</v>
      </c>
      <c r="J792" s="1405">
        <v>5049</v>
      </c>
      <c r="K792" s="1282"/>
      <c r="L792" s="1406">
        <f t="shared" si="14"/>
        <v>39425</v>
      </c>
    </row>
    <row r="793" spans="1:12" ht="13.5">
      <c r="A793" s="1406">
        <v>39450</v>
      </c>
      <c r="B793" s="1405">
        <v>39500</v>
      </c>
      <c r="C793" s="4809">
        <v>0</v>
      </c>
      <c r="D793" s="1406">
        <v>1132</v>
      </c>
      <c r="E793" s="1406">
        <v>2831</v>
      </c>
      <c r="F793" s="1405">
        <v>3657</v>
      </c>
      <c r="G793" s="4809">
        <v>0</v>
      </c>
      <c r="H793" s="1406">
        <v>2180</v>
      </c>
      <c r="I793" s="1406">
        <v>4213</v>
      </c>
      <c r="J793" s="1405">
        <v>5038</v>
      </c>
      <c r="K793" s="1282"/>
      <c r="L793" s="1406">
        <f t="shared" si="14"/>
        <v>39475</v>
      </c>
    </row>
    <row r="794" spans="1:12" ht="13.5">
      <c r="A794" s="1406">
        <v>39500</v>
      </c>
      <c r="B794" s="1405">
        <v>39550</v>
      </c>
      <c r="C794" s="4809">
        <v>0</v>
      </c>
      <c r="D794" s="1406">
        <v>1124</v>
      </c>
      <c r="E794" s="1406">
        <v>2821</v>
      </c>
      <c r="F794" s="1405">
        <v>3646</v>
      </c>
      <c r="G794" s="4809">
        <v>0</v>
      </c>
      <c r="H794" s="1406">
        <v>2172</v>
      </c>
      <c r="I794" s="1406">
        <v>4202</v>
      </c>
      <c r="J794" s="1405">
        <v>5028</v>
      </c>
      <c r="K794" s="1282"/>
      <c r="L794" s="1406">
        <f t="shared" si="14"/>
        <v>39525</v>
      </c>
    </row>
    <row r="795" spans="1:12" ht="13.5">
      <c r="A795" s="1406">
        <v>39550</v>
      </c>
      <c r="B795" s="1405">
        <v>39600</v>
      </c>
      <c r="C795" s="4809">
        <v>0</v>
      </c>
      <c r="D795" s="1406">
        <v>1116</v>
      </c>
      <c r="E795" s="1406">
        <v>2810</v>
      </c>
      <c r="F795" s="1405">
        <v>3636</v>
      </c>
      <c r="G795" s="4809">
        <v>0</v>
      </c>
      <c r="H795" s="1406">
        <v>2164</v>
      </c>
      <c r="I795" s="1406">
        <v>4192</v>
      </c>
      <c r="J795" s="1405">
        <v>5017</v>
      </c>
      <c r="K795" s="1282"/>
      <c r="L795" s="1406">
        <f t="shared" si="14"/>
        <v>39575</v>
      </c>
    </row>
    <row r="796" spans="1:12" ht="13.5">
      <c r="A796" s="1406">
        <v>39600</v>
      </c>
      <c r="B796" s="1405">
        <v>39650</v>
      </c>
      <c r="C796" s="4809">
        <v>0</v>
      </c>
      <c r="D796" s="1406">
        <v>1108</v>
      </c>
      <c r="E796" s="1406">
        <v>2800</v>
      </c>
      <c r="F796" s="1405">
        <v>3625</v>
      </c>
      <c r="G796" s="4809">
        <v>0</v>
      </c>
      <c r="H796" s="1406">
        <v>2157</v>
      </c>
      <c r="I796" s="1406">
        <v>4181</v>
      </c>
      <c r="J796" s="1405">
        <v>5007</v>
      </c>
      <c r="K796" s="1282"/>
      <c r="L796" s="1406">
        <f t="shared" si="14"/>
        <v>39625</v>
      </c>
    </row>
    <row r="797" spans="1:12" ht="13.5">
      <c r="A797" s="1406">
        <v>39650</v>
      </c>
      <c r="B797" s="1405">
        <v>39700</v>
      </c>
      <c r="C797" s="4809">
        <v>0</v>
      </c>
      <c r="D797" s="1406">
        <v>1100</v>
      </c>
      <c r="E797" s="1406">
        <v>2789</v>
      </c>
      <c r="F797" s="1405">
        <v>3614</v>
      </c>
      <c r="G797" s="4809">
        <v>0</v>
      </c>
      <c r="H797" s="1406">
        <v>2149</v>
      </c>
      <c r="I797" s="1406">
        <v>4171</v>
      </c>
      <c r="J797" s="1405">
        <v>4996</v>
      </c>
      <c r="K797" s="1282"/>
      <c r="L797" s="1406">
        <f t="shared" si="14"/>
        <v>39675</v>
      </c>
    </row>
    <row r="798" spans="1:12" ht="13.5">
      <c r="A798" s="1406">
        <v>39700</v>
      </c>
      <c r="B798" s="1405">
        <v>39750</v>
      </c>
      <c r="C798" s="4809">
        <v>0</v>
      </c>
      <c r="D798" s="1406">
        <v>1092</v>
      </c>
      <c r="E798" s="1406">
        <v>2778</v>
      </c>
      <c r="F798" s="1405">
        <v>3604</v>
      </c>
      <c r="G798" s="4809">
        <v>0</v>
      </c>
      <c r="H798" s="1406">
        <v>2141</v>
      </c>
      <c r="I798" s="1406">
        <v>4160</v>
      </c>
      <c r="J798" s="1405">
        <v>4985</v>
      </c>
      <c r="K798" s="1282"/>
      <c r="L798" s="1406">
        <f t="shared" si="14"/>
        <v>39725</v>
      </c>
    </row>
    <row r="799" spans="1:12" ht="13.5">
      <c r="A799" s="1406">
        <v>39750</v>
      </c>
      <c r="B799" s="1405">
        <v>39800</v>
      </c>
      <c r="C799" s="4809">
        <v>0</v>
      </c>
      <c r="D799" s="1406">
        <v>1084</v>
      </c>
      <c r="E799" s="1406">
        <v>2768</v>
      </c>
      <c r="F799" s="1405">
        <v>3593</v>
      </c>
      <c r="G799" s="4809">
        <v>0</v>
      </c>
      <c r="H799" s="1406">
        <v>2133</v>
      </c>
      <c r="I799" s="1406">
        <v>4149</v>
      </c>
      <c r="J799" s="1405">
        <v>4975</v>
      </c>
      <c r="K799" s="1282"/>
      <c r="L799" s="1406">
        <f t="shared" si="14"/>
        <v>39775</v>
      </c>
    </row>
    <row r="800" spans="1:12" ht="13.5">
      <c r="A800" s="1406">
        <v>39800</v>
      </c>
      <c r="B800" s="1405">
        <v>39850</v>
      </c>
      <c r="C800" s="4809">
        <v>0</v>
      </c>
      <c r="D800" s="1406">
        <v>1076</v>
      </c>
      <c r="E800" s="1406">
        <v>2757</v>
      </c>
      <c r="F800" s="1405">
        <v>3583</v>
      </c>
      <c r="G800" s="4809">
        <v>0</v>
      </c>
      <c r="H800" s="1406">
        <v>2125</v>
      </c>
      <c r="I800" s="1406">
        <v>4139</v>
      </c>
      <c r="J800" s="1405">
        <v>4964</v>
      </c>
      <c r="K800" s="1282"/>
      <c r="L800" s="1406">
        <f t="shared" si="14"/>
        <v>39825</v>
      </c>
    </row>
    <row r="801" spans="1:12" ht="13.5">
      <c r="A801" s="1406">
        <v>39850</v>
      </c>
      <c r="B801" s="1405">
        <v>39900</v>
      </c>
      <c r="C801" s="4809">
        <v>0</v>
      </c>
      <c r="D801" s="1406">
        <v>1068</v>
      </c>
      <c r="E801" s="1406">
        <v>2747</v>
      </c>
      <c r="F801" s="1405">
        <v>3572</v>
      </c>
      <c r="G801" s="4809">
        <v>0</v>
      </c>
      <c r="H801" s="1406">
        <v>2117</v>
      </c>
      <c r="I801" s="1406">
        <v>4128</v>
      </c>
      <c r="J801" s="1405">
        <v>4954</v>
      </c>
      <c r="K801" s="1282"/>
      <c r="L801" s="1406">
        <f t="shared" si="14"/>
        <v>39875</v>
      </c>
    </row>
    <row r="802" spans="1:12" ht="13.5">
      <c r="A802" s="1406">
        <v>39900</v>
      </c>
      <c r="B802" s="1405">
        <v>39950</v>
      </c>
      <c r="C802" s="4809">
        <v>0</v>
      </c>
      <c r="D802" s="1406">
        <v>1060</v>
      </c>
      <c r="E802" s="1406">
        <v>2736</v>
      </c>
      <c r="F802" s="1405">
        <v>3562</v>
      </c>
      <c r="G802" s="4809">
        <v>0</v>
      </c>
      <c r="H802" s="1406">
        <v>2109</v>
      </c>
      <c r="I802" s="1406">
        <v>4118</v>
      </c>
      <c r="J802" s="1405">
        <v>4943</v>
      </c>
      <c r="K802" s="1282"/>
      <c r="L802" s="1406">
        <f t="shared" si="14"/>
        <v>39925</v>
      </c>
    </row>
    <row r="803" spans="1:12" ht="13.5">
      <c r="A803" s="1406">
        <v>39950</v>
      </c>
      <c r="B803" s="1405">
        <v>40000</v>
      </c>
      <c r="C803" s="4809">
        <v>0</v>
      </c>
      <c r="D803" s="1406">
        <v>1052</v>
      </c>
      <c r="E803" s="1406">
        <v>2726</v>
      </c>
      <c r="F803" s="1405">
        <v>3551</v>
      </c>
      <c r="G803" s="4809">
        <v>0</v>
      </c>
      <c r="H803" s="1406">
        <v>2101</v>
      </c>
      <c r="I803" s="1406">
        <v>4107</v>
      </c>
      <c r="J803" s="1405">
        <v>4933</v>
      </c>
      <c r="K803" s="1282"/>
      <c r="L803" s="1406">
        <f t="shared" si="14"/>
        <v>39975</v>
      </c>
    </row>
    <row r="804" spans="1:12" ht="13.5">
      <c r="A804" s="1406">
        <v>40000</v>
      </c>
      <c r="B804" s="1405">
        <v>40050</v>
      </c>
      <c r="C804" s="4809">
        <v>0</v>
      </c>
      <c r="D804" s="1406">
        <v>1044</v>
      </c>
      <c r="E804" s="1406">
        <v>2715</v>
      </c>
      <c r="F804" s="1405">
        <v>3541</v>
      </c>
      <c r="G804" s="4809">
        <v>0</v>
      </c>
      <c r="H804" s="1406">
        <v>2093</v>
      </c>
      <c r="I804" s="1406">
        <v>4097</v>
      </c>
      <c r="J804" s="1405">
        <v>4922</v>
      </c>
      <c r="K804" s="1282"/>
      <c r="L804" s="1406">
        <f t="shared" si="14"/>
        <v>40025</v>
      </c>
    </row>
    <row r="805" spans="1:12" ht="13.5">
      <c r="A805" s="1406">
        <v>40050</v>
      </c>
      <c r="B805" s="1405">
        <v>40100</v>
      </c>
      <c r="C805" s="4809">
        <v>0</v>
      </c>
      <c r="D805" s="1406">
        <v>1036</v>
      </c>
      <c r="E805" s="1406">
        <v>2705</v>
      </c>
      <c r="F805" s="1405">
        <v>3530</v>
      </c>
      <c r="G805" s="4809">
        <v>0</v>
      </c>
      <c r="H805" s="1406">
        <v>2085</v>
      </c>
      <c r="I805" s="1406">
        <v>4086</v>
      </c>
      <c r="J805" s="1405">
        <v>4912</v>
      </c>
      <c r="K805" s="1282"/>
      <c r="L805" s="1406">
        <f t="shared" si="14"/>
        <v>40075</v>
      </c>
    </row>
    <row r="806" spans="1:12" ht="13.5">
      <c r="A806" s="1406">
        <v>40100</v>
      </c>
      <c r="B806" s="1405">
        <v>40150</v>
      </c>
      <c r="C806" s="4809">
        <v>0</v>
      </c>
      <c r="D806" s="1406">
        <v>1028</v>
      </c>
      <c r="E806" s="1406">
        <v>2694</v>
      </c>
      <c r="F806" s="1405">
        <v>3520</v>
      </c>
      <c r="G806" s="4809">
        <v>0</v>
      </c>
      <c r="H806" s="1406">
        <v>2077</v>
      </c>
      <c r="I806" s="1406">
        <v>4076</v>
      </c>
      <c r="J806" s="1405">
        <v>4901</v>
      </c>
      <c r="K806" s="1282"/>
      <c r="L806" s="1406">
        <f t="shared" si="14"/>
        <v>40125</v>
      </c>
    </row>
    <row r="807" spans="1:12" ht="13.5">
      <c r="A807" s="1406">
        <v>40150</v>
      </c>
      <c r="B807" s="1405">
        <v>40200</v>
      </c>
      <c r="C807" s="4809">
        <v>0</v>
      </c>
      <c r="D807" s="1406">
        <v>1020</v>
      </c>
      <c r="E807" s="1406">
        <v>2684</v>
      </c>
      <c r="F807" s="1405">
        <v>3509</v>
      </c>
      <c r="G807" s="4809">
        <v>0</v>
      </c>
      <c r="H807" s="1406">
        <v>2069</v>
      </c>
      <c r="I807" s="1406">
        <v>4065</v>
      </c>
      <c r="J807" s="1405">
        <v>4891</v>
      </c>
      <c r="K807" s="1282"/>
      <c r="L807" s="1406">
        <f t="shared" si="14"/>
        <v>40175</v>
      </c>
    </row>
    <row r="808" spans="1:12" ht="13.5">
      <c r="A808" s="1406">
        <v>40200</v>
      </c>
      <c r="B808" s="1405">
        <v>40250</v>
      </c>
      <c r="C808" s="4809">
        <v>0</v>
      </c>
      <c r="D808" s="1406">
        <v>1012</v>
      </c>
      <c r="E808" s="1406">
        <v>2673</v>
      </c>
      <c r="F808" s="1405">
        <v>3499</v>
      </c>
      <c r="G808" s="4809">
        <v>0</v>
      </c>
      <c r="H808" s="1406">
        <v>2061</v>
      </c>
      <c r="I808" s="1406">
        <v>4055</v>
      </c>
      <c r="J808" s="1405">
        <v>4880</v>
      </c>
      <c r="K808" s="1282"/>
      <c r="L808" s="1406">
        <f t="shared" si="14"/>
        <v>40225</v>
      </c>
    </row>
    <row r="809" spans="1:12" ht="13.5">
      <c r="A809" s="1406">
        <v>40250</v>
      </c>
      <c r="B809" s="1405">
        <v>40300</v>
      </c>
      <c r="C809" s="4809">
        <v>0</v>
      </c>
      <c r="D809" s="1406">
        <v>1004</v>
      </c>
      <c r="E809" s="1406">
        <v>2663</v>
      </c>
      <c r="F809" s="1405">
        <v>3488</v>
      </c>
      <c r="G809" s="4809">
        <v>0</v>
      </c>
      <c r="H809" s="1406">
        <v>2053</v>
      </c>
      <c r="I809" s="1406">
        <v>4044</v>
      </c>
      <c r="J809" s="1405">
        <v>4870</v>
      </c>
      <c r="K809" s="1282"/>
      <c r="L809" s="1406">
        <f t="shared" si="14"/>
        <v>40275</v>
      </c>
    </row>
    <row r="810" spans="1:12" ht="13.5">
      <c r="A810" s="1406">
        <v>40300</v>
      </c>
      <c r="B810" s="1405">
        <v>40350</v>
      </c>
      <c r="C810" s="4809">
        <v>0</v>
      </c>
      <c r="D810" s="1406">
        <v>996</v>
      </c>
      <c r="E810" s="1406">
        <v>2652</v>
      </c>
      <c r="F810" s="1405">
        <v>3478</v>
      </c>
      <c r="G810" s="4809">
        <v>0</v>
      </c>
      <c r="H810" s="1406">
        <v>2045</v>
      </c>
      <c r="I810" s="1406">
        <v>4034</v>
      </c>
      <c r="J810" s="1405">
        <v>4859</v>
      </c>
      <c r="K810" s="1282"/>
      <c r="L810" s="1406">
        <f t="shared" si="14"/>
        <v>40325</v>
      </c>
    </row>
    <row r="811" spans="1:12" ht="13.5">
      <c r="A811" s="1406">
        <v>40350</v>
      </c>
      <c r="B811" s="1405">
        <v>40400</v>
      </c>
      <c r="C811" s="4809">
        <v>0</v>
      </c>
      <c r="D811" s="1406">
        <v>988</v>
      </c>
      <c r="E811" s="1406">
        <v>2642</v>
      </c>
      <c r="F811" s="1405">
        <v>3467</v>
      </c>
      <c r="G811" s="4809">
        <v>0</v>
      </c>
      <c r="H811" s="1406">
        <v>2037</v>
      </c>
      <c r="I811" s="1406">
        <v>4023</v>
      </c>
      <c r="J811" s="1405">
        <v>4849</v>
      </c>
      <c r="K811" s="1282"/>
      <c r="L811" s="1406">
        <f t="shared" si="14"/>
        <v>40375</v>
      </c>
    </row>
    <row r="812" spans="1:12" ht="13.5">
      <c r="A812" s="1406">
        <v>40400</v>
      </c>
      <c r="B812" s="1405">
        <v>40450</v>
      </c>
      <c r="C812" s="4809">
        <v>0</v>
      </c>
      <c r="D812" s="1406">
        <v>980</v>
      </c>
      <c r="E812" s="1406">
        <v>2631</v>
      </c>
      <c r="F812" s="1405">
        <v>3457</v>
      </c>
      <c r="G812" s="4809">
        <v>0</v>
      </c>
      <c r="H812" s="1406">
        <v>2029</v>
      </c>
      <c r="I812" s="1406">
        <v>4013</v>
      </c>
      <c r="J812" s="1405">
        <v>4838</v>
      </c>
      <c r="K812" s="1282"/>
      <c r="L812" s="1406">
        <f t="shared" si="14"/>
        <v>40425</v>
      </c>
    </row>
    <row r="813" spans="1:12" ht="13.5">
      <c r="A813" s="1406">
        <v>40450</v>
      </c>
      <c r="B813" s="1405">
        <v>40500</v>
      </c>
      <c r="C813" s="4809">
        <v>0</v>
      </c>
      <c r="D813" s="1406">
        <v>972</v>
      </c>
      <c r="E813" s="1406">
        <v>2621</v>
      </c>
      <c r="F813" s="1405">
        <v>3446</v>
      </c>
      <c r="G813" s="4809">
        <v>0</v>
      </c>
      <c r="H813" s="1406">
        <v>2021</v>
      </c>
      <c r="I813" s="1406">
        <v>4002</v>
      </c>
      <c r="J813" s="1405">
        <v>4828</v>
      </c>
      <c r="K813" s="1282"/>
      <c r="L813" s="1406">
        <f t="shared" si="14"/>
        <v>40475</v>
      </c>
    </row>
    <row r="814" spans="1:12" ht="13.5">
      <c r="A814" s="1406">
        <v>40500</v>
      </c>
      <c r="B814" s="1405">
        <v>40550</v>
      </c>
      <c r="C814" s="4809">
        <v>0</v>
      </c>
      <c r="D814" s="1406">
        <v>964</v>
      </c>
      <c r="E814" s="1406">
        <v>2610</v>
      </c>
      <c r="F814" s="1405">
        <v>3435</v>
      </c>
      <c r="G814" s="4809">
        <v>0</v>
      </c>
      <c r="H814" s="1406">
        <v>2013</v>
      </c>
      <c r="I814" s="1406">
        <v>3992</v>
      </c>
      <c r="J814" s="1405">
        <v>4817</v>
      </c>
      <c r="K814" s="1282"/>
      <c r="L814" s="1406">
        <f t="shared" si="14"/>
        <v>40525</v>
      </c>
    </row>
    <row r="815" spans="1:12" ht="13.5">
      <c r="A815" s="1406">
        <v>40550</v>
      </c>
      <c r="B815" s="1405">
        <v>40600</v>
      </c>
      <c r="C815" s="4809">
        <v>0</v>
      </c>
      <c r="D815" s="1406">
        <v>956</v>
      </c>
      <c r="E815" s="1406">
        <v>2599</v>
      </c>
      <c r="F815" s="1405">
        <v>3425</v>
      </c>
      <c r="G815" s="4809">
        <v>0</v>
      </c>
      <c r="H815" s="1406">
        <v>2005</v>
      </c>
      <c r="I815" s="1406">
        <v>3981</v>
      </c>
      <c r="J815" s="1405">
        <v>4806</v>
      </c>
      <c r="K815" s="1282"/>
      <c r="L815" s="1406">
        <f t="shared" si="14"/>
        <v>40575</v>
      </c>
    </row>
    <row r="816" spans="1:12" ht="13.5">
      <c r="A816" s="1406">
        <v>40600</v>
      </c>
      <c r="B816" s="1405">
        <v>40650</v>
      </c>
      <c r="C816" s="4809">
        <v>0</v>
      </c>
      <c r="D816" s="1406">
        <v>948</v>
      </c>
      <c r="E816" s="1406">
        <v>2589</v>
      </c>
      <c r="F816" s="1405">
        <v>3414</v>
      </c>
      <c r="G816" s="4809">
        <v>0</v>
      </c>
      <c r="H816" s="1406">
        <v>1997</v>
      </c>
      <c r="I816" s="1406">
        <v>3970</v>
      </c>
      <c r="J816" s="1405">
        <v>4796</v>
      </c>
      <c r="K816" s="1282"/>
      <c r="L816" s="1406">
        <f t="shared" si="14"/>
        <v>40625</v>
      </c>
    </row>
    <row r="817" spans="1:12" ht="13.5">
      <c r="A817" s="1406">
        <v>40650</v>
      </c>
      <c r="B817" s="1405">
        <v>40700</v>
      </c>
      <c r="C817" s="4809">
        <v>0</v>
      </c>
      <c r="D817" s="1406">
        <v>940</v>
      </c>
      <c r="E817" s="1406">
        <v>2578</v>
      </c>
      <c r="F817" s="1405">
        <v>3404</v>
      </c>
      <c r="G817" s="4809">
        <v>0</v>
      </c>
      <c r="H817" s="1406">
        <v>1989</v>
      </c>
      <c r="I817" s="1406">
        <v>3960</v>
      </c>
      <c r="J817" s="1405">
        <v>4785</v>
      </c>
      <c r="K817" s="1282"/>
      <c r="L817" s="1406">
        <f t="shared" si="14"/>
        <v>40675</v>
      </c>
    </row>
    <row r="818" spans="1:12" ht="13.5">
      <c r="A818" s="1406">
        <v>40700</v>
      </c>
      <c r="B818" s="1405">
        <v>40750</v>
      </c>
      <c r="C818" s="4809">
        <v>0</v>
      </c>
      <c r="D818" s="1406">
        <v>932</v>
      </c>
      <c r="E818" s="1406">
        <v>2568</v>
      </c>
      <c r="F818" s="1405">
        <v>3393</v>
      </c>
      <c r="G818" s="4809">
        <v>0</v>
      </c>
      <c r="H818" s="1406">
        <v>1981</v>
      </c>
      <c r="I818" s="1406">
        <v>3949</v>
      </c>
      <c r="J818" s="1405">
        <v>4775</v>
      </c>
      <c r="K818" s="1282"/>
      <c r="L818" s="1406">
        <f t="shared" si="14"/>
        <v>40725</v>
      </c>
    </row>
    <row r="819" spans="1:12" ht="13.5">
      <c r="A819" s="1406">
        <v>40750</v>
      </c>
      <c r="B819" s="1405">
        <v>40800</v>
      </c>
      <c r="C819" s="4809">
        <v>0</v>
      </c>
      <c r="D819" s="1406">
        <v>924</v>
      </c>
      <c r="E819" s="1406">
        <v>2557</v>
      </c>
      <c r="F819" s="1405">
        <v>3383</v>
      </c>
      <c r="G819" s="4809">
        <v>0</v>
      </c>
      <c r="H819" s="1406">
        <v>1973</v>
      </c>
      <c r="I819" s="1406">
        <v>3939</v>
      </c>
      <c r="J819" s="1405">
        <v>4764</v>
      </c>
      <c r="K819" s="1282"/>
      <c r="L819" s="1406">
        <f t="shared" si="14"/>
        <v>40775</v>
      </c>
    </row>
    <row r="820" spans="1:12" ht="13.5">
      <c r="A820" s="1406">
        <v>40800</v>
      </c>
      <c r="B820" s="1405">
        <v>40850</v>
      </c>
      <c r="C820" s="4809">
        <v>0</v>
      </c>
      <c r="D820" s="1406">
        <v>916</v>
      </c>
      <c r="E820" s="1406">
        <v>2547</v>
      </c>
      <c r="F820" s="1405">
        <v>3372</v>
      </c>
      <c r="G820" s="4809">
        <v>0</v>
      </c>
      <c r="H820" s="1406">
        <v>1965</v>
      </c>
      <c r="I820" s="1406">
        <v>3928</v>
      </c>
      <c r="J820" s="1405">
        <v>4754</v>
      </c>
      <c r="K820" s="1282"/>
      <c r="L820" s="1406">
        <f t="shared" si="14"/>
        <v>40825</v>
      </c>
    </row>
    <row r="821" spans="1:12" ht="13.5">
      <c r="A821" s="1406">
        <v>40850</v>
      </c>
      <c r="B821" s="1405">
        <v>40900</v>
      </c>
      <c r="C821" s="4809">
        <v>0</v>
      </c>
      <c r="D821" s="1406">
        <v>908</v>
      </c>
      <c r="E821" s="1406">
        <v>2536</v>
      </c>
      <c r="F821" s="1405">
        <v>3362</v>
      </c>
      <c r="G821" s="4809">
        <v>0</v>
      </c>
      <c r="H821" s="1406">
        <v>1957</v>
      </c>
      <c r="I821" s="1406">
        <v>3918</v>
      </c>
      <c r="J821" s="1405">
        <v>4743</v>
      </c>
      <c r="K821" s="1282"/>
      <c r="L821" s="1406">
        <f t="shared" si="14"/>
        <v>40875</v>
      </c>
    </row>
    <row r="822" spans="1:12" ht="13.5">
      <c r="A822" s="1406">
        <v>40900</v>
      </c>
      <c r="B822" s="1405">
        <v>40950</v>
      </c>
      <c r="C822" s="4809">
        <v>0</v>
      </c>
      <c r="D822" s="1406">
        <v>900</v>
      </c>
      <c r="E822" s="1406">
        <v>2526</v>
      </c>
      <c r="F822" s="1405">
        <v>3351</v>
      </c>
      <c r="G822" s="4809">
        <v>0</v>
      </c>
      <c r="H822" s="1406">
        <v>1949</v>
      </c>
      <c r="I822" s="1406">
        <v>3907</v>
      </c>
      <c r="J822" s="1405">
        <v>4733</v>
      </c>
      <c r="K822" s="1282"/>
      <c r="L822" s="1406">
        <f t="shared" si="14"/>
        <v>40925</v>
      </c>
    </row>
    <row r="823" spans="1:12" ht="13.5">
      <c r="A823" s="1406">
        <v>40950</v>
      </c>
      <c r="B823" s="1405">
        <v>41000</v>
      </c>
      <c r="C823" s="4809">
        <v>0</v>
      </c>
      <c r="D823" s="1406">
        <v>892</v>
      </c>
      <c r="E823" s="1406">
        <v>2515</v>
      </c>
      <c r="F823" s="1405">
        <v>3341</v>
      </c>
      <c r="G823" s="4809">
        <v>0</v>
      </c>
      <c r="H823" s="1406">
        <v>1941</v>
      </c>
      <c r="I823" s="1406">
        <v>3897</v>
      </c>
      <c r="J823" s="1405">
        <v>4722</v>
      </c>
      <c r="K823" s="1282"/>
      <c r="L823" s="1406">
        <f t="shared" si="14"/>
        <v>40975</v>
      </c>
    </row>
    <row r="824" spans="1:12" ht="13.5">
      <c r="A824" s="1406">
        <v>41000</v>
      </c>
      <c r="B824" s="1405">
        <v>41050</v>
      </c>
      <c r="C824" s="4809">
        <v>0</v>
      </c>
      <c r="D824" s="1406">
        <v>884</v>
      </c>
      <c r="E824" s="1406">
        <v>2505</v>
      </c>
      <c r="F824" s="1405">
        <v>3330</v>
      </c>
      <c r="G824" s="4809">
        <v>0</v>
      </c>
      <c r="H824" s="1406">
        <v>1933</v>
      </c>
      <c r="I824" s="1406">
        <v>3886</v>
      </c>
      <c r="J824" s="1405">
        <v>4712</v>
      </c>
      <c r="K824" s="1282"/>
      <c r="L824" s="1406">
        <f t="shared" si="14"/>
        <v>41025</v>
      </c>
    </row>
    <row r="825" spans="1:12" ht="13.5">
      <c r="A825" s="1406">
        <v>41050</v>
      </c>
      <c r="B825" s="1405">
        <v>41100</v>
      </c>
      <c r="C825" s="4809">
        <v>0</v>
      </c>
      <c r="D825" s="1406">
        <v>877</v>
      </c>
      <c r="E825" s="1406">
        <v>2494</v>
      </c>
      <c r="F825" s="1405">
        <v>3320</v>
      </c>
      <c r="G825" s="4809">
        <v>0</v>
      </c>
      <c r="H825" s="1406">
        <v>1925</v>
      </c>
      <c r="I825" s="1406">
        <v>3876</v>
      </c>
      <c r="J825" s="1405">
        <v>4701</v>
      </c>
      <c r="K825" s="1282"/>
      <c r="L825" s="1406">
        <f t="shared" si="14"/>
        <v>41075</v>
      </c>
    </row>
    <row r="826" spans="1:12" ht="13.5">
      <c r="A826" s="1406">
        <v>41100</v>
      </c>
      <c r="B826" s="1405">
        <v>41150</v>
      </c>
      <c r="C826" s="4809">
        <v>0</v>
      </c>
      <c r="D826" s="1406">
        <v>869</v>
      </c>
      <c r="E826" s="1406">
        <v>2484</v>
      </c>
      <c r="F826" s="1405">
        <v>3309</v>
      </c>
      <c r="G826" s="4809">
        <v>0</v>
      </c>
      <c r="H826" s="1406">
        <v>1917</v>
      </c>
      <c r="I826" s="1406">
        <v>3865</v>
      </c>
      <c r="J826" s="1405">
        <v>4691</v>
      </c>
      <c r="K826" s="1282"/>
      <c r="L826" s="1406">
        <f t="shared" si="14"/>
        <v>41125</v>
      </c>
    </row>
    <row r="827" spans="1:12" ht="13.5">
      <c r="A827" s="1406">
        <v>41150</v>
      </c>
      <c r="B827" s="1405">
        <v>41200</v>
      </c>
      <c r="C827" s="4809">
        <v>0</v>
      </c>
      <c r="D827" s="1406">
        <v>861</v>
      </c>
      <c r="E827" s="1406">
        <v>2473</v>
      </c>
      <c r="F827" s="1405">
        <v>3299</v>
      </c>
      <c r="G827" s="4809">
        <v>0</v>
      </c>
      <c r="H827" s="1406">
        <v>1909</v>
      </c>
      <c r="I827" s="1406">
        <v>3855</v>
      </c>
      <c r="J827" s="1405">
        <v>4680</v>
      </c>
      <c r="K827" s="1282"/>
      <c r="L827" s="1406">
        <f t="shared" si="14"/>
        <v>41175</v>
      </c>
    </row>
    <row r="828" spans="1:12" ht="13.5">
      <c r="A828" s="1406">
        <v>41200</v>
      </c>
      <c r="B828" s="1405">
        <v>41250</v>
      </c>
      <c r="C828" s="4809">
        <v>0</v>
      </c>
      <c r="D828" s="1406">
        <v>853</v>
      </c>
      <c r="E828" s="1406">
        <v>2463</v>
      </c>
      <c r="F828" s="1405">
        <v>3288</v>
      </c>
      <c r="G828" s="4809">
        <v>0</v>
      </c>
      <c r="H828" s="1406">
        <v>1901</v>
      </c>
      <c r="I828" s="1406">
        <v>3844</v>
      </c>
      <c r="J828" s="1405">
        <v>4670</v>
      </c>
      <c r="K828" s="1282"/>
      <c r="L828" s="1406">
        <f t="shared" si="14"/>
        <v>41225</v>
      </c>
    </row>
    <row r="829" spans="1:12" ht="13.5">
      <c r="A829" s="1406">
        <v>41250</v>
      </c>
      <c r="B829" s="1405">
        <v>41300</v>
      </c>
      <c r="C829" s="4809">
        <v>0</v>
      </c>
      <c r="D829" s="1406">
        <v>845</v>
      </c>
      <c r="E829" s="1406">
        <v>2452</v>
      </c>
      <c r="F829" s="1405">
        <v>3278</v>
      </c>
      <c r="G829" s="4809">
        <v>0</v>
      </c>
      <c r="H829" s="1406">
        <v>1893</v>
      </c>
      <c r="I829" s="1406">
        <v>3834</v>
      </c>
      <c r="J829" s="1405">
        <v>4659</v>
      </c>
      <c r="K829" s="1282"/>
      <c r="L829" s="1406">
        <f t="shared" si="14"/>
        <v>41275</v>
      </c>
    </row>
    <row r="830" spans="1:12" ht="13.5">
      <c r="A830" s="1406">
        <v>41300</v>
      </c>
      <c r="B830" s="1405">
        <v>41350</v>
      </c>
      <c r="C830" s="4809">
        <v>0</v>
      </c>
      <c r="D830" s="1406">
        <v>837</v>
      </c>
      <c r="E830" s="1406">
        <v>2441</v>
      </c>
      <c r="F830" s="1405">
        <v>3267</v>
      </c>
      <c r="G830" s="4809">
        <v>0</v>
      </c>
      <c r="H830" s="1406">
        <v>1885</v>
      </c>
      <c r="I830" s="1406">
        <v>3823</v>
      </c>
      <c r="J830" s="1405">
        <v>4649</v>
      </c>
      <c r="K830" s="1282"/>
      <c r="L830" s="1406">
        <f t="shared" si="14"/>
        <v>41325</v>
      </c>
    </row>
    <row r="831" spans="1:12" ht="13.5">
      <c r="A831" s="1406">
        <v>41350</v>
      </c>
      <c r="B831" s="1405">
        <v>41400</v>
      </c>
      <c r="C831" s="4809">
        <v>0</v>
      </c>
      <c r="D831" s="1406">
        <v>829</v>
      </c>
      <c r="E831" s="1406">
        <v>2431</v>
      </c>
      <c r="F831" s="1405">
        <v>3256</v>
      </c>
      <c r="G831" s="4809">
        <v>0</v>
      </c>
      <c r="H831" s="1406">
        <v>1877</v>
      </c>
      <c r="I831" s="1406">
        <v>3812</v>
      </c>
      <c r="J831" s="1405">
        <v>4638</v>
      </c>
      <c r="K831" s="1282"/>
      <c r="L831" s="1406">
        <f t="shared" si="14"/>
        <v>41375</v>
      </c>
    </row>
    <row r="832" spans="1:12" ht="13.5">
      <c r="A832" s="1406">
        <v>41400</v>
      </c>
      <c r="B832" s="1405">
        <v>41450</v>
      </c>
      <c r="C832" s="4809">
        <v>0</v>
      </c>
      <c r="D832" s="1406">
        <v>821</v>
      </c>
      <c r="E832" s="1406">
        <v>2420</v>
      </c>
      <c r="F832" s="1405">
        <v>3246</v>
      </c>
      <c r="G832" s="4809">
        <v>0</v>
      </c>
      <c r="H832" s="1406">
        <v>1869</v>
      </c>
      <c r="I832" s="1406">
        <v>3802</v>
      </c>
      <c r="J832" s="1405">
        <v>4627</v>
      </c>
      <c r="K832" s="1282"/>
      <c r="L832" s="1406">
        <f t="shared" si="14"/>
        <v>41425</v>
      </c>
    </row>
    <row r="833" spans="1:12" ht="13.5">
      <c r="A833" s="1406">
        <v>41450</v>
      </c>
      <c r="B833" s="1405">
        <v>41500</v>
      </c>
      <c r="C833" s="4809">
        <v>0</v>
      </c>
      <c r="D833" s="1406">
        <v>813</v>
      </c>
      <c r="E833" s="1406">
        <v>2410</v>
      </c>
      <c r="F833" s="1405">
        <v>3235</v>
      </c>
      <c r="G833" s="4809">
        <v>0</v>
      </c>
      <c r="H833" s="1406">
        <v>1861</v>
      </c>
      <c r="I833" s="1406">
        <v>3791</v>
      </c>
      <c r="J833" s="1405">
        <v>4617</v>
      </c>
      <c r="K833" s="1282"/>
      <c r="L833" s="1406">
        <f t="shared" si="14"/>
        <v>41475</v>
      </c>
    </row>
    <row r="834" spans="1:12" ht="13.5">
      <c r="A834" s="1406">
        <v>41500</v>
      </c>
      <c r="B834" s="1405">
        <v>41550</v>
      </c>
      <c r="C834" s="4809">
        <v>0</v>
      </c>
      <c r="D834" s="1406">
        <v>805</v>
      </c>
      <c r="E834" s="1406">
        <v>2399</v>
      </c>
      <c r="F834" s="1405">
        <v>3225</v>
      </c>
      <c r="G834" s="4809">
        <v>0</v>
      </c>
      <c r="H834" s="1406">
        <v>1853</v>
      </c>
      <c r="I834" s="1406">
        <v>3781</v>
      </c>
      <c r="J834" s="1405">
        <v>4606</v>
      </c>
      <c r="K834" s="1282"/>
      <c r="L834" s="1406">
        <f t="shared" si="14"/>
        <v>41525</v>
      </c>
    </row>
    <row r="835" spans="1:12" ht="13.5">
      <c r="A835" s="1406">
        <v>41550</v>
      </c>
      <c r="B835" s="1405">
        <v>41600</v>
      </c>
      <c r="C835" s="4809">
        <v>0</v>
      </c>
      <c r="D835" s="1406">
        <v>797</v>
      </c>
      <c r="E835" s="1406">
        <v>2389</v>
      </c>
      <c r="F835" s="1405">
        <v>3214</v>
      </c>
      <c r="G835" s="4809">
        <v>0</v>
      </c>
      <c r="H835" s="1406">
        <v>1845</v>
      </c>
      <c r="I835" s="1406">
        <v>3770</v>
      </c>
      <c r="J835" s="1405">
        <v>4596</v>
      </c>
      <c r="K835" s="1282"/>
      <c r="L835" s="1406">
        <f t="shared" si="14"/>
        <v>41575</v>
      </c>
    </row>
    <row r="836" spans="1:12" ht="13.5">
      <c r="A836" s="1406">
        <v>41600</v>
      </c>
      <c r="B836" s="1405">
        <v>41650</v>
      </c>
      <c r="C836" s="4809">
        <v>0</v>
      </c>
      <c r="D836" s="1406">
        <v>789</v>
      </c>
      <c r="E836" s="1406">
        <v>2378</v>
      </c>
      <c r="F836" s="1405">
        <v>3204</v>
      </c>
      <c r="G836" s="4809">
        <v>0</v>
      </c>
      <c r="H836" s="1406">
        <v>1837</v>
      </c>
      <c r="I836" s="1406">
        <v>3760</v>
      </c>
      <c r="J836" s="1405">
        <v>4585</v>
      </c>
      <c r="K836" s="1282"/>
      <c r="L836" s="1406">
        <f t="shared" ref="L836:L898" si="15">ROUND((A836+B836)/2,2)</f>
        <v>41625</v>
      </c>
    </row>
    <row r="837" spans="1:12" ht="13.5">
      <c r="A837" s="1406">
        <v>41650</v>
      </c>
      <c r="B837" s="1405">
        <v>41700</v>
      </c>
      <c r="C837" s="4809">
        <v>0</v>
      </c>
      <c r="D837" s="1406">
        <v>781</v>
      </c>
      <c r="E837" s="1406">
        <v>2368</v>
      </c>
      <c r="F837" s="1405">
        <v>3193</v>
      </c>
      <c r="G837" s="4809">
        <v>0</v>
      </c>
      <c r="H837" s="1406">
        <v>1829</v>
      </c>
      <c r="I837" s="1406">
        <v>3749</v>
      </c>
      <c r="J837" s="1405">
        <v>4575</v>
      </c>
      <c r="K837" s="1282"/>
      <c r="L837" s="1406">
        <f t="shared" si="15"/>
        <v>41675</v>
      </c>
    </row>
    <row r="838" spans="1:12" ht="13.5">
      <c r="A838" s="1406">
        <v>41700</v>
      </c>
      <c r="B838" s="1405">
        <v>41750</v>
      </c>
      <c r="C838" s="4809">
        <v>0</v>
      </c>
      <c r="D838" s="1406">
        <v>773</v>
      </c>
      <c r="E838" s="1406">
        <v>2357</v>
      </c>
      <c r="F838" s="1405">
        <v>3183</v>
      </c>
      <c r="G838" s="4809">
        <v>0</v>
      </c>
      <c r="H838" s="1406">
        <v>1821</v>
      </c>
      <c r="I838" s="1406">
        <v>3739</v>
      </c>
      <c r="J838" s="1405">
        <v>4564</v>
      </c>
      <c r="K838" s="1282"/>
      <c r="L838" s="1406">
        <f t="shared" si="15"/>
        <v>41725</v>
      </c>
    </row>
    <row r="839" spans="1:12" ht="13.5">
      <c r="A839" s="1406">
        <v>41750</v>
      </c>
      <c r="B839" s="1405">
        <v>41800</v>
      </c>
      <c r="C839" s="4809">
        <v>0</v>
      </c>
      <c r="D839" s="1406">
        <v>765</v>
      </c>
      <c r="E839" s="1406">
        <v>2347</v>
      </c>
      <c r="F839" s="1405">
        <v>3172</v>
      </c>
      <c r="G839" s="4809">
        <v>0</v>
      </c>
      <c r="H839" s="1406">
        <v>1813</v>
      </c>
      <c r="I839" s="1406">
        <v>3728</v>
      </c>
      <c r="J839" s="1405">
        <v>4554</v>
      </c>
      <c r="K839" s="1282"/>
      <c r="L839" s="1406">
        <f t="shared" si="15"/>
        <v>41775</v>
      </c>
    </row>
    <row r="840" spans="1:12" ht="13.5">
      <c r="A840" s="1406">
        <v>41800</v>
      </c>
      <c r="B840" s="1405">
        <v>41850</v>
      </c>
      <c r="C840" s="4809">
        <v>0</v>
      </c>
      <c r="D840" s="1406">
        <v>757</v>
      </c>
      <c r="E840" s="1406">
        <v>2336</v>
      </c>
      <c r="F840" s="1405">
        <v>3162</v>
      </c>
      <c r="G840" s="4809">
        <v>0</v>
      </c>
      <c r="H840" s="1406">
        <v>1805</v>
      </c>
      <c r="I840" s="1406">
        <v>3718</v>
      </c>
      <c r="J840" s="1405">
        <v>4543</v>
      </c>
      <c r="K840" s="1282"/>
      <c r="L840" s="1406">
        <f t="shared" si="15"/>
        <v>41825</v>
      </c>
    </row>
    <row r="841" spans="1:12" ht="13.5">
      <c r="A841" s="1406">
        <v>41850</v>
      </c>
      <c r="B841" s="1405">
        <v>41900</v>
      </c>
      <c r="C841" s="4809">
        <v>0</v>
      </c>
      <c r="D841" s="1406">
        <v>749</v>
      </c>
      <c r="E841" s="1406">
        <v>2326</v>
      </c>
      <c r="F841" s="1405">
        <v>3151</v>
      </c>
      <c r="G841" s="4809">
        <v>0</v>
      </c>
      <c r="H841" s="1406">
        <v>1797</v>
      </c>
      <c r="I841" s="1406">
        <v>3707</v>
      </c>
      <c r="J841" s="1405">
        <v>4533</v>
      </c>
      <c r="K841" s="1282"/>
      <c r="L841" s="1406">
        <f t="shared" si="15"/>
        <v>41875</v>
      </c>
    </row>
    <row r="842" spans="1:12" ht="13.5">
      <c r="A842" s="1406">
        <v>41900</v>
      </c>
      <c r="B842" s="1405">
        <v>41950</v>
      </c>
      <c r="C842" s="4809">
        <v>0</v>
      </c>
      <c r="D842" s="1406">
        <v>741</v>
      </c>
      <c r="E842" s="1406">
        <v>2315</v>
      </c>
      <c r="F842" s="1405">
        <v>3141</v>
      </c>
      <c r="G842" s="4809">
        <v>0</v>
      </c>
      <c r="H842" s="1406">
        <v>1789</v>
      </c>
      <c r="I842" s="1406">
        <v>3697</v>
      </c>
      <c r="J842" s="1405">
        <v>4522</v>
      </c>
      <c r="K842" s="1282"/>
      <c r="L842" s="1406">
        <f t="shared" si="15"/>
        <v>41925</v>
      </c>
    </row>
    <row r="843" spans="1:12" ht="13.5">
      <c r="A843" s="1406">
        <v>41950</v>
      </c>
      <c r="B843" s="1405">
        <v>42000</v>
      </c>
      <c r="C843" s="4809">
        <v>0</v>
      </c>
      <c r="D843" s="1406">
        <v>733</v>
      </c>
      <c r="E843" s="1406">
        <v>2305</v>
      </c>
      <c r="F843" s="1405">
        <v>3130</v>
      </c>
      <c r="G843" s="4809">
        <v>0</v>
      </c>
      <c r="H843" s="1406">
        <v>1781</v>
      </c>
      <c r="I843" s="1406">
        <v>3686</v>
      </c>
      <c r="J843" s="1405">
        <v>4512</v>
      </c>
      <c r="K843" s="1282"/>
      <c r="L843" s="1406">
        <f t="shared" si="15"/>
        <v>41975</v>
      </c>
    </row>
    <row r="844" spans="1:12" ht="13.5">
      <c r="A844" s="1406">
        <v>42000</v>
      </c>
      <c r="B844" s="1405">
        <v>42050</v>
      </c>
      <c r="C844" s="4809">
        <v>0</v>
      </c>
      <c r="D844" s="1406">
        <v>725</v>
      </c>
      <c r="E844" s="1406">
        <v>2294</v>
      </c>
      <c r="F844" s="1405">
        <v>3120</v>
      </c>
      <c r="G844" s="4809">
        <v>0</v>
      </c>
      <c r="H844" s="1406">
        <v>1773</v>
      </c>
      <c r="I844" s="1406">
        <v>3676</v>
      </c>
      <c r="J844" s="1405">
        <v>4501</v>
      </c>
      <c r="K844" s="1282"/>
      <c r="L844" s="1406">
        <f t="shared" si="15"/>
        <v>42025</v>
      </c>
    </row>
    <row r="845" spans="1:12" ht="13.5">
      <c r="A845" s="1406">
        <v>42050</v>
      </c>
      <c r="B845" s="1405">
        <v>42100</v>
      </c>
      <c r="C845" s="4809">
        <v>0</v>
      </c>
      <c r="D845" s="1406">
        <v>717</v>
      </c>
      <c r="E845" s="1406">
        <v>2284</v>
      </c>
      <c r="F845" s="1405">
        <v>3109</v>
      </c>
      <c r="G845" s="4809">
        <v>0</v>
      </c>
      <c r="H845" s="1406">
        <v>1765</v>
      </c>
      <c r="I845" s="1406">
        <v>3665</v>
      </c>
      <c r="J845" s="1405">
        <v>4491</v>
      </c>
      <c r="K845" s="1282"/>
      <c r="L845" s="1406">
        <f t="shared" si="15"/>
        <v>42075</v>
      </c>
    </row>
    <row r="846" spans="1:12" ht="13.5">
      <c r="A846" s="1406">
        <v>42100</v>
      </c>
      <c r="B846" s="1405">
        <v>42150</v>
      </c>
      <c r="C846" s="4809">
        <v>0</v>
      </c>
      <c r="D846" s="1406">
        <v>709</v>
      </c>
      <c r="E846" s="1406">
        <v>2273</v>
      </c>
      <c r="F846" s="1405">
        <v>3099</v>
      </c>
      <c r="G846" s="4809">
        <v>0</v>
      </c>
      <c r="H846" s="1406">
        <v>1757</v>
      </c>
      <c r="I846" s="1406">
        <v>3655</v>
      </c>
      <c r="J846" s="1405">
        <v>4480</v>
      </c>
      <c r="K846" s="1282"/>
      <c r="L846" s="1406">
        <f t="shared" si="15"/>
        <v>42125</v>
      </c>
    </row>
    <row r="847" spans="1:12" ht="13.5">
      <c r="A847" s="1406">
        <v>42150</v>
      </c>
      <c r="B847" s="1405">
        <v>42200</v>
      </c>
      <c r="C847" s="4809">
        <v>0</v>
      </c>
      <c r="D847" s="1406">
        <v>701</v>
      </c>
      <c r="E847" s="1406">
        <v>2262</v>
      </c>
      <c r="F847" s="1405">
        <v>3088</v>
      </c>
      <c r="G847" s="4809">
        <v>0</v>
      </c>
      <c r="H847" s="1406">
        <v>1749</v>
      </c>
      <c r="I847" s="1406">
        <v>3644</v>
      </c>
      <c r="J847" s="1405">
        <v>4470</v>
      </c>
      <c r="K847" s="1282"/>
      <c r="L847" s="1406">
        <f t="shared" si="15"/>
        <v>42175</v>
      </c>
    </row>
    <row r="848" spans="1:12" ht="13.5">
      <c r="A848" s="1406">
        <v>42200</v>
      </c>
      <c r="B848" s="1405">
        <v>42250</v>
      </c>
      <c r="C848" s="4809">
        <v>0</v>
      </c>
      <c r="D848" s="1406">
        <v>693</v>
      </c>
      <c r="E848" s="1406">
        <v>2252</v>
      </c>
      <c r="F848" s="1405">
        <v>3077</v>
      </c>
      <c r="G848" s="4809">
        <v>0</v>
      </c>
      <c r="H848" s="1406">
        <v>1741</v>
      </c>
      <c r="I848" s="1406">
        <v>3633</v>
      </c>
      <c r="J848" s="1405">
        <v>4459</v>
      </c>
      <c r="K848" s="1282"/>
      <c r="L848" s="1406">
        <f t="shared" si="15"/>
        <v>42225</v>
      </c>
    </row>
    <row r="849" spans="1:12" ht="13.5">
      <c r="A849" s="1406">
        <v>42250</v>
      </c>
      <c r="B849" s="1405">
        <v>42300</v>
      </c>
      <c r="C849" s="4809">
        <v>0</v>
      </c>
      <c r="D849" s="1406">
        <v>685</v>
      </c>
      <c r="E849" s="1406">
        <v>2241</v>
      </c>
      <c r="F849" s="1405">
        <v>3067</v>
      </c>
      <c r="G849" s="4809">
        <v>0</v>
      </c>
      <c r="H849" s="1406">
        <v>1733</v>
      </c>
      <c r="I849" s="1406">
        <v>3623</v>
      </c>
      <c r="J849" s="1405">
        <v>4448</v>
      </c>
      <c r="K849" s="1282"/>
      <c r="L849" s="1406">
        <f t="shared" si="15"/>
        <v>42275</v>
      </c>
    </row>
    <row r="850" spans="1:12" ht="13.5">
      <c r="A850" s="1406">
        <v>42300</v>
      </c>
      <c r="B850" s="1405">
        <v>42350</v>
      </c>
      <c r="C850" s="4809">
        <v>0</v>
      </c>
      <c r="D850" s="1406">
        <v>677</v>
      </c>
      <c r="E850" s="1406">
        <v>2231</v>
      </c>
      <c r="F850" s="1405">
        <v>3056</v>
      </c>
      <c r="G850" s="4809">
        <v>0</v>
      </c>
      <c r="H850" s="1406">
        <v>1725</v>
      </c>
      <c r="I850" s="1406">
        <v>3612</v>
      </c>
      <c r="J850" s="1405">
        <v>4438</v>
      </c>
      <c r="K850" s="1282"/>
      <c r="L850" s="1406">
        <f t="shared" si="15"/>
        <v>42325</v>
      </c>
    </row>
    <row r="851" spans="1:12" ht="13.5">
      <c r="A851" s="1406">
        <v>42350</v>
      </c>
      <c r="B851" s="1405">
        <v>42400</v>
      </c>
      <c r="C851" s="4809">
        <v>0</v>
      </c>
      <c r="D851" s="1406">
        <v>669</v>
      </c>
      <c r="E851" s="1406">
        <v>2220</v>
      </c>
      <c r="F851" s="1405">
        <v>3046</v>
      </c>
      <c r="G851" s="4809">
        <v>0</v>
      </c>
      <c r="H851" s="1406">
        <v>1717</v>
      </c>
      <c r="I851" s="1406">
        <v>3602</v>
      </c>
      <c r="J851" s="1405">
        <v>4427</v>
      </c>
      <c r="K851" s="1282"/>
      <c r="L851" s="1406">
        <f t="shared" si="15"/>
        <v>42375</v>
      </c>
    </row>
    <row r="852" spans="1:12" ht="13.5">
      <c r="A852" s="1406">
        <v>42400</v>
      </c>
      <c r="B852" s="1405">
        <v>42450</v>
      </c>
      <c r="C852" s="4809">
        <v>0</v>
      </c>
      <c r="D852" s="1406">
        <v>661</v>
      </c>
      <c r="E852" s="1406">
        <v>2210</v>
      </c>
      <c r="F852" s="1405">
        <v>3035</v>
      </c>
      <c r="G852" s="4809">
        <v>0</v>
      </c>
      <c r="H852" s="1406">
        <v>1709</v>
      </c>
      <c r="I852" s="1406">
        <v>3591</v>
      </c>
      <c r="J852" s="1405">
        <v>4417</v>
      </c>
      <c r="K852" s="1282"/>
      <c r="L852" s="1406">
        <f t="shared" si="15"/>
        <v>42425</v>
      </c>
    </row>
    <row r="853" spans="1:12" ht="13.5">
      <c r="A853" s="1406">
        <v>42450</v>
      </c>
      <c r="B853" s="1405">
        <v>42500</v>
      </c>
      <c r="C853" s="4809">
        <v>0</v>
      </c>
      <c r="D853" s="1406">
        <v>653</v>
      </c>
      <c r="E853" s="1406">
        <v>2199</v>
      </c>
      <c r="F853" s="1405">
        <v>3025</v>
      </c>
      <c r="G853" s="4809">
        <v>0</v>
      </c>
      <c r="H853" s="1406">
        <v>1701</v>
      </c>
      <c r="I853" s="1406">
        <v>3581</v>
      </c>
      <c r="J853" s="1405">
        <v>4406</v>
      </c>
      <c r="K853" s="1282"/>
      <c r="L853" s="1406">
        <f t="shared" si="15"/>
        <v>42475</v>
      </c>
    </row>
    <row r="854" spans="1:12" ht="13.5">
      <c r="A854" s="1406">
        <v>42500</v>
      </c>
      <c r="B854" s="1405">
        <v>42550</v>
      </c>
      <c r="C854" s="4809">
        <v>0</v>
      </c>
      <c r="D854" s="1406">
        <v>645</v>
      </c>
      <c r="E854" s="1406">
        <v>2189</v>
      </c>
      <c r="F854" s="1405">
        <v>3014</v>
      </c>
      <c r="G854" s="4809">
        <v>0</v>
      </c>
      <c r="H854" s="1406">
        <v>1693</v>
      </c>
      <c r="I854" s="1406">
        <v>3570</v>
      </c>
      <c r="J854" s="1405">
        <v>4396</v>
      </c>
      <c r="K854" s="1282"/>
      <c r="L854" s="1406">
        <f t="shared" si="15"/>
        <v>42525</v>
      </c>
    </row>
    <row r="855" spans="1:12" ht="13.5">
      <c r="A855" s="1406">
        <v>42550</v>
      </c>
      <c r="B855" s="1405">
        <v>42600</v>
      </c>
      <c r="C855" s="4809">
        <v>0</v>
      </c>
      <c r="D855" s="1406">
        <v>637</v>
      </c>
      <c r="E855" s="1406">
        <v>2178</v>
      </c>
      <c r="F855" s="1405">
        <v>3004</v>
      </c>
      <c r="G855" s="4809">
        <v>0</v>
      </c>
      <c r="H855" s="1406">
        <v>1685</v>
      </c>
      <c r="I855" s="1406">
        <v>3560</v>
      </c>
      <c r="J855" s="1405">
        <v>4385</v>
      </c>
      <c r="K855" s="1282"/>
      <c r="L855" s="1406">
        <f t="shared" si="15"/>
        <v>42575</v>
      </c>
    </row>
    <row r="856" spans="1:12" ht="13.5">
      <c r="A856" s="1406">
        <v>42600</v>
      </c>
      <c r="B856" s="1405">
        <v>42650</v>
      </c>
      <c r="C856" s="4809">
        <v>0</v>
      </c>
      <c r="D856" s="1406">
        <v>629</v>
      </c>
      <c r="E856" s="1406">
        <v>2168</v>
      </c>
      <c r="F856" s="1405">
        <v>2993</v>
      </c>
      <c r="G856" s="4809">
        <v>0</v>
      </c>
      <c r="H856" s="1406">
        <v>1677</v>
      </c>
      <c r="I856" s="1406">
        <v>3549</v>
      </c>
      <c r="J856" s="1405">
        <v>4375</v>
      </c>
      <c r="K856" s="1282"/>
      <c r="L856" s="1406">
        <f t="shared" si="15"/>
        <v>42625</v>
      </c>
    </row>
    <row r="857" spans="1:12" ht="13.5">
      <c r="A857" s="1406">
        <v>42650</v>
      </c>
      <c r="B857" s="1405">
        <v>42700</v>
      </c>
      <c r="C857" s="4809">
        <v>0</v>
      </c>
      <c r="D857" s="1406">
        <v>621</v>
      </c>
      <c r="E857" s="1406">
        <v>2157</v>
      </c>
      <c r="F857" s="1405">
        <v>2983</v>
      </c>
      <c r="G857" s="4809">
        <v>0</v>
      </c>
      <c r="H857" s="1406">
        <v>1669</v>
      </c>
      <c r="I857" s="1406">
        <v>3539</v>
      </c>
      <c r="J857" s="1405">
        <v>4364</v>
      </c>
      <c r="K857" s="1282"/>
      <c r="L857" s="1406">
        <f t="shared" si="15"/>
        <v>42675</v>
      </c>
    </row>
    <row r="858" spans="1:12" ht="13.5">
      <c r="A858" s="1406">
        <v>42700</v>
      </c>
      <c r="B858" s="1405">
        <v>42750</v>
      </c>
      <c r="C858" s="4809">
        <v>0</v>
      </c>
      <c r="D858" s="1406">
        <v>613</v>
      </c>
      <c r="E858" s="1406">
        <v>2147</v>
      </c>
      <c r="F858" s="1405">
        <v>2972</v>
      </c>
      <c r="G858" s="4809">
        <v>0</v>
      </c>
      <c r="H858" s="1406">
        <v>1661</v>
      </c>
      <c r="I858" s="1406">
        <v>3528</v>
      </c>
      <c r="J858" s="1405">
        <v>4354</v>
      </c>
      <c r="K858" s="1282"/>
      <c r="L858" s="1406">
        <f t="shared" si="15"/>
        <v>42725</v>
      </c>
    </row>
    <row r="859" spans="1:12" ht="13.5">
      <c r="A859" s="1406">
        <v>42750</v>
      </c>
      <c r="B859" s="1405">
        <v>42800</v>
      </c>
      <c r="C859" s="4809">
        <v>0</v>
      </c>
      <c r="D859" s="1406">
        <v>605</v>
      </c>
      <c r="E859" s="1406">
        <v>2136</v>
      </c>
      <c r="F859" s="1405">
        <v>2962</v>
      </c>
      <c r="G859" s="4809">
        <v>0</v>
      </c>
      <c r="H859" s="1406">
        <v>1653</v>
      </c>
      <c r="I859" s="1406">
        <v>3518</v>
      </c>
      <c r="J859" s="1405">
        <v>4343</v>
      </c>
      <c r="K859" s="1282"/>
      <c r="L859" s="1406">
        <f t="shared" si="15"/>
        <v>42775</v>
      </c>
    </row>
    <row r="860" spans="1:12" ht="13.5">
      <c r="A860" s="1406">
        <v>42800</v>
      </c>
      <c r="B860" s="1405">
        <v>42850</v>
      </c>
      <c r="C860" s="4809">
        <v>0</v>
      </c>
      <c r="D860" s="1406">
        <v>597</v>
      </c>
      <c r="E860" s="1406">
        <v>2126</v>
      </c>
      <c r="F860" s="1405">
        <v>2951</v>
      </c>
      <c r="G860" s="4809">
        <v>0</v>
      </c>
      <c r="H860" s="1406">
        <v>1645</v>
      </c>
      <c r="I860" s="1406">
        <v>3507</v>
      </c>
      <c r="J860" s="1405">
        <v>4333</v>
      </c>
      <c r="K860" s="1282"/>
      <c r="L860" s="1406">
        <f t="shared" si="15"/>
        <v>42825</v>
      </c>
    </row>
    <row r="861" spans="1:12" ht="13.5">
      <c r="A861" s="1406">
        <v>42850</v>
      </c>
      <c r="B861" s="1405">
        <v>42900</v>
      </c>
      <c r="C861" s="4809">
        <v>0</v>
      </c>
      <c r="D861" s="1406">
        <v>589</v>
      </c>
      <c r="E861" s="1406">
        <v>2115</v>
      </c>
      <c r="F861" s="1405">
        <v>2941</v>
      </c>
      <c r="G861" s="4809">
        <v>0</v>
      </c>
      <c r="H861" s="1406">
        <v>1637</v>
      </c>
      <c r="I861" s="1406">
        <v>3497</v>
      </c>
      <c r="J861" s="1405">
        <v>4322</v>
      </c>
      <c r="K861" s="1282"/>
      <c r="L861" s="1406">
        <f t="shared" si="15"/>
        <v>42875</v>
      </c>
    </row>
    <row r="862" spans="1:12" ht="13.5">
      <c r="A862" s="1406">
        <v>42900</v>
      </c>
      <c r="B862" s="1405">
        <v>42950</v>
      </c>
      <c r="C862" s="4809">
        <v>0</v>
      </c>
      <c r="D862" s="1406">
        <v>581</v>
      </c>
      <c r="E862" s="1406">
        <v>2105</v>
      </c>
      <c r="F862" s="1405">
        <v>2930</v>
      </c>
      <c r="G862" s="4809">
        <v>0</v>
      </c>
      <c r="H862" s="1406">
        <v>1629</v>
      </c>
      <c r="I862" s="1406">
        <v>3486</v>
      </c>
      <c r="J862" s="1405">
        <v>4312</v>
      </c>
      <c r="K862" s="1282"/>
      <c r="L862" s="1406">
        <f t="shared" si="15"/>
        <v>42925</v>
      </c>
    </row>
    <row r="863" spans="1:12" ht="13.5">
      <c r="A863" s="1406">
        <v>42950</v>
      </c>
      <c r="B863" s="1405">
        <v>43000</v>
      </c>
      <c r="C863" s="4809">
        <v>0</v>
      </c>
      <c r="D863" s="1406">
        <v>573</v>
      </c>
      <c r="E863" s="1406">
        <v>2094</v>
      </c>
      <c r="F863" s="1405">
        <v>2920</v>
      </c>
      <c r="G863" s="4809">
        <v>0</v>
      </c>
      <c r="H863" s="1406">
        <v>1621</v>
      </c>
      <c r="I863" s="1406">
        <v>3476</v>
      </c>
      <c r="J863" s="1405">
        <v>4301</v>
      </c>
      <c r="K863" s="1282"/>
      <c r="L863" s="1406">
        <f t="shared" si="15"/>
        <v>42975</v>
      </c>
    </row>
    <row r="864" spans="1:12" ht="13.5">
      <c r="A864" s="1406">
        <v>43000</v>
      </c>
      <c r="B864" s="1405">
        <v>43050</v>
      </c>
      <c r="C864" s="4809">
        <v>0</v>
      </c>
      <c r="D864" s="1406">
        <v>565</v>
      </c>
      <c r="E864" s="1406">
        <v>2083</v>
      </c>
      <c r="F864" s="1405">
        <v>2909</v>
      </c>
      <c r="G864" s="4809">
        <v>0</v>
      </c>
      <c r="H864" s="1406">
        <v>1613</v>
      </c>
      <c r="I864" s="1406">
        <v>3465</v>
      </c>
      <c r="J864" s="1405">
        <v>4291</v>
      </c>
      <c r="K864" s="1282"/>
      <c r="L864" s="1406">
        <f t="shared" si="15"/>
        <v>43025</v>
      </c>
    </row>
    <row r="865" spans="1:12" ht="13.5">
      <c r="A865" s="1406">
        <v>43050</v>
      </c>
      <c r="B865" s="1405">
        <v>43100</v>
      </c>
      <c r="C865" s="4809">
        <v>0</v>
      </c>
      <c r="D865" s="1406">
        <v>557</v>
      </c>
      <c r="E865" s="1406">
        <v>2073</v>
      </c>
      <c r="F865" s="1405">
        <v>2898</v>
      </c>
      <c r="G865" s="4809">
        <v>0</v>
      </c>
      <c r="H865" s="1406">
        <v>1605</v>
      </c>
      <c r="I865" s="1406">
        <v>3454</v>
      </c>
      <c r="J865" s="1405">
        <v>4280</v>
      </c>
      <c r="K865" s="1282"/>
      <c r="L865" s="1406">
        <f t="shared" si="15"/>
        <v>43075</v>
      </c>
    </row>
    <row r="866" spans="1:12" ht="13.5">
      <c r="A866" s="1406">
        <v>43100</v>
      </c>
      <c r="B866" s="1405">
        <v>43150</v>
      </c>
      <c r="C866" s="4809">
        <v>0</v>
      </c>
      <c r="D866" s="1406">
        <v>549</v>
      </c>
      <c r="E866" s="1406">
        <v>2062</v>
      </c>
      <c r="F866" s="1405">
        <v>2888</v>
      </c>
      <c r="G866" s="4809">
        <v>0</v>
      </c>
      <c r="H866" s="1406">
        <v>1597</v>
      </c>
      <c r="I866" s="1406">
        <v>3444</v>
      </c>
      <c r="J866" s="1405">
        <v>4269</v>
      </c>
      <c r="K866" s="1282"/>
      <c r="L866" s="1406">
        <f t="shared" si="15"/>
        <v>43125</v>
      </c>
    </row>
    <row r="867" spans="1:12" ht="13.5">
      <c r="A867" s="1406">
        <v>43150</v>
      </c>
      <c r="B867" s="1405">
        <v>43200</v>
      </c>
      <c r="C867" s="4809">
        <v>0</v>
      </c>
      <c r="D867" s="1406">
        <v>541</v>
      </c>
      <c r="E867" s="1406">
        <v>2052</v>
      </c>
      <c r="F867" s="1405">
        <v>2877</v>
      </c>
      <c r="G867" s="4809">
        <v>0</v>
      </c>
      <c r="H867" s="1406">
        <v>1589</v>
      </c>
      <c r="I867" s="1406">
        <v>3433</v>
      </c>
      <c r="J867" s="1405">
        <v>4259</v>
      </c>
      <c r="K867" s="1282"/>
      <c r="L867" s="1406">
        <f t="shared" si="15"/>
        <v>43175</v>
      </c>
    </row>
    <row r="868" spans="1:12" ht="13.5">
      <c r="A868" s="1406">
        <v>43200</v>
      </c>
      <c r="B868" s="1405">
        <v>43250</v>
      </c>
      <c r="C868" s="4809">
        <v>0</v>
      </c>
      <c r="D868" s="1406">
        <v>533</v>
      </c>
      <c r="E868" s="1406">
        <v>2041</v>
      </c>
      <c r="F868" s="1405">
        <v>2867</v>
      </c>
      <c r="G868" s="4809">
        <v>0</v>
      </c>
      <c r="H868" s="1406">
        <v>1581</v>
      </c>
      <c r="I868" s="1406">
        <v>3423</v>
      </c>
      <c r="J868" s="1405">
        <v>4248</v>
      </c>
      <c r="K868" s="1282"/>
      <c r="L868" s="1406">
        <f t="shared" si="15"/>
        <v>43225</v>
      </c>
    </row>
    <row r="869" spans="1:12" ht="13.5">
      <c r="A869" s="1406">
        <v>43250</v>
      </c>
      <c r="B869" s="1405">
        <v>43300</v>
      </c>
      <c r="C869" s="4809">
        <v>0</v>
      </c>
      <c r="D869" s="1406">
        <v>525</v>
      </c>
      <c r="E869" s="1406">
        <v>2031</v>
      </c>
      <c r="F869" s="1405">
        <v>2856</v>
      </c>
      <c r="G869" s="4809">
        <v>0</v>
      </c>
      <c r="H869" s="1406">
        <v>1573</v>
      </c>
      <c r="I869" s="1406">
        <v>3412</v>
      </c>
      <c r="J869" s="1405">
        <v>4238</v>
      </c>
      <c r="K869" s="1282"/>
      <c r="L869" s="1406">
        <f t="shared" si="15"/>
        <v>43275</v>
      </c>
    </row>
    <row r="870" spans="1:12" ht="13.5">
      <c r="A870" s="1406">
        <v>43300</v>
      </c>
      <c r="B870" s="1405">
        <v>43350</v>
      </c>
      <c r="C870" s="4809">
        <v>0</v>
      </c>
      <c r="D870" s="1406">
        <v>517</v>
      </c>
      <c r="E870" s="1406">
        <v>2020</v>
      </c>
      <c r="F870" s="1405">
        <v>2846</v>
      </c>
      <c r="G870" s="4809">
        <v>0</v>
      </c>
      <c r="H870" s="1406">
        <v>1565</v>
      </c>
      <c r="I870" s="1406">
        <v>3402</v>
      </c>
      <c r="J870" s="1405">
        <v>4227</v>
      </c>
      <c r="K870" s="1282"/>
      <c r="L870" s="1406">
        <f t="shared" si="15"/>
        <v>43325</v>
      </c>
    </row>
    <row r="871" spans="1:12" ht="13.5">
      <c r="A871" s="1406">
        <v>43350</v>
      </c>
      <c r="B871" s="1405">
        <v>43400</v>
      </c>
      <c r="C871" s="4809">
        <v>0</v>
      </c>
      <c r="D871" s="1406">
        <v>509</v>
      </c>
      <c r="E871" s="1406">
        <v>2010</v>
      </c>
      <c r="F871" s="1405">
        <v>2835</v>
      </c>
      <c r="G871" s="4809">
        <v>0</v>
      </c>
      <c r="H871" s="1406">
        <v>1557</v>
      </c>
      <c r="I871" s="1406">
        <v>3391</v>
      </c>
      <c r="J871" s="1405">
        <v>4217</v>
      </c>
      <c r="K871" s="1282"/>
      <c r="L871" s="1406">
        <f t="shared" si="15"/>
        <v>43375</v>
      </c>
    </row>
    <row r="872" spans="1:12" ht="13.5">
      <c r="A872" s="1406">
        <v>43400</v>
      </c>
      <c r="B872" s="1405">
        <v>43450</v>
      </c>
      <c r="C872" s="4809">
        <v>0</v>
      </c>
      <c r="D872" s="1406">
        <v>501</v>
      </c>
      <c r="E872" s="1406">
        <v>1999</v>
      </c>
      <c r="F872" s="1405">
        <v>2825</v>
      </c>
      <c r="G872" s="4809">
        <v>0</v>
      </c>
      <c r="H872" s="1406">
        <v>1549</v>
      </c>
      <c r="I872" s="1406">
        <v>3381</v>
      </c>
      <c r="J872" s="1405">
        <v>4206</v>
      </c>
      <c r="K872" s="1282"/>
      <c r="L872" s="1406">
        <f t="shared" si="15"/>
        <v>43425</v>
      </c>
    </row>
    <row r="873" spans="1:12" ht="13.5">
      <c r="A873" s="1406">
        <v>43450</v>
      </c>
      <c r="B873" s="1405">
        <v>43500</v>
      </c>
      <c r="C873" s="4809">
        <v>0</v>
      </c>
      <c r="D873" s="1406">
        <v>493</v>
      </c>
      <c r="E873" s="1406">
        <v>1989</v>
      </c>
      <c r="F873" s="1405">
        <v>2814</v>
      </c>
      <c r="G873" s="4809">
        <v>0</v>
      </c>
      <c r="H873" s="1406">
        <v>1541</v>
      </c>
      <c r="I873" s="1406">
        <v>3370</v>
      </c>
      <c r="J873" s="1405">
        <v>4196</v>
      </c>
      <c r="K873" s="1282"/>
      <c r="L873" s="1406">
        <f t="shared" si="15"/>
        <v>43475</v>
      </c>
    </row>
    <row r="874" spans="1:12" ht="13.5">
      <c r="A874" s="1406">
        <v>43500</v>
      </c>
      <c r="B874" s="1405">
        <v>43550</v>
      </c>
      <c r="C874" s="4809">
        <v>0</v>
      </c>
      <c r="D874" s="1406">
        <v>485</v>
      </c>
      <c r="E874" s="1406">
        <v>1978</v>
      </c>
      <c r="F874" s="1405">
        <v>2804</v>
      </c>
      <c r="G874" s="4809">
        <v>0</v>
      </c>
      <c r="H874" s="1406">
        <v>1533</v>
      </c>
      <c r="I874" s="1406">
        <v>3360</v>
      </c>
      <c r="J874" s="1405">
        <v>4185</v>
      </c>
      <c r="K874" s="1282"/>
      <c r="L874" s="1406">
        <f t="shared" si="15"/>
        <v>43525</v>
      </c>
    </row>
    <row r="875" spans="1:12" ht="13.5">
      <c r="A875" s="1406">
        <v>43550</v>
      </c>
      <c r="B875" s="1405">
        <v>43600</v>
      </c>
      <c r="C875" s="4809">
        <v>0</v>
      </c>
      <c r="D875" s="1406">
        <v>477</v>
      </c>
      <c r="E875" s="1406">
        <v>1968</v>
      </c>
      <c r="F875" s="1405">
        <v>2793</v>
      </c>
      <c r="G875" s="4809">
        <v>0</v>
      </c>
      <c r="H875" s="1406">
        <v>1525</v>
      </c>
      <c r="I875" s="1406">
        <v>3349</v>
      </c>
      <c r="J875" s="1405">
        <v>4175</v>
      </c>
      <c r="K875" s="1282"/>
      <c r="L875" s="1406">
        <f t="shared" si="15"/>
        <v>43575</v>
      </c>
    </row>
    <row r="876" spans="1:12" ht="13.5">
      <c r="A876" s="1406">
        <v>43600</v>
      </c>
      <c r="B876" s="1405">
        <v>43650</v>
      </c>
      <c r="C876" s="4809">
        <v>0</v>
      </c>
      <c r="D876" s="1406">
        <v>469</v>
      </c>
      <c r="E876" s="1406">
        <v>1957</v>
      </c>
      <c r="F876" s="1405">
        <v>2783</v>
      </c>
      <c r="G876" s="4809">
        <v>0</v>
      </c>
      <c r="H876" s="1406">
        <v>1517</v>
      </c>
      <c r="I876" s="1406">
        <v>3339</v>
      </c>
      <c r="J876" s="1405">
        <v>4164</v>
      </c>
      <c r="K876" s="1282"/>
      <c r="L876" s="1406">
        <f t="shared" si="15"/>
        <v>43625</v>
      </c>
    </row>
    <row r="877" spans="1:12" ht="13.5">
      <c r="A877" s="1406">
        <v>43650</v>
      </c>
      <c r="B877" s="1405">
        <v>43700</v>
      </c>
      <c r="C877" s="4809">
        <v>0</v>
      </c>
      <c r="D877" s="1406">
        <v>461</v>
      </c>
      <c r="E877" s="1406">
        <v>1947</v>
      </c>
      <c r="F877" s="1405">
        <v>2772</v>
      </c>
      <c r="G877" s="4809">
        <v>0</v>
      </c>
      <c r="H877" s="1406">
        <v>1509</v>
      </c>
      <c r="I877" s="1406">
        <v>3328</v>
      </c>
      <c r="J877" s="1405">
        <v>4154</v>
      </c>
      <c r="K877" s="1282"/>
      <c r="L877" s="1406">
        <f t="shared" si="15"/>
        <v>43675</v>
      </c>
    </row>
    <row r="878" spans="1:12" ht="13.5">
      <c r="A878" s="1406">
        <v>43700</v>
      </c>
      <c r="B878" s="1405">
        <v>43750</v>
      </c>
      <c r="C878" s="4809">
        <v>0</v>
      </c>
      <c r="D878" s="1406">
        <v>453</v>
      </c>
      <c r="E878" s="1406">
        <v>1936</v>
      </c>
      <c r="F878" s="1405">
        <v>2762</v>
      </c>
      <c r="G878" s="4809">
        <v>0</v>
      </c>
      <c r="H878" s="1406">
        <v>1501</v>
      </c>
      <c r="I878" s="1406">
        <v>3318</v>
      </c>
      <c r="J878" s="1405">
        <v>4143</v>
      </c>
      <c r="K878" s="1282"/>
      <c r="L878" s="1406">
        <f t="shared" si="15"/>
        <v>43725</v>
      </c>
    </row>
    <row r="879" spans="1:12" ht="13.5">
      <c r="A879" s="1406">
        <v>43750</v>
      </c>
      <c r="B879" s="1405">
        <v>43800</v>
      </c>
      <c r="C879" s="4809">
        <v>0</v>
      </c>
      <c r="D879" s="1406">
        <v>445</v>
      </c>
      <c r="E879" s="1406">
        <v>1926</v>
      </c>
      <c r="F879" s="1405">
        <v>2751</v>
      </c>
      <c r="G879" s="4809">
        <v>0</v>
      </c>
      <c r="H879" s="1406">
        <v>1493</v>
      </c>
      <c r="I879" s="1406">
        <v>3307</v>
      </c>
      <c r="J879" s="1405">
        <v>4133</v>
      </c>
      <c r="K879" s="1282"/>
      <c r="L879" s="1406">
        <f t="shared" si="15"/>
        <v>43775</v>
      </c>
    </row>
    <row r="880" spans="1:12" ht="13.5">
      <c r="A880" s="1406">
        <v>43800</v>
      </c>
      <c r="B880" s="1405">
        <v>43850</v>
      </c>
      <c r="C880" s="4809">
        <v>0</v>
      </c>
      <c r="D880" s="1406">
        <v>437</v>
      </c>
      <c r="E880" s="1406">
        <v>1915</v>
      </c>
      <c r="F880" s="1405">
        <v>2740</v>
      </c>
      <c r="G880" s="4809">
        <v>0</v>
      </c>
      <c r="H880" s="1406">
        <v>1485</v>
      </c>
      <c r="I880" s="1406">
        <v>3297</v>
      </c>
      <c r="J880" s="1405">
        <v>4122</v>
      </c>
      <c r="K880" s="1282"/>
      <c r="L880" s="1406">
        <f t="shared" si="15"/>
        <v>43825</v>
      </c>
    </row>
    <row r="881" spans="1:12" ht="13.5">
      <c r="A881" s="1406">
        <v>43850</v>
      </c>
      <c r="B881" s="1405">
        <v>43900</v>
      </c>
      <c r="C881" s="4809">
        <v>0</v>
      </c>
      <c r="D881" s="1406">
        <v>429</v>
      </c>
      <c r="E881" s="1406">
        <v>1904</v>
      </c>
      <c r="F881" s="1405">
        <v>2730</v>
      </c>
      <c r="G881" s="4809">
        <v>0</v>
      </c>
      <c r="H881" s="1406">
        <v>1477</v>
      </c>
      <c r="I881" s="1406">
        <v>3286</v>
      </c>
      <c r="J881" s="1405">
        <v>4111</v>
      </c>
      <c r="K881" s="1282"/>
      <c r="L881" s="1406">
        <f t="shared" si="15"/>
        <v>43875</v>
      </c>
    </row>
    <row r="882" spans="1:12" ht="13.5">
      <c r="A882" s="1406">
        <v>43900</v>
      </c>
      <c r="B882" s="1405">
        <v>43950</v>
      </c>
      <c r="C882" s="4809">
        <v>0</v>
      </c>
      <c r="D882" s="1406">
        <v>421</v>
      </c>
      <c r="E882" s="1406">
        <v>1894</v>
      </c>
      <c r="F882" s="1405">
        <v>2719</v>
      </c>
      <c r="G882" s="4809">
        <v>0</v>
      </c>
      <c r="H882" s="1406">
        <v>1469</v>
      </c>
      <c r="I882" s="1406">
        <v>3275</v>
      </c>
      <c r="J882" s="1405">
        <v>4101</v>
      </c>
      <c r="K882" s="1282"/>
      <c r="L882" s="1406">
        <f t="shared" si="15"/>
        <v>43925</v>
      </c>
    </row>
    <row r="883" spans="1:12" ht="13.5">
      <c r="A883" s="1406">
        <v>43950</v>
      </c>
      <c r="B883" s="1405">
        <v>44000</v>
      </c>
      <c r="C883" s="4809">
        <v>0</v>
      </c>
      <c r="D883" s="1406">
        <v>413</v>
      </c>
      <c r="E883" s="1406">
        <v>1883</v>
      </c>
      <c r="F883" s="1405">
        <v>2709</v>
      </c>
      <c r="G883" s="4809">
        <v>0</v>
      </c>
      <c r="H883" s="1406">
        <v>1461</v>
      </c>
      <c r="I883" s="1406">
        <v>3265</v>
      </c>
      <c r="J883" s="1405">
        <v>4090</v>
      </c>
      <c r="K883" s="1282"/>
      <c r="L883" s="1406">
        <f t="shared" si="15"/>
        <v>43975</v>
      </c>
    </row>
    <row r="884" spans="1:12" ht="13.5">
      <c r="A884" s="1406">
        <v>44000</v>
      </c>
      <c r="B884" s="1405">
        <v>44050</v>
      </c>
      <c r="C884" s="4809">
        <v>0</v>
      </c>
      <c r="D884" s="1406">
        <v>405</v>
      </c>
      <c r="E884" s="1406">
        <v>1873</v>
      </c>
      <c r="F884" s="1405">
        <v>2698</v>
      </c>
      <c r="G884" s="4809">
        <v>0</v>
      </c>
      <c r="H884" s="1406">
        <v>1453</v>
      </c>
      <c r="I884" s="1406">
        <v>3254</v>
      </c>
      <c r="J884" s="1405">
        <v>4080</v>
      </c>
      <c r="K884" s="1282"/>
      <c r="L884" s="1406">
        <f t="shared" si="15"/>
        <v>44025</v>
      </c>
    </row>
    <row r="885" spans="1:12" ht="13.5">
      <c r="A885" s="1406">
        <v>44050</v>
      </c>
      <c r="B885" s="1405">
        <v>44100</v>
      </c>
      <c r="C885" s="4809">
        <v>0</v>
      </c>
      <c r="D885" s="1406">
        <v>397</v>
      </c>
      <c r="E885" s="1406">
        <v>1862</v>
      </c>
      <c r="F885" s="1405">
        <v>2688</v>
      </c>
      <c r="G885" s="4809">
        <v>0</v>
      </c>
      <c r="H885" s="1406">
        <v>1445</v>
      </c>
      <c r="I885" s="1406">
        <v>3244</v>
      </c>
      <c r="J885" s="1405">
        <v>4069</v>
      </c>
      <c r="K885" s="1282"/>
      <c r="L885" s="1406">
        <f t="shared" si="15"/>
        <v>44075</v>
      </c>
    </row>
    <row r="886" spans="1:12" ht="13.5">
      <c r="A886" s="1406">
        <v>44100</v>
      </c>
      <c r="B886" s="1405">
        <v>44150</v>
      </c>
      <c r="C886" s="4809">
        <v>0</v>
      </c>
      <c r="D886" s="1406">
        <v>389</v>
      </c>
      <c r="E886" s="1406">
        <v>1852</v>
      </c>
      <c r="F886" s="1405">
        <v>2677</v>
      </c>
      <c r="G886" s="4809">
        <v>0</v>
      </c>
      <c r="H886" s="1406">
        <v>1437</v>
      </c>
      <c r="I886" s="1406">
        <v>3233</v>
      </c>
      <c r="J886" s="1405">
        <v>4059</v>
      </c>
      <c r="K886" s="1282"/>
      <c r="L886" s="1406">
        <f t="shared" si="15"/>
        <v>44125</v>
      </c>
    </row>
    <row r="887" spans="1:12" ht="13.5">
      <c r="A887" s="1406">
        <v>44150</v>
      </c>
      <c r="B887" s="1405">
        <v>44200</v>
      </c>
      <c r="C887" s="4809">
        <v>0</v>
      </c>
      <c r="D887" s="1406">
        <v>381</v>
      </c>
      <c r="E887" s="1406">
        <v>1841</v>
      </c>
      <c r="F887" s="1405">
        <v>2667</v>
      </c>
      <c r="G887" s="4809">
        <v>0</v>
      </c>
      <c r="H887" s="1406">
        <v>1429</v>
      </c>
      <c r="I887" s="1406">
        <v>3223</v>
      </c>
      <c r="J887" s="1405">
        <v>4048</v>
      </c>
      <c r="K887" s="1282"/>
      <c r="L887" s="1406">
        <f t="shared" si="15"/>
        <v>44175</v>
      </c>
    </row>
    <row r="888" spans="1:12" ht="13.5">
      <c r="A888" s="1406">
        <v>44200</v>
      </c>
      <c r="B888" s="1405">
        <v>44250</v>
      </c>
      <c r="C888" s="4809">
        <v>0</v>
      </c>
      <c r="D888" s="1406">
        <v>373</v>
      </c>
      <c r="E888" s="1406">
        <v>1831</v>
      </c>
      <c r="F888" s="1405">
        <v>2656</v>
      </c>
      <c r="G888" s="4809">
        <v>0</v>
      </c>
      <c r="H888" s="1406">
        <v>1421</v>
      </c>
      <c r="I888" s="1406">
        <v>3212</v>
      </c>
      <c r="J888" s="1405">
        <v>4038</v>
      </c>
      <c r="K888" s="1282"/>
      <c r="L888" s="1406">
        <f t="shared" si="15"/>
        <v>44225</v>
      </c>
    </row>
    <row r="889" spans="1:12" ht="13.5">
      <c r="A889" s="1406">
        <v>44250</v>
      </c>
      <c r="B889" s="1405">
        <v>44300</v>
      </c>
      <c r="C889" s="4809">
        <v>0</v>
      </c>
      <c r="D889" s="1406">
        <v>365</v>
      </c>
      <c r="E889" s="1406">
        <v>1820</v>
      </c>
      <c r="F889" s="1405">
        <v>2646</v>
      </c>
      <c r="G889" s="4809">
        <v>0</v>
      </c>
      <c r="H889" s="1406">
        <v>1413</v>
      </c>
      <c r="I889" s="1406">
        <v>3202</v>
      </c>
      <c r="J889" s="1405">
        <v>4027</v>
      </c>
      <c r="K889" s="1282"/>
      <c r="L889" s="1406">
        <f t="shared" si="15"/>
        <v>44275</v>
      </c>
    </row>
    <row r="890" spans="1:12" ht="13.5">
      <c r="A890" s="1406">
        <v>44300</v>
      </c>
      <c r="B890" s="1405">
        <v>44350</v>
      </c>
      <c r="C890" s="4809">
        <v>0</v>
      </c>
      <c r="D890" s="1406">
        <v>357</v>
      </c>
      <c r="E890" s="1406">
        <v>1810</v>
      </c>
      <c r="F890" s="1405">
        <v>2635</v>
      </c>
      <c r="G890" s="4809">
        <v>0</v>
      </c>
      <c r="H890" s="1406">
        <v>1405</v>
      </c>
      <c r="I890" s="1406">
        <v>3191</v>
      </c>
      <c r="J890" s="1405">
        <v>4017</v>
      </c>
      <c r="K890" s="1282"/>
      <c r="L890" s="1406">
        <f t="shared" si="15"/>
        <v>44325</v>
      </c>
    </row>
    <row r="891" spans="1:12" ht="13.5">
      <c r="A891" s="1406">
        <v>44350</v>
      </c>
      <c r="B891" s="1405">
        <v>44400</v>
      </c>
      <c r="C891" s="4809">
        <v>0</v>
      </c>
      <c r="D891" s="1406">
        <v>349</v>
      </c>
      <c r="E891" s="1406">
        <v>1799</v>
      </c>
      <c r="F891" s="1405">
        <v>2625</v>
      </c>
      <c r="G891" s="4809">
        <v>0</v>
      </c>
      <c r="H891" s="1406">
        <v>1397</v>
      </c>
      <c r="I891" s="1406">
        <v>3181</v>
      </c>
      <c r="J891" s="1405">
        <v>4006</v>
      </c>
      <c r="K891" s="1282"/>
      <c r="L891" s="1406">
        <f t="shared" si="15"/>
        <v>44375</v>
      </c>
    </row>
    <row r="892" spans="1:12" ht="13.5">
      <c r="A892" s="1406">
        <v>44400</v>
      </c>
      <c r="B892" s="1405">
        <v>44450</v>
      </c>
      <c r="C892" s="4809">
        <v>0</v>
      </c>
      <c r="D892" s="1406">
        <v>341</v>
      </c>
      <c r="E892" s="1406">
        <v>1789</v>
      </c>
      <c r="F892" s="1405">
        <v>2614</v>
      </c>
      <c r="G892" s="4809">
        <v>0</v>
      </c>
      <c r="H892" s="1406">
        <v>1389</v>
      </c>
      <c r="I892" s="1406">
        <v>3170</v>
      </c>
      <c r="J892" s="1405">
        <v>3996</v>
      </c>
      <c r="K892" s="1282"/>
      <c r="L892" s="1406">
        <f t="shared" si="15"/>
        <v>44425</v>
      </c>
    </row>
    <row r="893" spans="1:12" ht="13.5">
      <c r="A893" s="1406">
        <v>44450</v>
      </c>
      <c r="B893" s="1405">
        <v>44500</v>
      </c>
      <c r="C893" s="4809">
        <v>0</v>
      </c>
      <c r="D893" s="1406">
        <v>333</v>
      </c>
      <c r="E893" s="1406">
        <v>1778</v>
      </c>
      <c r="F893" s="1405">
        <v>2604</v>
      </c>
      <c r="G893" s="4809">
        <v>0</v>
      </c>
      <c r="H893" s="1406">
        <v>1381</v>
      </c>
      <c r="I893" s="1406">
        <v>3160</v>
      </c>
      <c r="J893" s="1405">
        <v>3985</v>
      </c>
      <c r="K893" s="1282"/>
      <c r="L893" s="1406">
        <f t="shared" si="15"/>
        <v>44475</v>
      </c>
    </row>
    <row r="894" spans="1:12" ht="13.5">
      <c r="A894" s="1406">
        <v>44500</v>
      </c>
      <c r="B894" s="1405">
        <v>44550</v>
      </c>
      <c r="C894" s="4809">
        <v>0</v>
      </c>
      <c r="D894" s="1406">
        <v>325</v>
      </c>
      <c r="E894" s="1406">
        <v>1768</v>
      </c>
      <c r="F894" s="1405">
        <v>2593</v>
      </c>
      <c r="G894" s="4809">
        <v>0</v>
      </c>
      <c r="H894" s="1406">
        <v>1373</v>
      </c>
      <c r="I894" s="1406">
        <v>3149</v>
      </c>
      <c r="J894" s="1405">
        <v>3975</v>
      </c>
      <c r="K894" s="1282"/>
      <c r="L894" s="1406">
        <f t="shared" si="15"/>
        <v>44525</v>
      </c>
    </row>
    <row r="895" spans="1:12" ht="13.5">
      <c r="A895" s="1406">
        <v>44550</v>
      </c>
      <c r="B895" s="1405">
        <v>44600</v>
      </c>
      <c r="C895" s="4809">
        <v>0</v>
      </c>
      <c r="D895" s="1406">
        <v>317</v>
      </c>
      <c r="E895" s="1406">
        <v>1757</v>
      </c>
      <c r="F895" s="1405">
        <v>2583</v>
      </c>
      <c r="G895" s="4809">
        <v>0</v>
      </c>
      <c r="H895" s="1406">
        <v>1365</v>
      </c>
      <c r="I895" s="1406">
        <v>3139</v>
      </c>
      <c r="J895" s="1405">
        <v>3964</v>
      </c>
      <c r="K895" s="1282"/>
      <c r="L895" s="1406">
        <f t="shared" si="15"/>
        <v>44575</v>
      </c>
    </row>
    <row r="896" spans="1:12" ht="13.5">
      <c r="A896" s="1406">
        <v>44600</v>
      </c>
      <c r="B896" s="1405">
        <v>44650</v>
      </c>
      <c r="C896" s="4809">
        <v>0</v>
      </c>
      <c r="D896" s="1406">
        <v>309</v>
      </c>
      <c r="E896" s="1406">
        <v>1747</v>
      </c>
      <c r="F896" s="1405">
        <v>2572</v>
      </c>
      <c r="G896" s="4809">
        <v>0</v>
      </c>
      <c r="H896" s="1406">
        <v>1358</v>
      </c>
      <c r="I896" s="1406">
        <v>3128</v>
      </c>
      <c r="J896" s="1405">
        <v>3954</v>
      </c>
      <c r="K896" s="1282"/>
      <c r="L896" s="1406">
        <f t="shared" si="15"/>
        <v>44625</v>
      </c>
    </row>
    <row r="897" spans="1:12" ht="13.5">
      <c r="A897" s="1406">
        <v>44650</v>
      </c>
      <c r="B897" s="1405">
        <v>44700</v>
      </c>
      <c r="C897" s="4809">
        <v>0</v>
      </c>
      <c r="D897" s="1406">
        <v>301</v>
      </c>
      <c r="E897" s="1406">
        <v>1736</v>
      </c>
      <c r="F897" s="1405">
        <v>2561</v>
      </c>
      <c r="G897" s="4809">
        <v>0</v>
      </c>
      <c r="H897" s="1406">
        <v>1350</v>
      </c>
      <c r="I897" s="1406">
        <v>3118</v>
      </c>
      <c r="J897" s="1405">
        <v>3943</v>
      </c>
      <c r="K897" s="1282"/>
      <c r="L897" s="1406">
        <f t="shared" si="15"/>
        <v>44675</v>
      </c>
    </row>
    <row r="898" spans="1:12" ht="13.5">
      <c r="A898" s="1406">
        <v>44700</v>
      </c>
      <c r="B898" s="1405">
        <v>44750</v>
      </c>
      <c r="C898" s="4809">
        <v>0</v>
      </c>
      <c r="D898" s="1406">
        <v>293</v>
      </c>
      <c r="E898" s="1406">
        <v>1725</v>
      </c>
      <c r="F898" s="1405">
        <v>2551</v>
      </c>
      <c r="G898" s="4809">
        <v>0</v>
      </c>
      <c r="H898" s="1406">
        <v>1342</v>
      </c>
      <c r="I898" s="1406">
        <v>3107</v>
      </c>
      <c r="J898" s="1405">
        <v>3932</v>
      </c>
      <c r="K898" s="1282"/>
      <c r="L898" s="1406">
        <f t="shared" si="15"/>
        <v>44725</v>
      </c>
    </row>
    <row r="899" spans="1:12" ht="13.5">
      <c r="A899" s="1406">
        <v>44750</v>
      </c>
      <c r="B899" s="1405">
        <v>44800</v>
      </c>
      <c r="C899" s="4809">
        <v>0</v>
      </c>
      <c r="D899" s="1406">
        <v>285</v>
      </c>
      <c r="E899" s="1406">
        <v>1715</v>
      </c>
      <c r="F899" s="1405">
        <v>2540</v>
      </c>
      <c r="G899" s="4809">
        <v>0</v>
      </c>
      <c r="H899" s="1406">
        <v>1334</v>
      </c>
      <c r="I899" s="1406">
        <v>3096</v>
      </c>
      <c r="J899" s="1405">
        <v>3922</v>
      </c>
      <c r="K899" s="1282"/>
      <c r="L899" s="1406">
        <f t="shared" ref="L899:L964" si="16">ROUND((A899+B899)/2,2)</f>
        <v>44775</v>
      </c>
    </row>
    <row r="900" spans="1:12" ht="13.5">
      <c r="A900" s="1406">
        <v>44800</v>
      </c>
      <c r="B900" s="1405">
        <v>44850</v>
      </c>
      <c r="C900" s="4809">
        <v>0</v>
      </c>
      <c r="D900" s="1406">
        <v>277</v>
      </c>
      <c r="E900" s="1406">
        <v>1704</v>
      </c>
      <c r="F900" s="1405">
        <v>2530</v>
      </c>
      <c r="G900" s="4809">
        <v>0</v>
      </c>
      <c r="H900" s="1406">
        <v>1326</v>
      </c>
      <c r="I900" s="1406">
        <v>3086</v>
      </c>
      <c r="J900" s="1405">
        <v>3911</v>
      </c>
      <c r="K900" s="1282"/>
      <c r="L900" s="1406">
        <f t="shared" si="16"/>
        <v>44825</v>
      </c>
    </row>
    <row r="901" spans="1:12" ht="13.5">
      <c r="A901" s="1406">
        <v>44850</v>
      </c>
      <c r="B901" s="1405">
        <v>44900</v>
      </c>
      <c r="C901" s="4809">
        <v>0</v>
      </c>
      <c r="D901" s="1406">
        <v>269</v>
      </c>
      <c r="E901" s="1406">
        <v>1694</v>
      </c>
      <c r="F901" s="1405">
        <v>2519</v>
      </c>
      <c r="G901" s="4809">
        <v>0</v>
      </c>
      <c r="H901" s="1406">
        <v>1318</v>
      </c>
      <c r="I901" s="1406">
        <v>3075</v>
      </c>
      <c r="J901" s="1405">
        <v>3901</v>
      </c>
      <c r="K901" s="1282"/>
      <c r="L901" s="1406">
        <f t="shared" si="16"/>
        <v>44875</v>
      </c>
    </row>
    <row r="902" spans="1:12" ht="13.5">
      <c r="A902" s="1406">
        <v>44900</v>
      </c>
      <c r="B902" s="1405">
        <v>44950</v>
      </c>
      <c r="C902" s="4809">
        <v>0</v>
      </c>
      <c r="D902" s="1406">
        <v>261</v>
      </c>
      <c r="E902" s="1406">
        <v>1683</v>
      </c>
      <c r="F902" s="1405">
        <v>2509</v>
      </c>
      <c r="G902" s="4809">
        <v>0</v>
      </c>
      <c r="H902" s="1406">
        <v>1310</v>
      </c>
      <c r="I902" s="1406">
        <v>3065</v>
      </c>
      <c r="J902" s="1405">
        <v>3890</v>
      </c>
      <c r="K902" s="1282"/>
      <c r="L902" s="1406">
        <f t="shared" si="16"/>
        <v>44925</v>
      </c>
    </row>
    <row r="903" spans="1:12" ht="13.5">
      <c r="A903" s="1406">
        <v>44950</v>
      </c>
      <c r="B903" s="1405">
        <v>45000</v>
      </c>
      <c r="C903" s="4809">
        <v>0</v>
      </c>
      <c r="D903" s="1406">
        <v>253</v>
      </c>
      <c r="E903" s="1406">
        <v>1673</v>
      </c>
      <c r="F903" s="1405">
        <v>2498</v>
      </c>
      <c r="G903" s="4809">
        <v>0</v>
      </c>
      <c r="H903" s="1406">
        <v>1302</v>
      </c>
      <c r="I903" s="1406">
        <v>3054</v>
      </c>
      <c r="J903" s="1405">
        <v>3880</v>
      </c>
      <c r="K903" s="1282"/>
      <c r="L903" s="1406">
        <f t="shared" si="16"/>
        <v>44975</v>
      </c>
    </row>
    <row r="904" spans="1:12" ht="13.5">
      <c r="A904" s="1406">
        <v>45000</v>
      </c>
      <c r="B904" s="1405">
        <v>45050</v>
      </c>
      <c r="C904" s="4809">
        <v>0</v>
      </c>
      <c r="D904" s="1406">
        <v>245</v>
      </c>
      <c r="E904" s="1406">
        <v>1662</v>
      </c>
      <c r="F904" s="1405">
        <v>2488</v>
      </c>
      <c r="G904" s="4809">
        <v>0</v>
      </c>
      <c r="H904" s="1406">
        <v>1294</v>
      </c>
      <c r="I904" s="1406">
        <v>3044</v>
      </c>
      <c r="J904" s="1405">
        <v>3869</v>
      </c>
      <c r="K904" s="1282"/>
      <c r="L904" s="1406">
        <f t="shared" si="16"/>
        <v>45025</v>
      </c>
    </row>
    <row r="905" spans="1:12" ht="13.5">
      <c r="A905" s="1406">
        <v>45050</v>
      </c>
      <c r="B905" s="1405">
        <v>45100</v>
      </c>
      <c r="C905" s="4809">
        <v>0</v>
      </c>
      <c r="D905" s="1406">
        <v>237</v>
      </c>
      <c r="E905" s="1406">
        <v>1652</v>
      </c>
      <c r="F905" s="1405">
        <v>2477</v>
      </c>
      <c r="G905" s="4809">
        <v>0</v>
      </c>
      <c r="H905" s="1406">
        <v>1286</v>
      </c>
      <c r="I905" s="1406">
        <v>3033</v>
      </c>
      <c r="J905" s="1405">
        <v>3859</v>
      </c>
      <c r="K905" s="1282"/>
      <c r="L905" s="1406">
        <f t="shared" si="16"/>
        <v>45075</v>
      </c>
    </row>
    <row r="906" spans="1:12" ht="13.5">
      <c r="A906" s="1406">
        <v>45100</v>
      </c>
      <c r="B906" s="1405">
        <v>45150</v>
      </c>
      <c r="C906" s="4809">
        <v>0</v>
      </c>
      <c r="D906" s="1406">
        <v>229</v>
      </c>
      <c r="E906" s="1406">
        <v>1641</v>
      </c>
      <c r="F906" s="1405">
        <v>2467</v>
      </c>
      <c r="G906" s="4809">
        <v>0</v>
      </c>
      <c r="H906" s="1406">
        <v>1278</v>
      </c>
      <c r="I906" s="1406">
        <v>3023</v>
      </c>
      <c r="J906" s="1405">
        <v>3848</v>
      </c>
      <c r="K906" s="1282"/>
      <c r="L906" s="1406">
        <f t="shared" si="16"/>
        <v>45125</v>
      </c>
    </row>
    <row r="907" spans="1:12" ht="13.5">
      <c r="A907" s="1406">
        <v>45150</v>
      </c>
      <c r="B907" s="1405">
        <v>45200</v>
      </c>
      <c r="C907" s="4809">
        <v>0</v>
      </c>
      <c r="D907" s="1406">
        <v>221</v>
      </c>
      <c r="E907" s="1406">
        <v>1631</v>
      </c>
      <c r="F907" s="1405">
        <v>2456</v>
      </c>
      <c r="G907" s="4809">
        <v>0</v>
      </c>
      <c r="H907" s="1406">
        <v>1270</v>
      </c>
      <c r="I907" s="1406">
        <v>3012</v>
      </c>
      <c r="J907" s="1405">
        <v>3838</v>
      </c>
      <c r="K907" s="1282"/>
      <c r="L907" s="1406">
        <f t="shared" si="16"/>
        <v>45175</v>
      </c>
    </row>
    <row r="908" spans="1:12" ht="13.5">
      <c r="A908" s="1406">
        <v>45200</v>
      </c>
      <c r="B908" s="1405">
        <v>45250</v>
      </c>
      <c r="C908" s="4809">
        <v>0</v>
      </c>
      <c r="D908" s="1406">
        <v>213</v>
      </c>
      <c r="E908" s="1406">
        <v>1620</v>
      </c>
      <c r="F908" s="1405">
        <v>2446</v>
      </c>
      <c r="G908" s="4809">
        <v>0</v>
      </c>
      <c r="H908" s="1406">
        <v>1262</v>
      </c>
      <c r="I908" s="1406">
        <v>3002</v>
      </c>
      <c r="J908" s="1405">
        <v>3827</v>
      </c>
      <c r="K908" s="1282"/>
      <c r="L908" s="1406">
        <f t="shared" si="16"/>
        <v>45225</v>
      </c>
    </row>
    <row r="909" spans="1:12" ht="13.5">
      <c r="A909" s="1406">
        <v>45250</v>
      </c>
      <c r="B909" s="1405">
        <v>45300</v>
      </c>
      <c r="C909" s="4809">
        <v>0</v>
      </c>
      <c r="D909" s="1406">
        <v>205</v>
      </c>
      <c r="E909" s="1406">
        <v>1610</v>
      </c>
      <c r="F909" s="1405">
        <v>2435</v>
      </c>
      <c r="G909" s="4809">
        <v>0</v>
      </c>
      <c r="H909" s="1406">
        <v>1254</v>
      </c>
      <c r="I909" s="1406">
        <v>2991</v>
      </c>
      <c r="J909" s="1405">
        <v>3817</v>
      </c>
      <c r="K909" s="1282"/>
      <c r="L909" s="1406">
        <f t="shared" si="16"/>
        <v>45275</v>
      </c>
    </row>
    <row r="910" spans="1:12" ht="13.5">
      <c r="A910" s="1406">
        <v>45300</v>
      </c>
      <c r="B910" s="1405">
        <v>45350</v>
      </c>
      <c r="C910" s="4809">
        <v>0</v>
      </c>
      <c r="D910" s="1406">
        <v>197</v>
      </c>
      <c r="E910" s="1406">
        <v>1599</v>
      </c>
      <c r="F910" s="1405">
        <v>2425</v>
      </c>
      <c r="G910" s="4809">
        <v>0</v>
      </c>
      <c r="H910" s="1406">
        <v>1246</v>
      </c>
      <c r="I910" s="1406">
        <v>2981</v>
      </c>
      <c r="J910" s="1405">
        <v>3806</v>
      </c>
      <c r="K910" s="1282"/>
      <c r="L910" s="1406">
        <f t="shared" si="16"/>
        <v>45325</v>
      </c>
    </row>
    <row r="911" spans="1:12" ht="13.5">
      <c r="A911" s="1406">
        <v>45350</v>
      </c>
      <c r="B911" s="1405">
        <v>45400</v>
      </c>
      <c r="C911" s="4809">
        <v>0</v>
      </c>
      <c r="D911" s="1406">
        <v>189</v>
      </c>
      <c r="E911" s="1406">
        <v>1589</v>
      </c>
      <c r="F911" s="1405">
        <v>2414</v>
      </c>
      <c r="G911" s="4809">
        <v>0</v>
      </c>
      <c r="H911" s="1406">
        <v>1238</v>
      </c>
      <c r="I911" s="1406">
        <v>2970</v>
      </c>
      <c r="J911" s="1405">
        <v>3796</v>
      </c>
      <c r="K911" s="1282"/>
      <c r="L911" s="1406">
        <f t="shared" si="16"/>
        <v>45375</v>
      </c>
    </row>
    <row r="912" spans="1:12" ht="13.5">
      <c r="A912" s="1406">
        <v>45400</v>
      </c>
      <c r="B912" s="1405">
        <v>45450</v>
      </c>
      <c r="C912" s="4809">
        <v>0</v>
      </c>
      <c r="D912" s="1406">
        <v>181</v>
      </c>
      <c r="E912" s="1406">
        <v>1578</v>
      </c>
      <c r="F912" s="1405">
        <v>2404</v>
      </c>
      <c r="G912" s="4809">
        <v>0</v>
      </c>
      <c r="H912" s="1406">
        <v>1230</v>
      </c>
      <c r="I912" s="1406">
        <v>2960</v>
      </c>
      <c r="J912" s="1405">
        <v>3785</v>
      </c>
      <c r="K912" s="1282"/>
      <c r="L912" s="1406">
        <f t="shared" si="16"/>
        <v>45425</v>
      </c>
    </row>
    <row r="913" spans="1:12" ht="13.5">
      <c r="A913" s="1406">
        <v>45450</v>
      </c>
      <c r="B913" s="1405">
        <v>45500</v>
      </c>
      <c r="C913" s="4809">
        <v>0</v>
      </c>
      <c r="D913" s="1406">
        <v>173</v>
      </c>
      <c r="E913" s="1406">
        <v>1568</v>
      </c>
      <c r="F913" s="1405">
        <v>2393</v>
      </c>
      <c r="G913" s="4809">
        <v>0</v>
      </c>
      <c r="H913" s="1406">
        <v>1222</v>
      </c>
      <c r="I913" s="1406">
        <v>2949</v>
      </c>
      <c r="J913" s="1405">
        <v>3775</v>
      </c>
      <c r="K913" s="1282"/>
      <c r="L913" s="1406">
        <f t="shared" si="16"/>
        <v>45475</v>
      </c>
    </row>
    <row r="914" spans="1:12" ht="13.5">
      <c r="A914" s="1406">
        <v>45500</v>
      </c>
      <c r="B914" s="1405">
        <v>45550</v>
      </c>
      <c r="C914" s="4809">
        <v>0</v>
      </c>
      <c r="D914" s="1406">
        <v>165</v>
      </c>
      <c r="E914" s="1406">
        <v>1557</v>
      </c>
      <c r="F914" s="1405">
        <v>2382</v>
      </c>
      <c r="G914" s="4809">
        <v>0</v>
      </c>
      <c r="H914" s="1406">
        <v>1214</v>
      </c>
      <c r="I914" s="1406">
        <v>2939</v>
      </c>
      <c r="J914" s="1405">
        <v>3764</v>
      </c>
      <c r="K914" s="1282"/>
      <c r="L914" s="1406">
        <f t="shared" si="16"/>
        <v>45525</v>
      </c>
    </row>
    <row r="915" spans="1:12" ht="13.5">
      <c r="A915" s="1406">
        <v>45550</v>
      </c>
      <c r="B915" s="1405">
        <v>45600</v>
      </c>
      <c r="C915" s="4809">
        <v>0</v>
      </c>
      <c r="D915" s="1406">
        <v>157</v>
      </c>
      <c r="E915" s="1406">
        <v>1546</v>
      </c>
      <c r="F915" s="1405">
        <v>2372</v>
      </c>
      <c r="G915" s="4809">
        <v>0</v>
      </c>
      <c r="H915" s="1406">
        <v>1206</v>
      </c>
      <c r="I915" s="1406">
        <v>2928</v>
      </c>
      <c r="J915" s="1405">
        <v>3753</v>
      </c>
      <c r="K915" s="1282"/>
      <c r="L915" s="1406">
        <f t="shared" si="16"/>
        <v>45575</v>
      </c>
    </row>
    <row r="916" spans="1:12" ht="13.5">
      <c r="A916" s="1406">
        <v>45600</v>
      </c>
      <c r="B916" s="1405">
        <v>45650</v>
      </c>
      <c r="C916" s="4809">
        <v>0</v>
      </c>
      <c r="D916" s="1406">
        <v>149</v>
      </c>
      <c r="E916" s="1406">
        <v>1536</v>
      </c>
      <c r="F916" s="1405">
        <v>2361</v>
      </c>
      <c r="G916" s="4809">
        <v>0</v>
      </c>
      <c r="H916" s="1406">
        <v>1198</v>
      </c>
      <c r="I916" s="1406">
        <v>2917</v>
      </c>
      <c r="J916" s="1405">
        <v>3743</v>
      </c>
      <c r="K916" s="1282"/>
      <c r="L916" s="1406">
        <f t="shared" si="16"/>
        <v>45625</v>
      </c>
    </row>
    <row r="917" spans="1:12" ht="13.5">
      <c r="A917" s="1406">
        <v>45650</v>
      </c>
      <c r="B917" s="1405">
        <v>45700</v>
      </c>
      <c r="C917" s="4809">
        <v>0</v>
      </c>
      <c r="D917" s="1406">
        <v>141</v>
      </c>
      <c r="E917" s="1406">
        <v>1525</v>
      </c>
      <c r="F917" s="1405">
        <v>2351</v>
      </c>
      <c r="G917" s="4809">
        <v>0</v>
      </c>
      <c r="H917" s="1406">
        <v>1190</v>
      </c>
      <c r="I917" s="1406">
        <v>2907</v>
      </c>
      <c r="J917" s="1405">
        <v>3732</v>
      </c>
      <c r="K917" s="1282"/>
      <c r="L917" s="1406">
        <f t="shared" si="16"/>
        <v>45675</v>
      </c>
    </row>
    <row r="918" spans="1:12" ht="13.5">
      <c r="A918" s="1406">
        <v>45700</v>
      </c>
      <c r="B918" s="1405">
        <v>45750</v>
      </c>
      <c r="C918" s="4809">
        <v>0</v>
      </c>
      <c r="D918" s="1406">
        <v>133</v>
      </c>
      <c r="E918" s="1406">
        <v>1515</v>
      </c>
      <c r="F918" s="1405">
        <v>2340</v>
      </c>
      <c r="G918" s="4809">
        <v>0</v>
      </c>
      <c r="H918" s="1406">
        <v>1182</v>
      </c>
      <c r="I918" s="1406">
        <v>2896</v>
      </c>
      <c r="J918" s="1405">
        <v>3722</v>
      </c>
      <c r="K918" s="1282"/>
      <c r="L918" s="1406">
        <f t="shared" si="16"/>
        <v>45725</v>
      </c>
    </row>
    <row r="919" spans="1:12" ht="13.5">
      <c r="A919" s="1406">
        <v>45750</v>
      </c>
      <c r="B919" s="1405">
        <v>45800</v>
      </c>
      <c r="C919" s="4809">
        <v>0</v>
      </c>
      <c r="D919" s="1406">
        <v>125</v>
      </c>
      <c r="E919" s="1406">
        <v>1504</v>
      </c>
      <c r="F919" s="1405">
        <v>2330</v>
      </c>
      <c r="G919" s="4809">
        <v>0</v>
      </c>
      <c r="H919" s="1406">
        <v>1174</v>
      </c>
      <c r="I919" s="1406">
        <v>2886</v>
      </c>
      <c r="J919" s="1405">
        <v>3711</v>
      </c>
      <c r="K919" s="1282"/>
      <c r="L919" s="1406">
        <f t="shared" si="16"/>
        <v>45775</v>
      </c>
    </row>
    <row r="920" spans="1:12" ht="13.5">
      <c r="A920" s="1406">
        <v>45800</v>
      </c>
      <c r="B920" s="1405">
        <v>45850</v>
      </c>
      <c r="C920" s="4809">
        <v>0</v>
      </c>
      <c r="D920" s="1406">
        <v>117</v>
      </c>
      <c r="E920" s="1406">
        <v>1494</v>
      </c>
      <c r="F920" s="1405">
        <v>2319</v>
      </c>
      <c r="G920" s="4809">
        <v>0</v>
      </c>
      <c r="H920" s="1406">
        <v>1166</v>
      </c>
      <c r="I920" s="1406">
        <v>2875</v>
      </c>
      <c r="J920" s="1405">
        <v>3701</v>
      </c>
      <c r="K920" s="1282"/>
      <c r="L920" s="1406">
        <f t="shared" si="16"/>
        <v>45825</v>
      </c>
    </row>
    <row r="921" spans="1:12" ht="13.5">
      <c r="A921" s="1406">
        <v>45850</v>
      </c>
      <c r="B921" s="1405">
        <v>45900</v>
      </c>
      <c r="C921" s="4809">
        <v>0</v>
      </c>
      <c r="D921" s="1406">
        <v>109</v>
      </c>
      <c r="E921" s="1406">
        <v>1483</v>
      </c>
      <c r="F921" s="1405">
        <v>2309</v>
      </c>
      <c r="G921" s="4809">
        <v>0</v>
      </c>
      <c r="H921" s="1406">
        <v>1158</v>
      </c>
      <c r="I921" s="1406">
        <v>2865</v>
      </c>
      <c r="J921" s="1405">
        <v>3690</v>
      </c>
      <c r="K921" s="1282"/>
      <c r="L921" s="1406">
        <f t="shared" si="16"/>
        <v>45875</v>
      </c>
    </row>
    <row r="922" spans="1:12" ht="13.5">
      <c r="A922" s="1406">
        <v>45900</v>
      </c>
      <c r="B922" s="1405">
        <v>45950</v>
      </c>
      <c r="C922" s="4809">
        <v>0</v>
      </c>
      <c r="D922" s="1406">
        <v>101</v>
      </c>
      <c r="E922" s="1406">
        <v>1473</v>
      </c>
      <c r="F922" s="1405">
        <v>2298</v>
      </c>
      <c r="G922" s="4809">
        <v>0</v>
      </c>
      <c r="H922" s="1406">
        <v>1150</v>
      </c>
      <c r="I922" s="1406">
        <v>2854</v>
      </c>
      <c r="J922" s="1405">
        <v>3680</v>
      </c>
      <c r="K922" s="1282"/>
      <c r="L922" s="1406">
        <f t="shared" si="16"/>
        <v>45925</v>
      </c>
    </row>
    <row r="923" spans="1:12" ht="13.5">
      <c r="A923" s="1406">
        <v>45950</v>
      </c>
      <c r="B923" s="1405">
        <v>46000</v>
      </c>
      <c r="C923" s="4809">
        <v>0</v>
      </c>
      <c r="D923" s="1406">
        <v>93</v>
      </c>
      <c r="E923" s="1406">
        <v>1462</v>
      </c>
      <c r="F923" s="1405">
        <v>2288</v>
      </c>
      <c r="G923" s="4809">
        <v>0</v>
      </c>
      <c r="H923" s="1406">
        <v>1142</v>
      </c>
      <c r="I923" s="1406">
        <v>2844</v>
      </c>
      <c r="J923" s="1405">
        <v>3669</v>
      </c>
      <c r="K923" s="1282"/>
      <c r="L923" s="1406">
        <f t="shared" si="16"/>
        <v>45975</v>
      </c>
    </row>
    <row r="924" spans="1:12" ht="13.5">
      <c r="A924" s="1406">
        <v>46000</v>
      </c>
      <c r="B924" s="1405">
        <v>46050</v>
      </c>
      <c r="C924" s="4809">
        <v>0</v>
      </c>
      <c r="D924" s="1406">
        <v>85</v>
      </c>
      <c r="E924" s="1406">
        <v>1452</v>
      </c>
      <c r="F924" s="1405">
        <v>2277</v>
      </c>
      <c r="G924" s="4809">
        <v>0</v>
      </c>
      <c r="H924" s="1406">
        <v>1134</v>
      </c>
      <c r="I924" s="1406">
        <v>2833</v>
      </c>
      <c r="J924" s="1405">
        <v>3659</v>
      </c>
      <c r="K924" s="1282"/>
      <c r="L924" s="1406">
        <f t="shared" si="16"/>
        <v>46025</v>
      </c>
    </row>
    <row r="925" spans="1:12" ht="13.5">
      <c r="A925" s="1406">
        <v>46050</v>
      </c>
      <c r="B925" s="1405">
        <v>46100</v>
      </c>
      <c r="C925" s="4809">
        <v>0</v>
      </c>
      <c r="D925" s="1406">
        <v>78</v>
      </c>
      <c r="E925" s="1406">
        <v>1441</v>
      </c>
      <c r="F925" s="1405">
        <v>2267</v>
      </c>
      <c r="G925" s="4809">
        <v>0</v>
      </c>
      <c r="H925" s="1406">
        <v>1126</v>
      </c>
      <c r="I925" s="1406">
        <v>2823</v>
      </c>
      <c r="J925" s="1405">
        <v>3648</v>
      </c>
      <c r="K925" s="1282"/>
      <c r="L925" s="1406">
        <f t="shared" si="16"/>
        <v>46075</v>
      </c>
    </row>
    <row r="926" spans="1:12" ht="13.5">
      <c r="A926" s="1406">
        <v>46100</v>
      </c>
      <c r="B926" s="1405">
        <v>46150</v>
      </c>
      <c r="C926" s="4809">
        <v>0</v>
      </c>
      <c r="D926" s="1406">
        <v>70</v>
      </c>
      <c r="E926" s="1406">
        <v>1431</v>
      </c>
      <c r="F926" s="1405">
        <v>2256</v>
      </c>
      <c r="G926" s="4809">
        <v>0</v>
      </c>
      <c r="H926" s="1406">
        <v>1118</v>
      </c>
      <c r="I926" s="1406">
        <v>2812</v>
      </c>
      <c r="J926" s="1405">
        <v>3638</v>
      </c>
      <c r="K926" s="1282"/>
      <c r="L926" s="1406">
        <f t="shared" si="16"/>
        <v>46125</v>
      </c>
    </row>
    <row r="927" spans="1:12" ht="13.5">
      <c r="A927" s="1406">
        <v>46150</v>
      </c>
      <c r="B927" s="1405">
        <v>46200</v>
      </c>
      <c r="C927" s="4809">
        <v>0</v>
      </c>
      <c r="D927" s="1406">
        <v>62</v>
      </c>
      <c r="E927" s="1406">
        <v>1420</v>
      </c>
      <c r="F927" s="1405">
        <v>2246</v>
      </c>
      <c r="G927" s="4809">
        <v>0</v>
      </c>
      <c r="H927" s="1406">
        <v>1110</v>
      </c>
      <c r="I927" s="1406">
        <v>2802</v>
      </c>
      <c r="J927" s="1405">
        <v>3627</v>
      </c>
      <c r="K927" s="1282"/>
      <c r="L927" s="1406">
        <f t="shared" si="16"/>
        <v>46175</v>
      </c>
    </row>
    <row r="928" spans="1:12" ht="13.5">
      <c r="A928" s="1406">
        <v>46200</v>
      </c>
      <c r="B928" s="1405">
        <v>46250</v>
      </c>
      <c r="C928" s="4809">
        <v>0</v>
      </c>
      <c r="D928" s="1406">
        <v>54</v>
      </c>
      <c r="E928" s="1406">
        <v>1410</v>
      </c>
      <c r="F928" s="1405">
        <v>2235</v>
      </c>
      <c r="G928" s="4809">
        <v>0</v>
      </c>
      <c r="H928" s="1406">
        <v>1102</v>
      </c>
      <c r="I928" s="1406">
        <v>2791</v>
      </c>
      <c r="J928" s="1405">
        <v>3617</v>
      </c>
      <c r="K928" s="1282"/>
      <c r="L928" s="1406">
        <f t="shared" si="16"/>
        <v>46225</v>
      </c>
    </row>
    <row r="929" spans="1:13" ht="13.5">
      <c r="A929" s="1406">
        <v>46250</v>
      </c>
      <c r="B929" s="1405">
        <v>46300</v>
      </c>
      <c r="C929" s="4809">
        <v>0</v>
      </c>
      <c r="D929" s="1406">
        <v>46</v>
      </c>
      <c r="E929" s="1406">
        <v>1399</v>
      </c>
      <c r="F929" s="1405">
        <v>2225</v>
      </c>
      <c r="G929" s="4809">
        <v>0</v>
      </c>
      <c r="H929" s="1406">
        <v>1094</v>
      </c>
      <c r="I929" s="1406">
        <v>2781</v>
      </c>
      <c r="J929" s="1405">
        <v>3606</v>
      </c>
      <c r="K929" s="1282"/>
      <c r="L929" s="1406">
        <f t="shared" si="16"/>
        <v>46275</v>
      </c>
    </row>
    <row r="930" spans="1:13" ht="13.5">
      <c r="A930" s="1406">
        <v>46300</v>
      </c>
      <c r="B930" s="1405">
        <v>46350</v>
      </c>
      <c r="C930" s="4809">
        <v>0</v>
      </c>
      <c r="D930" s="1406">
        <v>38</v>
      </c>
      <c r="E930" s="1406">
        <v>1388</v>
      </c>
      <c r="F930" s="1405">
        <v>2214</v>
      </c>
      <c r="G930" s="4809">
        <v>0</v>
      </c>
      <c r="H930" s="1406">
        <v>1086</v>
      </c>
      <c r="I930" s="1406">
        <v>2770</v>
      </c>
      <c r="J930" s="1405">
        <v>3596</v>
      </c>
      <c r="K930" s="1282"/>
      <c r="L930" s="1406">
        <f t="shared" si="16"/>
        <v>46325</v>
      </c>
    </row>
    <row r="931" spans="1:13" ht="13.5">
      <c r="A931" s="1406">
        <v>46350</v>
      </c>
      <c r="B931" s="1405">
        <v>46400</v>
      </c>
      <c r="C931" s="4809">
        <v>0</v>
      </c>
      <c r="D931" s="1406">
        <v>30</v>
      </c>
      <c r="E931" s="1406">
        <v>1378</v>
      </c>
      <c r="F931" s="1405">
        <v>2203</v>
      </c>
      <c r="G931" s="4809">
        <v>0</v>
      </c>
      <c r="H931" s="1406">
        <v>1078</v>
      </c>
      <c r="I931" s="1406">
        <v>2759</v>
      </c>
      <c r="J931" s="1405">
        <v>3585</v>
      </c>
      <c r="K931" s="1282"/>
      <c r="L931" s="1406">
        <f t="shared" si="16"/>
        <v>46375</v>
      </c>
    </row>
    <row r="932" spans="1:13" ht="13.5">
      <c r="A932" s="1406">
        <v>46400</v>
      </c>
      <c r="B932" s="1405">
        <v>46450</v>
      </c>
      <c r="C932" s="4809">
        <v>0</v>
      </c>
      <c r="D932" s="1406">
        <v>22</v>
      </c>
      <c r="E932" s="1406">
        <v>1367</v>
      </c>
      <c r="F932" s="1405">
        <v>2193</v>
      </c>
      <c r="G932" s="4809">
        <v>0</v>
      </c>
      <c r="H932" s="1406">
        <v>1070</v>
      </c>
      <c r="I932" s="1406">
        <v>2749</v>
      </c>
      <c r="J932" s="1405">
        <v>3574</v>
      </c>
      <c r="K932" s="1282"/>
      <c r="L932" s="1406">
        <f t="shared" si="16"/>
        <v>46425</v>
      </c>
    </row>
    <row r="933" spans="1:13" ht="13.5">
      <c r="A933" s="1406">
        <v>46450</v>
      </c>
      <c r="B933" s="1405">
        <v>46500</v>
      </c>
      <c r="C933" s="4809">
        <v>0</v>
      </c>
      <c r="D933" s="1406">
        <v>14</v>
      </c>
      <c r="E933" s="1406">
        <v>1357</v>
      </c>
      <c r="F933" s="1405">
        <v>2182</v>
      </c>
      <c r="G933" s="4809">
        <v>0</v>
      </c>
      <c r="H933" s="1406">
        <v>1062</v>
      </c>
      <c r="I933" s="1406">
        <v>2738</v>
      </c>
      <c r="J933" s="1405">
        <v>3564</v>
      </c>
      <c r="K933" s="1282"/>
      <c r="L933" s="1406">
        <f t="shared" si="16"/>
        <v>46475</v>
      </c>
    </row>
    <row r="934" spans="1:13" ht="13.5">
      <c r="A934" s="1406">
        <v>46500</v>
      </c>
      <c r="B934" s="1405">
        <v>46550</v>
      </c>
      <c r="C934" s="4809">
        <v>0</v>
      </c>
      <c r="D934" s="1406">
        <v>6</v>
      </c>
      <c r="E934" s="1406">
        <v>1346</v>
      </c>
      <c r="F934" s="1405">
        <v>2172</v>
      </c>
      <c r="G934" s="4809">
        <v>0</v>
      </c>
      <c r="H934" s="1406">
        <v>1054</v>
      </c>
      <c r="I934" s="1406">
        <v>2728</v>
      </c>
      <c r="J934" s="1405">
        <v>3553</v>
      </c>
      <c r="K934" s="1282"/>
      <c r="L934" s="1406">
        <f t="shared" si="16"/>
        <v>46525</v>
      </c>
    </row>
    <row r="935" spans="1:13" ht="13.5">
      <c r="A935" s="5330">
        <v>46550</v>
      </c>
      <c r="B935" s="5331">
        <v>46560</v>
      </c>
      <c r="C935" s="5332">
        <v>0</v>
      </c>
      <c r="D935" s="5330">
        <v>1</v>
      </c>
      <c r="E935" s="5330">
        <v>1336</v>
      </c>
      <c r="F935" s="5331">
        <v>2161</v>
      </c>
      <c r="G935" s="5332">
        <v>0</v>
      </c>
      <c r="H935" s="5330">
        <v>1046</v>
      </c>
      <c r="I935" s="5330">
        <v>2717</v>
      </c>
      <c r="J935" s="5331">
        <v>3543</v>
      </c>
      <c r="K935" s="5334"/>
      <c r="L935" s="5330">
        <f t="shared" si="16"/>
        <v>46555</v>
      </c>
      <c r="M935" s="5324" t="s">
        <v>5380</v>
      </c>
    </row>
    <row r="936" spans="1:13" ht="13.5">
      <c r="A936" s="5330">
        <v>46560</v>
      </c>
      <c r="B936" s="5331">
        <v>46600</v>
      </c>
      <c r="C936" s="5332">
        <v>0</v>
      </c>
      <c r="D936" s="5333">
        <v>0</v>
      </c>
      <c r="E936" s="5330">
        <v>1336</v>
      </c>
      <c r="F936" s="5331">
        <v>2161</v>
      </c>
      <c r="G936" s="5332">
        <v>0</v>
      </c>
      <c r="H936" s="5330">
        <v>1046</v>
      </c>
      <c r="I936" s="5330">
        <v>2717</v>
      </c>
      <c r="J936" s="5331">
        <v>3543</v>
      </c>
      <c r="K936" s="5334"/>
      <c r="L936" s="5330">
        <f>ROUND((A936+B936)/2,2)</f>
        <v>46580</v>
      </c>
      <c r="M936" s="5324" t="s">
        <v>5381</v>
      </c>
    </row>
    <row r="937" spans="1:13" s="5322" customFormat="1" ht="13.5">
      <c r="A937" s="5330">
        <v>46600</v>
      </c>
      <c r="B937" s="5331">
        <v>46650</v>
      </c>
      <c r="C937" s="5332">
        <v>0</v>
      </c>
      <c r="D937" s="5330">
        <v>0</v>
      </c>
      <c r="E937" s="5330">
        <v>1325</v>
      </c>
      <c r="F937" s="5331">
        <v>2151</v>
      </c>
      <c r="G937" s="5332">
        <v>0</v>
      </c>
      <c r="H937" s="5330">
        <v>1038</v>
      </c>
      <c r="I937" s="5330">
        <v>2707</v>
      </c>
      <c r="J937" s="5331">
        <v>3532</v>
      </c>
      <c r="K937" s="5334"/>
      <c r="L937" s="5330">
        <f t="shared" si="16"/>
        <v>46625</v>
      </c>
      <c r="M937" s="5324" t="s">
        <v>5380</v>
      </c>
    </row>
    <row r="938" spans="1:13" s="5322" customFormat="1" ht="13.5">
      <c r="A938" s="1406">
        <v>46650</v>
      </c>
      <c r="B938" s="1405">
        <v>46700</v>
      </c>
      <c r="C938" s="4809">
        <v>0</v>
      </c>
      <c r="D938" s="1406">
        <v>0</v>
      </c>
      <c r="E938" s="1406">
        <v>1315</v>
      </c>
      <c r="F938" s="1405">
        <v>2140</v>
      </c>
      <c r="G938" s="4809">
        <v>0</v>
      </c>
      <c r="H938" s="1406">
        <v>1030</v>
      </c>
      <c r="I938" s="1406">
        <v>2696</v>
      </c>
      <c r="J938" s="1405">
        <v>3522</v>
      </c>
      <c r="K938" s="1282"/>
      <c r="L938" s="1406">
        <f>ROUND((A938+B938)/2,2)</f>
        <v>46675</v>
      </c>
      <c r="M938" s="1282"/>
    </row>
    <row r="939" spans="1:13" ht="13.5">
      <c r="A939" s="1406">
        <v>46700</v>
      </c>
      <c r="B939" s="1405">
        <v>46750</v>
      </c>
      <c r="C939" s="4809">
        <v>0</v>
      </c>
      <c r="D939" s="1406">
        <v>0</v>
      </c>
      <c r="E939" s="1406">
        <v>1304</v>
      </c>
      <c r="F939" s="1405">
        <v>2130</v>
      </c>
      <c r="G939" s="4809">
        <v>0</v>
      </c>
      <c r="H939" s="1406">
        <v>1022</v>
      </c>
      <c r="I939" s="1406">
        <v>2686</v>
      </c>
      <c r="J939" s="1405">
        <v>3511</v>
      </c>
      <c r="K939" s="1282"/>
      <c r="L939" s="1406">
        <f t="shared" si="16"/>
        <v>46725</v>
      </c>
    </row>
    <row r="940" spans="1:13" ht="13.5">
      <c r="A940" s="1406">
        <v>46750</v>
      </c>
      <c r="B940" s="1405">
        <v>46800</v>
      </c>
      <c r="C940" s="4809">
        <v>0</v>
      </c>
      <c r="D940" s="1406">
        <v>0</v>
      </c>
      <c r="E940" s="1406">
        <v>1294</v>
      </c>
      <c r="F940" s="1405">
        <v>2119</v>
      </c>
      <c r="G940" s="4809">
        <v>0</v>
      </c>
      <c r="H940" s="1406">
        <v>1014</v>
      </c>
      <c r="I940" s="1406">
        <v>2675</v>
      </c>
      <c r="J940" s="1405">
        <v>3501</v>
      </c>
      <c r="K940" s="1282"/>
      <c r="L940" s="1406">
        <f t="shared" si="16"/>
        <v>46775</v>
      </c>
    </row>
    <row r="941" spans="1:13" ht="13.5">
      <c r="A941" s="1406">
        <v>46800</v>
      </c>
      <c r="B941" s="1405">
        <v>46850</v>
      </c>
      <c r="C941" s="4809">
        <v>0</v>
      </c>
      <c r="D941" s="1406">
        <v>0</v>
      </c>
      <c r="E941" s="1406">
        <v>1283</v>
      </c>
      <c r="F941" s="1405">
        <v>2109</v>
      </c>
      <c r="G941" s="4809">
        <v>0</v>
      </c>
      <c r="H941" s="1406">
        <v>1006</v>
      </c>
      <c r="I941" s="1406">
        <v>2665</v>
      </c>
      <c r="J941" s="1405">
        <v>3490</v>
      </c>
      <c r="K941" s="1282"/>
      <c r="L941" s="1406">
        <f t="shared" si="16"/>
        <v>46825</v>
      </c>
    </row>
    <row r="942" spans="1:13" ht="13.5">
      <c r="A942" s="1406">
        <v>46850</v>
      </c>
      <c r="B942" s="1405">
        <v>46900</v>
      </c>
      <c r="C942" s="4809">
        <v>0</v>
      </c>
      <c r="D942" s="1406">
        <v>0</v>
      </c>
      <c r="E942" s="1406">
        <v>1273</v>
      </c>
      <c r="F942" s="1405">
        <v>2098</v>
      </c>
      <c r="G942" s="4809">
        <v>0</v>
      </c>
      <c r="H942" s="1406">
        <v>998</v>
      </c>
      <c r="I942" s="1406">
        <v>2654</v>
      </c>
      <c r="J942" s="1405">
        <v>3480</v>
      </c>
      <c r="K942" s="1282"/>
      <c r="L942" s="1406">
        <f t="shared" si="16"/>
        <v>46875</v>
      </c>
    </row>
    <row r="943" spans="1:13" ht="13.5">
      <c r="A943" s="1406">
        <v>46900</v>
      </c>
      <c r="B943" s="1405">
        <v>46950</v>
      </c>
      <c r="C943" s="4809">
        <v>0</v>
      </c>
      <c r="D943" s="1406">
        <v>0</v>
      </c>
      <c r="E943" s="1406">
        <v>1262</v>
      </c>
      <c r="F943" s="1405">
        <v>2088</v>
      </c>
      <c r="G943" s="4809">
        <v>0</v>
      </c>
      <c r="H943" s="1406">
        <v>990</v>
      </c>
      <c r="I943" s="1406">
        <v>2644</v>
      </c>
      <c r="J943" s="1405">
        <v>3469</v>
      </c>
      <c r="K943" s="1282"/>
      <c r="L943" s="1406">
        <f t="shared" si="16"/>
        <v>46925</v>
      </c>
    </row>
    <row r="944" spans="1:13" ht="13.5">
      <c r="A944" s="1406">
        <v>46950</v>
      </c>
      <c r="B944" s="1405">
        <v>47000</v>
      </c>
      <c r="C944" s="4809">
        <v>0</v>
      </c>
      <c r="D944" s="1406">
        <v>0</v>
      </c>
      <c r="E944" s="1406">
        <v>1252</v>
      </c>
      <c r="F944" s="1405">
        <v>2077</v>
      </c>
      <c r="G944" s="4809">
        <v>0</v>
      </c>
      <c r="H944" s="1406">
        <v>982</v>
      </c>
      <c r="I944" s="1406">
        <v>2633</v>
      </c>
      <c r="J944" s="1405">
        <v>3459</v>
      </c>
      <c r="K944" s="1282"/>
      <c r="L944" s="1406">
        <f t="shared" si="16"/>
        <v>46975</v>
      </c>
    </row>
    <row r="945" spans="1:12" ht="13.5">
      <c r="A945" s="1406">
        <v>47000</v>
      </c>
      <c r="B945" s="1405">
        <v>47050</v>
      </c>
      <c r="C945" s="4809">
        <v>0</v>
      </c>
      <c r="D945" s="1406">
        <v>0</v>
      </c>
      <c r="E945" s="1406">
        <v>1241</v>
      </c>
      <c r="F945" s="1405">
        <v>2067</v>
      </c>
      <c r="G945" s="4809">
        <v>0</v>
      </c>
      <c r="H945" s="1406">
        <v>974</v>
      </c>
      <c r="I945" s="1406">
        <v>2623</v>
      </c>
      <c r="J945" s="1405">
        <v>3448</v>
      </c>
      <c r="K945" s="1282"/>
      <c r="L945" s="1406">
        <f t="shared" si="16"/>
        <v>47025</v>
      </c>
    </row>
    <row r="946" spans="1:12" ht="13.5">
      <c r="A946" s="1406">
        <v>47050</v>
      </c>
      <c r="B946" s="1405">
        <v>47100</v>
      </c>
      <c r="C946" s="4809">
        <v>0</v>
      </c>
      <c r="D946" s="1406">
        <v>0</v>
      </c>
      <c r="E946" s="1406">
        <v>1231</v>
      </c>
      <c r="F946" s="1405">
        <v>2056</v>
      </c>
      <c r="G946" s="4809">
        <v>0</v>
      </c>
      <c r="H946" s="1406">
        <v>966</v>
      </c>
      <c r="I946" s="1406">
        <v>2612</v>
      </c>
      <c r="J946" s="1405">
        <v>3438</v>
      </c>
      <c r="K946" s="1282"/>
      <c r="L946" s="1406">
        <f t="shared" si="16"/>
        <v>47075</v>
      </c>
    </row>
    <row r="947" spans="1:12" ht="13.5">
      <c r="A947" s="1406">
        <v>47100</v>
      </c>
      <c r="B947" s="1405">
        <v>47150</v>
      </c>
      <c r="C947" s="4809">
        <v>0</v>
      </c>
      <c r="D947" s="1406">
        <v>0</v>
      </c>
      <c r="E947" s="1406">
        <v>1220</v>
      </c>
      <c r="F947" s="1405">
        <v>2046</v>
      </c>
      <c r="G947" s="4809">
        <v>0</v>
      </c>
      <c r="H947" s="1406">
        <v>958</v>
      </c>
      <c r="I947" s="1406">
        <v>2602</v>
      </c>
      <c r="J947" s="1405">
        <v>3427</v>
      </c>
      <c r="K947" s="1282"/>
      <c r="L947" s="1406">
        <f t="shared" si="16"/>
        <v>47125</v>
      </c>
    </row>
    <row r="948" spans="1:12" ht="13.5">
      <c r="A948" s="1406">
        <v>47150</v>
      </c>
      <c r="B948" s="1405">
        <v>47200</v>
      </c>
      <c r="C948" s="4809">
        <v>0</v>
      </c>
      <c r="D948" s="1406">
        <v>0</v>
      </c>
      <c r="E948" s="1406">
        <v>1209</v>
      </c>
      <c r="F948" s="1405">
        <v>2035</v>
      </c>
      <c r="G948" s="4809">
        <v>0</v>
      </c>
      <c r="H948" s="1406">
        <v>950</v>
      </c>
      <c r="I948" s="1406">
        <v>2591</v>
      </c>
      <c r="J948" s="1405">
        <v>3417</v>
      </c>
      <c r="K948" s="1282"/>
      <c r="L948" s="1406">
        <f t="shared" si="16"/>
        <v>47175</v>
      </c>
    </row>
    <row r="949" spans="1:12" ht="13.5">
      <c r="A949" s="1406">
        <v>47200</v>
      </c>
      <c r="B949" s="1405">
        <v>47250</v>
      </c>
      <c r="C949" s="4809">
        <v>0</v>
      </c>
      <c r="D949" s="1406">
        <v>0</v>
      </c>
      <c r="E949" s="1406">
        <v>1199</v>
      </c>
      <c r="F949" s="1405">
        <v>2024</v>
      </c>
      <c r="G949" s="4809">
        <v>0</v>
      </c>
      <c r="H949" s="1406">
        <v>942</v>
      </c>
      <c r="I949" s="1406">
        <v>2580</v>
      </c>
      <c r="J949" s="1405">
        <v>3406</v>
      </c>
      <c r="K949" s="1282"/>
      <c r="L949" s="1406">
        <f t="shared" si="16"/>
        <v>47225</v>
      </c>
    </row>
    <row r="950" spans="1:12" ht="13.5">
      <c r="A950" s="1406">
        <v>47250</v>
      </c>
      <c r="B950" s="1405">
        <v>47300</v>
      </c>
      <c r="C950" s="4809">
        <v>0</v>
      </c>
      <c r="D950" s="1406">
        <v>0</v>
      </c>
      <c r="E950" s="1406">
        <v>1188</v>
      </c>
      <c r="F950" s="1405">
        <v>2014</v>
      </c>
      <c r="G950" s="4809">
        <v>0</v>
      </c>
      <c r="H950" s="1406">
        <v>934</v>
      </c>
      <c r="I950" s="1406">
        <v>2570</v>
      </c>
      <c r="J950" s="1405">
        <v>3395</v>
      </c>
      <c r="K950" s="1282"/>
      <c r="L950" s="1406">
        <f t="shared" si="16"/>
        <v>47275</v>
      </c>
    </row>
    <row r="951" spans="1:12" ht="13.5">
      <c r="A951" s="1406">
        <v>47300</v>
      </c>
      <c r="B951" s="1405">
        <v>47350</v>
      </c>
      <c r="C951" s="4809">
        <v>0</v>
      </c>
      <c r="D951" s="1406">
        <v>0</v>
      </c>
      <c r="E951" s="1406">
        <v>1178</v>
      </c>
      <c r="F951" s="1405">
        <v>2003</v>
      </c>
      <c r="G951" s="4809">
        <v>0</v>
      </c>
      <c r="H951" s="1406">
        <v>926</v>
      </c>
      <c r="I951" s="1406">
        <v>2559</v>
      </c>
      <c r="J951" s="1405">
        <v>3385</v>
      </c>
      <c r="K951" s="1282"/>
      <c r="L951" s="1406">
        <f t="shared" si="16"/>
        <v>47325</v>
      </c>
    </row>
    <row r="952" spans="1:12" ht="13.5">
      <c r="A952" s="1406">
        <v>47350</v>
      </c>
      <c r="B952" s="1405">
        <v>47400</v>
      </c>
      <c r="C952" s="4809">
        <v>0</v>
      </c>
      <c r="D952" s="1406">
        <v>0</v>
      </c>
      <c r="E952" s="1406">
        <v>1167</v>
      </c>
      <c r="F952" s="1405">
        <v>1993</v>
      </c>
      <c r="G952" s="4809">
        <v>0</v>
      </c>
      <c r="H952" s="1406">
        <v>918</v>
      </c>
      <c r="I952" s="1406">
        <v>2549</v>
      </c>
      <c r="J952" s="1405">
        <v>3374</v>
      </c>
      <c r="K952" s="1282"/>
      <c r="L952" s="1406">
        <f t="shared" si="16"/>
        <v>47375</v>
      </c>
    </row>
    <row r="953" spans="1:12" ht="13.5">
      <c r="A953" s="1406">
        <v>47400</v>
      </c>
      <c r="B953" s="1405">
        <v>47450</v>
      </c>
      <c r="C953" s="4809">
        <v>0</v>
      </c>
      <c r="D953" s="1406">
        <v>0</v>
      </c>
      <c r="E953" s="1406">
        <v>1157</v>
      </c>
      <c r="F953" s="1405">
        <v>1982</v>
      </c>
      <c r="G953" s="4809">
        <v>0</v>
      </c>
      <c r="H953" s="1406">
        <v>910</v>
      </c>
      <c r="I953" s="1406">
        <v>2538</v>
      </c>
      <c r="J953" s="1405">
        <v>3364</v>
      </c>
      <c r="K953" s="1282"/>
      <c r="L953" s="1406">
        <f t="shared" si="16"/>
        <v>47425</v>
      </c>
    </row>
    <row r="954" spans="1:12" ht="13.5">
      <c r="A954" s="1406">
        <v>47450</v>
      </c>
      <c r="B954" s="1405">
        <v>47500</v>
      </c>
      <c r="C954" s="4809">
        <v>0</v>
      </c>
      <c r="D954" s="1406">
        <v>0</v>
      </c>
      <c r="E954" s="1406">
        <v>1146</v>
      </c>
      <c r="F954" s="1405">
        <v>1972</v>
      </c>
      <c r="G954" s="4809">
        <v>0</v>
      </c>
      <c r="H954" s="1406">
        <v>902</v>
      </c>
      <c r="I954" s="1406">
        <v>2528</v>
      </c>
      <c r="J954" s="1405">
        <v>3353</v>
      </c>
      <c r="K954" s="1282"/>
      <c r="L954" s="1406">
        <f t="shared" si="16"/>
        <v>47475</v>
      </c>
    </row>
    <row r="955" spans="1:12" ht="13.5">
      <c r="A955" s="1406">
        <v>47500</v>
      </c>
      <c r="B955" s="1405">
        <v>47550</v>
      </c>
      <c r="C955" s="4809">
        <v>0</v>
      </c>
      <c r="D955" s="1406">
        <v>0</v>
      </c>
      <c r="E955" s="1406">
        <v>1136</v>
      </c>
      <c r="F955" s="1405">
        <v>1961</v>
      </c>
      <c r="G955" s="4809">
        <v>0</v>
      </c>
      <c r="H955" s="1406">
        <v>894</v>
      </c>
      <c r="I955" s="1406">
        <v>2517</v>
      </c>
      <c r="J955" s="1405">
        <v>3343</v>
      </c>
      <c r="K955" s="1282"/>
      <c r="L955" s="1406">
        <f t="shared" si="16"/>
        <v>47525</v>
      </c>
    </row>
    <row r="956" spans="1:12" ht="13.5">
      <c r="A956" s="1406">
        <v>47550</v>
      </c>
      <c r="B956" s="1405">
        <v>47600</v>
      </c>
      <c r="C956" s="4809">
        <v>0</v>
      </c>
      <c r="D956" s="1406">
        <v>0</v>
      </c>
      <c r="E956" s="1406">
        <v>1125</v>
      </c>
      <c r="F956" s="1405">
        <v>1951</v>
      </c>
      <c r="G956" s="4809">
        <v>0</v>
      </c>
      <c r="H956" s="1406">
        <v>886</v>
      </c>
      <c r="I956" s="1406">
        <v>2507</v>
      </c>
      <c r="J956" s="1405">
        <v>3332</v>
      </c>
      <c r="K956" s="1282"/>
      <c r="L956" s="1406">
        <f t="shared" si="16"/>
        <v>47575</v>
      </c>
    </row>
    <row r="957" spans="1:12" ht="13.5">
      <c r="A957" s="1406">
        <v>47600</v>
      </c>
      <c r="B957" s="1405">
        <v>47650</v>
      </c>
      <c r="C957" s="4809">
        <v>0</v>
      </c>
      <c r="D957" s="1406">
        <v>0</v>
      </c>
      <c r="E957" s="1406">
        <v>1115</v>
      </c>
      <c r="F957" s="1405">
        <v>1940</v>
      </c>
      <c r="G957" s="4809">
        <v>0</v>
      </c>
      <c r="H957" s="1406">
        <v>878</v>
      </c>
      <c r="I957" s="1406">
        <v>2496</v>
      </c>
      <c r="J957" s="1405">
        <v>3322</v>
      </c>
      <c r="K957" s="1282"/>
      <c r="L957" s="1406">
        <f t="shared" si="16"/>
        <v>47625</v>
      </c>
    </row>
    <row r="958" spans="1:12" ht="13.5">
      <c r="A958" s="1406">
        <v>47650</v>
      </c>
      <c r="B958" s="1405">
        <v>47700</v>
      </c>
      <c r="C958" s="4809">
        <v>0</v>
      </c>
      <c r="D958" s="1406">
        <v>0</v>
      </c>
      <c r="E958" s="1406">
        <v>1104</v>
      </c>
      <c r="F958" s="1405">
        <v>1930</v>
      </c>
      <c r="G958" s="4809">
        <v>0</v>
      </c>
      <c r="H958" s="1406">
        <v>870</v>
      </c>
      <c r="I958" s="1406">
        <v>2486</v>
      </c>
      <c r="J958" s="1405">
        <v>3311</v>
      </c>
      <c r="K958" s="1282"/>
      <c r="L958" s="1406">
        <f t="shared" si="16"/>
        <v>47675</v>
      </c>
    </row>
    <row r="959" spans="1:12" ht="13.5">
      <c r="A959" s="1406">
        <v>47700</v>
      </c>
      <c r="B959" s="1405">
        <v>47750</v>
      </c>
      <c r="C959" s="4809">
        <v>0</v>
      </c>
      <c r="D959" s="1406">
        <v>0</v>
      </c>
      <c r="E959" s="1406">
        <v>1094</v>
      </c>
      <c r="F959" s="1405">
        <v>1919</v>
      </c>
      <c r="G959" s="4809">
        <v>0</v>
      </c>
      <c r="H959" s="1406">
        <v>862</v>
      </c>
      <c r="I959" s="1406">
        <v>2475</v>
      </c>
      <c r="J959" s="1405">
        <v>3301</v>
      </c>
      <c r="K959" s="1282"/>
      <c r="L959" s="1406">
        <f t="shared" si="16"/>
        <v>47725</v>
      </c>
    </row>
    <row r="960" spans="1:12" ht="13.5">
      <c r="A960" s="1406">
        <v>47750</v>
      </c>
      <c r="B960" s="1405">
        <v>47800</v>
      </c>
      <c r="C960" s="4809">
        <v>0</v>
      </c>
      <c r="D960" s="1406">
        <v>0</v>
      </c>
      <c r="E960" s="1406">
        <v>1083</v>
      </c>
      <c r="F960" s="1405">
        <v>1909</v>
      </c>
      <c r="G960" s="4809">
        <v>0</v>
      </c>
      <c r="H960" s="1406">
        <v>854</v>
      </c>
      <c r="I960" s="1406">
        <v>2465</v>
      </c>
      <c r="J960" s="1405">
        <v>3290</v>
      </c>
      <c r="K960" s="1282"/>
      <c r="L960" s="1406">
        <f t="shared" si="16"/>
        <v>47775</v>
      </c>
    </row>
    <row r="961" spans="1:12" ht="13.5">
      <c r="A961" s="1406">
        <v>47800</v>
      </c>
      <c r="B961" s="1405">
        <v>47850</v>
      </c>
      <c r="C961" s="4809">
        <v>0</v>
      </c>
      <c r="D961" s="1406">
        <v>0</v>
      </c>
      <c r="E961" s="1406">
        <v>1073</v>
      </c>
      <c r="F961" s="1405">
        <v>1898</v>
      </c>
      <c r="G961" s="4809">
        <v>0</v>
      </c>
      <c r="H961" s="1406">
        <v>846</v>
      </c>
      <c r="I961" s="1406">
        <v>2454</v>
      </c>
      <c r="J961" s="1405">
        <v>3280</v>
      </c>
      <c r="K961" s="1282"/>
      <c r="L961" s="1406">
        <f t="shared" si="16"/>
        <v>47825</v>
      </c>
    </row>
    <row r="962" spans="1:12" ht="13.5">
      <c r="A962" s="1406">
        <v>47850</v>
      </c>
      <c r="B962" s="1405">
        <v>47900</v>
      </c>
      <c r="C962" s="4809">
        <v>0</v>
      </c>
      <c r="D962" s="1406">
        <v>0</v>
      </c>
      <c r="E962" s="1406">
        <v>1062</v>
      </c>
      <c r="F962" s="1405">
        <v>1888</v>
      </c>
      <c r="G962" s="4809">
        <v>0</v>
      </c>
      <c r="H962" s="1406">
        <v>838</v>
      </c>
      <c r="I962" s="1406">
        <v>2444</v>
      </c>
      <c r="J962" s="1405">
        <v>3269</v>
      </c>
      <c r="K962" s="1282"/>
      <c r="L962" s="1406">
        <f t="shared" si="16"/>
        <v>47875</v>
      </c>
    </row>
    <row r="963" spans="1:12" ht="13.5">
      <c r="A963" s="1406">
        <v>47900</v>
      </c>
      <c r="B963" s="1405">
        <v>47950</v>
      </c>
      <c r="C963" s="4809">
        <v>0</v>
      </c>
      <c r="D963" s="1406">
        <v>0</v>
      </c>
      <c r="E963" s="1406">
        <v>1052</v>
      </c>
      <c r="F963" s="1405">
        <v>1877</v>
      </c>
      <c r="G963" s="4809">
        <v>0</v>
      </c>
      <c r="H963" s="1406">
        <v>830</v>
      </c>
      <c r="I963" s="1406">
        <v>2433</v>
      </c>
      <c r="J963" s="1405">
        <v>3259</v>
      </c>
      <c r="K963" s="1282"/>
      <c r="L963" s="1406">
        <f t="shared" si="16"/>
        <v>47925</v>
      </c>
    </row>
    <row r="964" spans="1:12" ht="13.5">
      <c r="A964" s="1406">
        <v>47950</v>
      </c>
      <c r="B964" s="1405">
        <v>48000</v>
      </c>
      <c r="C964" s="4809">
        <v>0</v>
      </c>
      <c r="D964" s="1406">
        <v>0</v>
      </c>
      <c r="E964" s="1406">
        <v>1041</v>
      </c>
      <c r="F964" s="1405">
        <v>1867</v>
      </c>
      <c r="G964" s="4809">
        <v>0</v>
      </c>
      <c r="H964" s="1406">
        <v>822</v>
      </c>
      <c r="I964" s="1406">
        <v>2423</v>
      </c>
      <c r="J964" s="1405">
        <v>3248</v>
      </c>
      <c r="K964" s="1282"/>
      <c r="L964" s="1406">
        <f t="shared" si="16"/>
        <v>47975</v>
      </c>
    </row>
    <row r="965" spans="1:12" ht="13.5">
      <c r="A965" s="1406">
        <v>48000</v>
      </c>
      <c r="B965" s="1405">
        <v>48050</v>
      </c>
      <c r="C965" s="4809">
        <v>0</v>
      </c>
      <c r="D965" s="1406">
        <v>0</v>
      </c>
      <c r="E965" s="1406">
        <v>1030</v>
      </c>
      <c r="F965" s="1405">
        <v>1856</v>
      </c>
      <c r="G965" s="4809">
        <v>0</v>
      </c>
      <c r="H965" s="1406">
        <v>814</v>
      </c>
      <c r="I965" s="1406">
        <v>2412</v>
      </c>
      <c r="J965" s="1405">
        <v>3238</v>
      </c>
      <c r="K965" s="1282"/>
      <c r="L965" s="1406">
        <f t="shared" ref="L965:L1028" si="17">ROUND((A965+B965)/2,2)</f>
        <v>48025</v>
      </c>
    </row>
    <row r="966" spans="1:12" ht="13.5">
      <c r="A966" s="1406">
        <v>48050</v>
      </c>
      <c r="B966" s="1405">
        <v>48100</v>
      </c>
      <c r="C966" s="4809">
        <v>0</v>
      </c>
      <c r="D966" s="1406">
        <v>0</v>
      </c>
      <c r="E966" s="1406">
        <v>1020</v>
      </c>
      <c r="F966" s="1405">
        <v>1845</v>
      </c>
      <c r="G966" s="4809">
        <v>0</v>
      </c>
      <c r="H966" s="1406">
        <v>806</v>
      </c>
      <c r="I966" s="1406">
        <v>2401</v>
      </c>
      <c r="J966" s="1405">
        <v>3227</v>
      </c>
      <c r="K966" s="1282"/>
      <c r="L966" s="1406">
        <f t="shared" si="17"/>
        <v>48075</v>
      </c>
    </row>
    <row r="967" spans="1:12" ht="13.5">
      <c r="A967" s="1406">
        <v>48100</v>
      </c>
      <c r="B967" s="1405">
        <v>48150</v>
      </c>
      <c r="C967" s="4809">
        <v>0</v>
      </c>
      <c r="D967" s="1406">
        <v>0</v>
      </c>
      <c r="E967" s="1406">
        <v>1009</v>
      </c>
      <c r="F967" s="1405">
        <v>1835</v>
      </c>
      <c r="G967" s="4809">
        <v>0</v>
      </c>
      <c r="H967" s="1406">
        <v>798</v>
      </c>
      <c r="I967" s="1406">
        <v>2391</v>
      </c>
      <c r="J967" s="1405">
        <v>3216</v>
      </c>
      <c r="K967" s="1282"/>
      <c r="L967" s="1406">
        <f t="shared" si="17"/>
        <v>48125</v>
      </c>
    </row>
    <row r="968" spans="1:12" ht="13.5">
      <c r="A968" s="1406">
        <v>48150</v>
      </c>
      <c r="B968" s="1405">
        <v>48200</v>
      </c>
      <c r="C968" s="4809">
        <v>0</v>
      </c>
      <c r="D968" s="1406">
        <v>0</v>
      </c>
      <c r="E968" s="1406">
        <v>999</v>
      </c>
      <c r="F968" s="1405">
        <v>1824</v>
      </c>
      <c r="G968" s="4809">
        <v>0</v>
      </c>
      <c r="H968" s="1406">
        <v>790</v>
      </c>
      <c r="I968" s="1406">
        <v>2380</v>
      </c>
      <c r="J968" s="1405">
        <v>3206</v>
      </c>
      <c r="K968" s="1282"/>
      <c r="L968" s="1406">
        <f t="shared" si="17"/>
        <v>48175</v>
      </c>
    </row>
    <row r="969" spans="1:12" ht="13.5">
      <c r="A969" s="1406">
        <v>48200</v>
      </c>
      <c r="B969" s="1405">
        <v>48250</v>
      </c>
      <c r="C969" s="4809">
        <v>0</v>
      </c>
      <c r="D969" s="1406">
        <v>0</v>
      </c>
      <c r="E969" s="1406">
        <v>988</v>
      </c>
      <c r="F969" s="1405">
        <v>1814</v>
      </c>
      <c r="G969" s="4809">
        <v>0</v>
      </c>
      <c r="H969" s="1406">
        <v>782</v>
      </c>
      <c r="I969" s="1406">
        <v>2370</v>
      </c>
      <c r="J969" s="1405">
        <v>3195</v>
      </c>
      <c r="K969" s="1282"/>
      <c r="L969" s="1406">
        <f t="shared" si="17"/>
        <v>48225</v>
      </c>
    </row>
    <row r="970" spans="1:12" ht="13.5">
      <c r="A970" s="1406">
        <v>48250</v>
      </c>
      <c r="B970" s="1405">
        <v>48300</v>
      </c>
      <c r="C970" s="4809">
        <v>0</v>
      </c>
      <c r="D970" s="1406">
        <v>0</v>
      </c>
      <c r="E970" s="1406">
        <v>978</v>
      </c>
      <c r="F970" s="1405">
        <v>1803</v>
      </c>
      <c r="G970" s="4809">
        <v>0</v>
      </c>
      <c r="H970" s="1406">
        <v>774</v>
      </c>
      <c r="I970" s="1406">
        <v>2359</v>
      </c>
      <c r="J970" s="1405">
        <v>3185</v>
      </c>
      <c r="K970" s="1282"/>
      <c r="L970" s="1406">
        <f t="shared" si="17"/>
        <v>48275</v>
      </c>
    </row>
    <row r="971" spans="1:12" ht="13.5">
      <c r="A971" s="1406">
        <v>48300</v>
      </c>
      <c r="B971" s="1405">
        <v>48350</v>
      </c>
      <c r="C971" s="4809">
        <v>0</v>
      </c>
      <c r="D971" s="1406">
        <v>0</v>
      </c>
      <c r="E971" s="1406">
        <v>967</v>
      </c>
      <c r="F971" s="1405">
        <v>1793</v>
      </c>
      <c r="G971" s="4809">
        <v>0</v>
      </c>
      <c r="H971" s="1406">
        <v>766</v>
      </c>
      <c r="I971" s="1406">
        <v>2349</v>
      </c>
      <c r="J971" s="1405">
        <v>3174</v>
      </c>
      <c r="K971" s="1282"/>
      <c r="L971" s="1406">
        <f t="shared" si="17"/>
        <v>48325</v>
      </c>
    </row>
    <row r="972" spans="1:12" ht="13.5">
      <c r="A972" s="1406">
        <v>48350</v>
      </c>
      <c r="B972" s="1405">
        <v>48400</v>
      </c>
      <c r="C972" s="4809">
        <v>0</v>
      </c>
      <c r="D972" s="1406">
        <v>0</v>
      </c>
      <c r="E972" s="1406">
        <v>957</v>
      </c>
      <c r="F972" s="1405">
        <v>1782</v>
      </c>
      <c r="G972" s="4809">
        <v>0</v>
      </c>
      <c r="H972" s="1406">
        <v>758</v>
      </c>
      <c r="I972" s="1406">
        <v>2338</v>
      </c>
      <c r="J972" s="1405">
        <v>3164</v>
      </c>
      <c r="K972" s="1282"/>
      <c r="L972" s="1406">
        <f t="shared" si="17"/>
        <v>48375</v>
      </c>
    </row>
    <row r="973" spans="1:12" ht="13.5">
      <c r="A973" s="1406">
        <v>48400</v>
      </c>
      <c r="B973" s="1405">
        <v>48450</v>
      </c>
      <c r="C973" s="4809">
        <v>0</v>
      </c>
      <c r="D973" s="1406">
        <v>0</v>
      </c>
      <c r="E973" s="1406">
        <v>946</v>
      </c>
      <c r="F973" s="1405">
        <v>1772</v>
      </c>
      <c r="G973" s="4809">
        <v>0</v>
      </c>
      <c r="H973" s="1406">
        <v>750</v>
      </c>
      <c r="I973" s="1406">
        <v>2328</v>
      </c>
      <c r="J973" s="1405">
        <v>3153</v>
      </c>
      <c r="K973" s="1282"/>
      <c r="L973" s="1406">
        <f t="shared" si="17"/>
        <v>48425</v>
      </c>
    </row>
    <row r="974" spans="1:12" ht="13.5">
      <c r="A974" s="1406">
        <v>48450</v>
      </c>
      <c r="B974" s="1405">
        <v>48500</v>
      </c>
      <c r="C974" s="4809">
        <v>0</v>
      </c>
      <c r="D974" s="1406">
        <v>0</v>
      </c>
      <c r="E974" s="1406">
        <v>936</v>
      </c>
      <c r="F974" s="1405">
        <v>1761</v>
      </c>
      <c r="G974" s="4809">
        <v>0</v>
      </c>
      <c r="H974" s="1406">
        <v>742</v>
      </c>
      <c r="I974" s="1406">
        <v>2317</v>
      </c>
      <c r="J974" s="1405">
        <v>3143</v>
      </c>
      <c r="K974" s="1282"/>
      <c r="L974" s="1406">
        <f t="shared" si="17"/>
        <v>48475</v>
      </c>
    </row>
    <row r="975" spans="1:12" ht="13.5">
      <c r="A975" s="1406">
        <v>48500</v>
      </c>
      <c r="B975" s="1405">
        <v>48550</v>
      </c>
      <c r="C975" s="4809">
        <v>0</v>
      </c>
      <c r="D975" s="1406">
        <v>0</v>
      </c>
      <c r="E975" s="1406">
        <v>925</v>
      </c>
      <c r="F975" s="1405">
        <v>1751</v>
      </c>
      <c r="G975" s="4809">
        <v>0</v>
      </c>
      <c r="H975" s="1406">
        <v>734</v>
      </c>
      <c r="I975" s="1406">
        <v>2307</v>
      </c>
      <c r="J975" s="1405">
        <v>3132</v>
      </c>
      <c r="K975" s="1282"/>
      <c r="L975" s="1406">
        <f t="shared" si="17"/>
        <v>48525</v>
      </c>
    </row>
    <row r="976" spans="1:12" ht="13.5">
      <c r="A976" s="1406">
        <v>48550</v>
      </c>
      <c r="B976" s="1405">
        <v>48600</v>
      </c>
      <c r="C976" s="4809">
        <v>0</v>
      </c>
      <c r="D976" s="1406">
        <v>0</v>
      </c>
      <c r="E976" s="1406">
        <v>915</v>
      </c>
      <c r="F976" s="1405">
        <v>1740</v>
      </c>
      <c r="G976" s="4809">
        <v>0</v>
      </c>
      <c r="H976" s="1406">
        <v>726</v>
      </c>
      <c r="I976" s="1406">
        <v>2296</v>
      </c>
      <c r="J976" s="1405">
        <v>3122</v>
      </c>
      <c r="K976" s="1282"/>
      <c r="L976" s="1406">
        <f t="shared" si="17"/>
        <v>48575</v>
      </c>
    </row>
    <row r="977" spans="1:12" ht="13.5">
      <c r="A977" s="1406">
        <v>48600</v>
      </c>
      <c r="B977" s="1405">
        <v>48650</v>
      </c>
      <c r="C977" s="4809">
        <v>0</v>
      </c>
      <c r="D977" s="1406">
        <v>0</v>
      </c>
      <c r="E977" s="1406">
        <v>904</v>
      </c>
      <c r="F977" s="1405">
        <v>1730</v>
      </c>
      <c r="G977" s="4809">
        <v>0</v>
      </c>
      <c r="H977" s="1406">
        <v>718</v>
      </c>
      <c r="I977" s="1406">
        <v>2286</v>
      </c>
      <c r="J977" s="1405">
        <v>3111</v>
      </c>
      <c r="K977" s="1282"/>
      <c r="L977" s="1406">
        <f t="shared" si="17"/>
        <v>48625</v>
      </c>
    </row>
    <row r="978" spans="1:12" ht="13.5">
      <c r="A978" s="1406">
        <v>48650</v>
      </c>
      <c r="B978" s="1405">
        <v>48700</v>
      </c>
      <c r="C978" s="4809">
        <v>0</v>
      </c>
      <c r="D978" s="1406">
        <v>0</v>
      </c>
      <c r="E978" s="1406">
        <v>894</v>
      </c>
      <c r="F978" s="1405">
        <v>1719</v>
      </c>
      <c r="G978" s="4809">
        <v>0</v>
      </c>
      <c r="H978" s="1406">
        <v>710</v>
      </c>
      <c r="I978" s="1406">
        <v>2275</v>
      </c>
      <c r="J978" s="1405">
        <v>3101</v>
      </c>
      <c r="K978" s="1282"/>
      <c r="L978" s="1406">
        <f t="shared" si="17"/>
        <v>48675</v>
      </c>
    </row>
    <row r="979" spans="1:12" ht="13.5">
      <c r="A979" s="1406">
        <v>48700</v>
      </c>
      <c r="B979" s="1405">
        <v>48750</v>
      </c>
      <c r="C979" s="4809">
        <v>0</v>
      </c>
      <c r="D979" s="1406">
        <v>0</v>
      </c>
      <c r="E979" s="1406">
        <v>883</v>
      </c>
      <c r="F979" s="1405">
        <v>1709</v>
      </c>
      <c r="G979" s="4809">
        <v>0</v>
      </c>
      <c r="H979" s="1406">
        <v>702</v>
      </c>
      <c r="I979" s="1406">
        <v>2265</v>
      </c>
      <c r="J979" s="1405">
        <v>3090</v>
      </c>
      <c r="K979" s="1282"/>
      <c r="L979" s="1406">
        <f t="shared" si="17"/>
        <v>48725</v>
      </c>
    </row>
    <row r="980" spans="1:12" ht="13.5">
      <c r="A980" s="1406">
        <v>48750</v>
      </c>
      <c r="B980" s="1405">
        <v>48800</v>
      </c>
      <c r="C980" s="4809">
        <v>0</v>
      </c>
      <c r="D980" s="1406">
        <v>0</v>
      </c>
      <c r="E980" s="1406">
        <v>873</v>
      </c>
      <c r="F980" s="1405">
        <v>1698</v>
      </c>
      <c r="G980" s="4809">
        <v>0</v>
      </c>
      <c r="H980" s="1406">
        <v>694</v>
      </c>
      <c r="I980" s="1406">
        <v>2254</v>
      </c>
      <c r="J980" s="1405">
        <v>3080</v>
      </c>
      <c r="K980" s="1282"/>
      <c r="L980" s="1406">
        <f t="shared" si="17"/>
        <v>48775</v>
      </c>
    </row>
    <row r="981" spans="1:12" ht="13.5">
      <c r="A981" s="1406">
        <v>48800</v>
      </c>
      <c r="B981" s="1405">
        <v>48850</v>
      </c>
      <c r="C981" s="4809">
        <v>0</v>
      </c>
      <c r="D981" s="1406">
        <v>0</v>
      </c>
      <c r="E981" s="1406">
        <v>862</v>
      </c>
      <c r="F981" s="1405">
        <v>1687</v>
      </c>
      <c r="G981" s="4809">
        <v>0</v>
      </c>
      <c r="H981" s="1406">
        <v>686</v>
      </c>
      <c r="I981" s="1406">
        <v>2244</v>
      </c>
      <c r="J981" s="1405">
        <v>3069</v>
      </c>
      <c r="K981" s="1282"/>
      <c r="L981" s="1406">
        <f t="shared" si="17"/>
        <v>48825</v>
      </c>
    </row>
    <row r="982" spans="1:12" ht="13.5">
      <c r="A982" s="1406">
        <v>48850</v>
      </c>
      <c r="B982" s="1405">
        <v>48900</v>
      </c>
      <c r="C982" s="4809">
        <v>0</v>
      </c>
      <c r="D982" s="1406">
        <v>0</v>
      </c>
      <c r="E982" s="1406">
        <v>851</v>
      </c>
      <c r="F982" s="1405">
        <v>1677</v>
      </c>
      <c r="G982" s="4809">
        <v>0</v>
      </c>
      <c r="H982" s="1406">
        <v>678</v>
      </c>
      <c r="I982" s="1406">
        <v>2233</v>
      </c>
      <c r="J982" s="1405">
        <v>3058</v>
      </c>
      <c r="K982" s="1282"/>
      <c r="L982" s="1406">
        <f t="shared" si="17"/>
        <v>48875</v>
      </c>
    </row>
    <row r="983" spans="1:12" ht="13.5">
      <c r="A983" s="1406">
        <v>48900</v>
      </c>
      <c r="B983" s="1405">
        <v>48950</v>
      </c>
      <c r="C983" s="4809">
        <v>0</v>
      </c>
      <c r="D983" s="1406">
        <v>0</v>
      </c>
      <c r="E983" s="1406">
        <v>841</v>
      </c>
      <c r="F983" s="1405">
        <v>1666</v>
      </c>
      <c r="G983" s="4809">
        <v>0</v>
      </c>
      <c r="H983" s="1406">
        <v>670</v>
      </c>
      <c r="I983" s="1406">
        <v>2222</v>
      </c>
      <c r="J983" s="1405">
        <v>3048</v>
      </c>
      <c r="K983" s="1282"/>
      <c r="L983" s="1406">
        <f t="shared" si="17"/>
        <v>48925</v>
      </c>
    </row>
    <row r="984" spans="1:12" ht="13.5">
      <c r="A984" s="1406">
        <v>48950</v>
      </c>
      <c r="B984" s="1405">
        <v>49000</v>
      </c>
      <c r="C984" s="4809">
        <v>0</v>
      </c>
      <c r="D984" s="1406">
        <v>0</v>
      </c>
      <c r="E984" s="1406">
        <v>830</v>
      </c>
      <c r="F984" s="1405">
        <v>1656</v>
      </c>
      <c r="G984" s="4809">
        <v>0</v>
      </c>
      <c r="H984" s="1406">
        <v>662</v>
      </c>
      <c r="I984" s="1406">
        <v>2212</v>
      </c>
      <c r="J984" s="1405">
        <v>3037</v>
      </c>
      <c r="K984" s="1282"/>
      <c r="L984" s="1406">
        <f t="shared" si="17"/>
        <v>48975</v>
      </c>
    </row>
    <row r="985" spans="1:12" ht="13.5">
      <c r="A985" s="1406">
        <v>49000</v>
      </c>
      <c r="B985" s="1405">
        <v>49050</v>
      </c>
      <c r="C985" s="4809">
        <v>0</v>
      </c>
      <c r="D985" s="1406">
        <v>0</v>
      </c>
      <c r="E985" s="1406">
        <v>820</v>
      </c>
      <c r="F985" s="1405">
        <v>1645</v>
      </c>
      <c r="G985" s="4809">
        <v>0</v>
      </c>
      <c r="H985" s="1406">
        <v>654</v>
      </c>
      <c r="I985" s="1406">
        <v>2201</v>
      </c>
      <c r="J985" s="1405">
        <v>3027</v>
      </c>
      <c r="K985" s="1282"/>
      <c r="L985" s="1406">
        <f t="shared" si="17"/>
        <v>49025</v>
      </c>
    </row>
    <row r="986" spans="1:12" ht="13.5">
      <c r="A986" s="1406">
        <v>49050</v>
      </c>
      <c r="B986" s="1405">
        <v>49100</v>
      </c>
      <c r="C986" s="4809">
        <v>0</v>
      </c>
      <c r="D986" s="1406">
        <v>0</v>
      </c>
      <c r="E986" s="1406">
        <v>809</v>
      </c>
      <c r="F986" s="1405">
        <v>1635</v>
      </c>
      <c r="G986" s="4809">
        <v>0</v>
      </c>
      <c r="H986" s="1406">
        <v>646</v>
      </c>
      <c r="I986" s="1406">
        <v>2191</v>
      </c>
      <c r="J986" s="1405">
        <v>3016</v>
      </c>
      <c r="K986" s="1282"/>
      <c r="L986" s="1406">
        <f t="shared" si="17"/>
        <v>49075</v>
      </c>
    </row>
    <row r="987" spans="1:12" ht="13.5">
      <c r="A987" s="1406">
        <v>49100</v>
      </c>
      <c r="B987" s="1405">
        <v>49150</v>
      </c>
      <c r="C987" s="4809">
        <v>0</v>
      </c>
      <c r="D987" s="1406">
        <v>0</v>
      </c>
      <c r="E987" s="1406">
        <v>799</v>
      </c>
      <c r="F987" s="1405">
        <v>1624</v>
      </c>
      <c r="G987" s="4809">
        <v>0</v>
      </c>
      <c r="H987" s="1406">
        <v>638</v>
      </c>
      <c r="I987" s="1406">
        <v>2180</v>
      </c>
      <c r="J987" s="1405">
        <v>3006</v>
      </c>
      <c r="K987" s="1282"/>
      <c r="L987" s="1406">
        <f t="shared" si="17"/>
        <v>49125</v>
      </c>
    </row>
    <row r="988" spans="1:12" ht="13.5">
      <c r="A988" s="1406">
        <v>49150</v>
      </c>
      <c r="B988" s="1405">
        <v>49200</v>
      </c>
      <c r="C988" s="4809">
        <v>0</v>
      </c>
      <c r="D988" s="1406">
        <v>0</v>
      </c>
      <c r="E988" s="1406">
        <v>788</v>
      </c>
      <c r="F988" s="1405">
        <v>1614</v>
      </c>
      <c r="G988" s="4809">
        <v>0</v>
      </c>
      <c r="H988" s="1406">
        <v>630</v>
      </c>
      <c r="I988" s="1406">
        <v>2170</v>
      </c>
      <c r="J988" s="1405">
        <v>2995</v>
      </c>
      <c r="K988" s="1282"/>
      <c r="L988" s="1406">
        <f t="shared" si="17"/>
        <v>49175</v>
      </c>
    </row>
    <row r="989" spans="1:12" ht="13.5">
      <c r="A989" s="1406">
        <v>49200</v>
      </c>
      <c r="B989" s="1405">
        <v>49250</v>
      </c>
      <c r="C989" s="4809">
        <v>0</v>
      </c>
      <c r="D989" s="1406">
        <v>0</v>
      </c>
      <c r="E989" s="1406">
        <v>778</v>
      </c>
      <c r="F989" s="1405">
        <v>1603</v>
      </c>
      <c r="G989" s="4809">
        <v>0</v>
      </c>
      <c r="H989" s="1406">
        <v>622</v>
      </c>
      <c r="I989" s="1406">
        <v>2159</v>
      </c>
      <c r="J989" s="1405">
        <v>2985</v>
      </c>
      <c r="K989" s="1282"/>
      <c r="L989" s="1406">
        <f t="shared" si="17"/>
        <v>49225</v>
      </c>
    </row>
    <row r="990" spans="1:12" ht="13.5">
      <c r="A990" s="1406">
        <v>49250</v>
      </c>
      <c r="B990" s="1405">
        <v>49300</v>
      </c>
      <c r="C990" s="4809">
        <v>0</v>
      </c>
      <c r="D990" s="1406">
        <v>0</v>
      </c>
      <c r="E990" s="1406">
        <v>767</v>
      </c>
      <c r="F990" s="1405">
        <v>1593</v>
      </c>
      <c r="G990" s="4809">
        <v>0</v>
      </c>
      <c r="H990" s="1406">
        <v>614</v>
      </c>
      <c r="I990" s="1406">
        <v>2149</v>
      </c>
      <c r="J990" s="1405">
        <v>2974</v>
      </c>
      <c r="K990" s="1282"/>
      <c r="L990" s="1406">
        <f t="shared" si="17"/>
        <v>49275</v>
      </c>
    </row>
    <row r="991" spans="1:12" ht="13.5">
      <c r="A991" s="1406">
        <v>49300</v>
      </c>
      <c r="B991" s="1405">
        <v>49350</v>
      </c>
      <c r="C991" s="4809">
        <v>0</v>
      </c>
      <c r="D991" s="1406">
        <v>0</v>
      </c>
      <c r="E991" s="1406">
        <v>757</v>
      </c>
      <c r="F991" s="1405">
        <v>1582</v>
      </c>
      <c r="G991" s="4809">
        <v>0</v>
      </c>
      <c r="H991" s="1406">
        <v>606</v>
      </c>
      <c r="I991" s="1406">
        <v>2138</v>
      </c>
      <c r="J991" s="1405">
        <v>2964</v>
      </c>
      <c r="K991" s="1282"/>
      <c r="L991" s="1406">
        <f t="shared" si="17"/>
        <v>49325</v>
      </c>
    </row>
    <row r="992" spans="1:12" ht="13.5">
      <c r="A992" s="1406">
        <v>49350</v>
      </c>
      <c r="B992" s="1405">
        <v>49400</v>
      </c>
      <c r="C992" s="4809">
        <v>0</v>
      </c>
      <c r="D992" s="1406">
        <v>0</v>
      </c>
      <c r="E992" s="1406">
        <v>746</v>
      </c>
      <c r="F992" s="1405">
        <v>1572</v>
      </c>
      <c r="G992" s="4809">
        <v>0</v>
      </c>
      <c r="H992" s="1406">
        <v>598</v>
      </c>
      <c r="I992" s="1406">
        <v>2128</v>
      </c>
      <c r="J992" s="1405">
        <v>2953</v>
      </c>
      <c r="K992" s="1282"/>
      <c r="L992" s="1406">
        <f t="shared" si="17"/>
        <v>49375</v>
      </c>
    </row>
    <row r="993" spans="1:12" ht="13.5">
      <c r="A993" s="1406">
        <v>49400</v>
      </c>
      <c r="B993" s="1405">
        <v>49450</v>
      </c>
      <c r="C993" s="4809">
        <v>0</v>
      </c>
      <c r="D993" s="1406">
        <v>0</v>
      </c>
      <c r="E993" s="1406">
        <v>736</v>
      </c>
      <c r="F993" s="1405">
        <v>1561</v>
      </c>
      <c r="G993" s="4809">
        <v>0</v>
      </c>
      <c r="H993" s="1406">
        <v>590</v>
      </c>
      <c r="I993" s="1406">
        <v>2117</v>
      </c>
      <c r="J993" s="1405">
        <v>2943</v>
      </c>
      <c r="K993" s="1282"/>
      <c r="L993" s="1406">
        <f t="shared" si="17"/>
        <v>49425</v>
      </c>
    </row>
    <row r="994" spans="1:12" ht="13.5">
      <c r="A994" s="1406">
        <v>49450</v>
      </c>
      <c r="B994" s="1405">
        <v>49500</v>
      </c>
      <c r="C994" s="4809">
        <v>0</v>
      </c>
      <c r="D994" s="1406">
        <v>0</v>
      </c>
      <c r="E994" s="1406">
        <v>725</v>
      </c>
      <c r="F994" s="1405">
        <v>1551</v>
      </c>
      <c r="G994" s="4809">
        <v>0</v>
      </c>
      <c r="H994" s="1406">
        <v>582</v>
      </c>
      <c r="I994" s="1406">
        <v>2107</v>
      </c>
      <c r="J994" s="1405">
        <v>2932</v>
      </c>
      <c r="K994" s="1282"/>
      <c r="L994" s="1406">
        <f t="shared" si="17"/>
        <v>49475</v>
      </c>
    </row>
    <row r="995" spans="1:12" ht="13.5">
      <c r="A995" s="1406">
        <v>49500</v>
      </c>
      <c r="B995" s="1405">
        <v>49550</v>
      </c>
      <c r="C995" s="4809">
        <v>0</v>
      </c>
      <c r="D995" s="1406">
        <v>0</v>
      </c>
      <c r="E995" s="1406">
        <v>715</v>
      </c>
      <c r="F995" s="1405">
        <v>1540</v>
      </c>
      <c r="G995" s="4809">
        <v>0</v>
      </c>
      <c r="H995" s="1406">
        <v>574</v>
      </c>
      <c r="I995" s="1406">
        <v>2096</v>
      </c>
      <c r="J995" s="1405">
        <v>2922</v>
      </c>
      <c r="K995" s="1282"/>
      <c r="L995" s="1406">
        <f t="shared" si="17"/>
        <v>49525</v>
      </c>
    </row>
    <row r="996" spans="1:12" ht="13.5">
      <c r="A996" s="1406">
        <v>49550</v>
      </c>
      <c r="B996" s="1405">
        <v>49600</v>
      </c>
      <c r="C996" s="4809">
        <v>0</v>
      </c>
      <c r="D996" s="1406">
        <v>0</v>
      </c>
      <c r="E996" s="1406">
        <v>704</v>
      </c>
      <c r="F996" s="1405">
        <v>1530</v>
      </c>
      <c r="G996" s="4809">
        <v>0</v>
      </c>
      <c r="H996" s="1406">
        <v>566</v>
      </c>
      <c r="I996" s="1406">
        <v>2086</v>
      </c>
      <c r="J996" s="1405">
        <v>2911</v>
      </c>
      <c r="K996" s="1282"/>
      <c r="L996" s="1406">
        <f t="shared" si="17"/>
        <v>49575</v>
      </c>
    </row>
    <row r="997" spans="1:12" ht="13.5">
      <c r="A997" s="1406">
        <v>49600</v>
      </c>
      <c r="B997" s="1405">
        <v>49650</v>
      </c>
      <c r="C997" s="4809">
        <v>0</v>
      </c>
      <c r="D997" s="1406">
        <v>0</v>
      </c>
      <c r="E997" s="1406">
        <v>694</v>
      </c>
      <c r="F997" s="1405">
        <v>1519</v>
      </c>
      <c r="G997" s="4809">
        <v>0</v>
      </c>
      <c r="H997" s="1406">
        <v>559</v>
      </c>
      <c r="I997" s="1406">
        <v>2075</v>
      </c>
      <c r="J997" s="1405">
        <v>2901</v>
      </c>
      <c r="K997" s="1282"/>
      <c r="L997" s="1406">
        <f t="shared" si="17"/>
        <v>49625</v>
      </c>
    </row>
    <row r="998" spans="1:12" ht="13.5">
      <c r="A998" s="1406">
        <v>49650</v>
      </c>
      <c r="B998" s="1405">
        <v>49700</v>
      </c>
      <c r="C998" s="4809">
        <v>0</v>
      </c>
      <c r="D998" s="1406">
        <v>0</v>
      </c>
      <c r="E998" s="1406">
        <v>683</v>
      </c>
      <c r="F998" s="1405">
        <v>1508</v>
      </c>
      <c r="G998" s="4809">
        <v>0</v>
      </c>
      <c r="H998" s="1406">
        <v>551</v>
      </c>
      <c r="I998" s="1406">
        <v>2065</v>
      </c>
      <c r="J998" s="1405">
        <v>2890</v>
      </c>
      <c r="K998" s="1282"/>
      <c r="L998" s="1406">
        <f t="shared" si="17"/>
        <v>49675</v>
      </c>
    </row>
    <row r="999" spans="1:12" ht="13.5">
      <c r="A999" s="1406">
        <v>49700</v>
      </c>
      <c r="B999" s="1405">
        <v>49750</v>
      </c>
      <c r="C999" s="4809">
        <v>0</v>
      </c>
      <c r="D999" s="1406">
        <v>0</v>
      </c>
      <c r="E999" s="1406">
        <v>672</v>
      </c>
      <c r="F999" s="1405">
        <v>1498</v>
      </c>
      <c r="G999" s="4809">
        <v>0</v>
      </c>
      <c r="H999" s="1406">
        <v>543</v>
      </c>
      <c r="I999" s="1406">
        <v>2054</v>
      </c>
      <c r="J999" s="1405">
        <v>2879</v>
      </c>
      <c r="K999" s="1282"/>
      <c r="L999" s="1406">
        <f t="shared" si="17"/>
        <v>49725</v>
      </c>
    </row>
    <row r="1000" spans="1:12" ht="13.5">
      <c r="A1000" s="1406">
        <v>49750</v>
      </c>
      <c r="B1000" s="1405">
        <v>49800</v>
      </c>
      <c r="C1000" s="4809">
        <v>0</v>
      </c>
      <c r="D1000" s="1406">
        <v>0</v>
      </c>
      <c r="E1000" s="1406">
        <v>662</v>
      </c>
      <c r="F1000" s="1405">
        <v>1487</v>
      </c>
      <c r="G1000" s="4809">
        <v>0</v>
      </c>
      <c r="H1000" s="1406">
        <v>535</v>
      </c>
      <c r="I1000" s="1406">
        <v>2043</v>
      </c>
      <c r="J1000" s="1405">
        <v>2869</v>
      </c>
      <c r="K1000" s="1282"/>
      <c r="L1000" s="1406">
        <f t="shared" si="17"/>
        <v>49775</v>
      </c>
    </row>
    <row r="1001" spans="1:12" ht="13.5">
      <c r="A1001" s="1406">
        <v>49800</v>
      </c>
      <c r="B1001" s="1405">
        <v>49850</v>
      </c>
      <c r="C1001" s="4809">
        <v>0</v>
      </c>
      <c r="D1001" s="1406">
        <v>0</v>
      </c>
      <c r="E1001" s="1406">
        <v>651</v>
      </c>
      <c r="F1001" s="1405">
        <v>1477</v>
      </c>
      <c r="G1001" s="4809">
        <v>0</v>
      </c>
      <c r="H1001" s="1406">
        <v>527</v>
      </c>
      <c r="I1001" s="1406">
        <v>2033</v>
      </c>
      <c r="J1001" s="1405">
        <v>2858</v>
      </c>
      <c r="K1001" s="1282"/>
      <c r="L1001" s="1406">
        <f t="shared" si="17"/>
        <v>49825</v>
      </c>
    </row>
    <row r="1002" spans="1:12" ht="13.5">
      <c r="A1002" s="1406">
        <v>49850</v>
      </c>
      <c r="B1002" s="1405">
        <v>49900</v>
      </c>
      <c r="C1002" s="4809">
        <v>0</v>
      </c>
      <c r="D1002" s="1406">
        <v>0</v>
      </c>
      <c r="E1002" s="1406">
        <v>641</v>
      </c>
      <c r="F1002" s="1405">
        <v>1466</v>
      </c>
      <c r="G1002" s="4809">
        <v>0</v>
      </c>
      <c r="H1002" s="1406">
        <v>519</v>
      </c>
      <c r="I1002" s="1406">
        <v>2022</v>
      </c>
      <c r="J1002" s="1405">
        <v>2848</v>
      </c>
      <c r="K1002" s="1282"/>
      <c r="L1002" s="1406">
        <f t="shared" si="17"/>
        <v>49875</v>
      </c>
    </row>
    <row r="1003" spans="1:12" ht="13.5">
      <c r="A1003" s="1406">
        <v>49900</v>
      </c>
      <c r="B1003" s="1405">
        <v>49950</v>
      </c>
      <c r="C1003" s="4809">
        <v>0</v>
      </c>
      <c r="D1003" s="1406">
        <v>0</v>
      </c>
      <c r="E1003" s="1406">
        <v>630</v>
      </c>
      <c r="F1003" s="1405">
        <v>1456</v>
      </c>
      <c r="G1003" s="4809">
        <v>0</v>
      </c>
      <c r="H1003" s="1406">
        <v>511</v>
      </c>
      <c r="I1003" s="1406">
        <v>2012</v>
      </c>
      <c r="J1003" s="1405">
        <v>2837</v>
      </c>
      <c r="K1003" s="1282"/>
      <c r="L1003" s="1406">
        <f t="shared" si="17"/>
        <v>49925</v>
      </c>
    </row>
    <row r="1004" spans="1:12" ht="13.5">
      <c r="A1004" s="1406">
        <v>49950</v>
      </c>
      <c r="B1004" s="1405">
        <v>50000</v>
      </c>
      <c r="C1004" s="4809">
        <v>0</v>
      </c>
      <c r="D1004" s="1406">
        <v>0</v>
      </c>
      <c r="E1004" s="1406">
        <v>620</v>
      </c>
      <c r="F1004" s="1405">
        <v>1445</v>
      </c>
      <c r="G1004" s="4809">
        <v>0</v>
      </c>
      <c r="H1004" s="1406">
        <v>503</v>
      </c>
      <c r="I1004" s="1406">
        <v>2001</v>
      </c>
      <c r="J1004" s="1405">
        <v>2827</v>
      </c>
      <c r="K1004" s="1282"/>
      <c r="L1004" s="1406">
        <f t="shared" si="17"/>
        <v>49975</v>
      </c>
    </row>
    <row r="1005" spans="1:12" ht="13.5">
      <c r="A1005" s="1406">
        <v>50000</v>
      </c>
      <c r="B1005" s="1405">
        <v>50050</v>
      </c>
      <c r="C1005" s="4809">
        <v>0</v>
      </c>
      <c r="D1005" s="1406">
        <v>0</v>
      </c>
      <c r="E1005" s="1406">
        <v>609</v>
      </c>
      <c r="F1005" s="1405">
        <v>1435</v>
      </c>
      <c r="G1005" s="4809">
        <v>0</v>
      </c>
      <c r="H1005" s="1406">
        <v>495</v>
      </c>
      <c r="I1005" s="1406">
        <v>1991</v>
      </c>
      <c r="J1005" s="1405">
        <v>2816</v>
      </c>
      <c r="K1005" s="1282"/>
      <c r="L1005" s="1406">
        <f t="shared" si="17"/>
        <v>50025</v>
      </c>
    </row>
    <row r="1006" spans="1:12" ht="13.5">
      <c r="A1006" s="1406">
        <v>50050</v>
      </c>
      <c r="B1006" s="1405">
        <v>50100</v>
      </c>
      <c r="C1006" s="4809">
        <v>0</v>
      </c>
      <c r="D1006" s="1406">
        <v>0</v>
      </c>
      <c r="E1006" s="1406">
        <v>599</v>
      </c>
      <c r="F1006" s="1405">
        <v>1424</v>
      </c>
      <c r="G1006" s="4809">
        <v>0</v>
      </c>
      <c r="H1006" s="1406">
        <v>487</v>
      </c>
      <c r="I1006" s="1406">
        <v>1980</v>
      </c>
      <c r="J1006" s="1405">
        <v>2806</v>
      </c>
      <c r="K1006" s="1282"/>
      <c r="L1006" s="1406">
        <f t="shared" si="17"/>
        <v>50075</v>
      </c>
    </row>
    <row r="1007" spans="1:12" ht="13.5">
      <c r="A1007" s="1406">
        <v>50100</v>
      </c>
      <c r="B1007" s="1405">
        <v>50150</v>
      </c>
      <c r="C1007" s="4809">
        <v>0</v>
      </c>
      <c r="D1007" s="1406">
        <v>0</v>
      </c>
      <c r="E1007" s="1406">
        <v>588</v>
      </c>
      <c r="F1007" s="1405">
        <v>1414</v>
      </c>
      <c r="G1007" s="4809">
        <v>0</v>
      </c>
      <c r="H1007" s="1406">
        <v>479</v>
      </c>
      <c r="I1007" s="1406">
        <v>1970</v>
      </c>
      <c r="J1007" s="1405">
        <v>2795</v>
      </c>
      <c r="K1007" s="1282"/>
      <c r="L1007" s="1406">
        <f t="shared" si="17"/>
        <v>50125</v>
      </c>
    </row>
    <row r="1008" spans="1:12" ht="13.5">
      <c r="A1008" s="1406">
        <v>50150</v>
      </c>
      <c r="B1008" s="1405">
        <v>50200</v>
      </c>
      <c r="C1008" s="4809">
        <v>0</v>
      </c>
      <c r="D1008" s="1406">
        <v>0</v>
      </c>
      <c r="E1008" s="1406">
        <v>578</v>
      </c>
      <c r="F1008" s="1405">
        <v>1403</v>
      </c>
      <c r="G1008" s="4809">
        <v>0</v>
      </c>
      <c r="H1008" s="1406">
        <v>471</v>
      </c>
      <c r="I1008" s="1406">
        <v>1959</v>
      </c>
      <c r="J1008" s="1405">
        <v>2785</v>
      </c>
      <c r="K1008" s="1282"/>
      <c r="L1008" s="1406">
        <f t="shared" si="17"/>
        <v>50175</v>
      </c>
    </row>
    <row r="1009" spans="1:12" ht="13.5">
      <c r="A1009" s="1406">
        <v>50200</v>
      </c>
      <c r="B1009" s="1405">
        <v>50250</v>
      </c>
      <c r="C1009" s="4809">
        <v>0</v>
      </c>
      <c r="D1009" s="1406">
        <v>0</v>
      </c>
      <c r="E1009" s="1406">
        <v>567</v>
      </c>
      <c r="F1009" s="1405">
        <v>1393</v>
      </c>
      <c r="G1009" s="4809">
        <v>0</v>
      </c>
      <c r="H1009" s="1406">
        <v>463</v>
      </c>
      <c r="I1009" s="1406">
        <v>1949</v>
      </c>
      <c r="J1009" s="1405">
        <v>2774</v>
      </c>
      <c r="K1009" s="1282"/>
      <c r="L1009" s="1406">
        <f t="shared" si="17"/>
        <v>50225</v>
      </c>
    </row>
    <row r="1010" spans="1:12" ht="13.5">
      <c r="A1010" s="1406">
        <v>50250</v>
      </c>
      <c r="B1010" s="1405">
        <v>50300</v>
      </c>
      <c r="C1010" s="4809">
        <v>0</v>
      </c>
      <c r="D1010" s="1406">
        <v>0</v>
      </c>
      <c r="E1010" s="1406">
        <v>557</v>
      </c>
      <c r="F1010" s="1405">
        <v>1382</v>
      </c>
      <c r="G1010" s="4809">
        <v>0</v>
      </c>
      <c r="H1010" s="1406">
        <v>455</v>
      </c>
      <c r="I1010" s="1406">
        <v>1938</v>
      </c>
      <c r="J1010" s="1405">
        <v>2764</v>
      </c>
      <c r="K1010" s="1282"/>
      <c r="L1010" s="1406">
        <f t="shared" si="17"/>
        <v>50275</v>
      </c>
    </row>
    <row r="1011" spans="1:12" ht="13.5">
      <c r="A1011" s="1406">
        <v>50300</v>
      </c>
      <c r="B1011" s="1405">
        <v>50350</v>
      </c>
      <c r="C1011" s="4809">
        <v>0</v>
      </c>
      <c r="D1011" s="1406">
        <v>0</v>
      </c>
      <c r="E1011" s="1406">
        <v>546</v>
      </c>
      <c r="F1011" s="1405">
        <v>1372</v>
      </c>
      <c r="G1011" s="4809">
        <v>0</v>
      </c>
      <c r="H1011" s="1406">
        <v>447</v>
      </c>
      <c r="I1011" s="1406">
        <v>1928</v>
      </c>
      <c r="J1011" s="1405">
        <v>2753</v>
      </c>
      <c r="K1011" s="1282"/>
      <c r="L1011" s="1406">
        <f t="shared" si="17"/>
        <v>50325</v>
      </c>
    </row>
    <row r="1012" spans="1:12" ht="13.5">
      <c r="A1012" s="1406">
        <v>50350</v>
      </c>
      <c r="B1012" s="1405">
        <v>50400</v>
      </c>
      <c r="C1012" s="4809">
        <v>0</v>
      </c>
      <c r="D1012" s="1406">
        <v>0</v>
      </c>
      <c r="E1012" s="1406">
        <v>536</v>
      </c>
      <c r="F1012" s="1405">
        <v>1361</v>
      </c>
      <c r="G1012" s="4809">
        <v>0</v>
      </c>
      <c r="H1012" s="1406">
        <v>439</v>
      </c>
      <c r="I1012" s="1406">
        <v>1917</v>
      </c>
      <c r="J1012" s="1405">
        <v>2743</v>
      </c>
      <c r="K1012" s="1282"/>
      <c r="L1012" s="1406">
        <f t="shared" si="17"/>
        <v>50375</v>
      </c>
    </row>
    <row r="1013" spans="1:12" ht="13.5">
      <c r="A1013" s="1406">
        <v>50400</v>
      </c>
      <c r="B1013" s="1405">
        <v>50450</v>
      </c>
      <c r="C1013" s="4809">
        <v>0</v>
      </c>
      <c r="D1013" s="1406">
        <v>0</v>
      </c>
      <c r="E1013" s="1406">
        <v>525</v>
      </c>
      <c r="F1013" s="1405">
        <v>1351</v>
      </c>
      <c r="G1013" s="4809">
        <v>0</v>
      </c>
      <c r="H1013" s="1406">
        <v>431</v>
      </c>
      <c r="I1013" s="1406">
        <v>1907</v>
      </c>
      <c r="J1013" s="1405">
        <v>2732</v>
      </c>
      <c r="K1013" s="1282"/>
      <c r="L1013" s="1406">
        <f t="shared" si="17"/>
        <v>50425</v>
      </c>
    </row>
    <row r="1014" spans="1:12" ht="13.5">
      <c r="A1014" s="1406">
        <v>50450</v>
      </c>
      <c r="B1014" s="1405">
        <v>50500</v>
      </c>
      <c r="C1014" s="4809">
        <v>0</v>
      </c>
      <c r="D1014" s="1406">
        <v>0</v>
      </c>
      <c r="E1014" s="1406">
        <v>515</v>
      </c>
      <c r="F1014" s="1405">
        <v>1340</v>
      </c>
      <c r="G1014" s="4809">
        <v>0</v>
      </c>
      <c r="H1014" s="1406">
        <v>423</v>
      </c>
      <c r="I1014" s="1406">
        <v>1896</v>
      </c>
      <c r="J1014" s="1405">
        <v>2722</v>
      </c>
      <c r="K1014" s="1282"/>
      <c r="L1014" s="1406">
        <f t="shared" si="17"/>
        <v>50475</v>
      </c>
    </row>
    <row r="1015" spans="1:12" ht="13.5">
      <c r="A1015" s="1406">
        <v>50500</v>
      </c>
      <c r="B1015" s="1405">
        <v>50550</v>
      </c>
      <c r="C1015" s="4809">
        <v>0</v>
      </c>
      <c r="D1015" s="1406">
        <v>0</v>
      </c>
      <c r="E1015" s="1406">
        <v>504</v>
      </c>
      <c r="F1015" s="1405">
        <v>1329</v>
      </c>
      <c r="G1015" s="4809">
        <v>0</v>
      </c>
      <c r="H1015" s="1406">
        <v>415</v>
      </c>
      <c r="I1015" s="1406">
        <v>1886</v>
      </c>
      <c r="J1015" s="1405">
        <v>2711</v>
      </c>
      <c r="K1015" s="1282"/>
      <c r="L1015" s="1406">
        <f t="shared" si="17"/>
        <v>50525</v>
      </c>
    </row>
    <row r="1016" spans="1:12" ht="13.5">
      <c r="A1016" s="1406">
        <v>50550</v>
      </c>
      <c r="B1016" s="1405">
        <v>50600</v>
      </c>
      <c r="C1016" s="4809">
        <v>0</v>
      </c>
      <c r="D1016" s="1406">
        <v>0</v>
      </c>
      <c r="E1016" s="1406">
        <v>493</v>
      </c>
      <c r="F1016" s="1405">
        <v>1319</v>
      </c>
      <c r="G1016" s="4809">
        <v>0</v>
      </c>
      <c r="H1016" s="1406">
        <v>407</v>
      </c>
      <c r="I1016" s="1406">
        <v>1875</v>
      </c>
      <c r="J1016" s="1405">
        <v>2700</v>
      </c>
      <c r="K1016" s="1282"/>
      <c r="L1016" s="1406">
        <f t="shared" si="17"/>
        <v>50575</v>
      </c>
    </row>
    <row r="1017" spans="1:12" ht="13.5">
      <c r="A1017" s="1406">
        <v>50600</v>
      </c>
      <c r="B1017" s="1405">
        <v>50650</v>
      </c>
      <c r="C1017" s="4809">
        <v>0</v>
      </c>
      <c r="D1017" s="1406">
        <v>0</v>
      </c>
      <c r="E1017" s="1406">
        <v>483</v>
      </c>
      <c r="F1017" s="1405">
        <v>1308</v>
      </c>
      <c r="G1017" s="4809">
        <v>0</v>
      </c>
      <c r="H1017" s="1406">
        <v>399</v>
      </c>
      <c r="I1017" s="1406">
        <v>1864</v>
      </c>
      <c r="J1017" s="1405">
        <v>2690</v>
      </c>
      <c r="K1017" s="1282"/>
      <c r="L1017" s="1406">
        <f t="shared" si="17"/>
        <v>50625</v>
      </c>
    </row>
    <row r="1018" spans="1:12" ht="13.5">
      <c r="A1018" s="1406">
        <v>50650</v>
      </c>
      <c r="B1018" s="1405">
        <v>50700</v>
      </c>
      <c r="C1018" s="4809">
        <v>0</v>
      </c>
      <c r="D1018" s="1406">
        <v>0</v>
      </c>
      <c r="E1018" s="1406">
        <v>472</v>
      </c>
      <c r="F1018" s="1405">
        <v>1298</v>
      </c>
      <c r="G1018" s="4809">
        <v>0</v>
      </c>
      <c r="H1018" s="1406">
        <v>391</v>
      </c>
      <c r="I1018" s="1406">
        <v>1854</v>
      </c>
      <c r="J1018" s="1405">
        <v>2679</v>
      </c>
      <c r="K1018" s="1282"/>
      <c r="L1018" s="1406">
        <f t="shared" si="17"/>
        <v>50675</v>
      </c>
    </row>
    <row r="1019" spans="1:12" ht="13.5">
      <c r="A1019" s="1406">
        <v>50700</v>
      </c>
      <c r="B1019" s="1405">
        <v>50750</v>
      </c>
      <c r="C1019" s="4809">
        <v>0</v>
      </c>
      <c r="D1019" s="1406">
        <v>0</v>
      </c>
      <c r="E1019" s="1406">
        <v>462</v>
      </c>
      <c r="F1019" s="1405">
        <v>1287</v>
      </c>
      <c r="G1019" s="4809">
        <v>0</v>
      </c>
      <c r="H1019" s="1406">
        <v>383</v>
      </c>
      <c r="I1019" s="1406">
        <v>1843</v>
      </c>
      <c r="J1019" s="1405">
        <v>2669</v>
      </c>
      <c r="K1019" s="1282"/>
      <c r="L1019" s="1406">
        <f t="shared" si="17"/>
        <v>50725</v>
      </c>
    </row>
    <row r="1020" spans="1:12" ht="13.5">
      <c r="A1020" s="1406">
        <v>50750</v>
      </c>
      <c r="B1020" s="1405">
        <v>50800</v>
      </c>
      <c r="C1020" s="4809">
        <v>0</v>
      </c>
      <c r="D1020" s="1406">
        <v>0</v>
      </c>
      <c r="E1020" s="1406">
        <v>451</v>
      </c>
      <c r="F1020" s="1405">
        <v>1277</v>
      </c>
      <c r="G1020" s="4809">
        <v>0</v>
      </c>
      <c r="H1020" s="1406">
        <v>375</v>
      </c>
      <c r="I1020" s="1406">
        <v>1833</v>
      </c>
      <c r="J1020" s="1405">
        <v>2658</v>
      </c>
      <c r="K1020" s="1282"/>
      <c r="L1020" s="1406">
        <f t="shared" si="17"/>
        <v>50775</v>
      </c>
    </row>
    <row r="1021" spans="1:12" ht="13.5">
      <c r="A1021" s="1406">
        <v>50800</v>
      </c>
      <c r="B1021" s="1405">
        <v>50850</v>
      </c>
      <c r="C1021" s="4809">
        <v>0</v>
      </c>
      <c r="D1021" s="1406">
        <v>0</v>
      </c>
      <c r="E1021" s="1406">
        <v>441</v>
      </c>
      <c r="F1021" s="1405">
        <v>1266</v>
      </c>
      <c r="G1021" s="4809">
        <v>0</v>
      </c>
      <c r="H1021" s="1406">
        <v>367</v>
      </c>
      <c r="I1021" s="1406">
        <v>1822</v>
      </c>
      <c r="J1021" s="1405">
        <v>2648</v>
      </c>
      <c r="K1021" s="1282"/>
      <c r="L1021" s="1406">
        <f t="shared" si="17"/>
        <v>50825</v>
      </c>
    </row>
    <row r="1022" spans="1:12" ht="13.5">
      <c r="A1022" s="1406">
        <v>50850</v>
      </c>
      <c r="B1022" s="1405">
        <v>50900</v>
      </c>
      <c r="C1022" s="4809">
        <v>0</v>
      </c>
      <c r="D1022" s="1406">
        <v>0</v>
      </c>
      <c r="E1022" s="1406">
        <v>430</v>
      </c>
      <c r="F1022" s="1405">
        <v>1256</v>
      </c>
      <c r="G1022" s="4809">
        <v>0</v>
      </c>
      <c r="H1022" s="1406">
        <v>359</v>
      </c>
      <c r="I1022" s="1406">
        <v>1812</v>
      </c>
      <c r="J1022" s="1405">
        <v>2637</v>
      </c>
      <c r="K1022" s="1282"/>
      <c r="L1022" s="1406">
        <f t="shared" si="17"/>
        <v>50875</v>
      </c>
    </row>
    <row r="1023" spans="1:12" ht="13.5">
      <c r="A1023" s="1406">
        <v>50900</v>
      </c>
      <c r="B1023" s="1405">
        <v>50950</v>
      </c>
      <c r="C1023" s="4809">
        <v>0</v>
      </c>
      <c r="D1023" s="1406">
        <v>0</v>
      </c>
      <c r="E1023" s="1406">
        <v>420</v>
      </c>
      <c r="F1023" s="1405">
        <v>1245</v>
      </c>
      <c r="G1023" s="4809">
        <v>0</v>
      </c>
      <c r="H1023" s="1406">
        <v>351</v>
      </c>
      <c r="I1023" s="1406">
        <v>1801</v>
      </c>
      <c r="J1023" s="1405">
        <v>2627</v>
      </c>
      <c r="K1023" s="1282"/>
      <c r="L1023" s="1406">
        <f t="shared" si="17"/>
        <v>50925</v>
      </c>
    </row>
    <row r="1024" spans="1:12" ht="13.5">
      <c r="A1024" s="1406">
        <v>50950</v>
      </c>
      <c r="B1024" s="1405">
        <v>51000</v>
      </c>
      <c r="C1024" s="4809">
        <v>0</v>
      </c>
      <c r="D1024" s="1406">
        <v>0</v>
      </c>
      <c r="E1024" s="1406">
        <v>409</v>
      </c>
      <c r="F1024" s="1405">
        <v>1235</v>
      </c>
      <c r="G1024" s="4809">
        <v>0</v>
      </c>
      <c r="H1024" s="1406">
        <v>343</v>
      </c>
      <c r="I1024" s="1406">
        <v>1791</v>
      </c>
      <c r="J1024" s="1405">
        <v>2616</v>
      </c>
      <c r="K1024" s="1282"/>
      <c r="L1024" s="1406">
        <f t="shared" si="17"/>
        <v>50975</v>
      </c>
    </row>
    <row r="1025" spans="1:12" ht="13.5">
      <c r="A1025" s="1406">
        <v>51000</v>
      </c>
      <c r="B1025" s="1405">
        <v>51050</v>
      </c>
      <c r="C1025" s="4809">
        <v>0</v>
      </c>
      <c r="D1025" s="1406">
        <v>0</v>
      </c>
      <c r="E1025" s="1406">
        <v>399</v>
      </c>
      <c r="F1025" s="1405">
        <v>1224</v>
      </c>
      <c r="G1025" s="4809">
        <v>0</v>
      </c>
      <c r="H1025" s="1406">
        <v>335</v>
      </c>
      <c r="I1025" s="1406">
        <v>1780</v>
      </c>
      <c r="J1025" s="1405">
        <v>2606</v>
      </c>
      <c r="K1025" s="1282"/>
      <c r="L1025" s="1406">
        <f t="shared" si="17"/>
        <v>51025</v>
      </c>
    </row>
    <row r="1026" spans="1:12" ht="13.5">
      <c r="A1026" s="1406">
        <v>51050</v>
      </c>
      <c r="B1026" s="1405">
        <v>51100</v>
      </c>
      <c r="C1026" s="4809">
        <v>0</v>
      </c>
      <c r="D1026" s="1406">
        <v>0</v>
      </c>
      <c r="E1026" s="1406">
        <v>388</v>
      </c>
      <c r="F1026" s="1405">
        <v>1214</v>
      </c>
      <c r="G1026" s="4809">
        <v>0</v>
      </c>
      <c r="H1026" s="1406">
        <v>327</v>
      </c>
      <c r="I1026" s="1406">
        <v>1770</v>
      </c>
      <c r="J1026" s="1405">
        <v>2595</v>
      </c>
      <c r="K1026" s="1282"/>
      <c r="L1026" s="1406">
        <f t="shared" si="17"/>
        <v>51075</v>
      </c>
    </row>
    <row r="1027" spans="1:12" ht="13.5">
      <c r="A1027" s="1406">
        <v>51100</v>
      </c>
      <c r="B1027" s="1405">
        <v>51150</v>
      </c>
      <c r="C1027" s="4809">
        <v>0</v>
      </c>
      <c r="D1027" s="1406">
        <v>0</v>
      </c>
      <c r="E1027" s="1406">
        <v>378</v>
      </c>
      <c r="F1027" s="1405">
        <v>1203</v>
      </c>
      <c r="G1027" s="4809">
        <v>0</v>
      </c>
      <c r="H1027" s="1406">
        <v>319</v>
      </c>
      <c r="I1027" s="1406">
        <v>1759</v>
      </c>
      <c r="J1027" s="1405">
        <v>2585</v>
      </c>
      <c r="K1027" s="1282"/>
      <c r="L1027" s="1406">
        <f t="shared" si="17"/>
        <v>51125</v>
      </c>
    </row>
    <row r="1028" spans="1:12" ht="13.5">
      <c r="A1028" s="1406">
        <v>51150</v>
      </c>
      <c r="B1028" s="1405">
        <v>51200</v>
      </c>
      <c r="C1028" s="4809">
        <v>0</v>
      </c>
      <c r="D1028" s="1406">
        <v>0</v>
      </c>
      <c r="E1028" s="1406">
        <v>367</v>
      </c>
      <c r="F1028" s="1405">
        <v>1193</v>
      </c>
      <c r="G1028" s="4809">
        <v>0</v>
      </c>
      <c r="H1028" s="1406">
        <v>311</v>
      </c>
      <c r="I1028" s="1406">
        <v>1749</v>
      </c>
      <c r="J1028" s="1405">
        <v>2574</v>
      </c>
      <c r="K1028" s="1282"/>
      <c r="L1028" s="1406">
        <f t="shared" si="17"/>
        <v>51175</v>
      </c>
    </row>
    <row r="1029" spans="1:12" ht="13.5">
      <c r="A1029" s="1406">
        <v>51200</v>
      </c>
      <c r="B1029" s="1405">
        <v>51250</v>
      </c>
      <c r="C1029" s="4809">
        <v>0</v>
      </c>
      <c r="D1029" s="1406">
        <v>0</v>
      </c>
      <c r="E1029" s="1406">
        <v>357</v>
      </c>
      <c r="F1029" s="1405">
        <v>1182</v>
      </c>
      <c r="G1029" s="4809">
        <v>0</v>
      </c>
      <c r="H1029" s="1406">
        <v>303</v>
      </c>
      <c r="I1029" s="1406">
        <v>1738</v>
      </c>
      <c r="J1029" s="1405">
        <v>2564</v>
      </c>
      <c r="K1029" s="1282"/>
      <c r="L1029" s="1406">
        <f t="shared" ref="L1029:L1096" si="18">ROUND((A1029+B1029)/2,2)</f>
        <v>51225</v>
      </c>
    </row>
    <row r="1030" spans="1:12" ht="13.5">
      <c r="A1030" s="1406">
        <v>51250</v>
      </c>
      <c r="B1030" s="1405">
        <v>51300</v>
      </c>
      <c r="C1030" s="4809">
        <v>0</v>
      </c>
      <c r="D1030" s="1406">
        <v>0</v>
      </c>
      <c r="E1030" s="1406">
        <v>346</v>
      </c>
      <c r="F1030" s="1405">
        <v>1172</v>
      </c>
      <c r="G1030" s="4809">
        <v>0</v>
      </c>
      <c r="H1030" s="1406">
        <v>295</v>
      </c>
      <c r="I1030" s="1406">
        <v>1728</v>
      </c>
      <c r="J1030" s="1405">
        <v>2553</v>
      </c>
      <c r="K1030" s="1282"/>
      <c r="L1030" s="1406">
        <f t="shared" si="18"/>
        <v>51275</v>
      </c>
    </row>
    <row r="1031" spans="1:12" ht="13.5">
      <c r="A1031" s="1406">
        <v>51300</v>
      </c>
      <c r="B1031" s="1405">
        <v>51350</v>
      </c>
      <c r="C1031" s="4809">
        <v>0</v>
      </c>
      <c r="D1031" s="1406">
        <v>0</v>
      </c>
      <c r="E1031" s="1406">
        <v>335</v>
      </c>
      <c r="F1031" s="1405">
        <v>1161</v>
      </c>
      <c r="G1031" s="4809">
        <v>0</v>
      </c>
      <c r="H1031" s="1406">
        <v>287</v>
      </c>
      <c r="I1031" s="1406">
        <v>1717</v>
      </c>
      <c r="J1031" s="1405">
        <v>2543</v>
      </c>
      <c r="K1031" s="1282"/>
      <c r="L1031" s="1406">
        <f t="shared" si="18"/>
        <v>51325</v>
      </c>
    </row>
    <row r="1032" spans="1:12" ht="13.5">
      <c r="A1032" s="1406">
        <v>51350</v>
      </c>
      <c r="B1032" s="1405">
        <v>51400</v>
      </c>
      <c r="C1032" s="4809">
        <v>0</v>
      </c>
      <c r="D1032" s="1406">
        <v>0</v>
      </c>
      <c r="E1032" s="1406">
        <v>325</v>
      </c>
      <c r="F1032" s="1405">
        <v>1150</v>
      </c>
      <c r="G1032" s="4809">
        <v>0</v>
      </c>
      <c r="H1032" s="1406">
        <v>279</v>
      </c>
      <c r="I1032" s="1406">
        <v>1706</v>
      </c>
      <c r="J1032" s="1405">
        <v>2532</v>
      </c>
      <c r="K1032" s="1282"/>
      <c r="L1032" s="1406">
        <f t="shared" si="18"/>
        <v>51375</v>
      </c>
    </row>
    <row r="1033" spans="1:12" ht="13.5">
      <c r="A1033" s="1406">
        <v>51400</v>
      </c>
      <c r="B1033" s="1405">
        <v>51450</v>
      </c>
      <c r="C1033" s="4809">
        <v>0</v>
      </c>
      <c r="D1033" s="1406">
        <v>0</v>
      </c>
      <c r="E1033" s="1406">
        <v>314</v>
      </c>
      <c r="F1033" s="1405">
        <v>1140</v>
      </c>
      <c r="G1033" s="4809">
        <v>0</v>
      </c>
      <c r="H1033" s="1406">
        <v>271</v>
      </c>
      <c r="I1033" s="1406">
        <v>1696</v>
      </c>
      <c r="J1033" s="1405">
        <v>2521</v>
      </c>
      <c r="K1033" s="1282"/>
      <c r="L1033" s="1406">
        <f t="shared" si="18"/>
        <v>51425</v>
      </c>
    </row>
    <row r="1034" spans="1:12" ht="13.5">
      <c r="A1034" s="1406">
        <v>51450</v>
      </c>
      <c r="B1034" s="1405">
        <v>51500</v>
      </c>
      <c r="C1034" s="4809">
        <v>0</v>
      </c>
      <c r="D1034" s="1406">
        <v>0</v>
      </c>
      <c r="E1034" s="1406">
        <v>304</v>
      </c>
      <c r="F1034" s="1405">
        <v>1129</v>
      </c>
      <c r="G1034" s="4809">
        <v>0</v>
      </c>
      <c r="H1034" s="1406">
        <v>263</v>
      </c>
      <c r="I1034" s="1406">
        <v>1685</v>
      </c>
      <c r="J1034" s="1405">
        <v>2511</v>
      </c>
      <c r="K1034" s="1282"/>
      <c r="L1034" s="1406">
        <f t="shared" si="18"/>
        <v>51475</v>
      </c>
    </row>
    <row r="1035" spans="1:12" ht="13.5">
      <c r="A1035" s="1406">
        <v>51500</v>
      </c>
      <c r="B1035" s="1405">
        <v>51550</v>
      </c>
      <c r="C1035" s="4809">
        <v>0</v>
      </c>
      <c r="D1035" s="1406">
        <v>0</v>
      </c>
      <c r="E1035" s="1406">
        <v>293</v>
      </c>
      <c r="F1035" s="1405">
        <v>1119</v>
      </c>
      <c r="G1035" s="4809">
        <v>0</v>
      </c>
      <c r="H1035" s="1406">
        <v>255</v>
      </c>
      <c r="I1035" s="1406">
        <v>1675</v>
      </c>
      <c r="J1035" s="1405">
        <v>2500</v>
      </c>
      <c r="K1035" s="1282"/>
      <c r="L1035" s="1406">
        <f t="shared" si="18"/>
        <v>51525</v>
      </c>
    </row>
    <row r="1036" spans="1:12" ht="13.5">
      <c r="A1036" s="1406">
        <v>51550</v>
      </c>
      <c r="B1036" s="1405">
        <v>51600</v>
      </c>
      <c r="C1036" s="4809">
        <v>0</v>
      </c>
      <c r="D1036" s="1406">
        <v>0</v>
      </c>
      <c r="E1036" s="1406">
        <v>283</v>
      </c>
      <c r="F1036" s="1405">
        <v>1108</v>
      </c>
      <c r="G1036" s="4809">
        <v>0</v>
      </c>
      <c r="H1036" s="1406">
        <v>247</v>
      </c>
      <c r="I1036" s="1406">
        <v>1664</v>
      </c>
      <c r="J1036" s="1405">
        <v>2490</v>
      </c>
      <c r="K1036" s="1282"/>
      <c r="L1036" s="1406">
        <f t="shared" si="18"/>
        <v>51575</v>
      </c>
    </row>
    <row r="1037" spans="1:12" ht="13.5">
      <c r="A1037" s="1406">
        <v>51600</v>
      </c>
      <c r="B1037" s="1405">
        <v>51650</v>
      </c>
      <c r="C1037" s="4809">
        <v>0</v>
      </c>
      <c r="D1037" s="1406">
        <v>0</v>
      </c>
      <c r="E1037" s="1406">
        <v>272</v>
      </c>
      <c r="F1037" s="1405">
        <v>1098</v>
      </c>
      <c r="G1037" s="4809">
        <v>0</v>
      </c>
      <c r="H1037" s="1406">
        <v>239</v>
      </c>
      <c r="I1037" s="1406">
        <v>1654</v>
      </c>
      <c r="J1037" s="1405">
        <v>2479</v>
      </c>
      <c r="K1037" s="1282"/>
      <c r="L1037" s="1406">
        <f t="shared" si="18"/>
        <v>51625</v>
      </c>
    </row>
    <row r="1038" spans="1:12" ht="13.5">
      <c r="A1038" s="1406">
        <v>51650</v>
      </c>
      <c r="B1038" s="1405">
        <v>51700</v>
      </c>
      <c r="C1038" s="4809">
        <v>0</v>
      </c>
      <c r="D1038" s="1406">
        <v>0</v>
      </c>
      <c r="E1038" s="1406">
        <v>262</v>
      </c>
      <c r="F1038" s="1405">
        <v>1087</v>
      </c>
      <c r="G1038" s="4809">
        <v>0</v>
      </c>
      <c r="H1038" s="1406">
        <v>231</v>
      </c>
      <c r="I1038" s="1406">
        <v>1643</v>
      </c>
      <c r="J1038" s="1405">
        <v>2469</v>
      </c>
      <c r="K1038" s="1282"/>
      <c r="L1038" s="1406">
        <f t="shared" si="18"/>
        <v>51675</v>
      </c>
    </row>
    <row r="1039" spans="1:12" ht="13.5">
      <c r="A1039" s="1406">
        <v>51700</v>
      </c>
      <c r="B1039" s="1405">
        <v>51750</v>
      </c>
      <c r="C1039" s="4809">
        <v>0</v>
      </c>
      <c r="D1039" s="1406">
        <v>0</v>
      </c>
      <c r="E1039" s="1406">
        <v>251</v>
      </c>
      <c r="F1039" s="1405">
        <v>1077</v>
      </c>
      <c r="G1039" s="4809">
        <v>0</v>
      </c>
      <c r="H1039" s="1406">
        <v>223</v>
      </c>
      <c r="I1039" s="1406">
        <v>1633</v>
      </c>
      <c r="J1039" s="1405">
        <v>2458</v>
      </c>
      <c r="K1039" s="1282"/>
      <c r="L1039" s="1406">
        <f t="shared" si="18"/>
        <v>51725</v>
      </c>
    </row>
    <row r="1040" spans="1:12" ht="13.5">
      <c r="A1040" s="1406">
        <v>51750</v>
      </c>
      <c r="B1040" s="1405">
        <v>51800</v>
      </c>
      <c r="C1040" s="4809">
        <v>0</v>
      </c>
      <c r="D1040" s="1406">
        <v>0</v>
      </c>
      <c r="E1040" s="1406">
        <v>241</v>
      </c>
      <c r="F1040" s="1405">
        <v>1066</v>
      </c>
      <c r="G1040" s="4809">
        <v>0</v>
      </c>
      <c r="H1040" s="1406">
        <v>215</v>
      </c>
      <c r="I1040" s="1406">
        <v>1622</v>
      </c>
      <c r="J1040" s="1405">
        <v>2448</v>
      </c>
      <c r="K1040" s="1282"/>
      <c r="L1040" s="1406">
        <f t="shared" si="18"/>
        <v>51775</v>
      </c>
    </row>
    <row r="1041" spans="1:12" ht="13.5">
      <c r="A1041" s="1406">
        <v>51800</v>
      </c>
      <c r="B1041" s="1405">
        <v>51850</v>
      </c>
      <c r="C1041" s="4809">
        <v>0</v>
      </c>
      <c r="D1041" s="1406">
        <v>0</v>
      </c>
      <c r="E1041" s="1406">
        <v>230</v>
      </c>
      <c r="F1041" s="1405">
        <v>1056</v>
      </c>
      <c r="G1041" s="4809">
        <v>0</v>
      </c>
      <c r="H1041" s="1406">
        <v>207</v>
      </c>
      <c r="I1041" s="1406">
        <v>1612</v>
      </c>
      <c r="J1041" s="1405">
        <v>2437</v>
      </c>
      <c r="K1041" s="1282"/>
      <c r="L1041" s="1406">
        <f t="shared" si="18"/>
        <v>51825</v>
      </c>
    </row>
    <row r="1042" spans="1:12" ht="13.5">
      <c r="A1042" s="1406">
        <v>51850</v>
      </c>
      <c r="B1042" s="1405">
        <v>51900</v>
      </c>
      <c r="C1042" s="4809">
        <v>0</v>
      </c>
      <c r="D1042" s="1406">
        <v>0</v>
      </c>
      <c r="E1042" s="1406">
        <v>220</v>
      </c>
      <c r="F1042" s="1405">
        <v>1045</v>
      </c>
      <c r="G1042" s="4809">
        <v>0</v>
      </c>
      <c r="H1042" s="1406">
        <v>199</v>
      </c>
      <c r="I1042" s="1406">
        <v>1601</v>
      </c>
      <c r="J1042" s="1405">
        <v>2427</v>
      </c>
      <c r="K1042" s="1282"/>
      <c r="L1042" s="1406">
        <f t="shared" si="18"/>
        <v>51875</v>
      </c>
    </row>
    <row r="1043" spans="1:12" ht="13.5">
      <c r="A1043" s="1406">
        <v>51900</v>
      </c>
      <c r="B1043" s="1405">
        <v>51950</v>
      </c>
      <c r="C1043" s="4809">
        <v>0</v>
      </c>
      <c r="D1043" s="1406">
        <v>0</v>
      </c>
      <c r="E1043" s="1406">
        <v>209</v>
      </c>
      <c r="F1043" s="1405">
        <v>1035</v>
      </c>
      <c r="G1043" s="4809">
        <v>0</v>
      </c>
      <c r="H1043" s="1406">
        <v>191</v>
      </c>
      <c r="I1043" s="1406">
        <v>1591</v>
      </c>
      <c r="J1043" s="1405">
        <v>2416</v>
      </c>
      <c r="K1043" s="1282"/>
      <c r="L1043" s="1406">
        <f t="shared" si="18"/>
        <v>51925</v>
      </c>
    </row>
    <row r="1044" spans="1:12" ht="13.5">
      <c r="A1044" s="1406">
        <v>51950</v>
      </c>
      <c r="B1044" s="1405">
        <v>52000</v>
      </c>
      <c r="C1044" s="4809">
        <v>0</v>
      </c>
      <c r="D1044" s="1406">
        <v>0</v>
      </c>
      <c r="E1044" s="1406">
        <v>199</v>
      </c>
      <c r="F1044" s="1405">
        <v>1024</v>
      </c>
      <c r="G1044" s="4809">
        <v>0</v>
      </c>
      <c r="H1044" s="1406">
        <v>183</v>
      </c>
      <c r="I1044" s="1406">
        <v>1580</v>
      </c>
      <c r="J1044" s="1405">
        <v>2406</v>
      </c>
      <c r="K1044" s="1282"/>
      <c r="L1044" s="1406">
        <f t="shared" si="18"/>
        <v>51975</v>
      </c>
    </row>
    <row r="1045" spans="1:12" ht="13.5">
      <c r="A1045" s="1406">
        <v>52000</v>
      </c>
      <c r="B1045" s="1405">
        <v>52050</v>
      </c>
      <c r="C1045" s="4809">
        <v>0</v>
      </c>
      <c r="D1045" s="1406">
        <v>0</v>
      </c>
      <c r="E1045" s="1406">
        <v>188</v>
      </c>
      <c r="F1045" s="1405">
        <v>1014</v>
      </c>
      <c r="G1045" s="4809">
        <v>0</v>
      </c>
      <c r="H1045" s="1406">
        <v>175</v>
      </c>
      <c r="I1045" s="1406">
        <v>1570</v>
      </c>
      <c r="J1045" s="1405">
        <v>2395</v>
      </c>
      <c r="K1045" s="1282"/>
      <c r="L1045" s="1406">
        <f t="shared" si="18"/>
        <v>52025</v>
      </c>
    </row>
    <row r="1046" spans="1:12" ht="13.5">
      <c r="A1046" s="1406">
        <v>52050</v>
      </c>
      <c r="B1046" s="1405">
        <v>52100</v>
      </c>
      <c r="C1046" s="4809">
        <v>0</v>
      </c>
      <c r="D1046" s="1406">
        <v>0</v>
      </c>
      <c r="E1046" s="1406">
        <v>178</v>
      </c>
      <c r="F1046" s="1405">
        <v>1003</v>
      </c>
      <c r="G1046" s="4809">
        <v>0</v>
      </c>
      <c r="H1046" s="1406">
        <v>167</v>
      </c>
      <c r="I1046" s="1406">
        <v>1559</v>
      </c>
      <c r="J1046" s="1405">
        <v>2385</v>
      </c>
      <c r="K1046" s="1282"/>
      <c r="L1046" s="1406">
        <f t="shared" si="18"/>
        <v>52075</v>
      </c>
    </row>
    <row r="1047" spans="1:12" ht="13.5">
      <c r="A1047" s="1406">
        <v>52100</v>
      </c>
      <c r="B1047" s="1405">
        <v>52150</v>
      </c>
      <c r="C1047" s="4809">
        <v>0</v>
      </c>
      <c r="D1047" s="1406">
        <v>0</v>
      </c>
      <c r="E1047" s="1406">
        <v>167</v>
      </c>
      <c r="F1047" s="1405">
        <v>993</v>
      </c>
      <c r="G1047" s="4809">
        <v>0</v>
      </c>
      <c r="H1047" s="1406">
        <v>159</v>
      </c>
      <c r="I1047" s="1406">
        <v>1549</v>
      </c>
      <c r="J1047" s="1405">
        <v>2374</v>
      </c>
      <c r="K1047" s="1282"/>
      <c r="L1047" s="1406">
        <f t="shared" si="18"/>
        <v>52125</v>
      </c>
    </row>
    <row r="1048" spans="1:12" ht="13.5">
      <c r="A1048" s="1406">
        <v>52150</v>
      </c>
      <c r="B1048" s="1405">
        <v>52200</v>
      </c>
      <c r="C1048" s="4809">
        <v>0</v>
      </c>
      <c r="D1048" s="1406">
        <v>0</v>
      </c>
      <c r="E1048" s="1406">
        <v>156</v>
      </c>
      <c r="F1048" s="1405">
        <v>982</v>
      </c>
      <c r="G1048" s="4809">
        <v>0</v>
      </c>
      <c r="H1048" s="1406">
        <v>151</v>
      </c>
      <c r="I1048" s="1406">
        <v>1538</v>
      </c>
      <c r="J1048" s="1405">
        <v>2364</v>
      </c>
      <c r="K1048" s="1282"/>
      <c r="L1048" s="1406">
        <f t="shared" si="18"/>
        <v>52175</v>
      </c>
    </row>
    <row r="1049" spans="1:12" ht="13.5">
      <c r="A1049" s="1406">
        <v>52200</v>
      </c>
      <c r="B1049" s="1405">
        <v>52250</v>
      </c>
      <c r="C1049" s="4809">
        <v>0</v>
      </c>
      <c r="D1049" s="1406">
        <v>0</v>
      </c>
      <c r="E1049" s="1406">
        <v>146</v>
      </c>
      <c r="F1049" s="1405">
        <v>971</v>
      </c>
      <c r="G1049" s="4809">
        <v>0</v>
      </c>
      <c r="H1049" s="1406">
        <v>143</v>
      </c>
      <c r="I1049" s="1406">
        <v>1527</v>
      </c>
      <c r="J1049" s="1405">
        <v>2353</v>
      </c>
      <c r="K1049" s="1282"/>
      <c r="L1049" s="1406">
        <f t="shared" si="18"/>
        <v>52225</v>
      </c>
    </row>
    <row r="1050" spans="1:12" ht="13.5">
      <c r="A1050" s="1406">
        <v>52250</v>
      </c>
      <c r="B1050" s="1405">
        <v>52300</v>
      </c>
      <c r="C1050" s="4809">
        <v>0</v>
      </c>
      <c r="D1050" s="1406">
        <v>0</v>
      </c>
      <c r="E1050" s="1406">
        <v>135</v>
      </c>
      <c r="F1050" s="1405">
        <v>961</v>
      </c>
      <c r="G1050" s="4809">
        <v>0</v>
      </c>
      <c r="H1050" s="1406">
        <v>135</v>
      </c>
      <c r="I1050" s="1406">
        <v>1517</v>
      </c>
      <c r="J1050" s="1405">
        <v>2342</v>
      </c>
      <c r="K1050" s="1282"/>
      <c r="L1050" s="1406">
        <f t="shared" si="18"/>
        <v>52275</v>
      </c>
    </row>
    <row r="1051" spans="1:12" ht="13.5">
      <c r="A1051" s="1406">
        <v>52300</v>
      </c>
      <c r="B1051" s="1405">
        <v>52350</v>
      </c>
      <c r="C1051" s="4809">
        <v>0</v>
      </c>
      <c r="D1051" s="1406">
        <v>0</v>
      </c>
      <c r="E1051" s="1406">
        <v>125</v>
      </c>
      <c r="F1051" s="1405">
        <v>950</v>
      </c>
      <c r="G1051" s="4809">
        <v>0</v>
      </c>
      <c r="H1051" s="1406">
        <v>127</v>
      </c>
      <c r="I1051" s="1406">
        <v>1506</v>
      </c>
      <c r="J1051" s="1405">
        <v>2332</v>
      </c>
      <c r="K1051" s="1282"/>
      <c r="L1051" s="1406">
        <f t="shared" si="18"/>
        <v>52325</v>
      </c>
    </row>
    <row r="1052" spans="1:12" ht="13.5">
      <c r="A1052" s="1406">
        <v>52350</v>
      </c>
      <c r="B1052" s="1405">
        <v>52400</v>
      </c>
      <c r="C1052" s="4809">
        <v>0</v>
      </c>
      <c r="D1052" s="1406">
        <v>0</v>
      </c>
      <c r="E1052" s="1406">
        <v>114</v>
      </c>
      <c r="F1052" s="1405">
        <v>940</v>
      </c>
      <c r="G1052" s="4809">
        <v>0</v>
      </c>
      <c r="H1052" s="1406">
        <v>119</v>
      </c>
      <c r="I1052" s="1406">
        <v>1496</v>
      </c>
      <c r="J1052" s="1405">
        <v>2321</v>
      </c>
      <c r="K1052" s="1282"/>
      <c r="L1052" s="1406">
        <f t="shared" si="18"/>
        <v>52375</v>
      </c>
    </row>
    <row r="1053" spans="1:12" ht="13.5">
      <c r="A1053" s="1406">
        <v>52400</v>
      </c>
      <c r="B1053" s="1405">
        <v>52450</v>
      </c>
      <c r="C1053" s="4809">
        <v>0</v>
      </c>
      <c r="D1053" s="1406">
        <v>0</v>
      </c>
      <c r="E1053" s="1406">
        <v>104</v>
      </c>
      <c r="F1053" s="1405">
        <v>929</v>
      </c>
      <c r="G1053" s="4809">
        <v>0</v>
      </c>
      <c r="H1053" s="1406">
        <v>111</v>
      </c>
      <c r="I1053" s="1406">
        <v>1485</v>
      </c>
      <c r="J1053" s="1405">
        <v>2311</v>
      </c>
      <c r="K1053" s="1282"/>
      <c r="L1053" s="1406">
        <f t="shared" si="18"/>
        <v>52425</v>
      </c>
    </row>
    <row r="1054" spans="1:12" ht="13.5">
      <c r="A1054" s="1406">
        <v>52450</v>
      </c>
      <c r="B1054" s="1405">
        <v>52500</v>
      </c>
      <c r="C1054" s="4809">
        <v>0</v>
      </c>
      <c r="D1054" s="1406">
        <v>0</v>
      </c>
      <c r="E1054" s="1406">
        <v>93</v>
      </c>
      <c r="F1054" s="1405">
        <v>919</v>
      </c>
      <c r="G1054" s="4809">
        <v>0</v>
      </c>
      <c r="H1054" s="1406">
        <v>103</v>
      </c>
      <c r="I1054" s="1406">
        <v>1475</v>
      </c>
      <c r="J1054" s="1405">
        <v>2300</v>
      </c>
      <c r="K1054" s="1282"/>
      <c r="L1054" s="1406">
        <f t="shared" si="18"/>
        <v>52475</v>
      </c>
    </row>
    <row r="1055" spans="1:12" ht="13.5">
      <c r="A1055" s="1406">
        <v>52500</v>
      </c>
      <c r="B1055" s="1405">
        <v>52550</v>
      </c>
      <c r="C1055" s="4809">
        <v>0</v>
      </c>
      <c r="D1055" s="1406">
        <v>0</v>
      </c>
      <c r="E1055" s="1406">
        <v>83</v>
      </c>
      <c r="F1055" s="1405">
        <v>908</v>
      </c>
      <c r="G1055" s="4809">
        <v>0</v>
      </c>
      <c r="H1055" s="1406">
        <v>95</v>
      </c>
      <c r="I1055" s="1406">
        <v>1464</v>
      </c>
      <c r="J1055" s="1405">
        <v>2290</v>
      </c>
      <c r="K1055" s="1282"/>
      <c r="L1055" s="1406">
        <f t="shared" si="18"/>
        <v>52525</v>
      </c>
    </row>
    <row r="1056" spans="1:12" ht="13.5">
      <c r="A1056" s="1406">
        <v>52550</v>
      </c>
      <c r="B1056" s="1405">
        <v>52600</v>
      </c>
      <c r="C1056" s="4809">
        <v>0</v>
      </c>
      <c r="D1056" s="1406">
        <v>0</v>
      </c>
      <c r="E1056" s="1406">
        <v>72</v>
      </c>
      <c r="F1056" s="1405">
        <v>898</v>
      </c>
      <c r="G1056" s="4809">
        <v>0</v>
      </c>
      <c r="H1056" s="1406">
        <v>87</v>
      </c>
      <c r="I1056" s="1406">
        <v>1454</v>
      </c>
      <c r="J1056" s="1405">
        <v>2279</v>
      </c>
      <c r="K1056" s="1282"/>
      <c r="L1056" s="1406">
        <f t="shared" si="18"/>
        <v>52575</v>
      </c>
    </row>
    <row r="1057" spans="1:13" ht="13.5">
      <c r="A1057" s="1406">
        <v>52600</v>
      </c>
      <c r="B1057" s="1405">
        <v>52650</v>
      </c>
      <c r="C1057" s="4809">
        <v>0</v>
      </c>
      <c r="D1057" s="1406">
        <v>0</v>
      </c>
      <c r="E1057" s="1406">
        <v>62</v>
      </c>
      <c r="F1057" s="1405">
        <v>887</v>
      </c>
      <c r="G1057" s="4809">
        <v>0</v>
      </c>
      <c r="H1057" s="1406">
        <v>79</v>
      </c>
      <c r="I1057" s="1406">
        <v>1443</v>
      </c>
      <c r="J1057" s="1405">
        <v>2269</v>
      </c>
      <c r="K1057" s="1282"/>
      <c r="L1057" s="1406">
        <f t="shared" si="18"/>
        <v>52625</v>
      </c>
    </row>
    <row r="1058" spans="1:13" ht="13.5">
      <c r="A1058" s="1406">
        <v>52650</v>
      </c>
      <c r="B1058" s="1405">
        <v>52700</v>
      </c>
      <c r="C1058" s="4809">
        <v>0</v>
      </c>
      <c r="D1058" s="1406">
        <v>0</v>
      </c>
      <c r="E1058" s="1406">
        <v>51</v>
      </c>
      <c r="F1058" s="1405">
        <v>877</v>
      </c>
      <c r="G1058" s="4809">
        <v>0</v>
      </c>
      <c r="H1058" s="1406">
        <v>71</v>
      </c>
      <c r="I1058" s="1406">
        <v>1433</v>
      </c>
      <c r="J1058" s="1405">
        <v>2258</v>
      </c>
      <c r="K1058" s="1282"/>
      <c r="L1058" s="1406">
        <f t="shared" si="18"/>
        <v>52675</v>
      </c>
    </row>
    <row r="1059" spans="1:13" ht="13.5">
      <c r="A1059" s="1406">
        <v>52700</v>
      </c>
      <c r="B1059" s="1405">
        <v>52750</v>
      </c>
      <c r="C1059" s="4809">
        <v>0</v>
      </c>
      <c r="D1059" s="1406">
        <v>0</v>
      </c>
      <c r="E1059" s="1406">
        <v>41</v>
      </c>
      <c r="F1059" s="1405">
        <v>866</v>
      </c>
      <c r="G1059" s="4809">
        <v>0</v>
      </c>
      <c r="H1059" s="1406">
        <v>63</v>
      </c>
      <c r="I1059" s="1406">
        <v>1422</v>
      </c>
      <c r="J1059" s="1405">
        <v>2248</v>
      </c>
      <c r="K1059" s="1282"/>
      <c r="L1059" s="1406">
        <f t="shared" si="18"/>
        <v>52725</v>
      </c>
    </row>
    <row r="1060" spans="1:13" ht="13.5">
      <c r="A1060" s="1406">
        <v>52750</v>
      </c>
      <c r="B1060" s="1405">
        <v>52800</v>
      </c>
      <c r="C1060" s="4809">
        <v>0</v>
      </c>
      <c r="D1060" s="1406">
        <v>0</v>
      </c>
      <c r="E1060" s="1406">
        <v>30</v>
      </c>
      <c r="F1060" s="1405">
        <v>856</v>
      </c>
      <c r="G1060" s="4809">
        <v>0</v>
      </c>
      <c r="H1060" s="1406">
        <v>55</v>
      </c>
      <c r="I1060" s="1406">
        <v>1412</v>
      </c>
      <c r="J1060" s="1405">
        <v>2237</v>
      </c>
      <c r="K1060" s="1282"/>
      <c r="L1060" s="1406">
        <f t="shared" si="18"/>
        <v>52775</v>
      </c>
    </row>
    <row r="1061" spans="1:13" ht="13.5">
      <c r="A1061" s="1406">
        <v>52800</v>
      </c>
      <c r="B1061" s="1405">
        <v>52850</v>
      </c>
      <c r="C1061" s="4809">
        <v>0</v>
      </c>
      <c r="D1061" s="1406">
        <v>0</v>
      </c>
      <c r="E1061" s="1406">
        <v>20</v>
      </c>
      <c r="F1061" s="1405">
        <v>845</v>
      </c>
      <c r="G1061" s="4809">
        <v>0</v>
      </c>
      <c r="H1061" s="1406">
        <v>47</v>
      </c>
      <c r="I1061" s="1406">
        <v>1401</v>
      </c>
      <c r="J1061" s="1405">
        <v>2227</v>
      </c>
      <c r="K1061" s="1282"/>
      <c r="L1061" s="1406">
        <f t="shared" si="18"/>
        <v>52825</v>
      </c>
    </row>
    <row r="1062" spans="1:13" ht="13.5">
      <c r="A1062" s="1406">
        <v>52850</v>
      </c>
      <c r="B1062" s="1405">
        <v>52900</v>
      </c>
      <c r="C1062" s="4809">
        <v>0</v>
      </c>
      <c r="D1062" s="1406">
        <v>0</v>
      </c>
      <c r="E1062" s="1406">
        <v>9</v>
      </c>
      <c r="F1062" s="1405">
        <v>835</v>
      </c>
      <c r="G1062" s="4809">
        <v>0</v>
      </c>
      <c r="H1062" s="1406">
        <v>39</v>
      </c>
      <c r="I1062" s="1406">
        <v>1391</v>
      </c>
      <c r="J1062" s="1405">
        <v>2216</v>
      </c>
      <c r="K1062" s="1282"/>
      <c r="L1062" s="1406">
        <f t="shared" si="18"/>
        <v>52875</v>
      </c>
    </row>
    <row r="1063" spans="1:13" ht="13.5">
      <c r="A1063" s="5325">
        <v>52900</v>
      </c>
      <c r="B1063" s="5326">
        <v>52918</v>
      </c>
      <c r="C1063" s="5327">
        <v>0</v>
      </c>
      <c r="D1063" s="5325">
        <v>0</v>
      </c>
      <c r="E1063" s="5328">
        <v>2</v>
      </c>
      <c r="F1063" s="5326">
        <v>824</v>
      </c>
      <c r="G1063" s="5327">
        <v>0</v>
      </c>
      <c r="H1063" s="5325">
        <v>31</v>
      </c>
      <c r="I1063" s="5325">
        <v>1380</v>
      </c>
      <c r="J1063" s="5326">
        <v>2206</v>
      </c>
      <c r="K1063" s="5329"/>
      <c r="L1063" s="5325">
        <f t="shared" si="18"/>
        <v>52909</v>
      </c>
      <c r="M1063" s="5324" t="s">
        <v>5381</v>
      </c>
    </row>
    <row r="1064" spans="1:13" ht="13.5">
      <c r="A1064" s="5325">
        <v>52918</v>
      </c>
      <c r="B1064" s="5326">
        <v>52950</v>
      </c>
      <c r="C1064" s="5327">
        <v>0</v>
      </c>
      <c r="D1064" s="5325">
        <v>0</v>
      </c>
      <c r="E1064" s="5325">
        <v>0</v>
      </c>
      <c r="F1064" s="5326">
        <v>824</v>
      </c>
      <c r="G1064" s="5327">
        <v>0</v>
      </c>
      <c r="H1064" s="5325">
        <v>31</v>
      </c>
      <c r="I1064" s="5325">
        <v>1380</v>
      </c>
      <c r="J1064" s="5326">
        <v>2206</v>
      </c>
      <c r="K1064" s="5329"/>
      <c r="L1064" s="5325">
        <f>ROUND((A1064+B1064)/2,2)</f>
        <v>52934</v>
      </c>
      <c r="M1064" s="5324" t="s">
        <v>5380</v>
      </c>
    </row>
    <row r="1065" spans="1:13" ht="13.5">
      <c r="A1065" s="1406">
        <v>52950</v>
      </c>
      <c r="B1065" s="1405">
        <v>53000</v>
      </c>
      <c r="C1065" s="4809">
        <v>0</v>
      </c>
      <c r="D1065" s="1406">
        <v>0</v>
      </c>
      <c r="E1065" s="1406">
        <v>0</v>
      </c>
      <c r="F1065" s="1405">
        <v>814</v>
      </c>
      <c r="G1065" s="4809">
        <v>0</v>
      </c>
      <c r="H1065" s="1406">
        <v>23</v>
      </c>
      <c r="I1065" s="1406">
        <v>1370</v>
      </c>
      <c r="J1065" s="1405">
        <v>2195</v>
      </c>
      <c r="K1065" s="1282"/>
      <c r="L1065" s="1406">
        <f t="shared" si="18"/>
        <v>52975</v>
      </c>
    </row>
    <row r="1066" spans="1:13" ht="13.5">
      <c r="A1066" s="1406">
        <v>53000</v>
      </c>
      <c r="B1066" s="1405">
        <v>53050</v>
      </c>
      <c r="C1066" s="4809">
        <v>0</v>
      </c>
      <c r="D1066" s="1406">
        <v>0</v>
      </c>
      <c r="E1066" s="1406">
        <v>0</v>
      </c>
      <c r="F1066" s="1405">
        <v>803</v>
      </c>
      <c r="G1066" s="4809">
        <v>0</v>
      </c>
      <c r="H1066" s="1406">
        <v>15</v>
      </c>
      <c r="I1066" s="1406">
        <v>1359</v>
      </c>
      <c r="J1066" s="1405">
        <v>2185</v>
      </c>
      <c r="K1066" s="1282"/>
      <c r="L1066" s="1406">
        <f t="shared" si="18"/>
        <v>53025</v>
      </c>
    </row>
    <row r="1067" spans="1:13" ht="13.5">
      <c r="A1067" s="1406">
        <v>53050</v>
      </c>
      <c r="B1067" s="1405">
        <v>53100</v>
      </c>
      <c r="C1067" s="4809">
        <v>0</v>
      </c>
      <c r="D1067" s="1406">
        <v>0</v>
      </c>
      <c r="E1067" s="1406">
        <v>0</v>
      </c>
      <c r="F1067" s="1405">
        <v>792</v>
      </c>
      <c r="G1067" s="4809">
        <v>0</v>
      </c>
      <c r="H1067" s="1406">
        <v>7</v>
      </c>
      <c r="I1067" s="1406">
        <v>1348</v>
      </c>
      <c r="J1067" s="1405">
        <v>2174</v>
      </c>
      <c r="K1067" s="1282"/>
      <c r="L1067" s="1406">
        <f t="shared" si="18"/>
        <v>53075</v>
      </c>
    </row>
    <row r="1068" spans="1:13" ht="13.5">
      <c r="A1068" s="5325">
        <v>53100</v>
      </c>
      <c r="B1068" s="5326">
        <v>53120</v>
      </c>
      <c r="C1068" s="5327">
        <v>0</v>
      </c>
      <c r="D1068" s="5325">
        <v>0</v>
      </c>
      <c r="E1068" s="5325">
        <v>0</v>
      </c>
      <c r="F1068" s="5326">
        <v>782</v>
      </c>
      <c r="G1068" s="5327">
        <v>0</v>
      </c>
      <c r="H1068" s="5328">
        <v>2</v>
      </c>
      <c r="I1068" s="5325">
        <v>1338</v>
      </c>
      <c r="J1068" s="5326">
        <v>2163</v>
      </c>
      <c r="K1068" s="5329"/>
      <c r="L1068" s="5325">
        <f t="shared" si="18"/>
        <v>53110</v>
      </c>
      <c r="M1068" s="5324" t="s">
        <v>5381</v>
      </c>
    </row>
    <row r="1069" spans="1:13" ht="13.5">
      <c r="A1069" s="5325">
        <v>53120</v>
      </c>
      <c r="B1069" s="5326">
        <v>53150</v>
      </c>
      <c r="C1069" s="5327">
        <v>0</v>
      </c>
      <c r="D1069" s="5325">
        <v>0</v>
      </c>
      <c r="E1069" s="5325">
        <v>0</v>
      </c>
      <c r="F1069" s="5326">
        <v>782</v>
      </c>
      <c r="G1069" s="5327">
        <v>0</v>
      </c>
      <c r="H1069" s="5325">
        <v>0</v>
      </c>
      <c r="I1069" s="5325">
        <v>1338</v>
      </c>
      <c r="J1069" s="5326">
        <v>2163</v>
      </c>
      <c r="K1069" s="5329"/>
      <c r="L1069" s="5325">
        <f>ROUND((A1069+B1069)/2,2)</f>
        <v>53135</v>
      </c>
      <c r="M1069" s="5324" t="s">
        <v>5380</v>
      </c>
    </row>
    <row r="1070" spans="1:13" ht="13.5">
      <c r="A1070" s="1406">
        <v>53150</v>
      </c>
      <c r="B1070" s="1405">
        <v>53200</v>
      </c>
      <c r="C1070" s="4809">
        <v>0</v>
      </c>
      <c r="D1070" s="1406">
        <v>0</v>
      </c>
      <c r="E1070" s="1406">
        <v>0</v>
      </c>
      <c r="F1070" s="1405">
        <v>771</v>
      </c>
      <c r="G1070" s="4809">
        <v>0</v>
      </c>
      <c r="H1070" s="1406">
        <v>0</v>
      </c>
      <c r="I1070" s="1406">
        <v>1327</v>
      </c>
      <c r="J1070" s="1405">
        <v>2153</v>
      </c>
      <c r="K1070" s="1282"/>
      <c r="L1070" s="1406">
        <f t="shared" si="18"/>
        <v>53175</v>
      </c>
    </row>
    <row r="1071" spans="1:13" ht="13.5">
      <c r="A1071" s="1406">
        <v>53200</v>
      </c>
      <c r="B1071" s="1405">
        <v>53250</v>
      </c>
      <c r="C1071" s="4809">
        <v>0</v>
      </c>
      <c r="D1071" s="1406">
        <v>0</v>
      </c>
      <c r="E1071" s="1406">
        <v>0</v>
      </c>
      <c r="F1071" s="1405">
        <v>761</v>
      </c>
      <c r="G1071" s="4809">
        <v>0</v>
      </c>
      <c r="H1071" s="1406">
        <v>0</v>
      </c>
      <c r="I1071" s="1406">
        <v>1317</v>
      </c>
      <c r="J1071" s="1405">
        <v>2142</v>
      </c>
      <c r="K1071" s="1282"/>
      <c r="L1071" s="1406">
        <f>ROUND((A1071+B1071)/2,2)</f>
        <v>53225</v>
      </c>
    </row>
    <row r="1072" spans="1:13" ht="13.5">
      <c r="A1072" s="1406">
        <v>53250</v>
      </c>
      <c r="B1072" s="1405">
        <v>53300</v>
      </c>
      <c r="C1072" s="4809">
        <v>0</v>
      </c>
      <c r="D1072" s="1406">
        <v>0</v>
      </c>
      <c r="E1072" s="1406">
        <v>0</v>
      </c>
      <c r="F1072" s="1405">
        <v>750</v>
      </c>
      <c r="G1072" s="4809">
        <v>0</v>
      </c>
      <c r="H1072" s="1406">
        <v>0</v>
      </c>
      <c r="I1072" s="1406">
        <v>1306</v>
      </c>
      <c r="J1072" s="1405">
        <v>2132</v>
      </c>
      <c r="K1072" s="1282"/>
      <c r="L1072" s="1406">
        <f t="shared" si="18"/>
        <v>53275</v>
      </c>
    </row>
    <row r="1073" spans="1:12" ht="13.5">
      <c r="A1073" s="1406">
        <v>53300</v>
      </c>
      <c r="B1073" s="1405">
        <v>53350</v>
      </c>
      <c r="C1073" s="4809">
        <v>0</v>
      </c>
      <c r="D1073" s="1406">
        <v>0</v>
      </c>
      <c r="E1073" s="1406">
        <v>0</v>
      </c>
      <c r="F1073" s="1405">
        <v>740</v>
      </c>
      <c r="G1073" s="4809">
        <v>0</v>
      </c>
      <c r="H1073" s="1406">
        <v>0</v>
      </c>
      <c r="I1073" s="1406">
        <v>1296</v>
      </c>
      <c r="J1073" s="1405">
        <v>2121</v>
      </c>
      <c r="K1073" s="1282"/>
      <c r="L1073" s="1406">
        <f t="shared" si="18"/>
        <v>53325</v>
      </c>
    </row>
    <row r="1074" spans="1:12" ht="13.5">
      <c r="A1074" s="1406">
        <v>53350</v>
      </c>
      <c r="B1074" s="1405">
        <v>53400</v>
      </c>
      <c r="C1074" s="4809">
        <v>0</v>
      </c>
      <c r="D1074" s="1406">
        <v>0</v>
      </c>
      <c r="E1074" s="1406">
        <v>0</v>
      </c>
      <c r="F1074" s="1405">
        <v>729</v>
      </c>
      <c r="G1074" s="4809">
        <v>0</v>
      </c>
      <c r="H1074" s="1406">
        <v>0</v>
      </c>
      <c r="I1074" s="1406">
        <v>1285</v>
      </c>
      <c r="J1074" s="1405">
        <v>2111</v>
      </c>
      <c r="K1074" s="1282"/>
      <c r="L1074" s="1406">
        <f t="shared" si="18"/>
        <v>53375</v>
      </c>
    </row>
    <row r="1075" spans="1:12" ht="13.5">
      <c r="A1075" s="1406">
        <v>53400</v>
      </c>
      <c r="B1075" s="1405">
        <v>53450</v>
      </c>
      <c r="C1075" s="4809">
        <v>0</v>
      </c>
      <c r="D1075" s="1406">
        <v>0</v>
      </c>
      <c r="E1075" s="1406">
        <v>0</v>
      </c>
      <c r="F1075" s="1405">
        <v>719</v>
      </c>
      <c r="G1075" s="4809">
        <v>0</v>
      </c>
      <c r="H1075" s="1406">
        <v>0</v>
      </c>
      <c r="I1075" s="1406">
        <v>1275</v>
      </c>
      <c r="J1075" s="1405">
        <v>2100</v>
      </c>
      <c r="K1075" s="1282"/>
      <c r="L1075" s="1406">
        <f t="shared" si="18"/>
        <v>53425</v>
      </c>
    </row>
    <row r="1076" spans="1:12" ht="13.5">
      <c r="A1076" s="1406">
        <v>53450</v>
      </c>
      <c r="B1076" s="1405">
        <v>53500</v>
      </c>
      <c r="C1076" s="4809">
        <v>0</v>
      </c>
      <c r="D1076" s="1406">
        <v>0</v>
      </c>
      <c r="E1076" s="1406">
        <v>0</v>
      </c>
      <c r="F1076" s="1405">
        <v>708</v>
      </c>
      <c r="G1076" s="4809">
        <v>0</v>
      </c>
      <c r="H1076" s="1406">
        <v>0</v>
      </c>
      <c r="I1076" s="1406">
        <v>1264</v>
      </c>
      <c r="J1076" s="1405">
        <v>2090</v>
      </c>
      <c r="K1076" s="1282"/>
      <c r="L1076" s="1406">
        <f>ROUND((A1076+B1076)/2,2)</f>
        <v>53475</v>
      </c>
    </row>
    <row r="1077" spans="1:12" ht="13.5">
      <c r="A1077" s="1406">
        <v>53500</v>
      </c>
      <c r="B1077" s="1405">
        <v>53550</v>
      </c>
      <c r="C1077" s="4809">
        <v>0</v>
      </c>
      <c r="D1077" s="1406">
        <v>0</v>
      </c>
      <c r="E1077" s="1406">
        <v>0</v>
      </c>
      <c r="F1077" s="1405">
        <v>698</v>
      </c>
      <c r="G1077" s="4809">
        <v>0</v>
      </c>
      <c r="H1077" s="1406">
        <v>0</v>
      </c>
      <c r="I1077" s="1406">
        <v>1254</v>
      </c>
      <c r="J1077" s="1405">
        <v>2079</v>
      </c>
      <c r="K1077" s="1282"/>
      <c r="L1077" s="1406">
        <f t="shared" si="18"/>
        <v>53525</v>
      </c>
    </row>
    <row r="1078" spans="1:12" ht="13.5">
      <c r="A1078" s="1406">
        <v>53550</v>
      </c>
      <c r="B1078" s="1405">
        <v>53600</v>
      </c>
      <c r="C1078" s="4809">
        <v>0</v>
      </c>
      <c r="D1078" s="1406">
        <v>0</v>
      </c>
      <c r="E1078" s="1406">
        <v>0</v>
      </c>
      <c r="F1078" s="1405">
        <v>687</v>
      </c>
      <c r="G1078" s="4809">
        <v>0</v>
      </c>
      <c r="H1078" s="1406">
        <v>0</v>
      </c>
      <c r="I1078" s="1406">
        <v>1243</v>
      </c>
      <c r="J1078" s="1405">
        <v>2069</v>
      </c>
      <c r="K1078" s="1282"/>
      <c r="L1078" s="1406">
        <f t="shared" si="18"/>
        <v>53575</v>
      </c>
    </row>
    <row r="1079" spans="1:12" ht="13.5">
      <c r="A1079" s="1406">
        <v>53600</v>
      </c>
      <c r="B1079" s="1405">
        <v>53650</v>
      </c>
      <c r="C1079" s="4809">
        <v>0</v>
      </c>
      <c r="D1079" s="1406">
        <v>0</v>
      </c>
      <c r="E1079" s="1406">
        <v>0</v>
      </c>
      <c r="F1079" s="1405">
        <v>677</v>
      </c>
      <c r="G1079" s="4809">
        <v>0</v>
      </c>
      <c r="H1079" s="1406">
        <v>0</v>
      </c>
      <c r="I1079" s="1406">
        <v>1233</v>
      </c>
      <c r="J1079" s="1405">
        <v>2058</v>
      </c>
      <c r="K1079" s="1282"/>
      <c r="L1079" s="1406">
        <f t="shared" si="18"/>
        <v>53625</v>
      </c>
    </row>
    <row r="1080" spans="1:12" ht="13.5">
      <c r="A1080" s="1406">
        <v>53650</v>
      </c>
      <c r="B1080" s="1405">
        <v>53700</v>
      </c>
      <c r="C1080" s="4809">
        <v>0</v>
      </c>
      <c r="D1080" s="1406">
        <v>0</v>
      </c>
      <c r="E1080" s="1406">
        <v>0</v>
      </c>
      <c r="F1080" s="1405">
        <v>666</v>
      </c>
      <c r="G1080" s="4809">
        <v>0</v>
      </c>
      <c r="H1080" s="1406">
        <v>0</v>
      </c>
      <c r="I1080" s="1406">
        <v>1222</v>
      </c>
      <c r="J1080" s="1405">
        <v>2048</v>
      </c>
      <c r="K1080" s="1282"/>
      <c r="L1080" s="1406">
        <f t="shared" si="18"/>
        <v>53675</v>
      </c>
    </row>
    <row r="1081" spans="1:12" ht="13.5">
      <c r="A1081" s="1406">
        <v>53700</v>
      </c>
      <c r="B1081" s="1405">
        <v>53750</v>
      </c>
      <c r="C1081" s="4809">
        <v>0</v>
      </c>
      <c r="D1081" s="1406">
        <v>0</v>
      </c>
      <c r="E1081" s="1406">
        <v>0</v>
      </c>
      <c r="F1081" s="1405">
        <v>656</v>
      </c>
      <c r="G1081" s="4809">
        <v>0</v>
      </c>
      <c r="H1081" s="1406">
        <v>0</v>
      </c>
      <c r="I1081" s="1406">
        <v>1212</v>
      </c>
      <c r="J1081" s="1405">
        <v>2037</v>
      </c>
      <c r="K1081" s="1282"/>
      <c r="L1081" s="1406">
        <f t="shared" si="18"/>
        <v>53725</v>
      </c>
    </row>
    <row r="1082" spans="1:12" ht="13.5">
      <c r="A1082" s="1406">
        <v>53750</v>
      </c>
      <c r="B1082" s="1405">
        <v>53800</v>
      </c>
      <c r="C1082" s="4809">
        <v>0</v>
      </c>
      <c r="D1082" s="1406">
        <v>0</v>
      </c>
      <c r="E1082" s="1406">
        <v>0</v>
      </c>
      <c r="F1082" s="1405">
        <v>645</v>
      </c>
      <c r="G1082" s="4809">
        <v>0</v>
      </c>
      <c r="H1082" s="1406">
        <v>0</v>
      </c>
      <c r="I1082" s="1406">
        <v>1201</v>
      </c>
      <c r="J1082" s="1405">
        <v>2027</v>
      </c>
      <c r="K1082" s="1282"/>
      <c r="L1082" s="1406">
        <f t="shared" si="18"/>
        <v>53775</v>
      </c>
    </row>
    <row r="1083" spans="1:12" ht="13.5">
      <c r="A1083" s="1406">
        <v>53800</v>
      </c>
      <c r="B1083" s="1405">
        <v>53850</v>
      </c>
      <c r="C1083" s="4809">
        <v>0</v>
      </c>
      <c r="D1083" s="1406">
        <v>0</v>
      </c>
      <c r="E1083" s="1406">
        <v>0</v>
      </c>
      <c r="F1083" s="1405">
        <v>634</v>
      </c>
      <c r="G1083" s="4809">
        <v>0</v>
      </c>
      <c r="H1083" s="1406">
        <v>0</v>
      </c>
      <c r="I1083" s="1406">
        <v>1191</v>
      </c>
      <c r="J1083" s="1405">
        <v>2016</v>
      </c>
      <c r="K1083" s="1282"/>
      <c r="L1083" s="1406">
        <f t="shared" si="18"/>
        <v>53825</v>
      </c>
    </row>
    <row r="1084" spans="1:12" ht="13.5">
      <c r="A1084" s="1406">
        <v>53850</v>
      </c>
      <c r="B1084" s="1405">
        <v>53900</v>
      </c>
      <c r="C1084" s="4809">
        <v>0</v>
      </c>
      <c r="D1084" s="1406">
        <v>0</v>
      </c>
      <c r="E1084" s="1406">
        <v>0</v>
      </c>
      <c r="F1084" s="1405">
        <v>624</v>
      </c>
      <c r="G1084" s="4809">
        <v>0</v>
      </c>
      <c r="H1084" s="1406">
        <v>0</v>
      </c>
      <c r="I1084" s="1406">
        <v>1180</v>
      </c>
      <c r="J1084" s="1405">
        <v>2005</v>
      </c>
      <c r="K1084" s="1282"/>
      <c r="L1084" s="1406">
        <f t="shared" si="18"/>
        <v>53875</v>
      </c>
    </row>
    <row r="1085" spans="1:12" ht="13.5">
      <c r="A1085" s="1406">
        <v>53900</v>
      </c>
      <c r="B1085" s="1405">
        <v>53950</v>
      </c>
      <c r="C1085" s="4809">
        <v>0</v>
      </c>
      <c r="D1085" s="1406">
        <v>0</v>
      </c>
      <c r="E1085" s="1406">
        <v>0</v>
      </c>
      <c r="F1085" s="1405">
        <v>613</v>
      </c>
      <c r="G1085" s="4809">
        <v>0</v>
      </c>
      <c r="H1085" s="1406">
        <v>0</v>
      </c>
      <c r="I1085" s="1406">
        <v>1169</v>
      </c>
      <c r="J1085" s="1405">
        <v>1995</v>
      </c>
      <c r="K1085" s="1282"/>
      <c r="L1085" s="1406">
        <f t="shared" si="18"/>
        <v>53925</v>
      </c>
    </row>
    <row r="1086" spans="1:12" ht="13.5">
      <c r="A1086" s="1406">
        <v>53950</v>
      </c>
      <c r="B1086" s="1405">
        <v>54000</v>
      </c>
      <c r="C1086" s="4809">
        <v>0</v>
      </c>
      <c r="D1086" s="1406">
        <v>0</v>
      </c>
      <c r="E1086" s="1406">
        <v>0</v>
      </c>
      <c r="F1086" s="1405">
        <v>603</v>
      </c>
      <c r="G1086" s="4809">
        <v>0</v>
      </c>
      <c r="H1086" s="1406">
        <v>0</v>
      </c>
      <c r="I1086" s="1406">
        <v>1159</v>
      </c>
      <c r="J1086" s="1405">
        <v>1984</v>
      </c>
      <c r="K1086" s="1282"/>
      <c r="L1086" s="1406">
        <f t="shared" si="18"/>
        <v>53975</v>
      </c>
    </row>
    <row r="1087" spans="1:12" ht="13.5">
      <c r="A1087" s="1406">
        <v>54000</v>
      </c>
      <c r="B1087" s="1405">
        <v>54050</v>
      </c>
      <c r="C1087" s="4809">
        <v>0</v>
      </c>
      <c r="D1087" s="1406">
        <v>0</v>
      </c>
      <c r="E1087" s="1406">
        <v>0</v>
      </c>
      <c r="F1087" s="1405">
        <v>592</v>
      </c>
      <c r="G1087" s="4809">
        <v>0</v>
      </c>
      <c r="H1087" s="1406">
        <v>0</v>
      </c>
      <c r="I1087" s="1406">
        <v>1148</v>
      </c>
      <c r="J1087" s="1405">
        <v>1974</v>
      </c>
      <c r="K1087" s="1282"/>
      <c r="L1087" s="1406">
        <f t="shared" si="18"/>
        <v>54025</v>
      </c>
    </row>
    <row r="1088" spans="1:12" ht="13.5">
      <c r="A1088" s="1406">
        <v>54050</v>
      </c>
      <c r="B1088" s="1405">
        <v>54100</v>
      </c>
      <c r="C1088" s="4809">
        <v>0</v>
      </c>
      <c r="D1088" s="1406">
        <v>0</v>
      </c>
      <c r="E1088" s="1406">
        <v>0</v>
      </c>
      <c r="F1088" s="1405">
        <v>582</v>
      </c>
      <c r="G1088" s="4809">
        <v>0</v>
      </c>
      <c r="H1088" s="1406">
        <v>0</v>
      </c>
      <c r="I1088" s="1406">
        <v>1138</v>
      </c>
      <c r="J1088" s="1405">
        <v>1963</v>
      </c>
      <c r="K1088" s="1282"/>
      <c r="L1088" s="1406">
        <f t="shared" si="18"/>
        <v>54075</v>
      </c>
    </row>
    <row r="1089" spans="1:12" ht="13.5">
      <c r="A1089" s="1406">
        <v>54100</v>
      </c>
      <c r="B1089" s="1405">
        <v>54150</v>
      </c>
      <c r="C1089" s="4809">
        <v>0</v>
      </c>
      <c r="D1089" s="1406">
        <v>0</v>
      </c>
      <c r="E1089" s="1406">
        <v>0</v>
      </c>
      <c r="F1089" s="1405">
        <v>571</v>
      </c>
      <c r="G1089" s="4809">
        <v>0</v>
      </c>
      <c r="H1089" s="1406">
        <v>0</v>
      </c>
      <c r="I1089" s="1406">
        <v>1127</v>
      </c>
      <c r="J1089" s="1405">
        <v>1953</v>
      </c>
      <c r="K1089" s="1282"/>
      <c r="L1089" s="1406">
        <f t="shared" si="18"/>
        <v>54125</v>
      </c>
    </row>
    <row r="1090" spans="1:12" ht="13.5">
      <c r="A1090" s="1406">
        <v>54150</v>
      </c>
      <c r="B1090" s="1405">
        <v>54200</v>
      </c>
      <c r="C1090" s="4809">
        <v>0</v>
      </c>
      <c r="D1090" s="1406">
        <v>0</v>
      </c>
      <c r="E1090" s="1406">
        <v>0</v>
      </c>
      <c r="F1090" s="1405">
        <v>561</v>
      </c>
      <c r="G1090" s="4809">
        <v>0</v>
      </c>
      <c r="H1090" s="1406">
        <v>0</v>
      </c>
      <c r="I1090" s="1406">
        <v>1117</v>
      </c>
      <c r="J1090" s="1405">
        <v>1942</v>
      </c>
      <c r="K1090" s="1282"/>
      <c r="L1090" s="1406">
        <f t="shared" si="18"/>
        <v>54175</v>
      </c>
    </row>
    <row r="1091" spans="1:12" ht="13.5">
      <c r="A1091" s="1406">
        <v>54200</v>
      </c>
      <c r="B1091" s="1405">
        <v>54250</v>
      </c>
      <c r="C1091" s="4809">
        <v>0</v>
      </c>
      <c r="D1091" s="1406">
        <v>0</v>
      </c>
      <c r="E1091" s="1406">
        <v>0</v>
      </c>
      <c r="F1091" s="1405">
        <v>550</v>
      </c>
      <c r="G1091" s="4809">
        <v>0</v>
      </c>
      <c r="H1091" s="1406">
        <v>0</v>
      </c>
      <c r="I1091" s="1406">
        <v>1106</v>
      </c>
      <c r="J1091" s="1405">
        <v>1932</v>
      </c>
      <c r="K1091" s="1282"/>
      <c r="L1091" s="1406">
        <f t="shared" si="18"/>
        <v>54225</v>
      </c>
    </row>
    <row r="1092" spans="1:12" ht="13.5">
      <c r="A1092" s="1406">
        <v>54250</v>
      </c>
      <c r="B1092" s="1405">
        <v>54300</v>
      </c>
      <c r="C1092" s="4809">
        <v>0</v>
      </c>
      <c r="D1092" s="1406">
        <v>0</v>
      </c>
      <c r="E1092" s="1406">
        <v>0</v>
      </c>
      <c r="F1092" s="1405">
        <v>540</v>
      </c>
      <c r="G1092" s="4809">
        <v>0</v>
      </c>
      <c r="H1092" s="1406">
        <v>0</v>
      </c>
      <c r="I1092" s="1406">
        <v>1096</v>
      </c>
      <c r="J1092" s="1405">
        <v>1921</v>
      </c>
      <c r="K1092" s="1282"/>
      <c r="L1092" s="1406">
        <f t="shared" si="18"/>
        <v>54275</v>
      </c>
    </row>
    <row r="1093" spans="1:12" ht="13.5">
      <c r="A1093" s="1406">
        <v>54300</v>
      </c>
      <c r="B1093" s="1405">
        <v>54350</v>
      </c>
      <c r="C1093" s="4809">
        <v>0</v>
      </c>
      <c r="D1093" s="1406">
        <v>0</v>
      </c>
      <c r="E1093" s="1406">
        <v>0</v>
      </c>
      <c r="F1093" s="1405">
        <v>529</v>
      </c>
      <c r="G1093" s="4809">
        <v>0</v>
      </c>
      <c r="H1093" s="1406">
        <v>0</v>
      </c>
      <c r="I1093" s="1406">
        <v>1085</v>
      </c>
      <c r="J1093" s="1405">
        <v>1911</v>
      </c>
      <c r="K1093" s="1282"/>
      <c r="L1093" s="1406">
        <f t="shared" si="18"/>
        <v>54325</v>
      </c>
    </row>
    <row r="1094" spans="1:12" ht="13.5">
      <c r="A1094" s="1406">
        <v>54350</v>
      </c>
      <c r="B1094" s="1405">
        <v>54400</v>
      </c>
      <c r="C1094" s="4809">
        <v>0</v>
      </c>
      <c r="D1094" s="1406">
        <v>0</v>
      </c>
      <c r="E1094" s="1406">
        <v>0</v>
      </c>
      <c r="F1094" s="1405">
        <v>519</v>
      </c>
      <c r="G1094" s="4809">
        <v>0</v>
      </c>
      <c r="H1094" s="1406">
        <v>0</v>
      </c>
      <c r="I1094" s="1406">
        <v>1075</v>
      </c>
      <c r="J1094" s="1405">
        <v>1900</v>
      </c>
      <c r="K1094" s="1282"/>
      <c r="L1094" s="1406">
        <f t="shared" si="18"/>
        <v>54375</v>
      </c>
    </row>
    <row r="1095" spans="1:12" ht="13.5">
      <c r="A1095" s="1406">
        <v>54400</v>
      </c>
      <c r="B1095" s="1405">
        <v>54450</v>
      </c>
      <c r="C1095" s="4809">
        <v>0</v>
      </c>
      <c r="D1095" s="1406">
        <v>0</v>
      </c>
      <c r="E1095" s="1406">
        <v>0</v>
      </c>
      <c r="F1095" s="1405">
        <v>508</v>
      </c>
      <c r="G1095" s="4809">
        <v>0</v>
      </c>
      <c r="H1095" s="1406">
        <v>0</v>
      </c>
      <c r="I1095" s="1406">
        <v>1064</v>
      </c>
      <c r="J1095" s="1405">
        <v>1890</v>
      </c>
      <c r="K1095" s="1282"/>
      <c r="L1095" s="1406">
        <f t="shared" si="18"/>
        <v>54425</v>
      </c>
    </row>
    <row r="1096" spans="1:12" ht="13.5">
      <c r="A1096" s="1406">
        <v>54450</v>
      </c>
      <c r="B1096" s="1405">
        <v>54500</v>
      </c>
      <c r="C1096" s="4809">
        <v>0</v>
      </c>
      <c r="D1096" s="1406">
        <v>0</v>
      </c>
      <c r="E1096" s="1406">
        <v>0</v>
      </c>
      <c r="F1096" s="1405">
        <v>498</v>
      </c>
      <c r="G1096" s="4809">
        <v>0</v>
      </c>
      <c r="H1096" s="1406">
        <v>0</v>
      </c>
      <c r="I1096" s="1406">
        <v>1054</v>
      </c>
      <c r="J1096" s="1405">
        <v>1879</v>
      </c>
      <c r="K1096" s="1282"/>
      <c r="L1096" s="1406">
        <f t="shared" si="18"/>
        <v>54475</v>
      </c>
    </row>
    <row r="1097" spans="1:12" ht="13.5">
      <c r="A1097" s="1406">
        <v>54500</v>
      </c>
      <c r="B1097" s="1405">
        <v>54550</v>
      </c>
      <c r="C1097" s="4809">
        <v>0</v>
      </c>
      <c r="D1097" s="1406">
        <v>0</v>
      </c>
      <c r="E1097" s="1406">
        <v>0</v>
      </c>
      <c r="F1097" s="1405">
        <v>487</v>
      </c>
      <c r="G1097" s="4809">
        <v>0</v>
      </c>
      <c r="H1097" s="1406">
        <v>0</v>
      </c>
      <c r="I1097" s="1406">
        <v>1043</v>
      </c>
      <c r="J1097" s="1405">
        <v>1869</v>
      </c>
      <c r="K1097" s="1282"/>
      <c r="L1097" s="1406">
        <f t="shared" ref="L1097:L1166" si="19">ROUND((A1097+B1097)/2,2)</f>
        <v>54525</v>
      </c>
    </row>
    <row r="1098" spans="1:12" ht="13.5">
      <c r="A1098" s="1406">
        <v>54550</v>
      </c>
      <c r="B1098" s="1405">
        <v>54600</v>
      </c>
      <c r="C1098" s="4809">
        <v>0</v>
      </c>
      <c r="D1098" s="1406">
        <v>0</v>
      </c>
      <c r="E1098" s="1406">
        <v>0</v>
      </c>
      <c r="F1098" s="1405">
        <v>477</v>
      </c>
      <c r="G1098" s="4809">
        <v>0</v>
      </c>
      <c r="H1098" s="1406">
        <v>0</v>
      </c>
      <c r="I1098" s="1406">
        <v>1033</v>
      </c>
      <c r="J1098" s="1405">
        <v>1858</v>
      </c>
      <c r="K1098" s="1282"/>
      <c r="L1098" s="1406">
        <f t="shared" si="19"/>
        <v>54575</v>
      </c>
    </row>
    <row r="1099" spans="1:12" ht="13.5">
      <c r="A1099" s="1406">
        <v>54600</v>
      </c>
      <c r="B1099" s="1405">
        <v>54650</v>
      </c>
      <c r="C1099" s="4809">
        <v>0</v>
      </c>
      <c r="D1099" s="1406">
        <v>0</v>
      </c>
      <c r="E1099" s="1406">
        <v>0</v>
      </c>
      <c r="F1099" s="1405">
        <v>466</v>
      </c>
      <c r="G1099" s="4809">
        <v>0</v>
      </c>
      <c r="H1099" s="1406">
        <v>0</v>
      </c>
      <c r="I1099" s="1406">
        <v>1022</v>
      </c>
      <c r="J1099" s="1405">
        <v>1848</v>
      </c>
      <c r="K1099" s="1282"/>
      <c r="L1099" s="1406">
        <f t="shared" si="19"/>
        <v>54625</v>
      </c>
    </row>
    <row r="1100" spans="1:12" ht="13.5">
      <c r="A1100" s="1406">
        <v>54650</v>
      </c>
      <c r="B1100" s="1405">
        <v>54700</v>
      </c>
      <c r="C1100" s="4809">
        <v>0</v>
      </c>
      <c r="D1100" s="1406">
        <v>0</v>
      </c>
      <c r="E1100" s="1406">
        <v>0</v>
      </c>
      <c r="F1100" s="1405">
        <v>455</v>
      </c>
      <c r="G1100" s="4809">
        <v>0</v>
      </c>
      <c r="H1100" s="1406">
        <v>0</v>
      </c>
      <c r="I1100" s="1406">
        <v>1012</v>
      </c>
      <c r="J1100" s="1405">
        <v>1837</v>
      </c>
      <c r="K1100" s="1282"/>
      <c r="L1100" s="1406">
        <f t="shared" si="19"/>
        <v>54675</v>
      </c>
    </row>
    <row r="1101" spans="1:12" ht="13.5">
      <c r="A1101" s="1406">
        <v>54700</v>
      </c>
      <c r="B1101" s="1405">
        <v>54750</v>
      </c>
      <c r="C1101" s="4809">
        <v>0</v>
      </c>
      <c r="D1101" s="1406">
        <v>0</v>
      </c>
      <c r="E1101" s="1406">
        <v>0</v>
      </c>
      <c r="F1101" s="1405">
        <v>445</v>
      </c>
      <c r="G1101" s="4809">
        <v>0</v>
      </c>
      <c r="H1101" s="1406">
        <v>0</v>
      </c>
      <c r="I1101" s="1406">
        <v>1001</v>
      </c>
      <c r="J1101" s="1405">
        <v>1826</v>
      </c>
      <c r="K1101" s="1282"/>
      <c r="L1101" s="1406">
        <f t="shared" si="19"/>
        <v>54725</v>
      </c>
    </row>
    <row r="1102" spans="1:12" ht="13.5">
      <c r="A1102" s="1406">
        <v>54750</v>
      </c>
      <c r="B1102" s="1405">
        <v>54800</v>
      </c>
      <c r="C1102" s="4809">
        <v>0</v>
      </c>
      <c r="D1102" s="1406">
        <v>0</v>
      </c>
      <c r="E1102" s="1406">
        <v>0</v>
      </c>
      <c r="F1102" s="1405">
        <v>434</v>
      </c>
      <c r="G1102" s="4809">
        <v>0</v>
      </c>
      <c r="H1102" s="1406">
        <v>0</v>
      </c>
      <c r="I1102" s="1406">
        <v>990</v>
      </c>
      <c r="J1102" s="1405">
        <v>1816</v>
      </c>
      <c r="K1102" s="1282"/>
      <c r="L1102" s="1406">
        <f t="shared" si="19"/>
        <v>54775</v>
      </c>
    </row>
    <row r="1103" spans="1:12" ht="13.5">
      <c r="A1103" s="1406">
        <v>54800</v>
      </c>
      <c r="B1103" s="1405">
        <v>54850</v>
      </c>
      <c r="C1103" s="4809">
        <v>0</v>
      </c>
      <c r="D1103" s="1406">
        <v>0</v>
      </c>
      <c r="E1103" s="1406">
        <v>0</v>
      </c>
      <c r="F1103" s="1405">
        <v>424</v>
      </c>
      <c r="G1103" s="4809">
        <v>0</v>
      </c>
      <c r="H1103" s="1406">
        <v>0</v>
      </c>
      <c r="I1103" s="1406">
        <v>980</v>
      </c>
      <c r="J1103" s="1405">
        <v>1805</v>
      </c>
      <c r="K1103" s="1282"/>
      <c r="L1103" s="1406">
        <f t="shared" si="19"/>
        <v>54825</v>
      </c>
    </row>
    <row r="1104" spans="1:12" ht="13.5">
      <c r="A1104" s="1406">
        <v>54850</v>
      </c>
      <c r="B1104" s="1405">
        <v>54900</v>
      </c>
      <c r="C1104" s="4809">
        <v>0</v>
      </c>
      <c r="D1104" s="1406">
        <v>0</v>
      </c>
      <c r="E1104" s="1406">
        <v>0</v>
      </c>
      <c r="F1104" s="1405">
        <v>413</v>
      </c>
      <c r="G1104" s="4809">
        <v>0</v>
      </c>
      <c r="H1104" s="1406">
        <v>0</v>
      </c>
      <c r="I1104" s="1406">
        <v>969</v>
      </c>
      <c r="J1104" s="1405">
        <v>1795</v>
      </c>
      <c r="K1104" s="1282"/>
      <c r="L1104" s="1406">
        <f t="shared" si="19"/>
        <v>54875</v>
      </c>
    </row>
    <row r="1105" spans="1:12" ht="13.5">
      <c r="A1105" s="1406">
        <v>54900</v>
      </c>
      <c r="B1105" s="1405">
        <v>54950</v>
      </c>
      <c r="C1105" s="4809">
        <v>0</v>
      </c>
      <c r="D1105" s="1406">
        <v>0</v>
      </c>
      <c r="E1105" s="1406">
        <v>0</v>
      </c>
      <c r="F1105" s="1405">
        <v>403</v>
      </c>
      <c r="G1105" s="4809">
        <v>0</v>
      </c>
      <c r="H1105" s="1406">
        <v>0</v>
      </c>
      <c r="I1105" s="1406">
        <v>959</v>
      </c>
      <c r="J1105" s="1405">
        <v>1784</v>
      </c>
      <c r="K1105" s="1282"/>
      <c r="L1105" s="1406">
        <f t="shared" si="19"/>
        <v>54925</v>
      </c>
    </row>
    <row r="1106" spans="1:12" ht="13.5">
      <c r="A1106" s="1406">
        <v>54950</v>
      </c>
      <c r="B1106" s="1405">
        <v>55000</v>
      </c>
      <c r="C1106" s="4809">
        <v>0</v>
      </c>
      <c r="D1106" s="1406">
        <v>0</v>
      </c>
      <c r="E1106" s="1406">
        <v>0</v>
      </c>
      <c r="F1106" s="1405">
        <v>392</v>
      </c>
      <c r="G1106" s="4809">
        <v>0</v>
      </c>
      <c r="H1106" s="1406">
        <v>0</v>
      </c>
      <c r="I1106" s="1406">
        <v>948</v>
      </c>
      <c r="J1106" s="1405">
        <v>1774</v>
      </c>
      <c r="K1106" s="1282"/>
      <c r="L1106" s="1406">
        <f t="shared" si="19"/>
        <v>54975</v>
      </c>
    </row>
    <row r="1107" spans="1:12" ht="13.5">
      <c r="A1107" s="1406">
        <v>55000</v>
      </c>
      <c r="B1107" s="1405">
        <v>55050</v>
      </c>
      <c r="C1107" s="4809">
        <v>0</v>
      </c>
      <c r="D1107" s="1406">
        <v>0</v>
      </c>
      <c r="E1107" s="1406">
        <v>0</v>
      </c>
      <c r="F1107" s="1405">
        <v>382</v>
      </c>
      <c r="G1107" s="4809">
        <v>0</v>
      </c>
      <c r="H1107" s="1406">
        <v>0</v>
      </c>
      <c r="I1107" s="1406">
        <v>938</v>
      </c>
      <c r="J1107" s="1405">
        <v>1763</v>
      </c>
      <c r="K1107" s="1282"/>
      <c r="L1107" s="1406">
        <f t="shared" si="19"/>
        <v>55025</v>
      </c>
    </row>
    <row r="1108" spans="1:12" ht="13.5">
      <c r="A1108" s="1406">
        <v>55050</v>
      </c>
      <c r="B1108" s="1405">
        <v>55100</v>
      </c>
      <c r="C1108" s="4809">
        <v>0</v>
      </c>
      <c r="D1108" s="1406">
        <v>0</v>
      </c>
      <c r="E1108" s="1406">
        <v>0</v>
      </c>
      <c r="F1108" s="1405">
        <v>371</v>
      </c>
      <c r="G1108" s="4809">
        <v>0</v>
      </c>
      <c r="H1108" s="1406">
        <v>0</v>
      </c>
      <c r="I1108" s="1406">
        <v>927</v>
      </c>
      <c r="J1108" s="1405">
        <v>1753</v>
      </c>
      <c r="K1108" s="1282"/>
      <c r="L1108" s="1406">
        <f t="shared" si="19"/>
        <v>55075</v>
      </c>
    </row>
    <row r="1109" spans="1:12" ht="13.5">
      <c r="A1109" s="1406">
        <v>55100</v>
      </c>
      <c r="B1109" s="1405">
        <v>55150</v>
      </c>
      <c r="C1109" s="4809">
        <v>0</v>
      </c>
      <c r="D1109" s="1406">
        <v>0</v>
      </c>
      <c r="E1109" s="1406">
        <v>0</v>
      </c>
      <c r="F1109" s="1405">
        <v>361</v>
      </c>
      <c r="G1109" s="4809">
        <v>0</v>
      </c>
      <c r="H1109" s="1406">
        <v>0</v>
      </c>
      <c r="I1109" s="1406">
        <v>917</v>
      </c>
      <c r="J1109" s="1405">
        <v>1742</v>
      </c>
      <c r="K1109" s="1282"/>
      <c r="L1109" s="1406">
        <f t="shared" si="19"/>
        <v>55125</v>
      </c>
    </row>
    <row r="1110" spans="1:12" ht="13.5">
      <c r="A1110" s="1406">
        <v>55150</v>
      </c>
      <c r="B1110" s="1405">
        <v>55200</v>
      </c>
      <c r="C1110" s="4809">
        <v>0</v>
      </c>
      <c r="D1110" s="1406">
        <v>0</v>
      </c>
      <c r="E1110" s="1406">
        <v>0</v>
      </c>
      <c r="F1110" s="1405">
        <v>350</v>
      </c>
      <c r="G1110" s="4809">
        <v>0</v>
      </c>
      <c r="H1110" s="1406">
        <v>0</v>
      </c>
      <c r="I1110" s="1406">
        <v>906</v>
      </c>
      <c r="J1110" s="1405">
        <v>1732</v>
      </c>
      <c r="K1110" s="1282"/>
      <c r="L1110" s="1406">
        <f t="shared" si="19"/>
        <v>55175</v>
      </c>
    </row>
    <row r="1111" spans="1:12" ht="13.5">
      <c r="A1111" s="1406">
        <v>55200</v>
      </c>
      <c r="B1111" s="1405">
        <v>55250</v>
      </c>
      <c r="C1111" s="4809">
        <v>0</v>
      </c>
      <c r="D1111" s="1406">
        <v>0</v>
      </c>
      <c r="E1111" s="1406">
        <v>0</v>
      </c>
      <c r="F1111" s="1405">
        <v>340</v>
      </c>
      <c r="G1111" s="4809">
        <v>0</v>
      </c>
      <c r="H1111" s="1406">
        <v>0</v>
      </c>
      <c r="I1111" s="1406">
        <v>896</v>
      </c>
      <c r="J1111" s="1405">
        <v>1721</v>
      </c>
      <c r="K1111" s="1282"/>
      <c r="L1111" s="1406">
        <f t="shared" si="19"/>
        <v>55225</v>
      </c>
    </row>
    <row r="1112" spans="1:12" ht="13.5">
      <c r="A1112" s="1406">
        <v>55250</v>
      </c>
      <c r="B1112" s="1405">
        <v>55300</v>
      </c>
      <c r="C1112" s="4809">
        <v>0</v>
      </c>
      <c r="D1112" s="1406">
        <v>0</v>
      </c>
      <c r="E1112" s="1406">
        <v>0</v>
      </c>
      <c r="F1112" s="1405">
        <v>329</v>
      </c>
      <c r="G1112" s="4809">
        <v>0</v>
      </c>
      <c r="H1112" s="1406">
        <v>0</v>
      </c>
      <c r="I1112" s="1406">
        <v>885</v>
      </c>
      <c r="J1112" s="1405">
        <v>1711</v>
      </c>
      <c r="K1112" s="1282"/>
      <c r="L1112" s="1406">
        <f t="shared" si="19"/>
        <v>55275</v>
      </c>
    </row>
    <row r="1113" spans="1:12" ht="13.5">
      <c r="A1113" s="1406">
        <v>55300</v>
      </c>
      <c r="B1113" s="1405">
        <v>55350</v>
      </c>
      <c r="C1113" s="4809">
        <v>0</v>
      </c>
      <c r="D1113" s="1406">
        <v>0</v>
      </c>
      <c r="E1113" s="1406">
        <v>0</v>
      </c>
      <c r="F1113" s="1405">
        <v>319</v>
      </c>
      <c r="G1113" s="4809">
        <v>0</v>
      </c>
      <c r="H1113" s="1406">
        <v>0</v>
      </c>
      <c r="I1113" s="1406">
        <v>875</v>
      </c>
      <c r="J1113" s="1405">
        <v>1700</v>
      </c>
      <c r="K1113" s="1282"/>
      <c r="L1113" s="1406">
        <f t="shared" si="19"/>
        <v>55325</v>
      </c>
    </row>
    <row r="1114" spans="1:12" ht="13.5">
      <c r="A1114" s="1406">
        <v>55350</v>
      </c>
      <c r="B1114" s="1405">
        <v>55400</v>
      </c>
      <c r="C1114" s="4809">
        <v>0</v>
      </c>
      <c r="D1114" s="1406">
        <v>0</v>
      </c>
      <c r="E1114" s="1406">
        <v>0</v>
      </c>
      <c r="F1114" s="1405">
        <v>308</v>
      </c>
      <c r="G1114" s="4809">
        <v>0</v>
      </c>
      <c r="H1114" s="1406">
        <v>0</v>
      </c>
      <c r="I1114" s="1406">
        <v>864</v>
      </c>
      <c r="J1114" s="1405">
        <v>1690</v>
      </c>
      <c r="K1114" s="1282"/>
      <c r="L1114" s="1406">
        <f t="shared" si="19"/>
        <v>55375</v>
      </c>
    </row>
    <row r="1115" spans="1:12" ht="13.5">
      <c r="A1115" s="1406">
        <v>55400</v>
      </c>
      <c r="B1115" s="1405">
        <v>55450</v>
      </c>
      <c r="C1115" s="4809">
        <v>0</v>
      </c>
      <c r="D1115" s="1406">
        <v>0</v>
      </c>
      <c r="E1115" s="1406">
        <v>0</v>
      </c>
      <c r="F1115" s="1405">
        <v>298</v>
      </c>
      <c r="G1115" s="4809">
        <v>0</v>
      </c>
      <c r="H1115" s="1406">
        <v>0</v>
      </c>
      <c r="I1115" s="1406">
        <v>854</v>
      </c>
      <c r="J1115" s="1405">
        <v>1679</v>
      </c>
      <c r="K1115" s="1282"/>
      <c r="L1115" s="1406">
        <f t="shared" si="19"/>
        <v>55425</v>
      </c>
    </row>
    <row r="1116" spans="1:12" ht="13.5">
      <c r="A1116" s="1406">
        <v>55450</v>
      </c>
      <c r="B1116" s="1405">
        <v>55500</v>
      </c>
      <c r="C1116" s="4809">
        <v>0</v>
      </c>
      <c r="D1116" s="1406">
        <v>0</v>
      </c>
      <c r="E1116" s="1406">
        <v>0</v>
      </c>
      <c r="F1116" s="1405">
        <v>287</v>
      </c>
      <c r="G1116" s="4809">
        <v>0</v>
      </c>
      <c r="H1116" s="1406">
        <v>0</v>
      </c>
      <c r="I1116" s="1406">
        <v>843</v>
      </c>
      <c r="J1116" s="1405">
        <v>1669</v>
      </c>
      <c r="K1116" s="1282"/>
      <c r="L1116" s="1406">
        <f t="shared" si="19"/>
        <v>55475</v>
      </c>
    </row>
    <row r="1117" spans="1:12" ht="13.5">
      <c r="A1117" s="1406">
        <v>55500</v>
      </c>
      <c r="B1117" s="1405">
        <v>55550</v>
      </c>
      <c r="C1117" s="4809">
        <v>0</v>
      </c>
      <c r="D1117" s="1406">
        <v>0</v>
      </c>
      <c r="E1117" s="1406">
        <v>0</v>
      </c>
      <c r="F1117" s="1405">
        <v>276</v>
      </c>
      <c r="G1117" s="4809">
        <v>0</v>
      </c>
      <c r="H1117" s="1406">
        <v>0</v>
      </c>
      <c r="I1117" s="1406">
        <v>833</v>
      </c>
      <c r="J1117" s="1405">
        <v>1658</v>
      </c>
      <c r="K1117" s="1282"/>
      <c r="L1117" s="1406">
        <f t="shared" si="19"/>
        <v>55525</v>
      </c>
    </row>
    <row r="1118" spans="1:12" ht="13.5">
      <c r="A1118" s="1406">
        <v>55550</v>
      </c>
      <c r="B1118" s="1405">
        <v>55600</v>
      </c>
      <c r="C1118" s="4809">
        <v>0</v>
      </c>
      <c r="D1118" s="1406">
        <v>0</v>
      </c>
      <c r="E1118" s="1406">
        <v>0</v>
      </c>
      <c r="F1118" s="1405">
        <v>266</v>
      </c>
      <c r="G1118" s="4809">
        <v>0</v>
      </c>
      <c r="H1118" s="1406">
        <v>0</v>
      </c>
      <c r="I1118" s="1406">
        <v>822</v>
      </c>
      <c r="J1118" s="1405">
        <v>1647</v>
      </c>
      <c r="K1118" s="1282"/>
      <c r="L1118" s="1406">
        <f t="shared" si="19"/>
        <v>55575</v>
      </c>
    </row>
    <row r="1119" spans="1:12" ht="13.5">
      <c r="A1119" s="1406">
        <v>55600</v>
      </c>
      <c r="B1119" s="1405">
        <v>55650</v>
      </c>
      <c r="C1119" s="4809">
        <v>0</v>
      </c>
      <c r="D1119" s="1406">
        <v>0</v>
      </c>
      <c r="E1119" s="1406">
        <v>0</v>
      </c>
      <c r="F1119" s="1405">
        <v>255</v>
      </c>
      <c r="G1119" s="4809">
        <v>0</v>
      </c>
      <c r="H1119" s="1406">
        <v>0</v>
      </c>
      <c r="I1119" s="1406">
        <v>811</v>
      </c>
      <c r="J1119" s="1405">
        <v>1637</v>
      </c>
      <c r="K1119" s="1282"/>
      <c r="L1119" s="1406">
        <f t="shared" si="19"/>
        <v>55625</v>
      </c>
    </row>
    <row r="1120" spans="1:12" ht="13.5">
      <c r="A1120" s="1406">
        <v>55650</v>
      </c>
      <c r="B1120" s="1405">
        <v>55700</v>
      </c>
      <c r="C1120" s="4809">
        <v>0</v>
      </c>
      <c r="D1120" s="1406">
        <v>0</v>
      </c>
      <c r="E1120" s="1406">
        <v>0</v>
      </c>
      <c r="F1120" s="1405">
        <v>245</v>
      </c>
      <c r="G1120" s="4809">
        <v>0</v>
      </c>
      <c r="H1120" s="1406">
        <v>0</v>
      </c>
      <c r="I1120" s="1406">
        <v>801</v>
      </c>
      <c r="J1120" s="1405">
        <v>1626</v>
      </c>
      <c r="K1120" s="1282"/>
      <c r="L1120" s="1406">
        <f t="shared" si="19"/>
        <v>55675</v>
      </c>
    </row>
    <row r="1121" spans="1:12" ht="13.5">
      <c r="A1121" s="1406">
        <v>55700</v>
      </c>
      <c r="B1121" s="1405">
        <v>55750</v>
      </c>
      <c r="C1121" s="4809">
        <v>0</v>
      </c>
      <c r="D1121" s="1406">
        <v>0</v>
      </c>
      <c r="E1121" s="1406">
        <v>0</v>
      </c>
      <c r="F1121" s="1405">
        <v>234</v>
      </c>
      <c r="G1121" s="4809">
        <v>0</v>
      </c>
      <c r="H1121" s="1406">
        <v>0</v>
      </c>
      <c r="I1121" s="1406">
        <v>790</v>
      </c>
      <c r="J1121" s="1405">
        <v>1616</v>
      </c>
      <c r="K1121" s="1282"/>
      <c r="L1121" s="1406">
        <f t="shared" si="19"/>
        <v>55725</v>
      </c>
    </row>
    <row r="1122" spans="1:12" ht="13.5">
      <c r="A1122" s="1406">
        <v>55750</v>
      </c>
      <c r="B1122" s="1405">
        <v>55800</v>
      </c>
      <c r="C1122" s="4809">
        <v>0</v>
      </c>
      <c r="D1122" s="1406">
        <v>0</v>
      </c>
      <c r="E1122" s="1406">
        <v>0</v>
      </c>
      <c r="F1122" s="1405">
        <v>224</v>
      </c>
      <c r="G1122" s="4809">
        <v>0</v>
      </c>
      <c r="H1122" s="1406">
        <v>0</v>
      </c>
      <c r="I1122" s="1406">
        <v>780</v>
      </c>
      <c r="J1122" s="1405">
        <v>1605</v>
      </c>
      <c r="K1122" s="1282"/>
      <c r="L1122" s="1406">
        <f t="shared" si="19"/>
        <v>55775</v>
      </c>
    </row>
    <row r="1123" spans="1:12" ht="13.5">
      <c r="A1123" s="1406">
        <v>55800</v>
      </c>
      <c r="B1123" s="1405">
        <v>55850</v>
      </c>
      <c r="C1123" s="4809">
        <v>0</v>
      </c>
      <c r="D1123" s="1406">
        <v>0</v>
      </c>
      <c r="E1123" s="1406">
        <v>0</v>
      </c>
      <c r="F1123" s="1405">
        <v>213</v>
      </c>
      <c r="G1123" s="4809">
        <v>0</v>
      </c>
      <c r="H1123" s="1406">
        <v>0</v>
      </c>
      <c r="I1123" s="1406">
        <v>769</v>
      </c>
      <c r="J1123" s="1405">
        <v>1595</v>
      </c>
      <c r="K1123" s="1282"/>
      <c r="L1123" s="1406">
        <f t="shared" si="19"/>
        <v>55825</v>
      </c>
    </row>
    <row r="1124" spans="1:12" ht="13.5">
      <c r="A1124" s="1406">
        <v>55850</v>
      </c>
      <c r="B1124" s="1405">
        <v>55900</v>
      </c>
      <c r="C1124" s="4809">
        <v>0</v>
      </c>
      <c r="D1124" s="1406">
        <v>0</v>
      </c>
      <c r="E1124" s="1406">
        <v>0</v>
      </c>
      <c r="F1124" s="1405">
        <v>203</v>
      </c>
      <c r="G1124" s="4809">
        <v>0</v>
      </c>
      <c r="H1124" s="1406">
        <v>0</v>
      </c>
      <c r="I1124" s="1406">
        <v>759</v>
      </c>
      <c r="J1124" s="1405">
        <v>1584</v>
      </c>
      <c r="K1124" s="1282"/>
      <c r="L1124" s="1406">
        <f t="shared" si="19"/>
        <v>55875</v>
      </c>
    </row>
    <row r="1125" spans="1:12" ht="13.5">
      <c r="A1125" s="1406">
        <v>55900</v>
      </c>
      <c r="B1125" s="1405">
        <v>55950</v>
      </c>
      <c r="C1125" s="4809">
        <v>0</v>
      </c>
      <c r="D1125" s="1406">
        <v>0</v>
      </c>
      <c r="E1125" s="1406">
        <v>0</v>
      </c>
      <c r="F1125" s="1405">
        <v>192</v>
      </c>
      <c r="G1125" s="4809">
        <v>0</v>
      </c>
      <c r="H1125" s="1406">
        <v>0</v>
      </c>
      <c r="I1125" s="1406">
        <v>748</v>
      </c>
      <c r="J1125" s="1405">
        <v>1574</v>
      </c>
      <c r="K1125" s="1282"/>
      <c r="L1125" s="1406">
        <f t="shared" si="19"/>
        <v>55925</v>
      </c>
    </row>
    <row r="1126" spans="1:12" ht="13.5">
      <c r="A1126" s="1406">
        <v>55950</v>
      </c>
      <c r="B1126" s="1405">
        <v>56000</v>
      </c>
      <c r="C1126" s="4809">
        <v>0</v>
      </c>
      <c r="D1126" s="1406">
        <v>0</v>
      </c>
      <c r="E1126" s="1406">
        <v>0</v>
      </c>
      <c r="F1126" s="1405">
        <v>182</v>
      </c>
      <c r="G1126" s="4809">
        <v>0</v>
      </c>
      <c r="H1126" s="1406">
        <v>0</v>
      </c>
      <c r="I1126" s="1406">
        <v>738</v>
      </c>
      <c r="J1126" s="1405">
        <v>1563</v>
      </c>
      <c r="K1126" s="1282"/>
      <c r="L1126" s="1406">
        <f t="shared" si="19"/>
        <v>55975</v>
      </c>
    </row>
    <row r="1127" spans="1:12" ht="13.5">
      <c r="A1127" s="1406">
        <v>56000</v>
      </c>
      <c r="B1127" s="1405">
        <v>56050</v>
      </c>
      <c r="C1127" s="4809">
        <v>0</v>
      </c>
      <c r="D1127" s="1406">
        <v>0</v>
      </c>
      <c r="E1127" s="1406">
        <v>0</v>
      </c>
      <c r="F1127" s="1405">
        <v>171</v>
      </c>
      <c r="G1127" s="4809">
        <v>0</v>
      </c>
      <c r="H1127" s="1406">
        <v>0</v>
      </c>
      <c r="I1127" s="1406">
        <v>727</v>
      </c>
      <c r="J1127" s="1405">
        <v>1553</v>
      </c>
      <c r="K1127" s="1282"/>
      <c r="L1127" s="1406">
        <f t="shared" si="19"/>
        <v>56025</v>
      </c>
    </row>
    <row r="1128" spans="1:12" ht="13.5">
      <c r="A1128" s="1406">
        <v>56050</v>
      </c>
      <c r="B1128" s="1405">
        <v>56100</v>
      </c>
      <c r="C1128" s="4809">
        <v>0</v>
      </c>
      <c r="D1128" s="1406">
        <v>0</v>
      </c>
      <c r="E1128" s="1406">
        <v>0</v>
      </c>
      <c r="F1128" s="1405">
        <v>161</v>
      </c>
      <c r="G1128" s="4809">
        <v>0</v>
      </c>
      <c r="H1128" s="1406">
        <v>0</v>
      </c>
      <c r="I1128" s="1406">
        <v>717</v>
      </c>
      <c r="J1128" s="1405">
        <v>1542</v>
      </c>
      <c r="K1128" s="1282"/>
      <c r="L1128" s="1406">
        <f t="shared" si="19"/>
        <v>56075</v>
      </c>
    </row>
    <row r="1129" spans="1:12" ht="13.5">
      <c r="A1129" s="1406">
        <v>56100</v>
      </c>
      <c r="B1129" s="1405">
        <v>56150</v>
      </c>
      <c r="C1129" s="4809">
        <v>0</v>
      </c>
      <c r="D1129" s="1406">
        <v>0</v>
      </c>
      <c r="E1129" s="1406">
        <v>0</v>
      </c>
      <c r="F1129" s="1405">
        <v>150</v>
      </c>
      <c r="G1129" s="4809">
        <v>0</v>
      </c>
      <c r="H1129" s="1406">
        <v>0</v>
      </c>
      <c r="I1129" s="1406">
        <v>706</v>
      </c>
      <c r="J1129" s="1405">
        <v>1532</v>
      </c>
      <c r="K1129" s="1282"/>
      <c r="L1129" s="1406">
        <f t="shared" si="19"/>
        <v>56125</v>
      </c>
    </row>
    <row r="1130" spans="1:12" ht="13.5">
      <c r="A1130" s="1406">
        <v>56150</v>
      </c>
      <c r="B1130" s="1405">
        <v>56200</v>
      </c>
      <c r="C1130" s="4809">
        <v>0</v>
      </c>
      <c r="D1130" s="1406">
        <v>0</v>
      </c>
      <c r="E1130" s="1406">
        <v>0</v>
      </c>
      <c r="F1130" s="1405">
        <v>140</v>
      </c>
      <c r="G1130" s="4809">
        <v>0</v>
      </c>
      <c r="H1130" s="1406">
        <v>0</v>
      </c>
      <c r="I1130" s="1406">
        <v>696</v>
      </c>
      <c r="J1130" s="1405">
        <v>1521</v>
      </c>
      <c r="K1130" s="1282"/>
      <c r="L1130" s="1406">
        <f t="shared" si="19"/>
        <v>56175</v>
      </c>
    </row>
    <row r="1131" spans="1:12" ht="13.5">
      <c r="A1131" s="1406">
        <v>56200</v>
      </c>
      <c r="B1131" s="1405">
        <v>56250</v>
      </c>
      <c r="C1131" s="4809">
        <v>0</v>
      </c>
      <c r="D1131" s="1406">
        <v>0</v>
      </c>
      <c r="E1131" s="1406">
        <v>0</v>
      </c>
      <c r="F1131" s="1405">
        <v>129</v>
      </c>
      <c r="G1131" s="4809">
        <v>0</v>
      </c>
      <c r="H1131" s="1406">
        <v>0</v>
      </c>
      <c r="I1131" s="1406">
        <v>685</v>
      </c>
      <c r="J1131" s="1405">
        <v>1511</v>
      </c>
      <c r="K1131" s="1282"/>
      <c r="L1131" s="1406">
        <f t="shared" si="19"/>
        <v>56225</v>
      </c>
    </row>
    <row r="1132" spans="1:12" ht="13.5">
      <c r="A1132" s="1406">
        <v>56250</v>
      </c>
      <c r="B1132" s="1405">
        <v>56300</v>
      </c>
      <c r="C1132" s="4809">
        <v>0</v>
      </c>
      <c r="D1132" s="1406">
        <v>0</v>
      </c>
      <c r="E1132" s="1406">
        <v>0</v>
      </c>
      <c r="F1132" s="1405">
        <v>119</v>
      </c>
      <c r="G1132" s="4809">
        <v>0</v>
      </c>
      <c r="H1132" s="1406">
        <v>0</v>
      </c>
      <c r="I1132" s="1406">
        <v>675</v>
      </c>
      <c r="J1132" s="1405">
        <v>1500</v>
      </c>
      <c r="K1132" s="1282"/>
      <c r="L1132" s="1406">
        <f t="shared" si="19"/>
        <v>56275</v>
      </c>
    </row>
    <row r="1133" spans="1:12" ht="13.5">
      <c r="A1133" s="1406">
        <v>56300</v>
      </c>
      <c r="B1133" s="1405">
        <v>56350</v>
      </c>
      <c r="C1133" s="4809">
        <v>0</v>
      </c>
      <c r="D1133" s="1406">
        <v>0</v>
      </c>
      <c r="E1133" s="1406">
        <v>0</v>
      </c>
      <c r="F1133" s="1405">
        <v>108</v>
      </c>
      <c r="G1133" s="4809">
        <v>0</v>
      </c>
      <c r="H1133" s="1406">
        <v>0</v>
      </c>
      <c r="I1133" s="1406">
        <v>664</v>
      </c>
      <c r="J1133" s="1405">
        <v>1490</v>
      </c>
      <c r="K1133" s="1282"/>
      <c r="L1133" s="1406">
        <f t="shared" si="19"/>
        <v>56325</v>
      </c>
    </row>
    <row r="1134" spans="1:12" ht="13.5">
      <c r="A1134" s="1406">
        <v>56350</v>
      </c>
      <c r="B1134" s="1405">
        <v>56400</v>
      </c>
      <c r="C1134" s="4809">
        <v>0</v>
      </c>
      <c r="D1134" s="1406">
        <v>0</v>
      </c>
      <c r="E1134" s="1406">
        <v>0</v>
      </c>
      <c r="F1134" s="1405">
        <v>97</v>
      </c>
      <c r="G1134" s="4809">
        <v>0</v>
      </c>
      <c r="H1134" s="1406">
        <v>0</v>
      </c>
      <c r="I1134" s="1406">
        <v>653</v>
      </c>
      <c r="J1134" s="1405">
        <v>1479</v>
      </c>
      <c r="K1134" s="1282"/>
      <c r="L1134" s="1406">
        <f t="shared" si="19"/>
        <v>56375</v>
      </c>
    </row>
    <row r="1135" spans="1:12" ht="13.5">
      <c r="A1135" s="1406">
        <v>56400</v>
      </c>
      <c r="B1135" s="1405">
        <v>56450</v>
      </c>
      <c r="C1135" s="4809">
        <v>0</v>
      </c>
      <c r="D1135" s="1406">
        <v>0</v>
      </c>
      <c r="E1135" s="1406">
        <v>0</v>
      </c>
      <c r="F1135" s="1405">
        <v>87</v>
      </c>
      <c r="G1135" s="4809">
        <v>0</v>
      </c>
      <c r="H1135" s="1406">
        <v>0</v>
      </c>
      <c r="I1135" s="1406">
        <v>643</v>
      </c>
      <c r="J1135" s="1405">
        <v>1468</v>
      </c>
      <c r="K1135" s="1282"/>
      <c r="L1135" s="1406">
        <f t="shared" si="19"/>
        <v>56425</v>
      </c>
    </row>
    <row r="1136" spans="1:12" ht="13.5">
      <c r="A1136" s="1406">
        <v>56450</v>
      </c>
      <c r="B1136" s="1405">
        <v>56500</v>
      </c>
      <c r="C1136" s="4809">
        <v>0</v>
      </c>
      <c r="D1136" s="1406">
        <v>0</v>
      </c>
      <c r="E1136" s="1406">
        <v>0</v>
      </c>
      <c r="F1136" s="1405">
        <v>76</v>
      </c>
      <c r="G1136" s="4809">
        <v>0</v>
      </c>
      <c r="H1136" s="1406">
        <v>0</v>
      </c>
      <c r="I1136" s="1406">
        <v>632</v>
      </c>
      <c r="J1136" s="1405">
        <v>1458</v>
      </c>
      <c r="K1136" s="1282"/>
      <c r="L1136" s="1406">
        <f t="shared" si="19"/>
        <v>56475</v>
      </c>
    </row>
    <row r="1137" spans="1:13" ht="13.5">
      <c r="A1137" s="1406">
        <v>56500</v>
      </c>
      <c r="B1137" s="1405">
        <v>56550</v>
      </c>
      <c r="C1137" s="4809">
        <v>0</v>
      </c>
      <c r="D1137" s="1406">
        <v>0</v>
      </c>
      <c r="E1137" s="1406">
        <v>0</v>
      </c>
      <c r="F1137" s="1405">
        <v>66</v>
      </c>
      <c r="G1137" s="4809">
        <v>0</v>
      </c>
      <c r="H1137" s="1406">
        <v>0</v>
      </c>
      <c r="I1137" s="1406">
        <v>622</v>
      </c>
      <c r="J1137" s="1405">
        <v>1447</v>
      </c>
      <c r="K1137" s="1282"/>
      <c r="L1137" s="1406">
        <f t="shared" si="19"/>
        <v>56525</v>
      </c>
    </row>
    <row r="1138" spans="1:13" ht="13.5">
      <c r="A1138" s="1406">
        <v>56550</v>
      </c>
      <c r="B1138" s="1405">
        <v>56600</v>
      </c>
      <c r="C1138" s="4809">
        <v>0</v>
      </c>
      <c r="D1138" s="1406">
        <v>0</v>
      </c>
      <c r="E1138" s="1406">
        <v>0</v>
      </c>
      <c r="F1138" s="1405">
        <v>55</v>
      </c>
      <c r="G1138" s="4809">
        <v>0</v>
      </c>
      <c r="H1138" s="1406">
        <v>0</v>
      </c>
      <c r="I1138" s="1406">
        <v>611</v>
      </c>
      <c r="J1138" s="1405">
        <v>1437</v>
      </c>
      <c r="K1138" s="1282"/>
      <c r="L1138" s="1406">
        <f t="shared" si="19"/>
        <v>56575</v>
      </c>
    </row>
    <row r="1139" spans="1:13" ht="13.5">
      <c r="A1139" s="1406">
        <v>56600</v>
      </c>
      <c r="B1139" s="1405">
        <v>56650</v>
      </c>
      <c r="C1139" s="4809">
        <v>0</v>
      </c>
      <c r="D1139" s="1406">
        <v>0</v>
      </c>
      <c r="E1139" s="1406">
        <v>0</v>
      </c>
      <c r="F1139" s="1405">
        <v>45</v>
      </c>
      <c r="G1139" s="4809">
        <v>0</v>
      </c>
      <c r="H1139" s="1406">
        <v>0</v>
      </c>
      <c r="I1139" s="1406">
        <v>601</v>
      </c>
      <c r="J1139" s="1405">
        <v>1426</v>
      </c>
      <c r="K1139" s="1282"/>
      <c r="L1139" s="1406">
        <f t="shared" si="19"/>
        <v>56625</v>
      </c>
    </row>
    <row r="1140" spans="1:13" ht="13.5">
      <c r="A1140" s="1406">
        <v>56650</v>
      </c>
      <c r="B1140" s="1405">
        <v>56700</v>
      </c>
      <c r="C1140" s="4809">
        <v>0</v>
      </c>
      <c r="D1140" s="1406">
        <v>0</v>
      </c>
      <c r="E1140" s="1406">
        <v>0</v>
      </c>
      <c r="F1140" s="1405">
        <v>34</v>
      </c>
      <c r="G1140" s="4809">
        <v>0</v>
      </c>
      <c r="H1140" s="1406">
        <v>0</v>
      </c>
      <c r="I1140" s="1406">
        <v>590</v>
      </c>
      <c r="J1140" s="1405">
        <v>1416</v>
      </c>
      <c r="K1140" s="1282"/>
      <c r="L1140" s="1406">
        <f t="shared" si="19"/>
        <v>56675</v>
      </c>
    </row>
    <row r="1141" spans="1:13" ht="13.5">
      <c r="A1141" s="1406">
        <v>56700</v>
      </c>
      <c r="B1141" s="1405">
        <v>56750</v>
      </c>
      <c r="C1141" s="4809">
        <v>0</v>
      </c>
      <c r="D1141" s="1406">
        <v>0</v>
      </c>
      <c r="E1141" s="1406">
        <v>0</v>
      </c>
      <c r="F1141" s="1405">
        <v>24</v>
      </c>
      <c r="G1141" s="4809">
        <v>0</v>
      </c>
      <c r="H1141" s="1406">
        <v>0</v>
      </c>
      <c r="I1141" s="1406">
        <v>580</v>
      </c>
      <c r="J1141" s="1405">
        <v>1405</v>
      </c>
      <c r="K1141" s="1282"/>
      <c r="L1141" s="1406">
        <f t="shared" si="19"/>
        <v>56725</v>
      </c>
    </row>
    <row r="1142" spans="1:13" ht="13.5">
      <c r="A1142" s="1406">
        <v>56750</v>
      </c>
      <c r="B1142" s="1405">
        <v>56800</v>
      </c>
      <c r="C1142" s="4809">
        <v>0</v>
      </c>
      <c r="D1142" s="1406">
        <v>0</v>
      </c>
      <c r="E1142" s="1406">
        <v>0</v>
      </c>
      <c r="F1142" s="1405">
        <v>13</v>
      </c>
      <c r="G1142" s="4809">
        <v>0</v>
      </c>
      <c r="H1142" s="1406">
        <v>0</v>
      </c>
      <c r="I1142" s="1406">
        <v>569</v>
      </c>
      <c r="J1142" s="1405">
        <v>1395</v>
      </c>
      <c r="K1142" s="1282"/>
      <c r="L1142" s="1406">
        <f t="shared" si="19"/>
        <v>56775</v>
      </c>
    </row>
    <row r="1143" spans="1:13" ht="13.5">
      <c r="A1143" s="5325">
        <v>56800</v>
      </c>
      <c r="B1143" s="5326">
        <v>56838</v>
      </c>
      <c r="C1143" s="5327">
        <v>0</v>
      </c>
      <c r="D1143" s="5325">
        <v>0</v>
      </c>
      <c r="E1143" s="5325">
        <v>0</v>
      </c>
      <c r="F1143" s="5339">
        <v>4</v>
      </c>
      <c r="G1143" s="5327">
        <v>0</v>
      </c>
      <c r="H1143" s="5325">
        <v>0</v>
      </c>
      <c r="I1143" s="5325">
        <v>559</v>
      </c>
      <c r="J1143" s="5326">
        <v>1384</v>
      </c>
      <c r="K1143" s="5329"/>
      <c r="L1143" s="5325">
        <f t="shared" si="19"/>
        <v>56819</v>
      </c>
      <c r="M1143" s="5324" t="s">
        <v>5380</v>
      </c>
    </row>
    <row r="1144" spans="1:13" ht="13.5">
      <c r="A1144" s="5325">
        <v>56838</v>
      </c>
      <c r="B1144" s="5326">
        <v>56850</v>
      </c>
      <c r="C1144" s="5327">
        <v>0</v>
      </c>
      <c r="D1144" s="5325">
        <v>0</v>
      </c>
      <c r="E1144" s="5325">
        <v>0</v>
      </c>
      <c r="F1144" s="5326">
        <v>0</v>
      </c>
      <c r="G1144" s="5327">
        <v>0</v>
      </c>
      <c r="H1144" s="5325">
        <v>0</v>
      </c>
      <c r="I1144" s="5325">
        <v>559</v>
      </c>
      <c r="J1144" s="5326">
        <v>1384</v>
      </c>
      <c r="K1144" s="5329"/>
      <c r="L1144" s="5325">
        <f>ROUND((A1144+B1144)/2,2)</f>
        <v>56844</v>
      </c>
      <c r="M1144" s="5324" t="s">
        <v>5381</v>
      </c>
    </row>
    <row r="1145" spans="1:13" ht="13.5">
      <c r="A1145" s="1406">
        <v>56850</v>
      </c>
      <c r="B1145" s="1405">
        <v>56900</v>
      </c>
      <c r="C1145" s="4809">
        <v>0</v>
      </c>
      <c r="D1145" s="1406">
        <v>0</v>
      </c>
      <c r="E1145" s="1406">
        <v>0</v>
      </c>
      <c r="F1145" s="1405">
        <v>0</v>
      </c>
      <c r="G1145" s="4809">
        <v>0</v>
      </c>
      <c r="H1145" s="1406">
        <v>0</v>
      </c>
      <c r="I1145" s="1406">
        <v>548</v>
      </c>
      <c r="J1145" s="1405">
        <v>1374</v>
      </c>
      <c r="K1145" s="1282"/>
      <c r="L1145" s="1406">
        <f t="shared" si="19"/>
        <v>56875</v>
      </c>
    </row>
    <row r="1146" spans="1:13" ht="13.5">
      <c r="A1146" s="1406">
        <v>56900</v>
      </c>
      <c r="B1146" s="1405">
        <v>56950</v>
      </c>
      <c r="C1146" s="4809">
        <v>0</v>
      </c>
      <c r="D1146" s="1406">
        <v>0</v>
      </c>
      <c r="E1146" s="1406">
        <v>0</v>
      </c>
      <c r="F1146" s="1405">
        <v>0</v>
      </c>
      <c r="G1146" s="4809">
        <v>0</v>
      </c>
      <c r="H1146" s="1406">
        <v>0</v>
      </c>
      <c r="I1146" s="1406">
        <v>538</v>
      </c>
      <c r="J1146" s="1405">
        <v>1363</v>
      </c>
      <c r="K1146" s="1282"/>
      <c r="L1146" s="1406">
        <f t="shared" si="19"/>
        <v>56925</v>
      </c>
    </row>
    <row r="1147" spans="1:13" ht="13.5">
      <c r="A1147" s="1406">
        <v>56950</v>
      </c>
      <c r="B1147" s="1405">
        <v>57000</v>
      </c>
      <c r="C1147" s="4809">
        <v>0</v>
      </c>
      <c r="D1147" s="1406">
        <v>0</v>
      </c>
      <c r="E1147" s="1406">
        <v>0</v>
      </c>
      <c r="F1147" s="1405">
        <v>0</v>
      </c>
      <c r="G1147" s="4809">
        <v>0</v>
      </c>
      <c r="H1147" s="1406">
        <v>0</v>
      </c>
      <c r="I1147" s="1406">
        <v>527</v>
      </c>
      <c r="J1147" s="1405">
        <v>1353</v>
      </c>
      <c r="K1147" s="1282"/>
      <c r="L1147" s="1406">
        <f t="shared" si="19"/>
        <v>56975</v>
      </c>
    </row>
    <row r="1148" spans="1:13" ht="13.5">
      <c r="A1148" s="1406">
        <v>57000</v>
      </c>
      <c r="B1148" s="1405">
        <v>57050</v>
      </c>
      <c r="C1148" s="4809">
        <v>0</v>
      </c>
      <c r="D1148" s="1406">
        <v>0</v>
      </c>
      <c r="E1148" s="1406">
        <v>0</v>
      </c>
      <c r="F1148" s="1405">
        <v>0</v>
      </c>
      <c r="G1148" s="4809">
        <v>0</v>
      </c>
      <c r="H1148" s="1406">
        <v>0</v>
      </c>
      <c r="I1148" s="1406">
        <v>517</v>
      </c>
      <c r="J1148" s="1405">
        <v>1342</v>
      </c>
      <c r="K1148" s="1282"/>
      <c r="L1148" s="1406">
        <f t="shared" si="19"/>
        <v>57025</v>
      </c>
    </row>
    <row r="1149" spans="1:13" ht="13.5">
      <c r="A1149" s="1406">
        <v>57050</v>
      </c>
      <c r="B1149" s="1405">
        <v>57100</v>
      </c>
      <c r="C1149" s="4809">
        <v>0</v>
      </c>
      <c r="D1149" s="1406">
        <v>0</v>
      </c>
      <c r="E1149" s="1406">
        <v>0</v>
      </c>
      <c r="F1149" s="1405">
        <v>0</v>
      </c>
      <c r="G1149" s="4809">
        <v>0</v>
      </c>
      <c r="H1149" s="1406">
        <v>0</v>
      </c>
      <c r="I1149" s="1406">
        <v>506</v>
      </c>
      <c r="J1149" s="1405">
        <v>1332</v>
      </c>
      <c r="K1149" s="1282"/>
      <c r="L1149" s="1406">
        <f t="shared" si="19"/>
        <v>57075</v>
      </c>
    </row>
    <row r="1150" spans="1:13" ht="13.5">
      <c r="A1150" s="1406">
        <v>57100</v>
      </c>
      <c r="B1150" s="1405">
        <v>57150</v>
      </c>
      <c r="C1150" s="4809">
        <v>0</v>
      </c>
      <c r="D1150" s="1406">
        <v>0</v>
      </c>
      <c r="E1150" s="1406">
        <v>0</v>
      </c>
      <c r="F1150" s="1405">
        <v>0</v>
      </c>
      <c r="G1150" s="4809">
        <v>0</v>
      </c>
      <c r="H1150" s="1406">
        <v>0</v>
      </c>
      <c r="I1150" s="1406">
        <v>496</v>
      </c>
      <c r="J1150" s="1405">
        <v>1321</v>
      </c>
      <c r="K1150" s="1282"/>
      <c r="L1150" s="1406">
        <f t="shared" si="19"/>
        <v>57125</v>
      </c>
    </row>
    <row r="1151" spans="1:13" ht="13.5">
      <c r="A1151" s="1406">
        <v>57150</v>
      </c>
      <c r="B1151" s="1405">
        <v>57200</v>
      </c>
      <c r="C1151" s="4809">
        <v>0</v>
      </c>
      <c r="D1151" s="1406">
        <v>0</v>
      </c>
      <c r="E1151" s="1406">
        <v>0</v>
      </c>
      <c r="F1151" s="1405">
        <v>0</v>
      </c>
      <c r="G1151" s="4809">
        <v>0</v>
      </c>
      <c r="H1151" s="1406">
        <v>0</v>
      </c>
      <c r="I1151" s="1406">
        <v>485</v>
      </c>
      <c r="J1151" s="1405">
        <v>1311</v>
      </c>
      <c r="K1151" s="1282"/>
      <c r="L1151" s="1406">
        <f t="shared" si="19"/>
        <v>57175</v>
      </c>
    </row>
    <row r="1152" spans="1:13" ht="13.5">
      <c r="A1152" s="1406">
        <v>57200</v>
      </c>
      <c r="B1152" s="1405">
        <v>57250</v>
      </c>
      <c r="C1152" s="4809">
        <v>0</v>
      </c>
      <c r="D1152" s="1406">
        <v>0</v>
      </c>
      <c r="E1152" s="1406">
        <v>0</v>
      </c>
      <c r="F1152" s="1405">
        <v>0</v>
      </c>
      <c r="G1152" s="4809">
        <v>0</v>
      </c>
      <c r="H1152" s="1406">
        <v>0</v>
      </c>
      <c r="I1152" s="1406">
        <v>474</v>
      </c>
      <c r="J1152" s="1405">
        <v>1300</v>
      </c>
      <c r="K1152" s="1282"/>
      <c r="L1152" s="1406">
        <f t="shared" si="19"/>
        <v>57225</v>
      </c>
    </row>
    <row r="1153" spans="1:12" ht="13.5">
      <c r="A1153" s="1406">
        <v>57250</v>
      </c>
      <c r="B1153" s="1405">
        <v>57300</v>
      </c>
      <c r="C1153" s="4809">
        <v>0</v>
      </c>
      <c r="D1153" s="1406">
        <v>0</v>
      </c>
      <c r="E1153" s="1406">
        <v>0</v>
      </c>
      <c r="F1153" s="1405">
        <v>0</v>
      </c>
      <c r="G1153" s="4809">
        <v>0</v>
      </c>
      <c r="H1153" s="1406">
        <v>0</v>
      </c>
      <c r="I1153" s="1406">
        <v>464</v>
      </c>
      <c r="J1153" s="1405">
        <v>1289</v>
      </c>
      <c r="K1153" s="1282"/>
      <c r="L1153" s="1406">
        <f>ROUND((A1153+B1153)/2,2)</f>
        <v>57275</v>
      </c>
    </row>
    <row r="1154" spans="1:12" ht="13.5">
      <c r="A1154" s="1406">
        <v>57300</v>
      </c>
      <c r="B1154" s="1405">
        <v>57350</v>
      </c>
      <c r="C1154" s="4809">
        <v>0</v>
      </c>
      <c r="D1154" s="1406">
        <v>0</v>
      </c>
      <c r="E1154" s="1406">
        <v>0</v>
      </c>
      <c r="F1154" s="1405">
        <v>0</v>
      </c>
      <c r="G1154" s="4809">
        <v>0</v>
      </c>
      <c r="H1154" s="1406">
        <v>0</v>
      </c>
      <c r="I1154" s="1406">
        <v>453</v>
      </c>
      <c r="J1154" s="1405">
        <v>1279</v>
      </c>
      <c r="K1154" s="1282"/>
      <c r="L1154" s="1406">
        <f>ROUND((A1154+B1154)/2,2)</f>
        <v>57325</v>
      </c>
    </row>
    <row r="1155" spans="1:12" ht="13.5">
      <c r="A1155" s="1406">
        <v>57350</v>
      </c>
      <c r="B1155" s="1405">
        <v>57400</v>
      </c>
      <c r="C1155" s="4809">
        <v>0</v>
      </c>
      <c r="D1155" s="1406">
        <v>0</v>
      </c>
      <c r="E1155" s="1406">
        <v>0</v>
      </c>
      <c r="F1155" s="1405">
        <v>0</v>
      </c>
      <c r="G1155" s="4809">
        <v>0</v>
      </c>
      <c r="H1155" s="1406">
        <v>0</v>
      </c>
      <c r="I1155" s="1406">
        <v>443</v>
      </c>
      <c r="J1155" s="1405">
        <v>1268</v>
      </c>
      <c r="K1155" s="1282"/>
      <c r="L1155" s="1406">
        <f t="shared" si="19"/>
        <v>57375</v>
      </c>
    </row>
    <row r="1156" spans="1:12" ht="13.5">
      <c r="A1156" s="1406">
        <v>57400</v>
      </c>
      <c r="B1156" s="1405">
        <v>57450</v>
      </c>
      <c r="C1156" s="4809">
        <v>0</v>
      </c>
      <c r="D1156" s="1406">
        <v>0</v>
      </c>
      <c r="E1156" s="1406">
        <v>0</v>
      </c>
      <c r="F1156" s="1405">
        <v>0</v>
      </c>
      <c r="G1156" s="4809">
        <v>0</v>
      </c>
      <c r="H1156" s="1406">
        <v>0</v>
      </c>
      <c r="I1156" s="1406">
        <v>432</v>
      </c>
      <c r="J1156" s="1405">
        <v>1258</v>
      </c>
      <c r="K1156" s="1282"/>
      <c r="L1156" s="1406">
        <f t="shared" si="19"/>
        <v>57425</v>
      </c>
    </row>
    <row r="1157" spans="1:12" ht="13.5">
      <c r="A1157" s="1406">
        <v>57450</v>
      </c>
      <c r="B1157" s="1405">
        <v>57500</v>
      </c>
      <c r="C1157" s="4809">
        <v>0</v>
      </c>
      <c r="D1157" s="1406">
        <v>0</v>
      </c>
      <c r="E1157" s="1406">
        <v>0</v>
      </c>
      <c r="F1157" s="1405">
        <v>0</v>
      </c>
      <c r="G1157" s="4809">
        <v>0</v>
      </c>
      <c r="H1157" s="1406">
        <v>0</v>
      </c>
      <c r="I1157" s="1406">
        <v>422</v>
      </c>
      <c r="J1157" s="1405">
        <v>1247</v>
      </c>
      <c r="K1157" s="1282"/>
      <c r="L1157" s="1406">
        <f t="shared" si="19"/>
        <v>57475</v>
      </c>
    </row>
    <row r="1158" spans="1:12" ht="13.5">
      <c r="A1158" s="1406">
        <v>57500</v>
      </c>
      <c r="B1158" s="1405">
        <v>57550</v>
      </c>
      <c r="C1158" s="4809">
        <v>0</v>
      </c>
      <c r="D1158" s="1406">
        <v>0</v>
      </c>
      <c r="E1158" s="1406">
        <v>0</v>
      </c>
      <c r="F1158" s="1405">
        <v>0</v>
      </c>
      <c r="G1158" s="4809">
        <v>0</v>
      </c>
      <c r="H1158" s="1406">
        <v>0</v>
      </c>
      <c r="I1158" s="1406">
        <v>411</v>
      </c>
      <c r="J1158" s="1405">
        <v>1237</v>
      </c>
      <c r="K1158" s="1282"/>
      <c r="L1158" s="1406">
        <f t="shared" si="19"/>
        <v>57525</v>
      </c>
    </row>
    <row r="1159" spans="1:12" ht="13.5">
      <c r="A1159" s="1406">
        <v>57550</v>
      </c>
      <c r="B1159" s="1405">
        <v>57600</v>
      </c>
      <c r="C1159" s="4809">
        <v>0</v>
      </c>
      <c r="D1159" s="1406">
        <v>0</v>
      </c>
      <c r="E1159" s="1406">
        <v>0</v>
      </c>
      <c r="F1159" s="1405">
        <v>0</v>
      </c>
      <c r="G1159" s="4809">
        <v>0</v>
      </c>
      <c r="H1159" s="1406">
        <v>0</v>
      </c>
      <c r="I1159" s="1406">
        <v>401</v>
      </c>
      <c r="J1159" s="1405">
        <v>1226</v>
      </c>
      <c r="K1159" s="1282"/>
      <c r="L1159" s="1406">
        <f t="shared" si="19"/>
        <v>57575</v>
      </c>
    </row>
    <row r="1160" spans="1:12" ht="13.5">
      <c r="A1160" s="1406">
        <v>57600</v>
      </c>
      <c r="B1160" s="1405">
        <v>57650</v>
      </c>
      <c r="C1160" s="4809">
        <v>0</v>
      </c>
      <c r="D1160" s="1406">
        <v>0</v>
      </c>
      <c r="E1160" s="1406">
        <v>0</v>
      </c>
      <c r="F1160" s="1405">
        <v>0</v>
      </c>
      <c r="G1160" s="4809">
        <v>0</v>
      </c>
      <c r="H1160" s="1406">
        <v>0</v>
      </c>
      <c r="I1160" s="1406">
        <v>390</v>
      </c>
      <c r="J1160" s="1405">
        <v>1216</v>
      </c>
      <c r="K1160" s="1282"/>
      <c r="L1160" s="1406">
        <f t="shared" si="19"/>
        <v>57625</v>
      </c>
    </row>
    <row r="1161" spans="1:12" ht="13.5">
      <c r="A1161" s="1406">
        <v>57650</v>
      </c>
      <c r="B1161" s="1405">
        <v>57700</v>
      </c>
      <c r="C1161" s="4809">
        <v>0</v>
      </c>
      <c r="D1161" s="1406">
        <v>0</v>
      </c>
      <c r="E1161" s="1406">
        <v>0</v>
      </c>
      <c r="F1161" s="1405">
        <v>0</v>
      </c>
      <c r="G1161" s="4809">
        <v>0</v>
      </c>
      <c r="H1161" s="1406">
        <v>0</v>
      </c>
      <c r="I1161" s="1406">
        <v>380</v>
      </c>
      <c r="J1161" s="1405">
        <v>1205</v>
      </c>
      <c r="K1161" s="1282"/>
      <c r="L1161" s="1406">
        <f t="shared" si="19"/>
        <v>57675</v>
      </c>
    </row>
    <row r="1162" spans="1:12" ht="13.5">
      <c r="A1162" s="1406">
        <v>57700</v>
      </c>
      <c r="B1162" s="1405">
        <v>57750</v>
      </c>
      <c r="C1162" s="4809">
        <v>0</v>
      </c>
      <c r="D1162" s="1406">
        <v>0</v>
      </c>
      <c r="E1162" s="1406">
        <v>0</v>
      </c>
      <c r="F1162" s="1405">
        <v>0</v>
      </c>
      <c r="G1162" s="4809">
        <v>0</v>
      </c>
      <c r="H1162" s="1406">
        <v>0</v>
      </c>
      <c r="I1162" s="1406">
        <v>369</v>
      </c>
      <c r="J1162" s="1405">
        <v>1195</v>
      </c>
      <c r="K1162" s="1282"/>
      <c r="L1162" s="1406">
        <f t="shared" si="19"/>
        <v>57725</v>
      </c>
    </row>
    <row r="1163" spans="1:12" ht="13.5">
      <c r="A1163" s="1406">
        <v>57750</v>
      </c>
      <c r="B1163" s="1405">
        <v>57800</v>
      </c>
      <c r="C1163" s="4809">
        <v>0</v>
      </c>
      <c r="D1163" s="1406">
        <v>0</v>
      </c>
      <c r="E1163" s="1406">
        <v>0</v>
      </c>
      <c r="F1163" s="1405">
        <v>0</v>
      </c>
      <c r="G1163" s="4809">
        <v>0</v>
      </c>
      <c r="H1163" s="1406">
        <v>0</v>
      </c>
      <c r="I1163" s="1406">
        <v>359</v>
      </c>
      <c r="J1163" s="1405">
        <v>1184</v>
      </c>
      <c r="K1163" s="1282"/>
      <c r="L1163" s="1406">
        <f t="shared" si="19"/>
        <v>57775</v>
      </c>
    </row>
    <row r="1164" spans="1:12" ht="13.5">
      <c r="A1164" s="1406">
        <v>57800</v>
      </c>
      <c r="B1164" s="1405">
        <v>57850</v>
      </c>
      <c r="C1164" s="4809">
        <v>0</v>
      </c>
      <c r="D1164" s="1406">
        <v>0</v>
      </c>
      <c r="E1164" s="1406">
        <v>0</v>
      </c>
      <c r="F1164" s="1405">
        <v>0</v>
      </c>
      <c r="G1164" s="4809">
        <v>0</v>
      </c>
      <c r="H1164" s="1406">
        <v>0</v>
      </c>
      <c r="I1164" s="1406">
        <v>348</v>
      </c>
      <c r="J1164" s="1405">
        <v>1174</v>
      </c>
      <c r="K1164" s="1282"/>
      <c r="L1164" s="1406">
        <f t="shared" si="19"/>
        <v>57825</v>
      </c>
    </row>
    <row r="1165" spans="1:12" ht="13.5">
      <c r="A1165" s="1406">
        <v>57850</v>
      </c>
      <c r="B1165" s="1405">
        <v>57900</v>
      </c>
      <c r="C1165" s="4809">
        <v>0</v>
      </c>
      <c r="D1165" s="1406">
        <v>0</v>
      </c>
      <c r="E1165" s="1406">
        <v>0</v>
      </c>
      <c r="F1165" s="1405">
        <v>0</v>
      </c>
      <c r="G1165" s="4809">
        <v>0</v>
      </c>
      <c r="H1165" s="1406">
        <v>0</v>
      </c>
      <c r="I1165" s="1406">
        <v>338</v>
      </c>
      <c r="J1165" s="1405">
        <v>1163</v>
      </c>
      <c r="K1165" s="1282"/>
      <c r="L1165" s="1406">
        <f t="shared" si="19"/>
        <v>57875</v>
      </c>
    </row>
    <row r="1166" spans="1:12" ht="13.5">
      <c r="A1166" s="1406">
        <v>57900</v>
      </c>
      <c r="B1166" s="1405">
        <v>57950</v>
      </c>
      <c r="C1166" s="4809">
        <v>0</v>
      </c>
      <c r="D1166" s="1406">
        <v>0</v>
      </c>
      <c r="E1166" s="1406">
        <v>0</v>
      </c>
      <c r="F1166" s="1405">
        <v>0</v>
      </c>
      <c r="G1166" s="4809">
        <v>0</v>
      </c>
      <c r="H1166" s="1406">
        <v>0</v>
      </c>
      <c r="I1166" s="1406">
        <v>327</v>
      </c>
      <c r="J1166" s="1405">
        <v>1153</v>
      </c>
      <c r="L1166" s="1406">
        <f t="shared" si="19"/>
        <v>57925</v>
      </c>
    </row>
    <row r="1167" spans="1:12" ht="13.5">
      <c r="A1167" s="1406">
        <v>57950</v>
      </c>
      <c r="B1167" s="1405">
        <v>58000</v>
      </c>
      <c r="C1167" s="4809">
        <v>0</v>
      </c>
      <c r="D1167" s="1406">
        <v>0</v>
      </c>
      <c r="E1167" s="1406">
        <v>0</v>
      </c>
      <c r="F1167" s="1405">
        <v>0</v>
      </c>
      <c r="G1167" s="4809">
        <v>0</v>
      </c>
      <c r="H1167" s="1406">
        <v>0</v>
      </c>
      <c r="I1167" s="1406">
        <v>317</v>
      </c>
      <c r="J1167" s="1405">
        <v>1142</v>
      </c>
      <c r="L1167" s="1406">
        <f t="shared" ref="L1167:L1195" si="20">ROUND((A1167+B1167)/2,2)</f>
        <v>57975</v>
      </c>
    </row>
    <row r="1168" spans="1:12" ht="13.5">
      <c r="A1168" s="1406">
        <v>58000</v>
      </c>
      <c r="B1168" s="1405">
        <v>58050</v>
      </c>
      <c r="C1168" s="4809">
        <v>0</v>
      </c>
      <c r="D1168" s="1406">
        <v>0</v>
      </c>
      <c r="E1168" s="1406">
        <v>0</v>
      </c>
      <c r="F1168" s="1405">
        <v>0</v>
      </c>
      <c r="G1168" s="4809">
        <v>0</v>
      </c>
      <c r="H1168" s="1406">
        <v>0</v>
      </c>
      <c r="I1168" s="1406">
        <v>306</v>
      </c>
      <c r="J1168" s="1405">
        <v>1132</v>
      </c>
      <c r="L1168" s="1406">
        <f t="shared" si="20"/>
        <v>58025</v>
      </c>
    </row>
    <row r="1169" spans="1:12" ht="13.5">
      <c r="A1169" s="1406">
        <v>58050</v>
      </c>
      <c r="B1169" s="1405">
        <v>58100</v>
      </c>
      <c r="C1169" s="4809">
        <v>0</v>
      </c>
      <c r="D1169" s="1406">
        <v>0</v>
      </c>
      <c r="E1169" s="1406">
        <v>0</v>
      </c>
      <c r="F1169" s="1405">
        <v>0</v>
      </c>
      <c r="G1169" s="4809">
        <v>0</v>
      </c>
      <c r="H1169" s="1406">
        <v>0</v>
      </c>
      <c r="I1169" s="1406">
        <v>295</v>
      </c>
      <c r="J1169" s="1405">
        <v>1121</v>
      </c>
      <c r="L1169" s="1406">
        <f t="shared" si="20"/>
        <v>58075</v>
      </c>
    </row>
    <row r="1170" spans="1:12" ht="13.5">
      <c r="A1170" s="1406">
        <v>58100</v>
      </c>
      <c r="B1170" s="1405">
        <v>58150</v>
      </c>
      <c r="C1170" s="4809">
        <v>0</v>
      </c>
      <c r="D1170" s="1406">
        <v>0</v>
      </c>
      <c r="E1170" s="1406">
        <v>0</v>
      </c>
      <c r="F1170" s="1405">
        <v>0</v>
      </c>
      <c r="G1170" s="4809">
        <v>0</v>
      </c>
      <c r="H1170" s="1406">
        <v>0</v>
      </c>
      <c r="I1170" s="1406">
        <v>285</v>
      </c>
      <c r="J1170" s="1405">
        <v>1110</v>
      </c>
      <c r="L1170" s="1406">
        <f t="shared" si="20"/>
        <v>58125</v>
      </c>
    </row>
    <row r="1171" spans="1:12" ht="13.5">
      <c r="A1171" s="1406">
        <v>58150</v>
      </c>
      <c r="B1171" s="1405">
        <v>58200</v>
      </c>
      <c r="C1171" s="4809">
        <v>0</v>
      </c>
      <c r="D1171" s="1406">
        <v>0</v>
      </c>
      <c r="E1171" s="1406">
        <v>0</v>
      </c>
      <c r="F1171" s="1405">
        <v>0</v>
      </c>
      <c r="G1171" s="4809">
        <v>0</v>
      </c>
      <c r="H1171" s="1406">
        <v>0</v>
      </c>
      <c r="I1171" s="1406">
        <v>274</v>
      </c>
      <c r="J1171" s="1405">
        <v>1100</v>
      </c>
      <c r="L1171" s="1406">
        <f t="shared" si="20"/>
        <v>58175</v>
      </c>
    </row>
    <row r="1172" spans="1:12" ht="13.5">
      <c r="A1172" s="1406">
        <v>58200</v>
      </c>
      <c r="B1172" s="1405">
        <v>58250</v>
      </c>
      <c r="C1172" s="4809">
        <v>0</v>
      </c>
      <c r="D1172" s="1406">
        <v>0</v>
      </c>
      <c r="E1172" s="1406">
        <v>0</v>
      </c>
      <c r="F1172" s="1405">
        <v>0</v>
      </c>
      <c r="G1172" s="4809">
        <v>0</v>
      </c>
      <c r="H1172" s="1406">
        <v>0</v>
      </c>
      <c r="I1172" s="1406">
        <v>264</v>
      </c>
      <c r="J1172" s="1405">
        <v>1089</v>
      </c>
      <c r="L1172" s="1406">
        <f t="shared" si="20"/>
        <v>58225</v>
      </c>
    </row>
    <row r="1173" spans="1:12" ht="13.5">
      <c r="A1173" s="1406">
        <v>58250</v>
      </c>
      <c r="B1173" s="1405">
        <v>58300</v>
      </c>
      <c r="C1173" s="4809">
        <v>0</v>
      </c>
      <c r="D1173" s="1406">
        <v>0</v>
      </c>
      <c r="E1173" s="1406">
        <v>0</v>
      </c>
      <c r="F1173" s="1405">
        <v>0</v>
      </c>
      <c r="G1173" s="4809">
        <v>0</v>
      </c>
      <c r="H1173" s="1406">
        <v>0</v>
      </c>
      <c r="I1173" s="1406">
        <v>253</v>
      </c>
      <c r="J1173" s="1405">
        <v>1079</v>
      </c>
      <c r="L1173" s="1406">
        <f t="shared" si="20"/>
        <v>58275</v>
      </c>
    </row>
    <row r="1174" spans="1:12" ht="13.5">
      <c r="A1174" s="1406">
        <v>58300</v>
      </c>
      <c r="B1174" s="1405">
        <v>58350</v>
      </c>
      <c r="C1174" s="4809">
        <v>0</v>
      </c>
      <c r="D1174" s="1406">
        <v>0</v>
      </c>
      <c r="E1174" s="1406">
        <v>0</v>
      </c>
      <c r="F1174" s="1405">
        <v>0</v>
      </c>
      <c r="G1174" s="4809">
        <v>0</v>
      </c>
      <c r="H1174" s="1406">
        <v>0</v>
      </c>
      <c r="I1174" s="1406">
        <v>243</v>
      </c>
      <c r="J1174" s="1405">
        <v>1068</v>
      </c>
      <c r="L1174" s="1406">
        <f t="shared" si="20"/>
        <v>58325</v>
      </c>
    </row>
    <row r="1175" spans="1:12" ht="13.5">
      <c r="A1175" s="1406">
        <v>58350</v>
      </c>
      <c r="B1175" s="1405">
        <v>58400</v>
      </c>
      <c r="C1175" s="4809">
        <v>0</v>
      </c>
      <c r="D1175" s="1406">
        <v>0</v>
      </c>
      <c r="E1175" s="1406">
        <v>0</v>
      </c>
      <c r="F1175" s="1405">
        <v>0</v>
      </c>
      <c r="G1175" s="4809">
        <v>0</v>
      </c>
      <c r="H1175" s="1406">
        <v>0</v>
      </c>
      <c r="I1175" s="1406">
        <v>232</v>
      </c>
      <c r="J1175" s="1405">
        <v>1058</v>
      </c>
      <c r="L1175" s="1406">
        <f t="shared" si="20"/>
        <v>58375</v>
      </c>
    </row>
    <row r="1176" spans="1:12" ht="13.5">
      <c r="A1176" s="1406">
        <v>58400</v>
      </c>
      <c r="B1176" s="1405">
        <v>58450</v>
      </c>
      <c r="C1176" s="4809">
        <v>0</v>
      </c>
      <c r="D1176" s="1406">
        <v>0</v>
      </c>
      <c r="E1176" s="1406">
        <v>0</v>
      </c>
      <c r="F1176" s="1405">
        <v>0</v>
      </c>
      <c r="G1176" s="4809">
        <v>0</v>
      </c>
      <c r="H1176" s="1406">
        <v>0</v>
      </c>
      <c r="I1176" s="1406">
        <v>222</v>
      </c>
      <c r="J1176" s="1405">
        <v>1047</v>
      </c>
      <c r="L1176" s="1406">
        <f t="shared" si="20"/>
        <v>58425</v>
      </c>
    </row>
    <row r="1177" spans="1:12" ht="13.5">
      <c r="A1177" s="1406">
        <v>58450</v>
      </c>
      <c r="B1177" s="1405">
        <v>58500</v>
      </c>
      <c r="C1177" s="4809">
        <v>0</v>
      </c>
      <c r="D1177" s="1406">
        <v>0</v>
      </c>
      <c r="E1177" s="1406">
        <v>0</v>
      </c>
      <c r="F1177" s="1405">
        <v>0</v>
      </c>
      <c r="G1177" s="4809">
        <v>0</v>
      </c>
      <c r="H1177" s="1406">
        <v>0</v>
      </c>
      <c r="I1177" s="1406">
        <v>211</v>
      </c>
      <c r="J1177" s="1405">
        <v>1037</v>
      </c>
      <c r="L1177" s="1406">
        <f t="shared" si="20"/>
        <v>58475</v>
      </c>
    </row>
    <row r="1178" spans="1:12" ht="13.5">
      <c r="A1178" s="1406">
        <v>58500</v>
      </c>
      <c r="B1178" s="1405">
        <v>58550</v>
      </c>
      <c r="C1178" s="4809">
        <v>0</v>
      </c>
      <c r="D1178" s="1406">
        <v>0</v>
      </c>
      <c r="E1178" s="1406">
        <v>0</v>
      </c>
      <c r="F1178" s="1405">
        <v>0</v>
      </c>
      <c r="G1178" s="4809">
        <v>0</v>
      </c>
      <c r="H1178" s="1406">
        <v>0</v>
      </c>
      <c r="I1178" s="1406">
        <v>201</v>
      </c>
      <c r="J1178" s="1405">
        <v>1026</v>
      </c>
      <c r="L1178" s="1406">
        <f t="shared" si="20"/>
        <v>58525</v>
      </c>
    </row>
    <row r="1179" spans="1:12" ht="13.5">
      <c r="A1179" s="1406">
        <v>58550</v>
      </c>
      <c r="B1179" s="1405">
        <v>58600</v>
      </c>
      <c r="C1179" s="4809">
        <v>0</v>
      </c>
      <c r="D1179" s="1406">
        <v>0</v>
      </c>
      <c r="E1179" s="1406">
        <v>0</v>
      </c>
      <c r="F1179" s="1405">
        <v>0</v>
      </c>
      <c r="G1179" s="4809">
        <v>0</v>
      </c>
      <c r="H1179" s="1406">
        <v>0</v>
      </c>
      <c r="I1179" s="1406">
        <v>190</v>
      </c>
      <c r="J1179" s="1405">
        <v>1016</v>
      </c>
      <c r="L1179" s="1406">
        <f t="shared" si="20"/>
        <v>58575</v>
      </c>
    </row>
    <row r="1180" spans="1:12" ht="13.5">
      <c r="A1180" s="1406">
        <v>58600</v>
      </c>
      <c r="B1180" s="1405">
        <v>58650</v>
      </c>
      <c r="C1180" s="4809">
        <v>0</v>
      </c>
      <c r="D1180" s="1406">
        <v>0</v>
      </c>
      <c r="E1180" s="1406">
        <v>0</v>
      </c>
      <c r="F1180" s="1405">
        <v>0</v>
      </c>
      <c r="G1180" s="4809">
        <v>0</v>
      </c>
      <c r="H1180" s="1406">
        <v>0</v>
      </c>
      <c r="I1180" s="1406">
        <v>180</v>
      </c>
      <c r="J1180" s="1405">
        <v>1005</v>
      </c>
      <c r="L1180" s="1406">
        <f t="shared" si="20"/>
        <v>58625</v>
      </c>
    </row>
    <row r="1181" spans="1:12" ht="13.5">
      <c r="A1181" s="1406">
        <v>58650</v>
      </c>
      <c r="B1181" s="1405">
        <v>58700</v>
      </c>
      <c r="C1181" s="4809">
        <v>0</v>
      </c>
      <c r="D1181" s="1406">
        <v>0</v>
      </c>
      <c r="E1181" s="1406">
        <v>0</v>
      </c>
      <c r="F1181" s="1405">
        <v>0</v>
      </c>
      <c r="G1181" s="4809">
        <v>0</v>
      </c>
      <c r="H1181" s="1406">
        <v>0</v>
      </c>
      <c r="I1181" s="1406">
        <v>169</v>
      </c>
      <c r="J1181" s="1405">
        <v>995</v>
      </c>
      <c r="L1181" s="1406">
        <f t="shared" si="20"/>
        <v>58675</v>
      </c>
    </row>
    <row r="1182" spans="1:12" ht="13.5">
      <c r="A1182" s="1406">
        <v>58700</v>
      </c>
      <c r="B1182" s="1405">
        <v>58750</v>
      </c>
      <c r="C1182" s="4809">
        <v>0</v>
      </c>
      <c r="D1182" s="1406">
        <v>0</v>
      </c>
      <c r="E1182" s="1406">
        <v>0</v>
      </c>
      <c r="F1182" s="1405">
        <v>0</v>
      </c>
      <c r="G1182" s="4809">
        <v>0</v>
      </c>
      <c r="H1182" s="1406">
        <v>0</v>
      </c>
      <c r="I1182" s="1406">
        <v>159</v>
      </c>
      <c r="J1182" s="1405">
        <v>984</v>
      </c>
      <c r="L1182" s="1406">
        <f t="shared" si="20"/>
        <v>58725</v>
      </c>
    </row>
    <row r="1183" spans="1:12" ht="13.5">
      <c r="A1183" s="1406">
        <v>58750</v>
      </c>
      <c r="B1183" s="1405">
        <v>58800</v>
      </c>
      <c r="C1183" s="4809">
        <v>0</v>
      </c>
      <c r="D1183" s="1406">
        <v>0</v>
      </c>
      <c r="E1183" s="1406">
        <v>0</v>
      </c>
      <c r="F1183" s="1405">
        <v>0</v>
      </c>
      <c r="G1183" s="4809">
        <v>0</v>
      </c>
      <c r="H1183" s="1406">
        <v>0</v>
      </c>
      <c r="I1183" s="1406">
        <v>148</v>
      </c>
      <c r="J1183" s="1405">
        <v>974</v>
      </c>
      <c r="L1183" s="1406">
        <f t="shared" si="20"/>
        <v>58775</v>
      </c>
    </row>
    <row r="1184" spans="1:12" ht="13.5">
      <c r="A1184" s="1406">
        <v>58800</v>
      </c>
      <c r="B1184" s="1405">
        <v>58850</v>
      </c>
      <c r="C1184" s="4809">
        <v>0</v>
      </c>
      <c r="D1184" s="1406">
        <v>0</v>
      </c>
      <c r="E1184" s="1406">
        <v>0</v>
      </c>
      <c r="F1184" s="1405">
        <v>0</v>
      </c>
      <c r="G1184" s="4809">
        <v>0</v>
      </c>
      <c r="H1184" s="1406">
        <v>0</v>
      </c>
      <c r="I1184" s="1406">
        <v>138</v>
      </c>
      <c r="J1184" s="1405">
        <v>963</v>
      </c>
      <c r="L1184" s="1406">
        <f t="shared" si="20"/>
        <v>58825</v>
      </c>
    </row>
    <row r="1185" spans="1:13" ht="13.5">
      <c r="A1185" s="1406">
        <v>58850</v>
      </c>
      <c r="B1185" s="1405">
        <v>58900</v>
      </c>
      <c r="C1185" s="4809">
        <v>0</v>
      </c>
      <c r="D1185" s="1406">
        <v>0</v>
      </c>
      <c r="E1185" s="1406">
        <v>0</v>
      </c>
      <c r="F1185" s="1405">
        <v>0</v>
      </c>
      <c r="G1185" s="4809">
        <v>0</v>
      </c>
      <c r="H1185" s="1406">
        <v>0</v>
      </c>
      <c r="I1185" s="1406">
        <v>127</v>
      </c>
      <c r="J1185" s="1405">
        <v>952</v>
      </c>
      <c r="L1185" s="1406">
        <f t="shared" si="20"/>
        <v>58875</v>
      </c>
    </row>
    <row r="1186" spans="1:13" ht="13.5">
      <c r="A1186" s="1406">
        <v>58900</v>
      </c>
      <c r="B1186" s="1405">
        <v>58950</v>
      </c>
      <c r="C1186" s="4809">
        <v>0</v>
      </c>
      <c r="D1186" s="1406">
        <v>0</v>
      </c>
      <c r="E1186" s="1406">
        <v>0</v>
      </c>
      <c r="F1186" s="1405">
        <v>0</v>
      </c>
      <c r="G1186" s="4809">
        <v>0</v>
      </c>
      <c r="H1186" s="1406">
        <v>0</v>
      </c>
      <c r="I1186" s="1406">
        <v>116</v>
      </c>
      <c r="J1186" s="1405">
        <v>942</v>
      </c>
      <c r="L1186" s="1406">
        <f t="shared" si="20"/>
        <v>58925</v>
      </c>
    </row>
    <row r="1187" spans="1:13" ht="13.5">
      <c r="A1187" s="1406">
        <v>58950</v>
      </c>
      <c r="B1187" s="1405">
        <v>59000</v>
      </c>
      <c r="C1187" s="4809">
        <v>0</v>
      </c>
      <c r="D1187" s="1406">
        <v>0</v>
      </c>
      <c r="E1187" s="1406">
        <v>0</v>
      </c>
      <c r="F1187" s="1405">
        <v>0</v>
      </c>
      <c r="G1187" s="4809">
        <v>0</v>
      </c>
      <c r="H1187" s="1406">
        <v>0</v>
      </c>
      <c r="I1187" s="1406">
        <v>106</v>
      </c>
      <c r="J1187" s="1405">
        <v>931</v>
      </c>
      <c r="L1187" s="1406">
        <f t="shared" si="20"/>
        <v>58975</v>
      </c>
    </row>
    <row r="1188" spans="1:13" ht="13.5">
      <c r="A1188" s="1406">
        <v>59000</v>
      </c>
      <c r="B1188" s="1405">
        <v>59050</v>
      </c>
      <c r="C1188" s="4809">
        <v>0</v>
      </c>
      <c r="D1188" s="1406">
        <v>0</v>
      </c>
      <c r="E1188" s="1406">
        <v>0</v>
      </c>
      <c r="F1188" s="1405">
        <v>0</v>
      </c>
      <c r="G1188" s="4809">
        <v>0</v>
      </c>
      <c r="H1188" s="1406">
        <v>0</v>
      </c>
      <c r="I1188" s="1406">
        <v>95</v>
      </c>
      <c r="J1188" s="1405">
        <v>921</v>
      </c>
      <c r="L1188" s="1406">
        <f t="shared" si="20"/>
        <v>59025</v>
      </c>
    </row>
    <row r="1189" spans="1:13" ht="13.5">
      <c r="A1189" s="1406">
        <v>59050</v>
      </c>
      <c r="B1189" s="1405">
        <v>59100</v>
      </c>
      <c r="C1189" s="4809">
        <v>0</v>
      </c>
      <c r="D1189" s="1406">
        <v>0</v>
      </c>
      <c r="E1189" s="1406">
        <v>0</v>
      </c>
      <c r="F1189" s="1405">
        <v>0</v>
      </c>
      <c r="G1189" s="4809">
        <v>0</v>
      </c>
      <c r="H1189" s="1406">
        <v>0</v>
      </c>
      <c r="I1189" s="1406">
        <v>85</v>
      </c>
      <c r="J1189" s="1405">
        <v>910</v>
      </c>
      <c r="L1189" s="1406">
        <f t="shared" si="20"/>
        <v>59075</v>
      </c>
    </row>
    <row r="1190" spans="1:13" ht="13.5">
      <c r="A1190" s="1406">
        <v>59100</v>
      </c>
      <c r="B1190" s="1405">
        <v>59150</v>
      </c>
      <c r="C1190" s="4809">
        <v>0</v>
      </c>
      <c r="D1190" s="1406">
        <v>0</v>
      </c>
      <c r="E1190" s="1406">
        <v>0</v>
      </c>
      <c r="F1190" s="1405">
        <v>0</v>
      </c>
      <c r="G1190" s="4809">
        <v>0</v>
      </c>
      <c r="H1190" s="1406">
        <v>0</v>
      </c>
      <c r="I1190" s="1406">
        <v>74</v>
      </c>
      <c r="J1190" s="1405">
        <v>900</v>
      </c>
      <c r="L1190" s="1406">
        <f t="shared" si="20"/>
        <v>59125</v>
      </c>
    </row>
    <row r="1191" spans="1:13" ht="13.5">
      <c r="A1191" s="1406">
        <v>59150</v>
      </c>
      <c r="B1191" s="1405">
        <v>59200</v>
      </c>
      <c r="C1191" s="4809">
        <v>0</v>
      </c>
      <c r="D1191" s="1406">
        <v>0</v>
      </c>
      <c r="E1191" s="1406">
        <v>0</v>
      </c>
      <c r="F1191" s="1405">
        <v>0</v>
      </c>
      <c r="G1191" s="4809">
        <v>0</v>
      </c>
      <c r="H1191" s="1406">
        <v>0</v>
      </c>
      <c r="I1191" s="1406">
        <v>64</v>
      </c>
      <c r="J1191" s="1405">
        <v>889</v>
      </c>
      <c r="L1191" s="1406">
        <f t="shared" si="20"/>
        <v>59175</v>
      </c>
    </row>
    <row r="1192" spans="1:13" ht="13.5">
      <c r="A1192" s="1406">
        <v>59200</v>
      </c>
      <c r="B1192" s="1405">
        <v>59250</v>
      </c>
      <c r="C1192" s="4809">
        <v>0</v>
      </c>
      <c r="D1192" s="1406">
        <v>0</v>
      </c>
      <c r="E1192" s="1406">
        <v>0</v>
      </c>
      <c r="F1192" s="1405">
        <v>0</v>
      </c>
      <c r="G1192" s="4809">
        <v>0</v>
      </c>
      <c r="H1192" s="1406">
        <v>0</v>
      </c>
      <c r="I1192" s="1406">
        <v>53</v>
      </c>
      <c r="J1192" s="1405">
        <v>879</v>
      </c>
      <c r="L1192" s="1406">
        <f t="shared" si="20"/>
        <v>59225</v>
      </c>
    </row>
    <row r="1193" spans="1:13" ht="13.5">
      <c r="A1193" s="1406">
        <v>59250</v>
      </c>
      <c r="B1193" s="1405">
        <v>59300</v>
      </c>
      <c r="C1193" s="4809">
        <v>0</v>
      </c>
      <c r="D1193" s="1406">
        <v>0</v>
      </c>
      <c r="E1193" s="1406">
        <v>0</v>
      </c>
      <c r="F1193" s="1405">
        <v>0</v>
      </c>
      <c r="G1193" s="4809">
        <v>0</v>
      </c>
      <c r="H1193" s="1406">
        <v>0</v>
      </c>
      <c r="I1193" s="1406">
        <v>43</v>
      </c>
      <c r="J1193" s="1405">
        <v>868</v>
      </c>
      <c r="L1193" s="1406">
        <f t="shared" si="20"/>
        <v>59275</v>
      </c>
    </row>
    <row r="1194" spans="1:13" ht="13.5">
      <c r="A1194" s="1406">
        <v>59300</v>
      </c>
      <c r="B1194" s="1405">
        <v>59350</v>
      </c>
      <c r="C1194" s="4809">
        <v>0</v>
      </c>
      <c r="D1194" s="1406">
        <v>0</v>
      </c>
      <c r="E1194" s="1406">
        <v>0</v>
      </c>
      <c r="F1194" s="1405">
        <v>0</v>
      </c>
      <c r="G1194" s="4809">
        <v>0</v>
      </c>
      <c r="H1194" s="1406">
        <v>0</v>
      </c>
      <c r="I1194" s="1406">
        <v>32</v>
      </c>
      <c r="J1194" s="1405">
        <v>858</v>
      </c>
      <c r="L1194" s="1406">
        <f t="shared" si="20"/>
        <v>59325</v>
      </c>
    </row>
    <row r="1195" spans="1:13" ht="13.5">
      <c r="A1195" s="1406">
        <v>59350</v>
      </c>
      <c r="B1195" s="1405">
        <v>59400</v>
      </c>
      <c r="C1195" s="4809">
        <v>0</v>
      </c>
      <c r="D1195" s="1406">
        <v>0</v>
      </c>
      <c r="E1195" s="1406">
        <v>0</v>
      </c>
      <c r="F1195" s="1405">
        <v>0</v>
      </c>
      <c r="G1195" s="4809">
        <v>0</v>
      </c>
      <c r="H1195" s="1406">
        <v>0</v>
      </c>
      <c r="I1195" s="1406">
        <v>22</v>
      </c>
      <c r="J1195" s="1405">
        <v>847</v>
      </c>
      <c r="L1195" s="1406">
        <f t="shared" si="20"/>
        <v>59375</v>
      </c>
    </row>
    <row r="1196" spans="1:13" ht="13.5">
      <c r="A1196" s="1406">
        <v>59400</v>
      </c>
      <c r="B1196" s="1405">
        <v>59450</v>
      </c>
      <c r="C1196" s="4809">
        <v>0</v>
      </c>
      <c r="D1196" s="1406">
        <v>0</v>
      </c>
      <c r="E1196" s="1406">
        <v>0</v>
      </c>
      <c r="F1196" s="1405">
        <v>0</v>
      </c>
      <c r="G1196" s="4809">
        <v>0</v>
      </c>
      <c r="H1196" s="1406">
        <v>0</v>
      </c>
      <c r="I1196" s="1406">
        <v>11</v>
      </c>
      <c r="J1196" s="1405">
        <v>837</v>
      </c>
      <c r="L1196" s="1406">
        <f t="shared" ref="L1196:L1219" si="21">ROUND((A1196+B1196)/2,2)</f>
        <v>59425</v>
      </c>
    </row>
    <row r="1197" spans="1:13" ht="13.5">
      <c r="A1197" s="5325">
        <v>59450</v>
      </c>
      <c r="B1197" s="5326">
        <v>59478</v>
      </c>
      <c r="C1197" s="5327">
        <v>0</v>
      </c>
      <c r="D1197" s="5325">
        <v>0</v>
      </c>
      <c r="E1197" s="5325">
        <v>0</v>
      </c>
      <c r="F1197" s="5326">
        <v>0</v>
      </c>
      <c r="G1197" s="5327">
        <v>0</v>
      </c>
      <c r="H1197" s="5325">
        <v>0</v>
      </c>
      <c r="I1197" s="5328">
        <v>3</v>
      </c>
      <c r="J1197" s="5326">
        <v>826</v>
      </c>
      <c r="K1197" s="5185"/>
      <c r="L1197" s="5325">
        <f t="shared" si="21"/>
        <v>59464</v>
      </c>
      <c r="M1197" s="5324" t="s">
        <v>5381</v>
      </c>
    </row>
    <row r="1198" spans="1:13" ht="13.5">
      <c r="A1198" s="5325">
        <v>59478</v>
      </c>
      <c r="B1198" s="5326">
        <v>59500</v>
      </c>
      <c r="C1198" s="5327">
        <v>0</v>
      </c>
      <c r="D1198" s="5325">
        <v>0</v>
      </c>
      <c r="E1198" s="5325">
        <v>0</v>
      </c>
      <c r="F1198" s="5326">
        <v>0</v>
      </c>
      <c r="G1198" s="5327">
        <v>0</v>
      </c>
      <c r="H1198" s="5325">
        <v>0</v>
      </c>
      <c r="I1198" s="5325">
        <v>0</v>
      </c>
      <c r="J1198" s="5326">
        <v>826</v>
      </c>
      <c r="K1198" s="5185"/>
      <c r="L1198" s="5325">
        <f>ROUND((A1198+B1198)/2,2)</f>
        <v>59489</v>
      </c>
      <c r="M1198" s="5324" t="s">
        <v>5380</v>
      </c>
    </row>
    <row r="1199" spans="1:13" ht="13.5">
      <c r="A1199" s="1406">
        <v>59500</v>
      </c>
      <c r="B1199" s="1405">
        <v>59550</v>
      </c>
      <c r="C1199" s="4809">
        <v>0</v>
      </c>
      <c r="D1199" s="1406">
        <v>0</v>
      </c>
      <c r="E1199" s="1406">
        <v>0</v>
      </c>
      <c r="F1199" s="1405">
        <v>0</v>
      </c>
      <c r="G1199" s="4809">
        <v>0</v>
      </c>
      <c r="H1199" s="1406">
        <v>0</v>
      </c>
      <c r="I1199" s="1406">
        <v>0</v>
      </c>
      <c r="J1199" s="1405">
        <v>816</v>
      </c>
      <c r="L1199" s="1406">
        <f t="shared" si="21"/>
        <v>59525</v>
      </c>
    </row>
    <row r="1200" spans="1:13" ht="13.5">
      <c r="A1200" s="1406">
        <v>59550</v>
      </c>
      <c r="B1200" s="1405">
        <v>59600</v>
      </c>
      <c r="C1200" s="4809">
        <v>0</v>
      </c>
      <c r="D1200" s="1406">
        <v>0</v>
      </c>
      <c r="E1200" s="1406">
        <v>0</v>
      </c>
      <c r="F1200" s="1405">
        <v>0</v>
      </c>
      <c r="G1200" s="4809">
        <v>0</v>
      </c>
      <c r="H1200" s="1406">
        <v>0</v>
      </c>
      <c r="I1200" s="1406">
        <v>0</v>
      </c>
      <c r="J1200" s="1405">
        <v>805</v>
      </c>
      <c r="L1200" s="1406">
        <f t="shared" si="21"/>
        <v>59575</v>
      </c>
    </row>
    <row r="1201" spans="1:12" ht="13.5">
      <c r="A1201" s="1406">
        <v>59600</v>
      </c>
      <c r="B1201" s="1405">
        <v>59650</v>
      </c>
      <c r="C1201" s="4809">
        <v>0</v>
      </c>
      <c r="D1201" s="1406">
        <v>0</v>
      </c>
      <c r="E1201" s="1406">
        <v>0</v>
      </c>
      <c r="F1201" s="1405">
        <v>0</v>
      </c>
      <c r="G1201" s="4809">
        <v>0</v>
      </c>
      <c r="H1201" s="1406">
        <v>0</v>
      </c>
      <c r="I1201" s="1406">
        <v>0</v>
      </c>
      <c r="J1201" s="1405">
        <v>795</v>
      </c>
      <c r="L1201" s="1406">
        <f t="shared" si="21"/>
        <v>59625</v>
      </c>
    </row>
    <row r="1202" spans="1:12" ht="13.5">
      <c r="A1202" s="1406">
        <v>59650</v>
      </c>
      <c r="B1202" s="1405">
        <v>59700</v>
      </c>
      <c r="C1202" s="4809">
        <v>0</v>
      </c>
      <c r="D1202" s="1406">
        <v>0</v>
      </c>
      <c r="E1202" s="1406">
        <v>0</v>
      </c>
      <c r="F1202" s="1405">
        <v>0</v>
      </c>
      <c r="G1202" s="4809">
        <v>0</v>
      </c>
      <c r="H1202" s="1406">
        <v>0</v>
      </c>
      <c r="I1202" s="1406">
        <v>0</v>
      </c>
      <c r="J1202" s="1405">
        <v>784</v>
      </c>
      <c r="L1202" s="1406">
        <f t="shared" si="21"/>
        <v>59675</v>
      </c>
    </row>
    <row r="1203" spans="1:12" ht="13.5">
      <c r="A1203" s="1406">
        <v>59700</v>
      </c>
      <c r="B1203" s="1405">
        <v>59750</v>
      </c>
      <c r="C1203" s="4809">
        <v>0</v>
      </c>
      <c r="D1203" s="1406">
        <v>0</v>
      </c>
      <c r="E1203" s="1406">
        <v>0</v>
      </c>
      <c r="F1203" s="1405">
        <v>0</v>
      </c>
      <c r="G1203" s="4809">
        <v>0</v>
      </c>
      <c r="H1203" s="1406">
        <v>0</v>
      </c>
      <c r="I1203" s="1406">
        <v>0</v>
      </c>
      <c r="J1203" s="1405">
        <v>773</v>
      </c>
      <c r="L1203" s="1406">
        <f t="shared" si="21"/>
        <v>59725</v>
      </c>
    </row>
    <row r="1204" spans="1:12" ht="13.5">
      <c r="A1204" s="1406">
        <v>59750</v>
      </c>
      <c r="B1204" s="1405">
        <v>59800</v>
      </c>
      <c r="C1204" s="4809">
        <v>0</v>
      </c>
      <c r="D1204" s="1406">
        <v>0</v>
      </c>
      <c r="E1204" s="1406">
        <v>0</v>
      </c>
      <c r="F1204" s="1405">
        <v>0</v>
      </c>
      <c r="G1204" s="4809">
        <v>0</v>
      </c>
      <c r="H1204" s="1406">
        <v>0</v>
      </c>
      <c r="I1204" s="1406">
        <v>0</v>
      </c>
      <c r="J1204" s="1405">
        <v>763</v>
      </c>
      <c r="L1204" s="1406">
        <f t="shared" si="21"/>
        <v>59775</v>
      </c>
    </row>
    <row r="1205" spans="1:12" ht="13.5">
      <c r="A1205" s="1406">
        <v>59800</v>
      </c>
      <c r="B1205" s="1405">
        <v>59850</v>
      </c>
      <c r="C1205" s="4809">
        <v>0</v>
      </c>
      <c r="D1205" s="1406">
        <v>0</v>
      </c>
      <c r="E1205" s="1406">
        <v>0</v>
      </c>
      <c r="F1205" s="1405">
        <v>0</v>
      </c>
      <c r="G1205" s="4809">
        <v>0</v>
      </c>
      <c r="H1205" s="1406">
        <v>0</v>
      </c>
      <c r="I1205" s="1406">
        <v>0</v>
      </c>
      <c r="J1205" s="1405">
        <v>752</v>
      </c>
      <c r="L1205" s="1406">
        <f t="shared" si="21"/>
        <v>59825</v>
      </c>
    </row>
    <row r="1206" spans="1:12" ht="13.5">
      <c r="A1206" s="1406">
        <v>59850</v>
      </c>
      <c r="B1206" s="1405">
        <v>59900</v>
      </c>
      <c r="C1206" s="4809">
        <v>0</v>
      </c>
      <c r="D1206" s="1406">
        <v>0</v>
      </c>
      <c r="E1206" s="1406">
        <v>0</v>
      </c>
      <c r="F1206" s="1405">
        <v>0</v>
      </c>
      <c r="G1206" s="4809">
        <v>0</v>
      </c>
      <c r="H1206" s="1406">
        <v>0</v>
      </c>
      <c r="I1206" s="1406">
        <v>0</v>
      </c>
      <c r="J1206" s="1405">
        <v>742</v>
      </c>
      <c r="L1206" s="1406">
        <f t="shared" si="21"/>
        <v>59875</v>
      </c>
    </row>
    <row r="1207" spans="1:12" ht="13.5">
      <c r="A1207" s="1406">
        <v>59900</v>
      </c>
      <c r="B1207" s="1405">
        <v>59950</v>
      </c>
      <c r="C1207" s="4809">
        <v>0</v>
      </c>
      <c r="D1207" s="1406">
        <v>0</v>
      </c>
      <c r="E1207" s="1406">
        <v>0</v>
      </c>
      <c r="F1207" s="1405">
        <v>0</v>
      </c>
      <c r="G1207" s="4809">
        <v>0</v>
      </c>
      <c r="H1207" s="1406">
        <v>0</v>
      </c>
      <c r="I1207" s="1406">
        <v>0</v>
      </c>
      <c r="J1207" s="1405">
        <v>731</v>
      </c>
      <c r="L1207" s="1406">
        <f t="shared" si="21"/>
        <v>59925</v>
      </c>
    </row>
    <row r="1208" spans="1:12" ht="13.5">
      <c r="A1208" s="1406">
        <v>59950</v>
      </c>
      <c r="B1208" s="1405">
        <v>60000</v>
      </c>
      <c r="C1208" s="4809">
        <v>0</v>
      </c>
      <c r="D1208" s="1406">
        <v>0</v>
      </c>
      <c r="E1208" s="1406">
        <v>0</v>
      </c>
      <c r="F1208" s="1405">
        <v>0</v>
      </c>
      <c r="G1208" s="4809">
        <v>0</v>
      </c>
      <c r="H1208" s="1406">
        <v>0</v>
      </c>
      <c r="I1208" s="1406">
        <v>0</v>
      </c>
      <c r="J1208" s="1405">
        <v>721</v>
      </c>
      <c r="L1208" s="1406">
        <f>ROUND((A1208+B1208)/2,2)</f>
        <v>59975</v>
      </c>
    </row>
    <row r="1209" spans="1:12" ht="13.5">
      <c r="A1209" s="1406">
        <v>60000</v>
      </c>
      <c r="B1209" s="1405">
        <v>60050</v>
      </c>
      <c r="C1209" s="4809">
        <v>0</v>
      </c>
      <c r="D1209" s="1406">
        <v>0</v>
      </c>
      <c r="E1209" s="1406">
        <v>0</v>
      </c>
      <c r="F1209" s="1405">
        <v>0</v>
      </c>
      <c r="G1209" s="4809">
        <v>0</v>
      </c>
      <c r="H1209" s="1406">
        <v>0</v>
      </c>
      <c r="I1209" s="1406">
        <v>0</v>
      </c>
      <c r="J1209" s="1405">
        <v>710</v>
      </c>
      <c r="L1209" s="1406">
        <f t="shared" si="21"/>
        <v>60025</v>
      </c>
    </row>
    <row r="1210" spans="1:12" ht="13.5">
      <c r="A1210" s="1406">
        <v>60050</v>
      </c>
      <c r="B1210" s="1405">
        <v>60100</v>
      </c>
      <c r="C1210" s="4809">
        <v>0</v>
      </c>
      <c r="D1210" s="1406">
        <v>0</v>
      </c>
      <c r="E1210" s="1406">
        <v>0</v>
      </c>
      <c r="F1210" s="1405">
        <v>0</v>
      </c>
      <c r="G1210" s="4809">
        <v>0</v>
      </c>
      <c r="H1210" s="1406">
        <v>0</v>
      </c>
      <c r="I1210" s="1406">
        <v>0</v>
      </c>
      <c r="J1210" s="1405">
        <v>700</v>
      </c>
      <c r="L1210" s="1406">
        <f t="shared" si="21"/>
        <v>60075</v>
      </c>
    </row>
    <row r="1211" spans="1:12" ht="13.5">
      <c r="A1211" s="1406">
        <v>60100</v>
      </c>
      <c r="B1211" s="1405">
        <v>60150</v>
      </c>
      <c r="C1211" s="4809">
        <v>0</v>
      </c>
      <c r="D1211" s="1406">
        <v>0</v>
      </c>
      <c r="E1211" s="1406">
        <v>0</v>
      </c>
      <c r="F1211" s="1405">
        <v>0</v>
      </c>
      <c r="G1211" s="4809">
        <v>0</v>
      </c>
      <c r="H1211" s="1406">
        <v>0</v>
      </c>
      <c r="I1211" s="1406">
        <v>0</v>
      </c>
      <c r="J1211" s="1405">
        <v>689</v>
      </c>
      <c r="L1211" s="1406">
        <f t="shared" si="21"/>
        <v>60125</v>
      </c>
    </row>
    <row r="1212" spans="1:12" ht="13.5">
      <c r="A1212" s="1406">
        <v>60150</v>
      </c>
      <c r="B1212" s="1405">
        <v>60200</v>
      </c>
      <c r="C1212" s="4809">
        <v>0</v>
      </c>
      <c r="D1212" s="1406">
        <v>0</v>
      </c>
      <c r="E1212" s="1406">
        <v>0</v>
      </c>
      <c r="F1212" s="1405">
        <v>0</v>
      </c>
      <c r="G1212" s="4809">
        <v>0</v>
      </c>
      <c r="H1212" s="1406">
        <v>0</v>
      </c>
      <c r="I1212" s="1406">
        <v>0</v>
      </c>
      <c r="J1212" s="1405">
        <v>679</v>
      </c>
      <c r="L1212" s="1406">
        <f t="shared" si="21"/>
        <v>60175</v>
      </c>
    </row>
    <row r="1213" spans="1:12" ht="13.5">
      <c r="A1213" s="1406">
        <v>60200</v>
      </c>
      <c r="B1213" s="1405">
        <v>60250</v>
      </c>
      <c r="C1213" s="4809">
        <v>0</v>
      </c>
      <c r="D1213" s="1406">
        <v>0</v>
      </c>
      <c r="E1213" s="1406">
        <v>0</v>
      </c>
      <c r="F1213" s="1405">
        <v>0</v>
      </c>
      <c r="G1213" s="4809">
        <v>0</v>
      </c>
      <c r="H1213" s="1406">
        <v>0</v>
      </c>
      <c r="I1213" s="1406">
        <v>0</v>
      </c>
      <c r="J1213" s="1405">
        <v>668</v>
      </c>
      <c r="L1213" s="1406">
        <f t="shared" si="21"/>
        <v>60225</v>
      </c>
    </row>
    <row r="1214" spans="1:12" ht="13.5">
      <c r="A1214" s="1406">
        <v>60250</v>
      </c>
      <c r="B1214" s="1405">
        <v>60300</v>
      </c>
      <c r="C1214" s="4809">
        <v>0</v>
      </c>
      <c r="D1214" s="1406">
        <v>0</v>
      </c>
      <c r="E1214" s="1406">
        <v>0</v>
      </c>
      <c r="F1214" s="1405">
        <v>0</v>
      </c>
      <c r="G1214" s="4809">
        <v>0</v>
      </c>
      <c r="H1214" s="1406">
        <v>0</v>
      </c>
      <c r="I1214" s="1406">
        <v>0</v>
      </c>
      <c r="J1214" s="1405">
        <v>658</v>
      </c>
      <c r="L1214" s="1406">
        <f t="shared" si="21"/>
        <v>60275</v>
      </c>
    </row>
    <row r="1215" spans="1:12" ht="13.5">
      <c r="A1215" s="1406">
        <v>60300</v>
      </c>
      <c r="B1215" s="1405">
        <v>60350</v>
      </c>
      <c r="C1215" s="4809">
        <v>0</v>
      </c>
      <c r="D1215" s="1406">
        <v>0</v>
      </c>
      <c r="E1215" s="1406">
        <v>0</v>
      </c>
      <c r="F1215" s="1405">
        <v>0</v>
      </c>
      <c r="G1215" s="4809">
        <v>0</v>
      </c>
      <c r="H1215" s="1406">
        <v>0</v>
      </c>
      <c r="I1215" s="1406">
        <v>0</v>
      </c>
      <c r="J1215" s="1405">
        <v>647</v>
      </c>
      <c r="L1215" s="1406">
        <f t="shared" si="21"/>
        <v>60325</v>
      </c>
    </row>
    <row r="1216" spans="1:12" ht="13.5">
      <c r="A1216" s="1406">
        <v>60350</v>
      </c>
      <c r="B1216" s="1405">
        <v>60400</v>
      </c>
      <c r="C1216" s="4809">
        <v>0</v>
      </c>
      <c r="D1216" s="1406">
        <v>0</v>
      </c>
      <c r="E1216" s="1406">
        <v>0</v>
      </c>
      <c r="F1216" s="1405">
        <v>0</v>
      </c>
      <c r="G1216" s="4809">
        <v>0</v>
      </c>
      <c r="H1216" s="1406">
        <v>0</v>
      </c>
      <c r="I1216" s="1406">
        <v>0</v>
      </c>
      <c r="J1216" s="1405">
        <v>637</v>
      </c>
      <c r="L1216" s="1406">
        <f t="shared" si="21"/>
        <v>60375</v>
      </c>
    </row>
    <row r="1217" spans="1:12" ht="13.5">
      <c r="A1217" s="1406">
        <v>60400</v>
      </c>
      <c r="B1217" s="1405">
        <v>60450</v>
      </c>
      <c r="C1217" s="4809">
        <v>0</v>
      </c>
      <c r="D1217" s="1406">
        <v>0</v>
      </c>
      <c r="E1217" s="1406">
        <v>0</v>
      </c>
      <c r="F1217" s="1405">
        <v>0</v>
      </c>
      <c r="G1217" s="4809">
        <v>0</v>
      </c>
      <c r="H1217" s="1406">
        <v>0</v>
      </c>
      <c r="I1217" s="1406">
        <v>0</v>
      </c>
      <c r="J1217" s="1405">
        <v>626</v>
      </c>
      <c r="L1217" s="1406">
        <f t="shared" si="21"/>
        <v>60425</v>
      </c>
    </row>
    <row r="1218" spans="1:12" ht="13.5">
      <c r="A1218" s="1406">
        <v>60450</v>
      </c>
      <c r="B1218" s="1405">
        <v>60500</v>
      </c>
      <c r="C1218" s="4809">
        <v>0</v>
      </c>
      <c r="D1218" s="1406">
        <v>0</v>
      </c>
      <c r="E1218" s="1406">
        <v>0</v>
      </c>
      <c r="F1218" s="1405">
        <v>0</v>
      </c>
      <c r="G1218" s="4809">
        <v>0</v>
      </c>
      <c r="H1218" s="1406">
        <v>0</v>
      </c>
      <c r="I1218" s="1406">
        <v>0</v>
      </c>
      <c r="J1218" s="1405">
        <v>616</v>
      </c>
      <c r="L1218" s="1406">
        <f t="shared" si="21"/>
        <v>60475</v>
      </c>
    </row>
    <row r="1219" spans="1:12" ht="13.5">
      <c r="A1219" s="1406">
        <v>60500</v>
      </c>
      <c r="B1219" s="1405">
        <v>60550</v>
      </c>
      <c r="C1219" s="4809">
        <v>0</v>
      </c>
      <c r="D1219" s="1406">
        <v>0</v>
      </c>
      <c r="E1219" s="1406">
        <v>0</v>
      </c>
      <c r="F1219" s="1405">
        <v>0</v>
      </c>
      <c r="G1219" s="4809">
        <v>0</v>
      </c>
      <c r="H1219" s="1406">
        <v>0</v>
      </c>
      <c r="I1219" s="1406">
        <v>0</v>
      </c>
      <c r="J1219" s="1405">
        <v>605</v>
      </c>
      <c r="L1219" s="1406">
        <f t="shared" si="21"/>
        <v>60525</v>
      </c>
    </row>
    <row r="1220" spans="1:12" ht="13.5">
      <c r="A1220" s="1406">
        <v>60550</v>
      </c>
      <c r="B1220" s="1405">
        <v>60600</v>
      </c>
      <c r="C1220" s="4809">
        <v>0</v>
      </c>
      <c r="D1220" s="1406">
        <v>0</v>
      </c>
      <c r="E1220" s="1406">
        <v>0</v>
      </c>
      <c r="F1220" s="1405">
        <v>0</v>
      </c>
      <c r="G1220" s="4809">
        <v>0</v>
      </c>
      <c r="H1220" s="1406">
        <v>0</v>
      </c>
      <c r="I1220" s="1406">
        <v>0</v>
      </c>
      <c r="J1220" s="1405">
        <v>594</v>
      </c>
      <c r="L1220" s="1406">
        <f t="shared" ref="L1220:L1238" si="22">ROUND((A1220+B1220)/2,2)</f>
        <v>60575</v>
      </c>
    </row>
    <row r="1221" spans="1:12" ht="13.5">
      <c r="A1221" s="1406">
        <v>60600</v>
      </c>
      <c r="B1221" s="1405">
        <v>60650</v>
      </c>
      <c r="C1221" s="4809">
        <v>0</v>
      </c>
      <c r="D1221" s="1406">
        <v>0</v>
      </c>
      <c r="E1221" s="1406">
        <v>0</v>
      </c>
      <c r="F1221" s="1405">
        <v>0</v>
      </c>
      <c r="G1221" s="4809">
        <v>0</v>
      </c>
      <c r="H1221" s="1406">
        <v>0</v>
      </c>
      <c r="I1221" s="1406">
        <v>0</v>
      </c>
      <c r="J1221" s="1405">
        <v>584</v>
      </c>
      <c r="L1221" s="1406">
        <f t="shared" si="22"/>
        <v>60625</v>
      </c>
    </row>
    <row r="1222" spans="1:12" ht="13.5">
      <c r="A1222" s="1406">
        <v>60650</v>
      </c>
      <c r="B1222" s="1405">
        <v>60700</v>
      </c>
      <c r="C1222" s="4809">
        <v>0</v>
      </c>
      <c r="D1222" s="1406">
        <v>0</v>
      </c>
      <c r="E1222" s="1406">
        <v>0</v>
      </c>
      <c r="F1222" s="1405">
        <v>0</v>
      </c>
      <c r="G1222" s="4809">
        <v>0</v>
      </c>
      <c r="H1222" s="1406">
        <v>0</v>
      </c>
      <c r="I1222" s="1406">
        <v>0</v>
      </c>
      <c r="J1222" s="1405">
        <v>573</v>
      </c>
      <c r="L1222" s="1406">
        <f t="shared" si="22"/>
        <v>60675</v>
      </c>
    </row>
    <row r="1223" spans="1:12" ht="13.5">
      <c r="A1223" s="1406">
        <v>60700</v>
      </c>
      <c r="B1223" s="1405">
        <v>60750</v>
      </c>
      <c r="C1223" s="4809">
        <v>0</v>
      </c>
      <c r="D1223" s="1406">
        <v>0</v>
      </c>
      <c r="E1223" s="1406">
        <v>0</v>
      </c>
      <c r="F1223" s="1405">
        <v>0</v>
      </c>
      <c r="G1223" s="4809">
        <v>0</v>
      </c>
      <c r="H1223" s="1406">
        <v>0</v>
      </c>
      <c r="I1223" s="1406">
        <v>0</v>
      </c>
      <c r="J1223" s="1405">
        <v>563</v>
      </c>
      <c r="L1223" s="1406">
        <f t="shared" si="22"/>
        <v>60725</v>
      </c>
    </row>
    <row r="1224" spans="1:12" ht="13.5">
      <c r="A1224" s="1406">
        <v>60750</v>
      </c>
      <c r="B1224" s="1405">
        <v>60800</v>
      </c>
      <c r="C1224" s="4809">
        <v>0</v>
      </c>
      <c r="D1224" s="1406">
        <v>0</v>
      </c>
      <c r="E1224" s="1406">
        <v>0</v>
      </c>
      <c r="F1224" s="1405">
        <v>0</v>
      </c>
      <c r="G1224" s="4809">
        <v>0</v>
      </c>
      <c r="H1224" s="1406">
        <v>0</v>
      </c>
      <c r="I1224" s="1406">
        <v>0</v>
      </c>
      <c r="J1224" s="1405">
        <v>552</v>
      </c>
      <c r="L1224" s="1406">
        <f t="shared" si="22"/>
        <v>60775</v>
      </c>
    </row>
    <row r="1225" spans="1:12" ht="13.5">
      <c r="A1225" s="1406">
        <v>60800</v>
      </c>
      <c r="B1225" s="1405">
        <v>60850</v>
      </c>
      <c r="C1225" s="4809">
        <v>0</v>
      </c>
      <c r="D1225" s="1406">
        <v>0</v>
      </c>
      <c r="E1225" s="1406">
        <v>0</v>
      </c>
      <c r="F1225" s="1405">
        <v>0</v>
      </c>
      <c r="G1225" s="4809">
        <v>0</v>
      </c>
      <c r="H1225" s="1406">
        <v>0</v>
      </c>
      <c r="I1225" s="1406">
        <v>0</v>
      </c>
      <c r="J1225" s="1405">
        <v>542</v>
      </c>
      <c r="L1225" s="1406">
        <f t="shared" si="22"/>
        <v>60825</v>
      </c>
    </row>
    <row r="1226" spans="1:12" ht="13.5">
      <c r="A1226" s="1406">
        <v>60850</v>
      </c>
      <c r="B1226" s="1405">
        <v>60900</v>
      </c>
      <c r="C1226" s="4809">
        <v>0</v>
      </c>
      <c r="D1226" s="1406">
        <v>0</v>
      </c>
      <c r="E1226" s="1406">
        <v>0</v>
      </c>
      <c r="F1226" s="1405">
        <v>0</v>
      </c>
      <c r="G1226" s="4809">
        <v>0</v>
      </c>
      <c r="H1226" s="1406">
        <v>0</v>
      </c>
      <c r="I1226" s="1406">
        <v>0</v>
      </c>
      <c r="J1226" s="1405">
        <v>531</v>
      </c>
      <c r="L1226" s="1406">
        <f t="shared" si="22"/>
        <v>60875</v>
      </c>
    </row>
    <row r="1227" spans="1:12" ht="13.5">
      <c r="A1227" s="1406">
        <v>60900</v>
      </c>
      <c r="B1227" s="1405">
        <v>60950</v>
      </c>
      <c r="C1227" s="4809">
        <v>0</v>
      </c>
      <c r="D1227" s="1406">
        <v>0</v>
      </c>
      <c r="E1227" s="1406">
        <v>0</v>
      </c>
      <c r="F1227" s="1405">
        <v>0</v>
      </c>
      <c r="G1227" s="4809">
        <v>0</v>
      </c>
      <c r="H1227" s="1406">
        <v>0</v>
      </c>
      <c r="I1227" s="1406">
        <v>0</v>
      </c>
      <c r="J1227" s="1405">
        <v>521</v>
      </c>
      <c r="L1227" s="1406">
        <f t="shared" si="22"/>
        <v>60925</v>
      </c>
    </row>
    <row r="1228" spans="1:12" ht="13.5">
      <c r="A1228" s="1406">
        <v>60950</v>
      </c>
      <c r="B1228" s="1405">
        <v>61000</v>
      </c>
      <c r="C1228" s="4809">
        <v>0</v>
      </c>
      <c r="D1228" s="1406">
        <v>0</v>
      </c>
      <c r="E1228" s="1406">
        <v>0</v>
      </c>
      <c r="F1228" s="1405">
        <v>0</v>
      </c>
      <c r="G1228" s="4809">
        <v>0</v>
      </c>
      <c r="H1228" s="1406">
        <v>0</v>
      </c>
      <c r="I1228" s="1406">
        <v>0</v>
      </c>
      <c r="J1228" s="1405">
        <v>510</v>
      </c>
      <c r="L1228" s="1406">
        <f t="shared" si="22"/>
        <v>60975</v>
      </c>
    </row>
    <row r="1229" spans="1:12" ht="13.5">
      <c r="A1229" s="1406">
        <v>61000</v>
      </c>
      <c r="B1229" s="1405">
        <v>61050</v>
      </c>
      <c r="C1229" s="4809">
        <v>0</v>
      </c>
      <c r="D1229" s="1406">
        <v>0</v>
      </c>
      <c r="E1229" s="1406">
        <v>0</v>
      </c>
      <c r="F1229" s="1405">
        <v>0</v>
      </c>
      <c r="G1229" s="4809">
        <v>0</v>
      </c>
      <c r="H1229" s="1406">
        <v>0</v>
      </c>
      <c r="I1229" s="1406">
        <v>0</v>
      </c>
      <c r="J1229" s="1405">
        <v>500</v>
      </c>
      <c r="L1229" s="1406">
        <f t="shared" si="22"/>
        <v>61025</v>
      </c>
    </row>
    <row r="1230" spans="1:12" ht="13.5">
      <c r="A1230" s="1406">
        <v>61050</v>
      </c>
      <c r="B1230" s="1405">
        <v>61100</v>
      </c>
      <c r="C1230" s="4809">
        <v>0</v>
      </c>
      <c r="D1230" s="1406">
        <v>0</v>
      </c>
      <c r="E1230" s="1406">
        <v>0</v>
      </c>
      <c r="F1230" s="1405">
        <v>0</v>
      </c>
      <c r="G1230" s="4809">
        <v>0</v>
      </c>
      <c r="H1230" s="1406">
        <v>0</v>
      </c>
      <c r="I1230" s="1406">
        <v>0</v>
      </c>
      <c r="J1230" s="1405">
        <v>489</v>
      </c>
      <c r="L1230" s="1406">
        <f t="shared" si="22"/>
        <v>61075</v>
      </c>
    </row>
    <row r="1231" spans="1:12" ht="13.5">
      <c r="A1231" s="1406">
        <v>61100</v>
      </c>
      <c r="B1231" s="1405">
        <v>61150</v>
      </c>
      <c r="C1231" s="4809">
        <v>0</v>
      </c>
      <c r="D1231" s="1406">
        <v>0</v>
      </c>
      <c r="E1231" s="1406">
        <v>0</v>
      </c>
      <c r="F1231" s="1405">
        <v>0</v>
      </c>
      <c r="G1231" s="4809">
        <v>0</v>
      </c>
      <c r="H1231" s="1406">
        <v>0</v>
      </c>
      <c r="I1231" s="1406">
        <v>0</v>
      </c>
      <c r="J1231" s="1405">
        <v>479</v>
      </c>
      <c r="L1231" s="1406">
        <f t="shared" si="22"/>
        <v>61125</v>
      </c>
    </row>
    <row r="1232" spans="1:12" ht="13.5">
      <c r="A1232" s="1406">
        <v>61150</v>
      </c>
      <c r="B1232" s="1405">
        <v>61200</v>
      </c>
      <c r="C1232" s="4809">
        <v>0</v>
      </c>
      <c r="D1232" s="1406">
        <v>0</v>
      </c>
      <c r="E1232" s="1406">
        <v>0</v>
      </c>
      <c r="F1232" s="1405">
        <v>0</v>
      </c>
      <c r="G1232" s="4809">
        <v>0</v>
      </c>
      <c r="H1232" s="1406">
        <v>0</v>
      </c>
      <c r="I1232" s="1406">
        <v>0</v>
      </c>
      <c r="J1232" s="1405">
        <v>468</v>
      </c>
      <c r="L1232" s="1406">
        <f t="shared" si="22"/>
        <v>61175</v>
      </c>
    </row>
    <row r="1233" spans="1:12" ht="13.5">
      <c r="A1233" s="1406">
        <v>61200</v>
      </c>
      <c r="B1233" s="1405">
        <v>61250</v>
      </c>
      <c r="C1233" s="4809">
        <v>0</v>
      </c>
      <c r="D1233" s="1406">
        <v>0</v>
      </c>
      <c r="E1233" s="1406">
        <v>0</v>
      </c>
      <c r="F1233" s="1405">
        <v>0</v>
      </c>
      <c r="G1233" s="4809">
        <v>0</v>
      </c>
      <c r="H1233" s="1406">
        <v>0</v>
      </c>
      <c r="I1233" s="1406">
        <v>0</v>
      </c>
      <c r="J1233" s="1405">
        <v>458</v>
      </c>
      <c r="L1233" s="1406">
        <f t="shared" si="22"/>
        <v>61225</v>
      </c>
    </row>
    <row r="1234" spans="1:12" ht="13.5">
      <c r="A1234" s="1406">
        <v>61250</v>
      </c>
      <c r="B1234" s="1405">
        <v>61300</v>
      </c>
      <c r="C1234" s="4809">
        <v>0</v>
      </c>
      <c r="D1234" s="1406">
        <v>0</v>
      </c>
      <c r="E1234" s="1406">
        <v>0</v>
      </c>
      <c r="F1234" s="1405">
        <v>0</v>
      </c>
      <c r="G1234" s="4809">
        <v>0</v>
      </c>
      <c r="H1234" s="1406">
        <v>0</v>
      </c>
      <c r="I1234" s="1406">
        <v>0</v>
      </c>
      <c r="J1234" s="1405">
        <v>447</v>
      </c>
      <c r="L1234" s="1406">
        <f t="shared" si="22"/>
        <v>61275</v>
      </c>
    </row>
    <row r="1235" spans="1:12" ht="13.5">
      <c r="A1235" s="1406">
        <v>61300</v>
      </c>
      <c r="B1235" s="1405">
        <v>61350</v>
      </c>
      <c r="C1235" s="4809">
        <v>0</v>
      </c>
      <c r="D1235" s="1406">
        <v>0</v>
      </c>
      <c r="E1235" s="1406">
        <v>0</v>
      </c>
      <c r="F1235" s="1405">
        <v>0</v>
      </c>
      <c r="G1235" s="4809">
        <v>0</v>
      </c>
      <c r="H1235" s="1406">
        <v>0</v>
      </c>
      <c r="I1235" s="1406">
        <v>0</v>
      </c>
      <c r="J1235" s="1405">
        <v>437</v>
      </c>
      <c r="L1235" s="1406">
        <f t="shared" si="22"/>
        <v>61325</v>
      </c>
    </row>
    <row r="1236" spans="1:12" ht="13.5">
      <c r="A1236" s="1406">
        <v>61350</v>
      </c>
      <c r="B1236" s="1405">
        <v>61400</v>
      </c>
      <c r="C1236" s="4809">
        <v>0</v>
      </c>
      <c r="D1236" s="1406">
        <v>0</v>
      </c>
      <c r="E1236" s="1406">
        <v>0</v>
      </c>
      <c r="F1236" s="1405">
        <v>0</v>
      </c>
      <c r="G1236" s="4809">
        <v>0</v>
      </c>
      <c r="H1236" s="1406">
        <v>0</v>
      </c>
      <c r="I1236" s="1406">
        <v>0</v>
      </c>
      <c r="J1236" s="1405">
        <v>426</v>
      </c>
      <c r="L1236" s="1406">
        <f t="shared" si="22"/>
        <v>61375</v>
      </c>
    </row>
    <row r="1237" spans="1:12" ht="13.5">
      <c r="A1237" s="1406">
        <v>61400</v>
      </c>
      <c r="B1237" s="1405">
        <v>61450</v>
      </c>
      <c r="C1237" s="4809">
        <v>0</v>
      </c>
      <c r="D1237" s="1406">
        <v>0</v>
      </c>
      <c r="E1237" s="1406">
        <v>0</v>
      </c>
      <c r="F1237" s="1405">
        <v>0</v>
      </c>
      <c r="G1237" s="4809">
        <v>0</v>
      </c>
      <c r="H1237" s="1406">
        <v>0</v>
      </c>
      <c r="I1237" s="1406">
        <v>0</v>
      </c>
      <c r="J1237" s="1405">
        <v>415</v>
      </c>
      <c r="L1237" s="1406">
        <f t="shared" si="22"/>
        <v>61425</v>
      </c>
    </row>
    <row r="1238" spans="1:12" ht="13.5">
      <c r="A1238" s="1406">
        <v>61450</v>
      </c>
      <c r="B1238" s="1405">
        <v>61500</v>
      </c>
      <c r="C1238" s="4809">
        <v>0</v>
      </c>
      <c r="D1238" s="1406">
        <v>0</v>
      </c>
      <c r="E1238" s="1406">
        <v>0</v>
      </c>
      <c r="F1238" s="1405">
        <v>0</v>
      </c>
      <c r="G1238" s="4809">
        <v>0</v>
      </c>
      <c r="H1238" s="1406">
        <v>0</v>
      </c>
      <c r="I1238" s="1406">
        <v>0</v>
      </c>
      <c r="J1238" s="1405">
        <v>405</v>
      </c>
      <c r="L1238" s="1406">
        <f t="shared" si="22"/>
        <v>61475</v>
      </c>
    </row>
    <row r="1239" spans="1:12" ht="13.5">
      <c r="A1239" s="1406">
        <v>61500</v>
      </c>
      <c r="B1239" s="1405">
        <v>61550</v>
      </c>
      <c r="C1239" s="4809">
        <v>0</v>
      </c>
      <c r="D1239" s="1406">
        <v>0</v>
      </c>
      <c r="E1239" s="1406">
        <v>0</v>
      </c>
      <c r="F1239" s="1405">
        <v>0</v>
      </c>
      <c r="G1239" s="4809">
        <v>0</v>
      </c>
      <c r="H1239" s="1406">
        <v>0</v>
      </c>
      <c r="I1239" s="1406">
        <v>0</v>
      </c>
      <c r="J1239" s="1405">
        <v>394</v>
      </c>
      <c r="L1239" s="1406">
        <f t="shared" ref="L1239:L1277" si="23">ROUND((A1239+B1239)/2,2)</f>
        <v>61525</v>
      </c>
    </row>
    <row r="1240" spans="1:12" ht="13.5">
      <c r="A1240" s="1406">
        <v>61550</v>
      </c>
      <c r="B1240" s="1405">
        <v>61600</v>
      </c>
      <c r="C1240" s="4809">
        <v>0</v>
      </c>
      <c r="D1240" s="1406">
        <v>0</v>
      </c>
      <c r="E1240" s="1406">
        <v>0</v>
      </c>
      <c r="F1240" s="1405">
        <v>0</v>
      </c>
      <c r="G1240" s="4809">
        <v>0</v>
      </c>
      <c r="H1240" s="1406">
        <v>0</v>
      </c>
      <c r="I1240" s="1406">
        <v>0</v>
      </c>
      <c r="J1240" s="1405">
        <v>384</v>
      </c>
      <c r="L1240" s="1406">
        <f t="shared" si="23"/>
        <v>61575</v>
      </c>
    </row>
    <row r="1241" spans="1:12" ht="13.5">
      <c r="A1241" s="1406">
        <v>61600</v>
      </c>
      <c r="B1241" s="1405">
        <v>61650</v>
      </c>
      <c r="C1241" s="4809">
        <v>0</v>
      </c>
      <c r="D1241" s="1406">
        <v>0</v>
      </c>
      <c r="E1241" s="1406">
        <v>0</v>
      </c>
      <c r="F1241" s="1405">
        <v>0</v>
      </c>
      <c r="G1241" s="4809">
        <v>0</v>
      </c>
      <c r="H1241" s="1406">
        <v>0</v>
      </c>
      <c r="I1241" s="1406">
        <v>0</v>
      </c>
      <c r="J1241" s="1405">
        <v>373</v>
      </c>
      <c r="L1241" s="1406">
        <f t="shared" si="23"/>
        <v>61625</v>
      </c>
    </row>
    <row r="1242" spans="1:12" ht="13.5">
      <c r="A1242" s="1406">
        <v>61650</v>
      </c>
      <c r="B1242" s="1405">
        <v>61700</v>
      </c>
      <c r="C1242" s="4809">
        <v>0</v>
      </c>
      <c r="D1242" s="1406">
        <v>0</v>
      </c>
      <c r="E1242" s="1406">
        <v>0</v>
      </c>
      <c r="F1242" s="1405">
        <v>0</v>
      </c>
      <c r="G1242" s="4809">
        <v>0</v>
      </c>
      <c r="H1242" s="1406">
        <v>0</v>
      </c>
      <c r="I1242" s="1406">
        <v>0</v>
      </c>
      <c r="J1242" s="1405">
        <v>363</v>
      </c>
      <c r="L1242" s="1406">
        <f t="shared" si="23"/>
        <v>61675</v>
      </c>
    </row>
    <row r="1243" spans="1:12" ht="13.5">
      <c r="A1243" s="1406">
        <v>61700</v>
      </c>
      <c r="B1243" s="1405">
        <v>61750</v>
      </c>
      <c r="C1243" s="4809">
        <v>0</v>
      </c>
      <c r="D1243" s="1406">
        <v>0</v>
      </c>
      <c r="E1243" s="1406">
        <v>0</v>
      </c>
      <c r="F1243" s="1405">
        <v>0</v>
      </c>
      <c r="G1243" s="4809">
        <v>0</v>
      </c>
      <c r="H1243" s="1406">
        <v>0</v>
      </c>
      <c r="I1243" s="1406">
        <v>0</v>
      </c>
      <c r="J1243" s="1405">
        <v>352</v>
      </c>
      <c r="L1243" s="1406">
        <f t="shared" si="23"/>
        <v>61725</v>
      </c>
    </row>
    <row r="1244" spans="1:12" ht="13.5">
      <c r="A1244" s="1406">
        <v>61750</v>
      </c>
      <c r="B1244" s="1405">
        <v>61800</v>
      </c>
      <c r="C1244" s="4809">
        <v>0</v>
      </c>
      <c r="D1244" s="1406">
        <v>0</v>
      </c>
      <c r="E1244" s="1406">
        <v>0</v>
      </c>
      <c r="F1244" s="1405">
        <v>0</v>
      </c>
      <c r="G1244" s="4809">
        <v>0</v>
      </c>
      <c r="H1244" s="1406">
        <v>0</v>
      </c>
      <c r="I1244" s="1406">
        <v>0</v>
      </c>
      <c r="J1244" s="1405">
        <v>342</v>
      </c>
      <c r="L1244" s="1406">
        <f t="shared" si="23"/>
        <v>61775</v>
      </c>
    </row>
    <row r="1245" spans="1:12" ht="13.5">
      <c r="A1245" s="1406">
        <v>61800</v>
      </c>
      <c r="B1245" s="1405">
        <v>61850</v>
      </c>
      <c r="C1245" s="4809">
        <v>0</v>
      </c>
      <c r="D1245" s="1406">
        <v>0</v>
      </c>
      <c r="E1245" s="1406">
        <v>0</v>
      </c>
      <c r="F1245" s="1405">
        <v>0</v>
      </c>
      <c r="G1245" s="4809">
        <v>0</v>
      </c>
      <c r="H1245" s="1406">
        <v>0</v>
      </c>
      <c r="I1245" s="1406">
        <v>0</v>
      </c>
      <c r="J1245" s="1405">
        <v>331</v>
      </c>
      <c r="L1245" s="1406">
        <f t="shared" si="23"/>
        <v>61825</v>
      </c>
    </row>
    <row r="1246" spans="1:12" ht="13.5">
      <c r="A1246" s="1406">
        <v>61850</v>
      </c>
      <c r="B1246" s="1405">
        <v>61900</v>
      </c>
      <c r="C1246" s="4809">
        <v>0</v>
      </c>
      <c r="D1246" s="1406">
        <v>0</v>
      </c>
      <c r="E1246" s="1406">
        <v>0</v>
      </c>
      <c r="F1246" s="1405">
        <v>0</v>
      </c>
      <c r="G1246" s="4809">
        <v>0</v>
      </c>
      <c r="H1246" s="1406">
        <v>0</v>
      </c>
      <c r="I1246" s="1406">
        <v>0</v>
      </c>
      <c r="J1246" s="1405">
        <v>321</v>
      </c>
      <c r="L1246" s="1406">
        <f t="shared" si="23"/>
        <v>61875</v>
      </c>
    </row>
    <row r="1247" spans="1:12" ht="13.5">
      <c r="A1247" s="1406">
        <v>61900</v>
      </c>
      <c r="B1247" s="1405">
        <v>61950</v>
      </c>
      <c r="C1247" s="4809">
        <v>0</v>
      </c>
      <c r="D1247" s="1406">
        <v>0</v>
      </c>
      <c r="E1247" s="1406">
        <v>0</v>
      </c>
      <c r="F1247" s="1405">
        <v>0</v>
      </c>
      <c r="G1247" s="4809">
        <v>0</v>
      </c>
      <c r="H1247" s="1406">
        <v>0</v>
      </c>
      <c r="I1247" s="1406">
        <v>0</v>
      </c>
      <c r="J1247" s="1405">
        <v>310</v>
      </c>
      <c r="L1247" s="1406">
        <f t="shared" si="23"/>
        <v>61925</v>
      </c>
    </row>
    <row r="1248" spans="1:12" ht="13.5">
      <c r="A1248" s="1406">
        <v>61950</v>
      </c>
      <c r="B1248" s="1405">
        <v>62000</v>
      </c>
      <c r="C1248" s="4809">
        <v>0</v>
      </c>
      <c r="D1248" s="1406">
        <v>0</v>
      </c>
      <c r="E1248" s="1406">
        <v>0</v>
      </c>
      <c r="F1248" s="1405">
        <v>0</v>
      </c>
      <c r="G1248" s="4809">
        <v>0</v>
      </c>
      <c r="H1248" s="1406">
        <v>0</v>
      </c>
      <c r="I1248" s="1406">
        <v>0</v>
      </c>
      <c r="J1248" s="1405">
        <v>300</v>
      </c>
      <c r="L1248" s="1406">
        <f t="shared" si="23"/>
        <v>61975</v>
      </c>
    </row>
    <row r="1249" spans="1:12" ht="13.5">
      <c r="A1249" s="1406">
        <v>62000</v>
      </c>
      <c r="B1249" s="1405">
        <v>62050</v>
      </c>
      <c r="C1249" s="4809">
        <v>0</v>
      </c>
      <c r="D1249" s="1406">
        <v>0</v>
      </c>
      <c r="E1249" s="1406">
        <v>0</v>
      </c>
      <c r="F1249" s="1405">
        <v>0</v>
      </c>
      <c r="G1249" s="4809">
        <v>0</v>
      </c>
      <c r="H1249" s="1406">
        <v>0</v>
      </c>
      <c r="I1249" s="1406">
        <v>0</v>
      </c>
      <c r="J1249" s="1405">
        <v>289</v>
      </c>
      <c r="L1249" s="1406">
        <f t="shared" si="23"/>
        <v>62025</v>
      </c>
    </row>
    <row r="1250" spans="1:12" ht="13.5">
      <c r="A1250" s="1406">
        <v>62050</v>
      </c>
      <c r="B1250" s="1405">
        <v>62100</v>
      </c>
      <c r="C1250" s="4809">
        <v>0</v>
      </c>
      <c r="D1250" s="1406">
        <v>0</v>
      </c>
      <c r="E1250" s="1406">
        <v>0</v>
      </c>
      <c r="F1250" s="1405">
        <v>0</v>
      </c>
      <c r="G1250" s="4809">
        <v>0</v>
      </c>
      <c r="H1250" s="1406">
        <v>0</v>
      </c>
      <c r="I1250" s="1406">
        <v>0</v>
      </c>
      <c r="J1250" s="1405">
        <v>279</v>
      </c>
      <c r="L1250" s="1406">
        <f t="shared" si="23"/>
        <v>62075</v>
      </c>
    </row>
    <row r="1251" spans="1:12" ht="13.5">
      <c r="A1251" s="1406">
        <v>62100</v>
      </c>
      <c r="B1251" s="1405">
        <v>62150</v>
      </c>
      <c r="C1251" s="4809">
        <v>0</v>
      </c>
      <c r="D1251" s="1406">
        <v>0</v>
      </c>
      <c r="E1251" s="1406">
        <v>0</v>
      </c>
      <c r="F1251" s="1405">
        <v>0</v>
      </c>
      <c r="G1251" s="4809">
        <v>0</v>
      </c>
      <c r="H1251" s="1406">
        <v>0</v>
      </c>
      <c r="I1251" s="1406">
        <v>0</v>
      </c>
      <c r="J1251" s="1405">
        <v>268</v>
      </c>
      <c r="L1251" s="1406">
        <f t="shared" si="23"/>
        <v>62125</v>
      </c>
    </row>
    <row r="1252" spans="1:12" ht="13.5">
      <c r="A1252" s="1406">
        <v>62150</v>
      </c>
      <c r="B1252" s="1405">
        <v>62200</v>
      </c>
      <c r="C1252" s="4809">
        <v>0</v>
      </c>
      <c r="D1252" s="1406">
        <v>0</v>
      </c>
      <c r="E1252" s="1406">
        <v>0</v>
      </c>
      <c r="F1252" s="1405">
        <v>0</v>
      </c>
      <c r="G1252" s="4809">
        <v>0</v>
      </c>
      <c r="H1252" s="1406">
        <v>0</v>
      </c>
      <c r="I1252" s="1406">
        <v>0</v>
      </c>
      <c r="J1252" s="1405">
        <v>258</v>
      </c>
      <c r="L1252" s="1406">
        <f t="shared" si="23"/>
        <v>62175</v>
      </c>
    </row>
    <row r="1253" spans="1:12" ht="13.5">
      <c r="A1253" s="1406">
        <v>62200</v>
      </c>
      <c r="B1253" s="1405">
        <v>62250</v>
      </c>
      <c r="C1253" s="4809">
        <v>0</v>
      </c>
      <c r="D1253" s="1406">
        <v>0</v>
      </c>
      <c r="E1253" s="1406">
        <v>0</v>
      </c>
      <c r="F1253" s="1405">
        <v>0</v>
      </c>
      <c r="G1253" s="4809">
        <v>0</v>
      </c>
      <c r="H1253" s="1406">
        <v>0</v>
      </c>
      <c r="I1253" s="1406">
        <v>0</v>
      </c>
      <c r="J1253" s="1405">
        <v>247</v>
      </c>
      <c r="L1253" s="1406">
        <f t="shared" si="23"/>
        <v>62225</v>
      </c>
    </row>
    <row r="1254" spans="1:12" ht="13.5">
      <c r="A1254" s="1406">
        <v>62250</v>
      </c>
      <c r="B1254" s="1405">
        <v>62300</v>
      </c>
      <c r="C1254" s="4809">
        <v>0</v>
      </c>
      <c r="D1254" s="1406">
        <v>0</v>
      </c>
      <c r="E1254" s="1406">
        <v>0</v>
      </c>
      <c r="F1254" s="1405">
        <v>0</v>
      </c>
      <c r="G1254" s="4809">
        <v>0</v>
      </c>
      <c r="H1254" s="1406">
        <v>0</v>
      </c>
      <c r="I1254" s="1406">
        <v>0</v>
      </c>
      <c r="J1254" s="1405">
        <v>236</v>
      </c>
      <c r="L1254" s="1406">
        <f t="shared" si="23"/>
        <v>62275</v>
      </c>
    </row>
    <row r="1255" spans="1:12" ht="13.5">
      <c r="A1255" s="1406">
        <v>62300</v>
      </c>
      <c r="B1255" s="1405">
        <v>62350</v>
      </c>
      <c r="C1255" s="4809">
        <v>0</v>
      </c>
      <c r="D1255" s="1406">
        <v>0</v>
      </c>
      <c r="E1255" s="1406">
        <v>0</v>
      </c>
      <c r="F1255" s="1405">
        <v>0</v>
      </c>
      <c r="G1255" s="4809">
        <v>0</v>
      </c>
      <c r="H1255" s="1406">
        <v>0</v>
      </c>
      <c r="I1255" s="1406">
        <v>0</v>
      </c>
      <c r="J1255" s="1405">
        <v>226</v>
      </c>
      <c r="L1255" s="1406">
        <f t="shared" si="23"/>
        <v>62325</v>
      </c>
    </row>
    <row r="1256" spans="1:12" ht="13.5">
      <c r="A1256" s="1406">
        <v>62350</v>
      </c>
      <c r="B1256" s="1405">
        <v>62400</v>
      </c>
      <c r="C1256" s="4809">
        <v>0</v>
      </c>
      <c r="D1256" s="1406">
        <v>0</v>
      </c>
      <c r="E1256" s="1406">
        <v>0</v>
      </c>
      <c r="F1256" s="1405">
        <v>0</v>
      </c>
      <c r="G1256" s="4809">
        <v>0</v>
      </c>
      <c r="H1256" s="1406">
        <v>0</v>
      </c>
      <c r="I1256" s="1406">
        <v>0</v>
      </c>
      <c r="J1256" s="1405">
        <v>215</v>
      </c>
      <c r="L1256" s="1406">
        <f t="shared" si="23"/>
        <v>62375</v>
      </c>
    </row>
    <row r="1257" spans="1:12" ht="13.5">
      <c r="A1257" s="1406">
        <v>62400</v>
      </c>
      <c r="B1257" s="1405">
        <v>62450</v>
      </c>
      <c r="C1257" s="4809">
        <v>0</v>
      </c>
      <c r="D1257" s="1406">
        <v>0</v>
      </c>
      <c r="E1257" s="1406">
        <v>0</v>
      </c>
      <c r="F1257" s="1405">
        <v>0</v>
      </c>
      <c r="G1257" s="4809">
        <v>0</v>
      </c>
      <c r="H1257" s="1406">
        <v>0</v>
      </c>
      <c r="I1257" s="1406">
        <v>0</v>
      </c>
      <c r="J1257" s="1405">
        <v>205</v>
      </c>
      <c r="L1257" s="1406">
        <f t="shared" si="23"/>
        <v>62425</v>
      </c>
    </row>
    <row r="1258" spans="1:12" ht="13.5">
      <c r="A1258" s="1406">
        <v>62450</v>
      </c>
      <c r="B1258" s="1405">
        <v>62500</v>
      </c>
      <c r="C1258" s="4809">
        <v>0</v>
      </c>
      <c r="D1258" s="1406">
        <v>0</v>
      </c>
      <c r="E1258" s="1406">
        <v>0</v>
      </c>
      <c r="F1258" s="1405">
        <v>0</v>
      </c>
      <c r="G1258" s="4809">
        <v>0</v>
      </c>
      <c r="H1258" s="1406">
        <v>0</v>
      </c>
      <c r="I1258" s="1406">
        <v>0</v>
      </c>
      <c r="J1258" s="1405">
        <v>194</v>
      </c>
      <c r="L1258" s="1406">
        <f t="shared" si="23"/>
        <v>62475</v>
      </c>
    </row>
    <row r="1259" spans="1:12" ht="13.5">
      <c r="A1259" s="1406">
        <v>62500</v>
      </c>
      <c r="B1259" s="1405">
        <v>62550</v>
      </c>
      <c r="C1259" s="4809">
        <v>0</v>
      </c>
      <c r="D1259" s="1406">
        <v>0</v>
      </c>
      <c r="E1259" s="1406">
        <v>0</v>
      </c>
      <c r="F1259" s="1405">
        <v>0</v>
      </c>
      <c r="G1259" s="4809">
        <v>0</v>
      </c>
      <c r="H1259" s="1406">
        <v>0</v>
      </c>
      <c r="I1259" s="1406">
        <v>0</v>
      </c>
      <c r="J1259" s="1405">
        <v>184</v>
      </c>
      <c r="L1259" s="1406">
        <f t="shared" si="23"/>
        <v>62525</v>
      </c>
    </row>
    <row r="1260" spans="1:12" ht="13.5">
      <c r="A1260" s="1406">
        <v>62550</v>
      </c>
      <c r="B1260" s="1405">
        <v>62600</v>
      </c>
      <c r="C1260" s="4809">
        <v>0</v>
      </c>
      <c r="D1260" s="1406">
        <v>0</v>
      </c>
      <c r="E1260" s="1406">
        <v>0</v>
      </c>
      <c r="F1260" s="1405">
        <v>0</v>
      </c>
      <c r="G1260" s="4809">
        <v>0</v>
      </c>
      <c r="H1260" s="1406">
        <v>0</v>
      </c>
      <c r="I1260" s="1406">
        <v>0</v>
      </c>
      <c r="J1260" s="1405">
        <v>173</v>
      </c>
      <c r="L1260" s="1406">
        <f t="shared" si="23"/>
        <v>62575</v>
      </c>
    </row>
    <row r="1261" spans="1:12" ht="13.5">
      <c r="A1261" s="1406">
        <v>62600</v>
      </c>
      <c r="B1261" s="1405">
        <v>62650</v>
      </c>
      <c r="C1261" s="4809">
        <v>0</v>
      </c>
      <c r="D1261" s="1406">
        <v>0</v>
      </c>
      <c r="E1261" s="1406">
        <v>0</v>
      </c>
      <c r="F1261" s="1405">
        <v>0</v>
      </c>
      <c r="G1261" s="4809">
        <v>0</v>
      </c>
      <c r="H1261" s="1406">
        <v>0</v>
      </c>
      <c r="I1261" s="1406">
        <v>0</v>
      </c>
      <c r="J1261" s="1405">
        <v>163</v>
      </c>
      <c r="L1261" s="1406">
        <f t="shared" si="23"/>
        <v>62625</v>
      </c>
    </row>
    <row r="1262" spans="1:12" ht="13.5">
      <c r="A1262" s="1406">
        <v>62650</v>
      </c>
      <c r="B1262" s="1405">
        <v>62700</v>
      </c>
      <c r="C1262" s="4809">
        <v>0</v>
      </c>
      <c r="D1262" s="1406">
        <v>0</v>
      </c>
      <c r="E1262" s="1406">
        <v>0</v>
      </c>
      <c r="F1262" s="1405">
        <v>0</v>
      </c>
      <c r="G1262" s="4809">
        <v>0</v>
      </c>
      <c r="H1262" s="1406">
        <v>0</v>
      </c>
      <c r="I1262" s="1406">
        <v>0</v>
      </c>
      <c r="J1262" s="1405">
        <v>152</v>
      </c>
      <c r="L1262" s="1406">
        <f t="shared" si="23"/>
        <v>62675</v>
      </c>
    </row>
    <row r="1263" spans="1:12" ht="13.5">
      <c r="A1263" s="1406">
        <v>62700</v>
      </c>
      <c r="B1263" s="1405">
        <v>62750</v>
      </c>
      <c r="C1263" s="4809">
        <v>0</v>
      </c>
      <c r="D1263" s="1406">
        <v>0</v>
      </c>
      <c r="E1263" s="1406">
        <v>0</v>
      </c>
      <c r="F1263" s="1405">
        <v>0</v>
      </c>
      <c r="G1263" s="4809">
        <v>0</v>
      </c>
      <c r="H1263" s="1406">
        <v>0</v>
      </c>
      <c r="I1263" s="1406">
        <v>0</v>
      </c>
      <c r="J1263" s="1405">
        <v>142</v>
      </c>
      <c r="L1263" s="1406">
        <f t="shared" si="23"/>
        <v>62725</v>
      </c>
    </row>
    <row r="1264" spans="1:12" ht="13.5">
      <c r="A1264" s="1406">
        <v>62750</v>
      </c>
      <c r="B1264" s="1405">
        <v>62800</v>
      </c>
      <c r="C1264" s="4809">
        <v>0</v>
      </c>
      <c r="D1264" s="1406">
        <v>0</v>
      </c>
      <c r="E1264" s="1406">
        <v>0</v>
      </c>
      <c r="F1264" s="1405">
        <v>0</v>
      </c>
      <c r="G1264" s="4809">
        <v>0</v>
      </c>
      <c r="H1264" s="1406">
        <v>0</v>
      </c>
      <c r="I1264" s="1406">
        <v>0</v>
      </c>
      <c r="J1264" s="1405">
        <v>131</v>
      </c>
      <c r="L1264" s="1406">
        <f t="shared" si="23"/>
        <v>62775</v>
      </c>
    </row>
    <row r="1265" spans="1:13" ht="13.5">
      <c r="A1265" s="1406">
        <v>62800</v>
      </c>
      <c r="B1265" s="1405">
        <v>62850</v>
      </c>
      <c r="C1265" s="4809">
        <v>0</v>
      </c>
      <c r="D1265" s="1406">
        <v>0</v>
      </c>
      <c r="E1265" s="1406">
        <v>0</v>
      </c>
      <c r="F1265" s="1405">
        <v>0</v>
      </c>
      <c r="G1265" s="4809">
        <v>0</v>
      </c>
      <c r="H1265" s="1406">
        <v>0</v>
      </c>
      <c r="I1265" s="1406">
        <v>0</v>
      </c>
      <c r="J1265" s="1405">
        <v>121</v>
      </c>
      <c r="L1265" s="1406">
        <f t="shared" si="23"/>
        <v>62825</v>
      </c>
    </row>
    <row r="1266" spans="1:13" ht="13.5">
      <c r="A1266" s="1406">
        <v>62850</v>
      </c>
      <c r="B1266" s="1405">
        <v>62900</v>
      </c>
      <c r="C1266" s="4809">
        <v>0</v>
      </c>
      <c r="D1266" s="1406">
        <v>0</v>
      </c>
      <c r="E1266" s="1406">
        <v>0</v>
      </c>
      <c r="F1266" s="1405">
        <v>0</v>
      </c>
      <c r="G1266" s="4809">
        <v>0</v>
      </c>
      <c r="H1266" s="1406">
        <v>0</v>
      </c>
      <c r="I1266" s="1406">
        <v>0</v>
      </c>
      <c r="J1266" s="1405">
        <v>110</v>
      </c>
      <c r="L1266" s="1406">
        <f t="shared" si="23"/>
        <v>62875</v>
      </c>
    </row>
    <row r="1267" spans="1:13" ht="13.5">
      <c r="A1267" s="1406">
        <v>62900</v>
      </c>
      <c r="B1267" s="1405">
        <v>62950</v>
      </c>
      <c r="C1267" s="4809">
        <v>0</v>
      </c>
      <c r="D1267" s="1406">
        <v>0</v>
      </c>
      <c r="E1267" s="1406">
        <v>0</v>
      </c>
      <c r="F1267" s="1405">
        <v>0</v>
      </c>
      <c r="G1267" s="4809">
        <v>0</v>
      </c>
      <c r="H1267" s="1406">
        <v>0</v>
      </c>
      <c r="I1267" s="1406">
        <v>0</v>
      </c>
      <c r="J1267" s="1405">
        <v>100</v>
      </c>
      <c r="L1267" s="1406">
        <f t="shared" si="23"/>
        <v>62925</v>
      </c>
    </row>
    <row r="1268" spans="1:13" ht="13.5">
      <c r="A1268" s="1406">
        <v>62950</v>
      </c>
      <c r="B1268" s="1405">
        <v>63000</v>
      </c>
      <c r="C1268" s="4809">
        <v>0</v>
      </c>
      <c r="D1268" s="1406">
        <v>0</v>
      </c>
      <c r="E1268" s="1406">
        <v>0</v>
      </c>
      <c r="F1268" s="1405">
        <v>0</v>
      </c>
      <c r="G1268" s="4809">
        <v>0</v>
      </c>
      <c r="H1268" s="1406">
        <v>0</v>
      </c>
      <c r="I1268" s="1406">
        <v>0</v>
      </c>
      <c r="J1268" s="1405">
        <v>89</v>
      </c>
      <c r="L1268" s="1406">
        <f t="shared" si="23"/>
        <v>62975</v>
      </c>
    </row>
    <row r="1269" spans="1:13" ht="13.5">
      <c r="A1269" s="1406">
        <v>63000</v>
      </c>
      <c r="B1269" s="1405">
        <v>63050</v>
      </c>
      <c r="C1269" s="4809">
        <v>0</v>
      </c>
      <c r="D1269" s="1406">
        <v>0</v>
      </c>
      <c r="E1269" s="1406">
        <v>0</v>
      </c>
      <c r="F1269" s="1405">
        <v>0</v>
      </c>
      <c r="G1269" s="4809">
        <v>0</v>
      </c>
      <c r="H1269" s="1406">
        <v>0</v>
      </c>
      <c r="I1269" s="1406">
        <v>0</v>
      </c>
      <c r="J1269" s="1405">
        <v>79</v>
      </c>
      <c r="L1269" s="1406">
        <f t="shared" si="23"/>
        <v>63025</v>
      </c>
    </row>
    <row r="1270" spans="1:13" ht="13.5">
      <c r="A1270" s="1406">
        <v>63050</v>
      </c>
      <c r="B1270" s="1405">
        <v>63100</v>
      </c>
      <c r="C1270" s="4809">
        <v>0</v>
      </c>
      <c r="D1270" s="1406">
        <v>0</v>
      </c>
      <c r="E1270" s="1406">
        <v>0</v>
      </c>
      <c r="F1270" s="1405">
        <v>0</v>
      </c>
      <c r="G1270" s="4809">
        <v>0</v>
      </c>
      <c r="H1270" s="1406">
        <v>0</v>
      </c>
      <c r="I1270" s="1406">
        <v>0</v>
      </c>
      <c r="J1270" s="1405">
        <v>68</v>
      </c>
      <c r="L1270" s="1406">
        <f t="shared" si="23"/>
        <v>63075</v>
      </c>
    </row>
    <row r="1271" spans="1:13" ht="13.5">
      <c r="A1271" s="1406">
        <v>63100</v>
      </c>
      <c r="B1271" s="1405">
        <v>63150</v>
      </c>
      <c r="C1271" s="4809">
        <v>0</v>
      </c>
      <c r="D1271" s="1406">
        <v>0</v>
      </c>
      <c r="E1271" s="1406">
        <v>0</v>
      </c>
      <c r="F1271" s="1405">
        <v>0</v>
      </c>
      <c r="G1271" s="4809">
        <v>0</v>
      </c>
      <c r="H1271" s="1406">
        <v>0</v>
      </c>
      <c r="I1271" s="1406">
        <v>0</v>
      </c>
      <c r="J1271" s="1405">
        <v>57</v>
      </c>
      <c r="L1271" s="1406">
        <f t="shared" si="23"/>
        <v>63125</v>
      </c>
    </row>
    <row r="1272" spans="1:13" ht="13.5">
      <c r="A1272" s="1406">
        <v>63150</v>
      </c>
      <c r="B1272" s="1405">
        <v>63200</v>
      </c>
      <c r="C1272" s="4809">
        <v>0</v>
      </c>
      <c r="D1272" s="1406">
        <v>0</v>
      </c>
      <c r="E1272" s="1406">
        <v>0</v>
      </c>
      <c r="F1272" s="1405">
        <v>0</v>
      </c>
      <c r="G1272" s="4809">
        <v>0</v>
      </c>
      <c r="H1272" s="1406">
        <v>0</v>
      </c>
      <c r="I1272" s="1406">
        <v>0</v>
      </c>
      <c r="J1272" s="1405">
        <v>47</v>
      </c>
      <c r="L1272" s="1406">
        <f t="shared" si="23"/>
        <v>63175</v>
      </c>
    </row>
    <row r="1273" spans="1:13" ht="13.5">
      <c r="A1273" s="1406">
        <v>63200</v>
      </c>
      <c r="B1273" s="1405">
        <v>63250</v>
      </c>
      <c r="C1273" s="4809">
        <v>0</v>
      </c>
      <c r="D1273" s="1406">
        <v>0</v>
      </c>
      <c r="E1273" s="1406">
        <v>0</v>
      </c>
      <c r="F1273" s="1405">
        <v>0</v>
      </c>
      <c r="G1273" s="4809">
        <v>0</v>
      </c>
      <c r="H1273" s="1406">
        <v>0</v>
      </c>
      <c r="I1273" s="1406">
        <v>0</v>
      </c>
      <c r="J1273" s="1405">
        <v>36</v>
      </c>
      <c r="L1273" s="1406">
        <f t="shared" si="23"/>
        <v>63225</v>
      </c>
    </row>
    <row r="1274" spans="1:13" ht="13.5">
      <c r="A1274" s="1406">
        <v>63250</v>
      </c>
      <c r="B1274" s="1405">
        <v>63300</v>
      </c>
      <c r="C1274" s="4809">
        <v>0</v>
      </c>
      <c r="D1274" s="1406">
        <v>0</v>
      </c>
      <c r="E1274" s="1406">
        <v>0</v>
      </c>
      <c r="F1274" s="1405">
        <v>0</v>
      </c>
      <c r="G1274" s="4809">
        <v>0</v>
      </c>
      <c r="H1274" s="1406">
        <v>0</v>
      </c>
      <c r="I1274" s="1406">
        <v>0</v>
      </c>
      <c r="J1274" s="1405">
        <v>26</v>
      </c>
      <c r="L1274" s="1406">
        <f t="shared" si="23"/>
        <v>63275</v>
      </c>
    </row>
    <row r="1275" spans="1:13" ht="13.5">
      <c r="A1275" s="1406">
        <v>63300</v>
      </c>
      <c r="B1275" s="1405">
        <v>63350</v>
      </c>
      <c r="C1275" s="4809">
        <v>0</v>
      </c>
      <c r="D1275" s="1406">
        <v>0</v>
      </c>
      <c r="E1275" s="1406">
        <v>0</v>
      </c>
      <c r="F1275" s="1405">
        <v>0</v>
      </c>
      <c r="G1275" s="4809">
        <v>0</v>
      </c>
      <c r="H1275" s="1406">
        <v>0</v>
      </c>
      <c r="I1275" s="1406">
        <v>0</v>
      </c>
      <c r="J1275" s="1405">
        <v>15</v>
      </c>
      <c r="L1275" s="1406">
        <f t="shared" si="23"/>
        <v>63325</v>
      </c>
    </row>
    <row r="1276" spans="1:13" ht="13.5">
      <c r="A1276" s="5325">
        <v>63350</v>
      </c>
      <c r="B1276" s="5326">
        <v>63398</v>
      </c>
      <c r="C1276" s="5327">
        <v>0</v>
      </c>
      <c r="D1276" s="5325">
        <v>0</v>
      </c>
      <c r="E1276" s="5325">
        <v>0</v>
      </c>
      <c r="F1276" s="5326">
        <v>0</v>
      </c>
      <c r="G1276" s="5327">
        <v>0</v>
      </c>
      <c r="H1276" s="5325">
        <v>0</v>
      </c>
      <c r="I1276" s="5325">
        <v>0</v>
      </c>
      <c r="J1276" s="5339">
        <f>IF($L1276&gt;U$5,MAX(0,U$3+ROUND((U$9*($L1276-U$5)),0)),IF($L1276&gt;U$4,U$3,ROUND($L1276*U$7,0)))</f>
        <v>5</v>
      </c>
      <c r="K1276" s="5185"/>
      <c r="L1276" s="5325">
        <f t="shared" si="23"/>
        <v>63374</v>
      </c>
      <c r="M1276" s="5324" t="s">
        <v>5381</v>
      </c>
    </row>
    <row r="1277" spans="1:13" ht="13.5">
      <c r="A1277" s="5325">
        <v>63398</v>
      </c>
      <c r="B1277" s="5326">
        <v>63400</v>
      </c>
      <c r="C1277" s="5327">
        <v>0</v>
      </c>
      <c r="D1277" s="5325">
        <v>0</v>
      </c>
      <c r="E1277" s="5325">
        <v>0</v>
      </c>
      <c r="F1277" s="5326">
        <v>0</v>
      </c>
      <c r="G1277" s="5327">
        <v>0</v>
      </c>
      <c r="H1277" s="5325">
        <v>0</v>
      </c>
      <c r="I1277" s="5325">
        <v>0</v>
      </c>
      <c r="J1277" s="5326">
        <f>IF($L1277&gt;U$5,MAX(0,U$3+ROUND((U$9*($L1277-U$5)),0)),IF($L1277&gt;U$4,U$3,ROUND($L1277*U$7,0)))</f>
        <v>0</v>
      </c>
      <c r="K1277" s="5185"/>
      <c r="L1277" s="5325">
        <f t="shared" si="23"/>
        <v>63399</v>
      </c>
      <c r="M1277" s="5324" t="s">
        <v>5380</v>
      </c>
    </row>
    <row r="1278" spans="1:13" ht="13.5">
      <c r="A1278" s="1406"/>
      <c r="B1278" s="1405"/>
      <c r="C1278" s="4809"/>
      <c r="D1278" s="1406"/>
      <c r="E1278" s="1406"/>
      <c r="F1278" s="1405"/>
      <c r="G1278" s="4809"/>
      <c r="H1278" s="1406"/>
      <c r="I1278" s="1406"/>
      <c r="J1278" s="1405"/>
      <c r="L1278" s="1406"/>
    </row>
  </sheetData>
  <sheetProtection algorithmName="SHA-512" hashValue="vXWEuvMgJCxoPGeuMLLRIPwLpB6n3kGvz+qMlpiQiJ0AUpUqMmMeeMdbSiYh+PZLSLAKaGV02kaKKwQYoh+B0A==" saltValue="eTn7OkNTf9lBBU0pohnjLg==" spinCount="100000" sheet="1" objects="1" scenarios="1"/>
  <mergeCells count="5">
    <mergeCell ref="N1:Q1"/>
    <mergeCell ref="R1:U1"/>
    <mergeCell ref="A1:B1"/>
    <mergeCell ref="C1:F1"/>
    <mergeCell ref="G1:J1"/>
  </mergeCells>
  <pageMargins left="0.75" right="0.25" top="0.36" bottom="0.28999999999999998" header="0.36" footer="0.21"/>
  <pageSetup scale="33" fitToHeight="0"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3">
    <pageSetUpPr fitToPage="1"/>
  </sheetPr>
  <dimension ref="A1:AE2064"/>
  <sheetViews>
    <sheetView tabSelected="1" topLeftCell="B1" zoomScaleNormal="100" workbookViewId="0">
      <pane ySplit="1" topLeftCell="A2" activePane="bottomLeft" state="frozen"/>
      <selection pane="bottomLeft" activeCell="Z19" sqref="Z19"/>
    </sheetView>
  </sheetViews>
  <sheetFormatPr defaultColWidth="11.7109375" defaultRowHeight="16.5"/>
  <cols>
    <col min="1" max="1" width="0" style="1961" hidden="1" customWidth="1"/>
    <col min="2" max="3" width="12.28515625" style="1404" customWidth="1"/>
    <col min="4" max="4" width="12.85546875" style="1403" bestFit="1" customWidth="1"/>
    <col min="5" max="7" width="12.28515625" style="1403" customWidth="1"/>
    <col min="8" max="8" width="6.7109375" style="1878" customWidth="1"/>
    <col min="9" max="9" width="6.7109375" style="703" customWidth="1"/>
    <col min="10" max="10" width="13.7109375" style="703" customWidth="1"/>
    <col min="11" max="12" width="11.7109375" style="703" customWidth="1"/>
    <col min="13" max="13" width="7.85546875" style="703" customWidth="1"/>
    <col min="14" max="16" width="15.5703125" style="1960" hidden="1" customWidth="1"/>
    <col min="17" max="17" width="4.28515625" style="1960" customWidth="1"/>
    <col min="18" max="18" width="4.28515625" style="2156" customWidth="1"/>
    <col min="19" max="19" width="11.7109375" style="2153"/>
    <col min="20" max="20" width="23.85546875" style="2154" customWidth="1"/>
    <col min="21" max="21" width="20.5703125" style="2155" customWidth="1"/>
    <col min="22" max="22" width="60.42578125" style="2154" customWidth="1"/>
    <col min="23" max="23" width="5.140625" style="703" customWidth="1"/>
    <col min="24" max="24" width="11.7109375" style="703"/>
    <col min="25" max="25" width="5.7109375" style="703" customWidth="1"/>
    <col min="26" max="30" width="11.7109375" style="703" customWidth="1"/>
    <col min="31" max="31" width="6.7109375" style="703" customWidth="1"/>
    <col min="32" max="16384" width="11.7109375" style="703"/>
  </cols>
  <sheetData>
    <row r="1" spans="1:31" s="743" customFormat="1" ht="65.25" customHeight="1" thickBot="1">
      <c r="A1" s="742"/>
      <c r="B1" s="742" t="s">
        <v>5382</v>
      </c>
      <c r="C1" s="742" t="s">
        <v>5383</v>
      </c>
      <c r="D1" s="742" t="s">
        <v>14</v>
      </c>
      <c r="E1" s="742" t="s">
        <v>5055</v>
      </c>
      <c r="F1" s="742" t="s">
        <v>5384</v>
      </c>
      <c r="G1" s="742" t="s">
        <v>5385</v>
      </c>
      <c r="H1" s="1877"/>
      <c r="N1" s="1959"/>
      <c r="O1" s="1959"/>
      <c r="P1" s="1959"/>
      <c r="Q1" s="1959"/>
      <c r="R1" s="2161"/>
      <c r="S1" s="3486"/>
      <c r="T1" s="3487"/>
      <c r="U1" s="3466"/>
      <c r="V1" s="3465"/>
    </row>
    <row r="2" spans="1:31" ht="17.25" thickTop="1" thickBot="1">
      <c r="A2" s="1961">
        <f>AVERAGE(B2,C2)</f>
        <v>2.5</v>
      </c>
      <c r="B2" s="1814">
        <v>0</v>
      </c>
      <c r="C2" s="1814">
        <v>5</v>
      </c>
      <c r="D2" s="1816">
        <f t="shared" ref="D2:D65" si="0">IF($A2&gt;BOTT_A4,ROUND(BASE_A4+RATE_A4*($A2-BOTT_A4),0),IF($A2&gt;BOTT_A3,ROUND(BASE_A3+RATE_A3*($A2-BOTT_A3),0),IF($A2&gt;BOTT_A2,ROUND(BASE_A2+RATE_A2*($A2-BOTT_A2),0),ROUND(RATE_A1*$A2,0))))</f>
        <v>0</v>
      </c>
      <c r="E2" s="1816">
        <f t="shared" ref="E2:E65" si="1">IF($A2&gt;BOTT_B4,ROUND(BASE_B4+RATE_B4*($A2-BOTT_B4),0),IF($A2&gt;BOTT_B3,ROUND(BASE_B3+RATE_B3*($A2-BOTT_B3),0),IF($A2&gt;BOTT_B2,ROUND(BASE_B2+RATE_B2*($A2-BOTT_B2),0),ROUND(RATE_B1*$A2,0))))</f>
        <v>0</v>
      </c>
      <c r="F2" s="1816">
        <f t="shared" ref="F2:F65" si="2">IF($A2&gt;BOTT_C4,ROUND(BASE_C4+RATE_C4*($A2-BOTT_C4),0),IF($A2&gt;BOTT_C3,ROUND(BASE_C3+RATE_C3*($A2-BOTT_C3),0),IF($A2&gt;BOTT_C2,ROUND(BASE_C2+RATE_C2*($A2-BOTT_C2),0),ROUND(RATE_C1*$A2,0))))</f>
        <v>0</v>
      </c>
      <c r="G2" s="1816">
        <f t="shared" ref="G2:G65" si="3">IF($A2&gt;BOTT_D4,ROUND(BASE_D4+RATE_D4*($A2-BOTT_D4),0),IF($A2&gt;BOTT_D3,ROUND(BASE_D3+RATE_D3*($A2-BOTT_D3),0),IF($A2&gt;BOTT_D2,ROUND(BASE_D2+RATE_D2*($A2-BOTT_D2),0),ROUND(RATE_D1*$A2,0))))</f>
        <v>0</v>
      </c>
      <c r="I2" s="3461" t="str">
        <f>TaxYear&amp;" Tax Computation Worksheet"</f>
        <v>2023 Tax Computation Worksheet</v>
      </c>
      <c r="J2" s="1812"/>
      <c r="K2" s="1812"/>
      <c r="L2" s="1812"/>
      <c r="M2" s="1813"/>
      <c r="R2" s="3467"/>
      <c r="S2" s="3468"/>
      <c r="T2" s="3469"/>
      <c r="U2" s="3470"/>
      <c r="V2" s="3469"/>
      <c r="W2" s="3471"/>
    </row>
    <row r="3" spans="1:31" thickTop="1">
      <c r="A3" s="1961">
        <f t="shared" ref="A3:A66" si="4">AVERAGE(B3,C3)</f>
        <v>10</v>
      </c>
      <c r="B3" s="1814">
        <v>5</v>
      </c>
      <c r="C3" s="1814">
        <v>15</v>
      </c>
      <c r="D3" s="1816">
        <f t="shared" si="0"/>
        <v>1</v>
      </c>
      <c r="E3" s="1816">
        <f t="shared" si="1"/>
        <v>1</v>
      </c>
      <c r="F3" s="1816">
        <f t="shared" si="2"/>
        <v>1</v>
      </c>
      <c r="G3" s="1816">
        <f t="shared" si="3"/>
        <v>1</v>
      </c>
      <c r="H3" s="1879"/>
      <c r="I3" s="1802"/>
      <c r="J3" s="1821" t="s">
        <v>640</v>
      </c>
      <c r="K3" s="1821" t="s">
        <v>644</v>
      </c>
      <c r="L3" s="1821" t="s">
        <v>652</v>
      </c>
      <c r="M3" s="1803"/>
      <c r="R3" s="3472"/>
      <c r="S3" s="1709" t="s">
        <v>5386</v>
      </c>
      <c r="T3" s="3474"/>
      <c r="U3" s="3475"/>
      <c r="V3" s="3474"/>
      <c r="W3" s="3476"/>
    </row>
    <row r="4" spans="1:31">
      <c r="A4" s="1961">
        <f t="shared" si="4"/>
        <v>20</v>
      </c>
      <c r="B4" s="1814">
        <v>15</v>
      </c>
      <c r="C4" s="1814">
        <v>25</v>
      </c>
      <c r="D4" s="1816">
        <f t="shared" si="0"/>
        <v>2</v>
      </c>
      <c r="E4" s="1816">
        <f t="shared" si="1"/>
        <v>2</v>
      </c>
      <c r="F4" s="1816">
        <f t="shared" si="2"/>
        <v>2</v>
      </c>
      <c r="G4" s="1816">
        <f t="shared" si="3"/>
        <v>2</v>
      </c>
      <c r="H4" s="1879"/>
      <c r="I4" s="1804"/>
      <c r="J4" s="3925" t="s">
        <v>3941</v>
      </c>
      <c r="K4" s="1805"/>
      <c r="L4" s="1805"/>
      <c r="M4" s="1806"/>
      <c r="R4" s="3472"/>
      <c r="S4" s="3477" t="s">
        <v>5387</v>
      </c>
      <c r="T4" s="3478" t="s">
        <v>5388</v>
      </c>
      <c r="U4" s="3478" t="s">
        <v>5389</v>
      </c>
      <c r="V4" s="3474"/>
      <c r="W4" s="3476"/>
    </row>
    <row r="5" spans="1:31" ht="15.75">
      <c r="A5" s="1961">
        <f t="shared" si="4"/>
        <v>37.5</v>
      </c>
      <c r="B5" s="1814">
        <v>25</v>
      </c>
      <c r="C5" s="1814">
        <v>50</v>
      </c>
      <c r="D5" s="1816">
        <f t="shared" si="0"/>
        <v>4</v>
      </c>
      <c r="E5" s="1816">
        <f t="shared" si="1"/>
        <v>4</v>
      </c>
      <c r="F5" s="1816">
        <f t="shared" si="2"/>
        <v>4</v>
      </c>
      <c r="G5" s="1816">
        <f t="shared" si="3"/>
        <v>4</v>
      </c>
      <c r="H5" s="1879"/>
      <c r="I5" s="1804"/>
      <c r="J5" s="3474" t="s">
        <v>5390</v>
      </c>
      <c r="K5" s="1788"/>
      <c r="L5" s="1788"/>
      <c r="M5" s="1806"/>
      <c r="R5" s="3472" t="s">
        <v>542</v>
      </c>
      <c r="S5" s="1715" t="s">
        <v>5391</v>
      </c>
      <c r="T5" s="3474"/>
      <c r="U5" s="3475"/>
      <c r="V5" s="3474"/>
      <c r="W5" s="3476"/>
    </row>
    <row r="6" spans="1:31" thickBot="1">
      <c r="A6" s="1961">
        <f t="shared" si="4"/>
        <v>62.5</v>
      </c>
      <c r="B6" s="1814">
        <v>50</v>
      </c>
      <c r="C6" s="1814">
        <v>75</v>
      </c>
      <c r="D6" s="1816">
        <f t="shared" si="0"/>
        <v>6</v>
      </c>
      <c r="E6" s="1816">
        <f t="shared" si="1"/>
        <v>6</v>
      </c>
      <c r="F6" s="1816">
        <f t="shared" si="2"/>
        <v>6</v>
      </c>
      <c r="G6" s="1816">
        <f t="shared" si="3"/>
        <v>6</v>
      </c>
      <c r="H6" s="1879"/>
      <c r="I6" s="1818">
        <v>1</v>
      </c>
      <c r="J6" s="1789" t="s">
        <v>5392</v>
      </c>
      <c r="K6" s="1797"/>
      <c r="L6" s="1790"/>
      <c r="M6" s="1806"/>
      <c r="R6" s="3472"/>
      <c r="S6" s="3464" t="s">
        <v>5393</v>
      </c>
      <c r="T6" s="3464" t="s">
        <v>5394</v>
      </c>
      <c r="U6" s="3479" t="s">
        <v>5395</v>
      </c>
      <c r="V6" s="2157" t="s">
        <v>5396</v>
      </c>
      <c r="W6" s="3476"/>
    </row>
    <row r="7" spans="1:31" thickBot="1">
      <c r="A7" s="1961">
        <f t="shared" si="4"/>
        <v>87.5</v>
      </c>
      <c r="B7" s="1814">
        <v>75</v>
      </c>
      <c r="C7" s="1814">
        <v>100</v>
      </c>
      <c r="D7" s="1816">
        <f t="shared" si="0"/>
        <v>9</v>
      </c>
      <c r="E7" s="1816">
        <f t="shared" si="1"/>
        <v>9</v>
      </c>
      <c r="F7" s="1816">
        <f t="shared" si="2"/>
        <v>9</v>
      </c>
      <c r="G7" s="1816">
        <f t="shared" si="3"/>
        <v>9</v>
      </c>
      <c r="H7" s="1879"/>
      <c r="I7" s="1818">
        <v>2</v>
      </c>
      <c r="J7" s="1791" t="s">
        <v>3547</v>
      </c>
      <c r="K7" s="1798"/>
      <c r="L7" s="1792"/>
      <c r="M7" s="1806"/>
      <c r="R7" s="3472">
        <v>1</v>
      </c>
      <c r="S7" s="2372">
        <v>0.1</v>
      </c>
      <c r="T7" s="2366">
        <v>0</v>
      </c>
      <c r="U7" s="2366">
        <v>0</v>
      </c>
      <c r="V7" s="2158" t="s">
        <v>5397</v>
      </c>
      <c r="W7" s="3476"/>
    </row>
    <row r="8" spans="1:31" thickBot="1">
      <c r="A8" s="1961">
        <f t="shared" si="4"/>
        <v>112.5</v>
      </c>
      <c r="B8" s="1814">
        <v>100</v>
      </c>
      <c r="C8" s="1814">
        <v>125</v>
      </c>
      <c r="D8" s="1816">
        <f t="shared" si="0"/>
        <v>11</v>
      </c>
      <c r="E8" s="1816">
        <f t="shared" si="1"/>
        <v>11</v>
      </c>
      <c r="F8" s="1816">
        <f t="shared" si="2"/>
        <v>11</v>
      </c>
      <c r="G8" s="1816">
        <f t="shared" si="3"/>
        <v>11</v>
      </c>
      <c r="H8" s="1879"/>
      <c r="I8" s="1818">
        <v>3</v>
      </c>
      <c r="J8" s="1793">
        <v>100000</v>
      </c>
      <c r="K8" s="1798"/>
      <c r="L8" s="1792"/>
      <c r="M8" s="1806"/>
      <c r="R8" s="3472">
        <v>2</v>
      </c>
      <c r="S8" s="2373">
        <v>0.12</v>
      </c>
      <c r="T8" s="2367">
        <v>11000</v>
      </c>
      <c r="U8" s="2367">
        <v>1100</v>
      </c>
      <c r="V8" s="2159" t="str">
        <f t="shared" ref="V8:V13" si="5">"plus "&amp;TEXT(S8,"0%")&amp;" of the excess over "&amp;TEXT(T8,"$0,000")</f>
        <v>plus 12% of the excess over $11,000</v>
      </c>
      <c r="W8" s="3476"/>
    </row>
    <row r="9" spans="1:31" thickBot="1">
      <c r="A9" s="1961">
        <f t="shared" si="4"/>
        <v>137.5</v>
      </c>
      <c r="B9" s="1814">
        <v>125</v>
      </c>
      <c r="C9" s="1814">
        <v>150</v>
      </c>
      <c r="D9" s="1816">
        <f t="shared" si="0"/>
        <v>14</v>
      </c>
      <c r="E9" s="1816">
        <f t="shared" si="1"/>
        <v>14</v>
      </c>
      <c r="F9" s="1816">
        <f t="shared" si="2"/>
        <v>14</v>
      </c>
      <c r="G9" s="1816">
        <f t="shared" si="3"/>
        <v>14</v>
      </c>
      <c r="H9" s="1879"/>
      <c r="I9" s="1818">
        <v>4</v>
      </c>
      <c r="J9" s="1793">
        <f>BOTT_A5</f>
        <v>182100</v>
      </c>
      <c r="K9" s="1798">
        <f>RATE_A4*100</f>
        <v>24</v>
      </c>
      <c r="L9" s="1792">
        <f>P10</f>
        <v>6600</v>
      </c>
      <c r="M9" s="1806"/>
      <c r="N9" s="1995">
        <f>BOTT_A3*RATE_A3</f>
        <v>9839.5</v>
      </c>
      <c r="O9" s="1995">
        <f>BASE_A3</f>
        <v>5147</v>
      </c>
      <c r="P9" s="1995">
        <f>SUM(N9,-O9)</f>
        <v>4692.5</v>
      </c>
      <c r="R9" s="3472">
        <v>3</v>
      </c>
      <c r="S9" s="2372">
        <v>0.22</v>
      </c>
      <c r="T9" s="2366">
        <v>44725</v>
      </c>
      <c r="U9" s="2366">
        <v>5147</v>
      </c>
      <c r="V9" s="2158" t="str">
        <f t="shared" si="5"/>
        <v>plus 22% of the excess over $44,725</v>
      </c>
      <c r="W9" s="3476"/>
    </row>
    <row r="10" spans="1:31" thickBot="1">
      <c r="A10" s="1961">
        <f t="shared" si="4"/>
        <v>162.5</v>
      </c>
      <c r="B10" s="1814">
        <v>150</v>
      </c>
      <c r="C10" s="1814">
        <v>175</v>
      </c>
      <c r="D10" s="1816">
        <f t="shared" si="0"/>
        <v>16</v>
      </c>
      <c r="E10" s="1816">
        <f t="shared" si="1"/>
        <v>16</v>
      </c>
      <c r="F10" s="1816">
        <f t="shared" si="2"/>
        <v>16</v>
      </c>
      <c r="G10" s="1816">
        <f t="shared" si="3"/>
        <v>16</v>
      </c>
      <c r="H10" s="1879"/>
      <c r="I10" s="1818">
        <v>5</v>
      </c>
      <c r="J10" s="1793">
        <f>BOTT_A6</f>
        <v>231250</v>
      </c>
      <c r="K10" s="1798">
        <f>RATE_A5*100</f>
        <v>32</v>
      </c>
      <c r="L10" s="1794">
        <f>P11</f>
        <v>21168</v>
      </c>
      <c r="M10" s="1806"/>
      <c r="N10" s="1995">
        <f>BOTT_A4*RATE_A4</f>
        <v>22890</v>
      </c>
      <c r="O10" s="1995">
        <f>BASE_A4</f>
        <v>16290</v>
      </c>
      <c r="P10" s="1995">
        <f>SUM(N10,-O10)</f>
        <v>6600</v>
      </c>
      <c r="R10" s="3472">
        <v>4</v>
      </c>
      <c r="S10" s="2373">
        <v>0.24</v>
      </c>
      <c r="T10" s="2367">
        <v>95375</v>
      </c>
      <c r="U10" s="2367">
        <v>16290</v>
      </c>
      <c r="V10" s="2159" t="str">
        <f t="shared" si="5"/>
        <v>plus 24% of the excess over $95,375</v>
      </c>
      <c r="W10" s="3476"/>
    </row>
    <row r="11" spans="1:31" thickBot="1">
      <c r="A11" s="1961">
        <f t="shared" si="4"/>
        <v>187.5</v>
      </c>
      <c r="B11" s="1814">
        <v>175</v>
      </c>
      <c r="C11" s="1814">
        <v>200</v>
      </c>
      <c r="D11" s="1816">
        <f t="shared" si="0"/>
        <v>19</v>
      </c>
      <c r="E11" s="1816">
        <f t="shared" si="1"/>
        <v>19</v>
      </c>
      <c r="F11" s="1816">
        <f t="shared" si="2"/>
        <v>19</v>
      </c>
      <c r="G11" s="1816">
        <f t="shared" si="3"/>
        <v>19</v>
      </c>
      <c r="H11" s="1879"/>
      <c r="I11" s="1818">
        <v>6</v>
      </c>
      <c r="J11" s="1793">
        <f>BOTT_A7</f>
        <v>578125</v>
      </c>
      <c r="K11" s="1798">
        <f>RATE_A6*100</f>
        <v>35</v>
      </c>
      <c r="L11" s="1792">
        <f>P12</f>
        <v>28105.5</v>
      </c>
      <c r="M11" s="1806"/>
      <c r="N11" s="1995">
        <f>BOTT_A5*RATE_A5</f>
        <v>58272</v>
      </c>
      <c r="O11" s="1995">
        <f>BASE_A5</f>
        <v>37104</v>
      </c>
      <c r="P11" s="1995">
        <f>SUM(N11,-O11)</f>
        <v>21168</v>
      </c>
      <c r="R11" s="3472">
        <v>5</v>
      </c>
      <c r="S11" s="2372">
        <v>0.32</v>
      </c>
      <c r="T11" s="2366">
        <v>182100</v>
      </c>
      <c r="U11" s="2366">
        <v>37104</v>
      </c>
      <c r="V11" s="2158" t="str">
        <f t="shared" si="5"/>
        <v>plus 32% of the excess over $182,100</v>
      </c>
      <c r="W11" s="3476"/>
    </row>
    <row r="12" spans="1:31" thickBot="1">
      <c r="A12" s="1961">
        <f t="shared" si="4"/>
        <v>212.5</v>
      </c>
      <c r="B12" s="1814">
        <v>200</v>
      </c>
      <c r="C12" s="1814">
        <v>225</v>
      </c>
      <c r="D12" s="1816">
        <f t="shared" si="0"/>
        <v>21</v>
      </c>
      <c r="E12" s="1816">
        <f t="shared" si="1"/>
        <v>21</v>
      </c>
      <c r="F12" s="1816">
        <f t="shared" si="2"/>
        <v>21</v>
      </c>
      <c r="G12" s="1816">
        <f t="shared" si="3"/>
        <v>21</v>
      </c>
      <c r="H12" s="1879"/>
      <c r="I12" s="1818">
        <v>7</v>
      </c>
      <c r="J12" s="1795"/>
      <c r="K12" s="1799">
        <f>RATE_A7*100</f>
        <v>37</v>
      </c>
      <c r="L12" s="1796">
        <f>P13</f>
        <v>39668</v>
      </c>
      <c r="M12" s="1806"/>
      <c r="N12" s="1995">
        <f>BOTT_A6*RATE_A6</f>
        <v>80937.5</v>
      </c>
      <c r="O12" s="1995">
        <f>BASE_A6</f>
        <v>52832</v>
      </c>
      <c r="P12" s="1995">
        <f>SUM(N12,-O12)</f>
        <v>28105.5</v>
      </c>
      <c r="R12" s="3472">
        <v>6</v>
      </c>
      <c r="S12" s="2373">
        <v>0.35</v>
      </c>
      <c r="T12" s="2367">
        <v>231250</v>
      </c>
      <c r="U12" s="2367">
        <v>52832</v>
      </c>
      <c r="V12" s="2159" t="str">
        <f t="shared" si="5"/>
        <v>plus 35% of the excess over $231,250</v>
      </c>
      <c r="W12" s="3476"/>
    </row>
    <row r="13" spans="1:31" thickBot="1">
      <c r="A13" s="1961">
        <f t="shared" si="4"/>
        <v>237.5</v>
      </c>
      <c r="B13" s="1814">
        <v>225</v>
      </c>
      <c r="C13" s="1814">
        <v>250</v>
      </c>
      <c r="D13" s="1816">
        <f t="shared" si="0"/>
        <v>24</v>
      </c>
      <c r="E13" s="1816">
        <f t="shared" si="1"/>
        <v>24</v>
      </c>
      <c r="F13" s="1816">
        <f t="shared" si="2"/>
        <v>24</v>
      </c>
      <c r="G13" s="1816">
        <f t="shared" si="3"/>
        <v>24</v>
      </c>
      <c r="H13" s="1879"/>
      <c r="I13" s="1819"/>
      <c r="J13" s="1788"/>
      <c r="K13" s="1788"/>
      <c r="L13" s="1788"/>
      <c r="M13" s="1806"/>
      <c r="N13" s="1995">
        <f>BOTT_A7*RATE_A7</f>
        <v>213906.25</v>
      </c>
      <c r="O13" s="1995">
        <f>BASE_A7</f>
        <v>174238.25</v>
      </c>
      <c r="P13" s="1995">
        <f>SUM(N13,-O13)</f>
        <v>39668</v>
      </c>
      <c r="R13" s="3472">
        <v>7</v>
      </c>
      <c r="S13" s="2372">
        <v>0.37</v>
      </c>
      <c r="T13" s="2366">
        <v>578125</v>
      </c>
      <c r="U13" s="2366">
        <v>174238.25</v>
      </c>
      <c r="V13" s="2158" t="str">
        <f t="shared" si="5"/>
        <v>plus 37% of the excess over $578,125</v>
      </c>
      <c r="W13" s="3476"/>
    </row>
    <row r="14" spans="1:31" ht="15.75">
      <c r="A14" s="1961">
        <f t="shared" si="4"/>
        <v>262.5</v>
      </c>
      <c r="B14" s="1814">
        <v>250</v>
      </c>
      <c r="C14" s="1814">
        <v>275</v>
      </c>
      <c r="D14" s="1816">
        <f t="shared" si="0"/>
        <v>26</v>
      </c>
      <c r="E14" s="1816">
        <f t="shared" si="1"/>
        <v>26</v>
      </c>
      <c r="F14" s="1816">
        <f t="shared" si="2"/>
        <v>26</v>
      </c>
      <c r="G14" s="1816">
        <f t="shared" si="3"/>
        <v>26</v>
      </c>
      <c r="H14" s="1879"/>
      <c r="I14" s="1819"/>
      <c r="J14" s="1822" t="s">
        <v>640</v>
      </c>
      <c r="K14" s="1822" t="s">
        <v>644</v>
      </c>
      <c r="L14" s="1822" t="s">
        <v>652</v>
      </c>
      <c r="M14" s="1806"/>
      <c r="R14" s="3472"/>
      <c r="S14" s="3477" t="s">
        <v>5387</v>
      </c>
      <c r="T14" s="3478" t="s">
        <v>5388</v>
      </c>
      <c r="U14" s="3478" t="s">
        <v>5389</v>
      </c>
      <c r="V14" s="3474"/>
      <c r="W14" s="3476"/>
      <c r="Y14" s="10418" t="str">
        <f>TaxYear&amp;" Manual Income Tax Calculator"</f>
        <v>2023 Manual Income Tax Calculator</v>
      </c>
      <c r="Z14" s="10419"/>
      <c r="AA14" s="10419"/>
      <c r="AB14" s="10419"/>
      <c r="AC14" s="10419"/>
      <c r="AD14" s="10419"/>
      <c r="AE14" s="10420"/>
    </row>
    <row r="15" spans="1:31">
      <c r="A15" s="1961">
        <f t="shared" si="4"/>
        <v>287.5</v>
      </c>
      <c r="B15" s="1814">
        <v>275</v>
      </c>
      <c r="C15" s="1814">
        <v>300</v>
      </c>
      <c r="D15" s="1816">
        <f t="shared" si="0"/>
        <v>29</v>
      </c>
      <c r="E15" s="1816">
        <f t="shared" si="1"/>
        <v>29</v>
      </c>
      <c r="F15" s="1816">
        <f t="shared" si="2"/>
        <v>29</v>
      </c>
      <c r="G15" s="1816">
        <f t="shared" si="3"/>
        <v>29</v>
      </c>
      <c r="H15" s="1879"/>
      <c r="I15" s="1819"/>
      <c r="J15" s="3926" t="s">
        <v>3453</v>
      </c>
      <c r="K15" s="1788"/>
      <c r="L15" s="1788"/>
      <c r="M15" s="1806"/>
      <c r="R15" s="3472" t="s">
        <v>548</v>
      </c>
      <c r="S15" s="1715" t="s">
        <v>5398</v>
      </c>
      <c r="T15" s="3474"/>
      <c r="U15" s="3475"/>
      <c r="V15" s="3474"/>
      <c r="W15" s="3476"/>
      <c r="Y15" s="10421"/>
      <c r="Z15" s="10422"/>
      <c r="AA15" s="10422"/>
      <c r="AB15" s="10422"/>
      <c r="AC15" s="10422"/>
      <c r="AD15" s="10422"/>
      <c r="AE15" s="10423"/>
    </row>
    <row r="16" spans="1:31" thickBot="1">
      <c r="A16" s="1961">
        <f t="shared" si="4"/>
        <v>312.5</v>
      </c>
      <c r="B16" s="1814">
        <v>300</v>
      </c>
      <c r="C16" s="1814">
        <v>325</v>
      </c>
      <c r="D16" s="1816">
        <f t="shared" si="0"/>
        <v>31</v>
      </c>
      <c r="E16" s="1816">
        <f t="shared" si="1"/>
        <v>31</v>
      </c>
      <c r="F16" s="1816">
        <f t="shared" si="2"/>
        <v>31</v>
      </c>
      <c r="G16" s="1816">
        <f t="shared" si="3"/>
        <v>31</v>
      </c>
      <c r="H16" s="1879"/>
      <c r="I16" s="1819"/>
      <c r="J16" s="3474" t="s">
        <v>5399</v>
      </c>
      <c r="K16" s="1788"/>
      <c r="L16" s="1788"/>
      <c r="M16" s="1806"/>
      <c r="R16" s="3472"/>
      <c r="S16" s="3463" t="s">
        <v>5393</v>
      </c>
      <c r="T16" s="3463" t="s">
        <v>5394</v>
      </c>
      <c r="U16" s="3479" t="s">
        <v>5395</v>
      </c>
      <c r="V16" s="2157" t="s">
        <v>5396</v>
      </c>
      <c r="W16" s="3476"/>
      <c r="Y16" s="5092"/>
      <c r="Z16" s="5077" t="s">
        <v>5400</v>
      </c>
      <c r="AA16" s="5093"/>
      <c r="AB16" s="5093"/>
      <c r="AC16" s="5093"/>
      <c r="AD16" s="5093"/>
      <c r="AE16" s="5094"/>
    </row>
    <row r="17" spans="1:31" thickBot="1">
      <c r="A17" s="1961">
        <f t="shared" si="4"/>
        <v>337.5</v>
      </c>
      <c r="B17" s="1814">
        <v>325</v>
      </c>
      <c r="C17" s="1814">
        <v>350</v>
      </c>
      <c r="D17" s="1816">
        <f t="shared" si="0"/>
        <v>34</v>
      </c>
      <c r="E17" s="1816">
        <f t="shared" si="1"/>
        <v>34</v>
      </c>
      <c r="F17" s="1816">
        <f t="shared" si="2"/>
        <v>34</v>
      </c>
      <c r="G17" s="1816">
        <f t="shared" si="3"/>
        <v>34</v>
      </c>
      <c r="H17" s="1879"/>
      <c r="I17" s="1818">
        <v>1</v>
      </c>
      <c r="J17" s="1789" t="s">
        <v>5401</v>
      </c>
      <c r="K17" s="1797"/>
      <c r="L17" s="1790"/>
      <c r="M17" s="1806"/>
      <c r="R17" s="3472">
        <v>1</v>
      </c>
      <c r="S17" s="2372">
        <v>0.1</v>
      </c>
      <c r="T17" s="2366">
        <v>0</v>
      </c>
      <c r="U17" s="2366">
        <v>0</v>
      </c>
      <c r="V17" s="2158" t="s">
        <v>5402</v>
      </c>
      <c r="W17" s="3476"/>
      <c r="Y17" s="5095"/>
      <c r="Z17" s="1579" t="s">
        <v>736</v>
      </c>
      <c r="AA17" s="2264" t="s">
        <v>14</v>
      </c>
      <c r="AB17" s="2264" t="s">
        <v>737</v>
      </c>
      <c r="AC17" s="2264" t="s">
        <v>22</v>
      </c>
      <c r="AD17" s="2264" t="s">
        <v>25</v>
      </c>
      <c r="AE17" s="5096"/>
    </row>
    <row r="18" spans="1:31" ht="17.25" thickTop="1" thickBot="1">
      <c r="A18" s="1961">
        <f t="shared" si="4"/>
        <v>362.5</v>
      </c>
      <c r="B18" s="1814">
        <v>350</v>
      </c>
      <c r="C18" s="1814">
        <v>375</v>
      </c>
      <c r="D18" s="1816">
        <f t="shared" si="0"/>
        <v>36</v>
      </c>
      <c r="E18" s="1816">
        <f t="shared" si="1"/>
        <v>36</v>
      </c>
      <c r="F18" s="1816">
        <f t="shared" si="2"/>
        <v>36</v>
      </c>
      <c r="G18" s="1816">
        <f t="shared" si="3"/>
        <v>36</v>
      </c>
      <c r="H18" s="1879"/>
      <c r="I18" s="1818">
        <v>2</v>
      </c>
      <c r="J18" s="1793">
        <v>100000</v>
      </c>
      <c r="K18" s="1798"/>
      <c r="L18" s="1792"/>
      <c r="M18" s="1806"/>
      <c r="R18" s="3472">
        <v>2</v>
      </c>
      <c r="S18" s="2373">
        <v>0.12</v>
      </c>
      <c r="T18" s="2367">
        <v>22000</v>
      </c>
      <c r="U18" s="2367">
        <v>2200</v>
      </c>
      <c r="V18" s="2159" t="str">
        <f t="shared" ref="V18:V23" si="6">"plus "&amp;TEXT(S18,"0%")&amp;" of the excess over "&amp;TEXT(T18,"$0,000")</f>
        <v>plus 12% of the excess over $22,000</v>
      </c>
      <c r="W18" s="3476"/>
      <c r="Y18" s="5095"/>
      <c r="Z18" s="5731">
        <v>87654</v>
      </c>
      <c r="AA18" s="5561">
        <f>LOOKUP(Z18,'Tax Table'!$B$2:$B$2063,'Tax Table'!$D$2:$D$2063)</f>
        <v>14596</v>
      </c>
      <c r="AB18" s="5174">
        <f>LOOKUP(Z18,'Tax Table'!$B$2:$B$2063,'Tax Table'!$E$2:$E$2063)</f>
        <v>10081</v>
      </c>
      <c r="AC18" s="5174">
        <f>LOOKUP(Z18,'Tax Table'!$B$2:$B$2063,'Tax Table'!$F$2:$F$2063)</f>
        <v>14596</v>
      </c>
      <c r="AD18" s="5175">
        <f>LOOKUP(Z18,'Tax Table'!$B$2:$B$2063,'Tax Table'!$G$2:$G$2063)</f>
        <v>12990</v>
      </c>
      <c r="AE18" s="5096"/>
    </row>
    <row r="19" spans="1:31" thickBot="1">
      <c r="A19" s="1961">
        <f t="shared" si="4"/>
        <v>387.5</v>
      </c>
      <c r="B19" s="1814">
        <v>375</v>
      </c>
      <c r="C19" s="1814">
        <v>400</v>
      </c>
      <c r="D19" s="1816">
        <f t="shared" si="0"/>
        <v>39</v>
      </c>
      <c r="E19" s="1816">
        <f t="shared" si="1"/>
        <v>39</v>
      </c>
      <c r="F19" s="1816">
        <f t="shared" si="2"/>
        <v>39</v>
      </c>
      <c r="G19" s="1816">
        <f t="shared" si="3"/>
        <v>39</v>
      </c>
      <c r="H19" s="1879"/>
      <c r="I19" s="1818">
        <v>3</v>
      </c>
      <c r="J19" s="1793">
        <f>BOTT_B4</f>
        <v>190750</v>
      </c>
      <c r="K19" s="1798">
        <f>RATE_B3*100</f>
        <v>22</v>
      </c>
      <c r="L19" s="1792">
        <f>P20</f>
        <v>9385</v>
      </c>
      <c r="M19" s="1806"/>
      <c r="R19" s="3472">
        <v>3</v>
      </c>
      <c r="S19" s="2372">
        <v>0.22</v>
      </c>
      <c r="T19" s="2366">
        <v>89450</v>
      </c>
      <c r="U19" s="2366">
        <v>10294</v>
      </c>
      <c r="V19" s="2158" t="str">
        <f t="shared" si="6"/>
        <v>plus 22% of the excess over $89,450</v>
      </c>
      <c r="W19" s="3476"/>
      <c r="Y19" s="5095"/>
      <c r="Z19" s="2643"/>
      <c r="AA19" s="5177" t="str">
        <f>IF(Z18&lt;SectA_a3,"---",IF(Z18&lt;=SectA_a4,ROUND((Z18*(SectA_b4/100)-SectA_d4),0),IF(Z18&lt;=SectA_a5,ROUND((Z18*(SectA_b5/100)-SectA_d5),0),IF(Z18&lt;=SectA_a6,ROUND((Z18*(SectA_b6/100)-SectA_d6),0),ROUND((Z18*(SectA_b7/100)-SectA_d7),0)))))</f>
        <v>---</v>
      </c>
      <c r="AB19" s="5177" t="str">
        <f>IF(Z18&lt;SectB_a2,"---",IF(Z18&lt;=SectB_a3,ROUND((Z18*(SectB_b3/100)-SectB_d3),0),IF(Z18&lt;=SectB_a4,ROUND((Z18*(SectB_b4/100)-SectB_d4),0),IF(Z18&lt;=SectB_a5,ROUND((Z18*(SectB_b5/100)-SectB_d5),0),IF(Z18&lt;=SectB_a6,ROUND((Z18*(SectB_b6/100)-SectB_d6),0),ROUND((Z18*(SectB_b7/100)-SectB_d7),0))))))</f>
        <v>---</v>
      </c>
      <c r="AC19" s="5177" t="str">
        <f>IF(Z18&lt;SectC_a2,"---",IF(Z18&lt;=SectC_a3,ROUND((Z18*(SectC_b3/100)-SectC_d3),0),IF(Z18&lt;=SectC_a4,ROUND((Z18*(SectC_b4/100)-SectC_d4),0),IF(Z18&lt;=SectC_a5,ROUND((Z18*(SectC_b5/100)-SectC_d5),0),ROUND((Z18*(SectC_b6/100)-SectC_d6),0)))))</f>
        <v>---</v>
      </c>
      <c r="AD19" s="5178" t="str">
        <f>IF(Z18&lt;SectD_a2,"---",IF(Z18&lt;=SectD_a3,ROUND((Z18*(SectD_b3/100)-SectD_d3),0),IF(Z18&lt;=SectD_a4,ROUND((Z18*(SectD_b4/100)-SectD_d4),0),IF(Z18&lt;=SectD_a5,ROUND((Z18*(SectD_b5/100)-SectD_d5),0),IF(Z18&lt;=SectD_a6,ROUND((Z18*(SectD_b6/100)-SectD_d6),0),ROUND((Z18*(SectD_b7/100)-SectD_d7),0))))))</f>
        <v>---</v>
      </c>
      <c r="AE19" s="5096"/>
    </row>
    <row r="20" spans="1:31" thickBot="1">
      <c r="A20" s="1961">
        <f t="shared" si="4"/>
        <v>412.5</v>
      </c>
      <c r="B20" s="1814">
        <v>400</v>
      </c>
      <c r="C20" s="1814">
        <v>425</v>
      </c>
      <c r="D20" s="1816">
        <f t="shared" si="0"/>
        <v>41</v>
      </c>
      <c r="E20" s="1816">
        <f t="shared" si="1"/>
        <v>41</v>
      </c>
      <c r="F20" s="1816">
        <f t="shared" si="2"/>
        <v>41</v>
      </c>
      <c r="G20" s="1816">
        <f t="shared" si="3"/>
        <v>41</v>
      </c>
      <c r="H20" s="1879"/>
      <c r="I20" s="1818">
        <v>4</v>
      </c>
      <c r="J20" s="1793">
        <f>BOTT_B5</f>
        <v>364200</v>
      </c>
      <c r="K20" s="1798">
        <f>RATE_B4*100</f>
        <v>24</v>
      </c>
      <c r="L20" s="1792">
        <f>P21</f>
        <v>13200</v>
      </c>
      <c r="M20" s="1806"/>
      <c r="N20" s="1995">
        <f>BOTT_B3*RATE_B3</f>
        <v>19679</v>
      </c>
      <c r="O20" s="1995">
        <f>BASE_B3</f>
        <v>10294</v>
      </c>
      <c r="P20" s="1995">
        <f>SUM(N20,-O20)</f>
        <v>9385</v>
      </c>
      <c r="R20" s="3472">
        <v>4</v>
      </c>
      <c r="S20" s="2373">
        <v>0.24</v>
      </c>
      <c r="T20" s="2367">
        <v>190750</v>
      </c>
      <c r="U20" s="2367">
        <v>32580</v>
      </c>
      <c r="V20" s="2159" t="str">
        <f t="shared" si="6"/>
        <v>plus 24% of the excess over $190,750</v>
      </c>
      <c r="W20" s="3476"/>
      <c r="Y20" s="5095"/>
      <c r="Z20" s="5179" t="str">
        <f>IF(File_Single&lt;&gt;"",AA18,IF(File_Marr_Joint&lt;&gt;"",AB18,IF(File_Marr_Sep&lt;&gt;"", AC18,IF(File_Head&lt;&gt;"",AD18,IF(File_Qual_Widow&lt;&gt;"",AB18,"Filing status?")))))</f>
        <v>Filing status?</v>
      </c>
      <c r="AA20" s="1585" t="str">
        <f>"&lt;100k"</f>
        <v>&lt;100k</v>
      </c>
      <c r="AB20" s="1585"/>
      <c r="AC20" s="1585"/>
      <c r="AD20" s="5180"/>
      <c r="AE20" s="5096"/>
    </row>
    <row r="21" spans="1:31" thickBot="1">
      <c r="A21" s="1961">
        <f t="shared" si="4"/>
        <v>437.5</v>
      </c>
      <c r="B21" s="1814">
        <v>425</v>
      </c>
      <c r="C21" s="1814">
        <v>450</v>
      </c>
      <c r="D21" s="1816">
        <f t="shared" si="0"/>
        <v>44</v>
      </c>
      <c r="E21" s="1816">
        <f t="shared" si="1"/>
        <v>44</v>
      </c>
      <c r="F21" s="1816">
        <f t="shared" si="2"/>
        <v>44</v>
      </c>
      <c r="G21" s="1816">
        <f t="shared" si="3"/>
        <v>44</v>
      </c>
      <c r="H21" s="1879"/>
      <c r="I21" s="1818">
        <v>5</v>
      </c>
      <c r="J21" s="1793">
        <f>BOTT_B6</f>
        <v>462500</v>
      </c>
      <c r="K21" s="1798">
        <f>RATE_B5*100</f>
        <v>32</v>
      </c>
      <c r="L21" s="1794">
        <f>P22</f>
        <v>42336</v>
      </c>
      <c r="M21" s="1806"/>
      <c r="N21" s="1995">
        <f>BOTT_B4*RATE_B4</f>
        <v>45780</v>
      </c>
      <c r="O21" s="1995">
        <f>BASE_B4</f>
        <v>32580</v>
      </c>
      <c r="P21" s="1995">
        <f>SUM(N21,-O21)</f>
        <v>13200</v>
      </c>
      <c r="R21" s="3472">
        <v>5</v>
      </c>
      <c r="S21" s="2372">
        <v>0.32</v>
      </c>
      <c r="T21" s="2366">
        <v>364200</v>
      </c>
      <c r="U21" s="2366">
        <v>74208</v>
      </c>
      <c r="V21" s="2158" t="str">
        <f t="shared" si="6"/>
        <v>plus 32% of the excess over $364,200</v>
      </c>
      <c r="W21" s="3476"/>
      <c r="Y21" s="5095"/>
      <c r="Z21" s="5181" t="str">
        <f>IF(File_Single&lt;&gt;"",AA19,IF(OR(File_Marr_Joint&lt;&gt;"",File_Qual_Widow&lt;&gt;""),AB19,IF(File_Marr_Sep&lt;&gt;"", AC19,IF(File_Head&lt;&gt;"",AD19,"Filing status?"))))</f>
        <v>Filing status?</v>
      </c>
      <c r="AA21" s="2644" t="str">
        <f>"&gt;=100k"</f>
        <v>&gt;=100k</v>
      </c>
      <c r="AB21" s="2644"/>
      <c r="AC21" s="2644" t="s">
        <v>748</v>
      </c>
      <c r="AD21" s="5182" t="str">
        <f>IF(Z18&gt;100000,Z21,Z20)</f>
        <v>Filing status?</v>
      </c>
      <c r="AE21" s="5096"/>
    </row>
    <row r="22" spans="1:31" thickBot="1">
      <c r="A22" s="1961">
        <f t="shared" si="4"/>
        <v>462.5</v>
      </c>
      <c r="B22" s="1814">
        <v>450</v>
      </c>
      <c r="C22" s="1814">
        <v>475</v>
      </c>
      <c r="D22" s="1816">
        <f t="shared" si="0"/>
        <v>46</v>
      </c>
      <c r="E22" s="1816">
        <f t="shared" si="1"/>
        <v>46</v>
      </c>
      <c r="F22" s="1816">
        <f t="shared" si="2"/>
        <v>46</v>
      </c>
      <c r="G22" s="1816">
        <f t="shared" si="3"/>
        <v>46</v>
      </c>
      <c r="H22" s="1879"/>
      <c r="I22" s="1818">
        <v>6</v>
      </c>
      <c r="J22" s="1793">
        <f>BOTT_B7</f>
        <v>693750</v>
      </c>
      <c r="K22" s="1798">
        <f>RATE_B6*100</f>
        <v>35</v>
      </c>
      <c r="L22" s="1792">
        <f>P23</f>
        <v>56211</v>
      </c>
      <c r="M22" s="1806"/>
      <c r="N22" s="1995">
        <f>BOTT_B5*RATE_B5</f>
        <v>116544</v>
      </c>
      <c r="O22" s="1995">
        <f>BASE_B5</f>
        <v>74208</v>
      </c>
      <c r="P22" s="1995">
        <f>SUM(N22,-O22)</f>
        <v>42336</v>
      </c>
      <c r="R22" s="3472">
        <v>6</v>
      </c>
      <c r="S22" s="2373">
        <v>0.35</v>
      </c>
      <c r="T22" s="2367">
        <v>462500</v>
      </c>
      <c r="U22" s="2367">
        <v>105664</v>
      </c>
      <c r="V22" s="2159" t="str">
        <f t="shared" si="6"/>
        <v>plus 35% of the excess over $462,500</v>
      </c>
      <c r="W22" s="3476"/>
      <c r="Y22" s="5097"/>
      <c r="Z22" s="5098"/>
      <c r="AA22" s="5098"/>
      <c r="AB22" s="5098"/>
      <c r="AC22" s="5098"/>
      <c r="AD22" s="5098"/>
      <c r="AE22" s="5099"/>
    </row>
    <row r="23" spans="1:31" thickBot="1">
      <c r="A23" s="1961">
        <f t="shared" si="4"/>
        <v>487.5</v>
      </c>
      <c r="B23" s="1814">
        <v>475</v>
      </c>
      <c r="C23" s="1814">
        <v>500</v>
      </c>
      <c r="D23" s="1816">
        <f t="shared" si="0"/>
        <v>49</v>
      </c>
      <c r="E23" s="1816">
        <f t="shared" si="1"/>
        <v>49</v>
      </c>
      <c r="F23" s="1816">
        <f t="shared" si="2"/>
        <v>49</v>
      </c>
      <c r="G23" s="1816">
        <f t="shared" si="3"/>
        <v>49</v>
      </c>
      <c r="H23" s="1879"/>
      <c r="I23" s="1818">
        <v>7</v>
      </c>
      <c r="J23" s="1795"/>
      <c r="K23" s="1799">
        <f>RATE_B7*100</f>
        <v>37</v>
      </c>
      <c r="L23" s="1796">
        <f>P24</f>
        <v>70086</v>
      </c>
      <c r="M23" s="1806"/>
      <c r="N23" s="1995">
        <f>BOTT_B6*RATE_B6</f>
        <v>161875</v>
      </c>
      <c r="O23" s="1995">
        <f>BASE_B6</f>
        <v>105664</v>
      </c>
      <c r="P23" s="1995">
        <f>SUM(N23,-O23)</f>
        <v>56211</v>
      </c>
      <c r="R23" s="3472">
        <v>7</v>
      </c>
      <c r="S23" s="2372">
        <v>0.37</v>
      </c>
      <c r="T23" s="2366">
        <v>693750</v>
      </c>
      <c r="U23" s="2366">
        <v>186601.5</v>
      </c>
      <c r="V23" s="2158" t="str">
        <f t="shared" si="6"/>
        <v>plus 37% of the excess over $693,750</v>
      </c>
      <c r="W23" s="3476"/>
    </row>
    <row r="24" spans="1:31" ht="15.75">
      <c r="A24" s="1961">
        <f t="shared" si="4"/>
        <v>512.5</v>
      </c>
      <c r="B24" s="1814">
        <v>500</v>
      </c>
      <c r="C24" s="1814">
        <v>525</v>
      </c>
      <c r="D24" s="1816">
        <f t="shared" si="0"/>
        <v>51</v>
      </c>
      <c r="E24" s="1816">
        <f t="shared" si="1"/>
        <v>51</v>
      </c>
      <c r="F24" s="1816">
        <f t="shared" si="2"/>
        <v>51</v>
      </c>
      <c r="G24" s="1816">
        <f t="shared" si="3"/>
        <v>51</v>
      </c>
      <c r="H24" s="1879"/>
      <c r="I24" s="1819"/>
      <c r="J24" s="1788"/>
      <c r="K24" s="1788"/>
      <c r="L24" s="1798"/>
      <c r="M24" s="1806"/>
      <c r="N24" s="1995">
        <f>BOTT_B7*RATE_B7</f>
        <v>256687.5</v>
      </c>
      <c r="O24" s="1995">
        <f>BASE_B7</f>
        <v>186601.5</v>
      </c>
      <c r="P24" s="1995">
        <f>SUM(N24,-O24)</f>
        <v>70086</v>
      </c>
      <c r="R24" s="3472"/>
      <c r="S24" s="3477" t="s">
        <v>5387</v>
      </c>
      <c r="T24" s="3478" t="s">
        <v>5388</v>
      </c>
      <c r="U24" s="3478" t="s">
        <v>5389</v>
      </c>
      <c r="V24" s="3474"/>
      <c r="W24" s="3476"/>
    </row>
    <row r="25" spans="1:31" ht="15.75">
      <c r="A25" s="1961">
        <f t="shared" si="4"/>
        <v>537.5</v>
      </c>
      <c r="B25" s="1814">
        <v>525</v>
      </c>
      <c r="C25" s="1814">
        <v>550</v>
      </c>
      <c r="D25" s="1816">
        <f t="shared" si="0"/>
        <v>54</v>
      </c>
      <c r="E25" s="1816">
        <f t="shared" si="1"/>
        <v>54</v>
      </c>
      <c r="F25" s="1816">
        <f t="shared" si="2"/>
        <v>54</v>
      </c>
      <c r="G25" s="1816">
        <f t="shared" si="3"/>
        <v>54</v>
      </c>
      <c r="H25" s="1879"/>
      <c r="I25" s="1819"/>
      <c r="J25" s="1822" t="s">
        <v>640</v>
      </c>
      <c r="K25" s="1822" t="s">
        <v>644</v>
      </c>
      <c r="L25" s="1822" t="s">
        <v>652</v>
      </c>
      <c r="M25" s="1806"/>
      <c r="R25" s="3472" t="s">
        <v>550</v>
      </c>
      <c r="S25" s="1715" t="s">
        <v>5403</v>
      </c>
      <c r="T25" s="3474"/>
      <c r="U25" s="3475"/>
      <c r="V25" s="3474"/>
      <c r="W25" s="3476"/>
    </row>
    <row r="26" spans="1:31" ht="17.25" thickBot="1">
      <c r="A26" s="1961">
        <f t="shared" si="4"/>
        <v>562.5</v>
      </c>
      <c r="B26" s="1814">
        <v>550</v>
      </c>
      <c r="C26" s="1814">
        <v>575</v>
      </c>
      <c r="D26" s="1816">
        <f t="shared" si="0"/>
        <v>56</v>
      </c>
      <c r="E26" s="1816">
        <f t="shared" si="1"/>
        <v>56</v>
      </c>
      <c r="F26" s="1816">
        <f t="shared" si="2"/>
        <v>56</v>
      </c>
      <c r="G26" s="1816">
        <f t="shared" si="3"/>
        <v>56</v>
      </c>
      <c r="H26" s="1879"/>
      <c r="I26" s="1819"/>
      <c r="J26" s="3926" t="s">
        <v>5404</v>
      </c>
      <c r="K26" s="1788"/>
      <c r="L26" s="1798"/>
      <c r="M26" s="1806"/>
      <c r="R26" s="3472"/>
      <c r="S26" s="3463" t="s">
        <v>5393</v>
      </c>
      <c r="T26" s="3463" t="s">
        <v>5394</v>
      </c>
      <c r="U26" s="3479" t="s">
        <v>5395</v>
      </c>
      <c r="V26" s="2157" t="s">
        <v>5396</v>
      </c>
      <c r="W26" s="3476"/>
    </row>
    <row r="27" spans="1:31" thickBot="1">
      <c r="A27" s="1961">
        <f t="shared" si="4"/>
        <v>587.5</v>
      </c>
      <c r="B27" s="1814">
        <v>575</v>
      </c>
      <c r="C27" s="1814">
        <v>600</v>
      </c>
      <c r="D27" s="1816">
        <f t="shared" si="0"/>
        <v>59</v>
      </c>
      <c r="E27" s="1816">
        <f t="shared" si="1"/>
        <v>59</v>
      </c>
      <c r="F27" s="1816">
        <f t="shared" si="2"/>
        <v>59</v>
      </c>
      <c r="G27" s="1816">
        <f t="shared" si="3"/>
        <v>59</v>
      </c>
      <c r="H27" s="1879"/>
      <c r="I27" s="1819"/>
      <c r="J27" s="3474" t="s">
        <v>5405</v>
      </c>
      <c r="K27" s="1788"/>
      <c r="L27" s="1807"/>
      <c r="M27" s="1806"/>
      <c r="R27" s="3472">
        <v>1</v>
      </c>
      <c r="S27" s="2372">
        <v>0.1</v>
      </c>
      <c r="T27" s="2366">
        <v>0</v>
      </c>
      <c r="U27" s="2366">
        <v>0</v>
      </c>
      <c r="V27" s="2160" t="s">
        <v>5402</v>
      </c>
      <c r="W27" s="3476"/>
    </row>
    <row r="28" spans="1:31" thickBot="1">
      <c r="A28" s="1961">
        <f t="shared" si="4"/>
        <v>612.5</v>
      </c>
      <c r="B28" s="1814">
        <v>600</v>
      </c>
      <c r="C28" s="1814">
        <v>625</v>
      </c>
      <c r="D28" s="1816">
        <f t="shared" si="0"/>
        <v>61</v>
      </c>
      <c r="E28" s="1816">
        <f t="shared" si="1"/>
        <v>61</v>
      </c>
      <c r="F28" s="1816">
        <f t="shared" si="2"/>
        <v>61</v>
      </c>
      <c r="G28" s="1816">
        <f t="shared" si="3"/>
        <v>61</v>
      </c>
      <c r="H28" s="1879"/>
      <c r="I28" s="1818">
        <v>1</v>
      </c>
      <c r="J28" s="1789" t="s">
        <v>5401</v>
      </c>
      <c r="K28" s="1797"/>
      <c r="L28" s="1790"/>
      <c r="M28" s="1806"/>
      <c r="R28" s="3472">
        <v>2</v>
      </c>
      <c r="S28" s="2373">
        <v>0.12</v>
      </c>
      <c r="T28" s="2367">
        <v>11000</v>
      </c>
      <c r="U28" s="2367">
        <v>1100</v>
      </c>
      <c r="V28" s="2159" t="str">
        <f t="shared" ref="V28:V33" si="7">"plus "&amp;TEXT(S28,"0%")&amp;" of the excess over "&amp;TEXT(T28,"$0,000")</f>
        <v>plus 12% of the excess over $11,000</v>
      </c>
      <c r="W28" s="3476"/>
    </row>
    <row r="29" spans="1:31" thickBot="1">
      <c r="A29" s="1961">
        <f t="shared" si="4"/>
        <v>637.5</v>
      </c>
      <c r="B29" s="1814">
        <v>625</v>
      </c>
      <c r="C29" s="1814">
        <v>650</v>
      </c>
      <c r="D29" s="1816">
        <f t="shared" si="0"/>
        <v>64</v>
      </c>
      <c r="E29" s="1816">
        <f t="shared" si="1"/>
        <v>64</v>
      </c>
      <c r="F29" s="1816">
        <f t="shared" si="2"/>
        <v>64</v>
      </c>
      <c r="G29" s="1816">
        <f t="shared" si="3"/>
        <v>64</v>
      </c>
      <c r="H29" s="1879"/>
      <c r="I29" s="1818">
        <v>2</v>
      </c>
      <c r="J29" s="1793">
        <v>100000</v>
      </c>
      <c r="K29" s="1798"/>
      <c r="L29" s="1792"/>
      <c r="M29" s="1806"/>
      <c r="R29" s="3472">
        <v>3</v>
      </c>
      <c r="S29" s="2372">
        <v>0.22</v>
      </c>
      <c r="T29" s="2366">
        <v>44725</v>
      </c>
      <c r="U29" s="2366">
        <v>5147</v>
      </c>
      <c r="V29" s="2158" t="str">
        <f t="shared" si="7"/>
        <v>plus 22% of the excess over $44,725</v>
      </c>
      <c r="W29" s="3476"/>
    </row>
    <row r="30" spans="1:31" thickBot="1">
      <c r="A30" s="1961">
        <f t="shared" si="4"/>
        <v>662.5</v>
      </c>
      <c r="B30" s="1814">
        <v>650</v>
      </c>
      <c r="C30" s="1814">
        <v>675</v>
      </c>
      <c r="D30" s="1816">
        <f t="shared" si="0"/>
        <v>66</v>
      </c>
      <c r="E30" s="1816">
        <f t="shared" si="1"/>
        <v>66</v>
      </c>
      <c r="F30" s="1816">
        <f t="shared" si="2"/>
        <v>66</v>
      </c>
      <c r="G30" s="1816">
        <f t="shared" si="3"/>
        <v>66</v>
      </c>
      <c r="H30" s="1879"/>
      <c r="I30" s="1818">
        <v>3</v>
      </c>
      <c r="J30" s="1793">
        <f>BOTT_C5</f>
        <v>182100</v>
      </c>
      <c r="K30" s="1798">
        <f>RATE_C4*100</f>
        <v>24</v>
      </c>
      <c r="L30" s="1792">
        <f>P31</f>
        <v>6600</v>
      </c>
      <c r="M30" s="1806"/>
      <c r="R30" s="3472">
        <v>4</v>
      </c>
      <c r="S30" s="2373">
        <v>0.24</v>
      </c>
      <c r="T30" s="2367">
        <v>95375</v>
      </c>
      <c r="U30" s="2367">
        <v>16290</v>
      </c>
      <c r="V30" s="2159" t="str">
        <f t="shared" si="7"/>
        <v>plus 24% of the excess over $95,375</v>
      </c>
      <c r="W30" s="3476"/>
    </row>
    <row r="31" spans="1:31" thickBot="1">
      <c r="A31" s="1961">
        <f t="shared" si="4"/>
        <v>687.5</v>
      </c>
      <c r="B31" s="1814">
        <v>675</v>
      </c>
      <c r="C31" s="1814">
        <v>700</v>
      </c>
      <c r="D31" s="1816">
        <f t="shared" si="0"/>
        <v>69</v>
      </c>
      <c r="E31" s="1816">
        <f t="shared" si="1"/>
        <v>69</v>
      </c>
      <c r="F31" s="1816">
        <f t="shared" si="2"/>
        <v>69</v>
      </c>
      <c r="G31" s="1816">
        <f t="shared" si="3"/>
        <v>69</v>
      </c>
      <c r="H31" s="1879"/>
      <c r="I31" s="1818">
        <v>4</v>
      </c>
      <c r="J31" s="1793">
        <f>BOTT_C6</f>
        <v>231250</v>
      </c>
      <c r="K31" s="1798">
        <f>RATE_C5*100</f>
        <v>32</v>
      </c>
      <c r="L31" s="1794">
        <f>P32</f>
        <v>21168</v>
      </c>
      <c r="M31" s="1806"/>
      <c r="N31" s="1995">
        <f>BOTT_C4*RATE_C4</f>
        <v>22890</v>
      </c>
      <c r="O31" s="1995">
        <f>BASE_C4</f>
        <v>16290</v>
      </c>
      <c r="P31" s="1995">
        <f>SUM(N31,-O31)</f>
        <v>6600</v>
      </c>
      <c r="R31" s="3472">
        <v>5</v>
      </c>
      <c r="S31" s="2372">
        <v>0.32</v>
      </c>
      <c r="T31" s="2366">
        <v>182100</v>
      </c>
      <c r="U31" s="2366">
        <v>37104</v>
      </c>
      <c r="V31" s="2158" t="str">
        <f t="shared" si="7"/>
        <v>plus 32% of the excess over $182,100</v>
      </c>
      <c r="W31" s="3476"/>
    </row>
    <row r="32" spans="1:31" thickBot="1">
      <c r="A32" s="1961">
        <f t="shared" si="4"/>
        <v>712.5</v>
      </c>
      <c r="B32" s="1814">
        <v>700</v>
      </c>
      <c r="C32" s="1814">
        <v>725</v>
      </c>
      <c r="D32" s="1816">
        <f t="shared" si="0"/>
        <v>71</v>
      </c>
      <c r="E32" s="1816">
        <f t="shared" si="1"/>
        <v>71</v>
      </c>
      <c r="F32" s="1816">
        <f t="shared" si="2"/>
        <v>71</v>
      </c>
      <c r="G32" s="1816">
        <f t="shared" si="3"/>
        <v>71</v>
      </c>
      <c r="H32" s="1879"/>
      <c r="I32" s="1818">
        <v>5</v>
      </c>
      <c r="J32" s="1793">
        <f>BOTT_C7</f>
        <v>346875</v>
      </c>
      <c r="K32" s="1798">
        <f>RATE_C6*100</f>
        <v>35</v>
      </c>
      <c r="L32" s="1794">
        <f>P33</f>
        <v>28105.5</v>
      </c>
      <c r="M32" s="1806"/>
      <c r="N32" s="1995">
        <f>BOTT_C5*RATE_C5</f>
        <v>58272</v>
      </c>
      <c r="O32" s="1995">
        <f>BASE_C5</f>
        <v>37104</v>
      </c>
      <c r="P32" s="1995">
        <f>SUM(N32,-O32)</f>
        <v>21168</v>
      </c>
      <c r="R32" s="3472">
        <v>6</v>
      </c>
      <c r="S32" s="2373">
        <v>0.35</v>
      </c>
      <c r="T32" s="2367">
        <v>231250</v>
      </c>
      <c r="U32" s="2367">
        <v>52832</v>
      </c>
      <c r="V32" s="2159" t="str">
        <f t="shared" si="7"/>
        <v>plus 35% of the excess over $231,250</v>
      </c>
      <c r="W32" s="3476"/>
    </row>
    <row r="33" spans="1:23" thickBot="1">
      <c r="A33" s="1961">
        <f t="shared" si="4"/>
        <v>737.5</v>
      </c>
      <c r="B33" s="1814">
        <v>725</v>
      </c>
      <c r="C33" s="1814">
        <v>750</v>
      </c>
      <c r="D33" s="1816">
        <f t="shared" si="0"/>
        <v>74</v>
      </c>
      <c r="E33" s="1816">
        <f t="shared" si="1"/>
        <v>74</v>
      </c>
      <c r="F33" s="1816">
        <f t="shared" si="2"/>
        <v>74</v>
      </c>
      <c r="G33" s="1816">
        <f t="shared" si="3"/>
        <v>74</v>
      </c>
      <c r="H33" s="1879"/>
      <c r="I33" s="1818">
        <v>6</v>
      </c>
      <c r="J33" s="1795"/>
      <c r="K33" s="1799">
        <f>RATE_C7*100</f>
        <v>37</v>
      </c>
      <c r="L33" s="1796">
        <f>P34</f>
        <v>35043</v>
      </c>
      <c r="M33" s="1806"/>
      <c r="N33" s="1995">
        <f>BOTT_C6*RATE_C6</f>
        <v>80937.5</v>
      </c>
      <c r="O33" s="1995">
        <f>BASE_C6</f>
        <v>52832</v>
      </c>
      <c r="P33" s="1995">
        <f>SUM(N33,-O33)</f>
        <v>28105.5</v>
      </c>
      <c r="R33" s="3472">
        <v>7</v>
      </c>
      <c r="S33" s="2372">
        <v>0.37</v>
      </c>
      <c r="T33" s="2366">
        <v>346875</v>
      </c>
      <c r="U33" s="2366">
        <v>93300.75</v>
      </c>
      <c r="V33" s="2158" t="str">
        <f t="shared" si="7"/>
        <v>plus 37% of the excess over $346,875</v>
      </c>
      <c r="W33" s="3476"/>
    </row>
    <row r="34" spans="1:23" ht="15.75">
      <c r="A34" s="1961">
        <f t="shared" si="4"/>
        <v>762.5</v>
      </c>
      <c r="B34" s="1814">
        <v>750</v>
      </c>
      <c r="C34" s="1814">
        <v>775</v>
      </c>
      <c r="D34" s="1816">
        <f t="shared" si="0"/>
        <v>76</v>
      </c>
      <c r="E34" s="1816">
        <f t="shared" si="1"/>
        <v>76</v>
      </c>
      <c r="F34" s="1816">
        <f t="shared" si="2"/>
        <v>76</v>
      </c>
      <c r="G34" s="1816">
        <f t="shared" si="3"/>
        <v>76</v>
      </c>
      <c r="H34" s="1879"/>
      <c r="I34" s="1819"/>
      <c r="J34" s="1800"/>
      <c r="K34" s="1800"/>
      <c r="L34" s="1801"/>
      <c r="M34" s="1806"/>
      <c r="N34" s="1995">
        <f>BOTT_C7*RATE_C7</f>
        <v>128343.75</v>
      </c>
      <c r="O34" s="1995">
        <f>BASE_C7</f>
        <v>93300.75</v>
      </c>
      <c r="P34" s="1995">
        <f>SUM(N34,-O34)</f>
        <v>35043</v>
      </c>
      <c r="R34" s="3472"/>
      <c r="S34" s="3473"/>
      <c r="T34" s="3474"/>
      <c r="U34" s="3475"/>
      <c r="V34" s="3474"/>
      <c r="W34" s="3476"/>
    </row>
    <row r="35" spans="1:23" ht="15.75">
      <c r="A35" s="1961">
        <f t="shared" si="4"/>
        <v>787.5</v>
      </c>
      <c r="B35" s="1814">
        <v>775</v>
      </c>
      <c r="C35" s="1814">
        <v>800</v>
      </c>
      <c r="D35" s="1816">
        <f t="shared" si="0"/>
        <v>79</v>
      </c>
      <c r="E35" s="1816">
        <f t="shared" si="1"/>
        <v>79</v>
      </c>
      <c r="F35" s="1816">
        <f t="shared" si="2"/>
        <v>79</v>
      </c>
      <c r="G35" s="1816">
        <f t="shared" si="3"/>
        <v>79</v>
      </c>
      <c r="H35" s="1879"/>
      <c r="I35" s="1819"/>
      <c r="J35" s="1822" t="s">
        <v>640</v>
      </c>
      <c r="K35" s="1822" t="s">
        <v>644</v>
      </c>
      <c r="L35" s="1822" t="s">
        <v>652</v>
      </c>
      <c r="M35" s="1806"/>
      <c r="R35" s="3472"/>
      <c r="S35" s="3477" t="s">
        <v>5387</v>
      </c>
      <c r="T35" s="3478" t="s">
        <v>5388</v>
      </c>
      <c r="U35" s="3478" t="s">
        <v>5389</v>
      </c>
      <c r="V35" s="3474"/>
      <c r="W35" s="3476"/>
    </row>
    <row r="36" spans="1:23">
      <c r="A36" s="1961">
        <f t="shared" si="4"/>
        <v>812.5</v>
      </c>
      <c r="B36" s="1814">
        <v>800</v>
      </c>
      <c r="C36" s="1814">
        <v>825</v>
      </c>
      <c r="D36" s="1816">
        <f t="shared" si="0"/>
        <v>81</v>
      </c>
      <c r="E36" s="1816">
        <f t="shared" si="1"/>
        <v>81</v>
      </c>
      <c r="F36" s="1816">
        <f t="shared" si="2"/>
        <v>81</v>
      </c>
      <c r="G36" s="1816">
        <f t="shared" si="3"/>
        <v>81</v>
      </c>
      <c r="H36" s="1879"/>
      <c r="I36" s="1819"/>
      <c r="J36" s="3926" t="s">
        <v>5406</v>
      </c>
      <c r="K36" s="1808"/>
      <c r="L36" s="1809"/>
      <c r="M36" s="1806"/>
      <c r="R36" s="3472" t="s">
        <v>553</v>
      </c>
      <c r="S36" s="1715" t="s">
        <v>5407</v>
      </c>
      <c r="T36" s="3474"/>
      <c r="U36" s="3475"/>
      <c r="V36" s="3474"/>
      <c r="W36" s="3476"/>
    </row>
    <row r="37" spans="1:23" thickBot="1">
      <c r="A37" s="1961">
        <f t="shared" si="4"/>
        <v>837.5</v>
      </c>
      <c r="B37" s="1814">
        <v>825</v>
      </c>
      <c r="C37" s="1814">
        <v>850</v>
      </c>
      <c r="D37" s="1816">
        <f t="shared" si="0"/>
        <v>84</v>
      </c>
      <c r="E37" s="1816">
        <f t="shared" si="1"/>
        <v>84</v>
      </c>
      <c r="F37" s="1816">
        <f t="shared" si="2"/>
        <v>84</v>
      </c>
      <c r="G37" s="1816">
        <f t="shared" si="3"/>
        <v>84</v>
      </c>
      <c r="H37" s="1879"/>
      <c r="I37" s="1819"/>
      <c r="J37" s="3474" t="s">
        <v>5408</v>
      </c>
      <c r="K37" s="1808"/>
      <c r="L37" s="1809"/>
      <c r="M37" s="1806"/>
      <c r="R37" s="3472"/>
      <c r="S37" s="3463" t="s">
        <v>5393</v>
      </c>
      <c r="T37" s="3463" t="s">
        <v>5394</v>
      </c>
      <c r="U37" s="3480" t="s">
        <v>5395</v>
      </c>
      <c r="V37" s="3462" t="s">
        <v>5396</v>
      </c>
      <c r="W37" s="3476"/>
    </row>
    <row r="38" spans="1:23" thickBot="1">
      <c r="A38" s="1961">
        <f t="shared" si="4"/>
        <v>862.5</v>
      </c>
      <c r="B38" s="1814">
        <v>850</v>
      </c>
      <c r="C38" s="1814">
        <v>875</v>
      </c>
      <c r="D38" s="1816">
        <f t="shared" si="0"/>
        <v>86</v>
      </c>
      <c r="E38" s="1816">
        <f t="shared" si="1"/>
        <v>86</v>
      </c>
      <c r="F38" s="1816">
        <f t="shared" si="2"/>
        <v>86</v>
      </c>
      <c r="G38" s="1816">
        <f t="shared" si="3"/>
        <v>86</v>
      </c>
      <c r="H38" s="1879"/>
      <c r="I38" s="1818">
        <v>1</v>
      </c>
      <c r="J38" s="1789" t="s">
        <v>5401</v>
      </c>
      <c r="K38" s="1797"/>
      <c r="L38" s="1790"/>
      <c r="M38" s="1806"/>
      <c r="R38" s="3472">
        <v>1</v>
      </c>
      <c r="S38" s="2372">
        <v>0.1</v>
      </c>
      <c r="T38" s="2366">
        <v>0</v>
      </c>
      <c r="U38" s="2366">
        <v>0</v>
      </c>
      <c r="V38" s="2158" t="s">
        <v>5402</v>
      </c>
      <c r="W38" s="3476"/>
    </row>
    <row r="39" spans="1:23" thickBot="1">
      <c r="A39" s="1961">
        <f t="shared" si="4"/>
        <v>887.5</v>
      </c>
      <c r="B39" s="1814">
        <v>875</v>
      </c>
      <c r="C39" s="1814">
        <v>900</v>
      </c>
      <c r="D39" s="1816">
        <f t="shared" si="0"/>
        <v>89</v>
      </c>
      <c r="E39" s="1816">
        <f t="shared" si="1"/>
        <v>89</v>
      </c>
      <c r="F39" s="1816">
        <f t="shared" si="2"/>
        <v>89</v>
      </c>
      <c r="G39" s="1816">
        <f t="shared" si="3"/>
        <v>89</v>
      </c>
      <c r="H39" s="1879"/>
      <c r="I39" s="1818">
        <v>2</v>
      </c>
      <c r="J39" s="1793">
        <v>100000</v>
      </c>
      <c r="K39" s="1798"/>
      <c r="L39" s="1792"/>
      <c r="M39" s="1806"/>
      <c r="R39" s="3472">
        <v>2</v>
      </c>
      <c r="S39" s="2373">
        <v>0.12</v>
      </c>
      <c r="T39" s="2367">
        <v>15700</v>
      </c>
      <c r="U39" s="2367">
        <v>1570</v>
      </c>
      <c r="V39" s="2159" t="str">
        <f t="shared" ref="V39:V44" si="8">"plus "&amp;TEXT(S39,"0%")&amp;" of the excess over "&amp;TEXT(T39,"$0,000")</f>
        <v>plus 12% of the excess over $15,700</v>
      </c>
      <c r="W39" s="3476"/>
    </row>
    <row r="40" spans="1:23" thickBot="1">
      <c r="A40" s="1961">
        <f t="shared" si="4"/>
        <v>912.5</v>
      </c>
      <c r="B40" s="1814">
        <v>900</v>
      </c>
      <c r="C40" s="1814">
        <v>925</v>
      </c>
      <c r="D40" s="1816">
        <f t="shared" si="0"/>
        <v>91</v>
      </c>
      <c r="E40" s="1816">
        <f t="shared" si="1"/>
        <v>91</v>
      </c>
      <c r="F40" s="1816">
        <f t="shared" si="2"/>
        <v>91</v>
      </c>
      <c r="G40" s="1816">
        <f t="shared" si="3"/>
        <v>91</v>
      </c>
      <c r="H40" s="1879"/>
      <c r="I40" s="1818">
        <v>3</v>
      </c>
      <c r="J40" s="1793">
        <f>BOTT_D5</f>
        <v>182100</v>
      </c>
      <c r="K40" s="1798">
        <f>RATE_D4*100</f>
        <v>24</v>
      </c>
      <c r="L40" s="1792">
        <f>P42</f>
        <v>8206</v>
      </c>
      <c r="M40" s="1806"/>
      <c r="R40" s="3472">
        <v>3</v>
      </c>
      <c r="S40" s="2372">
        <v>0.22</v>
      </c>
      <c r="T40" s="2366">
        <v>59850</v>
      </c>
      <c r="U40" s="2366">
        <v>6868</v>
      </c>
      <c r="V40" s="2158" t="str">
        <f t="shared" si="8"/>
        <v>plus 22% of the excess over $59,850</v>
      </c>
      <c r="W40" s="3476"/>
    </row>
    <row r="41" spans="1:23" thickBot="1">
      <c r="A41" s="1961">
        <f t="shared" si="4"/>
        <v>937.5</v>
      </c>
      <c r="B41" s="1814">
        <v>925</v>
      </c>
      <c r="C41" s="1814">
        <v>950</v>
      </c>
      <c r="D41" s="1816">
        <f t="shared" si="0"/>
        <v>94</v>
      </c>
      <c r="E41" s="1816">
        <f t="shared" si="1"/>
        <v>94</v>
      </c>
      <c r="F41" s="1816">
        <f t="shared" si="2"/>
        <v>94</v>
      </c>
      <c r="G41" s="1816">
        <f t="shared" si="3"/>
        <v>94</v>
      </c>
      <c r="H41" s="1879"/>
      <c r="I41" s="1818">
        <v>4</v>
      </c>
      <c r="J41" s="1793">
        <f>BOTT_D5</f>
        <v>182100</v>
      </c>
      <c r="K41" s="1798">
        <f>RATE_D4*100</f>
        <v>24</v>
      </c>
      <c r="L41" s="1792">
        <f>P42</f>
        <v>8206</v>
      </c>
      <c r="M41" s="1806"/>
      <c r="N41" s="1995">
        <f>BOTT_D3*RATE_D3</f>
        <v>13167</v>
      </c>
      <c r="O41" s="1995">
        <f>BASE_D3</f>
        <v>6868</v>
      </c>
      <c r="P41" s="1995">
        <f>SUM(N41,-O41)</f>
        <v>6299</v>
      </c>
      <c r="R41" s="3472">
        <v>4</v>
      </c>
      <c r="S41" s="2373">
        <v>0.24</v>
      </c>
      <c r="T41" s="2367">
        <v>95350</v>
      </c>
      <c r="U41" s="2367">
        <v>14678</v>
      </c>
      <c r="V41" s="2159" t="str">
        <f t="shared" si="8"/>
        <v>plus 24% of the excess over $95,350</v>
      </c>
      <c r="W41" s="3476"/>
    </row>
    <row r="42" spans="1:23" thickBot="1">
      <c r="A42" s="1961">
        <f t="shared" si="4"/>
        <v>962.5</v>
      </c>
      <c r="B42" s="1814">
        <v>950</v>
      </c>
      <c r="C42" s="1814">
        <v>975</v>
      </c>
      <c r="D42" s="1816">
        <f t="shared" si="0"/>
        <v>96</v>
      </c>
      <c r="E42" s="1816">
        <f t="shared" si="1"/>
        <v>96</v>
      </c>
      <c r="F42" s="1816">
        <f t="shared" si="2"/>
        <v>96</v>
      </c>
      <c r="G42" s="1816">
        <f t="shared" si="3"/>
        <v>96</v>
      </c>
      <c r="H42" s="1879"/>
      <c r="I42" s="1818">
        <v>5</v>
      </c>
      <c r="J42" s="1793">
        <f>BOTT_D6</f>
        <v>231250</v>
      </c>
      <c r="K42" s="1798">
        <f>RATE_D5*100</f>
        <v>32</v>
      </c>
      <c r="L42" s="1792">
        <f>P43</f>
        <v>22774</v>
      </c>
      <c r="M42" s="1806"/>
      <c r="N42" s="1995">
        <f>BOTT_D4*RATE_D4</f>
        <v>22884</v>
      </c>
      <c r="O42" s="1995">
        <f>BASE_D4</f>
        <v>14678</v>
      </c>
      <c r="P42" s="1995">
        <f>SUM(N42,-O42)</f>
        <v>8206</v>
      </c>
      <c r="R42" s="3472">
        <v>5</v>
      </c>
      <c r="S42" s="2372">
        <v>0.32</v>
      </c>
      <c r="T42" s="2366">
        <v>182100</v>
      </c>
      <c r="U42" s="2366">
        <v>35498</v>
      </c>
      <c r="V42" s="2158" t="str">
        <f t="shared" si="8"/>
        <v>plus 32% of the excess over $182,100</v>
      </c>
      <c r="W42" s="3476"/>
    </row>
    <row r="43" spans="1:23" thickBot="1">
      <c r="A43" s="1961">
        <f t="shared" si="4"/>
        <v>987.5</v>
      </c>
      <c r="B43" s="1814">
        <v>975</v>
      </c>
      <c r="C43" s="1815">
        <v>1000</v>
      </c>
      <c r="D43" s="1816">
        <f t="shared" si="0"/>
        <v>99</v>
      </c>
      <c r="E43" s="1816">
        <f t="shared" si="1"/>
        <v>99</v>
      </c>
      <c r="F43" s="1816">
        <f t="shared" si="2"/>
        <v>99</v>
      </c>
      <c r="G43" s="1816">
        <f t="shared" si="3"/>
        <v>99</v>
      </c>
      <c r="H43" s="1879"/>
      <c r="I43" s="1818">
        <v>6</v>
      </c>
      <c r="J43" s="1793">
        <f>BOTT_D7</f>
        <v>578100</v>
      </c>
      <c r="K43" s="1798">
        <f>RATE_D6*100</f>
        <v>35</v>
      </c>
      <c r="L43" s="1792">
        <f>P44</f>
        <v>29711.5</v>
      </c>
      <c r="M43" s="1806"/>
      <c r="N43" s="1995">
        <f>BOTT_D5*RATE_D5</f>
        <v>58272</v>
      </c>
      <c r="O43" s="1995">
        <f>BASE_D5</f>
        <v>35498</v>
      </c>
      <c r="P43" s="1995">
        <f>SUM(N43,-O43)</f>
        <v>22774</v>
      </c>
      <c r="R43" s="3472">
        <v>6</v>
      </c>
      <c r="S43" s="2373">
        <v>0.35</v>
      </c>
      <c r="T43" s="2367">
        <v>231250</v>
      </c>
      <c r="U43" s="2367">
        <v>51226</v>
      </c>
      <c r="V43" s="2159" t="str">
        <f t="shared" si="8"/>
        <v>plus 35% of the excess over $231,250</v>
      </c>
      <c r="W43" s="3476"/>
    </row>
    <row r="44" spans="1:23" thickBot="1">
      <c r="A44" s="1961">
        <f t="shared" si="4"/>
        <v>1012.5</v>
      </c>
      <c r="B44" s="1815">
        <v>1000</v>
      </c>
      <c r="C44" s="1815">
        <v>1025</v>
      </c>
      <c r="D44" s="1816">
        <f t="shared" si="0"/>
        <v>101</v>
      </c>
      <c r="E44" s="1816">
        <f t="shared" si="1"/>
        <v>101</v>
      </c>
      <c r="F44" s="1816">
        <f t="shared" si="2"/>
        <v>101</v>
      </c>
      <c r="G44" s="1816">
        <f t="shared" si="3"/>
        <v>101</v>
      </c>
      <c r="H44" s="1879"/>
      <c r="I44" s="1818">
        <v>7</v>
      </c>
      <c r="J44" s="1795"/>
      <c r="K44" s="1799">
        <f>RATE_D7*100</f>
        <v>37</v>
      </c>
      <c r="L44" s="1796">
        <f>P45</f>
        <v>41273.5</v>
      </c>
      <c r="M44" s="1806"/>
      <c r="N44" s="1995">
        <f>BOTT_D6*RATE_D6</f>
        <v>80937.5</v>
      </c>
      <c r="O44" s="1995">
        <f>BASE_D6</f>
        <v>51226</v>
      </c>
      <c r="P44" s="1995">
        <f>SUM(N44,-O44)</f>
        <v>29711.5</v>
      </c>
      <c r="R44" s="3472">
        <v>7</v>
      </c>
      <c r="S44" s="2372">
        <v>0.37</v>
      </c>
      <c r="T44" s="2366">
        <v>578100</v>
      </c>
      <c r="U44" s="2366">
        <v>172623.5</v>
      </c>
      <c r="V44" s="2158" t="str">
        <f t="shared" si="8"/>
        <v>plus 37% of the excess over $578,100</v>
      </c>
      <c r="W44" s="3476"/>
    </row>
    <row r="45" spans="1:23" thickBot="1">
      <c r="A45" s="1961">
        <f t="shared" si="4"/>
        <v>1037.5</v>
      </c>
      <c r="B45" s="1815">
        <v>1025</v>
      </c>
      <c r="C45" s="1815">
        <v>1050</v>
      </c>
      <c r="D45" s="1816">
        <f t="shared" si="0"/>
        <v>104</v>
      </c>
      <c r="E45" s="1816">
        <f t="shared" si="1"/>
        <v>104</v>
      </c>
      <c r="F45" s="1816">
        <f t="shared" si="2"/>
        <v>104</v>
      </c>
      <c r="G45" s="1816">
        <f t="shared" si="3"/>
        <v>104</v>
      </c>
      <c r="H45" s="1879"/>
      <c r="I45" s="1820"/>
      <c r="J45" s="1810"/>
      <c r="K45" s="1810"/>
      <c r="L45" s="1810"/>
      <c r="M45" s="1811"/>
      <c r="N45" s="1995">
        <f>BOTT_D7*RATE_D7</f>
        <v>213897</v>
      </c>
      <c r="O45" s="1995">
        <f>BASE_D7</f>
        <v>172623.5</v>
      </c>
      <c r="P45" s="1995">
        <f>SUM(N45,-O45)</f>
        <v>41273.5</v>
      </c>
      <c r="R45" s="3481"/>
      <c r="S45" s="3482"/>
      <c r="T45" s="3483"/>
      <c r="U45" s="3484"/>
      <c r="V45" s="3483"/>
      <c r="W45" s="3485"/>
    </row>
    <row r="46" spans="1:23" thickTop="1">
      <c r="A46" s="1961">
        <f t="shared" si="4"/>
        <v>1062.5</v>
      </c>
      <c r="B46" s="1815">
        <v>1050</v>
      </c>
      <c r="C46" s="1815">
        <v>1075</v>
      </c>
      <c r="D46" s="1816">
        <f t="shared" si="0"/>
        <v>106</v>
      </c>
      <c r="E46" s="1816">
        <f t="shared" si="1"/>
        <v>106</v>
      </c>
      <c r="F46" s="1816">
        <f t="shared" si="2"/>
        <v>106</v>
      </c>
      <c r="G46" s="1816">
        <f t="shared" si="3"/>
        <v>106</v>
      </c>
      <c r="H46" s="1879"/>
    </row>
    <row r="47" spans="1:23" ht="15.75">
      <c r="A47" s="1961">
        <f t="shared" si="4"/>
        <v>1087.5</v>
      </c>
      <c r="B47" s="1815">
        <v>1075</v>
      </c>
      <c r="C47" s="1815">
        <v>1100</v>
      </c>
      <c r="D47" s="1816">
        <f t="shared" si="0"/>
        <v>109</v>
      </c>
      <c r="E47" s="1816">
        <f t="shared" si="1"/>
        <v>109</v>
      </c>
      <c r="F47" s="1816">
        <f t="shared" si="2"/>
        <v>109</v>
      </c>
      <c r="G47" s="1816">
        <f t="shared" si="3"/>
        <v>109</v>
      </c>
    </row>
    <row r="48" spans="1:23" ht="15.75">
      <c r="A48" s="1961">
        <f t="shared" si="4"/>
        <v>1112.5</v>
      </c>
      <c r="B48" s="1815">
        <v>1100</v>
      </c>
      <c r="C48" s="1815">
        <v>1125</v>
      </c>
      <c r="D48" s="1816">
        <f t="shared" si="0"/>
        <v>111</v>
      </c>
      <c r="E48" s="1816">
        <f t="shared" si="1"/>
        <v>111</v>
      </c>
      <c r="F48" s="1816">
        <f t="shared" si="2"/>
        <v>111</v>
      </c>
      <c r="G48" s="1816">
        <f t="shared" si="3"/>
        <v>111</v>
      </c>
    </row>
    <row r="49" spans="1:7" ht="15.75">
      <c r="A49" s="1961">
        <f t="shared" si="4"/>
        <v>1137.5</v>
      </c>
      <c r="B49" s="1815">
        <v>1125</v>
      </c>
      <c r="C49" s="1815">
        <v>1150</v>
      </c>
      <c r="D49" s="1816">
        <f t="shared" si="0"/>
        <v>114</v>
      </c>
      <c r="E49" s="1816">
        <f t="shared" si="1"/>
        <v>114</v>
      </c>
      <c r="F49" s="1816">
        <f t="shared" si="2"/>
        <v>114</v>
      </c>
      <c r="G49" s="1816">
        <f t="shared" si="3"/>
        <v>114</v>
      </c>
    </row>
    <row r="50" spans="1:7" ht="15.75">
      <c r="A50" s="1961">
        <f t="shared" si="4"/>
        <v>1162.5</v>
      </c>
      <c r="B50" s="1815">
        <v>1150</v>
      </c>
      <c r="C50" s="1815">
        <v>1175</v>
      </c>
      <c r="D50" s="1816">
        <f t="shared" si="0"/>
        <v>116</v>
      </c>
      <c r="E50" s="1816">
        <f t="shared" si="1"/>
        <v>116</v>
      </c>
      <c r="F50" s="1816">
        <f t="shared" si="2"/>
        <v>116</v>
      </c>
      <c r="G50" s="1816">
        <f t="shared" si="3"/>
        <v>116</v>
      </c>
    </row>
    <row r="51" spans="1:7" ht="15.75">
      <c r="A51" s="1961">
        <f t="shared" si="4"/>
        <v>1187.5</v>
      </c>
      <c r="B51" s="1815">
        <v>1175</v>
      </c>
      <c r="C51" s="1815">
        <v>1200</v>
      </c>
      <c r="D51" s="1816">
        <f t="shared" si="0"/>
        <v>119</v>
      </c>
      <c r="E51" s="1816">
        <f t="shared" si="1"/>
        <v>119</v>
      </c>
      <c r="F51" s="1816">
        <f t="shared" si="2"/>
        <v>119</v>
      </c>
      <c r="G51" s="1816">
        <f t="shared" si="3"/>
        <v>119</v>
      </c>
    </row>
    <row r="52" spans="1:7" ht="15.75">
      <c r="A52" s="1961">
        <f t="shared" si="4"/>
        <v>1212.5</v>
      </c>
      <c r="B52" s="1815">
        <v>1200</v>
      </c>
      <c r="C52" s="1815">
        <v>1225</v>
      </c>
      <c r="D52" s="1816">
        <f t="shared" si="0"/>
        <v>121</v>
      </c>
      <c r="E52" s="1816">
        <f t="shared" si="1"/>
        <v>121</v>
      </c>
      <c r="F52" s="1816">
        <f t="shared" si="2"/>
        <v>121</v>
      </c>
      <c r="G52" s="1816">
        <f t="shared" si="3"/>
        <v>121</v>
      </c>
    </row>
    <row r="53" spans="1:7" ht="15.75">
      <c r="A53" s="1961">
        <f t="shared" si="4"/>
        <v>1237.5</v>
      </c>
      <c r="B53" s="1815">
        <v>1225</v>
      </c>
      <c r="C53" s="1815">
        <v>1250</v>
      </c>
      <c r="D53" s="1816">
        <f t="shared" si="0"/>
        <v>124</v>
      </c>
      <c r="E53" s="1816">
        <f t="shared" si="1"/>
        <v>124</v>
      </c>
      <c r="F53" s="1816">
        <f t="shared" si="2"/>
        <v>124</v>
      </c>
      <c r="G53" s="1816">
        <f t="shared" si="3"/>
        <v>124</v>
      </c>
    </row>
    <row r="54" spans="1:7" ht="15.75">
      <c r="A54" s="1961">
        <f t="shared" si="4"/>
        <v>1262.5</v>
      </c>
      <c r="B54" s="1815">
        <v>1250</v>
      </c>
      <c r="C54" s="1815">
        <v>1275</v>
      </c>
      <c r="D54" s="1816">
        <f t="shared" si="0"/>
        <v>126</v>
      </c>
      <c r="E54" s="1816">
        <f t="shared" si="1"/>
        <v>126</v>
      </c>
      <c r="F54" s="1816">
        <f t="shared" si="2"/>
        <v>126</v>
      </c>
      <c r="G54" s="1816">
        <f t="shared" si="3"/>
        <v>126</v>
      </c>
    </row>
    <row r="55" spans="1:7" ht="15.75">
      <c r="A55" s="1961">
        <f t="shared" si="4"/>
        <v>1287.5</v>
      </c>
      <c r="B55" s="1815">
        <v>1275</v>
      </c>
      <c r="C55" s="1815">
        <v>1300</v>
      </c>
      <c r="D55" s="1816">
        <f t="shared" si="0"/>
        <v>129</v>
      </c>
      <c r="E55" s="1816">
        <f t="shared" si="1"/>
        <v>129</v>
      </c>
      <c r="F55" s="1816">
        <f t="shared" si="2"/>
        <v>129</v>
      </c>
      <c r="G55" s="1816">
        <f t="shared" si="3"/>
        <v>129</v>
      </c>
    </row>
    <row r="56" spans="1:7" ht="15.75">
      <c r="A56" s="1961">
        <f t="shared" si="4"/>
        <v>1312.5</v>
      </c>
      <c r="B56" s="1815">
        <v>1300</v>
      </c>
      <c r="C56" s="1815">
        <v>1325</v>
      </c>
      <c r="D56" s="1816">
        <f t="shared" si="0"/>
        <v>131</v>
      </c>
      <c r="E56" s="1816">
        <f t="shared" si="1"/>
        <v>131</v>
      </c>
      <c r="F56" s="1816">
        <f t="shared" si="2"/>
        <v>131</v>
      </c>
      <c r="G56" s="1816">
        <f t="shared" si="3"/>
        <v>131</v>
      </c>
    </row>
    <row r="57" spans="1:7" ht="15.75">
      <c r="A57" s="1961">
        <f t="shared" si="4"/>
        <v>1337.5</v>
      </c>
      <c r="B57" s="1815">
        <v>1325</v>
      </c>
      <c r="C57" s="1815">
        <v>1350</v>
      </c>
      <c r="D57" s="1816">
        <f t="shared" si="0"/>
        <v>134</v>
      </c>
      <c r="E57" s="1816">
        <f t="shared" si="1"/>
        <v>134</v>
      </c>
      <c r="F57" s="1816">
        <f t="shared" si="2"/>
        <v>134</v>
      </c>
      <c r="G57" s="1816">
        <f t="shared" si="3"/>
        <v>134</v>
      </c>
    </row>
    <row r="58" spans="1:7" ht="15.75">
      <c r="A58" s="1961">
        <f t="shared" si="4"/>
        <v>1362.5</v>
      </c>
      <c r="B58" s="1815">
        <v>1350</v>
      </c>
      <c r="C58" s="1815">
        <v>1375</v>
      </c>
      <c r="D58" s="1816">
        <f t="shared" si="0"/>
        <v>136</v>
      </c>
      <c r="E58" s="1816">
        <f t="shared" si="1"/>
        <v>136</v>
      </c>
      <c r="F58" s="1816">
        <f t="shared" si="2"/>
        <v>136</v>
      </c>
      <c r="G58" s="1816">
        <f t="shared" si="3"/>
        <v>136</v>
      </c>
    </row>
    <row r="59" spans="1:7" ht="15.75">
      <c r="A59" s="1961">
        <f t="shared" si="4"/>
        <v>1387.5</v>
      </c>
      <c r="B59" s="1815">
        <v>1375</v>
      </c>
      <c r="C59" s="1815">
        <v>1400</v>
      </c>
      <c r="D59" s="1816">
        <f t="shared" si="0"/>
        <v>139</v>
      </c>
      <c r="E59" s="1816">
        <f t="shared" si="1"/>
        <v>139</v>
      </c>
      <c r="F59" s="1816">
        <f t="shared" si="2"/>
        <v>139</v>
      </c>
      <c r="G59" s="1816">
        <f t="shared" si="3"/>
        <v>139</v>
      </c>
    </row>
    <row r="60" spans="1:7" ht="15.75">
      <c r="A60" s="1961">
        <f t="shared" si="4"/>
        <v>1412.5</v>
      </c>
      <c r="B60" s="1815">
        <v>1400</v>
      </c>
      <c r="C60" s="1815">
        <v>1425</v>
      </c>
      <c r="D60" s="1816">
        <f t="shared" si="0"/>
        <v>141</v>
      </c>
      <c r="E60" s="1816">
        <f t="shared" si="1"/>
        <v>141</v>
      </c>
      <c r="F60" s="1816">
        <f t="shared" si="2"/>
        <v>141</v>
      </c>
      <c r="G60" s="1816">
        <f t="shared" si="3"/>
        <v>141</v>
      </c>
    </row>
    <row r="61" spans="1:7" ht="15.75">
      <c r="A61" s="1961">
        <f t="shared" si="4"/>
        <v>1437.5</v>
      </c>
      <c r="B61" s="1815">
        <v>1425</v>
      </c>
      <c r="C61" s="1815">
        <v>1450</v>
      </c>
      <c r="D61" s="1816">
        <f t="shared" si="0"/>
        <v>144</v>
      </c>
      <c r="E61" s="1816">
        <f t="shared" si="1"/>
        <v>144</v>
      </c>
      <c r="F61" s="1816">
        <f t="shared" si="2"/>
        <v>144</v>
      </c>
      <c r="G61" s="1816">
        <f t="shared" si="3"/>
        <v>144</v>
      </c>
    </row>
    <row r="62" spans="1:7" ht="15.75">
      <c r="A62" s="1961">
        <f t="shared" si="4"/>
        <v>1462.5</v>
      </c>
      <c r="B62" s="1815">
        <v>1450</v>
      </c>
      <c r="C62" s="1815">
        <v>1475</v>
      </c>
      <c r="D62" s="1816">
        <f t="shared" si="0"/>
        <v>146</v>
      </c>
      <c r="E62" s="1816">
        <f t="shared" si="1"/>
        <v>146</v>
      </c>
      <c r="F62" s="1816">
        <f t="shared" si="2"/>
        <v>146</v>
      </c>
      <c r="G62" s="1816">
        <f t="shared" si="3"/>
        <v>146</v>
      </c>
    </row>
    <row r="63" spans="1:7" ht="15.75">
      <c r="A63" s="1961">
        <f t="shared" si="4"/>
        <v>1487.5</v>
      </c>
      <c r="B63" s="1815">
        <v>1475</v>
      </c>
      <c r="C63" s="1815">
        <v>1500</v>
      </c>
      <c r="D63" s="1816">
        <f t="shared" si="0"/>
        <v>149</v>
      </c>
      <c r="E63" s="1816">
        <f t="shared" si="1"/>
        <v>149</v>
      </c>
      <c r="F63" s="1816">
        <f t="shared" si="2"/>
        <v>149</v>
      </c>
      <c r="G63" s="1816">
        <f t="shared" si="3"/>
        <v>149</v>
      </c>
    </row>
    <row r="64" spans="1:7" ht="15.75">
      <c r="A64" s="1961">
        <f t="shared" si="4"/>
        <v>1512.5</v>
      </c>
      <c r="B64" s="1815">
        <v>1500</v>
      </c>
      <c r="C64" s="1815">
        <v>1525</v>
      </c>
      <c r="D64" s="1816">
        <f t="shared" si="0"/>
        <v>151</v>
      </c>
      <c r="E64" s="1816">
        <f t="shared" si="1"/>
        <v>151</v>
      </c>
      <c r="F64" s="1816">
        <f t="shared" si="2"/>
        <v>151</v>
      </c>
      <c r="G64" s="1816">
        <f t="shared" si="3"/>
        <v>151</v>
      </c>
    </row>
    <row r="65" spans="1:7" ht="15.75">
      <c r="A65" s="1961">
        <f t="shared" si="4"/>
        <v>1537.5</v>
      </c>
      <c r="B65" s="1815">
        <v>1525</v>
      </c>
      <c r="C65" s="1815">
        <v>1550</v>
      </c>
      <c r="D65" s="1816">
        <f t="shared" si="0"/>
        <v>154</v>
      </c>
      <c r="E65" s="1816">
        <f t="shared" si="1"/>
        <v>154</v>
      </c>
      <c r="F65" s="1816">
        <f t="shared" si="2"/>
        <v>154</v>
      </c>
      <c r="G65" s="1816">
        <f t="shared" si="3"/>
        <v>154</v>
      </c>
    </row>
    <row r="66" spans="1:7" ht="15.75">
      <c r="A66" s="1961">
        <f t="shared" si="4"/>
        <v>1562.5</v>
      </c>
      <c r="B66" s="1815">
        <v>1550</v>
      </c>
      <c r="C66" s="1815">
        <v>1575</v>
      </c>
      <c r="D66" s="1816">
        <f t="shared" ref="D66:D129" si="9">IF($A66&gt;BOTT_A4,ROUND(BASE_A4+RATE_A4*($A66-BOTT_A4),0),IF($A66&gt;BOTT_A3,ROUND(BASE_A3+RATE_A3*($A66-BOTT_A3),0),IF($A66&gt;BOTT_A2,ROUND(BASE_A2+RATE_A2*($A66-BOTT_A2),0),ROUND(RATE_A1*$A66,0))))</f>
        <v>156</v>
      </c>
      <c r="E66" s="1816">
        <f t="shared" ref="E66:E129" si="10">IF($A66&gt;BOTT_B4,ROUND(BASE_B4+RATE_B4*($A66-BOTT_B4),0),IF($A66&gt;BOTT_B3,ROUND(BASE_B3+RATE_B3*($A66-BOTT_B3),0),IF($A66&gt;BOTT_B2,ROUND(BASE_B2+RATE_B2*($A66-BOTT_B2),0),ROUND(RATE_B1*$A66,0))))</f>
        <v>156</v>
      </c>
      <c r="F66" s="1816">
        <f t="shared" ref="F66:F129" si="11">IF($A66&gt;BOTT_C4,ROUND(BASE_C4+RATE_C4*($A66-BOTT_C4),0),IF($A66&gt;BOTT_C3,ROUND(BASE_C3+RATE_C3*($A66-BOTT_C3),0),IF($A66&gt;BOTT_C2,ROUND(BASE_C2+RATE_C2*($A66-BOTT_C2),0),ROUND(RATE_C1*$A66,0))))</f>
        <v>156</v>
      </c>
      <c r="G66" s="1816">
        <f t="shared" ref="G66:G129" si="12">IF($A66&gt;BOTT_D4,ROUND(BASE_D4+RATE_D4*($A66-BOTT_D4),0),IF($A66&gt;BOTT_D3,ROUND(BASE_D3+RATE_D3*($A66-BOTT_D3),0),IF($A66&gt;BOTT_D2,ROUND(BASE_D2+RATE_D2*($A66-BOTT_D2),0),ROUND(RATE_D1*$A66,0))))</f>
        <v>156</v>
      </c>
    </row>
    <row r="67" spans="1:7" ht="15.75">
      <c r="A67" s="1961">
        <f t="shared" ref="A67:A130" si="13">AVERAGE(B67,C67)</f>
        <v>1587.5</v>
      </c>
      <c r="B67" s="1815">
        <v>1575</v>
      </c>
      <c r="C67" s="1815">
        <v>1600</v>
      </c>
      <c r="D67" s="1816">
        <f t="shared" si="9"/>
        <v>159</v>
      </c>
      <c r="E67" s="1816">
        <f t="shared" si="10"/>
        <v>159</v>
      </c>
      <c r="F67" s="1816">
        <f t="shared" si="11"/>
        <v>159</v>
      </c>
      <c r="G67" s="1816">
        <f t="shared" si="12"/>
        <v>159</v>
      </c>
    </row>
    <row r="68" spans="1:7" ht="15.75">
      <c r="A68" s="1961">
        <f t="shared" si="13"/>
        <v>1612.5</v>
      </c>
      <c r="B68" s="1815">
        <v>1600</v>
      </c>
      <c r="C68" s="1815">
        <v>1625</v>
      </c>
      <c r="D68" s="1816">
        <f t="shared" si="9"/>
        <v>161</v>
      </c>
      <c r="E68" s="1816">
        <f t="shared" si="10"/>
        <v>161</v>
      </c>
      <c r="F68" s="1816">
        <f t="shared" si="11"/>
        <v>161</v>
      </c>
      <c r="G68" s="1816">
        <f t="shared" si="12"/>
        <v>161</v>
      </c>
    </row>
    <row r="69" spans="1:7" ht="15.75">
      <c r="A69" s="1961">
        <f t="shared" si="13"/>
        <v>1637.5</v>
      </c>
      <c r="B69" s="1815">
        <v>1625</v>
      </c>
      <c r="C69" s="1815">
        <v>1650</v>
      </c>
      <c r="D69" s="1816">
        <f t="shared" si="9"/>
        <v>164</v>
      </c>
      <c r="E69" s="1816">
        <f t="shared" si="10"/>
        <v>164</v>
      </c>
      <c r="F69" s="1816">
        <f t="shared" si="11"/>
        <v>164</v>
      </c>
      <c r="G69" s="1816">
        <f t="shared" si="12"/>
        <v>164</v>
      </c>
    </row>
    <row r="70" spans="1:7" ht="15.75">
      <c r="A70" s="1961">
        <f t="shared" si="13"/>
        <v>1662.5</v>
      </c>
      <c r="B70" s="1815">
        <v>1650</v>
      </c>
      <c r="C70" s="1815">
        <v>1675</v>
      </c>
      <c r="D70" s="1816">
        <f t="shared" si="9"/>
        <v>166</v>
      </c>
      <c r="E70" s="1816">
        <f t="shared" si="10"/>
        <v>166</v>
      </c>
      <c r="F70" s="1816">
        <f t="shared" si="11"/>
        <v>166</v>
      </c>
      <c r="G70" s="1816">
        <f t="shared" si="12"/>
        <v>166</v>
      </c>
    </row>
    <row r="71" spans="1:7" ht="15.75">
      <c r="A71" s="1961">
        <f t="shared" si="13"/>
        <v>1687.5</v>
      </c>
      <c r="B71" s="1815">
        <v>1675</v>
      </c>
      <c r="C71" s="1815">
        <v>1700</v>
      </c>
      <c r="D71" s="1816">
        <f t="shared" si="9"/>
        <v>169</v>
      </c>
      <c r="E71" s="1816">
        <f t="shared" si="10"/>
        <v>169</v>
      </c>
      <c r="F71" s="1816">
        <f t="shared" si="11"/>
        <v>169</v>
      </c>
      <c r="G71" s="1816">
        <f t="shared" si="12"/>
        <v>169</v>
      </c>
    </row>
    <row r="72" spans="1:7" ht="15.75">
      <c r="A72" s="1961">
        <f t="shared" si="13"/>
        <v>1712.5</v>
      </c>
      <c r="B72" s="1815">
        <v>1700</v>
      </c>
      <c r="C72" s="1815">
        <v>1725</v>
      </c>
      <c r="D72" s="1816">
        <f t="shared" si="9"/>
        <v>171</v>
      </c>
      <c r="E72" s="1816">
        <f t="shared" si="10"/>
        <v>171</v>
      </c>
      <c r="F72" s="1816">
        <f t="shared" si="11"/>
        <v>171</v>
      </c>
      <c r="G72" s="1816">
        <f t="shared" si="12"/>
        <v>171</v>
      </c>
    </row>
    <row r="73" spans="1:7" ht="15.75">
      <c r="A73" s="1961">
        <f t="shared" si="13"/>
        <v>1737.5</v>
      </c>
      <c r="B73" s="1815">
        <v>1725</v>
      </c>
      <c r="C73" s="1815">
        <v>1750</v>
      </c>
      <c r="D73" s="1816">
        <f t="shared" si="9"/>
        <v>174</v>
      </c>
      <c r="E73" s="1816">
        <f t="shared" si="10"/>
        <v>174</v>
      </c>
      <c r="F73" s="1816">
        <f t="shared" si="11"/>
        <v>174</v>
      </c>
      <c r="G73" s="1816">
        <f t="shared" si="12"/>
        <v>174</v>
      </c>
    </row>
    <row r="74" spans="1:7" ht="15.75">
      <c r="A74" s="1961">
        <f t="shared" si="13"/>
        <v>1762.5</v>
      </c>
      <c r="B74" s="1815">
        <v>1750</v>
      </c>
      <c r="C74" s="1815">
        <v>1775</v>
      </c>
      <c r="D74" s="1816">
        <f t="shared" si="9"/>
        <v>176</v>
      </c>
      <c r="E74" s="1816">
        <f t="shared" si="10"/>
        <v>176</v>
      </c>
      <c r="F74" s="1816">
        <f t="shared" si="11"/>
        <v>176</v>
      </c>
      <c r="G74" s="1816">
        <f t="shared" si="12"/>
        <v>176</v>
      </c>
    </row>
    <row r="75" spans="1:7" ht="15.75">
      <c r="A75" s="1961">
        <f t="shared" si="13"/>
        <v>1787.5</v>
      </c>
      <c r="B75" s="1815">
        <v>1775</v>
      </c>
      <c r="C75" s="1815">
        <v>1800</v>
      </c>
      <c r="D75" s="1816">
        <f t="shared" si="9"/>
        <v>179</v>
      </c>
      <c r="E75" s="1816">
        <f t="shared" si="10"/>
        <v>179</v>
      </c>
      <c r="F75" s="1816">
        <f t="shared" si="11"/>
        <v>179</v>
      </c>
      <c r="G75" s="1816">
        <f t="shared" si="12"/>
        <v>179</v>
      </c>
    </row>
    <row r="76" spans="1:7" ht="15.75">
      <c r="A76" s="1961">
        <f t="shared" si="13"/>
        <v>1812.5</v>
      </c>
      <c r="B76" s="1815">
        <v>1800</v>
      </c>
      <c r="C76" s="1815">
        <v>1825</v>
      </c>
      <c r="D76" s="1816">
        <f t="shared" si="9"/>
        <v>181</v>
      </c>
      <c r="E76" s="1816">
        <f t="shared" si="10"/>
        <v>181</v>
      </c>
      <c r="F76" s="1816">
        <f t="shared" si="11"/>
        <v>181</v>
      </c>
      <c r="G76" s="1816">
        <f t="shared" si="12"/>
        <v>181</v>
      </c>
    </row>
    <row r="77" spans="1:7" ht="15.75">
      <c r="A77" s="1961">
        <f t="shared" si="13"/>
        <v>1837.5</v>
      </c>
      <c r="B77" s="1815">
        <v>1825</v>
      </c>
      <c r="C77" s="1815">
        <v>1850</v>
      </c>
      <c r="D77" s="1816">
        <f t="shared" si="9"/>
        <v>184</v>
      </c>
      <c r="E77" s="1816">
        <f t="shared" si="10"/>
        <v>184</v>
      </c>
      <c r="F77" s="1816">
        <f t="shared" si="11"/>
        <v>184</v>
      </c>
      <c r="G77" s="1816">
        <f t="shared" si="12"/>
        <v>184</v>
      </c>
    </row>
    <row r="78" spans="1:7" ht="15.75">
      <c r="A78" s="1961">
        <f t="shared" si="13"/>
        <v>1862.5</v>
      </c>
      <c r="B78" s="1815">
        <v>1850</v>
      </c>
      <c r="C78" s="1815">
        <v>1875</v>
      </c>
      <c r="D78" s="1816">
        <f t="shared" si="9"/>
        <v>186</v>
      </c>
      <c r="E78" s="1816">
        <f t="shared" si="10"/>
        <v>186</v>
      </c>
      <c r="F78" s="1816">
        <f t="shared" si="11"/>
        <v>186</v>
      </c>
      <c r="G78" s="1816">
        <f t="shared" si="12"/>
        <v>186</v>
      </c>
    </row>
    <row r="79" spans="1:7" ht="15.75">
      <c r="A79" s="1961">
        <f t="shared" si="13"/>
        <v>1887.5</v>
      </c>
      <c r="B79" s="1815">
        <v>1875</v>
      </c>
      <c r="C79" s="1815">
        <v>1900</v>
      </c>
      <c r="D79" s="1816">
        <f t="shared" si="9"/>
        <v>189</v>
      </c>
      <c r="E79" s="1816">
        <f t="shared" si="10"/>
        <v>189</v>
      </c>
      <c r="F79" s="1816">
        <f t="shared" si="11"/>
        <v>189</v>
      </c>
      <c r="G79" s="1816">
        <f t="shared" si="12"/>
        <v>189</v>
      </c>
    </row>
    <row r="80" spans="1:7" ht="15.75">
      <c r="A80" s="1961">
        <f t="shared" si="13"/>
        <v>1912.5</v>
      </c>
      <c r="B80" s="1815">
        <v>1900</v>
      </c>
      <c r="C80" s="1815">
        <v>1925</v>
      </c>
      <c r="D80" s="1816">
        <f t="shared" si="9"/>
        <v>191</v>
      </c>
      <c r="E80" s="1816">
        <f t="shared" si="10"/>
        <v>191</v>
      </c>
      <c r="F80" s="1816">
        <f t="shared" si="11"/>
        <v>191</v>
      </c>
      <c r="G80" s="1816">
        <f t="shared" si="12"/>
        <v>191</v>
      </c>
    </row>
    <row r="81" spans="1:7" ht="15.75">
      <c r="A81" s="1961">
        <f t="shared" si="13"/>
        <v>1937.5</v>
      </c>
      <c r="B81" s="1815">
        <v>1925</v>
      </c>
      <c r="C81" s="1815">
        <v>1950</v>
      </c>
      <c r="D81" s="1816">
        <f t="shared" si="9"/>
        <v>194</v>
      </c>
      <c r="E81" s="1816">
        <f t="shared" si="10"/>
        <v>194</v>
      </c>
      <c r="F81" s="1816">
        <f t="shared" si="11"/>
        <v>194</v>
      </c>
      <c r="G81" s="1816">
        <f t="shared" si="12"/>
        <v>194</v>
      </c>
    </row>
    <row r="82" spans="1:7" ht="15.75">
      <c r="A82" s="1961">
        <f t="shared" si="13"/>
        <v>1962.5</v>
      </c>
      <c r="B82" s="1815">
        <v>1950</v>
      </c>
      <c r="C82" s="1815">
        <v>1975</v>
      </c>
      <c r="D82" s="1816">
        <f t="shared" si="9"/>
        <v>196</v>
      </c>
      <c r="E82" s="1816">
        <f t="shared" si="10"/>
        <v>196</v>
      </c>
      <c r="F82" s="1816">
        <f t="shared" si="11"/>
        <v>196</v>
      </c>
      <c r="G82" s="1816">
        <f t="shared" si="12"/>
        <v>196</v>
      </c>
    </row>
    <row r="83" spans="1:7" ht="15.75">
      <c r="A83" s="1961">
        <f t="shared" si="13"/>
        <v>1987.5</v>
      </c>
      <c r="B83" s="1815">
        <v>1975</v>
      </c>
      <c r="C83" s="1815">
        <v>2000</v>
      </c>
      <c r="D83" s="1816">
        <f t="shared" si="9"/>
        <v>199</v>
      </c>
      <c r="E83" s="1816">
        <f t="shared" si="10"/>
        <v>199</v>
      </c>
      <c r="F83" s="1816">
        <f t="shared" si="11"/>
        <v>199</v>
      </c>
      <c r="G83" s="1816">
        <f t="shared" si="12"/>
        <v>199</v>
      </c>
    </row>
    <row r="84" spans="1:7" ht="15.75">
      <c r="A84" s="1961">
        <f t="shared" si="13"/>
        <v>2012.5</v>
      </c>
      <c r="B84" s="1815">
        <v>2000</v>
      </c>
      <c r="C84" s="1815">
        <v>2025</v>
      </c>
      <c r="D84" s="1816">
        <f t="shared" si="9"/>
        <v>201</v>
      </c>
      <c r="E84" s="1816">
        <f t="shared" si="10"/>
        <v>201</v>
      </c>
      <c r="F84" s="1816">
        <f t="shared" si="11"/>
        <v>201</v>
      </c>
      <c r="G84" s="1816">
        <f t="shared" si="12"/>
        <v>201</v>
      </c>
    </row>
    <row r="85" spans="1:7" ht="15.75">
      <c r="A85" s="1961">
        <f t="shared" si="13"/>
        <v>2037.5</v>
      </c>
      <c r="B85" s="1815">
        <v>2025</v>
      </c>
      <c r="C85" s="1815">
        <v>2050</v>
      </c>
      <c r="D85" s="1816">
        <f t="shared" si="9"/>
        <v>204</v>
      </c>
      <c r="E85" s="1816">
        <f t="shared" si="10"/>
        <v>204</v>
      </c>
      <c r="F85" s="1816">
        <f t="shared" si="11"/>
        <v>204</v>
      </c>
      <c r="G85" s="1816">
        <f t="shared" si="12"/>
        <v>204</v>
      </c>
    </row>
    <row r="86" spans="1:7" ht="15.75">
      <c r="A86" s="1961">
        <f t="shared" si="13"/>
        <v>2062.5</v>
      </c>
      <c r="B86" s="1815">
        <v>2050</v>
      </c>
      <c r="C86" s="1815">
        <v>2075</v>
      </c>
      <c r="D86" s="1816">
        <f t="shared" si="9"/>
        <v>206</v>
      </c>
      <c r="E86" s="1816">
        <f t="shared" si="10"/>
        <v>206</v>
      </c>
      <c r="F86" s="1816">
        <f t="shared" si="11"/>
        <v>206</v>
      </c>
      <c r="G86" s="1816">
        <f t="shared" si="12"/>
        <v>206</v>
      </c>
    </row>
    <row r="87" spans="1:7" ht="15.75">
      <c r="A87" s="1961">
        <f t="shared" si="13"/>
        <v>2087.5</v>
      </c>
      <c r="B87" s="1815">
        <v>2075</v>
      </c>
      <c r="C87" s="1815">
        <v>2100</v>
      </c>
      <c r="D87" s="1816">
        <f t="shared" si="9"/>
        <v>209</v>
      </c>
      <c r="E87" s="1816">
        <f t="shared" si="10"/>
        <v>209</v>
      </c>
      <c r="F87" s="1816">
        <f t="shared" si="11"/>
        <v>209</v>
      </c>
      <c r="G87" s="1816">
        <f t="shared" si="12"/>
        <v>209</v>
      </c>
    </row>
    <row r="88" spans="1:7" ht="15.75">
      <c r="A88" s="1961">
        <f t="shared" si="13"/>
        <v>2112.5</v>
      </c>
      <c r="B88" s="1815">
        <v>2100</v>
      </c>
      <c r="C88" s="1815">
        <v>2125</v>
      </c>
      <c r="D88" s="1816">
        <f t="shared" si="9"/>
        <v>211</v>
      </c>
      <c r="E88" s="1816">
        <f t="shared" si="10"/>
        <v>211</v>
      </c>
      <c r="F88" s="1816">
        <f t="shared" si="11"/>
        <v>211</v>
      </c>
      <c r="G88" s="1816">
        <f t="shared" si="12"/>
        <v>211</v>
      </c>
    </row>
    <row r="89" spans="1:7" ht="15.75">
      <c r="A89" s="1961">
        <f t="shared" si="13"/>
        <v>2137.5</v>
      </c>
      <c r="B89" s="1815">
        <v>2125</v>
      </c>
      <c r="C89" s="1815">
        <v>2150</v>
      </c>
      <c r="D89" s="1816">
        <f t="shared" si="9"/>
        <v>214</v>
      </c>
      <c r="E89" s="1816">
        <f t="shared" si="10"/>
        <v>214</v>
      </c>
      <c r="F89" s="1816">
        <f t="shared" si="11"/>
        <v>214</v>
      </c>
      <c r="G89" s="1816">
        <f t="shared" si="12"/>
        <v>214</v>
      </c>
    </row>
    <row r="90" spans="1:7" ht="15.75">
      <c r="A90" s="1961">
        <f t="shared" si="13"/>
        <v>2162.5</v>
      </c>
      <c r="B90" s="1815">
        <v>2150</v>
      </c>
      <c r="C90" s="1815">
        <v>2175</v>
      </c>
      <c r="D90" s="1816">
        <f t="shared" si="9"/>
        <v>216</v>
      </c>
      <c r="E90" s="1816">
        <f t="shared" si="10"/>
        <v>216</v>
      </c>
      <c r="F90" s="1816">
        <f t="shared" si="11"/>
        <v>216</v>
      </c>
      <c r="G90" s="1816">
        <f t="shared" si="12"/>
        <v>216</v>
      </c>
    </row>
    <row r="91" spans="1:7" ht="15.75">
      <c r="A91" s="1961">
        <f t="shared" si="13"/>
        <v>2187.5</v>
      </c>
      <c r="B91" s="1815">
        <v>2175</v>
      </c>
      <c r="C91" s="1815">
        <v>2200</v>
      </c>
      <c r="D91" s="1816">
        <f t="shared" si="9"/>
        <v>219</v>
      </c>
      <c r="E91" s="1816">
        <f t="shared" si="10"/>
        <v>219</v>
      </c>
      <c r="F91" s="1816">
        <f t="shared" si="11"/>
        <v>219</v>
      </c>
      <c r="G91" s="1816">
        <f t="shared" si="12"/>
        <v>219</v>
      </c>
    </row>
    <row r="92" spans="1:7" ht="15.75">
      <c r="A92" s="1961">
        <f t="shared" si="13"/>
        <v>2212.5</v>
      </c>
      <c r="B92" s="1815">
        <v>2200</v>
      </c>
      <c r="C92" s="1815">
        <v>2225</v>
      </c>
      <c r="D92" s="1816">
        <f t="shared" si="9"/>
        <v>221</v>
      </c>
      <c r="E92" s="1816">
        <f t="shared" si="10"/>
        <v>221</v>
      </c>
      <c r="F92" s="1816">
        <f t="shared" si="11"/>
        <v>221</v>
      </c>
      <c r="G92" s="1816">
        <f t="shared" si="12"/>
        <v>221</v>
      </c>
    </row>
    <row r="93" spans="1:7" ht="15.75">
      <c r="A93" s="1961">
        <f t="shared" si="13"/>
        <v>2237.5</v>
      </c>
      <c r="B93" s="1815">
        <v>2225</v>
      </c>
      <c r="C93" s="1815">
        <v>2250</v>
      </c>
      <c r="D93" s="1816">
        <f t="shared" si="9"/>
        <v>224</v>
      </c>
      <c r="E93" s="1816">
        <f t="shared" si="10"/>
        <v>224</v>
      </c>
      <c r="F93" s="1816">
        <f t="shared" si="11"/>
        <v>224</v>
      </c>
      <c r="G93" s="1816">
        <f t="shared" si="12"/>
        <v>224</v>
      </c>
    </row>
    <row r="94" spans="1:7" ht="15.75">
      <c r="A94" s="1961">
        <f t="shared" si="13"/>
        <v>2262.5</v>
      </c>
      <c r="B94" s="1815">
        <v>2250</v>
      </c>
      <c r="C94" s="1815">
        <v>2275</v>
      </c>
      <c r="D94" s="1816">
        <f t="shared" si="9"/>
        <v>226</v>
      </c>
      <c r="E94" s="1816">
        <f t="shared" si="10"/>
        <v>226</v>
      </c>
      <c r="F94" s="1816">
        <f t="shared" si="11"/>
        <v>226</v>
      </c>
      <c r="G94" s="1816">
        <f t="shared" si="12"/>
        <v>226</v>
      </c>
    </row>
    <row r="95" spans="1:7" ht="15.75">
      <c r="A95" s="1961">
        <f t="shared" si="13"/>
        <v>2287.5</v>
      </c>
      <c r="B95" s="1815">
        <v>2275</v>
      </c>
      <c r="C95" s="1815">
        <v>2300</v>
      </c>
      <c r="D95" s="1816">
        <f t="shared" si="9"/>
        <v>229</v>
      </c>
      <c r="E95" s="1816">
        <f t="shared" si="10"/>
        <v>229</v>
      </c>
      <c r="F95" s="1816">
        <f t="shared" si="11"/>
        <v>229</v>
      </c>
      <c r="G95" s="1816">
        <f t="shared" si="12"/>
        <v>229</v>
      </c>
    </row>
    <row r="96" spans="1:7" ht="15.75">
      <c r="A96" s="1961">
        <f t="shared" si="13"/>
        <v>2312.5</v>
      </c>
      <c r="B96" s="1815">
        <v>2300</v>
      </c>
      <c r="C96" s="1815">
        <v>2325</v>
      </c>
      <c r="D96" s="1816">
        <f t="shared" si="9"/>
        <v>231</v>
      </c>
      <c r="E96" s="1816">
        <f t="shared" si="10"/>
        <v>231</v>
      </c>
      <c r="F96" s="1816">
        <f t="shared" si="11"/>
        <v>231</v>
      </c>
      <c r="G96" s="1816">
        <f t="shared" si="12"/>
        <v>231</v>
      </c>
    </row>
    <row r="97" spans="1:7" ht="15.75">
      <c r="A97" s="1961">
        <f t="shared" si="13"/>
        <v>2337.5</v>
      </c>
      <c r="B97" s="1815">
        <v>2325</v>
      </c>
      <c r="C97" s="1815">
        <v>2350</v>
      </c>
      <c r="D97" s="1816">
        <f t="shared" si="9"/>
        <v>234</v>
      </c>
      <c r="E97" s="1816">
        <f t="shared" si="10"/>
        <v>234</v>
      </c>
      <c r="F97" s="1816">
        <f t="shared" si="11"/>
        <v>234</v>
      </c>
      <c r="G97" s="1816">
        <f t="shared" si="12"/>
        <v>234</v>
      </c>
    </row>
    <row r="98" spans="1:7" ht="15.75">
      <c r="A98" s="1961">
        <f t="shared" si="13"/>
        <v>2362.5</v>
      </c>
      <c r="B98" s="1815">
        <v>2350</v>
      </c>
      <c r="C98" s="1815">
        <v>2375</v>
      </c>
      <c r="D98" s="1816">
        <f t="shared" si="9"/>
        <v>236</v>
      </c>
      <c r="E98" s="1816">
        <f t="shared" si="10"/>
        <v>236</v>
      </c>
      <c r="F98" s="1816">
        <f t="shared" si="11"/>
        <v>236</v>
      </c>
      <c r="G98" s="1816">
        <f t="shared" si="12"/>
        <v>236</v>
      </c>
    </row>
    <row r="99" spans="1:7" ht="15.75">
      <c r="A99" s="1961">
        <f t="shared" si="13"/>
        <v>2387.5</v>
      </c>
      <c r="B99" s="1815">
        <v>2375</v>
      </c>
      <c r="C99" s="1815">
        <v>2400</v>
      </c>
      <c r="D99" s="1816">
        <f t="shared" si="9"/>
        <v>239</v>
      </c>
      <c r="E99" s="1816">
        <f t="shared" si="10"/>
        <v>239</v>
      </c>
      <c r="F99" s="1816">
        <f t="shared" si="11"/>
        <v>239</v>
      </c>
      <c r="G99" s="1816">
        <f t="shared" si="12"/>
        <v>239</v>
      </c>
    </row>
    <row r="100" spans="1:7" ht="15.75">
      <c r="A100" s="1961">
        <f t="shared" si="13"/>
        <v>2412.5</v>
      </c>
      <c r="B100" s="1815">
        <v>2400</v>
      </c>
      <c r="C100" s="1815">
        <v>2425</v>
      </c>
      <c r="D100" s="1816">
        <f t="shared" si="9"/>
        <v>241</v>
      </c>
      <c r="E100" s="1816">
        <f t="shared" si="10"/>
        <v>241</v>
      </c>
      <c r="F100" s="1816">
        <f t="shared" si="11"/>
        <v>241</v>
      </c>
      <c r="G100" s="1816">
        <f t="shared" si="12"/>
        <v>241</v>
      </c>
    </row>
    <row r="101" spans="1:7" ht="15.75">
      <c r="A101" s="1961">
        <f t="shared" si="13"/>
        <v>2437.5</v>
      </c>
      <c r="B101" s="1815">
        <v>2425</v>
      </c>
      <c r="C101" s="1815">
        <v>2450</v>
      </c>
      <c r="D101" s="1816">
        <f t="shared" si="9"/>
        <v>244</v>
      </c>
      <c r="E101" s="1816">
        <f t="shared" si="10"/>
        <v>244</v>
      </c>
      <c r="F101" s="1816">
        <f t="shared" si="11"/>
        <v>244</v>
      </c>
      <c r="G101" s="1816">
        <f t="shared" si="12"/>
        <v>244</v>
      </c>
    </row>
    <row r="102" spans="1:7" ht="15.75">
      <c r="A102" s="1961">
        <f t="shared" si="13"/>
        <v>2462.5</v>
      </c>
      <c r="B102" s="1815">
        <v>2450</v>
      </c>
      <c r="C102" s="1815">
        <v>2475</v>
      </c>
      <c r="D102" s="1816">
        <f t="shared" si="9"/>
        <v>246</v>
      </c>
      <c r="E102" s="1816">
        <f t="shared" si="10"/>
        <v>246</v>
      </c>
      <c r="F102" s="1816">
        <f t="shared" si="11"/>
        <v>246</v>
      </c>
      <c r="G102" s="1816">
        <f t="shared" si="12"/>
        <v>246</v>
      </c>
    </row>
    <row r="103" spans="1:7" ht="15.75">
      <c r="A103" s="1961">
        <f t="shared" si="13"/>
        <v>2487.5</v>
      </c>
      <c r="B103" s="1815">
        <v>2475</v>
      </c>
      <c r="C103" s="1815">
        <v>2500</v>
      </c>
      <c r="D103" s="1816">
        <f t="shared" si="9"/>
        <v>249</v>
      </c>
      <c r="E103" s="1816">
        <f t="shared" si="10"/>
        <v>249</v>
      </c>
      <c r="F103" s="1816">
        <f t="shared" si="11"/>
        <v>249</v>
      </c>
      <c r="G103" s="1816">
        <f t="shared" si="12"/>
        <v>249</v>
      </c>
    </row>
    <row r="104" spans="1:7" ht="15.75">
      <c r="A104" s="1961">
        <f t="shared" si="13"/>
        <v>2512.5</v>
      </c>
      <c r="B104" s="1815">
        <v>2500</v>
      </c>
      <c r="C104" s="1815">
        <v>2525</v>
      </c>
      <c r="D104" s="1816">
        <f t="shared" si="9"/>
        <v>251</v>
      </c>
      <c r="E104" s="1816">
        <f t="shared" si="10"/>
        <v>251</v>
      </c>
      <c r="F104" s="1816">
        <f t="shared" si="11"/>
        <v>251</v>
      </c>
      <c r="G104" s="1816">
        <f t="shared" si="12"/>
        <v>251</v>
      </c>
    </row>
    <row r="105" spans="1:7" ht="15.75">
      <c r="A105" s="1961">
        <f t="shared" si="13"/>
        <v>2537.5</v>
      </c>
      <c r="B105" s="1815">
        <v>2525</v>
      </c>
      <c r="C105" s="1815">
        <v>2550</v>
      </c>
      <c r="D105" s="1816">
        <f t="shared" si="9"/>
        <v>254</v>
      </c>
      <c r="E105" s="1816">
        <f t="shared" si="10"/>
        <v>254</v>
      </c>
      <c r="F105" s="1816">
        <f t="shared" si="11"/>
        <v>254</v>
      </c>
      <c r="G105" s="1816">
        <f t="shared" si="12"/>
        <v>254</v>
      </c>
    </row>
    <row r="106" spans="1:7" ht="15.75">
      <c r="A106" s="1961">
        <f t="shared" si="13"/>
        <v>2562.5</v>
      </c>
      <c r="B106" s="1815">
        <v>2550</v>
      </c>
      <c r="C106" s="1815">
        <v>2575</v>
      </c>
      <c r="D106" s="1816">
        <f t="shared" si="9"/>
        <v>256</v>
      </c>
      <c r="E106" s="1816">
        <f t="shared" si="10"/>
        <v>256</v>
      </c>
      <c r="F106" s="1816">
        <f t="shared" si="11"/>
        <v>256</v>
      </c>
      <c r="G106" s="1816">
        <f t="shared" si="12"/>
        <v>256</v>
      </c>
    </row>
    <row r="107" spans="1:7" ht="15.75">
      <c r="A107" s="1961">
        <f t="shared" si="13"/>
        <v>2587.5</v>
      </c>
      <c r="B107" s="1815">
        <v>2575</v>
      </c>
      <c r="C107" s="1815">
        <v>2600</v>
      </c>
      <c r="D107" s="1816">
        <f t="shared" si="9"/>
        <v>259</v>
      </c>
      <c r="E107" s="1816">
        <f t="shared" si="10"/>
        <v>259</v>
      </c>
      <c r="F107" s="1816">
        <f t="shared" si="11"/>
        <v>259</v>
      </c>
      <c r="G107" s="1816">
        <f t="shared" si="12"/>
        <v>259</v>
      </c>
    </row>
    <row r="108" spans="1:7" ht="15.75">
      <c r="A108" s="1961">
        <f t="shared" si="13"/>
        <v>2612.5</v>
      </c>
      <c r="B108" s="1815">
        <v>2600</v>
      </c>
      <c r="C108" s="1815">
        <v>2625</v>
      </c>
      <c r="D108" s="1816">
        <f t="shared" si="9"/>
        <v>261</v>
      </c>
      <c r="E108" s="1816">
        <f t="shared" si="10"/>
        <v>261</v>
      </c>
      <c r="F108" s="1816">
        <f t="shared" si="11"/>
        <v>261</v>
      </c>
      <c r="G108" s="1816">
        <f t="shared" si="12"/>
        <v>261</v>
      </c>
    </row>
    <row r="109" spans="1:7" ht="15.75">
      <c r="A109" s="1961">
        <f t="shared" si="13"/>
        <v>2637.5</v>
      </c>
      <c r="B109" s="1815">
        <v>2625</v>
      </c>
      <c r="C109" s="1815">
        <v>2650</v>
      </c>
      <c r="D109" s="1816">
        <f t="shared" si="9"/>
        <v>264</v>
      </c>
      <c r="E109" s="1816">
        <f t="shared" si="10"/>
        <v>264</v>
      </c>
      <c r="F109" s="1816">
        <f t="shared" si="11"/>
        <v>264</v>
      </c>
      <c r="G109" s="1816">
        <f t="shared" si="12"/>
        <v>264</v>
      </c>
    </row>
    <row r="110" spans="1:7" ht="15.75">
      <c r="A110" s="1961">
        <f t="shared" si="13"/>
        <v>2662.5</v>
      </c>
      <c r="B110" s="1815">
        <v>2650</v>
      </c>
      <c r="C110" s="1815">
        <v>2675</v>
      </c>
      <c r="D110" s="1816">
        <f t="shared" si="9"/>
        <v>266</v>
      </c>
      <c r="E110" s="1816">
        <f t="shared" si="10"/>
        <v>266</v>
      </c>
      <c r="F110" s="1816">
        <f t="shared" si="11"/>
        <v>266</v>
      </c>
      <c r="G110" s="1816">
        <f t="shared" si="12"/>
        <v>266</v>
      </c>
    </row>
    <row r="111" spans="1:7" ht="15.75">
      <c r="A111" s="1961">
        <f t="shared" si="13"/>
        <v>2687.5</v>
      </c>
      <c r="B111" s="1815">
        <v>2675</v>
      </c>
      <c r="C111" s="1815">
        <v>2700</v>
      </c>
      <c r="D111" s="1816">
        <f t="shared" si="9"/>
        <v>269</v>
      </c>
      <c r="E111" s="1816">
        <f t="shared" si="10"/>
        <v>269</v>
      </c>
      <c r="F111" s="1816">
        <f t="shared" si="11"/>
        <v>269</v>
      </c>
      <c r="G111" s="1816">
        <f t="shared" si="12"/>
        <v>269</v>
      </c>
    </row>
    <row r="112" spans="1:7" ht="15.75">
      <c r="A112" s="1961">
        <f t="shared" si="13"/>
        <v>2712.5</v>
      </c>
      <c r="B112" s="1815">
        <v>2700</v>
      </c>
      <c r="C112" s="1815">
        <v>2725</v>
      </c>
      <c r="D112" s="1816">
        <f t="shared" si="9"/>
        <v>271</v>
      </c>
      <c r="E112" s="1816">
        <f t="shared" si="10"/>
        <v>271</v>
      </c>
      <c r="F112" s="1816">
        <f t="shared" si="11"/>
        <v>271</v>
      </c>
      <c r="G112" s="1816">
        <f t="shared" si="12"/>
        <v>271</v>
      </c>
    </row>
    <row r="113" spans="1:7" ht="15.75">
      <c r="A113" s="1961">
        <f t="shared" si="13"/>
        <v>2737.5</v>
      </c>
      <c r="B113" s="1815">
        <v>2725</v>
      </c>
      <c r="C113" s="1815">
        <v>2750</v>
      </c>
      <c r="D113" s="1816">
        <f t="shared" si="9"/>
        <v>274</v>
      </c>
      <c r="E113" s="1816">
        <f t="shared" si="10"/>
        <v>274</v>
      </c>
      <c r="F113" s="1816">
        <f t="shared" si="11"/>
        <v>274</v>
      </c>
      <c r="G113" s="1816">
        <f t="shared" si="12"/>
        <v>274</v>
      </c>
    </row>
    <row r="114" spans="1:7" ht="15.75">
      <c r="A114" s="1961">
        <f t="shared" si="13"/>
        <v>2762.5</v>
      </c>
      <c r="B114" s="1815">
        <v>2750</v>
      </c>
      <c r="C114" s="1815">
        <v>2775</v>
      </c>
      <c r="D114" s="1816">
        <f t="shared" si="9"/>
        <v>276</v>
      </c>
      <c r="E114" s="1816">
        <f t="shared" si="10"/>
        <v>276</v>
      </c>
      <c r="F114" s="1816">
        <f t="shared" si="11"/>
        <v>276</v>
      </c>
      <c r="G114" s="1816">
        <f t="shared" si="12"/>
        <v>276</v>
      </c>
    </row>
    <row r="115" spans="1:7" ht="15.75">
      <c r="A115" s="1961">
        <f t="shared" si="13"/>
        <v>2787.5</v>
      </c>
      <c r="B115" s="1815">
        <v>2775</v>
      </c>
      <c r="C115" s="1815">
        <v>2800</v>
      </c>
      <c r="D115" s="1816">
        <f t="shared" si="9"/>
        <v>279</v>
      </c>
      <c r="E115" s="1816">
        <f t="shared" si="10"/>
        <v>279</v>
      </c>
      <c r="F115" s="1816">
        <f t="shared" si="11"/>
        <v>279</v>
      </c>
      <c r="G115" s="1816">
        <f t="shared" si="12"/>
        <v>279</v>
      </c>
    </row>
    <row r="116" spans="1:7" ht="15.75">
      <c r="A116" s="1961">
        <f t="shared" si="13"/>
        <v>2812.5</v>
      </c>
      <c r="B116" s="1815">
        <v>2800</v>
      </c>
      <c r="C116" s="1815">
        <v>2825</v>
      </c>
      <c r="D116" s="1816">
        <f t="shared" si="9"/>
        <v>281</v>
      </c>
      <c r="E116" s="1816">
        <f t="shared" si="10"/>
        <v>281</v>
      </c>
      <c r="F116" s="1816">
        <f t="shared" si="11"/>
        <v>281</v>
      </c>
      <c r="G116" s="1816">
        <f t="shared" si="12"/>
        <v>281</v>
      </c>
    </row>
    <row r="117" spans="1:7" ht="15.75">
      <c r="A117" s="1961">
        <f t="shared" si="13"/>
        <v>2837.5</v>
      </c>
      <c r="B117" s="1815">
        <v>2825</v>
      </c>
      <c r="C117" s="1815">
        <v>2850</v>
      </c>
      <c r="D117" s="1816">
        <f t="shared" si="9"/>
        <v>284</v>
      </c>
      <c r="E117" s="1816">
        <f t="shared" si="10"/>
        <v>284</v>
      </c>
      <c r="F117" s="1816">
        <f t="shared" si="11"/>
        <v>284</v>
      </c>
      <c r="G117" s="1816">
        <f t="shared" si="12"/>
        <v>284</v>
      </c>
    </row>
    <row r="118" spans="1:7" ht="15.75">
      <c r="A118" s="1961">
        <f t="shared" si="13"/>
        <v>2862.5</v>
      </c>
      <c r="B118" s="1815">
        <v>2850</v>
      </c>
      <c r="C118" s="1815">
        <v>2875</v>
      </c>
      <c r="D118" s="1816">
        <f t="shared" si="9"/>
        <v>286</v>
      </c>
      <c r="E118" s="1816">
        <f t="shared" si="10"/>
        <v>286</v>
      </c>
      <c r="F118" s="1816">
        <f t="shared" si="11"/>
        <v>286</v>
      </c>
      <c r="G118" s="1816">
        <f t="shared" si="12"/>
        <v>286</v>
      </c>
    </row>
    <row r="119" spans="1:7" ht="15.75">
      <c r="A119" s="1961">
        <f t="shared" si="13"/>
        <v>2887.5</v>
      </c>
      <c r="B119" s="1815">
        <v>2875</v>
      </c>
      <c r="C119" s="1815">
        <v>2900</v>
      </c>
      <c r="D119" s="1816">
        <f t="shared" si="9"/>
        <v>289</v>
      </c>
      <c r="E119" s="1816">
        <f t="shared" si="10"/>
        <v>289</v>
      </c>
      <c r="F119" s="1816">
        <f t="shared" si="11"/>
        <v>289</v>
      </c>
      <c r="G119" s="1816">
        <f t="shared" si="12"/>
        <v>289</v>
      </c>
    </row>
    <row r="120" spans="1:7" ht="15.75">
      <c r="A120" s="1961">
        <f t="shared" si="13"/>
        <v>2912.5</v>
      </c>
      <c r="B120" s="1815">
        <v>2900</v>
      </c>
      <c r="C120" s="1815">
        <v>2925</v>
      </c>
      <c r="D120" s="1816">
        <f t="shared" si="9"/>
        <v>291</v>
      </c>
      <c r="E120" s="1816">
        <f t="shared" si="10"/>
        <v>291</v>
      </c>
      <c r="F120" s="1816">
        <f t="shared" si="11"/>
        <v>291</v>
      </c>
      <c r="G120" s="1816">
        <f t="shared" si="12"/>
        <v>291</v>
      </c>
    </row>
    <row r="121" spans="1:7" ht="15.75">
      <c r="A121" s="1961">
        <f t="shared" si="13"/>
        <v>2937.5</v>
      </c>
      <c r="B121" s="1815">
        <v>2925</v>
      </c>
      <c r="C121" s="1815">
        <v>2950</v>
      </c>
      <c r="D121" s="1816">
        <f t="shared" si="9"/>
        <v>294</v>
      </c>
      <c r="E121" s="1816">
        <f t="shared" si="10"/>
        <v>294</v>
      </c>
      <c r="F121" s="1816">
        <f t="shared" si="11"/>
        <v>294</v>
      </c>
      <c r="G121" s="1816">
        <f t="shared" si="12"/>
        <v>294</v>
      </c>
    </row>
    <row r="122" spans="1:7" ht="15.75">
      <c r="A122" s="1961">
        <f t="shared" si="13"/>
        <v>2962.5</v>
      </c>
      <c r="B122" s="1815">
        <v>2950</v>
      </c>
      <c r="C122" s="1815">
        <v>2975</v>
      </c>
      <c r="D122" s="1816">
        <f t="shared" si="9"/>
        <v>296</v>
      </c>
      <c r="E122" s="1816">
        <f t="shared" si="10"/>
        <v>296</v>
      </c>
      <c r="F122" s="1816">
        <f t="shared" si="11"/>
        <v>296</v>
      </c>
      <c r="G122" s="1816">
        <f t="shared" si="12"/>
        <v>296</v>
      </c>
    </row>
    <row r="123" spans="1:7" ht="15.75">
      <c r="A123" s="1961">
        <f t="shared" si="13"/>
        <v>2987.5</v>
      </c>
      <c r="B123" s="1815">
        <v>2975</v>
      </c>
      <c r="C123" s="1815">
        <v>3000</v>
      </c>
      <c r="D123" s="1816">
        <f t="shared" si="9"/>
        <v>299</v>
      </c>
      <c r="E123" s="1816">
        <f t="shared" si="10"/>
        <v>299</v>
      </c>
      <c r="F123" s="1816">
        <f t="shared" si="11"/>
        <v>299</v>
      </c>
      <c r="G123" s="1816">
        <f t="shared" si="12"/>
        <v>299</v>
      </c>
    </row>
    <row r="124" spans="1:7" ht="15.75">
      <c r="A124" s="1961">
        <f t="shared" si="13"/>
        <v>3025</v>
      </c>
      <c r="B124" s="1815">
        <v>3000</v>
      </c>
      <c r="C124" s="1815">
        <v>3050</v>
      </c>
      <c r="D124" s="1816">
        <f t="shared" si="9"/>
        <v>303</v>
      </c>
      <c r="E124" s="1816">
        <f t="shared" si="10"/>
        <v>303</v>
      </c>
      <c r="F124" s="1816">
        <f t="shared" si="11"/>
        <v>303</v>
      </c>
      <c r="G124" s="1816">
        <f t="shared" si="12"/>
        <v>303</v>
      </c>
    </row>
    <row r="125" spans="1:7" ht="15.75">
      <c r="A125" s="1961">
        <f t="shared" si="13"/>
        <v>3075</v>
      </c>
      <c r="B125" s="1815">
        <v>3050</v>
      </c>
      <c r="C125" s="1815">
        <v>3100</v>
      </c>
      <c r="D125" s="1816">
        <f t="shared" si="9"/>
        <v>308</v>
      </c>
      <c r="E125" s="1816">
        <f t="shared" si="10"/>
        <v>308</v>
      </c>
      <c r="F125" s="1816">
        <f t="shared" si="11"/>
        <v>308</v>
      </c>
      <c r="G125" s="1816">
        <f t="shared" si="12"/>
        <v>308</v>
      </c>
    </row>
    <row r="126" spans="1:7" ht="15.75">
      <c r="A126" s="1961">
        <f t="shared" si="13"/>
        <v>3125</v>
      </c>
      <c r="B126" s="1815">
        <v>3100</v>
      </c>
      <c r="C126" s="1815">
        <v>3150</v>
      </c>
      <c r="D126" s="1816">
        <f t="shared" si="9"/>
        <v>313</v>
      </c>
      <c r="E126" s="1816">
        <f t="shared" si="10"/>
        <v>313</v>
      </c>
      <c r="F126" s="1816">
        <f t="shared" si="11"/>
        <v>313</v>
      </c>
      <c r="G126" s="1816">
        <f t="shared" si="12"/>
        <v>313</v>
      </c>
    </row>
    <row r="127" spans="1:7" ht="15.75">
      <c r="A127" s="1961">
        <f t="shared" si="13"/>
        <v>3175</v>
      </c>
      <c r="B127" s="1815">
        <v>3150</v>
      </c>
      <c r="C127" s="1815">
        <v>3200</v>
      </c>
      <c r="D127" s="1816">
        <f t="shared" si="9"/>
        <v>318</v>
      </c>
      <c r="E127" s="1816">
        <f t="shared" si="10"/>
        <v>318</v>
      </c>
      <c r="F127" s="1816">
        <f t="shared" si="11"/>
        <v>318</v>
      </c>
      <c r="G127" s="1816">
        <f t="shared" si="12"/>
        <v>318</v>
      </c>
    </row>
    <row r="128" spans="1:7" ht="15.75">
      <c r="A128" s="1961">
        <f t="shared" si="13"/>
        <v>3225</v>
      </c>
      <c r="B128" s="1815">
        <v>3200</v>
      </c>
      <c r="C128" s="1815">
        <v>3250</v>
      </c>
      <c r="D128" s="1816">
        <f t="shared" si="9"/>
        <v>323</v>
      </c>
      <c r="E128" s="1816">
        <f t="shared" si="10"/>
        <v>323</v>
      </c>
      <c r="F128" s="1816">
        <f t="shared" si="11"/>
        <v>323</v>
      </c>
      <c r="G128" s="1816">
        <f t="shared" si="12"/>
        <v>323</v>
      </c>
    </row>
    <row r="129" spans="1:7" ht="15.75">
      <c r="A129" s="1961">
        <f t="shared" si="13"/>
        <v>3275</v>
      </c>
      <c r="B129" s="1815">
        <v>3250</v>
      </c>
      <c r="C129" s="1815">
        <v>3300</v>
      </c>
      <c r="D129" s="1816">
        <f t="shared" si="9"/>
        <v>328</v>
      </c>
      <c r="E129" s="1816">
        <f t="shared" si="10"/>
        <v>328</v>
      </c>
      <c r="F129" s="1816">
        <f t="shared" si="11"/>
        <v>328</v>
      </c>
      <c r="G129" s="1816">
        <f t="shared" si="12"/>
        <v>328</v>
      </c>
    </row>
    <row r="130" spans="1:7" ht="15.75">
      <c r="A130" s="1961">
        <f t="shared" si="13"/>
        <v>3325</v>
      </c>
      <c r="B130" s="1815">
        <v>3300</v>
      </c>
      <c r="C130" s="1815">
        <v>3350</v>
      </c>
      <c r="D130" s="1816">
        <f t="shared" ref="D130:D193" si="14">IF($A130&gt;BOTT_A4,ROUND(BASE_A4+RATE_A4*($A130-BOTT_A4),0),IF($A130&gt;BOTT_A3,ROUND(BASE_A3+RATE_A3*($A130-BOTT_A3),0),IF($A130&gt;BOTT_A2,ROUND(BASE_A2+RATE_A2*($A130-BOTT_A2),0),ROUND(RATE_A1*$A130,0))))</f>
        <v>333</v>
      </c>
      <c r="E130" s="1816">
        <f t="shared" ref="E130:E193" si="15">IF($A130&gt;BOTT_B4,ROUND(BASE_B4+RATE_B4*($A130-BOTT_B4),0),IF($A130&gt;BOTT_B3,ROUND(BASE_B3+RATE_B3*($A130-BOTT_B3),0),IF($A130&gt;BOTT_B2,ROUND(BASE_B2+RATE_B2*($A130-BOTT_B2),0),ROUND(RATE_B1*$A130,0))))</f>
        <v>333</v>
      </c>
      <c r="F130" s="1816">
        <f t="shared" ref="F130:F193" si="16">IF($A130&gt;BOTT_C4,ROUND(BASE_C4+RATE_C4*($A130-BOTT_C4),0),IF($A130&gt;BOTT_C3,ROUND(BASE_C3+RATE_C3*($A130-BOTT_C3),0),IF($A130&gt;BOTT_C2,ROUND(BASE_C2+RATE_C2*($A130-BOTT_C2),0),ROUND(RATE_C1*$A130,0))))</f>
        <v>333</v>
      </c>
      <c r="G130" s="1816">
        <f t="shared" ref="G130:G193" si="17">IF($A130&gt;BOTT_D4,ROUND(BASE_D4+RATE_D4*($A130-BOTT_D4),0),IF($A130&gt;BOTT_D3,ROUND(BASE_D3+RATE_D3*($A130-BOTT_D3),0),IF($A130&gt;BOTT_D2,ROUND(BASE_D2+RATE_D2*($A130-BOTT_D2),0),ROUND(RATE_D1*$A130,0))))</f>
        <v>333</v>
      </c>
    </row>
    <row r="131" spans="1:7" ht="15.75">
      <c r="A131" s="1961">
        <f t="shared" ref="A131:A194" si="18">AVERAGE(B131,C131)</f>
        <v>3375</v>
      </c>
      <c r="B131" s="1815">
        <v>3350</v>
      </c>
      <c r="C131" s="1815">
        <v>3400</v>
      </c>
      <c r="D131" s="1816">
        <f t="shared" si="14"/>
        <v>338</v>
      </c>
      <c r="E131" s="1816">
        <f t="shared" si="15"/>
        <v>338</v>
      </c>
      <c r="F131" s="1816">
        <f t="shared" si="16"/>
        <v>338</v>
      </c>
      <c r="G131" s="1816">
        <f t="shared" si="17"/>
        <v>338</v>
      </c>
    </row>
    <row r="132" spans="1:7" ht="15.75">
      <c r="A132" s="1961">
        <f t="shared" si="18"/>
        <v>3425</v>
      </c>
      <c r="B132" s="1815">
        <v>3400</v>
      </c>
      <c r="C132" s="1815">
        <v>3450</v>
      </c>
      <c r="D132" s="1816">
        <f t="shared" si="14"/>
        <v>343</v>
      </c>
      <c r="E132" s="1816">
        <f t="shared" si="15"/>
        <v>343</v>
      </c>
      <c r="F132" s="1816">
        <f t="shared" si="16"/>
        <v>343</v>
      </c>
      <c r="G132" s="1816">
        <f t="shared" si="17"/>
        <v>343</v>
      </c>
    </row>
    <row r="133" spans="1:7" ht="15.75">
      <c r="A133" s="1961">
        <f t="shared" si="18"/>
        <v>3475</v>
      </c>
      <c r="B133" s="1815">
        <v>3450</v>
      </c>
      <c r="C133" s="1815">
        <v>3500</v>
      </c>
      <c r="D133" s="1816">
        <f t="shared" si="14"/>
        <v>348</v>
      </c>
      <c r="E133" s="1816">
        <f t="shared" si="15"/>
        <v>348</v>
      </c>
      <c r="F133" s="1816">
        <f t="shared" si="16"/>
        <v>348</v>
      </c>
      <c r="G133" s="1816">
        <f t="shared" si="17"/>
        <v>348</v>
      </c>
    </row>
    <row r="134" spans="1:7" ht="15.75">
      <c r="A134" s="1961">
        <f t="shared" si="18"/>
        <v>3525</v>
      </c>
      <c r="B134" s="1815">
        <v>3500</v>
      </c>
      <c r="C134" s="1815">
        <v>3550</v>
      </c>
      <c r="D134" s="1816">
        <f t="shared" si="14"/>
        <v>353</v>
      </c>
      <c r="E134" s="1816">
        <f t="shared" si="15"/>
        <v>353</v>
      </c>
      <c r="F134" s="1816">
        <f t="shared" si="16"/>
        <v>353</v>
      </c>
      <c r="G134" s="1816">
        <f t="shared" si="17"/>
        <v>353</v>
      </c>
    </row>
    <row r="135" spans="1:7" ht="15.75">
      <c r="A135" s="1961">
        <f t="shared" si="18"/>
        <v>3575</v>
      </c>
      <c r="B135" s="1815">
        <v>3550</v>
      </c>
      <c r="C135" s="1815">
        <v>3600</v>
      </c>
      <c r="D135" s="1816">
        <f t="shared" si="14"/>
        <v>358</v>
      </c>
      <c r="E135" s="1816">
        <f t="shared" si="15"/>
        <v>358</v>
      </c>
      <c r="F135" s="1816">
        <f t="shared" si="16"/>
        <v>358</v>
      </c>
      <c r="G135" s="1816">
        <f t="shared" si="17"/>
        <v>358</v>
      </c>
    </row>
    <row r="136" spans="1:7" ht="15.75">
      <c r="A136" s="1961">
        <f t="shared" si="18"/>
        <v>3625</v>
      </c>
      <c r="B136" s="1815">
        <v>3600</v>
      </c>
      <c r="C136" s="1815">
        <v>3650</v>
      </c>
      <c r="D136" s="1816">
        <f t="shared" si="14"/>
        <v>363</v>
      </c>
      <c r="E136" s="1816">
        <f t="shared" si="15"/>
        <v>363</v>
      </c>
      <c r="F136" s="1816">
        <f t="shared" si="16"/>
        <v>363</v>
      </c>
      <c r="G136" s="1816">
        <f t="shared" si="17"/>
        <v>363</v>
      </c>
    </row>
    <row r="137" spans="1:7" ht="15.75">
      <c r="A137" s="1961">
        <f t="shared" si="18"/>
        <v>3675</v>
      </c>
      <c r="B137" s="1815">
        <v>3650</v>
      </c>
      <c r="C137" s="1815">
        <v>3700</v>
      </c>
      <c r="D137" s="1816">
        <f t="shared" si="14"/>
        <v>368</v>
      </c>
      <c r="E137" s="1816">
        <f t="shared" si="15"/>
        <v>368</v>
      </c>
      <c r="F137" s="1816">
        <f t="shared" si="16"/>
        <v>368</v>
      </c>
      <c r="G137" s="1816">
        <f t="shared" si="17"/>
        <v>368</v>
      </c>
    </row>
    <row r="138" spans="1:7" ht="15.75">
      <c r="A138" s="1961">
        <f t="shared" si="18"/>
        <v>3725</v>
      </c>
      <c r="B138" s="1815">
        <v>3700</v>
      </c>
      <c r="C138" s="1815">
        <v>3750</v>
      </c>
      <c r="D138" s="1816">
        <f t="shared" si="14"/>
        <v>373</v>
      </c>
      <c r="E138" s="1816">
        <f t="shared" si="15"/>
        <v>373</v>
      </c>
      <c r="F138" s="1816">
        <f t="shared" si="16"/>
        <v>373</v>
      </c>
      <c r="G138" s="1816">
        <f t="shared" si="17"/>
        <v>373</v>
      </c>
    </row>
    <row r="139" spans="1:7" ht="15.75">
      <c r="A139" s="1961">
        <f t="shared" si="18"/>
        <v>3775</v>
      </c>
      <c r="B139" s="1815">
        <v>3750</v>
      </c>
      <c r="C139" s="1815">
        <v>3800</v>
      </c>
      <c r="D139" s="1816">
        <f t="shared" si="14"/>
        <v>378</v>
      </c>
      <c r="E139" s="1816">
        <f t="shared" si="15"/>
        <v>378</v>
      </c>
      <c r="F139" s="1816">
        <f t="shared" si="16"/>
        <v>378</v>
      </c>
      <c r="G139" s="1816">
        <f t="shared" si="17"/>
        <v>378</v>
      </c>
    </row>
    <row r="140" spans="1:7" ht="15.75">
      <c r="A140" s="1961">
        <f t="shared" si="18"/>
        <v>3825</v>
      </c>
      <c r="B140" s="1815">
        <v>3800</v>
      </c>
      <c r="C140" s="1815">
        <v>3850</v>
      </c>
      <c r="D140" s="1816">
        <f t="shared" si="14"/>
        <v>383</v>
      </c>
      <c r="E140" s="1816">
        <f t="shared" si="15"/>
        <v>383</v>
      </c>
      <c r="F140" s="1816">
        <f t="shared" si="16"/>
        <v>383</v>
      </c>
      <c r="G140" s="1816">
        <f t="shared" si="17"/>
        <v>383</v>
      </c>
    </row>
    <row r="141" spans="1:7" ht="15.75">
      <c r="A141" s="1961">
        <f t="shared" si="18"/>
        <v>3875</v>
      </c>
      <c r="B141" s="1815">
        <v>3850</v>
      </c>
      <c r="C141" s="1815">
        <v>3900</v>
      </c>
      <c r="D141" s="1816">
        <f t="shared" si="14"/>
        <v>388</v>
      </c>
      <c r="E141" s="1816">
        <f t="shared" si="15"/>
        <v>388</v>
      </c>
      <c r="F141" s="1816">
        <f t="shared" si="16"/>
        <v>388</v>
      </c>
      <c r="G141" s="1816">
        <f t="shared" si="17"/>
        <v>388</v>
      </c>
    </row>
    <row r="142" spans="1:7" ht="15.75">
      <c r="A142" s="1961">
        <f t="shared" si="18"/>
        <v>3925</v>
      </c>
      <c r="B142" s="1815">
        <v>3900</v>
      </c>
      <c r="C142" s="1815">
        <v>3950</v>
      </c>
      <c r="D142" s="1816">
        <f t="shared" si="14"/>
        <v>393</v>
      </c>
      <c r="E142" s="1816">
        <f t="shared" si="15"/>
        <v>393</v>
      </c>
      <c r="F142" s="1816">
        <f t="shared" si="16"/>
        <v>393</v>
      </c>
      <c r="G142" s="1816">
        <f t="shared" si="17"/>
        <v>393</v>
      </c>
    </row>
    <row r="143" spans="1:7" ht="15.75">
      <c r="A143" s="1961">
        <f t="shared" si="18"/>
        <v>3975</v>
      </c>
      <c r="B143" s="1815">
        <v>3950</v>
      </c>
      <c r="C143" s="1815">
        <v>4000</v>
      </c>
      <c r="D143" s="1816">
        <f t="shared" si="14"/>
        <v>398</v>
      </c>
      <c r="E143" s="1816">
        <f t="shared" si="15"/>
        <v>398</v>
      </c>
      <c r="F143" s="1816">
        <f t="shared" si="16"/>
        <v>398</v>
      </c>
      <c r="G143" s="1816">
        <f t="shared" si="17"/>
        <v>398</v>
      </c>
    </row>
    <row r="144" spans="1:7" ht="15.75">
      <c r="A144" s="1961">
        <f t="shared" si="18"/>
        <v>4025</v>
      </c>
      <c r="B144" s="1815">
        <v>4000</v>
      </c>
      <c r="C144" s="1815">
        <v>4050</v>
      </c>
      <c r="D144" s="1816">
        <f t="shared" si="14"/>
        <v>403</v>
      </c>
      <c r="E144" s="1816">
        <f t="shared" si="15"/>
        <v>403</v>
      </c>
      <c r="F144" s="1816">
        <f t="shared" si="16"/>
        <v>403</v>
      </c>
      <c r="G144" s="1816">
        <f t="shared" si="17"/>
        <v>403</v>
      </c>
    </row>
    <row r="145" spans="1:7" ht="15.75">
      <c r="A145" s="1961">
        <f t="shared" si="18"/>
        <v>4075</v>
      </c>
      <c r="B145" s="1815">
        <v>4050</v>
      </c>
      <c r="C145" s="1815">
        <v>4100</v>
      </c>
      <c r="D145" s="1816">
        <f t="shared" si="14"/>
        <v>408</v>
      </c>
      <c r="E145" s="1816">
        <f t="shared" si="15"/>
        <v>408</v>
      </c>
      <c r="F145" s="1816">
        <f t="shared" si="16"/>
        <v>408</v>
      </c>
      <c r="G145" s="1816">
        <f t="shared" si="17"/>
        <v>408</v>
      </c>
    </row>
    <row r="146" spans="1:7" ht="15.75">
      <c r="A146" s="1961">
        <f t="shared" si="18"/>
        <v>4125</v>
      </c>
      <c r="B146" s="1815">
        <v>4100</v>
      </c>
      <c r="C146" s="1815">
        <v>4150</v>
      </c>
      <c r="D146" s="1816">
        <f t="shared" si="14"/>
        <v>413</v>
      </c>
      <c r="E146" s="1816">
        <f t="shared" si="15"/>
        <v>413</v>
      </c>
      <c r="F146" s="1816">
        <f t="shared" si="16"/>
        <v>413</v>
      </c>
      <c r="G146" s="1816">
        <f t="shared" si="17"/>
        <v>413</v>
      </c>
    </row>
    <row r="147" spans="1:7" ht="15.75">
      <c r="A147" s="1961">
        <f t="shared" si="18"/>
        <v>4175</v>
      </c>
      <c r="B147" s="1815">
        <v>4150</v>
      </c>
      <c r="C147" s="1815">
        <v>4200</v>
      </c>
      <c r="D147" s="1816">
        <f t="shared" si="14"/>
        <v>418</v>
      </c>
      <c r="E147" s="1816">
        <f t="shared" si="15"/>
        <v>418</v>
      </c>
      <c r="F147" s="1816">
        <f t="shared" si="16"/>
        <v>418</v>
      </c>
      <c r="G147" s="1816">
        <f t="shared" si="17"/>
        <v>418</v>
      </c>
    </row>
    <row r="148" spans="1:7" ht="15.75">
      <c r="A148" s="1961">
        <f t="shared" si="18"/>
        <v>4225</v>
      </c>
      <c r="B148" s="1815">
        <v>4200</v>
      </c>
      <c r="C148" s="1815">
        <v>4250</v>
      </c>
      <c r="D148" s="1816">
        <f t="shared" si="14"/>
        <v>423</v>
      </c>
      <c r="E148" s="1816">
        <f t="shared" si="15"/>
        <v>423</v>
      </c>
      <c r="F148" s="1816">
        <f t="shared" si="16"/>
        <v>423</v>
      </c>
      <c r="G148" s="1816">
        <f t="shared" si="17"/>
        <v>423</v>
      </c>
    </row>
    <row r="149" spans="1:7" ht="15.75">
      <c r="A149" s="1961">
        <f t="shared" si="18"/>
        <v>4275</v>
      </c>
      <c r="B149" s="1815">
        <v>4250</v>
      </c>
      <c r="C149" s="1815">
        <v>4300</v>
      </c>
      <c r="D149" s="1816">
        <f t="shared" si="14"/>
        <v>428</v>
      </c>
      <c r="E149" s="1816">
        <f t="shared" si="15"/>
        <v>428</v>
      </c>
      <c r="F149" s="1816">
        <f t="shared" si="16"/>
        <v>428</v>
      </c>
      <c r="G149" s="1816">
        <f t="shared" si="17"/>
        <v>428</v>
      </c>
    </row>
    <row r="150" spans="1:7" ht="15.75">
      <c r="A150" s="1961">
        <f t="shared" si="18"/>
        <v>4325</v>
      </c>
      <c r="B150" s="1815">
        <v>4300</v>
      </c>
      <c r="C150" s="1815">
        <v>4350</v>
      </c>
      <c r="D150" s="1816">
        <f t="shared" si="14"/>
        <v>433</v>
      </c>
      <c r="E150" s="1816">
        <f t="shared" si="15"/>
        <v>433</v>
      </c>
      <c r="F150" s="1816">
        <f t="shared" si="16"/>
        <v>433</v>
      </c>
      <c r="G150" s="1816">
        <f t="shared" si="17"/>
        <v>433</v>
      </c>
    </row>
    <row r="151" spans="1:7" ht="15.75">
      <c r="A151" s="1961">
        <f t="shared" si="18"/>
        <v>4375</v>
      </c>
      <c r="B151" s="1815">
        <v>4350</v>
      </c>
      <c r="C151" s="1815">
        <v>4400</v>
      </c>
      <c r="D151" s="1816">
        <f t="shared" si="14"/>
        <v>438</v>
      </c>
      <c r="E151" s="1816">
        <f t="shared" si="15"/>
        <v>438</v>
      </c>
      <c r="F151" s="1816">
        <f t="shared" si="16"/>
        <v>438</v>
      </c>
      <c r="G151" s="1816">
        <f t="shared" si="17"/>
        <v>438</v>
      </c>
    </row>
    <row r="152" spans="1:7" ht="15.75">
      <c r="A152" s="1961">
        <f t="shared" si="18"/>
        <v>4425</v>
      </c>
      <c r="B152" s="1815">
        <v>4400</v>
      </c>
      <c r="C152" s="1815">
        <v>4450</v>
      </c>
      <c r="D152" s="1816">
        <f t="shared" si="14"/>
        <v>443</v>
      </c>
      <c r="E152" s="1816">
        <f t="shared" si="15"/>
        <v>443</v>
      </c>
      <c r="F152" s="1816">
        <f t="shared" si="16"/>
        <v>443</v>
      </c>
      <c r="G152" s="1816">
        <f t="shared" si="17"/>
        <v>443</v>
      </c>
    </row>
    <row r="153" spans="1:7" ht="15.75">
      <c r="A153" s="1961">
        <f t="shared" si="18"/>
        <v>4475</v>
      </c>
      <c r="B153" s="1815">
        <v>4450</v>
      </c>
      <c r="C153" s="1815">
        <v>4500</v>
      </c>
      <c r="D153" s="1816">
        <f t="shared" si="14"/>
        <v>448</v>
      </c>
      <c r="E153" s="1816">
        <f t="shared" si="15"/>
        <v>448</v>
      </c>
      <c r="F153" s="1816">
        <f t="shared" si="16"/>
        <v>448</v>
      </c>
      <c r="G153" s="1816">
        <f t="shared" si="17"/>
        <v>448</v>
      </c>
    </row>
    <row r="154" spans="1:7" ht="15.75">
      <c r="A154" s="1961">
        <f t="shared" si="18"/>
        <v>4525</v>
      </c>
      <c r="B154" s="1815">
        <v>4500</v>
      </c>
      <c r="C154" s="1815">
        <v>4550</v>
      </c>
      <c r="D154" s="1816">
        <f t="shared" si="14"/>
        <v>453</v>
      </c>
      <c r="E154" s="1816">
        <f t="shared" si="15"/>
        <v>453</v>
      </c>
      <c r="F154" s="1816">
        <f t="shared" si="16"/>
        <v>453</v>
      </c>
      <c r="G154" s="1816">
        <f t="shared" si="17"/>
        <v>453</v>
      </c>
    </row>
    <row r="155" spans="1:7" ht="15.75">
      <c r="A155" s="1961">
        <f t="shared" si="18"/>
        <v>4575</v>
      </c>
      <c r="B155" s="1815">
        <v>4550</v>
      </c>
      <c r="C155" s="1815">
        <v>4600</v>
      </c>
      <c r="D155" s="1816">
        <f t="shared" si="14"/>
        <v>458</v>
      </c>
      <c r="E155" s="1816">
        <f t="shared" si="15"/>
        <v>458</v>
      </c>
      <c r="F155" s="1816">
        <f t="shared" si="16"/>
        <v>458</v>
      </c>
      <c r="G155" s="1816">
        <f t="shared" si="17"/>
        <v>458</v>
      </c>
    </row>
    <row r="156" spans="1:7" ht="15.75">
      <c r="A156" s="1961">
        <f t="shared" si="18"/>
        <v>4625</v>
      </c>
      <c r="B156" s="1815">
        <v>4600</v>
      </c>
      <c r="C156" s="1815">
        <v>4650</v>
      </c>
      <c r="D156" s="1816">
        <f t="shared" si="14"/>
        <v>463</v>
      </c>
      <c r="E156" s="1816">
        <f t="shared" si="15"/>
        <v>463</v>
      </c>
      <c r="F156" s="1816">
        <f t="shared" si="16"/>
        <v>463</v>
      </c>
      <c r="G156" s="1816">
        <f t="shared" si="17"/>
        <v>463</v>
      </c>
    </row>
    <row r="157" spans="1:7" ht="15.75">
      <c r="A157" s="1961">
        <f t="shared" si="18"/>
        <v>4675</v>
      </c>
      <c r="B157" s="1815">
        <v>4650</v>
      </c>
      <c r="C157" s="1815">
        <v>4700</v>
      </c>
      <c r="D157" s="1816">
        <f t="shared" si="14"/>
        <v>468</v>
      </c>
      <c r="E157" s="1816">
        <f t="shared" si="15"/>
        <v>468</v>
      </c>
      <c r="F157" s="1816">
        <f t="shared" si="16"/>
        <v>468</v>
      </c>
      <c r="G157" s="1816">
        <f t="shared" si="17"/>
        <v>468</v>
      </c>
    </row>
    <row r="158" spans="1:7" ht="15.75">
      <c r="A158" s="1961">
        <f t="shared" si="18"/>
        <v>4725</v>
      </c>
      <c r="B158" s="1815">
        <v>4700</v>
      </c>
      <c r="C158" s="1815">
        <v>4750</v>
      </c>
      <c r="D158" s="1816">
        <f t="shared" si="14"/>
        <v>473</v>
      </c>
      <c r="E158" s="1816">
        <f t="shared" si="15"/>
        <v>473</v>
      </c>
      <c r="F158" s="1816">
        <f t="shared" si="16"/>
        <v>473</v>
      </c>
      <c r="G158" s="1816">
        <f t="shared" si="17"/>
        <v>473</v>
      </c>
    </row>
    <row r="159" spans="1:7" ht="15.75">
      <c r="A159" s="1961">
        <f t="shared" si="18"/>
        <v>4775</v>
      </c>
      <c r="B159" s="1815">
        <v>4750</v>
      </c>
      <c r="C159" s="1815">
        <v>4800</v>
      </c>
      <c r="D159" s="1816">
        <f t="shared" si="14"/>
        <v>478</v>
      </c>
      <c r="E159" s="1816">
        <f t="shared" si="15"/>
        <v>478</v>
      </c>
      <c r="F159" s="1816">
        <f t="shared" si="16"/>
        <v>478</v>
      </c>
      <c r="G159" s="1816">
        <f t="shared" si="17"/>
        <v>478</v>
      </c>
    </row>
    <row r="160" spans="1:7" ht="15.75">
      <c r="A160" s="1961">
        <f t="shared" si="18"/>
        <v>4825</v>
      </c>
      <c r="B160" s="1815">
        <v>4800</v>
      </c>
      <c r="C160" s="1815">
        <v>4850</v>
      </c>
      <c r="D160" s="1816">
        <f t="shared" si="14"/>
        <v>483</v>
      </c>
      <c r="E160" s="1816">
        <f t="shared" si="15"/>
        <v>483</v>
      </c>
      <c r="F160" s="1816">
        <f t="shared" si="16"/>
        <v>483</v>
      </c>
      <c r="G160" s="1816">
        <f t="shared" si="17"/>
        <v>483</v>
      </c>
    </row>
    <row r="161" spans="1:7" ht="15.75">
      <c r="A161" s="1961">
        <f t="shared" si="18"/>
        <v>4875</v>
      </c>
      <c r="B161" s="1815">
        <v>4850</v>
      </c>
      <c r="C161" s="1815">
        <v>4900</v>
      </c>
      <c r="D161" s="1816">
        <f t="shared" si="14"/>
        <v>488</v>
      </c>
      <c r="E161" s="1816">
        <f t="shared" si="15"/>
        <v>488</v>
      </c>
      <c r="F161" s="1816">
        <f t="shared" si="16"/>
        <v>488</v>
      </c>
      <c r="G161" s="1816">
        <f t="shared" si="17"/>
        <v>488</v>
      </c>
    </row>
    <row r="162" spans="1:7" ht="15.75">
      <c r="A162" s="1961">
        <f t="shared" si="18"/>
        <v>4925</v>
      </c>
      <c r="B162" s="1815">
        <v>4900</v>
      </c>
      <c r="C162" s="1815">
        <v>4950</v>
      </c>
      <c r="D162" s="1816">
        <f t="shared" si="14"/>
        <v>493</v>
      </c>
      <c r="E162" s="1816">
        <f t="shared" si="15"/>
        <v>493</v>
      </c>
      <c r="F162" s="1816">
        <f t="shared" si="16"/>
        <v>493</v>
      </c>
      <c r="G162" s="1816">
        <f t="shared" si="17"/>
        <v>493</v>
      </c>
    </row>
    <row r="163" spans="1:7" ht="15.75">
      <c r="A163" s="1961">
        <f t="shared" si="18"/>
        <v>4975</v>
      </c>
      <c r="B163" s="1815">
        <v>4950</v>
      </c>
      <c r="C163" s="1815">
        <v>5000</v>
      </c>
      <c r="D163" s="1816">
        <f t="shared" si="14"/>
        <v>498</v>
      </c>
      <c r="E163" s="1816">
        <f t="shared" si="15"/>
        <v>498</v>
      </c>
      <c r="F163" s="1816">
        <f t="shared" si="16"/>
        <v>498</v>
      </c>
      <c r="G163" s="1816">
        <f t="shared" si="17"/>
        <v>498</v>
      </c>
    </row>
    <row r="164" spans="1:7" ht="15.75">
      <c r="A164" s="1961">
        <f t="shared" si="18"/>
        <v>5025</v>
      </c>
      <c r="B164" s="1815">
        <v>5000</v>
      </c>
      <c r="C164" s="1815">
        <v>5050</v>
      </c>
      <c r="D164" s="1816">
        <f t="shared" si="14"/>
        <v>503</v>
      </c>
      <c r="E164" s="1816">
        <f t="shared" si="15"/>
        <v>503</v>
      </c>
      <c r="F164" s="1816">
        <f t="shared" si="16"/>
        <v>503</v>
      </c>
      <c r="G164" s="1816">
        <f t="shared" si="17"/>
        <v>503</v>
      </c>
    </row>
    <row r="165" spans="1:7" ht="15.75">
      <c r="A165" s="1961">
        <f t="shared" si="18"/>
        <v>5075</v>
      </c>
      <c r="B165" s="1815">
        <v>5050</v>
      </c>
      <c r="C165" s="1815">
        <v>5100</v>
      </c>
      <c r="D165" s="1816">
        <f t="shared" si="14"/>
        <v>508</v>
      </c>
      <c r="E165" s="1816">
        <f t="shared" si="15"/>
        <v>508</v>
      </c>
      <c r="F165" s="1816">
        <f t="shared" si="16"/>
        <v>508</v>
      </c>
      <c r="G165" s="1816">
        <f t="shared" si="17"/>
        <v>508</v>
      </c>
    </row>
    <row r="166" spans="1:7" ht="15.75">
      <c r="A166" s="1961">
        <f t="shared" si="18"/>
        <v>5125</v>
      </c>
      <c r="B166" s="1815">
        <v>5100</v>
      </c>
      <c r="C166" s="1815">
        <v>5150</v>
      </c>
      <c r="D166" s="1816">
        <f t="shared" si="14"/>
        <v>513</v>
      </c>
      <c r="E166" s="1816">
        <f t="shared" si="15"/>
        <v>513</v>
      </c>
      <c r="F166" s="1816">
        <f t="shared" si="16"/>
        <v>513</v>
      </c>
      <c r="G166" s="1816">
        <f t="shared" si="17"/>
        <v>513</v>
      </c>
    </row>
    <row r="167" spans="1:7" ht="15.75">
      <c r="A167" s="1961">
        <f t="shared" si="18"/>
        <v>5175</v>
      </c>
      <c r="B167" s="1815">
        <v>5150</v>
      </c>
      <c r="C167" s="1815">
        <v>5200</v>
      </c>
      <c r="D167" s="1816">
        <f t="shared" si="14"/>
        <v>518</v>
      </c>
      <c r="E167" s="1816">
        <f t="shared" si="15"/>
        <v>518</v>
      </c>
      <c r="F167" s="1816">
        <f t="shared" si="16"/>
        <v>518</v>
      </c>
      <c r="G167" s="1816">
        <f t="shared" si="17"/>
        <v>518</v>
      </c>
    </row>
    <row r="168" spans="1:7" ht="15.75">
      <c r="A168" s="1961">
        <f t="shared" si="18"/>
        <v>5225</v>
      </c>
      <c r="B168" s="1815">
        <v>5200</v>
      </c>
      <c r="C168" s="1815">
        <v>5250</v>
      </c>
      <c r="D168" s="1816">
        <f t="shared" si="14"/>
        <v>523</v>
      </c>
      <c r="E168" s="1816">
        <f t="shared" si="15"/>
        <v>523</v>
      </c>
      <c r="F168" s="1816">
        <f t="shared" si="16"/>
        <v>523</v>
      </c>
      <c r="G168" s="1816">
        <f t="shared" si="17"/>
        <v>523</v>
      </c>
    </row>
    <row r="169" spans="1:7" ht="15.75">
      <c r="A169" s="1961">
        <f t="shared" si="18"/>
        <v>5275</v>
      </c>
      <c r="B169" s="1815">
        <v>5250</v>
      </c>
      <c r="C169" s="1815">
        <v>5300</v>
      </c>
      <c r="D169" s="1816">
        <f t="shared" si="14"/>
        <v>528</v>
      </c>
      <c r="E169" s="1816">
        <f t="shared" si="15"/>
        <v>528</v>
      </c>
      <c r="F169" s="1816">
        <f t="shared" si="16"/>
        <v>528</v>
      </c>
      <c r="G169" s="1816">
        <f t="shared" si="17"/>
        <v>528</v>
      </c>
    </row>
    <row r="170" spans="1:7" ht="15.75">
      <c r="A170" s="1961">
        <f t="shared" si="18"/>
        <v>5325</v>
      </c>
      <c r="B170" s="1815">
        <v>5300</v>
      </c>
      <c r="C170" s="1815">
        <v>5350</v>
      </c>
      <c r="D170" s="1816">
        <f t="shared" si="14"/>
        <v>533</v>
      </c>
      <c r="E170" s="1816">
        <f t="shared" si="15"/>
        <v>533</v>
      </c>
      <c r="F170" s="1816">
        <f t="shared" si="16"/>
        <v>533</v>
      </c>
      <c r="G170" s="1816">
        <f t="shared" si="17"/>
        <v>533</v>
      </c>
    </row>
    <row r="171" spans="1:7" ht="15.75">
      <c r="A171" s="1961">
        <f t="shared" si="18"/>
        <v>5375</v>
      </c>
      <c r="B171" s="1815">
        <v>5350</v>
      </c>
      <c r="C171" s="1815">
        <v>5400</v>
      </c>
      <c r="D171" s="1816">
        <f t="shared" si="14"/>
        <v>538</v>
      </c>
      <c r="E171" s="1816">
        <f t="shared" si="15"/>
        <v>538</v>
      </c>
      <c r="F171" s="1816">
        <f t="shared" si="16"/>
        <v>538</v>
      </c>
      <c r="G171" s="1816">
        <f t="shared" si="17"/>
        <v>538</v>
      </c>
    </row>
    <row r="172" spans="1:7" ht="15.75">
      <c r="A172" s="1961">
        <f t="shared" si="18"/>
        <v>5425</v>
      </c>
      <c r="B172" s="1815">
        <v>5400</v>
      </c>
      <c r="C172" s="1815">
        <v>5450</v>
      </c>
      <c r="D172" s="1816">
        <f t="shared" si="14"/>
        <v>543</v>
      </c>
      <c r="E172" s="1816">
        <f t="shared" si="15"/>
        <v>543</v>
      </c>
      <c r="F172" s="1816">
        <f t="shared" si="16"/>
        <v>543</v>
      </c>
      <c r="G172" s="1816">
        <f t="shared" si="17"/>
        <v>543</v>
      </c>
    </row>
    <row r="173" spans="1:7" ht="15.75">
      <c r="A173" s="1961">
        <f t="shared" si="18"/>
        <v>5475</v>
      </c>
      <c r="B173" s="1815">
        <v>5450</v>
      </c>
      <c r="C173" s="1815">
        <v>5500</v>
      </c>
      <c r="D173" s="1816">
        <f t="shared" si="14"/>
        <v>548</v>
      </c>
      <c r="E173" s="1816">
        <f t="shared" si="15"/>
        <v>548</v>
      </c>
      <c r="F173" s="1816">
        <f t="shared" si="16"/>
        <v>548</v>
      </c>
      <c r="G173" s="1816">
        <f t="shared" si="17"/>
        <v>548</v>
      </c>
    </row>
    <row r="174" spans="1:7" ht="15.75">
      <c r="A174" s="1961">
        <f t="shared" si="18"/>
        <v>5525</v>
      </c>
      <c r="B174" s="1815">
        <v>5500</v>
      </c>
      <c r="C174" s="1815">
        <v>5550</v>
      </c>
      <c r="D174" s="1816">
        <f t="shared" si="14"/>
        <v>553</v>
      </c>
      <c r="E174" s="1816">
        <f t="shared" si="15"/>
        <v>553</v>
      </c>
      <c r="F174" s="1816">
        <f t="shared" si="16"/>
        <v>553</v>
      </c>
      <c r="G174" s="1816">
        <f t="shared" si="17"/>
        <v>553</v>
      </c>
    </row>
    <row r="175" spans="1:7" ht="15.75">
      <c r="A175" s="1961">
        <f t="shared" si="18"/>
        <v>5575</v>
      </c>
      <c r="B175" s="1815">
        <v>5550</v>
      </c>
      <c r="C175" s="1815">
        <v>5600</v>
      </c>
      <c r="D175" s="1816">
        <f t="shared" si="14"/>
        <v>558</v>
      </c>
      <c r="E175" s="1816">
        <f t="shared" si="15"/>
        <v>558</v>
      </c>
      <c r="F175" s="1816">
        <f t="shared" si="16"/>
        <v>558</v>
      </c>
      <c r="G175" s="1816">
        <f t="shared" si="17"/>
        <v>558</v>
      </c>
    </row>
    <row r="176" spans="1:7" ht="15.75">
      <c r="A176" s="1961">
        <f t="shared" si="18"/>
        <v>5625</v>
      </c>
      <c r="B176" s="1815">
        <v>5600</v>
      </c>
      <c r="C176" s="1815">
        <v>5650</v>
      </c>
      <c r="D176" s="1816">
        <f t="shared" si="14"/>
        <v>563</v>
      </c>
      <c r="E176" s="1816">
        <f t="shared" si="15"/>
        <v>563</v>
      </c>
      <c r="F176" s="1816">
        <f t="shared" si="16"/>
        <v>563</v>
      </c>
      <c r="G176" s="1816">
        <f t="shared" si="17"/>
        <v>563</v>
      </c>
    </row>
    <row r="177" spans="1:7" ht="15.75">
      <c r="A177" s="1961">
        <f t="shared" si="18"/>
        <v>5675</v>
      </c>
      <c r="B177" s="1815">
        <v>5650</v>
      </c>
      <c r="C177" s="1815">
        <v>5700</v>
      </c>
      <c r="D177" s="1816">
        <f t="shared" si="14"/>
        <v>568</v>
      </c>
      <c r="E177" s="1816">
        <f t="shared" si="15"/>
        <v>568</v>
      </c>
      <c r="F177" s="1816">
        <f t="shared" si="16"/>
        <v>568</v>
      </c>
      <c r="G177" s="1816">
        <f t="shared" si="17"/>
        <v>568</v>
      </c>
    </row>
    <row r="178" spans="1:7" ht="15.75">
      <c r="A178" s="1961">
        <f t="shared" si="18"/>
        <v>5725</v>
      </c>
      <c r="B178" s="1815">
        <v>5700</v>
      </c>
      <c r="C178" s="1815">
        <v>5750</v>
      </c>
      <c r="D178" s="1816">
        <f t="shared" si="14"/>
        <v>573</v>
      </c>
      <c r="E178" s="1816">
        <f t="shared" si="15"/>
        <v>573</v>
      </c>
      <c r="F178" s="1816">
        <f t="shared" si="16"/>
        <v>573</v>
      </c>
      <c r="G178" s="1816">
        <f t="shared" si="17"/>
        <v>573</v>
      </c>
    </row>
    <row r="179" spans="1:7" ht="15.75">
      <c r="A179" s="1961">
        <f t="shared" si="18"/>
        <v>5775</v>
      </c>
      <c r="B179" s="1815">
        <v>5750</v>
      </c>
      <c r="C179" s="1815">
        <v>5800</v>
      </c>
      <c r="D179" s="1816">
        <f t="shared" si="14"/>
        <v>578</v>
      </c>
      <c r="E179" s="1816">
        <f t="shared" si="15"/>
        <v>578</v>
      </c>
      <c r="F179" s="1816">
        <f t="shared" si="16"/>
        <v>578</v>
      </c>
      <c r="G179" s="1816">
        <f t="shared" si="17"/>
        <v>578</v>
      </c>
    </row>
    <row r="180" spans="1:7" ht="15.75">
      <c r="A180" s="1961">
        <f t="shared" si="18"/>
        <v>5825</v>
      </c>
      <c r="B180" s="1815">
        <v>5800</v>
      </c>
      <c r="C180" s="1815">
        <v>5850</v>
      </c>
      <c r="D180" s="1816">
        <f t="shared" si="14"/>
        <v>583</v>
      </c>
      <c r="E180" s="1816">
        <f t="shared" si="15"/>
        <v>583</v>
      </c>
      <c r="F180" s="1816">
        <f t="shared" si="16"/>
        <v>583</v>
      </c>
      <c r="G180" s="1816">
        <f t="shared" si="17"/>
        <v>583</v>
      </c>
    </row>
    <row r="181" spans="1:7" ht="15.75">
      <c r="A181" s="1961">
        <f t="shared" si="18"/>
        <v>5875</v>
      </c>
      <c r="B181" s="1815">
        <v>5850</v>
      </c>
      <c r="C181" s="1815">
        <v>5900</v>
      </c>
      <c r="D181" s="1816">
        <f t="shared" si="14"/>
        <v>588</v>
      </c>
      <c r="E181" s="1816">
        <f t="shared" si="15"/>
        <v>588</v>
      </c>
      <c r="F181" s="1816">
        <f t="shared" si="16"/>
        <v>588</v>
      </c>
      <c r="G181" s="1816">
        <f t="shared" si="17"/>
        <v>588</v>
      </c>
    </row>
    <row r="182" spans="1:7" ht="15.75">
      <c r="A182" s="1961">
        <f t="shared" si="18"/>
        <v>5925</v>
      </c>
      <c r="B182" s="1815">
        <v>5900</v>
      </c>
      <c r="C182" s="1815">
        <v>5950</v>
      </c>
      <c r="D182" s="1816">
        <f t="shared" si="14"/>
        <v>593</v>
      </c>
      <c r="E182" s="1816">
        <f t="shared" si="15"/>
        <v>593</v>
      </c>
      <c r="F182" s="1816">
        <f t="shared" si="16"/>
        <v>593</v>
      </c>
      <c r="G182" s="1816">
        <f t="shared" si="17"/>
        <v>593</v>
      </c>
    </row>
    <row r="183" spans="1:7" ht="15.75">
      <c r="A183" s="1961">
        <f t="shared" si="18"/>
        <v>5975</v>
      </c>
      <c r="B183" s="1815">
        <v>5950</v>
      </c>
      <c r="C183" s="1815">
        <v>6000</v>
      </c>
      <c r="D183" s="1816">
        <f t="shared" si="14"/>
        <v>598</v>
      </c>
      <c r="E183" s="1816">
        <f t="shared" si="15"/>
        <v>598</v>
      </c>
      <c r="F183" s="1816">
        <f t="shared" si="16"/>
        <v>598</v>
      </c>
      <c r="G183" s="1816">
        <f t="shared" si="17"/>
        <v>598</v>
      </c>
    </row>
    <row r="184" spans="1:7" ht="15.75">
      <c r="A184" s="1961">
        <f t="shared" si="18"/>
        <v>6025</v>
      </c>
      <c r="B184" s="1815">
        <v>6000</v>
      </c>
      <c r="C184" s="1815">
        <v>6050</v>
      </c>
      <c r="D184" s="1816">
        <f t="shared" si="14"/>
        <v>603</v>
      </c>
      <c r="E184" s="1816">
        <f t="shared" si="15"/>
        <v>603</v>
      </c>
      <c r="F184" s="1816">
        <f t="shared" si="16"/>
        <v>603</v>
      </c>
      <c r="G184" s="1816">
        <f t="shared" si="17"/>
        <v>603</v>
      </c>
    </row>
    <row r="185" spans="1:7" ht="15.75">
      <c r="A185" s="1961">
        <f t="shared" si="18"/>
        <v>6075</v>
      </c>
      <c r="B185" s="1815">
        <v>6050</v>
      </c>
      <c r="C185" s="1815">
        <v>6100</v>
      </c>
      <c r="D185" s="1816">
        <f t="shared" si="14"/>
        <v>608</v>
      </c>
      <c r="E185" s="1816">
        <f t="shared" si="15"/>
        <v>608</v>
      </c>
      <c r="F185" s="1816">
        <f t="shared" si="16"/>
        <v>608</v>
      </c>
      <c r="G185" s="1816">
        <f t="shared" si="17"/>
        <v>608</v>
      </c>
    </row>
    <row r="186" spans="1:7" ht="15.75">
      <c r="A186" s="1961">
        <f t="shared" si="18"/>
        <v>6125</v>
      </c>
      <c r="B186" s="1815">
        <v>6100</v>
      </c>
      <c r="C186" s="1815">
        <v>6150</v>
      </c>
      <c r="D186" s="1816">
        <f t="shared" si="14"/>
        <v>613</v>
      </c>
      <c r="E186" s="1816">
        <f t="shared" si="15"/>
        <v>613</v>
      </c>
      <c r="F186" s="1816">
        <f t="shared" si="16"/>
        <v>613</v>
      </c>
      <c r="G186" s="1816">
        <f t="shared" si="17"/>
        <v>613</v>
      </c>
    </row>
    <row r="187" spans="1:7" ht="15.75">
      <c r="A187" s="1961">
        <f t="shared" si="18"/>
        <v>6175</v>
      </c>
      <c r="B187" s="1815">
        <v>6150</v>
      </c>
      <c r="C187" s="1815">
        <v>6200</v>
      </c>
      <c r="D187" s="1816">
        <f t="shared" si="14"/>
        <v>618</v>
      </c>
      <c r="E187" s="1816">
        <f t="shared" si="15"/>
        <v>618</v>
      </c>
      <c r="F187" s="1816">
        <f t="shared" si="16"/>
        <v>618</v>
      </c>
      <c r="G187" s="1816">
        <f t="shared" si="17"/>
        <v>618</v>
      </c>
    </row>
    <row r="188" spans="1:7" ht="15.75">
      <c r="A188" s="1961">
        <f t="shared" si="18"/>
        <v>6225</v>
      </c>
      <c r="B188" s="1815">
        <v>6200</v>
      </c>
      <c r="C188" s="1815">
        <v>6250</v>
      </c>
      <c r="D188" s="1816">
        <f t="shared" si="14"/>
        <v>623</v>
      </c>
      <c r="E188" s="1816">
        <f t="shared" si="15"/>
        <v>623</v>
      </c>
      <c r="F188" s="1816">
        <f t="shared" si="16"/>
        <v>623</v>
      </c>
      <c r="G188" s="1816">
        <f t="shared" si="17"/>
        <v>623</v>
      </c>
    </row>
    <row r="189" spans="1:7" ht="15.75">
      <c r="A189" s="1961">
        <f t="shared" si="18"/>
        <v>6275</v>
      </c>
      <c r="B189" s="1815">
        <v>6250</v>
      </c>
      <c r="C189" s="1815">
        <v>6300</v>
      </c>
      <c r="D189" s="1816">
        <f t="shared" si="14"/>
        <v>628</v>
      </c>
      <c r="E189" s="1816">
        <f t="shared" si="15"/>
        <v>628</v>
      </c>
      <c r="F189" s="1816">
        <f t="shared" si="16"/>
        <v>628</v>
      </c>
      <c r="G189" s="1816">
        <f t="shared" si="17"/>
        <v>628</v>
      </c>
    </row>
    <row r="190" spans="1:7" ht="15.75">
      <c r="A190" s="1961">
        <f t="shared" si="18"/>
        <v>6325</v>
      </c>
      <c r="B190" s="1815">
        <v>6300</v>
      </c>
      <c r="C190" s="1815">
        <v>6350</v>
      </c>
      <c r="D190" s="1816">
        <f t="shared" si="14"/>
        <v>633</v>
      </c>
      <c r="E190" s="1816">
        <f t="shared" si="15"/>
        <v>633</v>
      </c>
      <c r="F190" s="1816">
        <f t="shared" si="16"/>
        <v>633</v>
      </c>
      <c r="G190" s="1816">
        <f t="shared" si="17"/>
        <v>633</v>
      </c>
    </row>
    <row r="191" spans="1:7" ht="15.75">
      <c r="A191" s="1961">
        <f t="shared" si="18"/>
        <v>6375</v>
      </c>
      <c r="B191" s="1815">
        <v>6350</v>
      </c>
      <c r="C191" s="1815">
        <v>6400</v>
      </c>
      <c r="D191" s="1816">
        <f t="shared" si="14"/>
        <v>638</v>
      </c>
      <c r="E191" s="1816">
        <f t="shared" si="15"/>
        <v>638</v>
      </c>
      <c r="F191" s="1816">
        <f t="shared" si="16"/>
        <v>638</v>
      </c>
      <c r="G191" s="1816">
        <f t="shared" si="17"/>
        <v>638</v>
      </c>
    </row>
    <row r="192" spans="1:7" ht="15.75">
      <c r="A192" s="1961">
        <f t="shared" si="18"/>
        <v>6425</v>
      </c>
      <c r="B192" s="1815">
        <v>6400</v>
      </c>
      <c r="C192" s="1815">
        <v>6450</v>
      </c>
      <c r="D192" s="1816">
        <f t="shared" si="14"/>
        <v>643</v>
      </c>
      <c r="E192" s="1816">
        <f t="shared" si="15"/>
        <v>643</v>
      </c>
      <c r="F192" s="1816">
        <f t="shared" si="16"/>
        <v>643</v>
      </c>
      <c r="G192" s="1816">
        <f t="shared" si="17"/>
        <v>643</v>
      </c>
    </row>
    <row r="193" spans="1:7" ht="15.75">
      <c r="A193" s="1961">
        <f t="shared" si="18"/>
        <v>6475</v>
      </c>
      <c r="B193" s="1815">
        <v>6450</v>
      </c>
      <c r="C193" s="1815">
        <v>6500</v>
      </c>
      <c r="D193" s="1816">
        <f t="shared" si="14"/>
        <v>648</v>
      </c>
      <c r="E193" s="1816">
        <f t="shared" si="15"/>
        <v>648</v>
      </c>
      <c r="F193" s="1816">
        <f t="shared" si="16"/>
        <v>648</v>
      </c>
      <c r="G193" s="1816">
        <f t="shared" si="17"/>
        <v>648</v>
      </c>
    </row>
    <row r="194" spans="1:7" ht="15.75">
      <c r="A194" s="1961">
        <f t="shared" si="18"/>
        <v>6525</v>
      </c>
      <c r="B194" s="1815">
        <v>6500</v>
      </c>
      <c r="C194" s="1815">
        <v>6550</v>
      </c>
      <c r="D194" s="1816">
        <f t="shared" ref="D194:D257" si="19">IF($A194&gt;BOTT_A4,ROUND(BASE_A4+RATE_A4*($A194-BOTT_A4),0),IF($A194&gt;BOTT_A3,ROUND(BASE_A3+RATE_A3*($A194-BOTT_A3),0),IF($A194&gt;BOTT_A2,ROUND(BASE_A2+RATE_A2*($A194-BOTT_A2),0),ROUND(RATE_A1*$A194,0))))</f>
        <v>653</v>
      </c>
      <c r="E194" s="1816">
        <f t="shared" ref="E194:E257" si="20">IF($A194&gt;BOTT_B4,ROUND(BASE_B4+RATE_B4*($A194-BOTT_B4),0),IF($A194&gt;BOTT_B3,ROUND(BASE_B3+RATE_B3*($A194-BOTT_B3),0),IF($A194&gt;BOTT_B2,ROUND(BASE_B2+RATE_B2*($A194-BOTT_B2),0),ROUND(RATE_B1*$A194,0))))</f>
        <v>653</v>
      </c>
      <c r="F194" s="1816">
        <f t="shared" ref="F194:F257" si="21">IF($A194&gt;BOTT_C4,ROUND(BASE_C4+RATE_C4*($A194-BOTT_C4),0),IF($A194&gt;BOTT_C3,ROUND(BASE_C3+RATE_C3*($A194-BOTT_C3),0),IF($A194&gt;BOTT_C2,ROUND(BASE_C2+RATE_C2*($A194-BOTT_C2),0),ROUND(RATE_C1*$A194,0))))</f>
        <v>653</v>
      </c>
      <c r="G194" s="1816">
        <f t="shared" ref="G194:G257" si="22">IF($A194&gt;BOTT_D4,ROUND(BASE_D4+RATE_D4*($A194-BOTT_D4),0),IF($A194&gt;BOTT_D3,ROUND(BASE_D3+RATE_D3*($A194-BOTT_D3),0),IF($A194&gt;BOTT_D2,ROUND(BASE_D2+RATE_D2*($A194-BOTT_D2),0),ROUND(RATE_D1*$A194,0))))</f>
        <v>653</v>
      </c>
    </row>
    <row r="195" spans="1:7" ht="15.75">
      <c r="A195" s="1961">
        <f t="shared" ref="A195:A258" si="23">AVERAGE(B195,C195)</f>
        <v>6575</v>
      </c>
      <c r="B195" s="1815">
        <v>6550</v>
      </c>
      <c r="C195" s="1815">
        <v>6600</v>
      </c>
      <c r="D195" s="1816">
        <f t="shared" si="19"/>
        <v>658</v>
      </c>
      <c r="E195" s="1816">
        <f t="shared" si="20"/>
        <v>658</v>
      </c>
      <c r="F195" s="1816">
        <f t="shared" si="21"/>
        <v>658</v>
      </c>
      <c r="G195" s="1816">
        <f t="shared" si="22"/>
        <v>658</v>
      </c>
    </row>
    <row r="196" spans="1:7" ht="15.75">
      <c r="A196" s="1961">
        <f t="shared" si="23"/>
        <v>6625</v>
      </c>
      <c r="B196" s="1815">
        <v>6600</v>
      </c>
      <c r="C196" s="1815">
        <v>6650</v>
      </c>
      <c r="D196" s="1816">
        <f t="shared" si="19"/>
        <v>663</v>
      </c>
      <c r="E196" s="1816">
        <f t="shared" si="20"/>
        <v>663</v>
      </c>
      <c r="F196" s="1816">
        <f t="shared" si="21"/>
        <v>663</v>
      </c>
      <c r="G196" s="1816">
        <f t="shared" si="22"/>
        <v>663</v>
      </c>
    </row>
    <row r="197" spans="1:7" ht="15.75">
      <c r="A197" s="1961">
        <f t="shared" si="23"/>
        <v>6675</v>
      </c>
      <c r="B197" s="1815">
        <v>6650</v>
      </c>
      <c r="C197" s="1815">
        <v>6700</v>
      </c>
      <c r="D197" s="1816">
        <f t="shared" si="19"/>
        <v>668</v>
      </c>
      <c r="E197" s="1816">
        <f t="shared" si="20"/>
        <v>668</v>
      </c>
      <c r="F197" s="1816">
        <f t="shared" si="21"/>
        <v>668</v>
      </c>
      <c r="G197" s="1816">
        <f t="shared" si="22"/>
        <v>668</v>
      </c>
    </row>
    <row r="198" spans="1:7" ht="15.75">
      <c r="A198" s="1961">
        <f t="shared" si="23"/>
        <v>6725</v>
      </c>
      <c r="B198" s="1815">
        <v>6700</v>
      </c>
      <c r="C198" s="1815">
        <v>6750</v>
      </c>
      <c r="D198" s="1816">
        <f t="shared" si="19"/>
        <v>673</v>
      </c>
      <c r="E198" s="1816">
        <f t="shared" si="20"/>
        <v>673</v>
      </c>
      <c r="F198" s="1816">
        <f t="shared" si="21"/>
        <v>673</v>
      </c>
      <c r="G198" s="1816">
        <f t="shared" si="22"/>
        <v>673</v>
      </c>
    </row>
    <row r="199" spans="1:7" ht="15.75">
      <c r="A199" s="1961">
        <f t="shared" si="23"/>
        <v>6775</v>
      </c>
      <c r="B199" s="1815">
        <v>6750</v>
      </c>
      <c r="C199" s="1815">
        <v>6800</v>
      </c>
      <c r="D199" s="1816">
        <f t="shared" si="19"/>
        <v>678</v>
      </c>
      <c r="E199" s="1816">
        <f t="shared" si="20"/>
        <v>678</v>
      </c>
      <c r="F199" s="1816">
        <f t="shared" si="21"/>
        <v>678</v>
      </c>
      <c r="G199" s="1816">
        <f t="shared" si="22"/>
        <v>678</v>
      </c>
    </row>
    <row r="200" spans="1:7" ht="15.75">
      <c r="A200" s="1961">
        <f t="shared" si="23"/>
        <v>6825</v>
      </c>
      <c r="B200" s="1815">
        <v>6800</v>
      </c>
      <c r="C200" s="1815">
        <v>6850</v>
      </c>
      <c r="D200" s="1816">
        <f t="shared" si="19"/>
        <v>683</v>
      </c>
      <c r="E200" s="1816">
        <f t="shared" si="20"/>
        <v>683</v>
      </c>
      <c r="F200" s="1816">
        <f t="shared" si="21"/>
        <v>683</v>
      </c>
      <c r="G200" s="1816">
        <f t="shared" si="22"/>
        <v>683</v>
      </c>
    </row>
    <row r="201" spans="1:7" ht="15.75">
      <c r="A201" s="1961">
        <f t="shared" si="23"/>
        <v>6875</v>
      </c>
      <c r="B201" s="1815">
        <v>6850</v>
      </c>
      <c r="C201" s="1815">
        <v>6900</v>
      </c>
      <c r="D201" s="1816">
        <f t="shared" si="19"/>
        <v>688</v>
      </c>
      <c r="E201" s="1816">
        <f t="shared" si="20"/>
        <v>688</v>
      </c>
      <c r="F201" s="1816">
        <f t="shared" si="21"/>
        <v>688</v>
      </c>
      <c r="G201" s="1816">
        <f t="shared" si="22"/>
        <v>688</v>
      </c>
    </row>
    <row r="202" spans="1:7" ht="15.75">
      <c r="A202" s="1961">
        <f t="shared" si="23"/>
        <v>6925</v>
      </c>
      <c r="B202" s="1815">
        <v>6900</v>
      </c>
      <c r="C202" s="1815">
        <v>6950</v>
      </c>
      <c r="D202" s="1816">
        <f t="shared" si="19"/>
        <v>693</v>
      </c>
      <c r="E202" s="1816">
        <f t="shared" si="20"/>
        <v>693</v>
      </c>
      <c r="F202" s="1816">
        <f t="shared" si="21"/>
        <v>693</v>
      </c>
      <c r="G202" s="1816">
        <f t="shared" si="22"/>
        <v>693</v>
      </c>
    </row>
    <row r="203" spans="1:7" ht="15.75">
      <c r="A203" s="1961">
        <f t="shared" si="23"/>
        <v>6975</v>
      </c>
      <c r="B203" s="1815">
        <v>6950</v>
      </c>
      <c r="C203" s="1815">
        <v>7000</v>
      </c>
      <c r="D203" s="1816">
        <f t="shared" si="19"/>
        <v>698</v>
      </c>
      <c r="E203" s="1816">
        <f t="shared" si="20"/>
        <v>698</v>
      </c>
      <c r="F203" s="1816">
        <f t="shared" si="21"/>
        <v>698</v>
      </c>
      <c r="G203" s="1816">
        <f t="shared" si="22"/>
        <v>698</v>
      </c>
    </row>
    <row r="204" spans="1:7" ht="15.75">
      <c r="A204" s="1961">
        <f t="shared" si="23"/>
        <v>7025</v>
      </c>
      <c r="B204" s="1815">
        <v>7000</v>
      </c>
      <c r="C204" s="1815">
        <v>7050</v>
      </c>
      <c r="D204" s="1816">
        <f t="shared" si="19"/>
        <v>703</v>
      </c>
      <c r="E204" s="1816">
        <f t="shared" si="20"/>
        <v>703</v>
      </c>
      <c r="F204" s="1816">
        <f t="shared" si="21"/>
        <v>703</v>
      </c>
      <c r="G204" s="1816">
        <f t="shared" si="22"/>
        <v>703</v>
      </c>
    </row>
    <row r="205" spans="1:7" ht="15.75">
      <c r="A205" s="1961">
        <f t="shared" si="23"/>
        <v>7075</v>
      </c>
      <c r="B205" s="1815">
        <v>7050</v>
      </c>
      <c r="C205" s="1815">
        <v>7100</v>
      </c>
      <c r="D205" s="1816">
        <f t="shared" si="19"/>
        <v>708</v>
      </c>
      <c r="E205" s="1816">
        <f t="shared" si="20"/>
        <v>708</v>
      </c>
      <c r="F205" s="1816">
        <f t="shared" si="21"/>
        <v>708</v>
      </c>
      <c r="G205" s="1816">
        <f t="shared" si="22"/>
        <v>708</v>
      </c>
    </row>
    <row r="206" spans="1:7" ht="15.75">
      <c r="A206" s="1961">
        <f t="shared" si="23"/>
        <v>7125</v>
      </c>
      <c r="B206" s="1815">
        <v>7100</v>
      </c>
      <c r="C206" s="1815">
        <v>7150</v>
      </c>
      <c r="D206" s="1816">
        <f t="shared" si="19"/>
        <v>713</v>
      </c>
      <c r="E206" s="1816">
        <f t="shared" si="20"/>
        <v>713</v>
      </c>
      <c r="F206" s="1816">
        <f t="shared" si="21"/>
        <v>713</v>
      </c>
      <c r="G206" s="1816">
        <f t="shared" si="22"/>
        <v>713</v>
      </c>
    </row>
    <row r="207" spans="1:7" ht="15.75">
      <c r="A207" s="1961">
        <f t="shared" si="23"/>
        <v>7175</v>
      </c>
      <c r="B207" s="1815">
        <v>7150</v>
      </c>
      <c r="C207" s="1815">
        <v>7200</v>
      </c>
      <c r="D207" s="1816">
        <f t="shared" si="19"/>
        <v>718</v>
      </c>
      <c r="E207" s="1816">
        <f t="shared" si="20"/>
        <v>718</v>
      </c>
      <c r="F207" s="1816">
        <f t="shared" si="21"/>
        <v>718</v>
      </c>
      <c r="G207" s="1816">
        <f t="shared" si="22"/>
        <v>718</v>
      </c>
    </row>
    <row r="208" spans="1:7" ht="15.75">
      <c r="A208" s="1961">
        <f t="shared" si="23"/>
        <v>7225</v>
      </c>
      <c r="B208" s="1815">
        <v>7200</v>
      </c>
      <c r="C208" s="1815">
        <v>7250</v>
      </c>
      <c r="D208" s="1816">
        <f t="shared" si="19"/>
        <v>723</v>
      </c>
      <c r="E208" s="1816">
        <f t="shared" si="20"/>
        <v>723</v>
      </c>
      <c r="F208" s="1816">
        <f t="shared" si="21"/>
        <v>723</v>
      </c>
      <c r="G208" s="1816">
        <f t="shared" si="22"/>
        <v>723</v>
      </c>
    </row>
    <row r="209" spans="1:7" ht="15.75">
      <c r="A209" s="1961">
        <f t="shared" si="23"/>
        <v>7275</v>
      </c>
      <c r="B209" s="1815">
        <v>7250</v>
      </c>
      <c r="C209" s="1815">
        <v>7300</v>
      </c>
      <c r="D209" s="1816">
        <f t="shared" si="19"/>
        <v>728</v>
      </c>
      <c r="E209" s="1816">
        <f t="shared" si="20"/>
        <v>728</v>
      </c>
      <c r="F209" s="1816">
        <f t="shared" si="21"/>
        <v>728</v>
      </c>
      <c r="G209" s="1816">
        <f t="shared" si="22"/>
        <v>728</v>
      </c>
    </row>
    <row r="210" spans="1:7" ht="15.75">
      <c r="A210" s="1961">
        <f t="shared" si="23"/>
        <v>7325</v>
      </c>
      <c r="B210" s="1815">
        <v>7300</v>
      </c>
      <c r="C210" s="1815">
        <v>7350</v>
      </c>
      <c r="D210" s="1816">
        <f t="shared" si="19"/>
        <v>733</v>
      </c>
      <c r="E210" s="1816">
        <f t="shared" si="20"/>
        <v>733</v>
      </c>
      <c r="F210" s="1816">
        <f t="shared" si="21"/>
        <v>733</v>
      </c>
      <c r="G210" s="1816">
        <f t="shared" si="22"/>
        <v>733</v>
      </c>
    </row>
    <row r="211" spans="1:7" ht="15.75">
      <c r="A211" s="1961">
        <f t="shared" si="23"/>
        <v>7375</v>
      </c>
      <c r="B211" s="1815">
        <v>7350</v>
      </c>
      <c r="C211" s="1815">
        <v>7400</v>
      </c>
      <c r="D211" s="1816">
        <f t="shared" si="19"/>
        <v>738</v>
      </c>
      <c r="E211" s="1816">
        <f t="shared" si="20"/>
        <v>738</v>
      </c>
      <c r="F211" s="1816">
        <f t="shared" si="21"/>
        <v>738</v>
      </c>
      <c r="G211" s="1816">
        <f t="shared" si="22"/>
        <v>738</v>
      </c>
    </row>
    <row r="212" spans="1:7" ht="15.75">
      <c r="A212" s="1961">
        <f t="shared" si="23"/>
        <v>7425</v>
      </c>
      <c r="B212" s="1815">
        <v>7400</v>
      </c>
      <c r="C212" s="1815">
        <v>7450</v>
      </c>
      <c r="D212" s="1816">
        <f t="shared" si="19"/>
        <v>743</v>
      </c>
      <c r="E212" s="1816">
        <f t="shared" si="20"/>
        <v>743</v>
      </c>
      <c r="F212" s="1816">
        <f t="shared" si="21"/>
        <v>743</v>
      </c>
      <c r="G212" s="1816">
        <f t="shared" si="22"/>
        <v>743</v>
      </c>
    </row>
    <row r="213" spans="1:7" ht="15.75">
      <c r="A213" s="1961">
        <f t="shared" si="23"/>
        <v>7475</v>
      </c>
      <c r="B213" s="1815">
        <v>7450</v>
      </c>
      <c r="C213" s="1815">
        <v>7500</v>
      </c>
      <c r="D213" s="1816">
        <f t="shared" si="19"/>
        <v>748</v>
      </c>
      <c r="E213" s="1816">
        <f t="shared" si="20"/>
        <v>748</v>
      </c>
      <c r="F213" s="1816">
        <f t="shared" si="21"/>
        <v>748</v>
      </c>
      <c r="G213" s="1816">
        <f t="shared" si="22"/>
        <v>748</v>
      </c>
    </row>
    <row r="214" spans="1:7" ht="15.75">
      <c r="A214" s="1961">
        <f t="shared" si="23"/>
        <v>7525</v>
      </c>
      <c r="B214" s="1815">
        <v>7500</v>
      </c>
      <c r="C214" s="1815">
        <v>7550</v>
      </c>
      <c r="D214" s="1816">
        <f t="shared" si="19"/>
        <v>753</v>
      </c>
      <c r="E214" s="1816">
        <f t="shared" si="20"/>
        <v>753</v>
      </c>
      <c r="F214" s="1816">
        <f t="shared" si="21"/>
        <v>753</v>
      </c>
      <c r="G214" s="1816">
        <f t="shared" si="22"/>
        <v>753</v>
      </c>
    </row>
    <row r="215" spans="1:7" ht="15.75">
      <c r="A215" s="1961">
        <f t="shared" si="23"/>
        <v>7575</v>
      </c>
      <c r="B215" s="1815">
        <v>7550</v>
      </c>
      <c r="C215" s="1815">
        <v>7600</v>
      </c>
      <c r="D215" s="1816">
        <f t="shared" si="19"/>
        <v>758</v>
      </c>
      <c r="E215" s="1816">
        <f t="shared" si="20"/>
        <v>758</v>
      </c>
      <c r="F215" s="1816">
        <f t="shared" si="21"/>
        <v>758</v>
      </c>
      <c r="G215" s="1816">
        <f t="shared" si="22"/>
        <v>758</v>
      </c>
    </row>
    <row r="216" spans="1:7" ht="15.75">
      <c r="A216" s="1961">
        <f t="shared" si="23"/>
        <v>7625</v>
      </c>
      <c r="B216" s="1815">
        <v>7600</v>
      </c>
      <c r="C216" s="1815">
        <v>7650</v>
      </c>
      <c r="D216" s="1816">
        <f t="shared" si="19"/>
        <v>763</v>
      </c>
      <c r="E216" s="1816">
        <f t="shared" si="20"/>
        <v>763</v>
      </c>
      <c r="F216" s="1816">
        <f t="shared" si="21"/>
        <v>763</v>
      </c>
      <c r="G216" s="1816">
        <f t="shared" si="22"/>
        <v>763</v>
      </c>
    </row>
    <row r="217" spans="1:7" ht="15.75">
      <c r="A217" s="1961">
        <f t="shared" si="23"/>
        <v>7675</v>
      </c>
      <c r="B217" s="1815">
        <v>7650</v>
      </c>
      <c r="C217" s="1815">
        <v>7700</v>
      </c>
      <c r="D217" s="1816">
        <f t="shared" si="19"/>
        <v>768</v>
      </c>
      <c r="E217" s="1816">
        <f t="shared" si="20"/>
        <v>768</v>
      </c>
      <c r="F217" s="1816">
        <f t="shared" si="21"/>
        <v>768</v>
      </c>
      <c r="G217" s="1816">
        <f t="shared" si="22"/>
        <v>768</v>
      </c>
    </row>
    <row r="218" spans="1:7" ht="15.75">
      <c r="A218" s="1961">
        <f t="shared" si="23"/>
        <v>7725</v>
      </c>
      <c r="B218" s="1815">
        <v>7700</v>
      </c>
      <c r="C218" s="1815">
        <v>7750</v>
      </c>
      <c r="D218" s="1816">
        <f t="shared" si="19"/>
        <v>773</v>
      </c>
      <c r="E218" s="1816">
        <f t="shared" si="20"/>
        <v>773</v>
      </c>
      <c r="F218" s="1816">
        <f t="shared" si="21"/>
        <v>773</v>
      </c>
      <c r="G218" s="1816">
        <f t="shared" si="22"/>
        <v>773</v>
      </c>
    </row>
    <row r="219" spans="1:7" ht="15.75">
      <c r="A219" s="1961">
        <f t="shared" si="23"/>
        <v>7775</v>
      </c>
      <c r="B219" s="1815">
        <v>7750</v>
      </c>
      <c r="C219" s="1815">
        <v>7800</v>
      </c>
      <c r="D219" s="1816">
        <f t="shared" si="19"/>
        <v>778</v>
      </c>
      <c r="E219" s="1816">
        <f t="shared" si="20"/>
        <v>778</v>
      </c>
      <c r="F219" s="1816">
        <f t="shared" si="21"/>
        <v>778</v>
      </c>
      <c r="G219" s="1816">
        <f t="shared" si="22"/>
        <v>778</v>
      </c>
    </row>
    <row r="220" spans="1:7" ht="15.75">
      <c r="A220" s="1961">
        <f t="shared" si="23"/>
        <v>7825</v>
      </c>
      <c r="B220" s="1815">
        <v>7800</v>
      </c>
      <c r="C220" s="1815">
        <v>7850</v>
      </c>
      <c r="D220" s="1816">
        <f t="shared" si="19"/>
        <v>783</v>
      </c>
      <c r="E220" s="1816">
        <f t="shared" si="20"/>
        <v>783</v>
      </c>
      <c r="F220" s="1816">
        <f t="shared" si="21"/>
        <v>783</v>
      </c>
      <c r="G220" s="1816">
        <f t="shared" si="22"/>
        <v>783</v>
      </c>
    </row>
    <row r="221" spans="1:7" ht="15.75">
      <c r="A221" s="1961">
        <f t="shared" si="23"/>
        <v>7875</v>
      </c>
      <c r="B221" s="1815">
        <v>7850</v>
      </c>
      <c r="C221" s="1815">
        <v>7900</v>
      </c>
      <c r="D221" s="1816">
        <f t="shared" si="19"/>
        <v>788</v>
      </c>
      <c r="E221" s="1816">
        <f t="shared" si="20"/>
        <v>788</v>
      </c>
      <c r="F221" s="1816">
        <f t="shared" si="21"/>
        <v>788</v>
      </c>
      <c r="G221" s="1816">
        <f t="shared" si="22"/>
        <v>788</v>
      </c>
    </row>
    <row r="222" spans="1:7" ht="15.75">
      <c r="A222" s="1961">
        <f t="shared" si="23"/>
        <v>7925</v>
      </c>
      <c r="B222" s="1815">
        <v>7900</v>
      </c>
      <c r="C222" s="1815">
        <v>7950</v>
      </c>
      <c r="D222" s="1816">
        <f t="shared" si="19"/>
        <v>793</v>
      </c>
      <c r="E222" s="1816">
        <f t="shared" si="20"/>
        <v>793</v>
      </c>
      <c r="F222" s="1816">
        <f t="shared" si="21"/>
        <v>793</v>
      </c>
      <c r="G222" s="1816">
        <f t="shared" si="22"/>
        <v>793</v>
      </c>
    </row>
    <row r="223" spans="1:7" ht="15.75">
      <c r="A223" s="1961">
        <f t="shared" si="23"/>
        <v>7975</v>
      </c>
      <c r="B223" s="1815">
        <v>7950</v>
      </c>
      <c r="C223" s="1815">
        <v>8000</v>
      </c>
      <c r="D223" s="1816">
        <f t="shared" si="19"/>
        <v>798</v>
      </c>
      <c r="E223" s="1816">
        <f t="shared" si="20"/>
        <v>798</v>
      </c>
      <c r="F223" s="1816">
        <f t="shared" si="21"/>
        <v>798</v>
      </c>
      <c r="G223" s="1816">
        <f t="shared" si="22"/>
        <v>798</v>
      </c>
    </row>
    <row r="224" spans="1:7" ht="15.75">
      <c r="A224" s="1961">
        <f t="shared" si="23"/>
        <v>8025</v>
      </c>
      <c r="B224" s="1815">
        <v>8000</v>
      </c>
      <c r="C224" s="1815">
        <v>8050</v>
      </c>
      <c r="D224" s="1816">
        <f t="shared" si="19"/>
        <v>803</v>
      </c>
      <c r="E224" s="1816">
        <f t="shared" si="20"/>
        <v>803</v>
      </c>
      <c r="F224" s="1816">
        <f t="shared" si="21"/>
        <v>803</v>
      </c>
      <c r="G224" s="1816">
        <f t="shared" si="22"/>
        <v>803</v>
      </c>
    </row>
    <row r="225" spans="1:7" ht="15.75">
      <c r="A225" s="1961">
        <f t="shared" si="23"/>
        <v>8075</v>
      </c>
      <c r="B225" s="1815">
        <v>8050</v>
      </c>
      <c r="C225" s="1815">
        <v>8100</v>
      </c>
      <c r="D225" s="1816">
        <f t="shared" si="19"/>
        <v>808</v>
      </c>
      <c r="E225" s="1816">
        <f t="shared" si="20"/>
        <v>808</v>
      </c>
      <c r="F225" s="1816">
        <f t="shared" si="21"/>
        <v>808</v>
      </c>
      <c r="G225" s="1816">
        <f t="shared" si="22"/>
        <v>808</v>
      </c>
    </row>
    <row r="226" spans="1:7" ht="15.75">
      <c r="A226" s="1961">
        <f t="shared" si="23"/>
        <v>8125</v>
      </c>
      <c r="B226" s="1815">
        <v>8100</v>
      </c>
      <c r="C226" s="1815">
        <v>8150</v>
      </c>
      <c r="D226" s="1816">
        <f t="shared" si="19"/>
        <v>813</v>
      </c>
      <c r="E226" s="1816">
        <f t="shared" si="20"/>
        <v>813</v>
      </c>
      <c r="F226" s="1816">
        <f t="shared" si="21"/>
        <v>813</v>
      </c>
      <c r="G226" s="1816">
        <f t="shared" si="22"/>
        <v>813</v>
      </c>
    </row>
    <row r="227" spans="1:7" ht="15.75">
      <c r="A227" s="1961">
        <f t="shared" si="23"/>
        <v>8175</v>
      </c>
      <c r="B227" s="1815">
        <v>8150</v>
      </c>
      <c r="C227" s="1815">
        <v>8200</v>
      </c>
      <c r="D227" s="1816">
        <f t="shared" si="19"/>
        <v>818</v>
      </c>
      <c r="E227" s="1816">
        <f t="shared" si="20"/>
        <v>818</v>
      </c>
      <c r="F227" s="1816">
        <f t="shared" si="21"/>
        <v>818</v>
      </c>
      <c r="G227" s="1816">
        <f t="shared" si="22"/>
        <v>818</v>
      </c>
    </row>
    <row r="228" spans="1:7" ht="15.75">
      <c r="A228" s="1961">
        <f t="shared" si="23"/>
        <v>8225</v>
      </c>
      <c r="B228" s="1815">
        <v>8200</v>
      </c>
      <c r="C228" s="1815">
        <v>8250</v>
      </c>
      <c r="D228" s="1816">
        <f t="shared" si="19"/>
        <v>823</v>
      </c>
      <c r="E228" s="1816">
        <f t="shared" si="20"/>
        <v>823</v>
      </c>
      <c r="F228" s="1816">
        <f t="shared" si="21"/>
        <v>823</v>
      </c>
      <c r="G228" s="1816">
        <f t="shared" si="22"/>
        <v>823</v>
      </c>
    </row>
    <row r="229" spans="1:7" ht="15.75">
      <c r="A229" s="1961">
        <f t="shared" si="23"/>
        <v>8275</v>
      </c>
      <c r="B229" s="1815">
        <v>8250</v>
      </c>
      <c r="C229" s="1815">
        <v>8300</v>
      </c>
      <c r="D229" s="1816">
        <f t="shared" si="19"/>
        <v>828</v>
      </c>
      <c r="E229" s="1816">
        <f t="shared" si="20"/>
        <v>828</v>
      </c>
      <c r="F229" s="1816">
        <f t="shared" si="21"/>
        <v>828</v>
      </c>
      <c r="G229" s="1816">
        <f t="shared" si="22"/>
        <v>828</v>
      </c>
    </row>
    <row r="230" spans="1:7" ht="15.75">
      <c r="A230" s="1961">
        <f t="shared" si="23"/>
        <v>8325</v>
      </c>
      <c r="B230" s="1815">
        <v>8300</v>
      </c>
      <c r="C230" s="1815">
        <v>8350</v>
      </c>
      <c r="D230" s="1816">
        <f t="shared" si="19"/>
        <v>833</v>
      </c>
      <c r="E230" s="1816">
        <f t="shared" si="20"/>
        <v>833</v>
      </c>
      <c r="F230" s="1816">
        <f t="shared" si="21"/>
        <v>833</v>
      </c>
      <c r="G230" s="1816">
        <f t="shared" si="22"/>
        <v>833</v>
      </c>
    </row>
    <row r="231" spans="1:7" ht="15.75">
      <c r="A231" s="1961">
        <f t="shared" si="23"/>
        <v>8375</v>
      </c>
      <c r="B231" s="1815">
        <v>8350</v>
      </c>
      <c r="C231" s="1815">
        <v>8400</v>
      </c>
      <c r="D231" s="1816">
        <f t="shared" si="19"/>
        <v>838</v>
      </c>
      <c r="E231" s="1816">
        <f t="shared" si="20"/>
        <v>838</v>
      </c>
      <c r="F231" s="1816">
        <f t="shared" si="21"/>
        <v>838</v>
      </c>
      <c r="G231" s="1816">
        <f t="shared" si="22"/>
        <v>838</v>
      </c>
    </row>
    <row r="232" spans="1:7" ht="15.75">
      <c r="A232" s="1961">
        <f t="shared" si="23"/>
        <v>8425</v>
      </c>
      <c r="B232" s="1815">
        <v>8400</v>
      </c>
      <c r="C232" s="1815">
        <v>8450</v>
      </c>
      <c r="D232" s="1816">
        <f t="shared" si="19"/>
        <v>843</v>
      </c>
      <c r="E232" s="1816">
        <f t="shared" si="20"/>
        <v>843</v>
      </c>
      <c r="F232" s="1816">
        <f t="shared" si="21"/>
        <v>843</v>
      </c>
      <c r="G232" s="1816">
        <f t="shared" si="22"/>
        <v>843</v>
      </c>
    </row>
    <row r="233" spans="1:7" ht="15.75">
      <c r="A233" s="1961">
        <f t="shared" si="23"/>
        <v>8475</v>
      </c>
      <c r="B233" s="1815">
        <v>8450</v>
      </c>
      <c r="C233" s="1815">
        <v>8500</v>
      </c>
      <c r="D233" s="1816">
        <f t="shared" si="19"/>
        <v>848</v>
      </c>
      <c r="E233" s="1816">
        <f t="shared" si="20"/>
        <v>848</v>
      </c>
      <c r="F233" s="1816">
        <f t="shared" si="21"/>
        <v>848</v>
      </c>
      <c r="G233" s="1816">
        <f t="shared" si="22"/>
        <v>848</v>
      </c>
    </row>
    <row r="234" spans="1:7" ht="15.75">
      <c r="A234" s="1961">
        <f t="shared" si="23"/>
        <v>8525</v>
      </c>
      <c r="B234" s="1815">
        <v>8500</v>
      </c>
      <c r="C234" s="1815">
        <v>8550</v>
      </c>
      <c r="D234" s="1816">
        <f t="shared" si="19"/>
        <v>853</v>
      </c>
      <c r="E234" s="1816">
        <f t="shared" si="20"/>
        <v>853</v>
      </c>
      <c r="F234" s="1816">
        <f t="shared" si="21"/>
        <v>853</v>
      </c>
      <c r="G234" s="1816">
        <f t="shared" si="22"/>
        <v>853</v>
      </c>
    </row>
    <row r="235" spans="1:7" ht="15.75">
      <c r="A235" s="1961">
        <f t="shared" si="23"/>
        <v>8575</v>
      </c>
      <c r="B235" s="1815">
        <v>8550</v>
      </c>
      <c r="C235" s="1815">
        <v>8600</v>
      </c>
      <c r="D235" s="1816">
        <f t="shared" si="19"/>
        <v>858</v>
      </c>
      <c r="E235" s="1816">
        <f t="shared" si="20"/>
        <v>858</v>
      </c>
      <c r="F235" s="1816">
        <f t="shared" si="21"/>
        <v>858</v>
      </c>
      <c r="G235" s="1816">
        <f t="shared" si="22"/>
        <v>858</v>
      </c>
    </row>
    <row r="236" spans="1:7" ht="15.75">
      <c r="A236" s="1961">
        <f t="shared" si="23"/>
        <v>8625</v>
      </c>
      <c r="B236" s="1815">
        <v>8600</v>
      </c>
      <c r="C236" s="1815">
        <v>8650</v>
      </c>
      <c r="D236" s="1816">
        <f t="shared" si="19"/>
        <v>863</v>
      </c>
      <c r="E236" s="1816">
        <f t="shared" si="20"/>
        <v>863</v>
      </c>
      <c r="F236" s="1816">
        <f t="shared" si="21"/>
        <v>863</v>
      </c>
      <c r="G236" s="1816">
        <f t="shared" si="22"/>
        <v>863</v>
      </c>
    </row>
    <row r="237" spans="1:7" ht="15.75">
      <c r="A237" s="1961">
        <f t="shared" si="23"/>
        <v>8675</v>
      </c>
      <c r="B237" s="1815">
        <v>8650</v>
      </c>
      <c r="C237" s="1815">
        <v>8700</v>
      </c>
      <c r="D237" s="1816">
        <f t="shared" si="19"/>
        <v>868</v>
      </c>
      <c r="E237" s="1816">
        <f t="shared" si="20"/>
        <v>868</v>
      </c>
      <c r="F237" s="1816">
        <f t="shared" si="21"/>
        <v>868</v>
      </c>
      <c r="G237" s="1816">
        <f t="shared" si="22"/>
        <v>868</v>
      </c>
    </row>
    <row r="238" spans="1:7" ht="15.75">
      <c r="A238" s="1961">
        <f t="shared" si="23"/>
        <v>8725</v>
      </c>
      <c r="B238" s="1815">
        <v>8700</v>
      </c>
      <c r="C238" s="1815">
        <v>8750</v>
      </c>
      <c r="D238" s="1816">
        <f t="shared" si="19"/>
        <v>873</v>
      </c>
      <c r="E238" s="1816">
        <f t="shared" si="20"/>
        <v>873</v>
      </c>
      <c r="F238" s="1816">
        <f t="shared" si="21"/>
        <v>873</v>
      </c>
      <c r="G238" s="1816">
        <f t="shared" si="22"/>
        <v>873</v>
      </c>
    </row>
    <row r="239" spans="1:7" ht="15.75">
      <c r="A239" s="1961">
        <f t="shared" si="23"/>
        <v>8775</v>
      </c>
      <c r="B239" s="1815">
        <v>8750</v>
      </c>
      <c r="C239" s="1815">
        <v>8800</v>
      </c>
      <c r="D239" s="1816">
        <f t="shared" si="19"/>
        <v>878</v>
      </c>
      <c r="E239" s="1816">
        <f t="shared" si="20"/>
        <v>878</v>
      </c>
      <c r="F239" s="1816">
        <f t="shared" si="21"/>
        <v>878</v>
      </c>
      <c r="G239" s="1816">
        <f t="shared" si="22"/>
        <v>878</v>
      </c>
    </row>
    <row r="240" spans="1:7" ht="15.75">
      <c r="A240" s="1961">
        <f t="shared" si="23"/>
        <v>8825</v>
      </c>
      <c r="B240" s="1815">
        <v>8800</v>
      </c>
      <c r="C240" s="1815">
        <v>8850</v>
      </c>
      <c r="D240" s="1816">
        <f t="shared" si="19"/>
        <v>883</v>
      </c>
      <c r="E240" s="1816">
        <f t="shared" si="20"/>
        <v>883</v>
      </c>
      <c r="F240" s="1816">
        <f t="shared" si="21"/>
        <v>883</v>
      </c>
      <c r="G240" s="1816">
        <f t="shared" si="22"/>
        <v>883</v>
      </c>
    </row>
    <row r="241" spans="1:7" ht="15.75">
      <c r="A241" s="1961">
        <f t="shared" si="23"/>
        <v>8875</v>
      </c>
      <c r="B241" s="1815">
        <v>8850</v>
      </c>
      <c r="C241" s="1815">
        <v>8900</v>
      </c>
      <c r="D241" s="1816">
        <f t="shared" si="19"/>
        <v>888</v>
      </c>
      <c r="E241" s="1816">
        <f t="shared" si="20"/>
        <v>888</v>
      </c>
      <c r="F241" s="1816">
        <f t="shared" si="21"/>
        <v>888</v>
      </c>
      <c r="G241" s="1816">
        <f t="shared" si="22"/>
        <v>888</v>
      </c>
    </row>
    <row r="242" spans="1:7" ht="15.75">
      <c r="A242" s="1961">
        <f t="shared" si="23"/>
        <v>8925</v>
      </c>
      <c r="B242" s="1815">
        <v>8900</v>
      </c>
      <c r="C242" s="1815">
        <v>8950</v>
      </c>
      <c r="D242" s="1816">
        <f t="shared" si="19"/>
        <v>893</v>
      </c>
      <c r="E242" s="1816">
        <f t="shared" si="20"/>
        <v>893</v>
      </c>
      <c r="F242" s="1816">
        <f t="shared" si="21"/>
        <v>893</v>
      </c>
      <c r="G242" s="1816">
        <f t="shared" si="22"/>
        <v>893</v>
      </c>
    </row>
    <row r="243" spans="1:7" ht="15.75">
      <c r="A243" s="1961">
        <f t="shared" si="23"/>
        <v>8975</v>
      </c>
      <c r="B243" s="1815">
        <v>8950</v>
      </c>
      <c r="C243" s="1815">
        <v>9000</v>
      </c>
      <c r="D243" s="1816">
        <f t="shared" si="19"/>
        <v>898</v>
      </c>
      <c r="E243" s="1816">
        <f t="shared" si="20"/>
        <v>898</v>
      </c>
      <c r="F243" s="1816">
        <f t="shared" si="21"/>
        <v>898</v>
      </c>
      <c r="G243" s="1816">
        <f t="shared" si="22"/>
        <v>898</v>
      </c>
    </row>
    <row r="244" spans="1:7" ht="15.75">
      <c r="A244" s="1961">
        <f t="shared" si="23"/>
        <v>9025</v>
      </c>
      <c r="B244" s="1815">
        <v>9000</v>
      </c>
      <c r="C244" s="1815">
        <v>9050</v>
      </c>
      <c r="D244" s="1816">
        <f t="shared" si="19"/>
        <v>903</v>
      </c>
      <c r="E244" s="1816">
        <f t="shared" si="20"/>
        <v>903</v>
      </c>
      <c r="F244" s="1816">
        <f t="shared" si="21"/>
        <v>903</v>
      </c>
      <c r="G244" s="1816">
        <f t="shared" si="22"/>
        <v>903</v>
      </c>
    </row>
    <row r="245" spans="1:7" ht="15.75">
      <c r="A245" s="1961">
        <f t="shared" si="23"/>
        <v>9075</v>
      </c>
      <c r="B245" s="1815">
        <v>9050</v>
      </c>
      <c r="C245" s="1815">
        <v>9100</v>
      </c>
      <c r="D245" s="1816">
        <f t="shared" si="19"/>
        <v>908</v>
      </c>
      <c r="E245" s="1816">
        <f t="shared" si="20"/>
        <v>908</v>
      </c>
      <c r="F245" s="1816">
        <f t="shared" si="21"/>
        <v>908</v>
      </c>
      <c r="G245" s="1816">
        <f t="shared" si="22"/>
        <v>908</v>
      </c>
    </row>
    <row r="246" spans="1:7" ht="15.75">
      <c r="A246" s="1961">
        <f t="shared" si="23"/>
        <v>9125</v>
      </c>
      <c r="B246" s="1815">
        <v>9100</v>
      </c>
      <c r="C246" s="1815">
        <v>9150</v>
      </c>
      <c r="D246" s="1816">
        <f t="shared" si="19"/>
        <v>913</v>
      </c>
      <c r="E246" s="1816">
        <f t="shared" si="20"/>
        <v>913</v>
      </c>
      <c r="F246" s="1816">
        <f t="shared" si="21"/>
        <v>913</v>
      </c>
      <c r="G246" s="1816">
        <f t="shared" si="22"/>
        <v>913</v>
      </c>
    </row>
    <row r="247" spans="1:7" ht="15.75">
      <c r="A247" s="1961">
        <f t="shared" si="23"/>
        <v>9175</v>
      </c>
      <c r="B247" s="1815">
        <v>9150</v>
      </c>
      <c r="C247" s="1815">
        <v>9200</v>
      </c>
      <c r="D247" s="1816">
        <f t="shared" si="19"/>
        <v>918</v>
      </c>
      <c r="E247" s="1816">
        <f t="shared" si="20"/>
        <v>918</v>
      </c>
      <c r="F247" s="1816">
        <f t="shared" si="21"/>
        <v>918</v>
      </c>
      <c r="G247" s="1816">
        <f t="shared" si="22"/>
        <v>918</v>
      </c>
    </row>
    <row r="248" spans="1:7" ht="15.75">
      <c r="A248" s="1961">
        <f t="shared" si="23"/>
        <v>9225</v>
      </c>
      <c r="B248" s="1815">
        <v>9200</v>
      </c>
      <c r="C248" s="1815">
        <v>9250</v>
      </c>
      <c r="D248" s="1816">
        <f t="shared" si="19"/>
        <v>923</v>
      </c>
      <c r="E248" s="1816">
        <f t="shared" si="20"/>
        <v>923</v>
      </c>
      <c r="F248" s="1816">
        <f t="shared" si="21"/>
        <v>923</v>
      </c>
      <c r="G248" s="1816">
        <f t="shared" si="22"/>
        <v>923</v>
      </c>
    </row>
    <row r="249" spans="1:7" ht="15.75">
      <c r="A249" s="1961">
        <f t="shared" si="23"/>
        <v>9275</v>
      </c>
      <c r="B249" s="1815">
        <v>9250</v>
      </c>
      <c r="C249" s="1815">
        <v>9300</v>
      </c>
      <c r="D249" s="1816">
        <f t="shared" si="19"/>
        <v>928</v>
      </c>
      <c r="E249" s="1816">
        <f t="shared" si="20"/>
        <v>928</v>
      </c>
      <c r="F249" s="1816">
        <f t="shared" si="21"/>
        <v>928</v>
      </c>
      <c r="G249" s="1816">
        <f t="shared" si="22"/>
        <v>928</v>
      </c>
    </row>
    <row r="250" spans="1:7" ht="15.75">
      <c r="A250" s="1961">
        <f t="shared" si="23"/>
        <v>9325</v>
      </c>
      <c r="B250" s="1815">
        <v>9300</v>
      </c>
      <c r="C250" s="1815">
        <v>9350</v>
      </c>
      <c r="D250" s="1816">
        <f t="shared" si="19"/>
        <v>933</v>
      </c>
      <c r="E250" s="1816">
        <f t="shared" si="20"/>
        <v>933</v>
      </c>
      <c r="F250" s="1816">
        <f t="shared" si="21"/>
        <v>933</v>
      </c>
      <c r="G250" s="1816">
        <f t="shared" si="22"/>
        <v>933</v>
      </c>
    </row>
    <row r="251" spans="1:7" ht="15.75">
      <c r="A251" s="1961">
        <f t="shared" si="23"/>
        <v>9375</v>
      </c>
      <c r="B251" s="1815">
        <v>9350</v>
      </c>
      <c r="C251" s="1815">
        <v>9400</v>
      </c>
      <c r="D251" s="1816">
        <f t="shared" si="19"/>
        <v>938</v>
      </c>
      <c r="E251" s="1816">
        <f t="shared" si="20"/>
        <v>938</v>
      </c>
      <c r="F251" s="1816">
        <f t="shared" si="21"/>
        <v>938</v>
      </c>
      <c r="G251" s="1816">
        <f t="shared" si="22"/>
        <v>938</v>
      </c>
    </row>
    <row r="252" spans="1:7" ht="15.75">
      <c r="A252" s="1961">
        <f t="shared" si="23"/>
        <v>9425</v>
      </c>
      <c r="B252" s="1815">
        <v>9400</v>
      </c>
      <c r="C252" s="1815">
        <v>9450</v>
      </c>
      <c r="D252" s="1816">
        <f t="shared" si="19"/>
        <v>943</v>
      </c>
      <c r="E252" s="1816">
        <f t="shared" si="20"/>
        <v>943</v>
      </c>
      <c r="F252" s="1816">
        <f t="shared" si="21"/>
        <v>943</v>
      </c>
      <c r="G252" s="1816">
        <f t="shared" si="22"/>
        <v>943</v>
      </c>
    </row>
    <row r="253" spans="1:7" ht="15.75">
      <c r="A253" s="1961">
        <f t="shared" si="23"/>
        <v>9475</v>
      </c>
      <c r="B253" s="1815">
        <v>9450</v>
      </c>
      <c r="C253" s="1815">
        <v>9500</v>
      </c>
      <c r="D253" s="1816">
        <f t="shared" si="19"/>
        <v>948</v>
      </c>
      <c r="E253" s="1816">
        <f t="shared" si="20"/>
        <v>948</v>
      </c>
      <c r="F253" s="1816">
        <f t="shared" si="21"/>
        <v>948</v>
      </c>
      <c r="G253" s="1816">
        <f t="shared" si="22"/>
        <v>948</v>
      </c>
    </row>
    <row r="254" spans="1:7" ht="15.75">
      <c r="A254" s="1961">
        <f t="shared" si="23"/>
        <v>9525</v>
      </c>
      <c r="B254" s="1815">
        <v>9500</v>
      </c>
      <c r="C254" s="1815">
        <v>9550</v>
      </c>
      <c r="D254" s="1816">
        <f t="shared" si="19"/>
        <v>953</v>
      </c>
      <c r="E254" s="1816">
        <f t="shared" si="20"/>
        <v>953</v>
      </c>
      <c r="F254" s="1816">
        <f t="shared" si="21"/>
        <v>953</v>
      </c>
      <c r="G254" s="1816">
        <f t="shared" si="22"/>
        <v>953</v>
      </c>
    </row>
    <row r="255" spans="1:7" ht="15.75">
      <c r="A255" s="1961">
        <f t="shared" si="23"/>
        <v>9575</v>
      </c>
      <c r="B255" s="1815">
        <v>9550</v>
      </c>
      <c r="C255" s="1815">
        <v>9600</v>
      </c>
      <c r="D255" s="1816">
        <f t="shared" si="19"/>
        <v>958</v>
      </c>
      <c r="E255" s="1816">
        <f t="shared" si="20"/>
        <v>958</v>
      </c>
      <c r="F255" s="1816">
        <f t="shared" si="21"/>
        <v>958</v>
      </c>
      <c r="G255" s="1816">
        <f t="shared" si="22"/>
        <v>958</v>
      </c>
    </row>
    <row r="256" spans="1:7" ht="15.75">
      <c r="A256" s="1961">
        <f t="shared" si="23"/>
        <v>9625</v>
      </c>
      <c r="B256" s="1815">
        <v>9600</v>
      </c>
      <c r="C256" s="1815">
        <v>9650</v>
      </c>
      <c r="D256" s="1816">
        <f t="shared" si="19"/>
        <v>963</v>
      </c>
      <c r="E256" s="1816">
        <f t="shared" si="20"/>
        <v>963</v>
      </c>
      <c r="F256" s="1816">
        <f t="shared" si="21"/>
        <v>963</v>
      </c>
      <c r="G256" s="1816">
        <f t="shared" si="22"/>
        <v>963</v>
      </c>
    </row>
    <row r="257" spans="1:7" ht="15.75">
      <c r="A257" s="1961">
        <f t="shared" si="23"/>
        <v>9675</v>
      </c>
      <c r="B257" s="1815">
        <v>9650</v>
      </c>
      <c r="C257" s="1815">
        <v>9700</v>
      </c>
      <c r="D257" s="1816">
        <f t="shared" si="19"/>
        <v>968</v>
      </c>
      <c r="E257" s="1816">
        <f t="shared" si="20"/>
        <v>968</v>
      </c>
      <c r="F257" s="1816">
        <f t="shared" si="21"/>
        <v>968</v>
      </c>
      <c r="G257" s="1816">
        <f t="shared" si="22"/>
        <v>968</v>
      </c>
    </row>
    <row r="258" spans="1:7" ht="15.75">
      <c r="A258" s="1961">
        <f t="shared" si="23"/>
        <v>9725</v>
      </c>
      <c r="B258" s="1815">
        <v>9700</v>
      </c>
      <c r="C258" s="1815">
        <v>9750</v>
      </c>
      <c r="D258" s="1816">
        <f t="shared" ref="D258:D321" si="24">IF($A258&gt;BOTT_A4,ROUND(BASE_A4+RATE_A4*($A258-BOTT_A4),0),IF($A258&gt;BOTT_A3,ROUND(BASE_A3+RATE_A3*($A258-BOTT_A3),0),IF($A258&gt;BOTT_A2,ROUND(BASE_A2+RATE_A2*($A258-BOTT_A2),0),ROUND(RATE_A1*$A258,0))))</f>
        <v>973</v>
      </c>
      <c r="E258" s="1816">
        <f t="shared" ref="E258:E321" si="25">IF($A258&gt;BOTT_B4,ROUND(BASE_B4+RATE_B4*($A258-BOTT_B4),0),IF($A258&gt;BOTT_B3,ROUND(BASE_B3+RATE_B3*($A258-BOTT_B3),0),IF($A258&gt;BOTT_B2,ROUND(BASE_B2+RATE_B2*($A258-BOTT_B2),0),ROUND(RATE_B1*$A258,0))))</f>
        <v>973</v>
      </c>
      <c r="F258" s="1816">
        <f t="shared" ref="F258:F321" si="26">IF($A258&gt;BOTT_C4,ROUND(BASE_C4+RATE_C4*($A258-BOTT_C4),0),IF($A258&gt;BOTT_C3,ROUND(BASE_C3+RATE_C3*($A258-BOTT_C3),0),IF($A258&gt;BOTT_C2,ROUND(BASE_C2+RATE_C2*($A258-BOTT_C2),0),ROUND(RATE_C1*$A258,0))))</f>
        <v>973</v>
      </c>
      <c r="G258" s="1816">
        <f t="shared" ref="G258:G321" si="27">IF($A258&gt;BOTT_D4,ROUND(BASE_D4+RATE_D4*($A258-BOTT_D4),0),IF($A258&gt;BOTT_D3,ROUND(BASE_D3+RATE_D3*($A258-BOTT_D3),0),IF($A258&gt;BOTT_D2,ROUND(BASE_D2+RATE_D2*($A258-BOTT_D2),0),ROUND(RATE_D1*$A258,0))))</f>
        <v>973</v>
      </c>
    </row>
    <row r="259" spans="1:7" ht="15.75">
      <c r="A259" s="1961">
        <f t="shared" ref="A259:A322" si="28">AVERAGE(B259,C259)</f>
        <v>9775</v>
      </c>
      <c r="B259" s="1815">
        <v>9750</v>
      </c>
      <c r="C259" s="1815">
        <v>9800</v>
      </c>
      <c r="D259" s="1816">
        <f t="shared" si="24"/>
        <v>978</v>
      </c>
      <c r="E259" s="1816">
        <f t="shared" si="25"/>
        <v>978</v>
      </c>
      <c r="F259" s="1816">
        <f t="shared" si="26"/>
        <v>978</v>
      </c>
      <c r="G259" s="1816">
        <f t="shared" si="27"/>
        <v>978</v>
      </c>
    </row>
    <row r="260" spans="1:7" ht="15.75">
      <c r="A260" s="1961">
        <f t="shared" si="28"/>
        <v>9825</v>
      </c>
      <c r="B260" s="1815">
        <v>9800</v>
      </c>
      <c r="C260" s="1815">
        <v>9850</v>
      </c>
      <c r="D260" s="1816">
        <f t="shared" si="24"/>
        <v>983</v>
      </c>
      <c r="E260" s="1816">
        <f t="shared" si="25"/>
        <v>983</v>
      </c>
      <c r="F260" s="1816">
        <f t="shared" si="26"/>
        <v>983</v>
      </c>
      <c r="G260" s="1816">
        <f t="shared" si="27"/>
        <v>983</v>
      </c>
    </row>
    <row r="261" spans="1:7" ht="15.75">
      <c r="A261" s="1961">
        <f t="shared" si="28"/>
        <v>9875</v>
      </c>
      <c r="B261" s="1815">
        <v>9850</v>
      </c>
      <c r="C261" s="1815">
        <v>9900</v>
      </c>
      <c r="D261" s="1816">
        <f t="shared" si="24"/>
        <v>988</v>
      </c>
      <c r="E261" s="1816">
        <f t="shared" si="25"/>
        <v>988</v>
      </c>
      <c r="F261" s="1816">
        <f t="shared" si="26"/>
        <v>988</v>
      </c>
      <c r="G261" s="1816">
        <f t="shared" si="27"/>
        <v>988</v>
      </c>
    </row>
    <row r="262" spans="1:7" ht="15.75">
      <c r="A262" s="1961">
        <f t="shared" si="28"/>
        <v>9925</v>
      </c>
      <c r="B262" s="1815">
        <v>9900</v>
      </c>
      <c r="C262" s="1815">
        <v>9950</v>
      </c>
      <c r="D262" s="1816">
        <f t="shared" si="24"/>
        <v>993</v>
      </c>
      <c r="E262" s="1816">
        <f t="shared" si="25"/>
        <v>993</v>
      </c>
      <c r="F262" s="1816">
        <f t="shared" si="26"/>
        <v>993</v>
      </c>
      <c r="G262" s="1816">
        <f t="shared" si="27"/>
        <v>993</v>
      </c>
    </row>
    <row r="263" spans="1:7" ht="15.75">
      <c r="A263" s="1961">
        <f t="shared" si="28"/>
        <v>9975</v>
      </c>
      <c r="B263" s="1815">
        <v>9950</v>
      </c>
      <c r="C263" s="1815">
        <v>10000</v>
      </c>
      <c r="D263" s="1816">
        <f t="shared" si="24"/>
        <v>998</v>
      </c>
      <c r="E263" s="1816">
        <f t="shared" si="25"/>
        <v>998</v>
      </c>
      <c r="F263" s="1816">
        <f t="shared" si="26"/>
        <v>998</v>
      </c>
      <c r="G263" s="1816">
        <f t="shared" si="27"/>
        <v>998</v>
      </c>
    </row>
    <row r="264" spans="1:7" ht="15.75">
      <c r="A264" s="1961">
        <f t="shared" si="28"/>
        <v>10025</v>
      </c>
      <c r="B264" s="1815">
        <v>10000</v>
      </c>
      <c r="C264" s="1815">
        <v>10050</v>
      </c>
      <c r="D264" s="1816">
        <f t="shared" si="24"/>
        <v>1003</v>
      </c>
      <c r="E264" s="1816">
        <f t="shared" si="25"/>
        <v>1003</v>
      </c>
      <c r="F264" s="1816">
        <f t="shared" si="26"/>
        <v>1003</v>
      </c>
      <c r="G264" s="1816">
        <f t="shared" si="27"/>
        <v>1003</v>
      </c>
    </row>
    <row r="265" spans="1:7" ht="15.75">
      <c r="A265" s="1961">
        <f t="shared" si="28"/>
        <v>10075</v>
      </c>
      <c r="B265" s="1815">
        <v>10050</v>
      </c>
      <c r="C265" s="1815">
        <v>10100</v>
      </c>
      <c r="D265" s="1816">
        <f t="shared" si="24"/>
        <v>1008</v>
      </c>
      <c r="E265" s="1816">
        <f t="shared" si="25"/>
        <v>1008</v>
      </c>
      <c r="F265" s="1816">
        <f t="shared" si="26"/>
        <v>1008</v>
      </c>
      <c r="G265" s="1816">
        <f t="shared" si="27"/>
        <v>1008</v>
      </c>
    </row>
    <row r="266" spans="1:7" ht="15.75">
      <c r="A266" s="1961">
        <f t="shared" si="28"/>
        <v>10125</v>
      </c>
      <c r="B266" s="1815">
        <v>10100</v>
      </c>
      <c r="C266" s="1815">
        <v>10150</v>
      </c>
      <c r="D266" s="1816">
        <f t="shared" si="24"/>
        <v>1013</v>
      </c>
      <c r="E266" s="1816">
        <f t="shared" si="25"/>
        <v>1013</v>
      </c>
      <c r="F266" s="1816">
        <f t="shared" si="26"/>
        <v>1013</v>
      </c>
      <c r="G266" s="1816">
        <f t="shared" si="27"/>
        <v>1013</v>
      </c>
    </row>
    <row r="267" spans="1:7" ht="15.75">
      <c r="A267" s="1961">
        <f t="shared" si="28"/>
        <v>10175</v>
      </c>
      <c r="B267" s="1815">
        <v>10150</v>
      </c>
      <c r="C267" s="1815">
        <v>10200</v>
      </c>
      <c r="D267" s="1816">
        <f t="shared" si="24"/>
        <v>1018</v>
      </c>
      <c r="E267" s="1816">
        <f t="shared" si="25"/>
        <v>1018</v>
      </c>
      <c r="F267" s="1816">
        <f t="shared" si="26"/>
        <v>1018</v>
      </c>
      <c r="G267" s="1816">
        <f t="shared" si="27"/>
        <v>1018</v>
      </c>
    </row>
    <row r="268" spans="1:7" ht="15.75">
      <c r="A268" s="1961">
        <f t="shared" si="28"/>
        <v>10225</v>
      </c>
      <c r="B268" s="1815">
        <v>10200</v>
      </c>
      <c r="C268" s="1815">
        <v>10250</v>
      </c>
      <c r="D268" s="1816">
        <f t="shared" si="24"/>
        <v>1023</v>
      </c>
      <c r="E268" s="1816">
        <f t="shared" si="25"/>
        <v>1023</v>
      </c>
      <c r="F268" s="1816">
        <f t="shared" si="26"/>
        <v>1023</v>
      </c>
      <c r="G268" s="1816">
        <f t="shared" si="27"/>
        <v>1023</v>
      </c>
    </row>
    <row r="269" spans="1:7" ht="15.75">
      <c r="A269" s="1961">
        <f t="shared" si="28"/>
        <v>10275</v>
      </c>
      <c r="B269" s="1815">
        <v>10250</v>
      </c>
      <c r="C269" s="1815">
        <v>10300</v>
      </c>
      <c r="D269" s="1816">
        <f t="shared" si="24"/>
        <v>1028</v>
      </c>
      <c r="E269" s="1816">
        <f t="shared" si="25"/>
        <v>1028</v>
      </c>
      <c r="F269" s="1816">
        <f t="shared" si="26"/>
        <v>1028</v>
      </c>
      <c r="G269" s="1816">
        <f t="shared" si="27"/>
        <v>1028</v>
      </c>
    </row>
    <row r="270" spans="1:7" ht="15.75">
      <c r="A270" s="1961">
        <f t="shared" si="28"/>
        <v>10325</v>
      </c>
      <c r="B270" s="1815">
        <v>10300</v>
      </c>
      <c r="C270" s="1815">
        <v>10350</v>
      </c>
      <c r="D270" s="1816">
        <f t="shared" si="24"/>
        <v>1033</v>
      </c>
      <c r="E270" s="1816">
        <f t="shared" si="25"/>
        <v>1033</v>
      </c>
      <c r="F270" s="1816">
        <f t="shared" si="26"/>
        <v>1033</v>
      </c>
      <c r="G270" s="1816">
        <f t="shared" si="27"/>
        <v>1033</v>
      </c>
    </row>
    <row r="271" spans="1:7" ht="15.75">
      <c r="A271" s="1961">
        <f t="shared" si="28"/>
        <v>10375</v>
      </c>
      <c r="B271" s="1815">
        <v>10350</v>
      </c>
      <c r="C271" s="1815">
        <v>10400</v>
      </c>
      <c r="D271" s="1816">
        <f t="shared" si="24"/>
        <v>1038</v>
      </c>
      <c r="E271" s="1816">
        <f t="shared" si="25"/>
        <v>1038</v>
      </c>
      <c r="F271" s="1816">
        <f t="shared" si="26"/>
        <v>1038</v>
      </c>
      <c r="G271" s="1816">
        <f t="shared" si="27"/>
        <v>1038</v>
      </c>
    </row>
    <row r="272" spans="1:7" ht="15.75">
      <c r="A272" s="1961">
        <f t="shared" si="28"/>
        <v>10425</v>
      </c>
      <c r="B272" s="1815">
        <v>10400</v>
      </c>
      <c r="C272" s="1815">
        <v>10450</v>
      </c>
      <c r="D272" s="1816">
        <f t="shared" si="24"/>
        <v>1043</v>
      </c>
      <c r="E272" s="1816">
        <f t="shared" si="25"/>
        <v>1043</v>
      </c>
      <c r="F272" s="1816">
        <f t="shared" si="26"/>
        <v>1043</v>
      </c>
      <c r="G272" s="1816">
        <f t="shared" si="27"/>
        <v>1043</v>
      </c>
    </row>
    <row r="273" spans="1:7" ht="15.75">
      <c r="A273" s="1961">
        <f t="shared" si="28"/>
        <v>10475</v>
      </c>
      <c r="B273" s="1815">
        <v>10450</v>
      </c>
      <c r="C273" s="1815">
        <v>10500</v>
      </c>
      <c r="D273" s="1816">
        <f t="shared" si="24"/>
        <v>1048</v>
      </c>
      <c r="E273" s="1816">
        <f t="shared" si="25"/>
        <v>1048</v>
      </c>
      <c r="F273" s="1816">
        <f t="shared" si="26"/>
        <v>1048</v>
      </c>
      <c r="G273" s="1816">
        <f t="shared" si="27"/>
        <v>1048</v>
      </c>
    </row>
    <row r="274" spans="1:7" ht="15.75">
      <c r="A274" s="1961">
        <f t="shared" si="28"/>
        <v>10525</v>
      </c>
      <c r="B274" s="1815">
        <v>10500</v>
      </c>
      <c r="C274" s="1815">
        <v>10550</v>
      </c>
      <c r="D274" s="1816">
        <f t="shared" si="24"/>
        <v>1053</v>
      </c>
      <c r="E274" s="1816">
        <f t="shared" si="25"/>
        <v>1053</v>
      </c>
      <c r="F274" s="1816">
        <f t="shared" si="26"/>
        <v>1053</v>
      </c>
      <c r="G274" s="1816">
        <f t="shared" si="27"/>
        <v>1053</v>
      </c>
    </row>
    <row r="275" spans="1:7" ht="15.75">
      <c r="A275" s="1961">
        <f t="shared" si="28"/>
        <v>10575</v>
      </c>
      <c r="B275" s="1815">
        <v>10550</v>
      </c>
      <c r="C275" s="1815">
        <v>10600</v>
      </c>
      <c r="D275" s="1816">
        <f t="shared" si="24"/>
        <v>1058</v>
      </c>
      <c r="E275" s="1816">
        <f t="shared" si="25"/>
        <v>1058</v>
      </c>
      <c r="F275" s="1816">
        <f t="shared" si="26"/>
        <v>1058</v>
      </c>
      <c r="G275" s="1816">
        <f t="shared" si="27"/>
        <v>1058</v>
      </c>
    </row>
    <row r="276" spans="1:7" ht="15.75">
      <c r="A276" s="1961">
        <f t="shared" si="28"/>
        <v>10625</v>
      </c>
      <c r="B276" s="1815">
        <v>10600</v>
      </c>
      <c r="C276" s="1815">
        <v>10650</v>
      </c>
      <c r="D276" s="1816">
        <f t="shared" si="24"/>
        <v>1063</v>
      </c>
      <c r="E276" s="1816">
        <f t="shared" si="25"/>
        <v>1063</v>
      </c>
      <c r="F276" s="1816">
        <f t="shared" si="26"/>
        <v>1063</v>
      </c>
      <c r="G276" s="1816">
        <f t="shared" si="27"/>
        <v>1063</v>
      </c>
    </row>
    <row r="277" spans="1:7" ht="15.75">
      <c r="A277" s="1961">
        <f t="shared" si="28"/>
        <v>10675</v>
      </c>
      <c r="B277" s="1815">
        <v>10650</v>
      </c>
      <c r="C277" s="1815">
        <v>10700</v>
      </c>
      <c r="D277" s="1816">
        <f t="shared" si="24"/>
        <v>1068</v>
      </c>
      <c r="E277" s="1816">
        <f t="shared" si="25"/>
        <v>1068</v>
      </c>
      <c r="F277" s="1816">
        <f t="shared" si="26"/>
        <v>1068</v>
      </c>
      <c r="G277" s="1816">
        <f t="shared" si="27"/>
        <v>1068</v>
      </c>
    </row>
    <row r="278" spans="1:7" ht="15.75">
      <c r="A278" s="1961">
        <f t="shared" si="28"/>
        <v>10725</v>
      </c>
      <c r="B278" s="1815">
        <v>10700</v>
      </c>
      <c r="C278" s="1815">
        <v>10750</v>
      </c>
      <c r="D278" s="1816">
        <f t="shared" si="24"/>
        <v>1073</v>
      </c>
      <c r="E278" s="1816">
        <f t="shared" si="25"/>
        <v>1073</v>
      </c>
      <c r="F278" s="1816">
        <f t="shared" si="26"/>
        <v>1073</v>
      </c>
      <c r="G278" s="1816">
        <f t="shared" si="27"/>
        <v>1073</v>
      </c>
    </row>
    <row r="279" spans="1:7" ht="15.75">
      <c r="A279" s="1961">
        <f t="shared" si="28"/>
        <v>10775</v>
      </c>
      <c r="B279" s="1815">
        <v>10750</v>
      </c>
      <c r="C279" s="1815">
        <v>10800</v>
      </c>
      <c r="D279" s="1816">
        <f t="shared" si="24"/>
        <v>1078</v>
      </c>
      <c r="E279" s="1816">
        <f t="shared" si="25"/>
        <v>1078</v>
      </c>
      <c r="F279" s="1816">
        <f t="shared" si="26"/>
        <v>1078</v>
      </c>
      <c r="G279" s="1816">
        <f t="shared" si="27"/>
        <v>1078</v>
      </c>
    </row>
    <row r="280" spans="1:7" ht="15.75">
      <c r="A280" s="1961">
        <f t="shared" si="28"/>
        <v>10825</v>
      </c>
      <c r="B280" s="1815">
        <v>10800</v>
      </c>
      <c r="C280" s="1815">
        <v>10850</v>
      </c>
      <c r="D280" s="1816">
        <f t="shared" si="24"/>
        <v>1083</v>
      </c>
      <c r="E280" s="1816">
        <f t="shared" si="25"/>
        <v>1083</v>
      </c>
      <c r="F280" s="1816">
        <f t="shared" si="26"/>
        <v>1083</v>
      </c>
      <c r="G280" s="1816">
        <f t="shared" si="27"/>
        <v>1083</v>
      </c>
    </row>
    <row r="281" spans="1:7" ht="15.75">
      <c r="A281" s="1961">
        <f t="shared" si="28"/>
        <v>10875</v>
      </c>
      <c r="B281" s="1815">
        <v>10850</v>
      </c>
      <c r="C281" s="1815">
        <v>10900</v>
      </c>
      <c r="D281" s="1816">
        <f t="shared" si="24"/>
        <v>1088</v>
      </c>
      <c r="E281" s="1816">
        <f t="shared" si="25"/>
        <v>1088</v>
      </c>
      <c r="F281" s="1816">
        <f t="shared" si="26"/>
        <v>1088</v>
      </c>
      <c r="G281" s="1816">
        <f t="shared" si="27"/>
        <v>1088</v>
      </c>
    </row>
    <row r="282" spans="1:7" ht="15.75">
      <c r="A282" s="1961">
        <f t="shared" si="28"/>
        <v>10925</v>
      </c>
      <c r="B282" s="1815">
        <v>10900</v>
      </c>
      <c r="C282" s="1815">
        <v>10950</v>
      </c>
      <c r="D282" s="1816">
        <f t="shared" si="24"/>
        <v>1093</v>
      </c>
      <c r="E282" s="1816">
        <f t="shared" si="25"/>
        <v>1093</v>
      </c>
      <c r="F282" s="1816">
        <f t="shared" si="26"/>
        <v>1093</v>
      </c>
      <c r="G282" s="1816">
        <f t="shared" si="27"/>
        <v>1093</v>
      </c>
    </row>
    <row r="283" spans="1:7" ht="15.75">
      <c r="A283" s="1961">
        <f t="shared" si="28"/>
        <v>10975</v>
      </c>
      <c r="B283" s="1815">
        <v>10950</v>
      </c>
      <c r="C283" s="1815">
        <v>11000</v>
      </c>
      <c r="D283" s="1816">
        <f t="shared" si="24"/>
        <v>1098</v>
      </c>
      <c r="E283" s="1816">
        <f t="shared" si="25"/>
        <v>1098</v>
      </c>
      <c r="F283" s="1816">
        <f t="shared" si="26"/>
        <v>1098</v>
      </c>
      <c r="G283" s="1816">
        <f t="shared" si="27"/>
        <v>1098</v>
      </c>
    </row>
    <row r="284" spans="1:7" ht="15.75">
      <c r="A284" s="1961">
        <f t="shared" si="28"/>
        <v>11025</v>
      </c>
      <c r="B284" s="1815">
        <v>11000</v>
      </c>
      <c r="C284" s="1815">
        <v>11050</v>
      </c>
      <c r="D284" s="1816">
        <f t="shared" si="24"/>
        <v>1103</v>
      </c>
      <c r="E284" s="1816">
        <f t="shared" si="25"/>
        <v>1103</v>
      </c>
      <c r="F284" s="1816">
        <f t="shared" si="26"/>
        <v>1103</v>
      </c>
      <c r="G284" s="1816">
        <f t="shared" si="27"/>
        <v>1103</v>
      </c>
    </row>
    <row r="285" spans="1:7" ht="15.75">
      <c r="A285" s="1961">
        <f t="shared" si="28"/>
        <v>11075</v>
      </c>
      <c r="B285" s="1815">
        <v>11050</v>
      </c>
      <c r="C285" s="1815">
        <v>11100</v>
      </c>
      <c r="D285" s="1816">
        <f t="shared" si="24"/>
        <v>1109</v>
      </c>
      <c r="E285" s="1816">
        <f t="shared" si="25"/>
        <v>1108</v>
      </c>
      <c r="F285" s="1816">
        <f t="shared" si="26"/>
        <v>1109</v>
      </c>
      <c r="G285" s="1816">
        <f t="shared" si="27"/>
        <v>1108</v>
      </c>
    </row>
    <row r="286" spans="1:7" ht="15.75">
      <c r="A286" s="1961">
        <f t="shared" si="28"/>
        <v>11125</v>
      </c>
      <c r="B286" s="1815">
        <v>11100</v>
      </c>
      <c r="C286" s="1815">
        <v>11150</v>
      </c>
      <c r="D286" s="1816">
        <f t="shared" si="24"/>
        <v>1115</v>
      </c>
      <c r="E286" s="1816">
        <f t="shared" si="25"/>
        <v>1113</v>
      </c>
      <c r="F286" s="1816">
        <f t="shared" si="26"/>
        <v>1115</v>
      </c>
      <c r="G286" s="1816">
        <f t="shared" si="27"/>
        <v>1113</v>
      </c>
    </row>
    <row r="287" spans="1:7" ht="15.75">
      <c r="A287" s="1961">
        <f t="shared" si="28"/>
        <v>11175</v>
      </c>
      <c r="B287" s="1815">
        <v>11150</v>
      </c>
      <c r="C287" s="1815">
        <v>11200</v>
      </c>
      <c r="D287" s="1816">
        <f t="shared" si="24"/>
        <v>1121</v>
      </c>
      <c r="E287" s="1816">
        <f t="shared" si="25"/>
        <v>1118</v>
      </c>
      <c r="F287" s="1816">
        <f t="shared" si="26"/>
        <v>1121</v>
      </c>
      <c r="G287" s="1816">
        <f t="shared" si="27"/>
        <v>1118</v>
      </c>
    </row>
    <row r="288" spans="1:7" ht="15.75">
      <c r="A288" s="1961">
        <f t="shared" si="28"/>
        <v>11225</v>
      </c>
      <c r="B288" s="1815">
        <v>11200</v>
      </c>
      <c r="C288" s="1815">
        <v>11250</v>
      </c>
      <c r="D288" s="1816">
        <f t="shared" si="24"/>
        <v>1127</v>
      </c>
      <c r="E288" s="1816">
        <f t="shared" si="25"/>
        <v>1123</v>
      </c>
      <c r="F288" s="1816">
        <f t="shared" si="26"/>
        <v>1127</v>
      </c>
      <c r="G288" s="1816">
        <f t="shared" si="27"/>
        <v>1123</v>
      </c>
    </row>
    <row r="289" spans="1:7" ht="15.75">
      <c r="A289" s="1961">
        <f t="shared" si="28"/>
        <v>11275</v>
      </c>
      <c r="B289" s="1815">
        <v>11250</v>
      </c>
      <c r="C289" s="1815">
        <v>11300</v>
      </c>
      <c r="D289" s="1816">
        <f t="shared" si="24"/>
        <v>1133</v>
      </c>
      <c r="E289" s="1816">
        <f t="shared" si="25"/>
        <v>1128</v>
      </c>
      <c r="F289" s="1816">
        <f t="shared" si="26"/>
        <v>1133</v>
      </c>
      <c r="G289" s="1816">
        <f t="shared" si="27"/>
        <v>1128</v>
      </c>
    </row>
    <row r="290" spans="1:7" ht="15.75">
      <c r="A290" s="1961">
        <f t="shared" si="28"/>
        <v>11325</v>
      </c>
      <c r="B290" s="1815">
        <v>11300</v>
      </c>
      <c r="C290" s="1815">
        <v>11350</v>
      </c>
      <c r="D290" s="1816">
        <f t="shared" si="24"/>
        <v>1139</v>
      </c>
      <c r="E290" s="1816">
        <f t="shared" si="25"/>
        <v>1133</v>
      </c>
      <c r="F290" s="1816">
        <f t="shared" si="26"/>
        <v>1139</v>
      </c>
      <c r="G290" s="1816">
        <f t="shared" si="27"/>
        <v>1133</v>
      </c>
    </row>
    <row r="291" spans="1:7" ht="15.75">
      <c r="A291" s="1961">
        <f t="shared" si="28"/>
        <v>11375</v>
      </c>
      <c r="B291" s="1815">
        <v>11350</v>
      </c>
      <c r="C291" s="1815">
        <v>11400</v>
      </c>
      <c r="D291" s="1816">
        <f t="shared" si="24"/>
        <v>1145</v>
      </c>
      <c r="E291" s="1816">
        <f t="shared" si="25"/>
        <v>1138</v>
      </c>
      <c r="F291" s="1816">
        <f t="shared" si="26"/>
        <v>1145</v>
      </c>
      <c r="G291" s="1816">
        <f t="shared" si="27"/>
        <v>1138</v>
      </c>
    </row>
    <row r="292" spans="1:7" ht="15.75">
      <c r="A292" s="1961">
        <f t="shared" si="28"/>
        <v>11425</v>
      </c>
      <c r="B292" s="1815">
        <v>11400</v>
      </c>
      <c r="C292" s="1815">
        <v>11450</v>
      </c>
      <c r="D292" s="1816">
        <f t="shared" si="24"/>
        <v>1151</v>
      </c>
      <c r="E292" s="1816">
        <f t="shared" si="25"/>
        <v>1143</v>
      </c>
      <c r="F292" s="1816">
        <f t="shared" si="26"/>
        <v>1151</v>
      </c>
      <c r="G292" s="1816">
        <f t="shared" si="27"/>
        <v>1143</v>
      </c>
    </row>
    <row r="293" spans="1:7" ht="15.75">
      <c r="A293" s="1961">
        <f t="shared" si="28"/>
        <v>11475</v>
      </c>
      <c r="B293" s="1815">
        <v>11450</v>
      </c>
      <c r="C293" s="1815">
        <v>11500</v>
      </c>
      <c r="D293" s="1816">
        <f t="shared" si="24"/>
        <v>1157</v>
      </c>
      <c r="E293" s="1816">
        <f t="shared" si="25"/>
        <v>1148</v>
      </c>
      <c r="F293" s="1816">
        <f t="shared" si="26"/>
        <v>1157</v>
      </c>
      <c r="G293" s="1816">
        <f t="shared" si="27"/>
        <v>1148</v>
      </c>
    </row>
    <row r="294" spans="1:7" ht="15.75">
      <c r="A294" s="1961">
        <f t="shared" si="28"/>
        <v>11525</v>
      </c>
      <c r="B294" s="1815">
        <v>11500</v>
      </c>
      <c r="C294" s="1815">
        <v>11550</v>
      </c>
      <c r="D294" s="1816">
        <f t="shared" si="24"/>
        <v>1163</v>
      </c>
      <c r="E294" s="1816">
        <f t="shared" si="25"/>
        <v>1153</v>
      </c>
      <c r="F294" s="1816">
        <f t="shared" si="26"/>
        <v>1163</v>
      </c>
      <c r="G294" s="1816">
        <f t="shared" si="27"/>
        <v>1153</v>
      </c>
    </row>
    <row r="295" spans="1:7" ht="15.75">
      <c r="A295" s="1961">
        <f t="shared" si="28"/>
        <v>11575</v>
      </c>
      <c r="B295" s="1815">
        <v>11550</v>
      </c>
      <c r="C295" s="1815">
        <v>11600</v>
      </c>
      <c r="D295" s="1816">
        <f t="shared" si="24"/>
        <v>1169</v>
      </c>
      <c r="E295" s="1816">
        <f t="shared" si="25"/>
        <v>1158</v>
      </c>
      <c r="F295" s="1816">
        <f t="shared" si="26"/>
        <v>1169</v>
      </c>
      <c r="G295" s="1816">
        <f t="shared" si="27"/>
        <v>1158</v>
      </c>
    </row>
    <row r="296" spans="1:7" ht="15.75">
      <c r="A296" s="1961">
        <f t="shared" si="28"/>
        <v>11625</v>
      </c>
      <c r="B296" s="1815">
        <v>11600</v>
      </c>
      <c r="C296" s="1815">
        <v>11650</v>
      </c>
      <c r="D296" s="1816">
        <f t="shared" si="24"/>
        <v>1175</v>
      </c>
      <c r="E296" s="1816">
        <f t="shared" si="25"/>
        <v>1163</v>
      </c>
      <c r="F296" s="1816">
        <f t="shared" si="26"/>
        <v>1175</v>
      </c>
      <c r="G296" s="1816">
        <f t="shared" si="27"/>
        <v>1163</v>
      </c>
    </row>
    <row r="297" spans="1:7" ht="15.75">
      <c r="A297" s="1961">
        <f t="shared" si="28"/>
        <v>11675</v>
      </c>
      <c r="B297" s="1815">
        <v>11650</v>
      </c>
      <c r="C297" s="1815">
        <v>11700</v>
      </c>
      <c r="D297" s="1816">
        <f t="shared" si="24"/>
        <v>1181</v>
      </c>
      <c r="E297" s="1816">
        <f t="shared" si="25"/>
        <v>1168</v>
      </c>
      <c r="F297" s="1816">
        <f t="shared" si="26"/>
        <v>1181</v>
      </c>
      <c r="G297" s="1816">
        <f t="shared" si="27"/>
        <v>1168</v>
      </c>
    </row>
    <row r="298" spans="1:7" ht="15.75">
      <c r="A298" s="1961">
        <f t="shared" si="28"/>
        <v>11725</v>
      </c>
      <c r="B298" s="1815">
        <v>11700</v>
      </c>
      <c r="C298" s="1815">
        <v>11750</v>
      </c>
      <c r="D298" s="1816">
        <f t="shared" si="24"/>
        <v>1187</v>
      </c>
      <c r="E298" s="1816">
        <f t="shared" si="25"/>
        <v>1173</v>
      </c>
      <c r="F298" s="1816">
        <f t="shared" si="26"/>
        <v>1187</v>
      </c>
      <c r="G298" s="1816">
        <f t="shared" si="27"/>
        <v>1173</v>
      </c>
    </row>
    <row r="299" spans="1:7" ht="15.75">
      <c r="A299" s="1961">
        <f t="shared" si="28"/>
        <v>11775</v>
      </c>
      <c r="B299" s="1815">
        <v>11750</v>
      </c>
      <c r="C299" s="1815">
        <v>11800</v>
      </c>
      <c r="D299" s="1816">
        <f t="shared" si="24"/>
        <v>1193</v>
      </c>
      <c r="E299" s="1816">
        <f t="shared" si="25"/>
        <v>1178</v>
      </c>
      <c r="F299" s="1816">
        <f t="shared" si="26"/>
        <v>1193</v>
      </c>
      <c r="G299" s="1816">
        <f t="shared" si="27"/>
        <v>1178</v>
      </c>
    </row>
    <row r="300" spans="1:7" ht="15.75">
      <c r="A300" s="1961">
        <f t="shared" si="28"/>
        <v>11825</v>
      </c>
      <c r="B300" s="1815">
        <v>11800</v>
      </c>
      <c r="C300" s="1815">
        <v>11850</v>
      </c>
      <c r="D300" s="1816">
        <f t="shared" si="24"/>
        <v>1199</v>
      </c>
      <c r="E300" s="1816">
        <f t="shared" si="25"/>
        <v>1183</v>
      </c>
      <c r="F300" s="1816">
        <f t="shared" si="26"/>
        <v>1199</v>
      </c>
      <c r="G300" s="1816">
        <f t="shared" si="27"/>
        <v>1183</v>
      </c>
    </row>
    <row r="301" spans="1:7" ht="15.75">
      <c r="A301" s="1961">
        <f t="shared" si="28"/>
        <v>11875</v>
      </c>
      <c r="B301" s="1815">
        <v>11850</v>
      </c>
      <c r="C301" s="1815">
        <v>11900</v>
      </c>
      <c r="D301" s="1816">
        <f t="shared" si="24"/>
        <v>1205</v>
      </c>
      <c r="E301" s="1816">
        <f t="shared" si="25"/>
        <v>1188</v>
      </c>
      <c r="F301" s="1816">
        <f t="shared" si="26"/>
        <v>1205</v>
      </c>
      <c r="G301" s="1816">
        <f t="shared" si="27"/>
        <v>1188</v>
      </c>
    </row>
    <row r="302" spans="1:7" ht="15.75">
      <c r="A302" s="1961">
        <f t="shared" si="28"/>
        <v>11925</v>
      </c>
      <c r="B302" s="1815">
        <v>11900</v>
      </c>
      <c r="C302" s="1815">
        <v>11950</v>
      </c>
      <c r="D302" s="1816">
        <f t="shared" si="24"/>
        <v>1211</v>
      </c>
      <c r="E302" s="1816">
        <f t="shared" si="25"/>
        <v>1193</v>
      </c>
      <c r="F302" s="1816">
        <f t="shared" si="26"/>
        <v>1211</v>
      </c>
      <c r="G302" s="1816">
        <f t="shared" si="27"/>
        <v>1193</v>
      </c>
    </row>
    <row r="303" spans="1:7" ht="15.75">
      <c r="A303" s="1961">
        <f t="shared" si="28"/>
        <v>11975</v>
      </c>
      <c r="B303" s="1815">
        <v>11950</v>
      </c>
      <c r="C303" s="1815">
        <v>12000</v>
      </c>
      <c r="D303" s="1816">
        <f t="shared" si="24"/>
        <v>1217</v>
      </c>
      <c r="E303" s="1816">
        <f t="shared" si="25"/>
        <v>1198</v>
      </c>
      <c r="F303" s="1816">
        <f t="shared" si="26"/>
        <v>1217</v>
      </c>
      <c r="G303" s="1816">
        <f t="shared" si="27"/>
        <v>1198</v>
      </c>
    </row>
    <row r="304" spans="1:7" ht="15.75">
      <c r="A304" s="1961">
        <f t="shared" si="28"/>
        <v>12025</v>
      </c>
      <c r="B304" s="1815">
        <v>12000</v>
      </c>
      <c r="C304" s="1815">
        <v>12050</v>
      </c>
      <c r="D304" s="1816">
        <f t="shared" si="24"/>
        <v>1223</v>
      </c>
      <c r="E304" s="1816">
        <f t="shared" si="25"/>
        <v>1203</v>
      </c>
      <c r="F304" s="1816">
        <f t="shared" si="26"/>
        <v>1223</v>
      </c>
      <c r="G304" s="1816">
        <f t="shared" si="27"/>
        <v>1203</v>
      </c>
    </row>
    <row r="305" spans="1:7" ht="15.75">
      <c r="A305" s="1961">
        <f t="shared" si="28"/>
        <v>12075</v>
      </c>
      <c r="B305" s="1815">
        <v>12050</v>
      </c>
      <c r="C305" s="1815">
        <v>12100</v>
      </c>
      <c r="D305" s="1816">
        <f t="shared" si="24"/>
        <v>1229</v>
      </c>
      <c r="E305" s="1816">
        <f t="shared" si="25"/>
        <v>1208</v>
      </c>
      <c r="F305" s="1816">
        <f t="shared" si="26"/>
        <v>1229</v>
      </c>
      <c r="G305" s="1816">
        <f t="shared" si="27"/>
        <v>1208</v>
      </c>
    </row>
    <row r="306" spans="1:7" ht="15.75">
      <c r="A306" s="1961">
        <f t="shared" si="28"/>
        <v>12125</v>
      </c>
      <c r="B306" s="1815">
        <v>12100</v>
      </c>
      <c r="C306" s="1815">
        <v>12150</v>
      </c>
      <c r="D306" s="1816">
        <f t="shared" si="24"/>
        <v>1235</v>
      </c>
      <c r="E306" s="1816">
        <f t="shared" si="25"/>
        <v>1213</v>
      </c>
      <c r="F306" s="1816">
        <f t="shared" si="26"/>
        <v>1235</v>
      </c>
      <c r="G306" s="1816">
        <f t="shared" si="27"/>
        <v>1213</v>
      </c>
    </row>
    <row r="307" spans="1:7" ht="15.75">
      <c r="A307" s="1961">
        <f t="shared" si="28"/>
        <v>12175</v>
      </c>
      <c r="B307" s="1815">
        <v>12150</v>
      </c>
      <c r="C307" s="1815">
        <v>12200</v>
      </c>
      <c r="D307" s="1816">
        <f t="shared" si="24"/>
        <v>1241</v>
      </c>
      <c r="E307" s="1816">
        <f t="shared" si="25"/>
        <v>1218</v>
      </c>
      <c r="F307" s="1816">
        <f t="shared" si="26"/>
        <v>1241</v>
      </c>
      <c r="G307" s="1816">
        <f t="shared" si="27"/>
        <v>1218</v>
      </c>
    </row>
    <row r="308" spans="1:7" ht="15.75">
      <c r="A308" s="1961">
        <f t="shared" si="28"/>
        <v>12225</v>
      </c>
      <c r="B308" s="1815">
        <v>12200</v>
      </c>
      <c r="C308" s="1815">
        <v>12250</v>
      </c>
      <c r="D308" s="1816">
        <f t="shared" si="24"/>
        <v>1247</v>
      </c>
      <c r="E308" s="1816">
        <f t="shared" si="25"/>
        <v>1223</v>
      </c>
      <c r="F308" s="1816">
        <f t="shared" si="26"/>
        <v>1247</v>
      </c>
      <c r="G308" s="1816">
        <f t="shared" si="27"/>
        <v>1223</v>
      </c>
    </row>
    <row r="309" spans="1:7" ht="15.75">
      <c r="A309" s="1961">
        <f t="shared" si="28"/>
        <v>12275</v>
      </c>
      <c r="B309" s="1815">
        <v>12250</v>
      </c>
      <c r="C309" s="1815">
        <v>12300</v>
      </c>
      <c r="D309" s="1816">
        <f t="shared" si="24"/>
        <v>1253</v>
      </c>
      <c r="E309" s="1816">
        <f t="shared" si="25"/>
        <v>1228</v>
      </c>
      <c r="F309" s="1816">
        <f t="shared" si="26"/>
        <v>1253</v>
      </c>
      <c r="G309" s="1816">
        <f t="shared" si="27"/>
        <v>1228</v>
      </c>
    </row>
    <row r="310" spans="1:7" ht="15.75">
      <c r="A310" s="1961">
        <f t="shared" si="28"/>
        <v>12325</v>
      </c>
      <c r="B310" s="1815">
        <v>12300</v>
      </c>
      <c r="C310" s="1815">
        <v>12350</v>
      </c>
      <c r="D310" s="1816">
        <f t="shared" si="24"/>
        <v>1259</v>
      </c>
      <c r="E310" s="1816">
        <f t="shared" si="25"/>
        <v>1233</v>
      </c>
      <c r="F310" s="1816">
        <f t="shared" si="26"/>
        <v>1259</v>
      </c>
      <c r="G310" s="1816">
        <f t="shared" si="27"/>
        <v>1233</v>
      </c>
    </row>
    <row r="311" spans="1:7" ht="15.75">
      <c r="A311" s="1961">
        <f t="shared" si="28"/>
        <v>12375</v>
      </c>
      <c r="B311" s="1815">
        <v>12350</v>
      </c>
      <c r="C311" s="1815">
        <v>12400</v>
      </c>
      <c r="D311" s="1816">
        <f t="shared" si="24"/>
        <v>1265</v>
      </c>
      <c r="E311" s="1816">
        <f t="shared" si="25"/>
        <v>1238</v>
      </c>
      <c r="F311" s="1816">
        <f t="shared" si="26"/>
        <v>1265</v>
      </c>
      <c r="G311" s="1816">
        <f t="shared" si="27"/>
        <v>1238</v>
      </c>
    </row>
    <row r="312" spans="1:7" ht="15.75">
      <c r="A312" s="1961">
        <f t="shared" si="28"/>
        <v>12425</v>
      </c>
      <c r="B312" s="1815">
        <v>12400</v>
      </c>
      <c r="C312" s="1815">
        <v>12450</v>
      </c>
      <c r="D312" s="1816">
        <f t="shared" si="24"/>
        <v>1271</v>
      </c>
      <c r="E312" s="1816">
        <f t="shared" si="25"/>
        <v>1243</v>
      </c>
      <c r="F312" s="1816">
        <f t="shared" si="26"/>
        <v>1271</v>
      </c>
      <c r="G312" s="1816">
        <f t="shared" si="27"/>
        <v>1243</v>
      </c>
    </row>
    <row r="313" spans="1:7" ht="15.75">
      <c r="A313" s="1961">
        <f t="shared" si="28"/>
        <v>12475</v>
      </c>
      <c r="B313" s="1815">
        <v>12450</v>
      </c>
      <c r="C313" s="1815">
        <v>12500</v>
      </c>
      <c r="D313" s="1816">
        <f t="shared" si="24"/>
        <v>1277</v>
      </c>
      <c r="E313" s="1816">
        <f t="shared" si="25"/>
        <v>1248</v>
      </c>
      <c r="F313" s="1816">
        <f t="shared" si="26"/>
        <v>1277</v>
      </c>
      <c r="G313" s="1816">
        <f t="shared" si="27"/>
        <v>1248</v>
      </c>
    </row>
    <row r="314" spans="1:7" ht="15.75">
      <c r="A314" s="1961">
        <f t="shared" si="28"/>
        <v>12525</v>
      </c>
      <c r="B314" s="1815">
        <v>12500</v>
      </c>
      <c r="C314" s="1815">
        <v>12550</v>
      </c>
      <c r="D314" s="1816">
        <f t="shared" si="24"/>
        <v>1283</v>
      </c>
      <c r="E314" s="1816">
        <f t="shared" si="25"/>
        <v>1253</v>
      </c>
      <c r="F314" s="1816">
        <f t="shared" si="26"/>
        <v>1283</v>
      </c>
      <c r="G314" s="1816">
        <f t="shared" si="27"/>
        <v>1253</v>
      </c>
    </row>
    <row r="315" spans="1:7" ht="15.75">
      <c r="A315" s="1961">
        <f t="shared" si="28"/>
        <v>12575</v>
      </c>
      <c r="B315" s="1815">
        <v>12550</v>
      </c>
      <c r="C315" s="1815">
        <v>12600</v>
      </c>
      <c r="D315" s="1816">
        <f t="shared" si="24"/>
        <v>1289</v>
      </c>
      <c r="E315" s="1816">
        <f t="shared" si="25"/>
        <v>1258</v>
      </c>
      <c r="F315" s="1816">
        <f t="shared" si="26"/>
        <v>1289</v>
      </c>
      <c r="G315" s="1816">
        <f t="shared" si="27"/>
        <v>1258</v>
      </c>
    </row>
    <row r="316" spans="1:7" ht="15.75">
      <c r="A316" s="1961">
        <f t="shared" si="28"/>
        <v>12625</v>
      </c>
      <c r="B316" s="1815">
        <v>12600</v>
      </c>
      <c r="C316" s="1815">
        <v>12650</v>
      </c>
      <c r="D316" s="1816">
        <f t="shared" si="24"/>
        <v>1295</v>
      </c>
      <c r="E316" s="1816">
        <f t="shared" si="25"/>
        <v>1263</v>
      </c>
      <c r="F316" s="1816">
        <f t="shared" si="26"/>
        <v>1295</v>
      </c>
      <c r="G316" s="1816">
        <f t="shared" si="27"/>
        <v>1263</v>
      </c>
    </row>
    <row r="317" spans="1:7" ht="15.75">
      <c r="A317" s="1961">
        <f t="shared" si="28"/>
        <v>12675</v>
      </c>
      <c r="B317" s="1815">
        <v>12650</v>
      </c>
      <c r="C317" s="1815">
        <v>12700</v>
      </c>
      <c r="D317" s="1816">
        <f t="shared" si="24"/>
        <v>1301</v>
      </c>
      <c r="E317" s="1816">
        <f t="shared" si="25"/>
        <v>1268</v>
      </c>
      <c r="F317" s="1816">
        <f t="shared" si="26"/>
        <v>1301</v>
      </c>
      <c r="G317" s="1816">
        <f t="shared" si="27"/>
        <v>1268</v>
      </c>
    </row>
    <row r="318" spans="1:7" ht="15.75">
      <c r="A318" s="1961">
        <f t="shared" si="28"/>
        <v>12725</v>
      </c>
      <c r="B318" s="1815">
        <v>12700</v>
      </c>
      <c r="C318" s="1815">
        <v>12750</v>
      </c>
      <c r="D318" s="1816">
        <f t="shared" si="24"/>
        <v>1307</v>
      </c>
      <c r="E318" s="1816">
        <f t="shared" si="25"/>
        <v>1273</v>
      </c>
      <c r="F318" s="1816">
        <f t="shared" si="26"/>
        <v>1307</v>
      </c>
      <c r="G318" s="1816">
        <f t="shared" si="27"/>
        <v>1273</v>
      </c>
    </row>
    <row r="319" spans="1:7" ht="15.75">
      <c r="A319" s="1961">
        <f t="shared" si="28"/>
        <v>12775</v>
      </c>
      <c r="B319" s="1815">
        <v>12750</v>
      </c>
      <c r="C319" s="1815">
        <v>12800</v>
      </c>
      <c r="D319" s="1816">
        <f t="shared" si="24"/>
        <v>1313</v>
      </c>
      <c r="E319" s="1816">
        <f t="shared" si="25"/>
        <v>1278</v>
      </c>
      <c r="F319" s="1816">
        <f t="shared" si="26"/>
        <v>1313</v>
      </c>
      <c r="G319" s="1816">
        <f t="shared" si="27"/>
        <v>1278</v>
      </c>
    </row>
    <row r="320" spans="1:7" ht="15.75">
      <c r="A320" s="1961">
        <f t="shared" si="28"/>
        <v>12825</v>
      </c>
      <c r="B320" s="1815">
        <v>12800</v>
      </c>
      <c r="C320" s="1815">
        <v>12850</v>
      </c>
      <c r="D320" s="1816">
        <f t="shared" si="24"/>
        <v>1319</v>
      </c>
      <c r="E320" s="1816">
        <f t="shared" si="25"/>
        <v>1283</v>
      </c>
      <c r="F320" s="1816">
        <f t="shared" si="26"/>
        <v>1319</v>
      </c>
      <c r="G320" s="1816">
        <f t="shared" si="27"/>
        <v>1283</v>
      </c>
    </row>
    <row r="321" spans="1:7" ht="15.75">
      <c r="A321" s="1961">
        <f t="shared" si="28"/>
        <v>12875</v>
      </c>
      <c r="B321" s="1815">
        <v>12850</v>
      </c>
      <c r="C321" s="1815">
        <v>12900</v>
      </c>
      <c r="D321" s="1816">
        <f t="shared" si="24"/>
        <v>1325</v>
      </c>
      <c r="E321" s="1816">
        <f t="shared" si="25"/>
        <v>1288</v>
      </c>
      <c r="F321" s="1816">
        <f t="shared" si="26"/>
        <v>1325</v>
      </c>
      <c r="G321" s="1816">
        <f t="shared" si="27"/>
        <v>1288</v>
      </c>
    </row>
    <row r="322" spans="1:7" ht="15.75">
      <c r="A322" s="1961">
        <f t="shared" si="28"/>
        <v>12925</v>
      </c>
      <c r="B322" s="1815">
        <v>12900</v>
      </c>
      <c r="C322" s="1815">
        <v>12950</v>
      </c>
      <c r="D322" s="1816">
        <f t="shared" ref="D322:D385" si="29">IF($A322&gt;BOTT_A4,ROUND(BASE_A4+RATE_A4*($A322-BOTT_A4),0),IF($A322&gt;BOTT_A3,ROUND(BASE_A3+RATE_A3*($A322-BOTT_A3),0),IF($A322&gt;BOTT_A2,ROUND(BASE_A2+RATE_A2*($A322-BOTT_A2),0),ROUND(RATE_A1*$A322,0))))</f>
        <v>1331</v>
      </c>
      <c r="E322" s="1816">
        <f t="shared" ref="E322:E385" si="30">IF($A322&gt;BOTT_B4,ROUND(BASE_B4+RATE_B4*($A322-BOTT_B4),0),IF($A322&gt;BOTT_B3,ROUND(BASE_B3+RATE_B3*($A322-BOTT_B3),0),IF($A322&gt;BOTT_B2,ROUND(BASE_B2+RATE_B2*($A322-BOTT_B2),0),ROUND(RATE_B1*$A322,0))))</f>
        <v>1293</v>
      </c>
      <c r="F322" s="1816">
        <f t="shared" ref="F322:F385" si="31">IF($A322&gt;BOTT_C4,ROUND(BASE_C4+RATE_C4*($A322-BOTT_C4),0),IF($A322&gt;BOTT_C3,ROUND(BASE_C3+RATE_C3*($A322-BOTT_C3),0),IF($A322&gt;BOTT_C2,ROUND(BASE_C2+RATE_C2*($A322-BOTT_C2),0),ROUND(RATE_C1*$A322,0))))</f>
        <v>1331</v>
      </c>
      <c r="G322" s="1816">
        <f t="shared" ref="G322:G385" si="32">IF($A322&gt;BOTT_D4,ROUND(BASE_D4+RATE_D4*($A322-BOTT_D4),0),IF($A322&gt;BOTT_D3,ROUND(BASE_D3+RATE_D3*($A322-BOTT_D3),0),IF($A322&gt;BOTT_D2,ROUND(BASE_D2+RATE_D2*($A322-BOTT_D2),0),ROUND(RATE_D1*$A322,0))))</f>
        <v>1293</v>
      </c>
    </row>
    <row r="323" spans="1:7" ht="15.75">
      <c r="A323" s="1961">
        <f t="shared" ref="A323:A386" si="33">AVERAGE(B323,C323)</f>
        <v>12975</v>
      </c>
      <c r="B323" s="1815">
        <v>12950</v>
      </c>
      <c r="C323" s="1815">
        <v>13000</v>
      </c>
      <c r="D323" s="1816">
        <f t="shared" si="29"/>
        <v>1337</v>
      </c>
      <c r="E323" s="1816">
        <f t="shared" si="30"/>
        <v>1298</v>
      </c>
      <c r="F323" s="1816">
        <f t="shared" si="31"/>
        <v>1337</v>
      </c>
      <c r="G323" s="1816">
        <f t="shared" si="32"/>
        <v>1298</v>
      </c>
    </row>
    <row r="324" spans="1:7" ht="15.75">
      <c r="A324" s="1961">
        <f t="shared" si="33"/>
        <v>13025</v>
      </c>
      <c r="B324" s="1815">
        <v>13000</v>
      </c>
      <c r="C324" s="1815">
        <v>13050</v>
      </c>
      <c r="D324" s="1816">
        <f t="shared" si="29"/>
        <v>1343</v>
      </c>
      <c r="E324" s="1816">
        <f t="shared" si="30"/>
        <v>1303</v>
      </c>
      <c r="F324" s="1816">
        <f t="shared" si="31"/>
        <v>1343</v>
      </c>
      <c r="G324" s="1816">
        <f t="shared" si="32"/>
        <v>1303</v>
      </c>
    </row>
    <row r="325" spans="1:7" ht="15.75">
      <c r="A325" s="1961">
        <f t="shared" si="33"/>
        <v>13075</v>
      </c>
      <c r="B325" s="1815">
        <v>13050</v>
      </c>
      <c r="C325" s="1815">
        <v>13100</v>
      </c>
      <c r="D325" s="1816">
        <f t="shared" si="29"/>
        <v>1349</v>
      </c>
      <c r="E325" s="1816">
        <f t="shared" si="30"/>
        <v>1308</v>
      </c>
      <c r="F325" s="1816">
        <f t="shared" si="31"/>
        <v>1349</v>
      </c>
      <c r="G325" s="1816">
        <f t="shared" si="32"/>
        <v>1308</v>
      </c>
    </row>
    <row r="326" spans="1:7" ht="15.75">
      <c r="A326" s="1961">
        <f t="shared" si="33"/>
        <v>13125</v>
      </c>
      <c r="B326" s="1815">
        <v>13100</v>
      </c>
      <c r="C326" s="1815">
        <v>13150</v>
      </c>
      <c r="D326" s="1816">
        <f t="shared" si="29"/>
        <v>1355</v>
      </c>
      <c r="E326" s="1816">
        <f t="shared" si="30"/>
        <v>1313</v>
      </c>
      <c r="F326" s="1816">
        <f t="shared" si="31"/>
        <v>1355</v>
      </c>
      <c r="G326" s="1816">
        <f t="shared" si="32"/>
        <v>1313</v>
      </c>
    </row>
    <row r="327" spans="1:7" ht="15.75">
      <c r="A327" s="1961">
        <f t="shared" si="33"/>
        <v>13175</v>
      </c>
      <c r="B327" s="1815">
        <v>13150</v>
      </c>
      <c r="C327" s="1815">
        <v>13200</v>
      </c>
      <c r="D327" s="1816">
        <f t="shared" si="29"/>
        <v>1361</v>
      </c>
      <c r="E327" s="1816">
        <f t="shared" si="30"/>
        <v>1318</v>
      </c>
      <c r="F327" s="1816">
        <f t="shared" si="31"/>
        <v>1361</v>
      </c>
      <c r="G327" s="1816">
        <f t="shared" si="32"/>
        <v>1318</v>
      </c>
    </row>
    <row r="328" spans="1:7" ht="15.75">
      <c r="A328" s="1961">
        <f t="shared" si="33"/>
        <v>13225</v>
      </c>
      <c r="B328" s="1815">
        <v>13200</v>
      </c>
      <c r="C328" s="1815">
        <v>13250</v>
      </c>
      <c r="D328" s="1816">
        <f t="shared" si="29"/>
        <v>1367</v>
      </c>
      <c r="E328" s="1816">
        <f t="shared" si="30"/>
        <v>1323</v>
      </c>
      <c r="F328" s="1816">
        <f t="shared" si="31"/>
        <v>1367</v>
      </c>
      <c r="G328" s="1816">
        <f t="shared" si="32"/>
        <v>1323</v>
      </c>
    </row>
    <row r="329" spans="1:7" ht="15.75">
      <c r="A329" s="1961">
        <f t="shared" si="33"/>
        <v>13275</v>
      </c>
      <c r="B329" s="1815">
        <v>13250</v>
      </c>
      <c r="C329" s="1815">
        <v>13300</v>
      </c>
      <c r="D329" s="1816">
        <f t="shared" si="29"/>
        <v>1373</v>
      </c>
      <c r="E329" s="1816">
        <f t="shared" si="30"/>
        <v>1328</v>
      </c>
      <c r="F329" s="1816">
        <f t="shared" si="31"/>
        <v>1373</v>
      </c>
      <c r="G329" s="1816">
        <f t="shared" si="32"/>
        <v>1328</v>
      </c>
    </row>
    <row r="330" spans="1:7" ht="15.75">
      <c r="A330" s="1961">
        <f t="shared" si="33"/>
        <v>13325</v>
      </c>
      <c r="B330" s="1815">
        <v>13300</v>
      </c>
      <c r="C330" s="1815">
        <v>13350</v>
      </c>
      <c r="D330" s="1816">
        <f t="shared" si="29"/>
        <v>1379</v>
      </c>
      <c r="E330" s="1816">
        <f t="shared" si="30"/>
        <v>1333</v>
      </c>
      <c r="F330" s="1816">
        <f t="shared" si="31"/>
        <v>1379</v>
      </c>
      <c r="G330" s="1816">
        <f t="shared" si="32"/>
        <v>1333</v>
      </c>
    </row>
    <row r="331" spans="1:7" ht="15.75">
      <c r="A331" s="1961">
        <f t="shared" si="33"/>
        <v>13375</v>
      </c>
      <c r="B331" s="1815">
        <v>13350</v>
      </c>
      <c r="C331" s="1815">
        <v>13400</v>
      </c>
      <c r="D331" s="1816">
        <f t="shared" si="29"/>
        <v>1385</v>
      </c>
      <c r="E331" s="1816">
        <f t="shared" si="30"/>
        <v>1338</v>
      </c>
      <c r="F331" s="1816">
        <f t="shared" si="31"/>
        <v>1385</v>
      </c>
      <c r="G331" s="1816">
        <f t="shared" si="32"/>
        <v>1338</v>
      </c>
    </row>
    <row r="332" spans="1:7" ht="15.75">
      <c r="A332" s="1961">
        <f t="shared" si="33"/>
        <v>13425</v>
      </c>
      <c r="B332" s="1815">
        <v>13400</v>
      </c>
      <c r="C332" s="1815">
        <v>13450</v>
      </c>
      <c r="D332" s="1816">
        <f t="shared" si="29"/>
        <v>1391</v>
      </c>
      <c r="E332" s="1816">
        <f t="shared" si="30"/>
        <v>1343</v>
      </c>
      <c r="F332" s="1816">
        <f t="shared" si="31"/>
        <v>1391</v>
      </c>
      <c r="G332" s="1816">
        <f t="shared" si="32"/>
        <v>1343</v>
      </c>
    </row>
    <row r="333" spans="1:7" ht="15.75">
      <c r="A333" s="1961">
        <f t="shared" si="33"/>
        <v>13475</v>
      </c>
      <c r="B333" s="1815">
        <v>13450</v>
      </c>
      <c r="C333" s="1815">
        <v>13500</v>
      </c>
      <c r="D333" s="1816">
        <f t="shared" si="29"/>
        <v>1397</v>
      </c>
      <c r="E333" s="1816">
        <f t="shared" si="30"/>
        <v>1348</v>
      </c>
      <c r="F333" s="1816">
        <f t="shared" si="31"/>
        <v>1397</v>
      </c>
      <c r="G333" s="1816">
        <f t="shared" si="32"/>
        <v>1348</v>
      </c>
    </row>
    <row r="334" spans="1:7" ht="15.75">
      <c r="A334" s="1961">
        <f t="shared" si="33"/>
        <v>13525</v>
      </c>
      <c r="B334" s="1815">
        <v>13500</v>
      </c>
      <c r="C334" s="1815">
        <v>13550</v>
      </c>
      <c r="D334" s="1816">
        <f t="shared" si="29"/>
        <v>1403</v>
      </c>
      <c r="E334" s="1816">
        <f t="shared" si="30"/>
        <v>1353</v>
      </c>
      <c r="F334" s="1816">
        <f t="shared" si="31"/>
        <v>1403</v>
      </c>
      <c r="G334" s="1816">
        <f t="shared" si="32"/>
        <v>1353</v>
      </c>
    </row>
    <row r="335" spans="1:7" ht="15.75">
      <c r="A335" s="1961">
        <f t="shared" si="33"/>
        <v>13575</v>
      </c>
      <c r="B335" s="1815">
        <v>13550</v>
      </c>
      <c r="C335" s="1815">
        <v>13600</v>
      </c>
      <c r="D335" s="1816">
        <f t="shared" si="29"/>
        <v>1409</v>
      </c>
      <c r="E335" s="1816">
        <f t="shared" si="30"/>
        <v>1358</v>
      </c>
      <c r="F335" s="1816">
        <f t="shared" si="31"/>
        <v>1409</v>
      </c>
      <c r="G335" s="1816">
        <f t="shared" si="32"/>
        <v>1358</v>
      </c>
    </row>
    <row r="336" spans="1:7" ht="15.75">
      <c r="A336" s="1961">
        <f t="shared" si="33"/>
        <v>13625</v>
      </c>
      <c r="B336" s="1815">
        <v>13600</v>
      </c>
      <c r="C336" s="1815">
        <v>13650</v>
      </c>
      <c r="D336" s="1816">
        <f t="shared" si="29"/>
        <v>1415</v>
      </c>
      <c r="E336" s="1816">
        <f t="shared" si="30"/>
        <v>1363</v>
      </c>
      <c r="F336" s="1816">
        <f t="shared" si="31"/>
        <v>1415</v>
      </c>
      <c r="G336" s="1816">
        <f t="shared" si="32"/>
        <v>1363</v>
      </c>
    </row>
    <row r="337" spans="1:7" ht="15.75">
      <c r="A337" s="1961">
        <f t="shared" si="33"/>
        <v>13675</v>
      </c>
      <c r="B337" s="1815">
        <v>13650</v>
      </c>
      <c r="C337" s="1815">
        <v>13700</v>
      </c>
      <c r="D337" s="1816">
        <f t="shared" si="29"/>
        <v>1421</v>
      </c>
      <c r="E337" s="1816">
        <f t="shared" si="30"/>
        <v>1368</v>
      </c>
      <c r="F337" s="1816">
        <f t="shared" si="31"/>
        <v>1421</v>
      </c>
      <c r="G337" s="1816">
        <f t="shared" si="32"/>
        <v>1368</v>
      </c>
    </row>
    <row r="338" spans="1:7" ht="15.75">
      <c r="A338" s="1961">
        <f t="shared" si="33"/>
        <v>13725</v>
      </c>
      <c r="B338" s="1815">
        <v>13700</v>
      </c>
      <c r="C338" s="1815">
        <v>13750</v>
      </c>
      <c r="D338" s="1816">
        <f t="shared" si="29"/>
        <v>1427</v>
      </c>
      <c r="E338" s="1816">
        <f t="shared" si="30"/>
        <v>1373</v>
      </c>
      <c r="F338" s="1816">
        <f t="shared" si="31"/>
        <v>1427</v>
      </c>
      <c r="G338" s="1816">
        <f t="shared" si="32"/>
        <v>1373</v>
      </c>
    </row>
    <row r="339" spans="1:7" ht="15.75">
      <c r="A339" s="1961">
        <f t="shared" si="33"/>
        <v>13775</v>
      </c>
      <c r="B339" s="1815">
        <v>13750</v>
      </c>
      <c r="C339" s="1815">
        <v>13800</v>
      </c>
      <c r="D339" s="1816">
        <f t="shared" si="29"/>
        <v>1433</v>
      </c>
      <c r="E339" s="1816">
        <f t="shared" si="30"/>
        <v>1378</v>
      </c>
      <c r="F339" s="1816">
        <f t="shared" si="31"/>
        <v>1433</v>
      </c>
      <c r="G339" s="1816">
        <f t="shared" si="32"/>
        <v>1378</v>
      </c>
    </row>
    <row r="340" spans="1:7" ht="15.75">
      <c r="A340" s="1961">
        <f t="shared" si="33"/>
        <v>13825</v>
      </c>
      <c r="B340" s="1815">
        <v>13800</v>
      </c>
      <c r="C340" s="1815">
        <v>13850</v>
      </c>
      <c r="D340" s="1816">
        <f t="shared" si="29"/>
        <v>1439</v>
      </c>
      <c r="E340" s="1816">
        <f t="shared" si="30"/>
        <v>1383</v>
      </c>
      <c r="F340" s="1816">
        <f t="shared" si="31"/>
        <v>1439</v>
      </c>
      <c r="G340" s="1816">
        <f t="shared" si="32"/>
        <v>1383</v>
      </c>
    </row>
    <row r="341" spans="1:7" ht="15.75">
      <c r="A341" s="1961">
        <f t="shared" si="33"/>
        <v>13875</v>
      </c>
      <c r="B341" s="1815">
        <v>13850</v>
      </c>
      <c r="C341" s="1815">
        <v>13900</v>
      </c>
      <c r="D341" s="1816">
        <f t="shared" si="29"/>
        <v>1445</v>
      </c>
      <c r="E341" s="1816">
        <f t="shared" si="30"/>
        <v>1388</v>
      </c>
      <c r="F341" s="1816">
        <f t="shared" si="31"/>
        <v>1445</v>
      </c>
      <c r="G341" s="1816">
        <f t="shared" si="32"/>
        <v>1388</v>
      </c>
    </row>
    <row r="342" spans="1:7" ht="15.75">
      <c r="A342" s="1961">
        <f t="shared" si="33"/>
        <v>13925</v>
      </c>
      <c r="B342" s="1815">
        <v>13900</v>
      </c>
      <c r="C342" s="1815">
        <v>13950</v>
      </c>
      <c r="D342" s="1816">
        <f t="shared" si="29"/>
        <v>1451</v>
      </c>
      <c r="E342" s="1816">
        <f t="shared" si="30"/>
        <v>1393</v>
      </c>
      <c r="F342" s="1816">
        <f t="shared" si="31"/>
        <v>1451</v>
      </c>
      <c r="G342" s="1816">
        <f t="shared" si="32"/>
        <v>1393</v>
      </c>
    </row>
    <row r="343" spans="1:7" ht="15.75">
      <c r="A343" s="1961">
        <f t="shared" si="33"/>
        <v>13975</v>
      </c>
      <c r="B343" s="1815">
        <v>13950</v>
      </c>
      <c r="C343" s="1815">
        <v>14000</v>
      </c>
      <c r="D343" s="1816">
        <f t="shared" si="29"/>
        <v>1457</v>
      </c>
      <c r="E343" s="1816">
        <f t="shared" si="30"/>
        <v>1398</v>
      </c>
      <c r="F343" s="1816">
        <f t="shared" si="31"/>
        <v>1457</v>
      </c>
      <c r="G343" s="1816">
        <f t="shared" si="32"/>
        <v>1398</v>
      </c>
    </row>
    <row r="344" spans="1:7" ht="15.75">
      <c r="A344" s="1961">
        <f t="shared" si="33"/>
        <v>14025</v>
      </c>
      <c r="B344" s="1815">
        <v>14000</v>
      </c>
      <c r="C344" s="1815">
        <v>14050</v>
      </c>
      <c r="D344" s="1816">
        <f t="shared" si="29"/>
        <v>1463</v>
      </c>
      <c r="E344" s="1816">
        <f t="shared" si="30"/>
        <v>1403</v>
      </c>
      <c r="F344" s="1816">
        <f t="shared" si="31"/>
        <v>1463</v>
      </c>
      <c r="G344" s="1816">
        <f t="shared" si="32"/>
        <v>1403</v>
      </c>
    </row>
    <row r="345" spans="1:7" ht="15.75">
      <c r="A345" s="1961">
        <f t="shared" si="33"/>
        <v>14075</v>
      </c>
      <c r="B345" s="1815">
        <v>14050</v>
      </c>
      <c r="C345" s="1815">
        <v>14100</v>
      </c>
      <c r="D345" s="1816">
        <f t="shared" si="29"/>
        <v>1469</v>
      </c>
      <c r="E345" s="1816">
        <f t="shared" si="30"/>
        <v>1408</v>
      </c>
      <c r="F345" s="1816">
        <f t="shared" si="31"/>
        <v>1469</v>
      </c>
      <c r="G345" s="1816">
        <f t="shared" si="32"/>
        <v>1408</v>
      </c>
    </row>
    <row r="346" spans="1:7" ht="15.75">
      <c r="A346" s="1961">
        <f t="shared" si="33"/>
        <v>14125</v>
      </c>
      <c r="B346" s="1815">
        <v>14100</v>
      </c>
      <c r="C346" s="1815">
        <v>14150</v>
      </c>
      <c r="D346" s="1816">
        <f t="shared" si="29"/>
        <v>1475</v>
      </c>
      <c r="E346" s="1816">
        <f t="shared" si="30"/>
        <v>1413</v>
      </c>
      <c r="F346" s="1816">
        <f t="shared" si="31"/>
        <v>1475</v>
      </c>
      <c r="G346" s="1816">
        <f t="shared" si="32"/>
        <v>1413</v>
      </c>
    </row>
    <row r="347" spans="1:7" ht="15.75">
      <c r="A347" s="1961">
        <f t="shared" si="33"/>
        <v>14175</v>
      </c>
      <c r="B347" s="1815">
        <v>14150</v>
      </c>
      <c r="C347" s="1815">
        <v>14200</v>
      </c>
      <c r="D347" s="1816">
        <f t="shared" si="29"/>
        <v>1481</v>
      </c>
      <c r="E347" s="1816">
        <f t="shared" si="30"/>
        <v>1418</v>
      </c>
      <c r="F347" s="1816">
        <f t="shared" si="31"/>
        <v>1481</v>
      </c>
      <c r="G347" s="1816">
        <f t="shared" si="32"/>
        <v>1418</v>
      </c>
    </row>
    <row r="348" spans="1:7" ht="15.75">
      <c r="A348" s="1961">
        <f t="shared" si="33"/>
        <v>14225</v>
      </c>
      <c r="B348" s="1815">
        <v>14200</v>
      </c>
      <c r="C348" s="1815">
        <v>14250</v>
      </c>
      <c r="D348" s="1816">
        <f t="shared" si="29"/>
        <v>1487</v>
      </c>
      <c r="E348" s="1816">
        <f t="shared" si="30"/>
        <v>1423</v>
      </c>
      <c r="F348" s="1816">
        <f t="shared" si="31"/>
        <v>1487</v>
      </c>
      <c r="G348" s="1816">
        <f t="shared" si="32"/>
        <v>1423</v>
      </c>
    </row>
    <row r="349" spans="1:7" ht="15.75">
      <c r="A349" s="1961">
        <f t="shared" si="33"/>
        <v>14275</v>
      </c>
      <c r="B349" s="1815">
        <v>14250</v>
      </c>
      <c r="C349" s="1815">
        <v>14300</v>
      </c>
      <c r="D349" s="1816">
        <f t="shared" si="29"/>
        <v>1493</v>
      </c>
      <c r="E349" s="1816">
        <f t="shared" si="30"/>
        <v>1428</v>
      </c>
      <c r="F349" s="1816">
        <f t="shared" si="31"/>
        <v>1493</v>
      </c>
      <c r="G349" s="1816">
        <f t="shared" si="32"/>
        <v>1428</v>
      </c>
    </row>
    <row r="350" spans="1:7" ht="15.75">
      <c r="A350" s="1961">
        <f t="shared" si="33"/>
        <v>14325</v>
      </c>
      <c r="B350" s="1815">
        <v>14300</v>
      </c>
      <c r="C350" s="1815">
        <v>14350</v>
      </c>
      <c r="D350" s="1816">
        <f t="shared" si="29"/>
        <v>1499</v>
      </c>
      <c r="E350" s="1816">
        <f t="shared" si="30"/>
        <v>1433</v>
      </c>
      <c r="F350" s="1816">
        <f t="shared" si="31"/>
        <v>1499</v>
      </c>
      <c r="G350" s="1816">
        <f t="shared" si="32"/>
        <v>1433</v>
      </c>
    </row>
    <row r="351" spans="1:7" ht="15.75">
      <c r="A351" s="1961">
        <f t="shared" si="33"/>
        <v>14375</v>
      </c>
      <c r="B351" s="1815">
        <v>14350</v>
      </c>
      <c r="C351" s="1815">
        <v>14400</v>
      </c>
      <c r="D351" s="1816">
        <f t="shared" si="29"/>
        <v>1505</v>
      </c>
      <c r="E351" s="1816">
        <f t="shared" si="30"/>
        <v>1438</v>
      </c>
      <c r="F351" s="1816">
        <f t="shared" si="31"/>
        <v>1505</v>
      </c>
      <c r="G351" s="1816">
        <f t="shared" si="32"/>
        <v>1438</v>
      </c>
    </row>
    <row r="352" spans="1:7" ht="15.75">
      <c r="A352" s="1961">
        <f t="shared" si="33"/>
        <v>14425</v>
      </c>
      <c r="B352" s="1815">
        <v>14400</v>
      </c>
      <c r="C352" s="1815">
        <v>14450</v>
      </c>
      <c r="D352" s="1816">
        <f t="shared" si="29"/>
        <v>1511</v>
      </c>
      <c r="E352" s="1816">
        <f t="shared" si="30"/>
        <v>1443</v>
      </c>
      <c r="F352" s="1816">
        <f t="shared" si="31"/>
        <v>1511</v>
      </c>
      <c r="G352" s="1816">
        <f t="shared" si="32"/>
        <v>1443</v>
      </c>
    </row>
    <row r="353" spans="1:7" ht="15.75">
      <c r="A353" s="1961">
        <f t="shared" si="33"/>
        <v>14475</v>
      </c>
      <c r="B353" s="1815">
        <v>14450</v>
      </c>
      <c r="C353" s="1815">
        <v>14500</v>
      </c>
      <c r="D353" s="1816">
        <f t="shared" si="29"/>
        <v>1517</v>
      </c>
      <c r="E353" s="1816">
        <f t="shared" si="30"/>
        <v>1448</v>
      </c>
      <c r="F353" s="1816">
        <f t="shared" si="31"/>
        <v>1517</v>
      </c>
      <c r="G353" s="1816">
        <f t="shared" si="32"/>
        <v>1448</v>
      </c>
    </row>
    <row r="354" spans="1:7" ht="15.75">
      <c r="A354" s="1961">
        <f t="shared" si="33"/>
        <v>14525</v>
      </c>
      <c r="B354" s="1815">
        <v>14500</v>
      </c>
      <c r="C354" s="1815">
        <v>14550</v>
      </c>
      <c r="D354" s="1816">
        <f t="shared" si="29"/>
        <v>1523</v>
      </c>
      <c r="E354" s="1816">
        <f t="shared" si="30"/>
        <v>1453</v>
      </c>
      <c r="F354" s="1816">
        <f t="shared" si="31"/>
        <v>1523</v>
      </c>
      <c r="G354" s="1816">
        <f t="shared" si="32"/>
        <v>1453</v>
      </c>
    </row>
    <row r="355" spans="1:7" ht="15.75">
      <c r="A355" s="1961">
        <f t="shared" si="33"/>
        <v>14575</v>
      </c>
      <c r="B355" s="1815">
        <v>14550</v>
      </c>
      <c r="C355" s="1815">
        <v>14600</v>
      </c>
      <c r="D355" s="1816">
        <f t="shared" si="29"/>
        <v>1529</v>
      </c>
      <c r="E355" s="1816">
        <f t="shared" si="30"/>
        <v>1458</v>
      </c>
      <c r="F355" s="1816">
        <f t="shared" si="31"/>
        <v>1529</v>
      </c>
      <c r="G355" s="1816">
        <f t="shared" si="32"/>
        <v>1458</v>
      </c>
    </row>
    <row r="356" spans="1:7" ht="15.75">
      <c r="A356" s="1961">
        <f t="shared" si="33"/>
        <v>14625</v>
      </c>
      <c r="B356" s="1815">
        <v>14600</v>
      </c>
      <c r="C356" s="1815">
        <v>14650</v>
      </c>
      <c r="D356" s="1816">
        <f t="shared" si="29"/>
        <v>1535</v>
      </c>
      <c r="E356" s="1816">
        <f t="shared" si="30"/>
        <v>1463</v>
      </c>
      <c r="F356" s="1816">
        <f t="shared" si="31"/>
        <v>1535</v>
      </c>
      <c r="G356" s="1816">
        <f t="shared" si="32"/>
        <v>1463</v>
      </c>
    </row>
    <row r="357" spans="1:7" ht="15.75">
      <c r="A357" s="1961">
        <f t="shared" si="33"/>
        <v>14675</v>
      </c>
      <c r="B357" s="1815">
        <v>14650</v>
      </c>
      <c r="C357" s="1815">
        <v>14700</v>
      </c>
      <c r="D357" s="1816">
        <f t="shared" si="29"/>
        <v>1541</v>
      </c>
      <c r="E357" s="1816">
        <f t="shared" si="30"/>
        <v>1468</v>
      </c>
      <c r="F357" s="1816">
        <f t="shared" si="31"/>
        <v>1541</v>
      </c>
      <c r="G357" s="1816">
        <f t="shared" si="32"/>
        <v>1468</v>
      </c>
    </row>
    <row r="358" spans="1:7" ht="15.75">
      <c r="A358" s="1961">
        <f t="shared" si="33"/>
        <v>14725</v>
      </c>
      <c r="B358" s="1815">
        <v>14700</v>
      </c>
      <c r="C358" s="1815">
        <v>14750</v>
      </c>
      <c r="D358" s="1816">
        <f t="shared" si="29"/>
        <v>1547</v>
      </c>
      <c r="E358" s="1816">
        <f t="shared" si="30"/>
        <v>1473</v>
      </c>
      <c r="F358" s="1816">
        <f t="shared" si="31"/>
        <v>1547</v>
      </c>
      <c r="G358" s="1816">
        <f t="shared" si="32"/>
        <v>1473</v>
      </c>
    </row>
    <row r="359" spans="1:7" ht="15.75">
      <c r="A359" s="1961">
        <f t="shared" si="33"/>
        <v>14775</v>
      </c>
      <c r="B359" s="1815">
        <v>14750</v>
      </c>
      <c r="C359" s="1815">
        <v>14800</v>
      </c>
      <c r="D359" s="1816">
        <f t="shared" si="29"/>
        <v>1553</v>
      </c>
      <c r="E359" s="1816">
        <f t="shared" si="30"/>
        <v>1478</v>
      </c>
      <c r="F359" s="1816">
        <f t="shared" si="31"/>
        <v>1553</v>
      </c>
      <c r="G359" s="1816">
        <f t="shared" si="32"/>
        <v>1478</v>
      </c>
    </row>
    <row r="360" spans="1:7" ht="15.75">
      <c r="A360" s="1961">
        <f t="shared" si="33"/>
        <v>14825</v>
      </c>
      <c r="B360" s="1815">
        <v>14800</v>
      </c>
      <c r="C360" s="1815">
        <v>14850</v>
      </c>
      <c r="D360" s="1816">
        <f t="shared" si="29"/>
        <v>1559</v>
      </c>
      <c r="E360" s="1816">
        <f t="shared" si="30"/>
        <v>1483</v>
      </c>
      <c r="F360" s="1816">
        <f t="shared" si="31"/>
        <v>1559</v>
      </c>
      <c r="G360" s="1816">
        <f t="shared" si="32"/>
        <v>1483</v>
      </c>
    </row>
    <row r="361" spans="1:7" ht="15.75">
      <c r="A361" s="1961">
        <f t="shared" si="33"/>
        <v>14875</v>
      </c>
      <c r="B361" s="1815">
        <v>14850</v>
      </c>
      <c r="C361" s="1815">
        <v>14900</v>
      </c>
      <c r="D361" s="1816">
        <f t="shared" si="29"/>
        <v>1565</v>
      </c>
      <c r="E361" s="1816">
        <f t="shared" si="30"/>
        <v>1488</v>
      </c>
      <c r="F361" s="1816">
        <f t="shared" si="31"/>
        <v>1565</v>
      </c>
      <c r="G361" s="1816">
        <f t="shared" si="32"/>
        <v>1488</v>
      </c>
    </row>
    <row r="362" spans="1:7" ht="15.75">
      <c r="A362" s="1961">
        <f t="shared" si="33"/>
        <v>14925</v>
      </c>
      <c r="B362" s="1815">
        <v>14900</v>
      </c>
      <c r="C362" s="1815">
        <v>14950</v>
      </c>
      <c r="D362" s="1816">
        <f t="shared" si="29"/>
        <v>1571</v>
      </c>
      <c r="E362" s="1816">
        <f t="shared" si="30"/>
        <v>1493</v>
      </c>
      <c r="F362" s="1816">
        <f t="shared" si="31"/>
        <v>1571</v>
      </c>
      <c r="G362" s="1816">
        <f t="shared" si="32"/>
        <v>1493</v>
      </c>
    </row>
    <row r="363" spans="1:7" ht="15.75">
      <c r="A363" s="1961">
        <f t="shared" si="33"/>
        <v>14975</v>
      </c>
      <c r="B363" s="1815">
        <v>14950</v>
      </c>
      <c r="C363" s="1815">
        <v>15000</v>
      </c>
      <c r="D363" s="1816">
        <f t="shared" si="29"/>
        <v>1577</v>
      </c>
      <c r="E363" s="1816">
        <f t="shared" si="30"/>
        <v>1498</v>
      </c>
      <c r="F363" s="1816">
        <f t="shared" si="31"/>
        <v>1577</v>
      </c>
      <c r="G363" s="1816">
        <f t="shared" si="32"/>
        <v>1498</v>
      </c>
    </row>
    <row r="364" spans="1:7" ht="15.75">
      <c r="A364" s="1961">
        <f t="shared" si="33"/>
        <v>15025</v>
      </c>
      <c r="B364" s="1815">
        <v>15000</v>
      </c>
      <c r="C364" s="1815">
        <v>15050</v>
      </c>
      <c r="D364" s="1816">
        <f t="shared" si="29"/>
        <v>1583</v>
      </c>
      <c r="E364" s="1816">
        <f t="shared" si="30"/>
        <v>1503</v>
      </c>
      <c r="F364" s="1816">
        <f t="shared" si="31"/>
        <v>1583</v>
      </c>
      <c r="G364" s="1816">
        <f t="shared" si="32"/>
        <v>1503</v>
      </c>
    </row>
    <row r="365" spans="1:7" ht="15.75">
      <c r="A365" s="1961">
        <f t="shared" si="33"/>
        <v>15075</v>
      </c>
      <c r="B365" s="1815">
        <v>15050</v>
      </c>
      <c r="C365" s="1815">
        <v>15100</v>
      </c>
      <c r="D365" s="1816">
        <f t="shared" si="29"/>
        <v>1589</v>
      </c>
      <c r="E365" s="1816">
        <f t="shared" si="30"/>
        <v>1508</v>
      </c>
      <c r="F365" s="1816">
        <f t="shared" si="31"/>
        <v>1589</v>
      </c>
      <c r="G365" s="1816">
        <f t="shared" si="32"/>
        <v>1508</v>
      </c>
    </row>
    <row r="366" spans="1:7" ht="15.75">
      <c r="A366" s="1961">
        <f t="shared" si="33"/>
        <v>15125</v>
      </c>
      <c r="B366" s="1815">
        <v>15100</v>
      </c>
      <c r="C366" s="1815">
        <v>15150</v>
      </c>
      <c r="D366" s="1816">
        <f t="shared" si="29"/>
        <v>1595</v>
      </c>
      <c r="E366" s="1816">
        <f t="shared" si="30"/>
        <v>1513</v>
      </c>
      <c r="F366" s="1816">
        <f t="shared" si="31"/>
        <v>1595</v>
      </c>
      <c r="G366" s="1816">
        <f t="shared" si="32"/>
        <v>1513</v>
      </c>
    </row>
    <row r="367" spans="1:7" ht="15.75">
      <c r="A367" s="1961">
        <f t="shared" si="33"/>
        <v>15175</v>
      </c>
      <c r="B367" s="1815">
        <v>15150</v>
      </c>
      <c r="C367" s="1815">
        <v>15200</v>
      </c>
      <c r="D367" s="1816">
        <f t="shared" si="29"/>
        <v>1601</v>
      </c>
      <c r="E367" s="1816">
        <f t="shared" si="30"/>
        <v>1518</v>
      </c>
      <c r="F367" s="1816">
        <f t="shared" si="31"/>
        <v>1601</v>
      </c>
      <c r="G367" s="1816">
        <f t="shared" si="32"/>
        <v>1518</v>
      </c>
    </row>
    <row r="368" spans="1:7" ht="15.75">
      <c r="A368" s="1961">
        <f t="shared" si="33"/>
        <v>15225</v>
      </c>
      <c r="B368" s="1815">
        <v>15200</v>
      </c>
      <c r="C368" s="1815">
        <v>15250</v>
      </c>
      <c r="D368" s="1816">
        <f t="shared" si="29"/>
        <v>1607</v>
      </c>
      <c r="E368" s="1816">
        <f t="shared" si="30"/>
        <v>1523</v>
      </c>
      <c r="F368" s="1816">
        <f t="shared" si="31"/>
        <v>1607</v>
      </c>
      <c r="G368" s="1816">
        <f t="shared" si="32"/>
        <v>1523</v>
      </c>
    </row>
    <row r="369" spans="1:7" ht="15.75">
      <c r="A369" s="1961">
        <f t="shared" si="33"/>
        <v>15275</v>
      </c>
      <c r="B369" s="1815">
        <v>15250</v>
      </c>
      <c r="C369" s="1815">
        <v>15300</v>
      </c>
      <c r="D369" s="1816">
        <f t="shared" si="29"/>
        <v>1613</v>
      </c>
      <c r="E369" s="1816">
        <f t="shared" si="30"/>
        <v>1528</v>
      </c>
      <c r="F369" s="1816">
        <f t="shared" si="31"/>
        <v>1613</v>
      </c>
      <c r="G369" s="1816">
        <f t="shared" si="32"/>
        <v>1528</v>
      </c>
    </row>
    <row r="370" spans="1:7" ht="15.75">
      <c r="A370" s="1961">
        <f t="shared" si="33"/>
        <v>15325</v>
      </c>
      <c r="B370" s="1815">
        <v>15300</v>
      </c>
      <c r="C370" s="1815">
        <v>15350</v>
      </c>
      <c r="D370" s="1816">
        <f t="shared" si="29"/>
        <v>1619</v>
      </c>
      <c r="E370" s="1816">
        <f t="shared" si="30"/>
        <v>1533</v>
      </c>
      <c r="F370" s="1816">
        <f t="shared" si="31"/>
        <v>1619</v>
      </c>
      <c r="G370" s="1816">
        <f t="shared" si="32"/>
        <v>1533</v>
      </c>
    </row>
    <row r="371" spans="1:7" ht="15.75">
      <c r="A371" s="1961">
        <f t="shared" si="33"/>
        <v>15375</v>
      </c>
      <c r="B371" s="1815">
        <v>15350</v>
      </c>
      <c r="C371" s="1815">
        <v>15400</v>
      </c>
      <c r="D371" s="1816">
        <f t="shared" si="29"/>
        <v>1625</v>
      </c>
      <c r="E371" s="1816">
        <f t="shared" si="30"/>
        <v>1538</v>
      </c>
      <c r="F371" s="1816">
        <f t="shared" si="31"/>
        <v>1625</v>
      </c>
      <c r="G371" s="1816">
        <f t="shared" si="32"/>
        <v>1538</v>
      </c>
    </row>
    <row r="372" spans="1:7" ht="15.75">
      <c r="A372" s="1961">
        <f t="shared" si="33"/>
        <v>15425</v>
      </c>
      <c r="B372" s="1815">
        <v>15400</v>
      </c>
      <c r="C372" s="1815">
        <v>15450</v>
      </c>
      <c r="D372" s="1816">
        <f t="shared" si="29"/>
        <v>1631</v>
      </c>
      <c r="E372" s="1816">
        <f t="shared" si="30"/>
        <v>1543</v>
      </c>
      <c r="F372" s="1816">
        <f t="shared" si="31"/>
        <v>1631</v>
      </c>
      <c r="G372" s="1816">
        <f t="shared" si="32"/>
        <v>1543</v>
      </c>
    </row>
    <row r="373" spans="1:7" ht="15.75">
      <c r="A373" s="1961">
        <f t="shared" si="33"/>
        <v>15475</v>
      </c>
      <c r="B373" s="1815">
        <v>15450</v>
      </c>
      <c r="C373" s="1815">
        <v>15500</v>
      </c>
      <c r="D373" s="1816">
        <f t="shared" si="29"/>
        <v>1637</v>
      </c>
      <c r="E373" s="1816">
        <f t="shared" si="30"/>
        <v>1548</v>
      </c>
      <c r="F373" s="1816">
        <f t="shared" si="31"/>
        <v>1637</v>
      </c>
      <c r="G373" s="1816">
        <f t="shared" si="32"/>
        <v>1548</v>
      </c>
    </row>
    <row r="374" spans="1:7" ht="15.75">
      <c r="A374" s="1961">
        <f t="shared" si="33"/>
        <v>15525</v>
      </c>
      <c r="B374" s="1815">
        <v>15500</v>
      </c>
      <c r="C374" s="1815">
        <v>15550</v>
      </c>
      <c r="D374" s="1816">
        <f t="shared" si="29"/>
        <v>1643</v>
      </c>
      <c r="E374" s="1816">
        <f t="shared" si="30"/>
        <v>1553</v>
      </c>
      <c r="F374" s="1816">
        <f t="shared" si="31"/>
        <v>1643</v>
      </c>
      <c r="G374" s="1816">
        <f t="shared" si="32"/>
        <v>1553</v>
      </c>
    </row>
    <row r="375" spans="1:7" ht="15.75">
      <c r="A375" s="1961">
        <f t="shared" si="33"/>
        <v>15575</v>
      </c>
      <c r="B375" s="1815">
        <v>15550</v>
      </c>
      <c r="C375" s="1815">
        <v>15600</v>
      </c>
      <c r="D375" s="1816">
        <f t="shared" si="29"/>
        <v>1649</v>
      </c>
      <c r="E375" s="1816">
        <f t="shared" si="30"/>
        <v>1558</v>
      </c>
      <c r="F375" s="1816">
        <f t="shared" si="31"/>
        <v>1649</v>
      </c>
      <c r="G375" s="1816">
        <f t="shared" si="32"/>
        <v>1558</v>
      </c>
    </row>
    <row r="376" spans="1:7" ht="15.75">
      <c r="A376" s="1961">
        <f t="shared" si="33"/>
        <v>15625</v>
      </c>
      <c r="B376" s="1815">
        <v>15600</v>
      </c>
      <c r="C376" s="1815">
        <v>15650</v>
      </c>
      <c r="D376" s="1816">
        <f t="shared" si="29"/>
        <v>1655</v>
      </c>
      <c r="E376" s="1816">
        <f t="shared" si="30"/>
        <v>1563</v>
      </c>
      <c r="F376" s="1816">
        <f t="shared" si="31"/>
        <v>1655</v>
      </c>
      <c r="G376" s="1816">
        <f t="shared" si="32"/>
        <v>1563</v>
      </c>
    </row>
    <row r="377" spans="1:7" ht="15.75">
      <c r="A377" s="1961">
        <f t="shared" si="33"/>
        <v>15675</v>
      </c>
      <c r="B377" s="1815">
        <v>15650</v>
      </c>
      <c r="C377" s="1815">
        <v>15700</v>
      </c>
      <c r="D377" s="1816">
        <f t="shared" si="29"/>
        <v>1661</v>
      </c>
      <c r="E377" s="1816">
        <f t="shared" si="30"/>
        <v>1568</v>
      </c>
      <c r="F377" s="1816">
        <f t="shared" si="31"/>
        <v>1661</v>
      </c>
      <c r="G377" s="1816">
        <f t="shared" si="32"/>
        <v>1568</v>
      </c>
    </row>
    <row r="378" spans="1:7" ht="15.75">
      <c r="A378" s="1961">
        <f t="shared" si="33"/>
        <v>15725</v>
      </c>
      <c r="B378" s="1815">
        <v>15700</v>
      </c>
      <c r="C378" s="1815">
        <v>15750</v>
      </c>
      <c r="D378" s="1816">
        <f t="shared" si="29"/>
        <v>1667</v>
      </c>
      <c r="E378" s="1816">
        <f t="shared" si="30"/>
        <v>1573</v>
      </c>
      <c r="F378" s="1816">
        <f t="shared" si="31"/>
        <v>1667</v>
      </c>
      <c r="G378" s="1816">
        <f t="shared" si="32"/>
        <v>1573</v>
      </c>
    </row>
    <row r="379" spans="1:7" ht="15.75">
      <c r="A379" s="1961">
        <f t="shared" si="33"/>
        <v>15775</v>
      </c>
      <c r="B379" s="1815">
        <v>15750</v>
      </c>
      <c r="C379" s="1815">
        <v>15800</v>
      </c>
      <c r="D379" s="1816">
        <f t="shared" si="29"/>
        <v>1673</v>
      </c>
      <c r="E379" s="1816">
        <f t="shared" si="30"/>
        <v>1578</v>
      </c>
      <c r="F379" s="1816">
        <f t="shared" si="31"/>
        <v>1673</v>
      </c>
      <c r="G379" s="1816">
        <f t="shared" si="32"/>
        <v>1579</v>
      </c>
    </row>
    <row r="380" spans="1:7" ht="15.75">
      <c r="A380" s="1961">
        <f t="shared" si="33"/>
        <v>15825</v>
      </c>
      <c r="B380" s="1815">
        <v>15800</v>
      </c>
      <c r="C380" s="1815">
        <v>15850</v>
      </c>
      <c r="D380" s="1816">
        <f t="shared" si="29"/>
        <v>1679</v>
      </c>
      <c r="E380" s="1816">
        <f t="shared" si="30"/>
        <v>1583</v>
      </c>
      <c r="F380" s="1816">
        <f t="shared" si="31"/>
        <v>1679</v>
      </c>
      <c r="G380" s="1816">
        <f t="shared" si="32"/>
        <v>1585</v>
      </c>
    </row>
    <row r="381" spans="1:7" ht="15.75">
      <c r="A381" s="1961">
        <f t="shared" si="33"/>
        <v>15875</v>
      </c>
      <c r="B381" s="1815">
        <v>15850</v>
      </c>
      <c r="C381" s="1815">
        <v>15900</v>
      </c>
      <c r="D381" s="1816">
        <f t="shared" si="29"/>
        <v>1685</v>
      </c>
      <c r="E381" s="1816">
        <f t="shared" si="30"/>
        <v>1588</v>
      </c>
      <c r="F381" s="1816">
        <f t="shared" si="31"/>
        <v>1685</v>
      </c>
      <c r="G381" s="1816">
        <f t="shared" si="32"/>
        <v>1591</v>
      </c>
    </row>
    <row r="382" spans="1:7" ht="15.75">
      <c r="A382" s="1961">
        <f t="shared" si="33"/>
        <v>15925</v>
      </c>
      <c r="B382" s="1815">
        <v>15900</v>
      </c>
      <c r="C382" s="1815">
        <v>15950</v>
      </c>
      <c r="D382" s="1816">
        <f t="shared" si="29"/>
        <v>1691</v>
      </c>
      <c r="E382" s="1816">
        <f t="shared" si="30"/>
        <v>1593</v>
      </c>
      <c r="F382" s="1816">
        <f t="shared" si="31"/>
        <v>1691</v>
      </c>
      <c r="G382" s="1816">
        <f t="shared" si="32"/>
        <v>1597</v>
      </c>
    </row>
    <row r="383" spans="1:7" ht="15.75">
      <c r="A383" s="1961">
        <f t="shared" si="33"/>
        <v>15975</v>
      </c>
      <c r="B383" s="1815">
        <v>15950</v>
      </c>
      <c r="C383" s="1815">
        <v>16000</v>
      </c>
      <c r="D383" s="1816">
        <f t="shared" si="29"/>
        <v>1697</v>
      </c>
      <c r="E383" s="1816">
        <f t="shared" si="30"/>
        <v>1598</v>
      </c>
      <c r="F383" s="1816">
        <f t="shared" si="31"/>
        <v>1697</v>
      </c>
      <c r="G383" s="1816">
        <f t="shared" si="32"/>
        <v>1603</v>
      </c>
    </row>
    <row r="384" spans="1:7" ht="15.75">
      <c r="A384" s="1961">
        <f t="shared" si="33"/>
        <v>16025</v>
      </c>
      <c r="B384" s="1815">
        <v>16000</v>
      </c>
      <c r="C384" s="1815">
        <v>16050</v>
      </c>
      <c r="D384" s="1816">
        <f t="shared" si="29"/>
        <v>1703</v>
      </c>
      <c r="E384" s="1816">
        <f t="shared" si="30"/>
        <v>1603</v>
      </c>
      <c r="F384" s="1816">
        <f t="shared" si="31"/>
        <v>1703</v>
      </c>
      <c r="G384" s="1816">
        <f t="shared" si="32"/>
        <v>1609</v>
      </c>
    </row>
    <row r="385" spans="1:7" ht="15.75">
      <c r="A385" s="1961">
        <f t="shared" si="33"/>
        <v>16075</v>
      </c>
      <c r="B385" s="1815">
        <v>16050</v>
      </c>
      <c r="C385" s="1815">
        <v>16100</v>
      </c>
      <c r="D385" s="1816">
        <f t="shared" si="29"/>
        <v>1709</v>
      </c>
      <c r="E385" s="1816">
        <f t="shared" si="30"/>
        <v>1608</v>
      </c>
      <c r="F385" s="1816">
        <f t="shared" si="31"/>
        <v>1709</v>
      </c>
      <c r="G385" s="1816">
        <f t="shared" si="32"/>
        <v>1615</v>
      </c>
    </row>
    <row r="386" spans="1:7" ht="15.75">
      <c r="A386" s="1961">
        <f t="shared" si="33"/>
        <v>16125</v>
      </c>
      <c r="B386" s="1815">
        <v>16100</v>
      </c>
      <c r="C386" s="1815">
        <v>16150</v>
      </c>
      <c r="D386" s="1816">
        <f t="shared" ref="D386:D449" si="34">IF($A386&gt;BOTT_A4,ROUND(BASE_A4+RATE_A4*($A386-BOTT_A4),0),IF($A386&gt;BOTT_A3,ROUND(BASE_A3+RATE_A3*($A386-BOTT_A3),0),IF($A386&gt;BOTT_A2,ROUND(BASE_A2+RATE_A2*($A386-BOTT_A2),0),ROUND(RATE_A1*$A386,0))))</f>
        <v>1715</v>
      </c>
      <c r="E386" s="1816">
        <f t="shared" ref="E386:E449" si="35">IF($A386&gt;BOTT_B4,ROUND(BASE_B4+RATE_B4*($A386-BOTT_B4),0),IF($A386&gt;BOTT_B3,ROUND(BASE_B3+RATE_B3*($A386-BOTT_B3),0),IF($A386&gt;BOTT_B2,ROUND(BASE_B2+RATE_B2*($A386-BOTT_B2),0),ROUND(RATE_B1*$A386,0))))</f>
        <v>1613</v>
      </c>
      <c r="F386" s="1816">
        <f t="shared" ref="F386:F449" si="36">IF($A386&gt;BOTT_C4,ROUND(BASE_C4+RATE_C4*($A386-BOTT_C4),0),IF($A386&gt;BOTT_C3,ROUND(BASE_C3+RATE_C3*($A386-BOTT_C3),0),IF($A386&gt;BOTT_C2,ROUND(BASE_C2+RATE_C2*($A386-BOTT_C2),0),ROUND(RATE_C1*$A386,0))))</f>
        <v>1715</v>
      </c>
      <c r="G386" s="1816">
        <f t="shared" ref="G386:G449" si="37">IF($A386&gt;BOTT_D4,ROUND(BASE_D4+RATE_D4*($A386-BOTT_D4),0),IF($A386&gt;BOTT_D3,ROUND(BASE_D3+RATE_D3*($A386-BOTT_D3),0),IF($A386&gt;BOTT_D2,ROUND(BASE_D2+RATE_D2*($A386-BOTT_D2),0),ROUND(RATE_D1*$A386,0))))</f>
        <v>1621</v>
      </c>
    </row>
    <row r="387" spans="1:7" ht="15.75">
      <c r="A387" s="1961">
        <f t="shared" ref="A387:A450" si="38">AVERAGE(B387,C387)</f>
        <v>16175</v>
      </c>
      <c r="B387" s="1815">
        <v>16150</v>
      </c>
      <c r="C387" s="1815">
        <v>16200</v>
      </c>
      <c r="D387" s="1816">
        <f t="shared" si="34"/>
        <v>1721</v>
      </c>
      <c r="E387" s="1816">
        <f t="shared" si="35"/>
        <v>1618</v>
      </c>
      <c r="F387" s="1816">
        <f t="shared" si="36"/>
        <v>1721</v>
      </c>
      <c r="G387" s="1816">
        <f t="shared" si="37"/>
        <v>1627</v>
      </c>
    </row>
    <row r="388" spans="1:7" ht="15.75">
      <c r="A388" s="1961">
        <f t="shared" si="38"/>
        <v>16225</v>
      </c>
      <c r="B388" s="1815">
        <v>16200</v>
      </c>
      <c r="C388" s="1815">
        <v>16250</v>
      </c>
      <c r="D388" s="1816">
        <f t="shared" si="34"/>
        <v>1727</v>
      </c>
      <c r="E388" s="1816">
        <f t="shared" si="35"/>
        <v>1623</v>
      </c>
      <c r="F388" s="1816">
        <f t="shared" si="36"/>
        <v>1727</v>
      </c>
      <c r="G388" s="1816">
        <f t="shared" si="37"/>
        <v>1633</v>
      </c>
    </row>
    <row r="389" spans="1:7" ht="15.75">
      <c r="A389" s="1961">
        <f t="shared" si="38"/>
        <v>16275</v>
      </c>
      <c r="B389" s="1815">
        <v>16250</v>
      </c>
      <c r="C389" s="1815">
        <v>16300</v>
      </c>
      <c r="D389" s="1816">
        <f t="shared" si="34"/>
        <v>1733</v>
      </c>
      <c r="E389" s="1816">
        <f t="shared" si="35"/>
        <v>1628</v>
      </c>
      <c r="F389" s="1816">
        <f t="shared" si="36"/>
        <v>1733</v>
      </c>
      <c r="G389" s="1816">
        <f t="shared" si="37"/>
        <v>1639</v>
      </c>
    </row>
    <row r="390" spans="1:7" ht="15.75">
      <c r="A390" s="1961">
        <f t="shared" si="38"/>
        <v>16325</v>
      </c>
      <c r="B390" s="1815">
        <v>16300</v>
      </c>
      <c r="C390" s="1815">
        <v>16350</v>
      </c>
      <c r="D390" s="1816">
        <f t="shared" si="34"/>
        <v>1739</v>
      </c>
      <c r="E390" s="1816">
        <f t="shared" si="35"/>
        <v>1633</v>
      </c>
      <c r="F390" s="1816">
        <f t="shared" si="36"/>
        <v>1739</v>
      </c>
      <c r="G390" s="1816">
        <f t="shared" si="37"/>
        <v>1645</v>
      </c>
    </row>
    <row r="391" spans="1:7" ht="15.75">
      <c r="A391" s="1961">
        <f t="shared" si="38"/>
        <v>16375</v>
      </c>
      <c r="B391" s="1815">
        <v>16350</v>
      </c>
      <c r="C391" s="1815">
        <v>16400</v>
      </c>
      <c r="D391" s="1816">
        <f t="shared" si="34"/>
        <v>1745</v>
      </c>
      <c r="E391" s="1816">
        <f t="shared" si="35"/>
        <v>1638</v>
      </c>
      <c r="F391" s="1816">
        <f t="shared" si="36"/>
        <v>1745</v>
      </c>
      <c r="G391" s="1816">
        <f t="shared" si="37"/>
        <v>1651</v>
      </c>
    </row>
    <row r="392" spans="1:7" ht="15.75">
      <c r="A392" s="1961">
        <f t="shared" si="38"/>
        <v>16425</v>
      </c>
      <c r="B392" s="1815">
        <v>16400</v>
      </c>
      <c r="C392" s="1815">
        <v>16450</v>
      </c>
      <c r="D392" s="1816">
        <f t="shared" si="34"/>
        <v>1751</v>
      </c>
      <c r="E392" s="1816">
        <f t="shared" si="35"/>
        <v>1643</v>
      </c>
      <c r="F392" s="1816">
        <f t="shared" si="36"/>
        <v>1751</v>
      </c>
      <c r="G392" s="1816">
        <f t="shared" si="37"/>
        <v>1657</v>
      </c>
    </row>
    <row r="393" spans="1:7" ht="15.75">
      <c r="A393" s="1961">
        <f t="shared" si="38"/>
        <v>16475</v>
      </c>
      <c r="B393" s="1815">
        <v>16450</v>
      </c>
      <c r="C393" s="1815">
        <v>16500</v>
      </c>
      <c r="D393" s="1816">
        <f t="shared" si="34"/>
        <v>1757</v>
      </c>
      <c r="E393" s="1816">
        <f t="shared" si="35"/>
        <v>1648</v>
      </c>
      <c r="F393" s="1816">
        <f t="shared" si="36"/>
        <v>1757</v>
      </c>
      <c r="G393" s="1816">
        <f t="shared" si="37"/>
        <v>1663</v>
      </c>
    </row>
    <row r="394" spans="1:7" ht="15.75">
      <c r="A394" s="1961">
        <f t="shared" si="38"/>
        <v>16525</v>
      </c>
      <c r="B394" s="1815">
        <v>16500</v>
      </c>
      <c r="C394" s="1815">
        <v>16550</v>
      </c>
      <c r="D394" s="1816">
        <f t="shared" si="34"/>
        <v>1763</v>
      </c>
      <c r="E394" s="1816">
        <f t="shared" si="35"/>
        <v>1653</v>
      </c>
      <c r="F394" s="1816">
        <f t="shared" si="36"/>
        <v>1763</v>
      </c>
      <c r="G394" s="1816">
        <f t="shared" si="37"/>
        <v>1669</v>
      </c>
    </row>
    <row r="395" spans="1:7" ht="15.75">
      <c r="A395" s="1961">
        <f t="shared" si="38"/>
        <v>16575</v>
      </c>
      <c r="B395" s="1815">
        <v>16550</v>
      </c>
      <c r="C395" s="1815">
        <v>16600</v>
      </c>
      <c r="D395" s="1816">
        <f t="shared" si="34"/>
        <v>1769</v>
      </c>
      <c r="E395" s="1816">
        <f t="shared" si="35"/>
        <v>1658</v>
      </c>
      <c r="F395" s="1816">
        <f t="shared" si="36"/>
        <v>1769</v>
      </c>
      <c r="G395" s="1816">
        <f t="shared" si="37"/>
        <v>1675</v>
      </c>
    </row>
    <row r="396" spans="1:7" ht="15.75">
      <c r="A396" s="1961">
        <f t="shared" si="38"/>
        <v>16625</v>
      </c>
      <c r="B396" s="1815">
        <v>16600</v>
      </c>
      <c r="C396" s="1815">
        <v>16650</v>
      </c>
      <c r="D396" s="1816">
        <f t="shared" si="34"/>
        <v>1775</v>
      </c>
      <c r="E396" s="1816">
        <f t="shared" si="35"/>
        <v>1663</v>
      </c>
      <c r="F396" s="1816">
        <f t="shared" si="36"/>
        <v>1775</v>
      </c>
      <c r="G396" s="1816">
        <f t="shared" si="37"/>
        <v>1681</v>
      </c>
    </row>
    <row r="397" spans="1:7" ht="15.75">
      <c r="A397" s="1961">
        <f t="shared" si="38"/>
        <v>16675</v>
      </c>
      <c r="B397" s="1815">
        <v>16650</v>
      </c>
      <c r="C397" s="1815">
        <v>16700</v>
      </c>
      <c r="D397" s="1816">
        <f t="shared" si="34"/>
        <v>1781</v>
      </c>
      <c r="E397" s="1816">
        <f t="shared" si="35"/>
        <v>1668</v>
      </c>
      <c r="F397" s="1816">
        <f t="shared" si="36"/>
        <v>1781</v>
      </c>
      <c r="G397" s="1816">
        <f t="shared" si="37"/>
        <v>1687</v>
      </c>
    </row>
    <row r="398" spans="1:7" ht="15.75">
      <c r="A398" s="1961">
        <f t="shared" si="38"/>
        <v>16725</v>
      </c>
      <c r="B398" s="1815">
        <v>16700</v>
      </c>
      <c r="C398" s="1815">
        <v>16750</v>
      </c>
      <c r="D398" s="1816">
        <f t="shared" si="34"/>
        <v>1787</v>
      </c>
      <c r="E398" s="1816">
        <f t="shared" si="35"/>
        <v>1673</v>
      </c>
      <c r="F398" s="1816">
        <f t="shared" si="36"/>
        <v>1787</v>
      </c>
      <c r="G398" s="1816">
        <f t="shared" si="37"/>
        <v>1693</v>
      </c>
    </row>
    <row r="399" spans="1:7" ht="15.75">
      <c r="A399" s="1961">
        <f t="shared" si="38"/>
        <v>16775</v>
      </c>
      <c r="B399" s="1815">
        <v>16750</v>
      </c>
      <c r="C399" s="1815">
        <v>16800</v>
      </c>
      <c r="D399" s="1816">
        <f t="shared" si="34"/>
        <v>1793</v>
      </c>
      <c r="E399" s="1816">
        <f t="shared" si="35"/>
        <v>1678</v>
      </c>
      <c r="F399" s="1816">
        <f t="shared" si="36"/>
        <v>1793</v>
      </c>
      <c r="G399" s="1816">
        <f t="shared" si="37"/>
        <v>1699</v>
      </c>
    </row>
    <row r="400" spans="1:7" ht="15.75">
      <c r="A400" s="1961">
        <f t="shared" si="38"/>
        <v>16825</v>
      </c>
      <c r="B400" s="1815">
        <v>16800</v>
      </c>
      <c r="C400" s="1815">
        <v>16850</v>
      </c>
      <c r="D400" s="1816">
        <f t="shared" si="34"/>
        <v>1799</v>
      </c>
      <c r="E400" s="1816">
        <f t="shared" si="35"/>
        <v>1683</v>
      </c>
      <c r="F400" s="1816">
        <f t="shared" si="36"/>
        <v>1799</v>
      </c>
      <c r="G400" s="1816">
        <f t="shared" si="37"/>
        <v>1705</v>
      </c>
    </row>
    <row r="401" spans="1:7" ht="15.75">
      <c r="A401" s="1961">
        <f t="shared" si="38"/>
        <v>16875</v>
      </c>
      <c r="B401" s="1815">
        <v>16850</v>
      </c>
      <c r="C401" s="1815">
        <v>16900</v>
      </c>
      <c r="D401" s="1816">
        <f t="shared" si="34"/>
        <v>1805</v>
      </c>
      <c r="E401" s="1816">
        <f t="shared" si="35"/>
        <v>1688</v>
      </c>
      <c r="F401" s="1816">
        <f t="shared" si="36"/>
        <v>1805</v>
      </c>
      <c r="G401" s="1816">
        <f t="shared" si="37"/>
        <v>1711</v>
      </c>
    </row>
    <row r="402" spans="1:7" ht="15.75">
      <c r="A402" s="1961">
        <f t="shared" si="38"/>
        <v>16925</v>
      </c>
      <c r="B402" s="1815">
        <v>16900</v>
      </c>
      <c r="C402" s="1815">
        <v>16950</v>
      </c>
      <c r="D402" s="1816">
        <f t="shared" si="34"/>
        <v>1811</v>
      </c>
      <c r="E402" s="1816">
        <f t="shared" si="35"/>
        <v>1693</v>
      </c>
      <c r="F402" s="1816">
        <f t="shared" si="36"/>
        <v>1811</v>
      </c>
      <c r="G402" s="1816">
        <f t="shared" si="37"/>
        <v>1717</v>
      </c>
    </row>
    <row r="403" spans="1:7" ht="15.75">
      <c r="A403" s="1961">
        <f t="shared" si="38"/>
        <v>16975</v>
      </c>
      <c r="B403" s="1815">
        <v>16950</v>
      </c>
      <c r="C403" s="1815">
        <v>17000</v>
      </c>
      <c r="D403" s="1816">
        <f t="shared" si="34"/>
        <v>1817</v>
      </c>
      <c r="E403" s="1816">
        <f t="shared" si="35"/>
        <v>1698</v>
      </c>
      <c r="F403" s="1816">
        <f t="shared" si="36"/>
        <v>1817</v>
      </c>
      <c r="G403" s="1816">
        <f t="shared" si="37"/>
        <v>1723</v>
      </c>
    </row>
    <row r="404" spans="1:7" ht="15.75">
      <c r="A404" s="1961">
        <f t="shared" si="38"/>
        <v>17025</v>
      </c>
      <c r="B404" s="1815">
        <v>17000</v>
      </c>
      <c r="C404" s="1815">
        <v>17050</v>
      </c>
      <c r="D404" s="1816">
        <f t="shared" si="34"/>
        <v>1823</v>
      </c>
      <c r="E404" s="1816">
        <f t="shared" si="35"/>
        <v>1703</v>
      </c>
      <c r="F404" s="1816">
        <f t="shared" si="36"/>
        <v>1823</v>
      </c>
      <c r="G404" s="1816">
        <f t="shared" si="37"/>
        <v>1729</v>
      </c>
    </row>
    <row r="405" spans="1:7" ht="15.75">
      <c r="A405" s="1961">
        <f t="shared" si="38"/>
        <v>17075</v>
      </c>
      <c r="B405" s="1815">
        <v>17050</v>
      </c>
      <c r="C405" s="1815">
        <v>17100</v>
      </c>
      <c r="D405" s="1816">
        <f t="shared" si="34"/>
        <v>1829</v>
      </c>
      <c r="E405" s="1816">
        <f t="shared" si="35"/>
        <v>1708</v>
      </c>
      <c r="F405" s="1816">
        <f t="shared" si="36"/>
        <v>1829</v>
      </c>
      <c r="G405" s="1816">
        <f t="shared" si="37"/>
        <v>1735</v>
      </c>
    </row>
    <row r="406" spans="1:7" ht="15.75">
      <c r="A406" s="1961">
        <f t="shared" si="38"/>
        <v>17125</v>
      </c>
      <c r="B406" s="1815">
        <v>17100</v>
      </c>
      <c r="C406" s="1815">
        <v>17150</v>
      </c>
      <c r="D406" s="1816">
        <f t="shared" si="34"/>
        <v>1835</v>
      </c>
      <c r="E406" s="1816">
        <f t="shared" si="35"/>
        <v>1713</v>
      </c>
      <c r="F406" s="1816">
        <f t="shared" si="36"/>
        <v>1835</v>
      </c>
      <c r="G406" s="1816">
        <f t="shared" si="37"/>
        <v>1741</v>
      </c>
    </row>
    <row r="407" spans="1:7" ht="15.75">
      <c r="A407" s="1961">
        <f t="shared" si="38"/>
        <v>17175</v>
      </c>
      <c r="B407" s="1815">
        <v>17150</v>
      </c>
      <c r="C407" s="1815">
        <v>17200</v>
      </c>
      <c r="D407" s="1816">
        <f t="shared" si="34"/>
        <v>1841</v>
      </c>
      <c r="E407" s="1816">
        <f t="shared" si="35"/>
        <v>1718</v>
      </c>
      <c r="F407" s="1816">
        <f t="shared" si="36"/>
        <v>1841</v>
      </c>
      <c r="G407" s="1816">
        <f t="shared" si="37"/>
        <v>1747</v>
      </c>
    </row>
    <row r="408" spans="1:7" ht="15.75">
      <c r="A408" s="1961">
        <f t="shared" si="38"/>
        <v>17225</v>
      </c>
      <c r="B408" s="1815">
        <v>17200</v>
      </c>
      <c r="C408" s="1815">
        <v>17250</v>
      </c>
      <c r="D408" s="1816">
        <f t="shared" si="34"/>
        <v>1847</v>
      </c>
      <c r="E408" s="1816">
        <f t="shared" si="35"/>
        <v>1723</v>
      </c>
      <c r="F408" s="1816">
        <f t="shared" si="36"/>
        <v>1847</v>
      </c>
      <c r="G408" s="1816">
        <f t="shared" si="37"/>
        <v>1753</v>
      </c>
    </row>
    <row r="409" spans="1:7" ht="15.75">
      <c r="A409" s="1961">
        <f t="shared" si="38"/>
        <v>17275</v>
      </c>
      <c r="B409" s="1815">
        <v>17250</v>
      </c>
      <c r="C409" s="1815">
        <v>17300</v>
      </c>
      <c r="D409" s="1816">
        <f t="shared" si="34"/>
        <v>1853</v>
      </c>
      <c r="E409" s="1816">
        <f t="shared" si="35"/>
        <v>1728</v>
      </c>
      <c r="F409" s="1816">
        <f t="shared" si="36"/>
        <v>1853</v>
      </c>
      <c r="G409" s="1816">
        <f t="shared" si="37"/>
        <v>1759</v>
      </c>
    </row>
    <row r="410" spans="1:7" ht="15.75">
      <c r="A410" s="1961">
        <f t="shared" si="38"/>
        <v>17325</v>
      </c>
      <c r="B410" s="1815">
        <v>17300</v>
      </c>
      <c r="C410" s="1815">
        <v>17350</v>
      </c>
      <c r="D410" s="1816">
        <f t="shared" si="34"/>
        <v>1859</v>
      </c>
      <c r="E410" s="1816">
        <f t="shared" si="35"/>
        <v>1733</v>
      </c>
      <c r="F410" s="1816">
        <f t="shared" si="36"/>
        <v>1859</v>
      </c>
      <c r="G410" s="1816">
        <f t="shared" si="37"/>
        <v>1765</v>
      </c>
    </row>
    <row r="411" spans="1:7" ht="15.75">
      <c r="A411" s="1961">
        <f t="shared" si="38"/>
        <v>17375</v>
      </c>
      <c r="B411" s="1815">
        <v>17350</v>
      </c>
      <c r="C411" s="1815">
        <v>17400</v>
      </c>
      <c r="D411" s="1816">
        <f t="shared" si="34"/>
        <v>1865</v>
      </c>
      <c r="E411" s="1816">
        <f t="shared" si="35"/>
        <v>1738</v>
      </c>
      <c r="F411" s="1816">
        <f t="shared" si="36"/>
        <v>1865</v>
      </c>
      <c r="G411" s="1816">
        <f t="shared" si="37"/>
        <v>1771</v>
      </c>
    </row>
    <row r="412" spans="1:7" ht="15.75">
      <c r="A412" s="1961">
        <f t="shared" si="38"/>
        <v>17425</v>
      </c>
      <c r="B412" s="1815">
        <v>17400</v>
      </c>
      <c r="C412" s="1815">
        <v>17450</v>
      </c>
      <c r="D412" s="1816">
        <f t="shared" si="34"/>
        <v>1871</v>
      </c>
      <c r="E412" s="1816">
        <f t="shared" si="35"/>
        <v>1743</v>
      </c>
      <c r="F412" s="1816">
        <f t="shared" si="36"/>
        <v>1871</v>
      </c>
      <c r="G412" s="1816">
        <f t="shared" si="37"/>
        <v>1777</v>
      </c>
    </row>
    <row r="413" spans="1:7" ht="15.75">
      <c r="A413" s="1961">
        <f t="shared" si="38"/>
        <v>17475</v>
      </c>
      <c r="B413" s="1815">
        <v>17450</v>
      </c>
      <c r="C413" s="1815">
        <v>17500</v>
      </c>
      <c r="D413" s="1816">
        <f t="shared" si="34"/>
        <v>1877</v>
      </c>
      <c r="E413" s="1816">
        <f t="shared" si="35"/>
        <v>1748</v>
      </c>
      <c r="F413" s="1816">
        <f t="shared" si="36"/>
        <v>1877</v>
      </c>
      <c r="G413" s="1816">
        <f t="shared" si="37"/>
        <v>1783</v>
      </c>
    </row>
    <row r="414" spans="1:7" ht="15.75">
      <c r="A414" s="1961">
        <f t="shared" si="38"/>
        <v>17525</v>
      </c>
      <c r="B414" s="1815">
        <v>17500</v>
      </c>
      <c r="C414" s="1815">
        <v>17550</v>
      </c>
      <c r="D414" s="1816">
        <f t="shared" si="34"/>
        <v>1883</v>
      </c>
      <c r="E414" s="1816">
        <f t="shared" si="35"/>
        <v>1753</v>
      </c>
      <c r="F414" s="1816">
        <f t="shared" si="36"/>
        <v>1883</v>
      </c>
      <c r="G414" s="1816">
        <f t="shared" si="37"/>
        <v>1789</v>
      </c>
    </row>
    <row r="415" spans="1:7" ht="15.75">
      <c r="A415" s="1961">
        <f t="shared" si="38"/>
        <v>17575</v>
      </c>
      <c r="B415" s="1815">
        <v>17550</v>
      </c>
      <c r="C415" s="1815">
        <v>17600</v>
      </c>
      <c r="D415" s="1816">
        <f t="shared" si="34"/>
        <v>1889</v>
      </c>
      <c r="E415" s="1816">
        <f t="shared" si="35"/>
        <v>1758</v>
      </c>
      <c r="F415" s="1816">
        <f t="shared" si="36"/>
        <v>1889</v>
      </c>
      <c r="G415" s="1816">
        <f t="shared" si="37"/>
        <v>1795</v>
      </c>
    </row>
    <row r="416" spans="1:7" ht="15.75">
      <c r="A416" s="1961">
        <f t="shared" si="38"/>
        <v>17625</v>
      </c>
      <c r="B416" s="1815">
        <v>17600</v>
      </c>
      <c r="C416" s="1815">
        <v>17650</v>
      </c>
      <c r="D416" s="1816">
        <f t="shared" si="34"/>
        <v>1895</v>
      </c>
      <c r="E416" s="1816">
        <f t="shared" si="35"/>
        <v>1763</v>
      </c>
      <c r="F416" s="1816">
        <f t="shared" si="36"/>
        <v>1895</v>
      </c>
      <c r="G416" s="1816">
        <f t="shared" si="37"/>
        <v>1801</v>
      </c>
    </row>
    <row r="417" spans="1:7" ht="15.75">
      <c r="A417" s="1961">
        <f t="shared" si="38"/>
        <v>17675</v>
      </c>
      <c r="B417" s="1815">
        <v>17650</v>
      </c>
      <c r="C417" s="1815">
        <v>17700</v>
      </c>
      <c r="D417" s="1816">
        <f t="shared" si="34"/>
        <v>1901</v>
      </c>
      <c r="E417" s="1816">
        <f t="shared" si="35"/>
        <v>1768</v>
      </c>
      <c r="F417" s="1816">
        <f t="shared" si="36"/>
        <v>1901</v>
      </c>
      <c r="G417" s="1816">
        <f t="shared" si="37"/>
        <v>1807</v>
      </c>
    </row>
    <row r="418" spans="1:7" ht="15.75">
      <c r="A418" s="1961">
        <f t="shared" si="38"/>
        <v>17725</v>
      </c>
      <c r="B418" s="1815">
        <v>17700</v>
      </c>
      <c r="C418" s="1815">
        <v>17750</v>
      </c>
      <c r="D418" s="1816">
        <f t="shared" si="34"/>
        <v>1907</v>
      </c>
      <c r="E418" s="1816">
        <f t="shared" si="35"/>
        <v>1773</v>
      </c>
      <c r="F418" s="1816">
        <f t="shared" si="36"/>
        <v>1907</v>
      </c>
      <c r="G418" s="1816">
        <f t="shared" si="37"/>
        <v>1813</v>
      </c>
    </row>
    <row r="419" spans="1:7" ht="15.75">
      <c r="A419" s="1961">
        <f t="shared" si="38"/>
        <v>17775</v>
      </c>
      <c r="B419" s="1815">
        <v>17750</v>
      </c>
      <c r="C419" s="1815">
        <v>17800</v>
      </c>
      <c r="D419" s="1816">
        <f t="shared" si="34"/>
        <v>1913</v>
      </c>
      <c r="E419" s="1816">
        <f t="shared" si="35"/>
        <v>1778</v>
      </c>
      <c r="F419" s="1816">
        <f t="shared" si="36"/>
        <v>1913</v>
      </c>
      <c r="G419" s="1816">
        <f t="shared" si="37"/>
        <v>1819</v>
      </c>
    </row>
    <row r="420" spans="1:7" ht="15.75">
      <c r="A420" s="1961">
        <f t="shared" si="38"/>
        <v>17825</v>
      </c>
      <c r="B420" s="1815">
        <v>17800</v>
      </c>
      <c r="C420" s="1815">
        <v>17850</v>
      </c>
      <c r="D420" s="1816">
        <f t="shared" si="34"/>
        <v>1919</v>
      </c>
      <c r="E420" s="1816">
        <f t="shared" si="35"/>
        <v>1783</v>
      </c>
      <c r="F420" s="1816">
        <f t="shared" si="36"/>
        <v>1919</v>
      </c>
      <c r="G420" s="1816">
        <f t="shared" si="37"/>
        <v>1825</v>
      </c>
    </row>
    <row r="421" spans="1:7" ht="15.75">
      <c r="A421" s="1961">
        <f t="shared" si="38"/>
        <v>17875</v>
      </c>
      <c r="B421" s="1815">
        <v>17850</v>
      </c>
      <c r="C421" s="1815">
        <v>17900</v>
      </c>
      <c r="D421" s="1816">
        <f t="shared" si="34"/>
        <v>1925</v>
      </c>
      <c r="E421" s="1816">
        <f t="shared" si="35"/>
        <v>1788</v>
      </c>
      <c r="F421" s="1816">
        <f t="shared" si="36"/>
        <v>1925</v>
      </c>
      <c r="G421" s="1816">
        <f t="shared" si="37"/>
        <v>1831</v>
      </c>
    </row>
    <row r="422" spans="1:7" ht="15.75">
      <c r="A422" s="1961">
        <f t="shared" si="38"/>
        <v>17925</v>
      </c>
      <c r="B422" s="1815">
        <v>17900</v>
      </c>
      <c r="C422" s="1815">
        <v>17950</v>
      </c>
      <c r="D422" s="1816">
        <f t="shared" si="34"/>
        <v>1931</v>
      </c>
      <c r="E422" s="1816">
        <f t="shared" si="35"/>
        <v>1793</v>
      </c>
      <c r="F422" s="1816">
        <f t="shared" si="36"/>
        <v>1931</v>
      </c>
      <c r="G422" s="1816">
        <f t="shared" si="37"/>
        <v>1837</v>
      </c>
    </row>
    <row r="423" spans="1:7" ht="15.75">
      <c r="A423" s="1961">
        <f t="shared" si="38"/>
        <v>17975</v>
      </c>
      <c r="B423" s="1815">
        <v>17950</v>
      </c>
      <c r="C423" s="1815">
        <v>18000</v>
      </c>
      <c r="D423" s="1816">
        <f t="shared" si="34"/>
        <v>1937</v>
      </c>
      <c r="E423" s="1816">
        <f t="shared" si="35"/>
        <v>1798</v>
      </c>
      <c r="F423" s="1816">
        <f t="shared" si="36"/>
        <v>1937</v>
      </c>
      <c r="G423" s="1816">
        <f t="shared" si="37"/>
        <v>1843</v>
      </c>
    </row>
    <row r="424" spans="1:7" ht="15.75">
      <c r="A424" s="1961">
        <f t="shared" si="38"/>
        <v>18025</v>
      </c>
      <c r="B424" s="1815">
        <v>18000</v>
      </c>
      <c r="C424" s="1815">
        <v>18050</v>
      </c>
      <c r="D424" s="1816">
        <f t="shared" si="34"/>
        <v>1943</v>
      </c>
      <c r="E424" s="1816">
        <f t="shared" si="35"/>
        <v>1803</v>
      </c>
      <c r="F424" s="1816">
        <f t="shared" si="36"/>
        <v>1943</v>
      </c>
      <c r="G424" s="1816">
        <f t="shared" si="37"/>
        <v>1849</v>
      </c>
    </row>
    <row r="425" spans="1:7" ht="15.75">
      <c r="A425" s="1961">
        <f t="shared" si="38"/>
        <v>18075</v>
      </c>
      <c r="B425" s="1815">
        <v>18050</v>
      </c>
      <c r="C425" s="1815">
        <v>18100</v>
      </c>
      <c r="D425" s="1816">
        <f t="shared" si="34"/>
        <v>1949</v>
      </c>
      <c r="E425" s="1816">
        <f t="shared" si="35"/>
        <v>1808</v>
      </c>
      <c r="F425" s="1816">
        <f t="shared" si="36"/>
        <v>1949</v>
      </c>
      <c r="G425" s="1816">
        <f t="shared" si="37"/>
        <v>1855</v>
      </c>
    </row>
    <row r="426" spans="1:7" ht="15.75">
      <c r="A426" s="1961">
        <f t="shared" si="38"/>
        <v>18125</v>
      </c>
      <c r="B426" s="1815">
        <v>18100</v>
      </c>
      <c r="C426" s="1815">
        <v>18150</v>
      </c>
      <c r="D426" s="1816">
        <f t="shared" si="34"/>
        <v>1955</v>
      </c>
      <c r="E426" s="1816">
        <f t="shared" si="35"/>
        <v>1813</v>
      </c>
      <c r="F426" s="1816">
        <f t="shared" si="36"/>
        <v>1955</v>
      </c>
      <c r="G426" s="1816">
        <f t="shared" si="37"/>
        <v>1861</v>
      </c>
    </row>
    <row r="427" spans="1:7" ht="15.75">
      <c r="A427" s="1961">
        <f t="shared" si="38"/>
        <v>18175</v>
      </c>
      <c r="B427" s="1815">
        <v>18150</v>
      </c>
      <c r="C427" s="1815">
        <v>18200</v>
      </c>
      <c r="D427" s="1816">
        <f t="shared" si="34"/>
        <v>1961</v>
      </c>
      <c r="E427" s="1816">
        <f t="shared" si="35"/>
        <v>1818</v>
      </c>
      <c r="F427" s="1816">
        <f t="shared" si="36"/>
        <v>1961</v>
      </c>
      <c r="G427" s="1816">
        <f t="shared" si="37"/>
        <v>1867</v>
      </c>
    </row>
    <row r="428" spans="1:7" ht="15.75">
      <c r="A428" s="1961">
        <f t="shared" si="38"/>
        <v>18225</v>
      </c>
      <c r="B428" s="1815">
        <v>18200</v>
      </c>
      <c r="C428" s="1815">
        <v>18250</v>
      </c>
      <c r="D428" s="1816">
        <f t="shared" si="34"/>
        <v>1967</v>
      </c>
      <c r="E428" s="1816">
        <f t="shared" si="35"/>
        <v>1823</v>
      </c>
      <c r="F428" s="1816">
        <f t="shared" si="36"/>
        <v>1967</v>
      </c>
      <c r="G428" s="1816">
        <f t="shared" si="37"/>
        <v>1873</v>
      </c>
    </row>
    <row r="429" spans="1:7" ht="15.75">
      <c r="A429" s="1961">
        <f t="shared" si="38"/>
        <v>18275</v>
      </c>
      <c r="B429" s="1815">
        <v>18250</v>
      </c>
      <c r="C429" s="1815">
        <v>18300</v>
      </c>
      <c r="D429" s="1816">
        <f t="shared" si="34"/>
        <v>1973</v>
      </c>
      <c r="E429" s="1816">
        <f t="shared" si="35"/>
        <v>1828</v>
      </c>
      <c r="F429" s="1816">
        <f t="shared" si="36"/>
        <v>1973</v>
      </c>
      <c r="G429" s="1816">
        <f t="shared" si="37"/>
        <v>1879</v>
      </c>
    </row>
    <row r="430" spans="1:7" ht="15.75">
      <c r="A430" s="1961">
        <f t="shared" si="38"/>
        <v>18325</v>
      </c>
      <c r="B430" s="1815">
        <v>18300</v>
      </c>
      <c r="C430" s="1815">
        <v>18350</v>
      </c>
      <c r="D430" s="1816">
        <f t="shared" si="34"/>
        <v>1979</v>
      </c>
      <c r="E430" s="1816">
        <f t="shared" si="35"/>
        <v>1833</v>
      </c>
      <c r="F430" s="1816">
        <f t="shared" si="36"/>
        <v>1979</v>
      </c>
      <c r="G430" s="1816">
        <f t="shared" si="37"/>
        <v>1885</v>
      </c>
    </row>
    <row r="431" spans="1:7" ht="15.75">
      <c r="A431" s="1961">
        <f t="shared" si="38"/>
        <v>18375</v>
      </c>
      <c r="B431" s="1815">
        <v>18350</v>
      </c>
      <c r="C431" s="1815">
        <v>18400</v>
      </c>
      <c r="D431" s="1816">
        <f t="shared" si="34"/>
        <v>1985</v>
      </c>
      <c r="E431" s="1816">
        <f t="shared" si="35"/>
        <v>1838</v>
      </c>
      <c r="F431" s="1816">
        <f t="shared" si="36"/>
        <v>1985</v>
      </c>
      <c r="G431" s="1816">
        <f t="shared" si="37"/>
        <v>1891</v>
      </c>
    </row>
    <row r="432" spans="1:7" ht="15.75">
      <c r="A432" s="1961">
        <f t="shared" si="38"/>
        <v>18425</v>
      </c>
      <c r="B432" s="1815">
        <v>18400</v>
      </c>
      <c r="C432" s="1815">
        <v>18450</v>
      </c>
      <c r="D432" s="1816">
        <f t="shared" si="34"/>
        <v>1991</v>
      </c>
      <c r="E432" s="1816">
        <f t="shared" si="35"/>
        <v>1843</v>
      </c>
      <c r="F432" s="1816">
        <f t="shared" si="36"/>
        <v>1991</v>
      </c>
      <c r="G432" s="1816">
        <f t="shared" si="37"/>
        <v>1897</v>
      </c>
    </row>
    <row r="433" spans="1:7" ht="15.75">
      <c r="A433" s="1961">
        <f t="shared" si="38"/>
        <v>18475</v>
      </c>
      <c r="B433" s="1815">
        <v>18450</v>
      </c>
      <c r="C433" s="1815">
        <v>18500</v>
      </c>
      <c r="D433" s="1816">
        <f t="shared" si="34"/>
        <v>1997</v>
      </c>
      <c r="E433" s="1816">
        <f t="shared" si="35"/>
        <v>1848</v>
      </c>
      <c r="F433" s="1816">
        <f t="shared" si="36"/>
        <v>1997</v>
      </c>
      <c r="G433" s="1816">
        <f t="shared" si="37"/>
        <v>1903</v>
      </c>
    </row>
    <row r="434" spans="1:7" ht="15.75">
      <c r="A434" s="1961">
        <f t="shared" si="38"/>
        <v>18525</v>
      </c>
      <c r="B434" s="1815">
        <v>18500</v>
      </c>
      <c r="C434" s="1815">
        <v>18550</v>
      </c>
      <c r="D434" s="1816">
        <f t="shared" si="34"/>
        <v>2003</v>
      </c>
      <c r="E434" s="1816">
        <f t="shared" si="35"/>
        <v>1853</v>
      </c>
      <c r="F434" s="1816">
        <f t="shared" si="36"/>
        <v>2003</v>
      </c>
      <c r="G434" s="1816">
        <f t="shared" si="37"/>
        <v>1909</v>
      </c>
    </row>
    <row r="435" spans="1:7" ht="15.75">
      <c r="A435" s="1961">
        <f t="shared" si="38"/>
        <v>18575</v>
      </c>
      <c r="B435" s="1815">
        <v>18550</v>
      </c>
      <c r="C435" s="1815">
        <v>18600</v>
      </c>
      <c r="D435" s="1816">
        <f t="shared" si="34"/>
        <v>2009</v>
      </c>
      <c r="E435" s="1816">
        <f t="shared" si="35"/>
        <v>1858</v>
      </c>
      <c r="F435" s="1816">
        <f t="shared" si="36"/>
        <v>2009</v>
      </c>
      <c r="G435" s="1816">
        <f t="shared" si="37"/>
        <v>1915</v>
      </c>
    </row>
    <row r="436" spans="1:7" ht="15.75">
      <c r="A436" s="1961">
        <f t="shared" si="38"/>
        <v>18625</v>
      </c>
      <c r="B436" s="1815">
        <v>18600</v>
      </c>
      <c r="C436" s="1815">
        <v>18650</v>
      </c>
      <c r="D436" s="1816">
        <f t="shared" si="34"/>
        <v>2015</v>
      </c>
      <c r="E436" s="1816">
        <f t="shared" si="35"/>
        <v>1863</v>
      </c>
      <c r="F436" s="1816">
        <f t="shared" si="36"/>
        <v>2015</v>
      </c>
      <c r="G436" s="1816">
        <f t="shared" si="37"/>
        <v>1921</v>
      </c>
    </row>
    <row r="437" spans="1:7" ht="15.75">
      <c r="A437" s="1961">
        <f t="shared" si="38"/>
        <v>18675</v>
      </c>
      <c r="B437" s="1815">
        <v>18650</v>
      </c>
      <c r="C437" s="1815">
        <v>18700</v>
      </c>
      <c r="D437" s="1816">
        <f t="shared" si="34"/>
        <v>2021</v>
      </c>
      <c r="E437" s="1816">
        <f t="shared" si="35"/>
        <v>1868</v>
      </c>
      <c r="F437" s="1816">
        <f t="shared" si="36"/>
        <v>2021</v>
      </c>
      <c r="G437" s="1816">
        <f t="shared" si="37"/>
        <v>1927</v>
      </c>
    </row>
    <row r="438" spans="1:7" ht="15.75">
      <c r="A438" s="1961">
        <f t="shared" si="38"/>
        <v>18725</v>
      </c>
      <c r="B438" s="1815">
        <v>18700</v>
      </c>
      <c r="C438" s="1815">
        <v>18750</v>
      </c>
      <c r="D438" s="1816">
        <f t="shared" si="34"/>
        <v>2027</v>
      </c>
      <c r="E438" s="1816">
        <f t="shared" si="35"/>
        <v>1873</v>
      </c>
      <c r="F438" s="1816">
        <f t="shared" si="36"/>
        <v>2027</v>
      </c>
      <c r="G438" s="1816">
        <f t="shared" si="37"/>
        <v>1933</v>
      </c>
    </row>
    <row r="439" spans="1:7" ht="15.75">
      <c r="A439" s="1961">
        <f t="shared" si="38"/>
        <v>18775</v>
      </c>
      <c r="B439" s="1815">
        <v>18750</v>
      </c>
      <c r="C439" s="1815">
        <v>18800</v>
      </c>
      <c r="D439" s="1816">
        <f t="shared" si="34"/>
        <v>2033</v>
      </c>
      <c r="E439" s="1816">
        <f t="shared" si="35"/>
        <v>1878</v>
      </c>
      <c r="F439" s="1816">
        <f t="shared" si="36"/>
        <v>2033</v>
      </c>
      <c r="G439" s="1816">
        <f t="shared" si="37"/>
        <v>1939</v>
      </c>
    </row>
    <row r="440" spans="1:7" ht="15.75">
      <c r="A440" s="1961">
        <f t="shared" si="38"/>
        <v>18825</v>
      </c>
      <c r="B440" s="1815">
        <v>18800</v>
      </c>
      <c r="C440" s="1815">
        <v>18850</v>
      </c>
      <c r="D440" s="1816">
        <f t="shared" si="34"/>
        <v>2039</v>
      </c>
      <c r="E440" s="1816">
        <f t="shared" si="35"/>
        <v>1883</v>
      </c>
      <c r="F440" s="1816">
        <f t="shared" si="36"/>
        <v>2039</v>
      </c>
      <c r="G440" s="1816">
        <f t="shared" si="37"/>
        <v>1945</v>
      </c>
    </row>
    <row r="441" spans="1:7" ht="15.75">
      <c r="A441" s="1961">
        <f t="shared" si="38"/>
        <v>18875</v>
      </c>
      <c r="B441" s="1815">
        <v>18850</v>
      </c>
      <c r="C441" s="1815">
        <v>18900</v>
      </c>
      <c r="D441" s="1816">
        <f t="shared" si="34"/>
        <v>2045</v>
      </c>
      <c r="E441" s="1816">
        <f t="shared" si="35"/>
        <v>1888</v>
      </c>
      <c r="F441" s="1816">
        <f t="shared" si="36"/>
        <v>2045</v>
      </c>
      <c r="G441" s="1816">
        <f t="shared" si="37"/>
        <v>1951</v>
      </c>
    </row>
    <row r="442" spans="1:7" ht="15.75">
      <c r="A442" s="1961">
        <f t="shared" si="38"/>
        <v>18925</v>
      </c>
      <c r="B442" s="1815">
        <v>18900</v>
      </c>
      <c r="C442" s="1815">
        <v>18950</v>
      </c>
      <c r="D442" s="1816">
        <f t="shared" si="34"/>
        <v>2051</v>
      </c>
      <c r="E442" s="1816">
        <f t="shared" si="35"/>
        <v>1893</v>
      </c>
      <c r="F442" s="1816">
        <f t="shared" si="36"/>
        <v>2051</v>
      </c>
      <c r="G442" s="1816">
        <f t="shared" si="37"/>
        <v>1957</v>
      </c>
    </row>
    <row r="443" spans="1:7" ht="15.75">
      <c r="A443" s="1961">
        <f t="shared" si="38"/>
        <v>18975</v>
      </c>
      <c r="B443" s="1815">
        <v>18950</v>
      </c>
      <c r="C443" s="1815">
        <v>19000</v>
      </c>
      <c r="D443" s="1816">
        <f t="shared" si="34"/>
        <v>2057</v>
      </c>
      <c r="E443" s="1816">
        <f t="shared" si="35"/>
        <v>1898</v>
      </c>
      <c r="F443" s="1816">
        <f t="shared" si="36"/>
        <v>2057</v>
      </c>
      <c r="G443" s="1816">
        <f t="shared" si="37"/>
        <v>1963</v>
      </c>
    </row>
    <row r="444" spans="1:7" ht="15.75">
      <c r="A444" s="1961">
        <f t="shared" si="38"/>
        <v>19025</v>
      </c>
      <c r="B444" s="1815">
        <v>19000</v>
      </c>
      <c r="C444" s="1815">
        <v>19050</v>
      </c>
      <c r="D444" s="1816">
        <f t="shared" si="34"/>
        <v>2063</v>
      </c>
      <c r="E444" s="1816">
        <f t="shared" si="35"/>
        <v>1903</v>
      </c>
      <c r="F444" s="1816">
        <f t="shared" si="36"/>
        <v>2063</v>
      </c>
      <c r="G444" s="1816">
        <f t="shared" si="37"/>
        <v>1969</v>
      </c>
    </row>
    <row r="445" spans="1:7" ht="15.75">
      <c r="A445" s="1961">
        <f t="shared" si="38"/>
        <v>19075</v>
      </c>
      <c r="B445" s="1815">
        <v>19050</v>
      </c>
      <c r="C445" s="1815">
        <v>19100</v>
      </c>
      <c r="D445" s="1816">
        <f t="shared" si="34"/>
        <v>2069</v>
      </c>
      <c r="E445" s="1816">
        <f t="shared" si="35"/>
        <v>1908</v>
      </c>
      <c r="F445" s="1816">
        <f t="shared" si="36"/>
        <v>2069</v>
      </c>
      <c r="G445" s="1816">
        <f t="shared" si="37"/>
        <v>1975</v>
      </c>
    </row>
    <row r="446" spans="1:7" ht="15.75">
      <c r="A446" s="1961">
        <f t="shared" si="38"/>
        <v>19125</v>
      </c>
      <c r="B446" s="1815">
        <v>19100</v>
      </c>
      <c r="C446" s="1815">
        <v>19150</v>
      </c>
      <c r="D446" s="1816">
        <f t="shared" si="34"/>
        <v>2075</v>
      </c>
      <c r="E446" s="1816">
        <f t="shared" si="35"/>
        <v>1913</v>
      </c>
      <c r="F446" s="1816">
        <f t="shared" si="36"/>
        <v>2075</v>
      </c>
      <c r="G446" s="1816">
        <f t="shared" si="37"/>
        <v>1981</v>
      </c>
    </row>
    <row r="447" spans="1:7" ht="15.75">
      <c r="A447" s="1961">
        <f t="shared" si="38"/>
        <v>19175</v>
      </c>
      <c r="B447" s="1815">
        <v>19150</v>
      </c>
      <c r="C447" s="1815">
        <v>19200</v>
      </c>
      <c r="D447" s="1816">
        <f t="shared" si="34"/>
        <v>2081</v>
      </c>
      <c r="E447" s="1816">
        <f t="shared" si="35"/>
        <v>1918</v>
      </c>
      <c r="F447" s="1816">
        <f t="shared" si="36"/>
        <v>2081</v>
      </c>
      <c r="G447" s="1816">
        <f t="shared" si="37"/>
        <v>1987</v>
      </c>
    </row>
    <row r="448" spans="1:7" ht="15.75">
      <c r="A448" s="1961">
        <f t="shared" si="38"/>
        <v>19225</v>
      </c>
      <c r="B448" s="1815">
        <v>19200</v>
      </c>
      <c r="C448" s="1815">
        <v>19250</v>
      </c>
      <c r="D448" s="1816">
        <f t="shared" si="34"/>
        <v>2087</v>
      </c>
      <c r="E448" s="1816">
        <f t="shared" si="35"/>
        <v>1923</v>
      </c>
      <c r="F448" s="1816">
        <f t="shared" si="36"/>
        <v>2087</v>
      </c>
      <c r="G448" s="1816">
        <f t="shared" si="37"/>
        <v>1993</v>
      </c>
    </row>
    <row r="449" spans="1:7" ht="15.75">
      <c r="A449" s="1961">
        <f t="shared" si="38"/>
        <v>19275</v>
      </c>
      <c r="B449" s="1815">
        <v>19250</v>
      </c>
      <c r="C449" s="1815">
        <v>19300</v>
      </c>
      <c r="D449" s="1816">
        <f t="shared" si="34"/>
        <v>2093</v>
      </c>
      <c r="E449" s="1816">
        <f t="shared" si="35"/>
        <v>1928</v>
      </c>
      <c r="F449" s="1816">
        <f t="shared" si="36"/>
        <v>2093</v>
      </c>
      <c r="G449" s="1816">
        <f t="shared" si="37"/>
        <v>1999</v>
      </c>
    </row>
    <row r="450" spans="1:7" ht="15.75">
      <c r="A450" s="1961">
        <f t="shared" si="38"/>
        <v>19325</v>
      </c>
      <c r="B450" s="1815">
        <v>19300</v>
      </c>
      <c r="C450" s="1815">
        <v>19350</v>
      </c>
      <c r="D450" s="1816">
        <f t="shared" ref="D450:D513" si="39">IF($A450&gt;BOTT_A4,ROUND(BASE_A4+RATE_A4*($A450-BOTT_A4),0),IF($A450&gt;BOTT_A3,ROUND(BASE_A3+RATE_A3*($A450-BOTT_A3),0),IF($A450&gt;BOTT_A2,ROUND(BASE_A2+RATE_A2*($A450-BOTT_A2),0),ROUND(RATE_A1*$A450,0))))</f>
        <v>2099</v>
      </c>
      <c r="E450" s="1816">
        <f t="shared" ref="E450:E513" si="40">IF($A450&gt;BOTT_B4,ROUND(BASE_B4+RATE_B4*($A450-BOTT_B4),0),IF($A450&gt;BOTT_B3,ROUND(BASE_B3+RATE_B3*($A450-BOTT_B3),0),IF($A450&gt;BOTT_B2,ROUND(BASE_B2+RATE_B2*($A450-BOTT_B2),0),ROUND(RATE_B1*$A450,0))))</f>
        <v>1933</v>
      </c>
      <c r="F450" s="1816">
        <f t="shared" ref="F450:F513" si="41">IF($A450&gt;BOTT_C4,ROUND(BASE_C4+RATE_C4*($A450-BOTT_C4),0),IF($A450&gt;BOTT_C3,ROUND(BASE_C3+RATE_C3*($A450-BOTT_C3),0),IF($A450&gt;BOTT_C2,ROUND(BASE_C2+RATE_C2*($A450-BOTT_C2),0),ROUND(RATE_C1*$A450,0))))</f>
        <v>2099</v>
      </c>
      <c r="G450" s="1816">
        <f t="shared" ref="G450:G513" si="42">IF($A450&gt;BOTT_D4,ROUND(BASE_D4+RATE_D4*($A450-BOTT_D4),0),IF($A450&gt;BOTT_D3,ROUND(BASE_D3+RATE_D3*($A450-BOTT_D3),0),IF($A450&gt;BOTT_D2,ROUND(BASE_D2+RATE_D2*($A450-BOTT_D2),0),ROUND(RATE_D1*$A450,0))))</f>
        <v>2005</v>
      </c>
    </row>
    <row r="451" spans="1:7" ht="15.75">
      <c r="A451" s="1961">
        <f t="shared" ref="A451:A514" si="43">AVERAGE(B451,C451)</f>
        <v>19375</v>
      </c>
      <c r="B451" s="1815">
        <v>19350</v>
      </c>
      <c r="C451" s="1815">
        <v>19400</v>
      </c>
      <c r="D451" s="1816">
        <f t="shared" si="39"/>
        <v>2105</v>
      </c>
      <c r="E451" s="1816">
        <f t="shared" si="40"/>
        <v>1938</v>
      </c>
      <c r="F451" s="1816">
        <f t="shared" si="41"/>
        <v>2105</v>
      </c>
      <c r="G451" s="1816">
        <f t="shared" si="42"/>
        <v>2011</v>
      </c>
    </row>
    <row r="452" spans="1:7" ht="15.75">
      <c r="A452" s="1961">
        <f t="shared" si="43"/>
        <v>19425</v>
      </c>
      <c r="B452" s="1815">
        <v>19400</v>
      </c>
      <c r="C452" s="1815">
        <v>19450</v>
      </c>
      <c r="D452" s="1816">
        <f t="shared" si="39"/>
        <v>2111</v>
      </c>
      <c r="E452" s="1816">
        <f t="shared" si="40"/>
        <v>1943</v>
      </c>
      <c r="F452" s="1816">
        <f t="shared" si="41"/>
        <v>2111</v>
      </c>
      <c r="G452" s="1816">
        <f t="shared" si="42"/>
        <v>2017</v>
      </c>
    </row>
    <row r="453" spans="1:7" ht="15.75">
      <c r="A453" s="1961">
        <f t="shared" si="43"/>
        <v>19475</v>
      </c>
      <c r="B453" s="1815">
        <v>19450</v>
      </c>
      <c r="C453" s="1815">
        <v>19500</v>
      </c>
      <c r="D453" s="1816">
        <f t="shared" si="39"/>
        <v>2117</v>
      </c>
      <c r="E453" s="1816">
        <f t="shared" si="40"/>
        <v>1948</v>
      </c>
      <c r="F453" s="1816">
        <f t="shared" si="41"/>
        <v>2117</v>
      </c>
      <c r="G453" s="1816">
        <f t="shared" si="42"/>
        <v>2023</v>
      </c>
    </row>
    <row r="454" spans="1:7" ht="15.75">
      <c r="A454" s="1961">
        <f t="shared" si="43"/>
        <v>19525</v>
      </c>
      <c r="B454" s="1815">
        <v>19500</v>
      </c>
      <c r="C454" s="1815">
        <v>19550</v>
      </c>
      <c r="D454" s="1816">
        <f t="shared" si="39"/>
        <v>2123</v>
      </c>
      <c r="E454" s="1816">
        <f t="shared" si="40"/>
        <v>1953</v>
      </c>
      <c r="F454" s="1816">
        <f t="shared" si="41"/>
        <v>2123</v>
      </c>
      <c r="G454" s="1816">
        <f t="shared" si="42"/>
        <v>2029</v>
      </c>
    </row>
    <row r="455" spans="1:7" ht="15.75">
      <c r="A455" s="1961">
        <f t="shared" si="43"/>
        <v>19575</v>
      </c>
      <c r="B455" s="1815">
        <v>19550</v>
      </c>
      <c r="C455" s="1815">
        <v>19600</v>
      </c>
      <c r="D455" s="1816">
        <f t="shared" si="39"/>
        <v>2129</v>
      </c>
      <c r="E455" s="1816">
        <f t="shared" si="40"/>
        <v>1958</v>
      </c>
      <c r="F455" s="1816">
        <f t="shared" si="41"/>
        <v>2129</v>
      </c>
      <c r="G455" s="1816">
        <f t="shared" si="42"/>
        <v>2035</v>
      </c>
    </row>
    <row r="456" spans="1:7" ht="15.75">
      <c r="A456" s="1961">
        <f t="shared" si="43"/>
        <v>19625</v>
      </c>
      <c r="B456" s="1815">
        <v>19600</v>
      </c>
      <c r="C456" s="1815">
        <v>19650</v>
      </c>
      <c r="D456" s="1816">
        <f t="shared" si="39"/>
        <v>2135</v>
      </c>
      <c r="E456" s="1816">
        <f t="shared" si="40"/>
        <v>1963</v>
      </c>
      <c r="F456" s="1816">
        <f t="shared" si="41"/>
        <v>2135</v>
      </c>
      <c r="G456" s="1816">
        <f t="shared" si="42"/>
        <v>2041</v>
      </c>
    </row>
    <row r="457" spans="1:7" ht="15.75">
      <c r="A457" s="1961">
        <f t="shared" si="43"/>
        <v>19675</v>
      </c>
      <c r="B457" s="1815">
        <v>19650</v>
      </c>
      <c r="C457" s="1815">
        <v>19700</v>
      </c>
      <c r="D457" s="1816">
        <f t="shared" si="39"/>
        <v>2141</v>
      </c>
      <c r="E457" s="1816">
        <f t="shared" si="40"/>
        <v>1968</v>
      </c>
      <c r="F457" s="1816">
        <f t="shared" si="41"/>
        <v>2141</v>
      </c>
      <c r="G457" s="1816">
        <f t="shared" si="42"/>
        <v>2047</v>
      </c>
    </row>
    <row r="458" spans="1:7" ht="15.75">
      <c r="A458" s="1961">
        <f t="shared" si="43"/>
        <v>19725</v>
      </c>
      <c r="B458" s="1815">
        <v>19700</v>
      </c>
      <c r="C458" s="1815">
        <v>19750</v>
      </c>
      <c r="D458" s="1816">
        <f t="shared" si="39"/>
        <v>2147</v>
      </c>
      <c r="E458" s="1816">
        <f t="shared" si="40"/>
        <v>1973</v>
      </c>
      <c r="F458" s="1816">
        <f t="shared" si="41"/>
        <v>2147</v>
      </c>
      <c r="G458" s="1816">
        <f t="shared" si="42"/>
        <v>2053</v>
      </c>
    </row>
    <row r="459" spans="1:7" ht="15.75">
      <c r="A459" s="1961">
        <f t="shared" si="43"/>
        <v>19775</v>
      </c>
      <c r="B459" s="1815">
        <v>19750</v>
      </c>
      <c r="C459" s="1815">
        <v>19800</v>
      </c>
      <c r="D459" s="1816">
        <f t="shared" si="39"/>
        <v>2153</v>
      </c>
      <c r="E459" s="1816">
        <f t="shared" si="40"/>
        <v>1978</v>
      </c>
      <c r="F459" s="1816">
        <f t="shared" si="41"/>
        <v>2153</v>
      </c>
      <c r="G459" s="1816">
        <f t="shared" si="42"/>
        <v>2059</v>
      </c>
    </row>
    <row r="460" spans="1:7" ht="15.75">
      <c r="A460" s="1961">
        <f t="shared" si="43"/>
        <v>19825</v>
      </c>
      <c r="B460" s="1815">
        <v>19800</v>
      </c>
      <c r="C460" s="1815">
        <v>19850</v>
      </c>
      <c r="D460" s="1816">
        <f t="shared" si="39"/>
        <v>2159</v>
      </c>
      <c r="E460" s="1816">
        <f t="shared" si="40"/>
        <v>1983</v>
      </c>
      <c r="F460" s="1816">
        <f t="shared" si="41"/>
        <v>2159</v>
      </c>
      <c r="G460" s="1816">
        <f t="shared" si="42"/>
        <v>2065</v>
      </c>
    </row>
    <row r="461" spans="1:7" ht="15.75">
      <c r="A461" s="1961">
        <f t="shared" si="43"/>
        <v>19875</v>
      </c>
      <c r="B461" s="1815">
        <v>19850</v>
      </c>
      <c r="C461" s="1815">
        <v>19900</v>
      </c>
      <c r="D461" s="1816">
        <f t="shared" si="39"/>
        <v>2165</v>
      </c>
      <c r="E461" s="1816">
        <f t="shared" si="40"/>
        <v>1988</v>
      </c>
      <c r="F461" s="1816">
        <f t="shared" si="41"/>
        <v>2165</v>
      </c>
      <c r="G461" s="1816">
        <f t="shared" si="42"/>
        <v>2071</v>
      </c>
    </row>
    <row r="462" spans="1:7" ht="15.75">
      <c r="A462" s="1961">
        <f t="shared" si="43"/>
        <v>19925</v>
      </c>
      <c r="B462" s="1815">
        <v>19900</v>
      </c>
      <c r="C462" s="1815">
        <v>19950</v>
      </c>
      <c r="D462" s="1816">
        <f t="shared" si="39"/>
        <v>2171</v>
      </c>
      <c r="E462" s="1816">
        <f t="shared" si="40"/>
        <v>1993</v>
      </c>
      <c r="F462" s="1816">
        <f t="shared" si="41"/>
        <v>2171</v>
      </c>
      <c r="G462" s="1816">
        <f t="shared" si="42"/>
        <v>2077</v>
      </c>
    </row>
    <row r="463" spans="1:7" ht="15.75">
      <c r="A463" s="1961">
        <f t="shared" si="43"/>
        <v>19975</v>
      </c>
      <c r="B463" s="1815">
        <v>19950</v>
      </c>
      <c r="C463" s="1815">
        <v>20000</v>
      </c>
      <c r="D463" s="1816">
        <f t="shared" si="39"/>
        <v>2177</v>
      </c>
      <c r="E463" s="1816">
        <f t="shared" si="40"/>
        <v>1998</v>
      </c>
      <c r="F463" s="1816">
        <f t="shared" si="41"/>
        <v>2177</v>
      </c>
      <c r="G463" s="1816">
        <f t="shared" si="42"/>
        <v>2083</v>
      </c>
    </row>
    <row r="464" spans="1:7" ht="15.75">
      <c r="A464" s="1961">
        <f t="shared" si="43"/>
        <v>20025</v>
      </c>
      <c r="B464" s="1815">
        <v>20000</v>
      </c>
      <c r="C464" s="1815">
        <v>20050</v>
      </c>
      <c r="D464" s="1816">
        <f t="shared" si="39"/>
        <v>2183</v>
      </c>
      <c r="E464" s="1816">
        <f t="shared" si="40"/>
        <v>2003</v>
      </c>
      <c r="F464" s="1816">
        <f t="shared" si="41"/>
        <v>2183</v>
      </c>
      <c r="G464" s="1816">
        <f t="shared" si="42"/>
        <v>2089</v>
      </c>
    </row>
    <row r="465" spans="1:7" ht="15.75">
      <c r="A465" s="1961">
        <f t="shared" si="43"/>
        <v>20075</v>
      </c>
      <c r="B465" s="1815">
        <v>20050</v>
      </c>
      <c r="C465" s="1815">
        <v>20100</v>
      </c>
      <c r="D465" s="1816">
        <f t="shared" si="39"/>
        <v>2189</v>
      </c>
      <c r="E465" s="1816">
        <f t="shared" si="40"/>
        <v>2008</v>
      </c>
      <c r="F465" s="1816">
        <f t="shared" si="41"/>
        <v>2189</v>
      </c>
      <c r="G465" s="1816">
        <f t="shared" si="42"/>
        <v>2095</v>
      </c>
    </row>
    <row r="466" spans="1:7" ht="15.75">
      <c r="A466" s="1961">
        <f t="shared" si="43"/>
        <v>20125</v>
      </c>
      <c r="B466" s="1815">
        <v>20100</v>
      </c>
      <c r="C466" s="1815">
        <v>20150</v>
      </c>
      <c r="D466" s="1816">
        <f t="shared" si="39"/>
        <v>2195</v>
      </c>
      <c r="E466" s="1816">
        <f t="shared" si="40"/>
        <v>2013</v>
      </c>
      <c r="F466" s="1816">
        <f t="shared" si="41"/>
        <v>2195</v>
      </c>
      <c r="G466" s="1816">
        <f t="shared" si="42"/>
        <v>2101</v>
      </c>
    </row>
    <row r="467" spans="1:7" ht="15.75">
      <c r="A467" s="1961">
        <f t="shared" si="43"/>
        <v>20175</v>
      </c>
      <c r="B467" s="1815">
        <v>20150</v>
      </c>
      <c r="C467" s="1815">
        <v>20200</v>
      </c>
      <c r="D467" s="1816">
        <f t="shared" si="39"/>
        <v>2201</v>
      </c>
      <c r="E467" s="1816">
        <f t="shared" si="40"/>
        <v>2018</v>
      </c>
      <c r="F467" s="1816">
        <f t="shared" si="41"/>
        <v>2201</v>
      </c>
      <c r="G467" s="1816">
        <f t="shared" si="42"/>
        <v>2107</v>
      </c>
    </row>
    <row r="468" spans="1:7" ht="15.75">
      <c r="A468" s="1961">
        <f t="shared" si="43"/>
        <v>20225</v>
      </c>
      <c r="B468" s="1815">
        <v>20200</v>
      </c>
      <c r="C468" s="1815">
        <v>20250</v>
      </c>
      <c r="D468" s="1816">
        <f t="shared" si="39"/>
        <v>2207</v>
      </c>
      <c r="E468" s="1816">
        <f t="shared" si="40"/>
        <v>2023</v>
      </c>
      <c r="F468" s="1816">
        <f t="shared" si="41"/>
        <v>2207</v>
      </c>
      <c r="G468" s="1816">
        <f t="shared" si="42"/>
        <v>2113</v>
      </c>
    </row>
    <row r="469" spans="1:7" ht="15.75">
      <c r="A469" s="1961">
        <f t="shared" si="43"/>
        <v>20275</v>
      </c>
      <c r="B469" s="1815">
        <v>20250</v>
      </c>
      <c r="C469" s="1815">
        <v>20300</v>
      </c>
      <c r="D469" s="1816">
        <f t="shared" si="39"/>
        <v>2213</v>
      </c>
      <c r="E469" s="1816">
        <f t="shared" si="40"/>
        <v>2028</v>
      </c>
      <c r="F469" s="1816">
        <f t="shared" si="41"/>
        <v>2213</v>
      </c>
      <c r="G469" s="1816">
        <f t="shared" si="42"/>
        <v>2119</v>
      </c>
    </row>
    <row r="470" spans="1:7" ht="15.75">
      <c r="A470" s="1961">
        <f t="shared" si="43"/>
        <v>20325</v>
      </c>
      <c r="B470" s="1815">
        <v>20300</v>
      </c>
      <c r="C470" s="1815">
        <v>20350</v>
      </c>
      <c r="D470" s="1816">
        <f t="shared" si="39"/>
        <v>2219</v>
      </c>
      <c r="E470" s="1816">
        <f t="shared" si="40"/>
        <v>2033</v>
      </c>
      <c r="F470" s="1816">
        <f t="shared" si="41"/>
        <v>2219</v>
      </c>
      <c r="G470" s="1816">
        <f t="shared" si="42"/>
        <v>2125</v>
      </c>
    </row>
    <row r="471" spans="1:7" ht="15.75">
      <c r="A471" s="1961">
        <f t="shared" si="43"/>
        <v>20375</v>
      </c>
      <c r="B471" s="1815">
        <v>20350</v>
      </c>
      <c r="C471" s="1815">
        <v>20400</v>
      </c>
      <c r="D471" s="1816">
        <f t="shared" si="39"/>
        <v>2225</v>
      </c>
      <c r="E471" s="1816">
        <f t="shared" si="40"/>
        <v>2038</v>
      </c>
      <c r="F471" s="1816">
        <f t="shared" si="41"/>
        <v>2225</v>
      </c>
      <c r="G471" s="1816">
        <f t="shared" si="42"/>
        <v>2131</v>
      </c>
    </row>
    <row r="472" spans="1:7" ht="15.75">
      <c r="A472" s="1961">
        <f t="shared" si="43"/>
        <v>20425</v>
      </c>
      <c r="B472" s="1815">
        <v>20400</v>
      </c>
      <c r="C472" s="1815">
        <v>20450</v>
      </c>
      <c r="D472" s="1816">
        <f t="shared" si="39"/>
        <v>2231</v>
      </c>
      <c r="E472" s="1816">
        <f t="shared" si="40"/>
        <v>2043</v>
      </c>
      <c r="F472" s="1816">
        <f t="shared" si="41"/>
        <v>2231</v>
      </c>
      <c r="G472" s="1816">
        <f t="shared" si="42"/>
        <v>2137</v>
      </c>
    </row>
    <row r="473" spans="1:7" ht="15.75">
      <c r="A473" s="1961">
        <f t="shared" si="43"/>
        <v>20475</v>
      </c>
      <c r="B473" s="1815">
        <v>20450</v>
      </c>
      <c r="C473" s="1815">
        <v>20500</v>
      </c>
      <c r="D473" s="1816">
        <f t="shared" si="39"/>
        <v>2237</v>
      </c>
      <c r="E473" s="1816">
        <f t="shared" si="40"/>
        <v>2048</v>
      </c>
      <c r="F473" s="1816">
        <f t="shared" si="41"/>
        <v>2237</v>
      </c>
      <c r="G473" s="1816">
        <f t="shared" si="42"/>
        <v>2143</v>
      </c>
    </row>
    <row r="474" spans="1:7" ht="15.75">
      <c r="A474" s="1961">
        <f t="shared" si="43"/>
        <v>20525</v>
      </c>
      <c r="B474" s="1815">
        <v>20500</v>
      </c>
      <c r="C474" s="1815">
        <v>20550</v>
      </c>
      <c r="D474" s="1816">
        <f t="shared" si="39"/>
        <v>2243</v>
      </c>
      <c r="E474" s="1816">
        <f t="shared" si="40"/>
        <v>2053</v>
      </c>
      <c r="F474" s="1816">
        <f t="shared" si="41"/>
        <v>2243</v>
      </c>
      <c r="G474" s="1816">
        <f t="shared" si="42"/>
        <v>2149</v>
      </c>
    </row>
    <row r="475" spans="1:7" ht="15.75">
      <c r="A475" s="1961">
        <f t="shared" si="43"/>
        <v>20575</v>
      </c>
      <c r="B475" s="1815">
        <v>20550</v>
      </c>
      <c r="C475" s="1815">
        <v>20600</v>
      </c>
      <c r="D475" s="1816">
        <f t="shared" si="39"/>
        <v>2249</v>
      </c>
      <c r="E475" s="1816">
        <f t="shared" si="40"/>
        <v>2058</v>
      </c>
      <c r="F475" s="1816">
        <f t="shared" si="41"/>
        <v>2249</v>
      </c>
      <c r="G475" s="1816">
        <f t="shared" si="42"/>
        <v>2155</v>
      </c>
    </row>
    <row r="476" spans="1:7" ht="15.75">
      <c r="A476" s="1961">
        <f t="shared" si="43"/>
        <v>20625</v>
      </c>
      <c r="B476" s="1815">
        <v>20600</v>
      </c>
      <c r="C476" s="1815">
        <v>20650</v>
      </c>
      <c r="D476" s="1816">
        <f t="shared" si="39"/>
        <v>2255</v>
      </c>
      <c r="E476" s="1816">
        <f t="shared" si="40"/>
        <v>2063</v>
      </c>
      <c r="F476" s="1816">
        <f t="shared" si="41"/>
        <v>2255</v>
      </c>
      <c r="G476" s="1816">
        <f t="shared" si="42"/>
        <v>2161</v>
      </c>
    </row>
    <row r="477" spans="1:7" ht="15.75">
      <c r="A477" s="1961">
        <f t="shared" si="43"/>
        <v>20675</v>
      </c>
      <c r="B477" s="1815">
        <v>20650</v>
      </c>
      <c r="C477" s="1815">
        <v>20700</v>
      </c>
      <c r="D477" s="1816">
        <f t="shared" si="39"/>
        <v>2261</v>
      </c>
      <c r="E477" s="1816">
        <f t="shared" si="40"/>
        <v>2068</v>
      </c>
      <c r="F477" s="1816">
        <f t="shared" si="41"/>
        <v>2261</v>
      </c>
      <c r="G477" s="1816">
        <f t="shared" si="42"/>
        <v>2167</v>
      </c>
    </row>
    <row r="478" spans="1:7" ht="15.75">
      <c r="A478" s="1961">
        <f t="shared" si="43"/>
        <v>20725</v>
      </c>
      <c r="B478" s="1815">
        <v>20700</v>
      </c>
      <c r="C478" s="1815">
        <v>20750</v>
      </c>
      <c r="D478" s="1816">
        <f t="shared" si="39"/>
        <v>2267</v>
      </c>
      <c r="E478" s="1816">
        <f t="shared" si="40"/>
        <v>2073</v>
      </c>
      <c r="F478" s="1816">
        <f t="shared" si="41"/>
        <v>2267</v>
      </c>
      <c r="G478" s="1816">
        <f t="shared" si="42"/>
        <v>2173</v>
      </c>
    </row>
    <row r="479" spans="1:7" ht="15.75">
      <c r="A479" s="1961">
        <f t="shared" si="43"/>
        <v>20775</v>
      </c>
      <c r="B479" s="1815">
        <v>20750</v>
      </c>
      <c r="C479" s="1815">
        <v>20800</v>
      </c>
      <c r="D479" s="1816">
        <f t="shared" si="39"/>
        <v>2273</v>
      </c>
      <c r="E479" s="1816">
        <f t="shared" si="40"/>
        <v>2078</v>
      </c>
      <c r="F479" s="1816">
        <f t="shared" si="41"/>
        <v>2273</v>
      </c>
      <c r="G479" s="1816">
        <f t="shared" si="42"/>
        <v>2179</v>
      </c>
    </row>
    <row r="480" spans="1:7" ht="15.75">
      <c r="A480" s="1961">
        <f t="shared" si="43"/>
        <v>20825</v>
      </c>
      <c r="B480" s="1815">
        <v>20800</v>
      </c>
      <c r="C480" s="1815">
        <v>20850</v>
      </c>
      <c r="D480" s="1816">
        <f t="shared" si="39"/>
        <v>2279</v>
      </c>
      <c r="E480" s="1816">
        <f t="shared" si="40"/>
        <v>2083</v>
      </c>
      <c r="F480" s="1816">
        <f t="shared" si="41"/>
        <v>2279</v>
      </c>
      <c r="G480" s="1816">
        <f t="shared" si="42"/>
        <v>2185</v>
      </c>
    </row>
    <row r="481" spans="1:7" ht="15.75">
      <c r="A481" s="1961">
        <f t="shared" si="43"/>
        <v>20875</v>
      </c>
      <c r="B481" s="1815">
        <v>20850</v>
      </c>
      <c r="C481" s="1815">
        <v>20900</v>
      </c>
      <c r="D481" s="1816">
        <f t="shared" si="39"/>
        <v>2285</v>
      </c>
      <c r="E481" s="1816">
        <f t="shared" si="40"/>
        <v>2088</v>
      </c>
      <c r="F481" s="1816">
        <f t="shared" si="41"/>
        <v>2285</v>
      </c>
      <c r="G481" s="1816">
        <f t="shared" si="42"/>
        <v>2191</v>
      </c>
    </row>
    <row r="482" spans="1:7" ht="15.75">
      <c r="A482" s="1961">
        <f t="shared" si="43"/>
        <v>20925</v>
      </c>
      <c r="B482" s="1815">
        <v>20900</v>
      </c>
      <c r="C482" s="1815">
        <v>20950</v>
      </c>
      <c r="D482" s="1816">
        <f t="shared" si="39"/>
        <v>2291</v>
      </c>
      <c r="E482" s="1816">
        <f t="shared" si="40"/>
        <v>2093</v>
      </c>
      <c r="F482" s="1816">
        <f t="shared" si="41"/>
        <v>2291</v>
      </c>
      <c r="G482" s="1816">
        <f t="shared" si="42"/>
        <v>2197</v>
      </c>
    </row>
    <row r="483" spans="1:7" ht="15.75">
      <c r="A483" s="1961">
        <f t="shared" si="43"/>
        <v>20975</v>
      </c>
      <c r="B483" s="1815">
        <v>20950</v>
      </c>
      <c r="C483" s="1815">
        <v>21000</v>
      </c>
      <c r="D483" s="1816">
        <f t="shared" si="39"/>
        <v>2297</v>
      </c>
      <c r="E483" s="1816">
        <f t="shared" si="40"/>
        <v>2098</v>
      </c>
      <c r="F483" s="1816">
        <f t="shared" si="41"/>
        <v>2297</v>
      </c>
      <c r="G483" s="1816">
        <f t="shared" si="42"/>
        <v>2203</v>
      </c>
    </row>
    <row r="484" spans="1:7" ht="15.75">
      <c r="A484" s="1961">
        <f t="shared" si="43"/>
        <v>21025</v>
      </c>
      <c r="B484" s="1815">
        <v>21000</v>
      </c>
      <c r="C484" s="1815">
        <v>21050</v>
      </c>
      <c r="D484" s="1816">
        <f t="shared" si="39"/>
        <v>2303</v>
      </c>
      <c r="E484" s="1816">
        <f t="shared" si="40"/>
        <v>2103</v>
      </c>
      <c r="F484" s="1816">
        <f t="shared" si="41"/>
        <v>2303</v>
      </c>
      <c r="G484" s="1816">
        <f t="shared" si="42"/>
        <v>2209</v>
      </c>
    </row>
    <row r="485" spans="1:7" ht="15.75">
      <c r="A485" s="1961">
        <f t="shared" si="43"/>
        <v>21075</v>
      </c>
      <c r="B485" s="1815">
        <v>21050</v>
      </c>
      <c r="C485" s="1815">
        <v>21100</v>
      </c>
      <c r="D485" s="1816">
        <f t="shared" si="39"/>
        <v>2309</v>
      </c>
      <c r="E485" s="1816">
        <f t="shared" si="40"/>
        <v>2108</v>
      </c>
      <c r="F485" s="1816">
        <f t="shared" si="41"/>
        <v>2309</v>
      </c>
      <c r="G485" s="1816">
        <f t="shared" si="42"/>
        <v>2215</v>
      </c>
    </row>
    <row r="486" spans="1:7" ht="15.75">
      <c r="A486" s="1961">
        <f t="shared" si="43"/>
        <v>21125</v>
      </c>
      <c r="B486" s="1815">
        <v>21100</v>
      </c>
      <c r="C486" s="1815">
        <v>21150</v>
      </c>
      <c r="D486" s="1816">
        <f t="shared" si="39"/>
        <v>2315</v>
      </c>
      <c r="E486" s="1816">
        <f t="shared" si="40"/>
        <v>2113</v>
      </c>
      <c r="F486" s="1816">
        <f t="shared" si="41"/>
        <v>2315</v>
      </c>
      <c r="G486" s="1816">
        <f t="shared" si="42"/>
        <v>2221</v>
      </c>
    </row>
    <row r="487" spans="1:7" ht="15.75">
      <c r="A487" s="1961">
        <f t="shared" si="43"/>
        <v>21175</v>
      </c>
      <c r="B487" s="1815">
        <v>21150</v>
      </c>
      <c r="C487" s="1815">
        <v>21200</v>
      </c>
      <c r="D487" s="1816">
        <f t="shared" si="39"/>
        <v>2321</v>
      </c>
      <c r="E487" s="1816">
        <f t="shared" si="40"/>
        <v>2118</v>
      </c>
      <c r="F487" s="1816">
        <f t="shared" si="41"/>
        <v>2321</v>
      </c>
      <c r="G487" s="1816">
        <f t="shared" si="42"/>
        <v>2227</v>
      </c>
    </row>
    <row r="488" spans="1:7" ht="15.75">
      <c r="A488" s="1961">
        <f t="shared" si="43"/>
        <v>21225</v>
      </c>
      <c r="B488" s="1815">
        <v>21200</v>
      </c>
      <c r="C488" s="1815">
        <v>21250</v>
      </c>
      <c r="D488" s="1816">
        <f t="shared" si="39"/>
        <v>2327</v>
      </c>
      <c r="E488" s="1816">
        <f t="shared" si="40"/>
        <v>2123</v>
      </c>
      <c r="F488" s="1816">
        <f t="shared" si="41"/>
        <v>2327</v>
      </c>
      <c r="G488" s="1816">
        <f t="shared" si="42"/>
        <v>2233</v>
      </c>
    </row>
    <row r="489" spans="1:7" ht="15.75">
      <c r="A489" s="1961">
        <f t="shared" si="43"/>
        <v>21275</v>
      </c>
      <c r="B489" s="1815">
        <v>21250</v>
      </c>
      <c r="C489" s="1815">
        <v>21300</v>
      </c>
      <c r="D489" s="1816">
        <f t="shared" si="39"/>
        <v>2333</v>
      </c>
      <c r="E489" s="1816">
        <f t="shared" si="40"/>
        <v>2128</v>
      </c>
      <c r="F489" s="1816">
        <f t="shared" si="41"/>
        <v>2333</v>
      </c>
      <c r="G489" s="1816">
        <f t="shared" si="42"/>
        <v>2239</v>
      </c>
    </row>
    <row r="490" spans="1:7" ht="15.75">
      <c r="A490" s="1961">
        <f t="shared" si="43"/>
        <v>21325</v>
      </c>
      <c r="B490" s="1815">
        <v>21300</v>
      </c>
      <c r="C490" s="1815">
        <v>21350</v>
      </c>
      <c r="D490" s="1816">
        <f t="shared" si="39"/>
        <v>2339</v>
      </c>
      <c r="E490" s="1816">
        <f t="shared" si="40"/>
        <v>2133</v>
      </c>
      <c r="F490" s="1816">
        <f t="shared" si="41"/>
        <v>2339</v>
      </c>
      <c r="G490" s="1816">
        <f t="shared" si="42"/>
        <v>2245</v>
      </c>
    </row>
    <row r="491" spans="1:7" ht="15.75">
      <c r="A491" s="1961">
        <f t="shared" si="43"/>
        <v>21375</v>
      </c>
      <c r="B491" s="1815">
        <v>21350</v>
      </c>
      <c r="C491" s="1815">
        <v>21400</v>
      </c>
      <c r="D491" s="1816">
        <f t="shared" si="39"/>
        <v>2345</v>
      </c>
      <c r="E491" s="1816">
        <f t="shared" si="40"/>
        <v>2138</v>
      </c>
      <c r="F491" s="1816">
        <f t="shared" si="41"/>
        <v>2345</v>
      </c>
      <c r="G491" s="1816">
        <f t="shared" si="42"/>
        <v>2251</v>
      </c>
    </row>
    <row r="492" spans="1:7" ht="15.75">
      <c r="A492" s="1961">
        <f t="shared" si="43"/>
        <v>21425</v>
      </c>
      <c r="B492" s="1815">
        <v>21400</v>
      </c>
      <c r="C492" s="1815">
        <v>21450</v>
      </c>
      <c r="D492" s="1816">
        <f t="shared" si="39"/>
        <v>2351</v>
      </c>
      <c r="E492" s="1816">
        <f t="shared" si="40"/>
        <v>2143</v>
      </c>
      <c r="F492" s="1816">
        <f t="shared" si="41"/>
        <v>2351</v>
      </c>
      <c r="G492" s="1816">
        <f t="shared" si="42"/>
        <v>2257</v>
      </c>
    </row>
    <row r="493" spans="1:7" ht="15.75">
      <c r="A493" s="1961">
        <f t="shared" si="43"/>
        <v>21475</v>
      </c>
      <c r="B493" s="1815">
        <v>21450</v>
      </c>
      <c r="C493" s="1815">
        <v>21500</v>
      </c>
      <c r="D493" s="1816">
        <f t="shared" si="39"/>
        <v>2357</v>
      </c>
      <c r="E493" s="1816">
        <f t="shared" si="40"/>
        <v>2148</v>
      </c>
      <c r="F493" s="1816">
        <f t="shared" si="41"/>
        <v>2357</v>
      </c>
      <c r="G493" s="1816">
        <f t="shared" si="42"/>
        <v>2263</v>
      </c>
    </row>
    <row r="494" spans="1:7" ht="15.75">
      <c r="A494" s="1961">
        <f t="shared" si="43"/>
        <v>21525</v>
      </c>
      <c r="B494" s="1815">
        <v>21500</v>
      </c>
      <c r="C494" s="1815">
        <v>21550</v>
      </c>
      <c r="D494" s="1816">
        <f t="shared" si="39"/>
        <v>2363</v>
      </c>
      <c r="E494" s="1816">
        <f t="shared" si="40"/>
        <v>2153</v>
      </c>
      <c r="F494" s="1816">
        <f t="shared" si="41"/>
        <v>2363</v>
      </c>
      <c r="G494" s="1816">
        <f t="shared" si="42"/>
        <v>2269</v>
      </c>
    </row>
    <row r="495" spans="1:7" ht="15.75">
      <c r="A495" s="1961">
        <f t="shared" si="43"/>
        <v>21575</v>
      </c>
      <c r="B495" s="1815">
        <v>21550</v>
      </c>
      <c r="C495" s="1815">
        <v>21600</v>
      </c>
      <c r="D495" s="1816">
        <f t="shared" si="39"/>
        <v>2369</v>
      </c>
      <c r="E495" s="1816">
        <f t="shared" si="40"/>
        <v>2158</v>
      </c>
      <c r="F495" s="1816">
        <f t="shared" si="41"/>
        <v>2369</v>
      </c>
      <c r="G495" s="1816">
        <f t="shared" si="42"/>
        <v>2275</v>
      </c>
    </row>
    <row r="496" spans="1:7" ht="15.75">
      <c r="A496" s="1961">
        <f t="shared" si="43"/>
        <v>21625</v>
      </c>
      <c r="B496" s="1815">
        <v>21600</v>
      </c>
      <c r="C496" s="1815">
        <v>21650</v>
      </c>
      <c r="D496" s="1816">
        <f t="shared" si="39"/>
        <v>2375</v>
      </c>
      <c r="E496" s="1816">
        <f t="shared" si="40"/>
        <v>2163</v>
      </c>
      <c r="F496" s="1816">
        <f t="shared" si="41"/>
        <v>2375</v>
      </c>
      <c r="G496" s="1816">
        <f t="shared" si="42"/>
        <v>2281</v>
      </c>
    </row>
    <row r="497" spans="1:7" ht="15.75">
      <c r="A497" s="1961">
        <f t="shared" si="43"/>
        <v>21675</v>
      </c>
      <c r="B497" s="1815">
        <v>21650</v>
      </c>
      <c r="C497" s="1815">
        <v>21700</v>
      </c>
      <c r="D497" s="1816">
        <f t="shared" si="39"/>
        <v>2381</v>
      </c>
      <c r="E497" s="1816">
        <f t="shared" si="40"/>
        <v>2168</v>
      </c>
      <c r="F497" s="1816">
        <f t="shared" si="41"/>
        <v>2381</v>
      </c>
      <c r="G497" s="1816">
        <f t="shared" si="42"/>
        <v>2287</v>
      </c>
    </row>
    <row r="498" spans="1:7" ht="15.75">
      <c r="A498" s="1961">
        <f t="shared" si="43"/>
        <v>21725</v>
      </c>
      <c r="B498" s="1815">
        <v>21700</v>
      </c>
      <c r="C498" s="1815">
        <v>21750</v>
      </c>
      <c r="D498" s="1816">
        <f t="shared" si="39"/>
        <v>2387</v>
      </c>
      <c r="E498" s="1816">
        <f t="shared" si="40"/>
        <v>2173</v>
      </c>
      <c r="F498" s="1816">
        <f t="shared" si="41"/>
        <v>2387</v>
      </c>
      <c r="G498" s="1816">
        <f t="shared" si="42"/>
        <v>2293</v>
      </c>
    </row>
    <row r="499" spans="1:7" ht="15.75">
      <c r="A499" s="1961">
        <f t="shared" si="43"/>
        <v>21775</v>
      </c>
      <c r="B499" s="1815">
        <v>21750</v>
      </c>
      <c r="C499" s="1815">
        <v>21800</v>
      </c>
      <c r="D499" s="1816">
        <f t="shared" si="39"/>
        <v>2393</v>
      </c>
      <c r="E499" s="1816">
        <f t="shared" si="40"/>
        <v>2178</v>
      </c>
      <c r="F499" s="1816">
        <f t="shared" si="41"/>
        <v>2393</v>
      </c>
      <c r="G499" s="1816">
        <f t="shared" si="42"/>
        <v>2299</v>
      </c>
    </row>
    <row r="500" spans="1:7" ht="15.75">
      <c r="A500" s="1961">
        <f t="shared" si="43"/>
        <v>21825</v>
      </c>
      <c r="B500" s="1815">
        <v>21800</v>
      </c>
      <c r="C500" s="1815">
        <v>21850</v>
      </c>
      <c r="D500" s="1816">
        <f t="shared" si="39"/>
        <v>2399</v>
      </c>
      <c r="E500" s="1816">
        <f t="shared" si="40"/>
        <v>2183</v>
      </c>
      <c r="F500" s="1816">
        <f t="shared" si="41"/>
        <v>2399</v>
      </c>
      <c r="G500" s="1816">
        <f t="shared" si="42"/>
        <v>2305</v>
      </c>
    </row>
    <row r="501" spans="1:7" ht="15.75">
      <c r="A501" s="1961">
        <f t="shared" si="43"/>
        <v>21875</v>
      </c>
      <c r="B501" s="1815">
        <v>21850</v>
      </c>
      <c r="C501" s="1815">
        <v>21900</v>
      </c>
      <c r="D501" s="1816">
        <f t="shared" si="39"/>
        <v>2405</v>
      </c>
      <c r="E501" s="1816">
        <f t="shared" si="40"/>
        <v>2188</v>
      </c>
      <c r="F501" s="1816">
        <f t="shared" si="41"/>
        <v>2405</v>
      </c>
      <c r="G501" s="1816">
        <f t="shared" si="42"/>
        <v>2311</v>
      </c>
    </row>
    <row r="502" spans="1:7" ht="15.75">
      <c r="A502" s="1961">
        <f t="shared" si="43"/>
        <v>21925</v>
      </c>
      <c r="B502" s="1815">
        <v>21900</v>
      </c>
      <c r="C502" s="1815">
        <v>21950</v>
      </c>
      <c r="D502" s="1816">
        <f t="shared" si="39"/>
        <v>2411</v>
      </c>
      <c r="E502" s="1816">
        <f t="shared" si="40"/>
        <v>2193</v>
      </c>
      <c r="F502" s="1816">
        <f t="shared" si="41"/>
        <v>2411</v>
      </c>
      <c r="G502" s="1816">
        <f t="shared" si="42"/>
        <v>2317</v>
      </c>
    </row>
    <row r="503" spans="1:7" ht="15.75">
      <c r="A503" s="1961">
        <f t="shared" si="43"/>
        <v>21975</v>
      </c>
      <c r="B503" s="1815">
        <v>21950</v>
      </c>
      <c r="C503" s="1815">
        <v>22000</v>
      </c>
      <c r="D503" s="1816">
        <f t="shared" si="39"/>
        <v>2417</v>
      </c>
      <c r="E503" s="1816">
        <f t="shared" si="40"/>
        <v>2198</v>
      </c>
      <c r="F503" s="1816">
        <f t="shared" si="41"/>
        <v>2417</v>
      </c>
      <c r="G503" s="1816">
        <f t="shared" si="42"/>
        <v>2323</v>
      </c>
    </row>
    <row r="504" spans="1:7" ht="15.75">
      <c r="A504" s="1961">
        <f t="shared" si="43"/>
        <v>22025</v>
      </c>
      <c r="B504" s="1815">
        <v>22000</v>
      </c>
      <c r="C504" s="1815">
        <v>22050</v>
      </c>
      <c r="D504" s="1816">
        <f t="shared" si="39"/>
        <v>2423</v>
      </c>
      <c r="E504" s="1816">
        <f t="shared" si="40"/>
        <v>2203</v>
      </c>
      <c r="F504" s="1816">
        <f t="shared" si="41"/>
        <v>2423</v>
      </c>
      <c r="G504" s="1816">
        <f t="shared" si="42"/>
        <v>2329</v>
      </c>
    </row>
    <row r="505" spans="1:7" ht="15.75">
      <c r="A505" s="1961">
        <f t="shared" si="43"/>
        <v>22075</v>
      </c>
      <c r="B505" s="1815">
        <v>22050</v>
      </c>
      <c r="C505" s="1815">
        <v>22100</v>
      </c>
      <c r="D505" s="1816">
        <f t="shared" si="39"/>
        <v>2429</v>
      </c>
      <c r="E505" s="1816">
        <f t="shared" si="40"/>
        <v>2209</v>
      </c>
      <c r="F505" s="1816">
        <f t="shared" si="41"/>
        <v>2429</v>
      </c>
      <c r="G505" s="1816">
        <f t="shared" si="42"/>
        <v>2335</v>
      </c>
    </row>
    <row r="506" spans="1:7" ht="15.75">
      <c r="A506" s="1961">
        <f t="shared" si="43"/>
        <v>22125</v>
      </c>
      <c r="B506" s="1815">
        <v>22100</v>
      </c>
      <c r="C506" s="1815">
        <v>22150</v>
      </c>
      <c r="D506" s="1816">
        <f t="shared" si="39"/>
        <v>2435</v>
      </c>
      <c r="E506" s="1816">
        <f t="shared" si="40"/>
        <v>2215</v>
      </c>
      <c r="F506" s="1816">
        <f t="shared" si="41"/>
        <v>2435</v>
      </c>
      <c r="G506" s="1816">
        <f t="shared" si="42"/>
        <v>2341</v>
      </c>
    </row>
    <row r="507" spans="1:7" ht="15.75">
      <c r="A507" s="1961">
        <f t="shared" si="43"/>
        <v>22175</v>
      </c>
      <c r="B507" s="1815">
        <v>22150</v>
      </c>
      <c r="C507" s="1815">
        <v>22200</v>
      </c>
      <c r="D507" s="1816">
        <f t="shared" si="39"/>
        <v>2441</v>
      </c>
      <c r="E507" s="1816">
        <f t="shared" si="40"/>
        <v>2221</v>
      </c>
      <c r="F507" s="1816">
        <f t="shared" si="41"/>
        <v>2441</v>
      </c>
      <c r="G507" s="1816">
        <f t="shared" si="42"/>
        <v>2347</v>
      </c>
    </row>
    <row r="508" spans="1:7" ht="15.75">
      <c r="A508" s="1961">
        <f t="shared" si="43"/>
        <v>22225</v>
      </c>
      <c r="B508" s="1815">
        <v>22200</v>
      </c>
      <c r="C508" s="1815">
        <v>22250</v>
      </c>
      <c r="D508" s="1816">
        <f t="shared" si="39"/>
        <v>2447</v>
      </c>
      <c r="E508" s="1816">
        <f t="shared" si="40"/>
        <v>2227</v>
      </c>
      <c r="F508" s="1816">
        <f t="shared" si="41"/>
        <v>2447</v>
      </c>
      <c r="G508" s="1816">
        <f t="shared" si="42"/>
        <v>2353</v>
      </c>
    </row>
    <row r="509" spans="1:7" ht="15.75">
      <c r="A509" s="1961">
        <f t="shared" si="43"/>
        <v>22275</v>
      </c>
      <c r="B509" s="1815">
        <v>22250</v>
      </c>
      <c r="C509" s="1815">
        <v>22300</v>
      </c>
      <c r="D509" s="1816">
        <f t="shared" si="39"/>
        <v>2453</v>
      </c>
      <c r="E509" s="1816">
        <f t="shared" si="40"/>
        <v>2233</v>
      </c>
      <c r="F509" s="1816">
        <f t="shared" si="41"/>
        <v>2453</v>
      </c>
      <c r="G509" s="1816">
        <f t="shared" si="42"/>
        <v>2359</v>
      </c>
    </row>
    <row r="510" spans="1:7" ht="15.75">
      <c r="A510" s="1961">
        <f t="shared" si="43"/>
        <v>22325</v>
      </c>
      <c r="B510" s="1815">
        <v>22300</v>
      </c>
      <c r="C510" s="1815">
        <v>22350</v>
      </c>
      <c r="D510" s="1816">
        <f t="shared" si="39"/>
        <v>2459</v>
      </c>
      <c r="E510" s="1816">
        <f t="shared" si="40"/>
        <v>2239</v>
      </c>
      <c r="F510" s="1816">
        <f t="shared" si="41"/>
        <v>2459</v>
      </c>
      <c r="G510" s="1816">
        <f t="shared" si="42"/>
        <v>2365</v>
      </c>
    </row>
    <row r="511" spans="1:7" ht="15.75">
      <c r="A511" s="1961">
        <f t="shared" si="43"/>
        <v>22375</v>
      </c>
      <c r="B511" s="1815">
        <v>22350</v>
      </c>
      <c r="C511" s="1815">
        <v>22400</v>
      </c>
      <c r="D511" s="1816">
        <f t="shared" si="39"/>
        <v>2465</v>
      </c>
      <c r="E511" s="1816">
        <f t="shared" si="40"/>
        <v>2245</v>
      </c>
      <c r="F511" s="1816">
        <f t="shared" si="41"/>
        <v>2465</v>
      </c>
      <c r="G511" s="1816">
        <f t="shared" si="42"/>
        <v>2371</v>
      </c>
    </row>
    <row r="512" spans="1:7" ht="15.75">
      <c r="A512" s="1961">
        <f t="shared" si="43"/>
        <v>22425</v>
      </c>
      <c r="B512" s="1815">
        <v>22400</v>
      </c>
      <c r="C512" s="1815">
        <v>22450</v>
      </c>
      <c r="D512" s="1816">
        <f t="shared" si="39"/>
        <v>2471</v>
      </c>
      <c r="E512" s="1816">
        <f t="shared" si="40"/>
        <v>2251</v>
      </c>
      <c r="F512" s="1816">
        <f t="shared" si="41"/>
        <v>2471</v>
      </c>
      <c r="G512" s="1816">
        <f t="shared" si="42"/>
        <v>2377</v>
      </c>
    </row>
    <row r="513" spans="1:7" ht="15.75">
      <c r="A513" s="1961">
        <f t="shared" si="43"/>
        <v>22475</v>
      </c>
      <c r="B513" s="1815">
        <v>22450</v>
      </c>
      <c r="C513" s="1815">
        <v>22500</v>
      </c>
      <c r="D513" s="1816">
        <f t="shared" si="39"/>
        <v>2477</v>
      </c>
      <c r="E513" s="1816">
        <f t="shared" si="40"/>
        <v>2257</v>
      </c>
      <c r="F513" s="1816">
        <f t="shared" si="41"/>
        <v>2477</v>
      </c>
      <c r="G513" s="1816">
        <f t="shared" si="42"/>
        <v>2383</v>
      </c>
    </row>
    <row r="514" spans="1:7" ht="15.75">
      <c r="A514" s="1961">
        <f t="shared" si="43"/>
        <v>22525</v>
      </c>
      <c r="B514" s="1815">
        <v>22500</v>
      </c>
      <c r="C514" s="1815">
        <v>22550</v>
      </c>
      <c r="D514" s="1816">
        <f t="shared" ref="D514:D577" si="44">IF($A514&gt;BOTT_A4,ROUND(BASE_A4+RATE_A4*($A514-BOTT_A4),0),IF($A514&gt;BOTT_A3,ROUND(BASE_A3+RATE_A3*($A514-BOTT_A3),0),IF($A514&gt;BOTT_A2,ROUND(BASE_A2+RATE_A2*($A514-BOTT_A2),0),ROUND(RATE_A1*$A514,0))))</f>
        <v>2483</v>
      </c>
      <c r="E514" s="1816">
        <f t="shared" ref="E514:E577" si="45">IF($A514&gt;BOTT_B4,ROUND(BASE_B4+RATE_B4*($A514-BOTT_B4),0),IF($A514&gt;BOTT_B3,ROUND(BASE_B3+RATE_B3*($A514-BOTT_B3),0),IF($A514&gt;BOTT_B2,ROUND(BASE_B2+RATE_B2*($A514-BOTT_B2),0),ROUND(RATE_B1*$A514,0))))</f>
        <v>2263</v>
      </c>
      <c r="F514" s="1816">
        <f t="shared" ref="F514:F577" si="46">IF($A514&gt;BOTT_C4,ROUND(BASE_C4+RATE_C4*($A514-BOTT_C4),0),IF($A514&gt;BOTT_C3,ROUND(BASE_C3+RATE_C3*($A514-BOTT_C3),0),IF($A514&gt;BOTT_C2,ROUND(BASE_C2+RATE_C2*($A514-BOTT_C2),0),ROUND(RATE_C1*$A514,0))))</f>
        <v>2483</v>
      </c>
      <c r="G514" s="1816">
        <f t="shared" ref="G514:G577" si="47">IF($A514&gt;BOTT_D4,ROUND(BASE_D4+RATE_D4*($A514-BOTT_D4),0),IF($A514&gt;BOTT_D3,ROUND(BASE_D3+RATE_D3*($A514-BOTT_D3),0),IF($A514&gt;BOTT_D2,ROUND(BASE_D2+RATE_D2*($A514-BOTT_D2),0),ROUND(RATE_D1*$A514,0))))</f>
        <v>2389</v>
      </c>
    </row>
    <row r="515" spans="1:7" ht="15.75">
      <c r="A515" s="1961">
        <f t="shared" ref="A515:A578" si="48">AVERAGE(B515,C515)</f>
        <v>22575</v>
      </c>
      <c r="B515" s="1815">
        <v>22550</v>
      </c>
      <c r="C515" s="1815">
        <v>22600</v>
      </c>
      <c r="D515" s="1816">
        <f t="shared" si="44"/>
        <v>2489</v>
      </c>
      <c r="E515" s="1816">
        <f t="shared" si="45"/>
        <v>2269</v>
      </c>
      <c r="F515" s="1816">
        <f t="shared" si="46"/>
        <v>2489</v>
      </c>
      <c r="G515" s="1816">
        <f t="shared" si="47"/>
        <v>2395</v>
      </c>
    </row>
    <row r="516" spans="1:7" ht="15.75">
      <c r="A516" s="1961">
        <f t="shared" si="48"/>
        <v>22625</v>
      </c>
      <c r="B516" s="1815">
        <v>22600</v>
      </c>
      <c r="C516" s="1815">
        <v>22650</v>
      </c>
      <c r="D516" s="1816">
        <f t="shared" si="44"/>
        <v>2495</v>
      </c>
      <c r="E516" s="1816">
        <f t="shared" si="45"/>
        <v>2275</v>
      </c>
      <c r="F516" s="1816">
        <f t="shared" si="46"/>
        <v>2495</v>
      </c>
      <c r="G516" s="1816">
        <f t="shared" si="47"/>
        <v>2401</v>
      </c>
    </row>
    <row r="517" spans="1:7" ht="15.75">
      <c r="A517" s="1961">
        <f t="shared" si="48"/>
        <v>22675</v>
      </c>
      <c r="B517" s="1815">
        <v>22650</v>
      </c>
      <c r="C517" s="1815">
        <v>22700</v>
      </c>
      <c r="D517" s="1816">
        <f t="shared" si="44"/>
        <v>2501</v>
      </c>
      <c r="E517" s="1816">
        <f t="shared" si="45"/>
        <v>2281</v>
      </c>
      <c r="F517" s="1816">
        <f t="shared" si="46"/>
        <v>2501</v>
      </c>
      <c r="G517" s="1816">
        <f t="shared" si="47"/>
        <v>2407</v>
      </c>
    </row>
    <row r="518" spans="1:7" ht="15.75">
      <c r="A518" s="1961">
        <f t="shared" si="48"/>
        <v>22725</v>
      </c>
      <c r="B518" s="1815">
        <v>22700</v>
      </c>
      <c r="C518" s="1815">
        <v>22750</v>
      </c>
      <c r="D518" s="1816">
        <f t="shared" si="44"/>
        <v>2507</v>
      </c>
      <c r="E518" s="1816">
        <f t="shared" si="45"/>
        <v>2287</v>
      </c>
      <c r="F518" s="1816">
        <f t="shared" si="46"/>
        <v>2507</v>
      </c>
      <c r="G518" s="1816">
        <f t="shared" si="47"/>
        <v>2413</v>
      </c>
    </row>
    <row r="519" spans="1:7" ht="15.75">
      <c r="A519" s="1961">
        <f t="shared" si="48"/>
        <v>22775</v>
      </c>
      <c r="B519" s="1815">
        <v>22750</v>
      </c>
      <c r="C519" s="1815">
        <v>22800</v>
      </c>
      <c r="D519" s="1816">
        <f t="shared" si="44"/>
        <v>2513</v>
      </c>
      <c r="E519" s="1816">
        <f t="shared" si="45"/>
        <v>2293</v>
      </c>
      <c r="F519" s="1816">
        <f t="shared" si="46"/>
        <v>2513</v>
      </c>
      <c r="G519" s="1816">
        <f t="shared" si="47"/>
        <v>2419</v>
      </c>
    </row>
    <row r="520" spans="1:7" ht="15.75">
      <c r="A520" s="1961">
        <f t="shared" si="48"/>
        <v>22825</v>
      </c>
      <c r="B520" s="1815">
        <v>22800</v>
      </c>
      <c r="C520" s="1815">
        <v>22850</v>
      </c>
      <c r="D520" s="1816">
        <f t="shared" si="44"/>
        <v>2519</v>
      </c>
      <c r="E520" s="1816">
        <f t="shared" si="45"/>
        <v>2299</v>
      </c>
      <c r="F520" s="1816">
        <f t="shared" si="46"/>
        <v>2519</v>
      </c>
      <c r="G520" s="1816">
        <f t="shared" si="47"/>
        <v>2425</v>
      </c>
    </row>
    <row r="521" spans="1:7" ht="15.75">
      <c r="A521" s="1961">
        <f t="shared" si="48"/>
        <v>22875</v>
      </c>
      <c r="B521" s="1815">
        <v>22850</v>
      </c>
      <c r="C521" s="1815">
        <v>22900</v>
      </c>
      <c r="D521" s="1816">
        <f t="shared" si="44"/>
        <v>2525</v>
      </c>
      <c r="E521" s="1816">
        <f t="shared" si="45"/>
        <v>2305</v>
      </c>
      <c r="F521" s="1816">
        <f t="shared" si="46"/>
        <v>2525</v>
      </c>
      <c r="G521" s="1816">
        <f t="shared" si="47"/>
        <v>2431</v>
      </c>
    </row>
    <row r="522" spans="1:7" ht="15.75">
      <c r="A522" s="1961">
        <f t="shared" si="48"/>
        <v>22925</v>
      </c>
      <c r="B522" s="1815">
        <v>22900</v>
      </c>
      <c r="C522" s="1815">
        <v>22950</v>
      </c>
      <c r="D522" s="1816">
        <f t="shared" si="44"/>
        <v>2531</v>
      </c>
      <c r="E522" s="1816">
        <f t="shared" si="45"/>
        <v>2311</v>
      </c>
      <c r="F522" s="1816">
        <f t="shared" si="46"/>
        <v>2531</v>
      </c>
      <c r="G522" s="1816">
        <f t="shared" si="47"/>
        <v>2437</v>
      </c>
    </row>
    <row r="523" spans="1:7" ht="15.75">
      <c r="A523" s="1961">
        <f t="shared" si="48"/>
        <v>22975</v>
      </c>
      <c r="B523" s="1815">
        <v>22950</v>
      </c>
      <c r="C523" s="1815">
        <v>23000</v>
      </c>
      <c r="D523" s="1816">
        <f t="shared" si="44"/>
        <v>2537</v>
      </c>
      <c r="E523" s="1816">
        <f t="shared" si="45"/>
        <v>2317</v>
      </c>
      <c r="F523" s="1816">
        <f t="shared" si="46"/>
        <v>2537</v>
      </c>
      <c r="G523" s="1816">
        <f t="shared" si="47"/>
        <v>2443</v>
      </c>
    </row>
    <row r="524" spans="1:7" ht="15.75">
      <c r="A524" s="1961">
        <f t="shared" si="48"/>
        <v>23025</v>
      </c>
      <c r="B524" s="1815">
        <v>23000</v>
      </c>
      <c r="C524" s="1815">
        <v>23050</v>
      </c>
      <c r="D524" s="1816">
        <f t="shared" si="44"/>
        <v>2543</v>
      </c>
      <c r="E524" s="1816">
        <f t="shared" si="45"/>
        <v>2323</v>
      </c>
      <c r="F524" s="1816">
        <f t="shared" si="46"/>
        <v>2543</v>
      </c>
      <c r="G524" s="1816">
        <f t="shared" si="47"/>
        <v>2449</v>
      </c>
    </row>
    <row r="525" spans="1:7" ht="15.75">
      <c r="A525" s="1961">
        <f t="shared" si="48"/>
        <v>23075</v>
      </c>
      <c r="B525" s="1815">
        <v>23050</v>
      </c>
      <c r="C525" s="1815">
        <v>23100</v>
      </c>
      <c r="D525" s="1816">
        <f t="shared" si="44"/>
        <v>2549</v>
      </c>
      <c r="E525" s="1816">
        <f t="shared" si="45"/>
        <v>2329</v>
      </c>
      <c r="F525" s="1816">
        <f t="shared" si="46"/>
        <v>2549</v>
      </c>
      <c r="G525" s="1816">
        <f t="shared" si="47"/>
        <v>2455</v>
      </c>
    </row>
    <row r="526" spans="1:7" ht="15.75">
      <c r="A526" s="1961">
        <f t="shared" si="48"/>
        <v>23125</v>
      </c>
      <c r="B526" s="1815">
        <v>23100</v>
      </c>
      <c r="C526" s="1815">
        <v>23150</v>
      </c>
      <c r="D526" s="1816">
        <f t="shared" si="44"/>
        <v>2555</v>
      </c>
      <c r="E526" s="1816">
        <f t="shared" si="45"/>
        <v>2335</v>
      </c>
      <c r="F526" s="1816">
        <f t="shared" si="46"/>
        <v>2555</v>
      </c>
      <c r="G526" s="1816">
        <f t="shared" si="47"/>
        <v>2461</v>
      </c>
    </row>
    <row r="527" spans="1:7" ht="15.75">
      <c r="A527" s="1961">
        <f t="shared" si="48"/>
        <v>23175</v>
      </c>
      <c r="B527" s="1815">
        <v>23150</v>
      </c>
      <c r="C527" s="1815">
        <v>23200</v>
      </c>
      <c r="D527" s="1816">
        <f t="shared" si="44"/>
        <v>2561</v>
      </c>
      <c r="E527" s="1816">
        <f t="shared" si="45"/>
        <v>2341</v>
      </c>
      <c r="F527" s="1816">
        <f t="shared" si="46"/>
        <v>2561</v>
      </c>
      <c r="G527" s="1816">
        <f t="shared" si="47"/>
        <v>2467</v>
      </c>
    </row>
    <row r="528" spans="1:7" ht="15.75">
      <c r="A528" s="1961">
        <f t="shared" si="48"/>
        <v>23225</v>
      </c>
      <c r="B528" s="1815">
        <v>23200</v>
      </c>
      <c r="C528" s="1815">
        <v>23250</v>
      </c>
      <c r="D528" s="1816">
        <f t="shared" si="44"/>
        <v>2567</v>
      </c>
      <c r="E528" s="1816">
        <f t="shared" si="45"/>
        <v>2347</v>
      </c>
      <c r="F528" s="1816">
        <f t="shared" si="46"/>
        <v>2567</v>
      </c>
      <c r="G528" s="1816">
        <f t="shared" si="47"/>
        <v>2473</v>
      </c>
    </row>
    <row r="529" spans="1:7" ht="15.75">
      <c r="A529" s="1961">
        <f t="shared" si="48"/>
        <v>23275</v>
      </c>
      <c r="B529" s="1815">
        <v>23250</v>
      </c>
      <c r="C529" s="1815">
        <v>23300</v>
      </c>
      <c r="D529" s="1816">
        <f t="shared" si="44"/>
        <v>2573</v>
      </c>
      <c r="E529" s="1816">
        <f t="shared" si="45"/>
        <v>2353</v>
      </c>
      <c r="F529" s="1816">
        <f t="shared" si="46"/>
        <v>2573</v>
      </c>
      <c r="G529" s="1816">
        <f t="shared" si="47"/>
        <v>2479</v>
      </c>
    </row>
    <row r="530" spans="1:7" ht="15.75">
      <c r="A530" s="1961">
        <f t="shared" si="48"/>
        <v>23325</v>
      </c>
      <c r="B530" s="1815">
        <v>23300</v>
      </c>
      <c r="C530" s="1815">
        <v>23350</v>
      </c>
      <c r="D530" s="1816">
        <f t="shared" si="44"/>
        <v>2579</v>
      </c>
      <c r="E530" s="1816">
        <f t="shared" si="45"/>
        <v>2359</v>
      </c>
      <c r="F530" s="1816">
        <f t="shared" si="46"/>
        <v>2579</v>
      </c>
      <c r="G530" s="1816">
        <f t="shared" si="47"/>
        <v>2485</v>
      </c>
    </row>
    <row r="531" spans="1:7" ht="15.75">
      <c r="A531" s="1961">
        <f t="shared" si="48"/>
        <v>23375</v>
      </c>
      <c r="B531" s="1815">
        <v>23350</v>
      </c>
      <c r="C531" s="1815">
        <v>23400</v>
      </c>
      <c r="D531" s="1816">
        <f t="shared" si="44"/>
        <v>2585</v>
      </c>
      <c r="E531" s="1816">
        <f t="shared" si="45"/>
        <v>2365</v>
      </c>
      <c r="F531" s="1816">
        <f t="shared" si="46"/>
        <v>2585</v>
      </c>
      <c r="G531" s="1816">
        <f t="shared" si="47"/>
        <v>2491</v>
      </c>
    </row>
    <row r="532" spans="1:7" ht="15.75">
      <c r="A532" s="1961">
        <f t="shared" si="48"/>
        <v>23425</v>
      </c>
      <c r="B532" s="1815">
        <v>23400</v>
      </c>
      <c r="C532" s="1815">
        <v>23450</v>
      </c>
      <c r="D532" s="1816">
        <f t="shared" si="44"/>
        <v>2591</v>
      </c>
      <c r="E532" s="1816">
        <f t="shared" si="45"/>
        <v>2371</v>
      </c>
      <c r="F532" s="1816">
        <f t="shared" si="46"/>
        <v>2591</v>
      </c>
      <c r="G532" s="1816">
        <f t="shared" si="47"/>
        <v>2497</v>
      </c>
    </row>
    <row r="533" spans="1:7" ht="15.75">
      <c r="A533" s="1961">
        <f t="shared" si="48"/>
        <v>23475</v>
      </c>
      <c r="B533" s="1815">
        <v>23450</v>
      </c>
      <c r="C533" s="1815">
        <v>23500</v>
      </c>
      <c r="D533" s="1816">
        <f t="shared" si="44"/>
        <v>2597</v>
      </c>
      <c r="E533" s="1816">
        <f t="shared" si="45"/>
        <v>2377</v>
      </c>
      <c r="F533" s="1816">
        <f t="shared" si="46"/>
        <v>2597</v>
      </c>
      <c r="G533" s="1816">
        <f t="shared" si="47"/>
        <v>2503</v>
      </c>
    </row>
    <row r="534" spans="1:7" ht="15.75">
      <c r="A534" s="1961">
        <f t="shared" si="48"/>
        <v>23525</v>
      </c>
      <c r="B534" s="1815">
        <v>23500</v>
      </c>
      <c r="C534" s="1815">
        <v>23550</v>
      </c>
      <c r="D534" s="1816">
        <f t="shared" si="44"/>
        <v>2603</v>
      </c>
      <c r="E534" s="1816">
        <f t="shared" si="45"/>
        <v>2383</v>
      </c>
      <c r="F534" s="1816">
        <f t="shared" si="46"/>
        <v>2603</v>
      </c>
      <c r="G534" s="1816">
        <f t="shared" si="47"/>
        <v>2509</v>
      </c>
    </row>
    <row r="535" spans="1:7" ht="15.75">
      <c r="A535" s="1961">
        <f t="shared" si="48"/>
        <v>23575</v>
      </c>
      <c r="B535" s="1815">
        <v>23550</v>
      </c>
      <c r="C535" s="1815">
        <v>23600</v>
      </c>
      <c r="D535" s="1816">
        <f t="shared" si="44"/>
        <v>2609</v>
      </c>
      <c r="E535" s="1816">
        <f t="shared" si="45"/>
        <v>2389</v>
      </c>
      <c r="F535" s="1816">
        <f t="shared" si="46"/>
        <v>2609</v>
      </c>
      <c r="G535" s="1816">
        <f t="shared" si="47"/>
        <v>2515</v>
      </c>
    </row>
    <row r="536" spans="1:7" ht="15.75">
      <c r="A536" s="1961">
        <f t="shared" si="48"/>
        <v>23625</v>
      </c>
      <c r="B536" s="1815">
        <v>23600</v>
      </c>
      <c r="C536" s="1815">
        <v>23650</v>
      </c>
      <c r="D536" s="1816">
        <f t="shared" si="44"/>
        <v>2615</v>
      </c>
      <c r="E536" s="1816">
        <f t="shared" si="45"/>
        <v>2395</v>
      </c>
      <c r="F536" s="1816">
        <f t="shared" si="46"/>
        <v>2615</v>
      </c>
      <c r="G536" s="1816">
        <f t="shared" si="47"/>
        <v>2521</v>
      </c>
    </row>
    <row r="537" spans="1:7" ht="15.75">
      <c r="A537" s="1961">
        <f t="shared" si="48"/>
        <v>23675</v>
      </c>
      <c r="B537" s="1815">
        <v>23650</v>
      </c>
      <c r="C537" s="1815">
        <v>23700</v>
      </c>
      <c r="D537" s="1816">
        <f t="shared" si="44"/>
        <v>2621</v>
      </c>
      <c r="E537" s="1816">
        <f t="shared" si="45"/>
        <v>2401</v>
      </c>
      <c r="F537" s="1816">
        <f t="shared" si="46"/>
        <v>2621</v>
      </c>
      <c r="G537" s="1816">
        <f t="shared" si="47"/>
        <v>2527</v>
      </c>
    </row>
    <row r="538" spans="1:7" ht="15.75">
      <c r="A538" s="1961">
        <f t="shared" si="48"/>
        <v>23725</v>
      </c>
      <c r="B538" s="1815">
        <v>23700</v>
      </c>
      <c r="C538" s="1815">
        <v>23750</v>
      </c>
      <c r="D538" s="1816">
        <f t="shared" si="44"/>
        <v>2627</v>
      </c>
      <c r="E538" s="1816">
        <f t="shared" si="45"/>
        <v>2407</v>
      </c>
      <c r="F538" s="1816">
        <f t="shared" si="46"/>
        <v>2627</v>
      </c>
      <c r="G538" s="1816">
        <f t="shared" si="47"/>
        <v>2533</v>
      </c>
    </row>
    <row r="539" spans="1:7" ht="15.75">
      <c r="A539" s="1961">
        <f t="shared" si="48"/>
        <v>23775</v>
      </c>
      <c r="B539" s="1815">
        <v>23750</v>
      </c>
      <c r="C539" s="1815">
        <v>23800</v>
      </c>
      <c r="D539" s="1816">
        <f t="shared" si="44"/>
        <v>2633</v>
      </c>
      <c r="E539" s="1816">
        <f t="shared" si="45"/>
        <v>2413</v>
      </c>
      <c r="F539" s="1816">
        <f t="shared" si="46"/>
        <v>2633</v>
      </c>
      <c r="G539" s="1816">
        <f t="shared" si="47"/>
        <v>2539</v>
      </c>
    </row>
    <row r="540" spans="1:7" ht="15.75">
      <c r="A540" s="1961">
        <f t="shared" si="48"/>
        <v>23825</v>
      </c>
      <c r="B540" s="1815">
        <v>23800</v>
      </c>
      <c r="C540" s="1815">
        <v>23850</v>
      </c>
      <c r="D540" s="1816">
        <f t="shared" si="44"/>
        <v>2639</v>
      </c>
      <c r="E540" s="1816">
        <f t="shared" si="45"/>
        <v>2419</v>
      </c>
      <c r="F540" s="1816">
        <f t="shared" si="46"/>
        <v>2639</v>
      </c>
      <c r="G540" s="1816">
        <f t="shared" si="47"/>
        <v>2545</v>
      </c>
    </row>
    <row r="541" spans="1:7" ht="15.75">
      <c r="A541" s="1961">
        <f t="shared" si="48"/>
        <v>23875</v>
      </c>
      <c r="B541" s="1815">
        <v>23850</v>
      </c>
      <c r="C541" s="1815">
        <v>23900</v>
      </c>
      <c r="D541" s="1816">
        <f t="shared" si="44"/>
        <v>2645</v>
      </c>
      <c r="E541" s="1816">
        <f t="shared" si="45"/>
        <v>2425</v>
      </c>
      <c r="F541" s="1816">
        <f t="shared" si="46"/>
        <v>2645</v>
      </c>
      <c r="G541" s="1816">
        <f t="shared" si="47"/>
        <v>2551</v>
      </c>
    </row>
    <row r="542" spans="1:7" ht="15.75">
      <c r="A542" s="1961">
        <f t="shared" si="48"/>
        <v>23925</v>
      </c>
      <c r="B542" s="1815">
        <v>23900</v>
      </c>
      <c r="C542" s="1815">
        <v>23950</v>
      </c>
      <c r="D542" s="1816">
        <f t="shared" si="44"/>
        <v>2651</v>
      </c>
      <c r="E542" s="1816">
        <f t="shared" si="45"/>
        <v>2431</v>
      </c>
      <c r="F542" s="1816">
        <f t="shared" si="46"/>
        <v>2651</v>
      </c>
      <c r="G542" s="1816">
        <f t="shared" si="47"/>
        <v>2557</v>
      </c>
    </row>
    <row r="543" spans="1:7" ht="15.75">
      <c r="A543" s="1961">
        <f t="shared" si="48"/>
        <v>23975</v>
      </c>
      <c r="B543" s="1815">
        <v>23950</v>
      </c>
      <c r="C543" s="1815">
        <v>24000</v>
      </c>
      <c r="D543" s="1816">
        <f t="shared" si="44"/>
        <v>2657</v>
      </c>
      <c r="E543" s="1816">
        <f t="shared" si="45"/>
        <v>2437</v>
      </c>
      <c r="F543" s="1816">
        <f t="shared" si="46"/>
        <v>2657</v>
      </c>
      <c r="G543" s="1816">
        <f t="shared" si="47"/>
        <v>2563</v>
      </c>
    </row>
    <row r="544" spans="1:7" ht="15.75">
      <c r="A544" s="1961">
        <f t="shared" si="48"/>
        <v>24025</v>
      </c>
      <c r="B544" s="1815">
        <v>24000</v>
      </c>
      <c r="C544" s="1815">
        <v>24050</v>
      </c>
      <c r="D544" s="1816">
        <f t="shared" si="44"/>
        <v>2663</v>
      </c>
      <c r="E544" s="1816">
        <f t="shared" si="45"/>
        <v>2443</v>
      </c>
      <c r="F544" s="1816">
        <f t="shared" si="46"/>
        <v>2663</v>
      </c>
      <c r="G544" s="1816">
        <f t="shared" si="47"/>
        <v>2569</v>
      </c>
    </row>
    <row r="545" spans="1:7" ht="15.75">
      <c r="A545" s="1961">
        <f t="shared" si="48"/>
        <v>24075</v>
      </c>
      <c r="B545" s="1815">
        <v>24050</v>
      </c>
      <c r="C545" s="1815">
        <v>24100</v>
      </c>
      <c r="D545" s="1816">
        <f t="shared" si="44"/>
        <v>2669</v>
      </c>
      <c r="E545" s="1816">
        <f t="shared" si="45"/>
        <v>2449</v>
      </c>
      <c r="F545" s="1816">
        <f t="shared" si="46"/>
        <v>2669</v>
      </c>
      <c r="G545" s="1816">
        <f t="shared" si="47"/>
        <v>2575</v>
      </c>
    </row>
    <row r="546" spans="1:7" ht="15.75">
      <c r="A546" s="1961">
        <f t="shared" si="48"/>
        <v>24125</v>
      </c>
      <c r="B546" s="1815">
        <v>24100</v>
      </c>
      <c r="C546" s="1815">
        <v>24150</v>
      </c>
      <c r="D546" s="1816">
        <f t="shared" si="44"/>
        <v>2675</v>
      </c>
      <c r="E546" s="1816">
        <f t="shared" si="45"/>
        <v>2455</v>
      </c>
      <c r="F546" s="1816">
        <f t="shared" si="46"/>
        <v>2675</v>
      </c>
      <c r="G546" s="1816">
        <f t="shared" si="47"/>
        <v>2581</v>
      </c>
    </row>
    <row r="547" spans="1:7" ht="15.75">
      <c r="A547" s="1961">
        <f t="shared" si="48"/>
        <v>24175</v>
      </c>
      <c r="B547" s="1815">
        <v>24150</v>
      </c>
      <c r="C547" s="1815">
        <v>24200</v>
      </c>
      <c r="D547" s="1816">
        <f t="shared" si="44"/>
        <v>2681</v>
      </c>
      <c r="E547" s="1816">
        <f t="shared" si="45"/>
        <v>2461</v>
      </c>
      <c r="F547" s="1816">
        <f t="shared" si="46"/>
        <v>2681</v>
      </c>
      <c r="G547" s="1816">
        <f t="shared" si="47"/>
        <v>2587</v>
      </c>
    </row>
    <row r="548" spans="1:7" ht="15.75">
      <c r="A548" s="1961">
        <f t="shared" si="48"/>
        <v>24225</v>
      </c>
      <c r="B548" s="1815">
        <v>24200</v>
      </c>
      <c r="C548" s="1815">
        <v>24250</v>
      </c>
      <c r="D548" s="1816">
        <f t="shared" si="44"/>
        <v>2687</v>
      </c>
      <c r="E548" s="1816">
        <f t="shared" si="45"/>
        <v>2467</v>
      </c>
      <c r="F548" s="1816">
        <f t="shared" si="46"/>
        <v>2687</v>
      </c>
      <c r="G548" s="1816">
        <f t="shared" si="47"/>
        <v>2593</v>
      </c>
    </row>
    <row r="549" spans="1:7" ht="15.75">
      <c r="A549" s="1961">
        <f t="shared" si="48"/>
        <v>24275</v>
      </c>
      <c r="B549" s="1815">
        <v>24250</v>
      </c>
      <c r="C549" s="1815">
        <v>24300</v>
      </c>
      <c r="D549" s="1816">
        <f t="shared" si="44"/>
        <v>2693</v>
      </c>
      <c r="E549" s="1816">
        <f t="shared" si="45"/>
        <v>2473</v>
      </c>
      <c r="F549" s="1816">
        <f t="shared" si="46"/>
        <v>2693</v>
      </c>
      <c r="G549" s="1816">
        <f t="shared" si="47"/>
        <v>2599</v>
      </c>
    </row>
    <row r="550" spans="1:7" ht="15.75">
      <c r="A550" s="1961">
        <f t="shared" si="48"/>
        <v>24325</v>
      </c>
      <c r="B550" s="1815">
        <v>24300</v>
      </c>
      <c r="C550" s="1815">
        <v>24350</v>
      </c>
      <c r="D550" s="1816">
        <f t="shared" si="44"/>
        <v>2699</v>
      </c>
      <c r="E550" s="1816">
        <f t="shared" si="45"/>
        <v>2479</v>
      </c>
      <c r="F550" s="1816">
        <f t="shared" si="46"/>
        <v>2699</v>
      </c>
      <c r="G550" s="1816">
        <f t="shared" si="47"/>
        <v>2605</v>
      </c>
    </row>
    <row r="551" spans="1:7" ht="15.75">
      <c r="A551" s="1961">
        <f t="shared" si="48"/>
        <v>24375</v>
      </c>
      <c r="B551" s="1815">
        <v>24350</v>
      </c>
      <c r="C551" s="1815">
        <v>24400</v>
      </c>
      <c r="D551" s="1816">
        <f t="shared" si="44"/>
        <v>2705</v>
      </c>
      <c r="E551" s="1816">
        <f t="shared" si="45"/>
        <v>2485</v>
      </c>
      <c r="F551" s="1816">
        <f t="shared" si="46"/>
        <v>2705</v>
      </c>
      <c r="G551" s="1816">
        <f t="shared" si="47"/>
        <v>2611</v>
      </c>
    </row>
    <row r="552" spans="1:7" ht="15.75">
      <c r="A552" s="1961">
        <f t="shared" si="48"/>
        <v>24425</v>
      </c>
      <c r="B552" s="1815">
        <v>24400</v>
      </c>
      <c r="C552" s="1815">
        <v>24450</v>
      </c>
      <c r="D552" s="1816">
        <f t="shared" si="44"/>
        <v>2711</v>
      </c>
      <c r="E552" s="1816">
        <f t="shared" si="45"/>
        <v>2491</v>
      </c>
      <c r="F552" s="1816">
        <f t="shared" si="46"/>
        <v>2711</v>
      </c>
      <c r="G552" s="1816">
        <f t="shared" si="47"/>
        <v>2617</v>
      </c>
    </row>
    <row r="553" spans="1:7" ht="15.75">
      <c r="A553" s="1961">
        <f t="shared" si="48"/>
        <v>24475</v>
      </c>
      <c r="B553" s="1815">
        <v>24450</v>
      </c>
      <c r="C553" s="1815">
        <v>24500</v>
      </c>
      <c r="D553" s="1816">
        <f t="shared" si="44"/>
        <v>2717</v>
      </c>
      <c r="E553" s="1816">
        <f t="shared" si="45"/>
        <v>2497</v>
      </c>
      <c r="F553" s="1816">
        <f t="shared" si="46"/>
        <v>2717</v>
      </c>
      <c r="G553" s="1816">
        <f t="shared" si="47"/>
        <v>2623</v>
      </c>
    </row>
    <row r="554" spans="1:7" ht="15.75">
      <c r="A554" s="1961">
        <f t="shared" si="48"/>
        <v>24525</v>
      </c>
      <c r="B554" s="1815">
        <v>24500</v>
      </c>
      <c r="C554" s="1815">
        <v>24550</v>
      </c>
      <c r="D554" s="1816">
        <f t="shared" si="44"/>
        <v>2723</v>
      </c>
      <c r="E554" s="1816">
        <f t="shared" si="45"/>
        <v>2503</v>
      </c>
      <c r="F554" s="1816">
        <f t="shared" si="46"/>
        <v>2723</v>
      </c>
      <c r="G554" s="1816">
        <f t="shared" si="47"/>
        <v>2629</v>
      </c>
    </row>
    <row r="555" spans="1:7" ht="15.75">
      <c r="A555" s="1961">
        <f t="shared" si="48"/>
        <v>24575</v>
      </c>
      <c r="B555" s="1815">
        <v>24550</v>
      </c>
      <c r="C555" s="1815">
        <v>24600</v>
      </c>
      <c r="D555" s="1816">
        <f t="shared" si="44"/>
        <v>2729</v>
      </c>
      <c r="E555" s="1816">
        <f t="shared" si="45"/>
        <v>2509</v>
      </c>
      <c r="F555" s="1816">
        <f t="shared" si="46"/>
        <v>2729</v>
      </c>
      <c r="G555" s="1816">
        <f t="shared" si="47"/>
        <v>2635</v>
      </c>
    </row>
    <row r="556" spans="1:7" ht="15.75">
      <c r="A556" s="1961">
        <f t="shared" si="48"/>
        <v>24625</v>
      </c>
      <c r="B556" s="1815">
        <v>24600</v>
      </c>
      <c r="C556" s="1815">
        <v>24650</v>
      </c>
      <c r="D556" s="1816">
        <f t="shared" si="44"/>
        <v>2735</v>
      </c>
      <c r="E556" s="1816">
        <f t="shared" si="45"/>
        <v>2515</v>
      </c>
      <c r="F556" s="1816">
        <f t="shared" si="46"/>
        <v>2735</v>
      </c>
      <c r="G556" s="1816">
        <f t="shared" si="47"/>
        <v>2641</v>
      </c>
    </row>
    <row r="557" spans="1:7" ht="15.75">
      <c r="A557" s="1961">
        <f t="shared" si="48"/>
        <v>24675</v>
      </c>
      <c r="B557" s="1815">
        <v>24650</v>
      </c>
      <c r="C557" s="1815">
        <v>24700</v>
      </c>
      <c r="D557" s="1816">
        <f t="shared" si="44"/>
        <v>2741</v>
      </c>
      <c r="E557" s="1816">
        <f t="shared" si="45"/>
        <v>2521</v>
      </c>
      <c r="F557" s="1816">
        <f t="shared" si="46"/>
        <v>2741</v>
      </c>
      <c r="G557" s="1816">
        <f t="shared" si="47"/>
        <v>2647</v>
      </c>
    </row>
    <row r="558" spans="1:7" ht="15.75">
      <c r="A558" s="1961">
        <f t="shared" si="48"/>
        <v>24725</v>
      </c>
      <c r="B558" s="1815">
        <v>24700</v>
      </c>
      <c r="C558" s="1815">
        <v>24750</v>
      </c>
      <c r="D558" s="1816">
        <f t="shared" si="44"/>
        <v>2747</v>
      </c>
      <c r="E558" s="1816">
        <f t="shared" si="45"/>
        <v>2527</v>
      </c>
      <c r="F558" s="1816">
        <f t="shared" si="46"/>
        <v>2747</v>
      </c>
      <c r="G558" s="1816">
        <f t="shared" si="47"/>
        <v>2653</v>
      </c>
    </row>
    <row r="559" spans="1:7" ht="15.75">
      <c r="A559" s="1961">
        <f t="shared" si="48"/>
        <v>24775</v>
      </c>
      <c r="B559" s="1815">
        <v>24750</v>
      </c>
      <c r="C559" s="1815">
        <v>24800</v>
      </c>
      <c r="D559" s="1816">
        <f t="shared" si="44"/>
        <v>2753</v>
      </c>
      <c r="E559" s="1816">
        <f t="shared" si="45"/>
        <v>2533</v>
      </c>
      <c r="F559" s="1816">
        <f t="shared" si="46"/>
        <v>2753</v>
      </c>
      <c r="G559" s="1816">
        <f t="shared" si="47"/>
        <v>2659</v>
      </c>
    </row>
    <row r="560" spans="1:7" ht="15.75">
      <c r="A560" s="1961">
        <f t="shared" si="48"/>
        <v>24825</v>
      </c>
      <c r="B560" s="1815">
        <v>24800</v>
      </c>
      <c r="C560" s="1815">
        <v>24850</v>
      </c>
      <c r="D560" s="1816">
        <f t="shared" si="44"/>
        <v>2759</v>
      </c>
      <c r="E560" s="1816">
        <f t="shared" si="45"/>
        <v>2539</v>
      </c>
      <c r="F560" s="1816">
        <f t="shared" si="46"/>
        <v>2759</v>
      </c>
      <c r="G560" s="1816">
        <f t="shared" si="47"/>
        <v>2665</v>
      </c>
    </row>
    <row r="561" spans="1:7" ht="15.75">
      <c r="A561" s="1961">
        <f t="shared" si="48"/>
        <v>24875</v>
      </c>
      <c r="B561" s="1815">
        <v>24850</v>
      </c>
      <c r="C561" s="1815">
        <v>24900</v>
      </c>
      <c r="D561" s="1816">
        <f t="shared" si="44"/>
        <v>2765</v>
      </c>
      <c r="E561" s="1816">
        <f t="shared" si="45"/>
        <v>2545</v>
      </c>
      <c r="F561" s="1816">
        <f t="shared" si="46"/>
        <v>2765</v>
      </c>
      <c r="G561" s="1816">
        <f t="shared" si="47"/>
        <v>2671</v>
      </c>
    </row>
    <row r="562" spans="1:7" ht="15.75">
      <c r="A562" s="1961">
        <f t="shared" si="48"/>
        <v>24925</v>
      </c>
      <c r="B562" s="1815">
        <v>24900</v>
      </c>
      <c r="C562" s="1815">
        <v>24950</v>
      </c>
      <c r="D562" s="1816">
        <f t="shared" si="44"/>
        <v>2771</v>
      </c>
      <c r="E562" s="1816">
        <f t="shared" si="45"/>
        <v>2551</v>
      </c>
      <c r="F562" s="1816">
        <f t="shared" si="46"/>
        <v>2771</v>
      </c>
      <c r="G562" s="1816">
        <f t="shared" si="47"/>
        <v>2677</v>
      </c>
    </row>
    <row r="563" spans="1:7" ht="15.75">
      <c r="A563" s="1961">
        <f t="shared" si="48"/>
        <v>24975</v>
      </c>
      <c r="B563" s="1815">
        <v>24950</v>
      </c>
      <c r="C563" s="1815">
        <v>25000</v>
      </c>
      <c r="D563" s="1816">
        <f t="shared" si="44"/>
        <v>2777</v>
      </c>
      <c r="E563" s="1816">
        <f t="shared" si="45"/>
        <v>2557</v>
      </c>
      <c r="F563" s="1816">
        <f t="shared" si="46"/>
        <v>2777</v>
      </c>
      <c r="G563" s="1816">
        <f t="shared" si="47"/>
        <v>2683</v>
      </c>
    </row>
    <row r="564" spans="1:7" ht="15.75">
      <c r="A564" s="1961">
        <f t="shared" si="48"/>
        <v>25025</v>
      </c>
      <c r="B564" s="1815">
        <v>25000</v>
      </c>
      <c r="C564" s="1815">
        <v>25050</v>
      </c>
      <c r="D564" s="1816">
        <f t="shared" si="44"/>
        <v>2783</v>
      </c>
      <c r="E564" s="1816">
        <f t="shared" si="45"/>
        <v>2563</v>
      </c>
      <c r="F564" s="1816">
        <f t="shared" si="46"/>
        <v>2783</v>
      </c>
      <c r="G564" s="1816">
        <f t="shared" si="47"/>
        <v>2689</v>
      </c>
    </row>
    <row r="565" spans="1:7" ht="15.75">
      <c r="A565" s="1961">
        <f t="shared" si="48"/>
        <v>25075</v>
      </c>
      <c r="B565" s="1815">
        <v>25050</v>
      </c>
      <c r="C565" s="1815">
        <v>25100</v>
      </c>
      <c r="D565" s="1816">
        <f t="shared" si="44"/>
        <v>2789</v>
      </c>
      <c r="E565" s="1816">
        <f t="shared" si="45"/>
        <v>2569</v>
      </c>
      <c r="F565" s="1816">
        <f t="shared" si="46"/>
        <v>2789</v>
      </c>
      <c r="G565" s="1816">
        <f t="shared" si="47"/>
        <v>2695</v>
      </c>
    </row>
    <row r="566" spans="1:7" ht="15.75">
      <c r="A566" s="1961">
        <f t="shared" si="48"/>
        <v>25125</v>
      </c>
      <c r="B566" s="1815">
        <v>25100</v>
      </c>
      <c r="C566" s="1815">
        <v>25150</v>
      </c>
      <c r="D566" s="1816">
        <f t="shared" si="44"/>
        <v>2795</v>
      </c>
      <c r="E566" s="1816">
        <f t="shared" si="45"/>
        <v>2575</v>
      </c>
      <c r="F566" s="1816">
        <f t="shared" si="46"/>
        <v>2795</v>
      </c>
      <c r="G566" s="1816">
        <f t="shared" si="47"/>
        <v>2701</v>
      </c>
    </row>
    <row r="567" spans="1:7" ht="15.75">
      <c r="A567" s="1961">
        <f t="shared" si="48"/>
        <v>25175</v>
      </c>
      <c r="B567" s="1815">
        <v>25150</v>
      </c>
      <c r="C567" s="1815">
        <v>25200</v>
      </c>
      <c r="D567" s="1816">
        <f t="shared" si="44"/>
        <v>2801</v>
      </c>
      <c r="E567" s="1816">
        <f t="shared" si="45"/>
        <v>2581</v>
      </c>
      <c r="F567" s="1816">
        <f t="shared" si="46"/>
        <v>2801</v>
      </c>
      <c r="G567" s="1816">
        <f t="shared" si="47"/>
        <v>2707</v>
      </c>
    </row>
    <row r="568" spans="1:7" ht="15.75">
      <c r="A568" s="1961">
        <f t="shared" si="48"/>
        <v>25225</v>
      </c>
      <c r="B568" s="1815">
        <v>25200</v>
      </c>
      <c r="C568" s="1815">
        <v>25250</v>
      </c>
      <c r="D568" s="1816">
        <f t="shared" si="44"/>
        <v>2807</v>
      </c>
      <c r="E568" s="1816">
        <f t="shared" si="45"/>
        <v>2587</v>
      </c>
      <c r="F568" s="1816">
        <f t="shared" si="46"/>
        <v>2807</v>
      </c>
      <c r="G568" s="1816">
        <f t="shared" si="47"/>
        <v>2713</v>
      </c>
    </row>
    <row r="569" spans="1:7" ht="15.75">
      <c r="A569" s="1961">
        <f t="shared" si="48"/>
        <v>25275</v>
      </c>
      <c r="B569" s="1815">
        <v>25250</v>
      </c>
      <c r="C569" s="1815">
        <v>25300</v>
      </c>
      <c r="D569" s="1816">
        <f t="shared" si="44"/>
        <v>2813</v>
      </c>
      <c r="E569" s="1816">
        <f t="shared" si="45"/>
        <v>2593</v>
      </c>
      <c r="F569" s="1816">
        <f t="shared" si="46"/>
        <v>2813</v>
      </c>
      <c r="G569" s="1816">
        <f t="shared" si="47"/>
        <v>2719</v>
      </c>
    </row>
    <row r="570" spans="1:7" ht="15.75">
      <c r="A570" s="1961">
        <f t="shared" si="48"/>
        <v>25325</v>
      </c>
      <c r="B570" s="1815">
        <v>25300</v>
      </c>
      <c r="C570" s="1815">
        <v>25350</v>
      </c>
      <c r="D570" s="1816">
        <f t="shared" si="44"/>
        <v>2819</v>
      </c>
      <c r="E570" s="1816">
        <f t="shared" si="45"/>
        <v>2599</v>
      </c>
      <c r="F570" s="1816">
        <f t="shared" si="46"/>
        <v>2819</v>
      </c>
      <c r="G570" s="1816">
        <f t="shared" si="47"/>
        <v>2725</v>
      </c>
    </row>
    <row r="571" spans="1:7" ht="15.75">
      <c r="A571" s="1961">
        <f t="shared" si="48"/>
        <v>25375</v>
      </c>
      <c r="B571" s="1815">
        <v>25350</v>
      </c>
      <c r="C571" s="1815">
        <v>25400</v>
      </c>
      <c r="D571" s="1816">
        <f t="shared" si="44"/>
        <v>2825</v>
      </c>
      <c r="E571" s="1816">
        <f t="shared" si="45"/>
        <v>2605</v>
      </c>
      <c r="F571" s="1816">
        <f t="shared" si="46"/>
        <v>2825</v>
      </c>
      <c r="G571" s="1816">
        <f t="shared" si="47"/>
        <v>2731</v>
      </c>
    </row>
    <row r="572" spans="1:7" ht="15.75">
      <c r="A572" s="1961">
        <f t="shared" si="48"/>
        <v>25425</v>
      </c>
      <c r="B572" s="1815">
        <v>25400</v>
      </c>
      <c r="C572" s="1815">
        <v>25450</v>
      </c>
      <c r="D572" s="1816">
        <f t="shared" si="44"/>
        <v>2831</v>
      </c>
      <c r="E572" s="1816">
        <f t="shared" si="45"/>
        <v>2611</v>
      </c>
      <c r="F572" s="1816">
        <f t="shared" si="46"/>
        <v>2831</v>
      </c>
      <c r="G572" s="1816">
        <f t="shared" si="47"/>
        <v>2737</v>
      </c>
    </row>
    <row r="573" spans="1:7" ht="15.75">
      <c r="A573" s="1961">
        <f t="shared" si="48"/>
        <v>25475</v>
      </c>
      <c r="B573" s="1815">
        <v>25450</v>
      </c>
      <c r="C573" s="1815">
        <v>25500</v>
      </c>
      <c r="D573" s="1816">
        <f t="shared" si="44"/>
        <v>2837</v>
      </c>
      <c r="E573" s="1816">
        <f t="shared" si="45"/>
        <v>2617</v>
      </c>
      <c r="F573" s="1816">
        <f t="shared" si="46"/>
        <v>2837</v>
      </c>
      <c r="G573" s="1816">
        <f t="shared" si="47"/>
        <v>2743</v>
      </c>
    </row>
    <row r="574" spans="1:7" ht="15.75">
      <c r="A574" s="1961">
        <f t="shared" si="48"/>
        <v>25525</v>
      </c>
      <c r="B574" s="1815">
        <v>25500</v>
      </c>
      <c r="C574" s="1815">
        <v>25550</v>
      </c>
      <c r="D574" s="1816">
        <f t="shared" si="44"/>
        <v>2843</v>
      </c>
      <c r="E574" s="1816">
        <f t="shared" si="45"/>
        <v>2623</v>
      </c>
      <c r="F574" s="1816">
        <f t="shared" si="46"/>
        <v>2843</v>
      </c>
      <c r="G574" s="1816">
        <f t="shared" si="47"/>
        <v>2749</v>
      </c>
    </row>
    <row r="575" spans="1:7" ht="15.75">
      <c r="A575" s="1961">
        <f t="shared" si="48"/>
        <v>25575</v>
      </c>
      <c r="B575" s="1815">
        <v>25550</v>
      </c>
      <c r="C575" s="1815">
        <v>25600</v>
      </c>
      <c r="D575" s="1816">
        <f t="shared" si="44"/>
        <v>2849</v>
      </c>
      <c r="E575" s="1816">
        <f t="shared" si="45"/>
        <v>2629</v>
      </c>
      <c r="F575" s="1816">
        <f t="shared" si="46"/>
        <v>2849</v>
      </c>
      <c r="G575" s="1816">
        <f t="shared" si="47"/>
        <v>2755</v>
      </c>
    </row>
    <row r="576" spans="1:7" ht="15.75">
      <c r="A576" s="1961">
        <f t="shared" si="48"/>
        <v>25625</v>
      </c>
      <c r="B576" s="1815">
        <v>25600</v>
      </c>
      <c r="C576" s="1815">
        <v>25650</v>
      </c>
      <c r="D576" s="1816">
        <f t="shared" si="44"/>
        <v>2855</v>
      </c>
      <c r="E576" s="1816">
        <f t="shared" si="45"/>
        <v>2635</v>
      </c>
      <c r="F576" s="1816">
        <f t="shared" si="46"/>
        <v>2855</v>
      </c>
      <c r="G576" s="1816">
        <f t="shared" si="47"/>
        <v>2761</v>
      </c>
    </row>
    <row r="577" spans="1:7" ht="15.75">
      <c r="A577" s="1961">
        <f t="shared" si="48"/>
        <v>25675</v>
      </c>
      <c r="B577" s="1815">
        <v>25650</v>
      </c>
      <c r="C577" s="1815">
        <v>25700</v>
      </c>
      <c r="D577" s="1816">
        <f t="shared" si="44"/>
        <v>2861</v>
      </c>
      <c r="E577" s="1816">
        <f t="shared" si="45"/>
        <v>2641</v>
      </c>
      <c r="F577" s="1816">
        <f t="shared" si="46"/>
        <v>2861</v>
      </c>
      <c r="G577" s="1816">
        <f t="shared" si="47"/>
        <v>2767</v>
      </c>
    </row>
    <row r="578" spans="1:7" ht="15.75">
      <c r="A578" s="1961">
        <f t="shared" si="48"/>
        <v>25725</v>
      </c>
      <c r="B578" s="1815">
        <v>25700</v>
      </c>
      <c r="C578" s="1815">
        <v>25750</v>
      </c>
      <c r="D578" s="1816">
        <f t="shared" ref="D578:D641" si="49">IF($A578&gt;BOTT_A4,ROUND(BASE_A4+RATE_A4*($A578-BOTT_A4),0),IF($A578&gt;BOTT_A3,ROUND(BASE_A3+RATE_A3*($A578-BOTT_A3),0),IF($A578&gt;BOTT_A2,ROUND(BASE_A2+RATE_A2*($A578-BOTT_A2),0),ROUND(RATE_A1*$A578,0))))</f>
        <v>2867</v>
      </c>
      <c r="E578" s="1816">
        <f t="shared" ref="E578:E641" si="50">IF($A578&gt;BOTT_B4,ROUND(BASE_B4+RATE_B4*($A578-BOTT_B4),0),IF($A578&gt;BOTT_B3,ROUND(BASE_B3+RATE_B3*($A578-BOTT_B3),0),IF($A578&gt;BOTT_B2,ROUND(BASE_B2+RATE_B2*($A578-BOTT_B2),0),ROUND(RATE_B1*$A578,0))))</f>
        <v>2647</v>
      </c>
      <c r="F578" s="1816">
        <f t="shared" ref="F578:F641" si="51">IF($A578&gt;BOTT_C4,ROUND(BASE_C4+RATE_C4*($A578-BOTT_C4),0),IF($A578&gt;BOTT_C3,ROUND(BASE_C3+RATE_C3*($A578-BOTT_C3),0),IF($A578&gt;BOTT_C2,ROUND(BASE_C2+RATE_C2*($A578-BOTT_C2),0),ROUND(RATE_C1*$A578,0))))</f>
        <v>2867</v>
      </c>
      <c r="G578" s="1816">
        <f t="shared" ref="G578:G641" si="52">IF($A578&gt;BOTT_D4,ROUND(BASE_D4+RATE_D4*($A578-BOTT_D4),0),IF($A578&gt;BOTT_D3,ROUND(BASE_D3+RATE_D3*($A578-BOTT_D3),0),IF($A578&gt;BOTT_D2,ROUND(BASE_D2+RATE_D2*($A578-BOTT_D2),0),ROUND(RATE_D1*$A578,0))))</f>
        <v>2773</v>
      </c>
    </row>
    <row r="579" spans="1:7" ht="15.75">
      <c r="A579" s="1961">
        <f t="shared" ref="A579:A642" si="53">AVERAGE(B579,C579)</f>
        <v>25775</v>
      </c>
      <c r="B579" s="1815">
        <v>25750</v>
      </c>
      <c r="C579" s="1815">
        <v>25800</v>
      </c>
      <c r="D579" s="1816">
        <f t="shared" si="49"/>
        <v>2873</v>
      </c>
      <c r="E579" s="1816">
        <f t="shared" si="50"/>
        <v>2653</v>
      </c>
      <c r="F579" s="1816">
        <f t="shared" si="51"/>
        <v>2873</v>
      </c>
      <c r="G579" s="1816">
        <f t="shared" si="52"/>
        <v>2779</v>
      </c>
    </row>
    <row r="580" spans="1:7" ht="15.75">
      <c r="A580" s="1961">
        <f t="shared" si="53"/>
        <v>25825</v>
      </c>
      <c r="B580" s="1815">
        <v>25800</v>
      </c>
      <c r="C580" s="1815">
        <v>25850</v>
      </c>
      <c r="D580" s="1816">
        <f t="shared" si="49"/>
        <v>2879</v>
      </c>
      <c r="E580" s="1816">
        <f t="shared" si="50"/>
        <v>2659</v>
      </c>
      <c r="F580" s="1816">
        <f t="shared" si="51"/>
        <v>2879</v>
      </c>
      <c r="G580" s="1816">
        <f t="shared" si="52"/>
        <v>2785</v>
      </c>
    </row>
    <row r="581" spans="1:7" ht="15.75">
      <c r="A581" s="1961">
        <f t="shared" si="53"/>
        <v>25875</v>
      </c>
      <c r="B581" s="1815">
        <v>25850</v>
      </c>
      <c r="C581" s="1815">
        <v>25900</v>
      </c>
      <c r="D581" s="1816">
        <f t="shared" si="49"/>
        <v>2885</v>
      </c>
      <c r="E581" s="1816">
        <f t="shared" si="50"/>
        <v>2665</v>
      </c>
      <c r="F581" s="1816">
        <f t="shared" si="51"/>
        <v>2885</v>
      </c>
      <c r="G581" s="1816">
        <f t="shared" si="52"/>
        <v>2791</v>
      </c>
    </row>
    <row r="582" spans="1:7" ht="15.75">
      <c r="A582" s="1961">
        <f t="shared" si="53"/>
        <v>25925</v>
      </c>
      <c r="B582" s="1815">
        <v>25900</v>
      </c>
      <c r="C582" s="1815">
        <v>25950</v>
      </c>
      <c r="D582" s="1816">
        <f t="shared" si="49"/>
        <v>2891</v>
      </c>
      <c r="E582" s="1816">
        <f t="shared" si="50"/>
        <v>2671</v>
      </c>
      <c r="F582" s="1816">
        <f t="shared" si="51"/>
        <v>2891</v>
      </c>
      <c r="G582" s="1816">
        <f t="shared" si="52"/>
        <v>2797</v>
      </c>
    </row>
    <row r="583" spans="1:7" ht="15.75">
      <c r="A583" s="1961">
        <f t="shared" si="53"/>
        <v>25975</v>
      </c>
      <c r="B583" s="1815">
        <v>25950</v>
      </c>
      <c r="C583" s="1815">
        <v>26000</v>
      </c>
      <c r="D583" s="1816">
        <f t="shared" si="49"/>
        <v>2897</v>
      </c>
      <c r="E583" s="1816">
        <f t="shared" si="50"/>
        <v>2677</v>
      </c>
      <c r="F583" s="1816">
        <f t="shared" si="51"/>
        <v>2897</v>
      </c>
      <c r="G583" s="1816">
        <f t="shared" si="52"/>
        <v>2803</v>
      </c>
    </row>
    <row r="584" spans="1:7" ht="15.75">
      <c r="A584" s="1961">
        <f t="shared" si="53"/>
        <v>26025</v>
      </c>
      <c r="B584" s="1815">
        <v>26000</v>
      </c>
      <c r="C584" s="1815">
        <v>26050</v>
      </c>
      <c r="D584" s="1816">
        <f t="shared" si="49"/>
        <v>2903</v>
      </c>
      <c r="E584" s="1816">
        <f t="shared" si="50"/>
        <v>2683</v>
      </c>
      <c r="F584" s="1816">
        <f t="shared" si="51"/>
        <v>2903</v>
      </c>
      <c r="G584" s="1816">
        <f t="shared" si="52"/>
        <v>2809</v>
      </c>
    </row>
    <row r="585" spans="1:7" ht="15.75">
      <c r="A585" s="1961">
        <f t="shared" si="53"/>
        <v>26075</v>
      </c>
      <c r="B585" s="1815">
        <v>26050</v>
      </c>
      <c r="C585" s="1815">
        <v>26100</v>
      </c>
      <c r="D585" s="1816">
        <f t="shared" si="49"/>
        <v>2909</v>
      </c>
      <c r="E585" s="1816">
        <f t="shared" si="50"/>
        <v>2689</v>
      </c>
      <c r="F585" s="1816">
        <f t="shared" si="51"/>
        <v>2909</v>
      </c>
      <c r="G585" s="1816">
        <f t="shared" si="52"/>
        <v>2815</v>
      </c>
    </row>
    <row r="586" spans="1:7" ht="15.75">
      <c r="A586" s="1961">
        <f t="shared" si="53"/>
        <v>26125</v>
      </c>
      <c r="B586" s="1815">
        <v>26100</v>
      </c>
      <c r="C586" s="1815">
        <v>26150</v>
      </c>
      <c r="D586" s="1816">
        <f t="shared" si="49"/>
        <v>2915</v>
      </c>
      <c r="E586" s="1816">
        <f t="shared" si="50"/>
        <v>2695</v>
      </c>
      <c r="F586" s="1816">
        <f t="shared" si="51"/>
        <v>2915</v>
      </c>
      <c r="G586" s="1816">
        <f t="shared" si="52"/>
        <v>2821</v>
      </c>
    </row>
    <row r="587" spans="1:7" ht="15.75">
      <c r="A587" s="1961">
        <f t="shared" si="53"/>
        <v>26175</v>
      </c>
      <c r="B587" s="1815">
        <v>26150</v>
      </c>
      <c r="C587" s="1815">
        <v>26200</v>
      </c>
      <c r="D587" s="1816">
        <f t="shared" si="49"/>
        <v>2921</v>
      </c>
      <c r="E587" s="1816">
        <f t="shared" si="50"/>
        <v>2701</v>
      </c>
      <c r="F587" s="1816">
        <f t="shared" si="51"/>
        <v>2921</v>
      </c>
      <c r="G587" s="1816">
        <f t="shared" si="52"/>
        <v>2827</v>
      </c>
    </row>
    <row r="588" spans="1:7" ht="15.75">
      <c r="A588" s="1961">
        <f t="shared" si="53"/>
        <v>26225</v>
      </c>
      <c r="B588" s="1815">
        <v>26200</v>
      </c>
      <c r="C588" s="1815">
        <v>26250</v>
      </c>
      <c r="D588" s="1816">
        <f t="shared" si="49"/>
        <v>2927</v>
      </c>
      <c r="E588" s="1816">
        <f t="shared" si="50"/>
        <v>2707</v>
      </c>
      <c r="F588" s="1816">
        <f t="shared" si="51"/>
        <v>2927</v>
      </c>
      <c r="G588" s="1816">
        <f t="shared" si="52"/>
        <v>2833</v>
      </c>
    </row>
    <row r="589" spans="1:7" ht="15.75">
      <c r="A589" s="1961">
        <f t="shared" si="53"/>
        <v>26275</v>
      </c>
      <c r="B589" s="1815">
        <v>26250</v>
      </c>
      <c r="C589" s="1815">
        <v>26300</v>
      </c>
      <c r="D589" s="1816">
        <f t="shared" si="49"/>
        <v>2933</v>
      </c>
      <c r="E589" s="1816">
        <f t="shared" si="50"/>
        <v>2713</v>
      </c>
      <c r="F589" s="1816">
        <f t="shared" si="51"/>
        <v>2933</v>
      </c>
      <c r="G589" s="1816">
        <f t="shared" si="52"/>
        <v>2839</v>
      </c>
    </row>
    <row r="590" spans="1:7" ht="15.75">
      <c r="A590" s="1961">
        <f t="shared" si="53"/>
        <v>26325</v>
      </c>
      <c r="B590" s="1815">
        <v>26300</v>
      </c>
      <c r="C590" s="1815">
        <v>26350</v>
      </c>
      <c r="D590" s="1816">
        <f t="shared" si="49"/>
        <v>2939</v>
      </c>
      <c r="E590" s="1816">
        <f t="shared" si="50"/>
        <v>2719</v>
      </c>
      <c r="F590" s="1816">
        <f t="shared" si="51"/>
        <v>2939</v>
      </c>
      <c r="G590" s="1816">
        <f t="shared" si="52"/>
        <v>2845</v>
      </c>
    </row>
    <row r="591" spans="1:7" ht="15.75">
      <c r="A591" s="1961">
        <f t="shared" si="53"/>
        <v>26375</v>
      </c>
      <c r="B591" s="1815">
        <v>26350</v>
      </c>
      <c r="C591" s="1815">
        <v>26400</v>
      </c>
      <c r="D591" s="1816">
        <f t="shared" si="49"/>
        <v>2945</v>
      </c>
      <c r="E591" s="1816">
        <f t="shared" si="50"/>
        <v>2725</v>
      </c>
      <c r="F591" s="1816">
        <f t="shared" si="51"/>
        <v>2945</v>
      </c>
      <c r="G591" s="1816">
        <f t="shared" si="52"/>
        <v>2851</v>
      </c>
    </row>
    <row r="592" spans="1:7" ht="15.75">
      <c r="A592" s="1961">
        <f t="shared" si="53"/>
        <v>26425</v>
      </c>
      <c r="B592" s="1815">
        <v>26400</v>
      </c>
      <c r="C592" s="1815">
        <v>26450</v>
      </c>
      <c r="D592" s="1816">
        <f t="shared" si="49"/>
        <v>2951</v>
      </c>
      <c r="E592" s="1816">
        <f t="shared" si="50"/>
        <v>2731</v>
      </c>
      <c r="F592" s="1816">
        <f t="shared" si="51"/>
        <v>2951</v>
      </c>
      <c r="G592" s="1816">
        <f t="shared" si="52"/>
        <v>2857</v>
      </c>
    </row>
    <row r="593" spans="1:7" ht="15.75">
      <c r="A593" s="1961">
        <f t="shared" si="53"/>
        <v>26475</v>
      </c>
      <c r="B593" s="1815">
        <v>26450</v>
      </c>
      <c r="C593" s="1815">
        <v>26500</v>
      </c>
      <c r="D593" s="1816">
        <f t="shared" si="49"/>
        <v>2957</v>
      </c>
      <c r="E593" s="1816">
        <f t="shared" si="50"/>
        <v>2737</v>
      </c>
      <c r="F593" s="1816">
        <f t="shared" si="51"/>
        <v>2957</v>
      </c>
      <c r="G593" s="1816">
        <f t="shared" si="52"/>
        <v>2863</v>
      </c>
    </row>
    <row r="594" spans="1:7" ht="15.75">
      <c r="A594" s="1961">
        <f t="shared" si="53"/>
        <v>26525</v>
      </c>
      <c r="B594" s="1815">
        <v>26500</v>
      </c>
      <c r="C594" s="1815">
        <v>26550</v>
      </c>
      <c r="D594" s="1816">
        <f t="shared" si="49"/>
        <v>2963</v>
      </c>
      <c r="E594" s="1816">
        <f t="shared" si="50"/>
        <v>2743</v>
      </c>
      <c r="F594" s="1816">
        <f t="shared" si="51"/>
        <v>2963</v>
      </c>
      <c r="G594" s="1816">
        <f t="shared" si="52"/>
        <v>2869</v>
      </c>
    </row>
    <row r="595" spans="1:7" ht="15.75">
      <c r="A595" s="1961">
        <f t="shared" si="53"/>
        <v>26575</v>
      </c>
      <c r="B595" s="1815">
        <v>26550</v>
      </c>
      <c r="C595" s="1815">
        <v>26600</v>
      </c>
      <c r="D595" s="1816">
        <f t="shared" si="49"/>
        <v>2969</v>
      </c>
      <c r="E595" s="1816">
        <f t="shared" si="50"/>
        <v>2749</v>
      </c>
      <c r="F595" s="1816">
        <f t="shared" si="51"/>
        <v>2969</v>
      </c>
      <c r="G595" s="1816">
        <f t="shared" si="52"/>
        <v>2875</v>
      </c>
    </row>
    <row r="596" spans="1:7" ht="15.75">
      <c r="A596" s="1961">
        <f t="shared" si="53"/>
        <v>26625</v>
      </c>
      <c r="B596" s="1815">
        <v>26600</v>
      </c>
      <c r="C596" s="1815">
        <v>26650</v>
      </c>
      <c r="D596" s="1816">
        <f t="shared" si="49"/>
        <v>2975</v>
      </c>
      <c r="E596" s="1816">
        <f t="shared" si="50"/>
        <v>2755</v>
      </c>
      <c r="F596" s="1816">
        <f t="shared" si="51"/>
        <v>2975</v>
      </c>
      <c r="G596" s="1816">
        <f t="shared" si="52"/>
        <v>2881</v>
      </c>
    </row>
    <row r="597" spans="1:7" ht="15.75">
      <c r="A597" s="1961">
        <f t="shared" si="53"/>
        <v>26675</v>
      </c>
      <c r="B597" s="1815">
        <v>26650</v>
      </c>
      <c r="C597" s="1815">
        <v>26700</v>
      </c>
      <c r="D597" s="1816">
        <f t="shared" si="49"/>
        <v>2981</v>
      </c>
      <c r="E597" s="1816">
        <f t="shared" si="50"/>
        <v>2761</v>
      </c>
      <c r="F597" s="1816">
        <f t="shared" si="51"/>
        <v>2981</v>
      </c>
      <c r="G597" s="1816">
        <f t="shared" si="52"/>
        <v>2887</v>
      </c>
    </row>
    <row r="598" spans="1:7" ht="15.75">
      <c r="A598" s="1961">
        <f t="shared" si="53"/>
        <v>26725</v>
      </c>
      <c r="B598" s="1815">
        <v>26700</v>
      </c>
      <c r="C598" s="1815">
        <v>26750</v>
      </c>
      <c r="D598" s="1816">
        <f t="shared" si="49"/>
        <v>2987</v>
      </c>
      <c r="E598" s="1816">
        <f t="shared" si="50"/>
        <v>2767</v>
      </c>
      <c r="F598" s="1816">
        <f t="shared" si="51"/>
        <v>2987</v>
      </c>
      <c r="G598" s="1816">
        <f t="shared" si="52"/>
        <v>2893</v>
      </c>
    </row>
    <row r="599" spans="1:7" ht="15.75">
      <c r="A599" s="1961">
        <f t="shared" si="53"/>
        <v>26775</v>
      </c>
      <c r="B599" s="1815">
        <v>26750</v>
      </c>
      <c r="C599" s="1815">
        <v>26800</v>
      </c>
      <c r="D599" s="1816">
        <f t="shared" si="49"/>
        <v>2993</v>
      </c>
      <c r="E599" s="1816">
        <f t="shared" si="50"/>
        <v>2773</v>
      </c>
      <c r="F599" s="1816">
        <f t="shared" si="51"/>
        <v>2993</v>
      </c>
      <c r="G599" s="1816">
        <f t="shared" si="52"/>
        <v>2899</v>
      </c>
    </row>
    <row r="600" spans="1:7" ht="15.75">
      <c r="A600" s="1961">
        <f t="shared" si="53"/>
        <v>26825</v>
      </c>
      <c r="B600" s="1815">
        <v>26800</v>
      </c>
      <c r="C600" s="1815">
        <v>26850</v>
      </c>
      <c r="D600" s="1816">
        <f t="shared" si="49"/>
        <v>2999</v>
      </c>
      <c r="E600" s="1816">
        <f t="shared" si="50"/>
        <v>2779</v>
      </c>
      <c r="F600" s="1816">
        <f t="shared" si="51"/>
        <v>2999</v>
      </c>
      <c r="G600" s="1816">
        <f t="shared" si="52"/>
        <v>2905</v>
      </c>
    </row>
    <row r="601" spans="1:7" ht="15.75">
      <c r="A601" s="1961">
        <f t="shared" si="53"/>
        <v>26875</v>
      </c>
      <c r="B601" s="1815">
        <v>26850</v>
      </c>
      <c r="C601" s="1815">
        <v>26900</v>
      </c>
      <c r="D601" s="1816">
        <f t="shared" si="49"/>
        <v>3005</v>
      </c>
      <c r="E601" s="1816">
        <f t="shared" si="50"/>
        <v>2785</v>
      </c>
      <c r="F601" s="1816">
        <f t="shared" si="51"/>
        <v>3005</v>
      </c>
      <c r="G601" s="1816">
        <f t="shared" si="52"/>
        <v>2911</v>
      </c>
    </row>
    <row r="602" spans="1:7" ht="15.75">
      <c r="A602" s="1961">
        <f t="shared" si="53"/>
        <v>26925</v>
      </c>
      <c r="B602" s="1815">
        <v>26900</v>
      </c>
      <c r="C602" s="1815">
        <v>26950</v>
      </c>
      <c r="D602" s="1816">
        <f t="shared" si="49"/>
        <v>3011</v>
      </c>
      <c r="E602" s="1816">
        <f t="shared" si="50"/>
        <v>2791</v>
      </c>
      <c r="F602" s="1816">
        <f t="shared" si="51"/>
        <v>3011</v>
      </c>
      <c r="G602" s="1816">
        <f t="shared" si="52"/>
        <v>2917</v>
      </c>
    </row>
    <row r="603" spans="1:7" ht="15.75">
      <c r="A603" s="1961">
        <f t="shared" si="53"/>
        <v>26975</v>
      </c>
      <c r="B603" s="1815">
        <v>26950</v>
      </c>
      <c r="C603" s="1815">
        <v>27000</v>
      </c>
      <c r="D603" s="1816">
        <f t="shared" si="49"/>
        <v>3017</v>
      </c>
      <c r="E603" s="1816">
        <f t="shared" si="50"/>
        <v>2797</v>
      </c>
      <c r="F603" s="1816">
        <f t="shared" si="51"/>
        <v>3017</v>
      </c>
      <c r="G603" s="1816">
        <f t="shared" si="52"/>
        <v>2923</v>
      </c>
    </row>
    <row r="604" spans="1:7" ht="15.75">
      <c r="A604" s="1961">
        <f t="shared" si="53"/>
        <v>27025</v>
      </c>
      <c r="B604" s="1815">
        <v>27000</v>
      </c>
      <c r="C604" s="1815">
        <v>27050</v>
      </c>
      <c r="D604" s="1816">
        <f t="shared" si="49"/>
        <v>3023</v>
      </c>
      <c r="E604" s="1816">
        <f t="shared" si="50"/>
        <v>2803</v>
      </c>
      <c r="F604" s="1816">
        <f t="shared" si="51"/>
        <v>3023</v>
      </c>
      <c r="G604" s="1816">
        <f t="shared" si="52"/>
        <v>2929</v>
      </c>
    </row>
    <row r="605" spans="1:7" ht="15.75">
      <c r="A605" s="1961">
        <f t="shared" si="53"/>
        <v>27075</v>
      </c>
      <c r="B605" s="1815">
        <v>27050</v>
      </c>
      <c r="C605" s="1815">
        <v>27100</v>
      </c>
      <c r="D605" s="1816">
        <f t="shared" si="49"/>
        <v>3029</v>
      </c>
      <c r="E605" s="1816">
        <f t="shared" si="50"/>
        <v>2809</v>
      </c>
      <c r="F605" s="1816">
        <f t="shared" si="51"/>
        <v>3029</v>
      </c>
      <c r="G605" s="1816">
        <f t="shared" si="52"/>
        <v>2935</v>
      </c>
    </row>
    <row r="606" spans="1:7" ht="15.75">
      <c r="A606" s="1961">
        <f t="shared" si="53"/>
        <v>27125</v>
      </c>
      <c r="B606" s="1815">
        <v>27100</v>
      </c>
      <c r="C606" s="1815">
        <v>27150</v>
      </c>
      <c r="D606" s="1816">
        <f t="shared" si="49"/>
        <v>3035</v>
      </c>
      <c r="E606" s="1816">
        <f t="shared" si="50"/>
        <v>2815</v>
      </c>
      <c r="F606" s="1816">
        <f t="shared" si="51"/>
        <v>3035</v>
      </c>
      <c r="G606" s="1816">
        <f t="shared" si="52"/>
        <v>2941</v>
      </c>
    </row>
    <row r="607" spans="1:7" ht="15.75">
      <c r="A607" s="1961">
        <f t="shared" si="53"/>
        <v>27175</v>
      </c>
      <c r="B607" s="1815">
        <v>27150</v>
      </c>
      <c r="C607" s="1815">
        <v>27200</v>
      </c>
      <c r="D607" s="1816">
        <f t="shared" si="49"/>
        <v>3041</v>
      </c>
      <c r="E607" s="1816">
        <f t="shared" si="50"/>
        <v>2821</v>
      </c>
      <c r="F607" s="1816">
        <f t="shared" si="51"/>
        <v>3041</v>
      </c>
      <c r="G607" s="1816">
        <f t="shared" si="52"/>
        <v>2947</v>
      </c>
    </row>
    <row r="608" spans="1:7" ht="15.75">
      <c r="A608" s="1961">
        <f t="shared" si="53"/>
        <v>27225</v>
      </c>
      <c r="B608" s="1815">
        <v>27200</v>
      </c>
      <c r="C608" s="1815">
        <v>27250</v>
      </c>
      <c r="D608" s="1816">
        <f t="shared" si="49"/>
        <v>3047</v>
      </c>
      <c r="E608" s="1816">
        <f t="shared" si="50"/>
        <v>2827</v>
      </c>
      <c r="F608" s="1816">
        <f t="shared" si="51"/>
        <v>3047</v>
      </c>
      <c r="G608" s="1816">
        <f t="shared" si="52"/>
        <v>2953</v>
      </c>
    </row>
    <row r="609" spans="1:7" ht="15.75">
      <c r="A609" s="1961">
        <f t="shared" si="53"/>
        <v>27275</v>
      </c>
      <c r="B609" s="1815">
        <v>27250</v>
      </c>
      <c r="C609" s="1815">
        <v>27300</v>
      </c>
      <c r="D609" s="1816">
        <f t="shared" si="49"/>
        <v>3053</v>
      </c>
      <c r="E609" s="1816">
        <f t="shared" si="50"/>
        <v>2833</v>
      </c>
      <c r="F609" s="1816">
        <f t="shared" si="51"/>
        <v>3053</v>
      </c>
      <c r="G609" s="1816">
        <f t="shared" si="52"/>
        <v>2959</v>
      </c>
    </row>
    <row r="610" spans="1:7" ht="15.75">
      <c r="A610" s="1961">
        <f t="shared" si="53"/>
        <v>27325</v>
      </c>
      <c r="B610" s="1815">
        <v>27300</v>
      </c>
      <c r="C610" s="1815">
        <v>27350</v>
      </c>
      <c r="D610" s="1816">
        <f t="shared" si="49"/>
        <v>3059</v>
      </c>
      <c r="E610" s="1816">
        <f t="shared" si="50"/>
        <v>2839</v>
      </c>
      <c r="F610" s="1816">
        <f t="shared" si="51"/>
        <v>3059</v>
      </c>
      <c r="G610" s="1816">
        <f t="shared" si="52"/>
        <v>2965</v>
      </c>
    </row>
    <row r="611" spans="1:7" ht="15.75">
      <c r="A611" s="1961">
        <f t="shared" si="53"/>
        <v>27375</v>
      </c>
      <c r="B611" s="1815">
        <v>27350</v>
      </c>
      <c r="C611" s="1815">
        <v>27400</v>
      </c>
      <c r="D611" s="1816">
        <f t="shared" si="49"/>
        <v>3065</v>
      </c>
      <c r="E611" s="1816">
        <f t="shared" si="50"/>
        <v>2845</v>
      </c>
      <c r="F611" s="1816">
        <f t="shared" si="51"/>
        <v>3065</v>
      </c>
      <c r="G611" s="1816">
        <f t="shared" si="52"/>
        <v>2971</v>
      </c>
    </row>
    <row r="612" spans="1:7" ht="15.75">
      <c r="A612" s="1961">
        <f t="shared" si="53"/>
        <v>27425</v>
      </c>
      <c r="B612" s="1815">
        <v>27400</v>
      </c>
      <c r="C612" s="1815">
        <v>27450</v>
      </c>
      <c r="D612" s="1816">
        <f t="shared" si="49"/>
        <v>3071</v>
      </c>
      <c r="E612" s="1816">
        <f t="shared" si="50"/>
        <v>2851</v>
      </c>
      <c r="F612" s="1816">
        <f t="shared" si="51"/>
        <v>3071</v>
      </c>
      <c r="G612" s="1816">
        <f t="shared" si="52"/>
        <v>2977</v>
      </c>
    </row>
    <row r="613" spans="1:7" ht="15.75">
      <c r="A613" s="1961">
        <f t="shared" si="53"/>
        <v>27475</v>
      </c>
      <c r="B613" s="1815">
        <v>27450</v>
      </c>
      <c r="C613" s="1815">
        <v>27500</v>
      </c>
      <c r="D613" s="1816">
        <f t="shared" si="49"/>
        <v>3077</v>
      </c>
      <c r="E613" s="1816">
        <f t="shared" si="50"/>
        <v>2857</v>
      </c>
      <c r="F613" s="1816">
        <f t="shared" si="51"/>
        <v>3077</v>
      </c>
      <c r="G613" s="1816">
        <f t="shared" si="52"/>
        <v>2983</v>
      </c>
    </row>
    <row r="614" spans="1:7" ht="15.75">
      <c r="A614" s="1961">
        <f t="shared" si="53"/>
        <v>27525</v>
      </c>
      <c r="B614" s="1815">
        <v>27500</v>
      </c>
      <c r="C614" s="1815">
        <v>27550</v>
      </c>
      <c r="D614" s="1816">
        <f t="shared" si="49"/>
        <v>3083</v>
      </c>
      <c r="E614" s="1816">
        <f t="shared" si="50"/>
        <v>2863</v>
      </c>
      <c r="F614" s="1816">
        <f t="shared" si="51"/>
        <v>3083</v>
      </c>
      <c r="G614" s="1816">
        <f t="shared" si="52"/>
        <v>2989</v>
      </c>
    </row>
    <row r="615" spans="1:7" ht="15.75">
      <c r="A615" s="1961">
        <f t="shared" si="53"/>
        <v>27575</v>
      </c>
      <c r="B615" s="1815">
        <v>27550</v>
      </c>
      <c r="C615" s="1815">
        <v>27600</v>
      </c>
      <c r="D615" s="1816">
        <f t="shared" si="49"/>
        <v>3089</v>
      </c>
      <c r="E615" s="1816">
        <f t="shared" si="50"/>
        <v>2869</v>
      </c>
      <c r="F615" s="1816">
        <f t="shared" si="51"/>
        <v>3089</v>
      </c>
      <c r="G615" s="1816">
        <f t="shared" si="52"/>
        <v>2995</v>
      </c>
    </row>
    <row r="616" spans="1:7" ht="15.75">
      <c r="A616" s="1961">
        <f t="shared" si="53"/>
        <v>27625</v>
      </c>
      <c r="B616" s="1815">
        <v>27600</v>
      </c>
      <c r="C616" s="1815">
        <v>27650</v>
      </c>
      <c r="D616" s="1816">
        <f t="shared" si="49"/>
        <v>3095</v>
      </c>
      <c r="E616" s="1816">
        <f t="shared" si="50"/>
        <v>2875</v>
      </c>
      <c r="F616" s="1816">
        <f t="shared" si="51"/>
        <v>3095</v>
      </c>
      <c r="G616" s="1816">
        <f t="shared" si="52"/>
        <v>3001</v>
      </c>
    </row>
    <row r="617" spans="1:7" ht="15.75">
      <c r="A617" s="1961">
        <f t="shared" si="53"/>
        <v>27675</v>
      </c>
      <c r="B617" s="1815">
        <v>27650</v>
      </c>
      <c r="C617" s="1815">
        <v>27700</v>
      </c>
      <c r="D617" s="1816">
        <f t="shared" si="49"/>
        <v>3101</v>
      </c>
      <c r="E617" s="1816">
        <f t="shared" si="50"/>
        <v>2881</v>
      </c>
      <c r="F617" s="1816">
        <f t="shared" si="51"/>
        <v>3101</v>
      </c>
      <c r="G617" s="1816">
        <f t="shared" si="52"/>
        <v>3007</v>
      </c>
    </row>
    <row r="618" spans="1:7" ht="15.75">
      <c r="A618" s="1961">
        <f t="shared" si="53"/>
        <v>27725</v>
      </c>
      <c r="B618" s="1815">
        <v>27700</v>
      </c>
      <c r="C618" s="1815">
        <v>27750</v>
      </c>
      <c r="D618" s="1816">
        <f t="shared" si="49"/>
        <v>3107</v>
      </c>
      <c r="E618" s="1816">
        <f t="shared" si="50"/>
        <v>2887</v>
      </c>
      <c r="F618" s="1816">
        <f t="shared" si="51"/>
        <v>3107</v>
      </c>
      <c r="G618" s="1816">
        <f t="shared" si="52"/>
        <v>3013</v>
      </c>
    </row>
    <row r="619" spans="1:7" ht="15.75">
      <c r="A619" s="1961">
        <f t="shared" si="53"/>
        <v>27775</v>
      </c>
      <c r="B619" s="1815">
        <v>27750</v>
      </c>
      <c r="C619" s="1815">
        <v>27800</v>
      </c>
      <c r="D619" s="1816">
        <f t="shared" si="49"/>
        <v>3113</v>
      </c>
      <c r="E619" s="1816">
        <f t="shared" si="50"/>
        <v>2893</v>
      </c>
      <c r="F619" s="1816">
        <f t="shared" si="51"/>
        <v>3113</v>
      </c>
      <c r="G619" s="1816">
        <f t="shared" si="52"/>
        <v>3019</v>
      </c>
    </row>
    <row r="620" spans="1:7" ht="15.75">
      <c r="A620" s="1961">
        <f t="shared" si="53"/>
        <v>27825</v>
      </c>
      <c r="B620" s="1815">
        <v>27800</v>
      </c>
      <c r="C620" s="1815">
        <v>27850</v>
      </c>
      <c r="D620" s="1816">
        <f t="shared" si="49"/>
        <v>3119</v>
      </c>
      <c r="E620" s="1816">
        <f t="shared" si="50"/>
        <v>2899</v>
      </c>
      <c r="F620" s="1816">
        <f t="shared" si="51"/>
        <v>3119</v>
      </c>
      <c r="G620" s="1816">
        <f t="shared" si="52"/>
        <v>3025</v>
      </c>
    </row>
    <row r="621" spans="1:7" ht="15.75">
      <c r="A621" s="1961">
        <f t="shared" si="53"/>
        <v>27875</v>
      </c>
      <c r="B621" s="1815">
        <v>27850</v>
      </c>
      <c r="C621" s="1815">
        <v>27900</v>
      </c>
      <c r="D621" s="1816">
        <f t="shared" si="49"/>
        <v>3125</v>
      </c>
      <c r="E621" s="1816">
        <f t="shared" si="50"/>
        <v>2905</v>
      </c>
      <c r="F621" s="1816">
        <f t="shared" si="51"/>
        <v>3125</v>
      </c>
      <c r="G621" s="1816">
        <f t="shared" si="52"/>
        <v>3031</v>
      </c>
    </row>
    <row r="622" spans="1:7" ht="15.75">
      <c r="A622" s="1961">
        <f t="shared" si="53"/>
        <v>27925</v>
      </c>
      <c r="B622" s="1815">
        <v>27900</v>
      </c>
      <c r="C622" s="1815">
        <v>27950</v>
      </c>
      <c r="D622" s="1816">
        <f t="shared" si="49"/>
        <v>3131</v>
      </c>
      <c r="E622" s="1816">
        <f t="shared" si="50"/>
        <v>2911</v>
      </c>
      <c r="F622" s="1816">
        <f t="shared" si="51"/>
        <v>3131</v>
      </c>
      <c r="G622" s="1816">
        <f t="shared" si="52"/>
        <v>3037</v>
      </c>
    </row>
    <row r="623" spans="1:7" ht="15.75">
      <c r="A623" s="1961">
        <f t="shared" si="53"/>
        <v>27975</v>
      </c>
      <c r="B623" s="1815">
        <v>27950</v>
      </c>
      <c r="C623" s="1815">
        <v>28000</v>
      </c>
      <c r="D623" s="1816">
        <f t="shared" si="49"/>
        <v>3137</v>
      </c>
      <c r="E623" s="1816">
        <f t="shared" si="50"/>
        <v>2917</v>
      </c>
      <c r="F623" s="1816">
        <f t="shared" si="51"/>
        <v>3137</v>
      </c>
      <c r="G623" s="1816">
        <f t="shared" si="52"/>
        <v>3043</v>
      </c>
    </row>
    <row r="624" spans="1:7" ht="15.75">
      <c r="A624" s="1961">
        <f t="shared" si="53"/>
        <v>28025</v>
      </c>
      <c r="B624" s="1815">
        <v>28000</v>
      </c>
      <c r="C624" s="1815">
        <v>28050</v>
      </c>
      <c r="D624" s="1816">
        <f t="shared" si="49"/>
        <v>3143</v>
      </c>
      <c r="E624" s="1816">
        <f t="shared" si="50"/>
        <v>2923</v>
      </c>
      <c r="F624" s="1816">
        <f t="shared" si="51"/>
        <v>3143</v>
      </c>
      <c r="G624" s="1816">
        <f t="shared" si="52"/>
        <v>3049</v>
      </c>
    </row>
    <row r="625" spans="1:7" ht="15.75">
      <c r="A625" s="1961">
        <f t="shared" si="53"/>
        <v>28075</v>
      </c>
      <c r="B625" s="1815">
        <v>28050</v>
      </c>
      <c r="C625" s="1815">
        <v>28100</v>
      </c>
      <c r="D625" s="1816">
        <f t="shared" si="49"/>
        <v>3149</v>
      </c>
      <c r="E625" s="1816">
        <f t="shared" si="50"/>
        <v>2929</v>
      </c>
      <c r="F625" s="1816">
        <f t="shared" si="51"/>
        <v>3149</v>
      </c>
      <c r="G625" s="1816">
        <f t="shared" si="52"/>
        <v>3055</v>
      </c>
    </row>
    <row r="626" spans="1:7" ht="15.75">
      <c r="A626" s="1961">
        <f t="shared" si="53"/>
        <v>28125</v>
      </c>
      <c r="B626" s="1815">
        <v>28100</v>
      </c>
      <c r="C626" s="1815">
        <v>28150</v>
      </c>
      <c r="D626" s="1816">
        <f t="shared" si="49"/>
        <v>3155</v>
      </c>
      <c r="E626" s="1816">
        <f t="shared" si="50"/>
        <v>2935</v>
      </c>
      <c r="F626" s="1816">
        <f t="shared" si="51"/>
        <v>3155</v>
      </c>
      <c r="G626" s="1816">
        <f t="shared" si="52"/>
        <v>3061</v>
      </c>
    </row>
    <row r="627" spans="1:7" ht="15.75">
      <c r="A627" s="1961">
        <f t="shared" si="53"/>
        <v>28175</v>
      </c>
      <c r="B627" s="1815">
        <v>28150</v>
      </c>
      <c r="C627" s="1815">
        <v>28200</v>
      </c>
      <c r="D627" s="1816">
        <f t="shared" si="49"/>
        <v>3161</v>
      </c>
      <c r="E627" s="1816">
        <f t="shared" si="50"/>
        <v>2941</v>
      </c>
      <c r="F627" s="1816">
        <f t="shared" si="51"/>
        <v>3161</v>
      </c>
      <c r="G627" s="1816">
        <f t="shared" si="52"/>
        <v>3067</v>
      </c>
    </row>
    <row r="628" spans="1:7" ht="15.75">
      <c r="A628" s="1961">
        <f t="shared" si="53"/>
        <v>28225</v>
      </c>
      <c r="B628" s="1815">
        <v>28200</v>
      </c>
      <c r="C628" s="1815">
        <v>28250</v>
      </c>
      <c r="D628" s="1816">
        <f t="shared" si="49"/>
        <v>3167</v>
      </c>
      <c r="E628" s="1816">
        <f t="shared" si="50"/>
        <v>2947</v>
      </c>
      <c r="F628" s="1816">
        <f t="shared" si="51"/>
        <v>3167</v>
      </c>
      <c r="G628" s="1816">
        <f t="shared" si="52"/>
        <v>3073</v>
      </c>
    </row>
    <row r="629" spans="1:7" ht="15.75">
      <c r="A629" s="1961">
        <f t="shared" si="53"/>
        <v>28275</v>
      </c>
      <c r="B629" s="1815">
        <v>28250</v>
      </c>
      <c r="C629" s="1815">
        <v>28300</v>
      </c>
      <c r="D629" s="1816">
        <f t="shared" si="49"/>
        <v>3173</v>
      </c>
      <c r="E629" s="1816">
        <f t="shared" si="50"/>
        <v>2953</v>
      </c>
      <c r="F629" s="1816">
        <f t="shared" si="51"/>
        <v>3173</v>
      </c>
      <c r="G629" s="1816">
        <f t="shared" si="52"/>
        <v>3079</v>
      </c>
    </row>
    <row r="630" spans="1:7" ht="15.75">
      <c r="A630" s="1961">
        <f t="shared" si="53"/>
        <v>28325</v>
      </c>
      <c r="B630" s="1815">
        <v>28300</v>
      </c>
      <c r="C630" s="1815">
        <v>28350</v>
      </c>
      <c r="D630" s="1816">
        <f t="shared" si="49"/>
        <v>3179</v>
      </c>
      <c r="E630" s="1816">
        <f t="shared" si="50"/>
        <v>2959</v>
      </c>
      <c r="F630" s="1816">
        <f t="shared" si="51"/>
        <v>3179</v>
      </c>
      <c r="G630" s="1816">
        <f t="shared" si="52"/>
        <v>3085</v>
      </c>
    </row>
    <row r="631" spans="1:7" ht="15.75">
      <c r="A631" s="1961">
        <f t="shared" si="53"/>
        <v>28375</v>
      </c>
      <c r="B631" s="1815">
        <v>28350</v>
      </c>
      <c r="C631" s="1815">
        <v>28400</v>
      </c>
      <c r="D631" s="1816">
        <f t="shared" si="49"/>
        <v>3185</v>
      </c>
      <c r="E631" s="1816">
        <f t="shared" si="50"/>
        <v>2965</v>
      </c>
      <c r="F631" s="1816">
        <f t="shared" si="51"/>
        <v>3185</v>
      </c>
      <c r="G631" s="1816">
        <f t="shared" si="52"/>
        <v>3091</v>
      </c>
    </row>
    <row r="632" spans="1:7" ht="15.75">
      <c r="A632" s="1961">
        <f t="shared" si="53"/>
        <v>28425</v>
      </c>
      <c r="B632" s="1815">
        <v>28400</v>
      </c>
      <c r="C632" s="1815">
        <v>28450</v>
      </c>
      <c r="D632" s="1816">
        <f t="shared" si="49"/>
        <v>3191</v>
      </c>
      <c r="E632" s="1816">
        <f t="shared" si="50"/>
        <v>2971</v>
      </c>
      <c r="F632" s="1816">
        <f t="shared" si="51"/>
        <v>3191</v>
      </c>
      <c r="G632" s="1816">
        <f t="shared" si="52"/>
        <v>3097</v>
      </c>
    </row>
    <row r="633" spans="1:7" ht="15.75">
      <c r="A633" s="1961">
        <f t="shared" si="53"/>
        <v>28475</v>
      </c>
      <c r="B633" s="1815">
        <v>28450</v>
      </c>
      <c r="C633" s="1815">
        <v>28500</v>
      </c>
      <c r="D633" s="1816">
        <f t="shared" si="49"/>
        <v>3197</v>
      </c>
      <c r="E633" s="1816">
        <f t="shared" si="50"/>
        <v>2977</v>
      </c>
      <c r="F633" s="1816">
        <f t="shared" si="51"/>
        <v>3197</v>
      </c>
      <c r="G633" s="1816">
        <f t="shared" si="52"/>
        <v>3103</v>
      </c>
    </row>
    <row r="634" spans="1:7" ht="15.75">
      <c r="A634" s="1961">
        <f t="shared" si="53"/>
        <v>28525</v>
      </c>
      <c r="B634" s="1815">
        <v>28500</v>
      </c>
      <c r="C634" s="1815">
        <v>28550</v>
      </c>
      <c r="D634" s="1816">
        <f t="shared" si="49"/>
        <v>3203</v>
      </c>
      <c r="E634" s="1816">
        <f t="shared" si="50"/>
        <v>2983</v>
      </c>
      <c r="F634" s="1816">
        <f t="shared" si="51"/>
        <v>3203</v>
      </c>
      <c r="G634" s="1816">
        <f t="shared" si="52"/>
        <v>3109</v>
      </c>
    </row>
    <row r="635" spans="1:7" ht="15.75">
      <c r="A635" s="1961">
        <f t="shared" si="53"/>
        <v>28575</v>
      </c>
      <c r="B635" s="1815">
        <v>28550</v>
      </c>
      <c r="C635" s="1815">
        <v>28600</v>
      </c>
      <c r="D635" s="1816">
        <f t="shared" si="49"/>
        <v>3209</v>
      </c>
      <c r="E635" s="1816">
        <f t="shared" si="50"/>
        <v>2989</v>
      </c>
      <c r="F635" s="1816">
        <f t="shared" si="51"/>
        <v>3209</v>
      </c>
      <c r="G635" s="1816">
        <f t="shared" si="52"/>
        <v>3115</v>
      </c>
    </row>
    <row r="636" spans="1:7" ht="15.75">
      <c r="A636" s="1961">
        <f t="shared" si="53"/>
        <v>28625</v>
      </c>
      <c r="B636" s="1815">
        <v>28600</v>
      </c>
      <c r="C636" s="1815">
        <v>28650</v>
      </c>
      <c r="D636" s="1816">
        <f t="shared" si="49"/>
        <v>3215</v>
      </c>
      <c r="E636" s="1816">
        <f t="shared" si="50"/>
        <v>2995</v>
      </c>
      <c r="F636" s="1816">
        <f t="shared" si="51"/>
        <v>3215</v>
      </c>
      <c r="G636" s="1816">
        <f t="shared" si="52"/>
        <v>3121</v>
      </c>
    </row>
    <row r="637" spans="1:7" ht="15.75">
      <c r="A637" s="1961">
        <f t="shared" si="53"/>
        <v>28675</v>
      </c>
      <c r="B637" s="1815">
        <v>28650</v>
      </c>
      <c r="C637" s="1815">
        <v>28700</v>
      </c>
      <c r="D637" s="1816">
        <f t="shared" si="49"/>
        <v>3221</v>
      </c>
      <c r="E637" s="1816">
        <f t="shared" si="50"/>
        <v>3001</v>
      </c>
      <c r="F637" s="1816">
        <f t="shared" si="51"/>
        <v>3221</v>
      </c>
      <c r="G637" s="1816">
        <f t="shared" si="52"/>
        <v>3127</v>
      </c>
    </row>
    <row r="638" spans="1:7" ht="15.75">
      <c r="A638" s="1961">
        <f t="shared" si="53"/>
        <v>28725</v>
      </c>
      <c r="B638" s="1815">
        <v>28700</v>
      </c>
      <c r="C638" s="1815">
        <v>28750</v>
      </c>
      <c r="D638" s="1816">
        <f t="shared" si="49"/>
        <v>3227</v>
      </c>
      <c r="E638" s="1816">
        <f t="shared" si="50"/>
        <v>3007</v>
      </c>
      <c r="F638" s="1816">
        <f t="shared" si="51"/>
        <v>3227</v>
      </c>
      <c r="G638" s="1816">
        <f t="shared" si="52"/>
        <v>3133</v>
      </c>
    </row>
    <row r="639" spans="1:7" ht="15.75">
      <c r="A639" s="1961">
        <f t="shared" si="53"/>
        <v>28775</v>
      </c>
      <c r="B639" s="1815">
        <v>28750</v>
      </c>
      <c r="C639" s="1815">
        <v>28800</v>
      </c>
      <c r="D639" s="1816">
        <f t="shared" si="49"/>
        <v>3233</v>
      </c>
      <c r="E639" s="1816">
        <f t="shared" si="50"/>
        <v>3013</v>
      </c>
      <c r="F639" s="1816">
        <f t="shared" si="51"/>
        <v>3233</v>
      </c>
      <c r="G639" s="1816">
        <f t="shared" si="52"/>
        <v>3139</v>
      </c>
    </row>
    <row r="640" spans="1:7" ht="15.75">
      <c r="A640" s="1961">
        <f t="shared" si="53"/>
        <v>28825</v>
      </c>
      <c r="B640" s="1815">
        <v>28800</v>
      </c>
      <c r="C640" s="1815">
        <v>28850</v>
      </c>
      <c r="D640" s="1816">
        <f t="shared" si="49"/>
        <v>3239</v>
      </c>
      <c r="E640" s="1816">
        <f t="shared" si="50"/>
        <v>3019</v>
      </c>
      <c r="F640" s="1816">
        <f t="shared" si="51"/>
        <v>3239</v>
      </c>
      <c r="G640" s="1816">
        <f t="shared" si="52"/>
        <v>3145</v>
      </c>
    </row>
    <row r="641" spans="1:7" ht="15.75">
      <c r="A641" s="1961">
        <f t="shared" si="53"/>
        <v>28875</v>
      </c>
      <c r="B641" s="1815">
        <v>28850</v>
      </c>
      <c r="C641" s="1815">
        <v>28900</v>
      </c>
      <c r="D641" s="1816">
        <f t="shared" si="49"/>
        <v>3245</v>
      </c>
      <c r="E641" s="1816">
        <f t="shared" si="50"/>
        <v>3025</v>
      </c>
      <c r="F641" s="1816">
        <f t="shared" si="51"/>
        <v>3245</v>
      </c>
      <c r="G641" s="1816">
        <f t="shared" si="52"/>
        <v>3151</v>
      </c>
    </row>
    <row r="642" spans="1:7" ht="15.75">
      <c r="A642" s="1961">
        <f t="shared" si="53"/>
        <v>28925</v>
      </c>
      <c r="B642" s="1815">
        <v>28900</v>
      </c>
      <c r="C642" s="1815">
        <v>28950</v>
      </c>
      <c r="D642" s="1816">
        <f t="shared" ref="D642:D705" si="54">IF($A642&gt;BOTT_A4,ROUND(BASE_A4+RATE_A4*($A642-BOTT_A4),0),IF($A642&gt;BOTT_A3,ROUND(BASE_A3+RATE_A3*($A642-BOTT_A3),0),IF($A642&gt;BOTT_A2,ROUND(BASE_A2+RATE_A2*($A642-BOTT_A2),0),ROUND(RATE_A1*$A642,0))))</f>
        <v>3251</v>
      </c>
      <c r="E642" s="1816">
        <f t="shared" ref="E642:E705" si="55">IF($A642&gt;BOTT_B4,ROUND(BASE_B4+RATE_B4*($A642-BOTT_B4),0),IF($A642&gt;BOTT_B3,ROUND(BASE_B3+RATE_B3*($A642-BOTT_B3),0),IF($A642&gt;BOTT_B2,ROUND(BASE_B2+RATE_B2*($A642-BOTT_B2),0),ROUND(RATE_B1*$A642,0))))</f>
        <v>3031</v>
      </c>
      <c r="F642" s="1816">
        <f t="shared" ref="F642:F705" si="56">IF($A642&gt;BOTT_C4,ROUND(BASE_C4+RATE_C4*($A642-BOTT_C4),0),IF($A642&gt;BOTT_C3,ROUND(BASE_C3+RATE_C3*($A642-BOTT_C3),0),IF($A642&gt;BOTT_C2,ROUND(BASE_C2+RATE_C2*($A642-BOTT_C2),0),ROUND(RATE_C1*$A642,0))))</f>
        <v>3251</v>
      </c>
      <c r="G642" s="1816">
        <f t="shared" ref="G642:G705" si="57">IF($A642&gt;BOTT_D4,ROUND(BASE_D4+RATE_D4*($A642-BOTT_D4),0),IF($A642&gt;BOTT_D3,ROUND(BASE_D3+RATE_D3*($A642-BOTT_D3),0),IF($A642&gt;BOTT_D2,ROUND(BASE_D2+RATE_D2*($A642-BOTT_D2),0),ROUND(RATE_D1*$A642,0))))</f>
        <v>3157</v>
      </c>
    </row>
    <row r="643" spans="1:7" ht="15.75">
      <c r="A643" s="1961">
        <f t="shared" ref="A643:A706" si="58">AVERAGE(B643,C643)</f>
        <v>28975</v>
      </c>
      <c r="B643" s="1815">
        <v>28950</v>
      </c>
      <c r="C643" s="1815">
        <v>29000</v>
      </c>
      <c r="D643" s="1816">
        <f t="shared" si="54"/>
        <v>3257</v>
      </c>
      <c r="E643" s="1816">
        <f t="shared" si="55"/>
        <v>3037</v>
      </c>
      <c r="F643" s="1816">
        <f t="shared" si="56"/>
        <v>3257</v>
      </c>
      <c r="G643" s="1816">
        <f t="shared" si="57"/>
        <v>3163</v>
      </c>
    </row>
    <row r="644" spans="1:7" ht="15.75">
      <c r="A644" s="1961">
        <f t="shared" si="58"/>
        <v>29025</v>
      </c>
      <c r="B644" s="1815">
        <v>29000</v>
      </c>
      <c r="C644" s="1815">
        <v>29050</v>
      </c>
      <c r="D644" s="1816">
        <f t="shared" si="54"/>
        <v>3263</v>
      </c>
      <c r="E644" s="1816">
        <f t="shared" si="55"/>
        <v>3043</v>
      </c>
      <c r="F644" s="1816">
        <f t="shared" si="56"/>
        <v>3263</v>
      </c>
      <c r="G644" s="1816">
        <f t="shared" si="57"/>
        <v>3169</v>
      </c>
    </row>
    <row r="645" spans="1:7" ht="15.75">
      <c r="A645" s="1961">
        <f t="shared" si="58"/>
        <v>29075</v>
      </c>
      <c r="B645" s="1815">
        <v>29050</v>
      </c>
      <c r="C645" s="1815">
        <v>29100</v>
      </c>
      <c r="D645" s="1816">
        <f t="shared" si="54"/>
        <v>3269</v>
      </c>
      <c r="E645" s="1816">
        <f t="shared" si="55"/>
        <v>3049</v>
      </c>
      <c r="F645" s="1816">
        <f t="shared" si="56"/>
        <v>3269</v>
      </c>
      <c r="G645" s="1816">
        <f t="shared" si="57"/>
        <v>3175</v>
      </c>
    </row>
    <row r="646" spans="1:7" ht="15.75">
      <c r="A646" s="1961">
        <f t="shared" si="58"/>
        <v>29125</v>
      </c>
      <c r="B646" s="1815">
        <v>29100</v>
      </c>
      <c r="C646" s="1815">
        <v>29150</v>
      </c>
      <c r="D646" s="1816">
        <f t="shared" si="54"/>
        <v>3275</v>
      </c>
      <c r="E646" s="1816">
        <f t="shared" si="55"/>
        <v>3055</v>
      </c>
      <c r="F646" s="1816">
        <f t="shared" si="56"/>
        <v>3275</v>
      </c>
      <c r="G646" s="1816">
        <f t="shared" si="57"/>
        <v>3181</v>
      </c>
    </row>
    <row r="647" spans="1:7" ht="15.75">
      <c r="A647" s="1961">
        <f t="shared" si="58"/>
        <v>29175</v>
      </c>
      <c r="B647" s="1815">
        <v>29150</v>
      </c>
      <c r="C647" s="1815">
        <v>29200</v>
      </c>
      <c r="D647" s="1816">
        <f t="shared" si="54"/>
        <v>3281</v>
      </c>
      <c r="E647" s="1816">
        <f t="shared" si="55"/>
        <v>3061</v>
      </c>
      <c r="F647" s="1816">
        <f t="shared" si="56"/>
        <v>3281</v>
      </c>
      <c r="G647" s="1816">
        <f t="shared" si="57"/>
        <v>3187</v>
      </c>
    </row>
    <row r="648" spans="1:7" ht="15.75">
      <c r="A648" s="1961">
        <f t="shared" si="58"/>
        <v>29225</v>
      </c>
      <c r="B648" s="1815">
        <v>29200</v>
      </c>
      <c r="C648" s="1815">
        <v>29250</v>
      </c>
      <c r="D648" s="1816">
        <f t="shared" si="54"/>
        <v>3287</v>
      </c>
      <c r="E648" s="1816">
        <f t="shared" si="55"/>
        <v>3067</v>
      </c>
      <c r="F648" s="1816">
        <f t="shared" si="56"/>
        <v>3287</v>
      </c>
      <c r="G648" s="1816">
        <f t="shared" si="57"/>
        <v>3193</v>
      </c>
    </row>
    <row r="649" spans="1:7" ht="15.75">
      <c r="A649" s="1961">
        <f t="shared" si="58"/>
        <v>29275</v>
      </c>
      <c r="B649" s="1815">
        <v>29250</v>
      </c>
      <c r="C649" s="1815">
        <v>29300</v>
      </c>
      <c r="D649" s="1816">
        <f t="shared" si="54"/>
        <v>3293</v>
      </c>
      <c r="E649" s="1816">
        <f t="shared" si="55"/>
        <v>3073</v>
      </c>
      <c r="F649" s="1816">
        <f t="shared" si="56"/>
        <v>3293</v>
      </c>
      <c r="G649" s="1816">
        <f t="shared" si="57"/>
        <v>3199</v>
      </c>
    </row>
    <row r="650" spans="1:7" ht="15.75">
      <c r="A650" s="1961">
        <f t="shared" si="58"/>
        <v>29325</v>
      </c>
      <c r="B650" s="1815">
        <v>29300</v>
      </c>
      <c r="C650" s="1815">
        <v>29350</v>
      </c>
      <c r="D650" s="1816">
        <f t="shared" si="54"/>
        <v>3299</v>
      </c>
      <c r="E650" s="1816">
        <f t="shared" si="55"/>
        <v>3079</v>
      </c>
      <c r="F650" s="1816">
        <f t="shared" si="56"/>
        <v>3299</v>
      </c>
      <c r="G650" s="1816">
        <f t="shared" si="57"/>
        <v>3205</v>
      </c>
    </row>
    <row r="651" spans="1:7" ht="15.75">
      <c r="A651" s="1961">
        <f t="shared" si="58"/>
        <v>29375</v>
      </c>
      <c r="B651" s="1815">
        <v>29350</v>
      </c>
      <c r="C651" s="1815">
        <v>29400</v>
      </c>
      <c r="D651" s="1816">
        <f t="shared" si="54"/>
        <v>3305</v>
      </c>
      <c r="E651" s="1816">
        <f t="shared" si="55"/>
        <v>3085</v>
      </c>
      <c r="F651" s="1816">
        <f t="shared" si="56"/>
        <v>3305</v>
      </c>
      <c r="G651" s="1816">
        <f t="shared" si="57"/>
        <v>3211</v>
      </c>
    </row>
    <row r="652" spans="1:7" ht="15.75">
      <c r="A652" s="1961">
        <f t="shared" si="58"/>
        <v>29425</v>
      </c>
      <c r="B652" s="1815">
        <v>29400</v>
      </c>
      <c r="C652" s="1815">
        <v>29450</v>
      </c>
      <c r="D652" s="1816">
        <f t="shared" si="54"/>
        <v>3311</v>
      </c>
      <c r="E652" s="1816">
        <f t="shared" si="55"/>
        <v>3091</v>
      </c>
      <c r="F652" s="1816">
        <f t="shared" si="56"/>
        <v>3311</v>
      </c>
      <c r="G652" s="1816">
        <f t="shared" si="57"/>
        <v>3217</v>
      </c>
    </row>
    <row r="653" spans="1:7" ht="15.75">
      <c r="A653" s="1961">
        <f t="shared" si="58"/>
        <v>29475</v>
      </c>
      <c r="B653" s="1815">
        <v>29450</v>
      </c>
      <c r="C653" s="1815">
        <v>29500</v>
      </c>
      <c r="D653" s="1816">
        <f t="shared" si="54"/>
        <v>3317</v>
      </c>
      <c r="E653" s="1816">
        <f t="shared" si="55"/>
        <v>3097</v>
      </c>
      <c r="F653" s="1816">
        <f t="shared" si="56"/>
        <v>3317</v>
      </c>
      <c r="G653" s="1816">
        <f t="shared" si="57"/>
        <v>3223</v>
      </c>
    </row>
    <row r="654" spans="1:7" ht="15.75">
      <c r="A654" s="1961">
        <f t="shared" si="58"/>
        <v>29525</v>
      </c>
      <c r="B654" s="1815">
        <v>29500</v>
      </c>
      <c r="C654" s="1815">
        <v>29550</v>
      </c>
      <c r="D654" s="1816">
        <f t="shared" si="54"/>
        <v>3323</v>
      </c>
      <c r="E654" s="1816">
        <f t="shared" si="55"/>
        <v>3103</v>
      </c>
      <c r="F654" s="1816">
        <f t="shared" si="56"/>
        <v>3323</v>
      </c>
      <c r="G654" s="1816">
        <f t="shared" si="57"/>
        <v>3229</v>
      </c>
    </row>
    <row r="655" spans="1:7" ht="15.75">
      <c r="A655" s="1961">
        <f t="shared" si="58"/>
        <v>29575</v>
      </c>
      <c r="B655" s="1815">
        <v>29550</v>
      </c>
      <c r="C655" s="1815">
        <v>29600</v>
      </c>
      <c r="D655" s="1816">
        <f t="shared" si="54"/>
        <v>3329</v>
      </c>
      <c r="E655" s="1816">
        <f t="shared" si="55"/>
        <v>3109</v>
      </c>
      <c r="F655" s="1816">
        <f t="shared" si="56"/>
        <v>3329</v>
      </c>
      <c r="G655" s="1816">
        <f t="shared" si="57"/>
        <v>3235</v>
      </c>
    </row>
    <row r="656" spans="1:7" ht="15.75">
      <c r="A656" s="1961">
        <f t="shared" si="58"/>
        <v>29625</v>
      </c>
      <c r="B656" s="1815">
        <v>29600</v>
      </c>
      <c r="C656" s="1815">
        <v>29650</v>
      </c>
      <c r="D656" s="1816">
        <f t="shared" si="54"/>
        <v>3335</v>
      </c>
      <c r="E656" s="1816">
        <f t="shared" si="55"/>
        <v>3115</v>
      </c>
      <c r="F656" s="1816">
        <f t="shared" si="56"/>
        <v>3335</v>
      </c>
      <c r="G656" s="1816">
        <f t="shared" si="57"/>
        <v>3241</v>
      </c>
    </row>
    <row r="657" spans="1:7" ht="15.75">
      <c r="A657" s="1961">
        <f t="shared" si="58"/>
        <v>29675</v>
      </c>
      <c r="B657" s="1815">
        <v>29650</v>
      </c>
      <c r="C657" s="1815">
        <v>29700</v>
      </c>
      <c r="D657" s="1816">
        <f t="shared" si="54"/>
        <v>3341</v>
      </c>
      <c r="E657" s="1816">
        <f t="shared" si="55"/>
        <v>3121</v>
      </c>
      <c r="F657" s="1816">
        <f t="shared" si="56"/>
        <v>3341</v>
      </c>
      <c r="G657" s="1816">
        <f t="shared" si="57"/>
        <v>3247</v>
      </c>
    </row>
    <row r="658" spans="1:7" ht="15.75">
      <c r="A658" s="1961">
        <f t="shared" si="58"/>
        <v>29725</v>
      </c>
      <c r="B658" s="1815">
        <v>29700</v>
      </c>
      <c r="C658" s="1815">
        <v>29750</v>
      </c>
      <c r="D658" s="1816">
        <f t="shared" si="54"/>
        <v>3347</v>
      </c>
      <c r="E658" s="1816">
        <f t="shared" si="55"/>
        <v>3127</v>
      </c>
      <c r="F658" s="1816">
        <f t="shared" si="56"/>
        <v>3347</v>
      </c>
      <c r="G658" s="1816">
        <f t="shared" si="57"/>
        <v>3253</v>
      </c>
    </row>
    <row r="659" spans="1:7" ht="15.75">
      <c r="A659" s="1961">
        <f t="shared" si="58"/>
        <v>29775</v>
      </c>
      <c r="B659" s="1815">
        <v>29750</v>
      </c>
      <c r="C659" s="1815">
        <v>29800</v>
      </c>
      <c r="D659" s="1816">
        <f t="shared" si="54"/>
        <v>3353</v>
      </c>
      <c r="E659" s="1816">
        <f t="shared" si="55"/>
        <v>3133</v>
      </c>
      <c r="F659" s="1816">
        <f t="shared" si="56"/>
        <v>3353</v>
      </c>
      <c r="G659" s="1816">
        <f t="shared" si="57"/>
        <v>3259</v>
      </c>
    </row>
    <row r="660" spans="1:7" ht="15.75">
      <c r="A660" s="1961">
        <f t="shared" si="58"/>
        <v>29825</v>
      </c>
      <c r="B660" s="1815">
        <v>29800</v>
      </c>
      <c r="C660" s="1815">
        <v>29850</v>
      </c>
      <c r="D660" s="1816">
        <f t="shared" si="54"/>
        <v>3359</v>
      </c>
      <c r="E660" s="1816">
        <f t="shared" si="55"/>
        <v>3139</v>
      </c>
      <c r="F660" s="1816">
        <f t="shared" si="56"/>
        <v>3359</v>
      </c>
      <c r="G660" s="1816">
        <f t="shared" si="57"/>
        <v>3265</v>
      </c>
    </row>
    <row r="661" spans="1:7" ht="15.75">
      <c r="A661" s="1961">
        <f t="shared" si="58"/>
        <v>29875</v>
      </c>
      <c r="B661" s="1815">
        <v>29850</v>
      </c>
      <c r="C661" s="1815">
        <v>29900</v>
      </c>
      <c r="D661" s="1816">
        <f t="shared" si="54"/>
        <v>3365</v>
      </c>
      <c r="E661" s="1816">
        <f t="shared" si="55"/>
        <v>3145</v>
      </c>
      <c r="F661" s="1816">
        <f t="shared" si="56"/>
        <v>3365</v>
      </c>
      <c r="G661" s="1816">
        <f t="shared" si="57"/>
        <v>3271</v>
      </c>
    </row>
    <row r="662" spans="1:7" ht="15.75">
      <c r="A662" s="1961">
        <f t="shared" si="58"/>
        <v>29925</v>
      </c>
      <c r="B662" s="1815">
        <v>29900</v>
      </c>
      <c r="C662" s="1815">
        <v>29950</v>
      </c>
      <c r="D662" s="1816">
        <f t="shared" si="54"/>
        <v>3371</v>
      </c>
      <c r="E662" s="1816">
        <f t="shared" si="55"/>
        <v>3151</v>
      </c>
      <c r="F662" s="1816">
        <f t="shared" si="56"/>
        <v>3371</v>
      </c>
      <c r="G662" s="1816">
        <f t="shared" si="57"/>
        <v>3277</v>
      </c>
    </row>
    <row r="663" spans="1:7" ht="15.75">
      <c r="A663" s="1961">
        <f t="shared" si="58"/>
        <v>29975</v>
      </c>
      <c r="B663" s="1815">
        <v>29950</v>
      </c>
      <c r="C663" s="1815">
        <v>30000</v>
      </c>
      <c r="D663" s="1816">
        <f t="shared" si="54"/>
        <v>3377</v>
      </c>
      <c r="E663" s="1816">
        <f t="shared" si="55"/>
        <v>3157</v>
      </c>
      <c r="F663" s="1816">
        <f t="shared" si="56"/>
        <v>3377</v>
      </c>
      <c r="G663" s="1816">
        <f t="shared" si="57"/>
        <v>3283</v>
      </c>
    </row>
    <row r="664" spans="1:7" ht="15.75">
      <c r="A664" s="1961">
        <f t="shared" si="58"/>
        <v>30025</v>
      </c>
      <c r="B664" s="1815">
        <v>30000</v>
      </c>
      <c r="C664" s="1815">
        <v>30050</v>
      </c>
      <c r="D664" s="1816">
        <f t="shared" si="54"/>
        <v>3383</v>
      </c>
      <c r="E664" s="1816">
        <f t="shared" si="55"/>
        <v>3163</v>
      </c>
      <c r="F664" s="1816">
        <f t="shared" si="56"/>
        <v>3383</v>
      </c>
      <c r="G664" s="1816">
        <f t="shared" si="57"/>
        <v>3289</v>
      </c>
    </row>
    <row r="665" spans="1:7" ht="15.75">
      <c r="A665" s="1961">
        <f t="shared" si="58"/>
        <v>30075</v>
      </c>
      <c r="B665" s="1815">
        <v>30050</v>
      </c>
      <c r="C665" s="1815">
        <v>30100</v>
      </c>
      <c r="D665" s="1816">
        <f t="shared" si="54"/>
        <v>3389</v>
      </c>
      <c r="E665" s="1816">
        <f t="shared" si="55"/>
        <v>3169</v>
      </c>
      <c r="F665" s="1816">
        <f t="shared" si="56"/>
        <v>3389</v>
      </c>
      <c r="G665" s="1816">
        <f t="shared" si="57"/>
        <v>3295</v>
      </c>
    </row>
    <row r="666" spans="1:7" ht="15.75">
      <c r="A666" s="1961">
        <f t="shared" si="58"/>
        <v>30125</v>
      </c>
      <c r="B666" s="1815">
        <v>30100</v>
      </c>
      <c r="C666" s="1815">
        <v>30150</v>
      </c>
      <c r="D666" s="1816">
        <f t="shared" si="54"/>
        <v>3395</v>
      </c>
      <c r="E666" s="1816">
        <f t="shared" si="55"/>
        <v>3175</v>
      </c>
      <c r="F666" s="1816">
        <f t="shared" si="56"/>
        <v>3395</v>
      </c>
      <c r="G666" s="1816">
        <f t="shared" si="57"/>
        <v>3301</v>
      </c>
    </row>
    <row r="667" spans="1:7" ht="15.75">
      <c r="A667" s="1961">
        <f t="shared" si="58"/>
        <v>30175</v>
      </c>
      <c r="B667" s="1815">
        <v>30150</v>
      </c>
      <c r="C667" s="1815">
        <v>30200</v>
      </c>
      <c r="D667" s="1816">
        <f t="shared" si="54"/>
        <v>3401</v>
      </c>
      <c r="E667" s="1816">
        <f t="shared" si="55"/>
        <v>3181</v>
      </c>
      <c r="F667" s="1816">
        <f t="shared" si="56"/>
        <v>3401</v>
      </c>
      <c r="G667" s="1816">
        <f t="shared" si="57"/>
        <v>3307</v>
      </c>
    </row>
    <row r="668" spans="1:7" ht="15.75">
      <c r="A668" s="1961">
        <f t="shared" si="58"/>
        <v>30225</v>
      </c>
      <c r="B668" s="1815">
        <v>30200</v>
      </c>
      <c r="C668" s="1815">
        <v>30250</v>
      </c>
      <c r="D668" s="1816">
        <f t="shared" si="54"/>
        <v>3407</v>
      </c>
      <c r="E668" s="1816">
        <f t="shared" si="55"/>
        <v>3187</v>
      </c>
      <c r="F668" s="1816">
        <f t="shared" si="56"/>
        <v>3407</v>
      </c>
      <c r="G668" s="1816">
        <f t="shared" si="57"/>
        <v>3313</v>
      </c>
    </row>
    <row r="669" spans="1:7" ht="15.75">
      <c r="A669" s="1961">
        <f t="shared" si="58"/>
        <v>30275</v>
      </c>
      <c r="B669" s="1815">
        <v>30250</v>
      </c>
      <c r="C669" s="1815">
        <v>30300</v>
      </c>
      <c r="D669" s="1816">
        <f t="shared" si="54"/>
        <v>3413</v>
      </c>
      <c r="E669" s="1816">
        <f t="shared" si="55"/>
        <v>3193</v>
      </c>
      <c r="F669" s="1816">
        <f t="shared" si="56"/>
        <v>3413</v>
      </c>
      <c r="G669" s="1816">
        <f t="shared" si="57"/>
        <v>3319</v>
      </c>
    </row>
    <row r="670" spans="1:7" ht="15.75">
      <c r="A670" s="1961">
        <f t="shared" si="58"/>
        <v>30325</v>
      </c>
      <c r="B670" s="1815">
        <v>30300</v>
      </c>
      <c r="C670" s="1815">
        <v>30350</v>
      </c>
      <c r="D670" s="1816">
        <f t="shared" si="54"/>
        <v>3419</v>
      </c>
      <c r="E670" s="1816">
        <f t="shared" si="55"/>
        <v>3199</v>
      </c>
      <c r="F670" s="1816">
        <f t="shared" si="56"/>
        <v>3419</v>
      </c>
      <c r="G670" s="1816">
        <f t="shared" si="57"/>
        <v>3325</v>
      </c>
    </row>
    <row r="671" spans="1:7" ht="15.75">
      <c r="A671" s="1961">
        <f t="shared" si="58"/>
        <v>30375</v>
      </c>
      <c r="B671" s="1815">
        <v>30350</v>
      </c>
      <c r="C671" s="1815">
        <v>30400</v>
      </c>
      <c r="D671" s="1816">
        <f t="shared" si="54"/>
        <v>3425</v>
      </c>
      <c r="E671" s="1816">
        <f t="shared" si="55"/>
        <v>3205</v>
      </c>
      <c r="F671" s="1816">
        <f t="shared" si="56"/>
        <v>3425</v>
      </c>
      <c r="G671" s="1816">
        <f t="shared" si="57"/>
        <v>3331</v>
      </c>
    </row>
    <row r="672" spans="1:7" ht="15.75">
      <c r="A672" s="1961">
        <f t="shared" si="58"/>
        <v>30425</v>
      </c>
      <c r="B672" s="1815">
        <v>30400</v>
      </c>
      <c r="C672" s="1815">
        <v>30450</v>
      </c>
      <c r="D672" s="1816">
        <f t="shared" si="54"/>
        <v>3431</v>
      </c>
      <c r="E672" s="1816">
        <f t="shared" si="55"/>
        <v>3211</v>
      </c>
      <c r="F672" s="1816">
        <f t="shared" si="56"/>
        <v>3431</v>
      </c>
      <c r="G672" s="1816">
        <f t="shared" si="57"/>
        <v>3337</v>
      </c>
    </row>
    <row r="673" spans="1:7" ht="15.75">
      <c r="A673" s="1961">
        <f t="shared" si="58"/>
        <v>30475</v>
      </c>
      <c r="B673" s="1815">
        <v>30450</v>
      </c>
      <c r="C673" s="1815">
        <v>30500</v>
      </c>
      <c r="D673" s="1816">
        <f t="shared" si="54"/>
        <v>3437</v>
      </c>
      <c r="E673" s="1816">
        <f t="shared" si="55"/>
        <v>3217</v>
      </c>
      <c r="F673" s="1816">
        <f t="shared" si="56"/>
        <v>3437</v>
      </c>
      <c r="G673" s="1816">
        <f t="shared" si="57"/>
        <v>3343</v>
      </c>
    </row>
    <row r="674" spans="1:7" ht="15.75">
      <c r="A674" s="1961">
        <f t="shared" si="58"/>
        <v>30525</v>
      </c>
      <c r="B674" s="1815">
        <v>30500</v>
      </c>
      <c r="C674" s="1815">
        <v>30550</v>
      </c>
      <c r="D674" s="1816">
        <f t="shared" si="54"/>
        <v>3443</v>
      </c>
      <c r="E674" s="1816">
        <f t="shared" si="55"/>
        <v>3223</v>
      </c>
      <c r="F674" s="1816">
        <f t="shared" si="56"/>
        <v>3443</v>
      </c>
      <c r="G674" s="1816">
        <f t="shared" si="57"/>
        <v>3349</v>
      </c>
    </row>
    <row r="675" spans="1:7" ht="15.75">
      <c r="A675" s="1961">
        <f t="shared" si="58"/>
        <v>30575</v>
      </c>
      <c r="B675" s="1815">
        <v>30550</v>
      </c>
      <c r="C675" s="1815">
        <v>30600</v>
      </c>
      <c r="D675" s="1816">
        <f t="shared" si="54"/>
        <v>3449</v>
      </c>
      <c r="E675" s="1816">
        <f t="shared" si="55"/>
        <v>3229</v>
      </c>
      <c r="F675" s="1816">
        <f t="shared" si="56"/>
        <v>3449</v>
      </c>
      <c r="G675" s="1816">
        <f t="shared" si="57"/>
        <v>3355</v>
      </c>
    </row>
    <row r="676" spans="1:7" ht="15.75">
      <c r="A676" s="1961">
        <f t="shared" si="58"/>
        <v>30625</v>
      </c>
      <c r="B676" s="1815">
        <v>30600</v>
      </c>
      <c r="C676" s="1815">
        <v>30650</v>
      </c>
      <c r="D676" s="1816">
        <f t="shared" si="54"/>
        <v>3455</v>
      </c>
      <c r="E676" s="1816">
        <f t="shared" si="55"/>
        <v>3235</v>
      </c>
      <c r="F676" s="1816">
        <f t="shared" si="56"/>
        <v>3455</v>
      </c>
      <c r="G676" s="1816">
        <f t="shared" si="57"/>
        <v>3361</v>
      </c>
    </row>
    <row r="677" spans="1:7" ht="15.75">
      <c r="A677" s="1961">
        <f t="shared" si="58"/>
        <v>30675</v>
      </c>
      <c r="B677" s="1815">
        <v>30650</v>
      </c>
      <c r="C677" s="1815">
        <v>30700</v>
      </c>
      <c r="D677" s="1816">
        <f t="shared" si="54"/>
        <v>3461</v>
      </c>
      <c r="E677" s="1816">
        <f t="shared" si="55"/>
        <v>3241</v>
      </c>
      <c r="F677" s="1816">
        <f t="shared" si="56"/>
        <v>3461</v>
      </c>
      <c r="G677" s="1816">
        <f t="shared" si="57"/>
        <v>3367</v>
      </c>
    </row>
    <row r="678" spans="1:7" ht="15.75">
      <c r="A678" s="1961">
        <f t="shared" si="58"/>
        <v>30725</v>
      </c>
      <c r="B678" s="1815">
        <v>30700</v>
      </c>
      <c r="C678" s="1815">
        <v>30750</v>
      </c>
      <c r="D678" s="1816">
        <f t="shared" si="54"/>
        <v>3467</v>
      </c>
      <c r="E678" s="1816">
        <f t="shared" si="55"/>
        <v>3247</v>
      </c>
      <c r="F678" s="1816">
        <f t="shared" si="56"/>
        <v>3467</v>
      </c>
      <c r="G678" s="1816">
        <f t="shared" si="57"/>
        <v>3373</v>
      </c>
    </row>
    <row r="679" spans="1:7" ht="15.75">
      <c r="A679" s="1961">
        <f t="shared" si="58"/>
        <v>30775</v>
      </c>
      <c r="B679" s="1815">
        <v>30750</v>
      </c>
      <c r="C679" s="1815">
        <v>30800</v>
      </c>
      <c r="D679" s="1816">
        <f t="shared" si="54"/>
        <v>3473</v>
      </c>
      <c r="E679" s="1816">
        <f t="shared" si="55"/>
        <v>3253</v>
      </c>
      <c r="F679" s="1816">
        <f t="shared" si="56"/>
        <v>3473</v>
      </c>
      <c r="G679" s="1816">
        <f t="shared" si="57"/>
        <v>3379</v>
      </c>
    </row>
    <row r="680" spans="1:7" ht="15.75">
      <c r="A680" s="1961">
        <f t="shared" si="58"/>
        <v>30825</v>
      </c>
      <c r="B680" s="1815">
        <v>30800</v>
      </c>
      <c r="C680" s="1815">
        <v>30850</v>
      </c>
      <c r="D680" s="1816">
        <f t="shared" si="54"/>
        <v>3479</v>
      </c>
      <c r="E680" s="1816">
        <f t="shared" si="55"/>
        <v>3259</v>
      </c>
      <c r="F680" s="1816">
        <f t="shared" si="56"/>
        <v>3479</v>
      </c>
      <c r="G680" s="1816">
        <f t="shared" si="57"/>
        <v>3385</v>
      </c>
    </row>
    <row r="681" spans="1:7" ht="15.75">
      <c r="A681" s="1961">
        <f t="shared" si="58"/>
        <v>30875</v>
      </c>
      <c r="B681" s="1815">
        <v>30850</v>
      </c>
      <c r="C681" s="1815">
        <v>30900</v>
      </c>
      <c r="D681" s="1816">
        <f t="shared" si="54"/>
        <v>3485</v>
      </c>
      <c r="E681" s="1816">
        <f t="shared" si="55"/>
        <v>3265</v>
      </c>
      <c r="F681" s="1816">
        <f t="shared" si="56"/>
        <v>3485</v>
      </c>
      <c r="G681" s="1816">
        <f t="shared" si="57"/>
        <v>3391</v>
      </c>
    </row>
    <row r="682" spans="1:7" ht="15.75">
      <c r="A682" s="1961">
        <f t="shared" si="58"/>
        <v>30925</v>
      </c>
      <c r="B682" s="1815">
        <v>30900</v>
      </c>
      <c r="C682" s="1815">
        <v>30950</v>
      </c>
      <c r="D682" s="1816">
        <f t="shared" si="54"/>
        <v>3491</v>
      </c>
      <c r="E682" s="1816">
        <f t="shared" si="55"/>
        <v>3271</v>
      </c>
      <c r="F682" s="1816">
        <f t="shared" si="56"/>
        <v>3491</v>
      </c>
      <c r="G682" s="1816">
        <f t="shared" si="57"/>
        <v>3397</v>
      </c>
    </row>
    <row r="683" spans="1:7" ht="15.75">
      <c r="A683" s="1961">
        <f t="shared" si="58"/>
        <v>30975</v>
      </c>
      <c r="B683" s="1815">
        <v>30950</v>
      </c>
      <c r="C683" s="1815">
        <v>31000</v>
      </c>
      <c r="D683" s="1816">
        <f t="shared" si="54"/>
        <v>3497</v>
      </c>
      <c r="E683" s="1816">
        <f t="shared" si="55"/>
        <v>3277</v>
      </c>
      <c r="F683" s="1816">
        <f t="shared" si="56"/>
        <v>3497</v>
      </c>
      <c r="G683" s="1816">
        <f t="shared" si="57"/>
        <v>3403</v>
      </c>
    </row>
    <row r="684" spans="1:7" ht="15.75">
      <c r="A684" s="1961">
        <f t="shared" si="58"/>
        <v>31025</v>
      </c>
      <c r="B684" s="1815">
        <v>31000</v>
      </c>
      <c r="C684" s="1815">
        <v>31050</v>
      </c>
      <c r="D684" s="1816">
        <f t="shared" si="54"/>
        <v>3503</v>
      </c>
      <c r="E684" s="1816">
        <f t="shared" si="55"/>
        <v>3283</v>
      </c>
      <c r="F684" s="1816">
        <f t="shared" si="56"/>
        <v>3503</v>
      </c>
      <c r="G684" s="1816">
        <f t="shared" si="57"/>
        <v>3409</v>
      </c>
    </row>
    <row r="685" spans="1:7" ht="15.75">
      <c r="A685" s="1961">
        <f t="shared" si="58"/>
        <v>31075</v>
      </c>
      <c r="B685" s="1815">
        <v>31050</v>
      </c>
      <c r="C685" s="1815">
        <v>31100</v>
      </c>
      <c r="D685" s="1816">
        <f t="shared" si="54"/>
        <v>3509</v>
      </c>
      <c r="E685" s="1816">
        <f t="shared" si="55"/>
        <v>3289</v>
      </c>
      <c r="F685" s="1816">
        <f t="shared" si="56"/>
        <v>3509</v>
      </c>
      <c r="G685" s="1816">
        <f t="shared" si="57"/>
        <v>3415</v>
      </c>
    </row>
    <row r="686" spans="1:7" ht="15.75">
      <c r="A686" s="1961">
        <f t="shared" si="58"/>
        <v>31125</v>
      </c>
      <c r="B686" s="1815">
        <v>31100</v>
      </c>
      <c r="C686" s="1815">
        <v>31150</v>
      </c>
      <c r="D686" s="1816">
        <f t="shared" si="54"/>
        <v>3515</v>
      </c>
      <c r="E686" s="1816">
        <f t="shared" si="55"/>
        <v>3295</v>
      </c>
      <c r="F686" s="1816">
        <f t="shared" si="56"/>
        <v>3515</v>
      </c>
      <c r="G686" s="1816">
        <f t="shared" si="57"/>
        <v>3421</v>
      </c>
    </row>
    <row r="687" spans="1:7" ht="15.75">
      <c r="A687" s="1961">
        <f t="shared" si="58"/>
        <v>31175</v>
      </c>
      <c r="B687" s="1815">
        <v>31150</v>
      </c>
      <c r="C687" s="1815">
        <v>31200</v>
      </c>
      <c r="D687" s="1816">
        <f t="shared" si="54"/>
        <v>3521</v>
      </c>
      <c r="E687" s="1816">
        <f t="shared" si="55"/>
        <v>3301</v>
      </c>
      <c r="F687" s="1816">
        <f t="shared" si="56"/>
        <v>3521</v>
      </c>
      <c r="G687" s="1816">
        <f t="shared" si="57"/>
        <v>3427</v>
      </c>
    </row>
    <row r="688" spans="1:7" ht="15.75">
      <c r="A688" s="1961">
        <f t="shared" si="58"/>
        <v>31225</v>
      </c>
      <c r="B688" s="1815">
        <v>31200</v>
      </c>
      <c r="C688" s="1815">
        <v>31250</v>
      </c>
      <c r="D688" s="1816">
        <f t="shared" si="54"/>
        <v>3527</v>
      </c>
      <c r="E688" s="1816">
        <f t="shared" si="55"/>
        <v>3307</v>
      </c>
      <c r="F688" s="1816">
        <f t="shared" si="56"/>
        <v>3527</v>
      </c>
      <c r="G688" s="1816">
        <f t="shared" si="57"/>
        <v>3433</v>
      </c>
    </row>
    <row r="689" spans="1:7" ht="15.75">
      <c r="A689" s="1961">
        <f t="shared" si="58"/>
        <v>31275</v>
      </c>
      <c r="B689" s="1815">
        <v>31250</v>
      </c>
      <c r="C689" s="1815">
        <v>31300</v>
      </c>
      <c r="D689" s="1816">
        <f t="shared" si="54"/>
        <v>3533</v>
      </c>
      <c r="E689" s="1816">
        <f t="shared" si="55"/>
        <v>3313</v>
      </c>
      <c r="F689" s="1816">
        <f t="shared" si="56"/>
        <v>3533</v>
      </c>
      <c r="G689" s="1816">
        <f t="shared" si="57"/>
        <v>3439</v>
      </c>
    </row>
    <row r="690" spans="1:7" ht="15.75">
      <c r="A690" s="1961">
        <f t="shared" si="58"/>
        <v>31325</v>
      </c>
      <c r="B690" s="1815">
        <v>31300</v>
      </c>
      <c r="C690" s="1815">
        <v>31350</v>
      </c>
      <c r="D690" s="1816">
        <f t="shared" si="54"/>
        <v>3539</v>
      </c>
      <c r="E690" s="1816">
        <f t="shared" si="55"/>
        <v>3319</v>
      </c>
      <c r="F690" s="1816">
        <f t="shared" si="56"/>
        <v>3539</v>
      </c>
      <c r="G690" s="1816">
        <f t="shared" si="57"/>
        <v>3445</v>
      </c>
    </row>
    <row r="691" spans="1:7" ht="15.75">
      <c r="A691" s="1961">
        <f t="shared" si="58"/>
        <v>31375</v>
      </c>
      <c r="B691" s="1815">
        <v>31350</v>
      </c>
      <c r="C691" s="1815">
        <v>31400</v>
      </c>
      <c r="D691" s="1816">
        <f t="shared" si="54"/>
        <v>3545</v>
      </c>
      <c r="E691" s="1816">
        <f t="shared" si="55"/>
        <v>3325</v>
      </c>
      <c r="F691" s="1816">
        <f t="shared" si="56"/>
        <v>3545</v>
      </c>
      <c r="G691" s="1816">
        <f t="shared" si="57"/>
        <v>3451</v>
      </c>
    </row>
    <row r="692" spans="1:7" ht="15.75">
      <c r="A692" s="1961">
        <f t="shared" si="58"/>
        <v>31425</v>
      </c>
      <c r="B692" s="1815">
        <v>31400</v>
      </c>
      <c r="C692" s="1815">
        <v>31450</v>
      </c>
      <c r="D692" s="1816">
        <f t="shared" si="54"/>
        <v>3551</v>
      </c>
      <c r="E692" s="1816">
        <f t="shared" si="55"/>
        <v>3331</v>
      </c>
      <c r="F692" s="1816">
        <f t="shared" si="56"/>
        <v>3551</v>
      </c>
      <c r="G692" s="1816">
        <f t="shared" si="57"/>
        <v>3457</v>
      </c>
    </row>
    <row r="693" spans="1:7" ht="15.75">
      <c r="A693" s="1961">
        <f t="shared" si="58"/>
        <v>31475</v>
      </c>
      <c r="B693" s="1815">
        <v>31450</v>
      </c>
      <c r="C693" s="1815">
        <v>31500</v>
      </c>
      <c r="D693" s="1816">
        <f t="shared" si="54"/>
        <v>3557</v>
      </c>
      <c r="E693" s="1816">
        <f t="shared" si="55"/>
        <v>3337</v>
      </c>
      <c r="F693" s="1816">
        <f t="shared" si="56"/>
        <v>3557</v>
      </c>
      <c r="G693" s="1816">
        <f t="shared" si="57"/>
        <v>3463</v>
      </c>
    </row>
    <row r="694" spans="1:7" ht="15.75">
      <c r="A694" s="1961">
        <f t="shared" si="58"/>
        <v>31525</v>
      </c>
      <c r="B694" s="1815">
        <v>31500</v>
      </c>
      <c r="C694" s="1815">
        <v>31550</v>
      </c>
      <c r="D694" s="1816">
        <f t="shared" si="54"/>
        <v>3563</v>
      </c>
      <c r="E694" s="1816">
        <f t="shared" si="55"/>
        <v>3343</v>
      </c>
      <c r="F694" s="1816">
        <f t="shared" si="56"/>
        <v>3563</v>
      </c>
      <c r="G694" s="1816">
        <f t="shared" si="57"/>
        <v>3469</v>
      </c>
    </row>
    <row r="695" spans="1:7" ht="15.75">
      <c r="A695" s="1961">
        <f t="shared" si="58"/>
        <v>31575</v>
      </c>
      <c r="B695" s="1815">
        <v>31550</v>
      </c>
      <c r="C695" s="1815">
        <v>31600</v>
      </c>
      <c r="D695" s="1816">
        <f t="shared" si="54"/>
        <v>3569</v>
      </c>
      <c r="E695" s="1816">
        <f t="shared" si="55"/>
        <v>3349</v>
      </c>
      <c r="F695" s="1816">
        <f t="shared" si="56"/>
        <v>3569</v>
      </c>
      <c r="G695" s="1816">
        <f t="shared" si="57"/>
        <v>3475</v>
      </c>
    </row>
    <row r="696" spans="1:7" ht="15.75">
      <c r="A696" s="1961">
        <f t="shared" si="58"/>
        <v>31625</v>
      </c>
      <c r="B696" s="1815">
        <v>31600</v>
      </c>
      <c r="C696" s="1815">
        <v>31650</v>
      </c>
      <c r="D696" s="1816">
        <f t="shared" si="54"/>
        <v>3575</v>
      </c>
      <c r="E696" s="1816">
        <f t="shared" si="55"/>
        <v>3355</v>
      </c>
      <c r="F696" s="1816">
        <f t="shared" si="56"/>
        <v>3575</v>
      </c>
      <c r="G696" s="1816">
        <f t="shared" si="57"/>
        <v>3481</v>
      </c>
    </row>
    <row r="697" spans="1:7" ht="15.75">
      <c r="A697" s="1961">
        <f t="shared" si="58"/>
        <v>31675</v>
      </c>
      <c r="B697" s="1815">
        <v>31650</v>
      </c>
      <c r="C697" s="1815">
        <v>31700</v>
      </c>
      <c r="D697" s="1816">
        <f t="shared" si="54"/>
        <v>3581</v>
      </c>
      <c r="E697" s="1816">
        <f t="shared" si="55"/>
        <v>3361</v>
      </c>
      <c r="F697" s="1816">
        <f t="shared" si="56"/>
        <v>3581</v>
      </c>
      <c r="G697" s="1816">
        <f t="shared" si="57"/>
        <v>3487</v>
      </c>
    </row>
    <row r="698" spans="1:7" ht="15.75">
      <c r="A698" s="1961">
        <f t="shared" si="58"/>
        <v>31725</v>
      </c>
      <c r="B698" s="1815">
        <v>31700</v>
      </c>
      <c r="C698" s="1815">
        <v>31750</v>
      </c>
      <c r="D698" s="1816">
        <f t="shared" si="54"/>
        <v>3587</v>
      </c>
      <c r="E698" s="1816">
        <f t="shared" si="55"/>
        <v>3367</v>
      </c>
      <c r="F698" s="1816">
        <f t="shared" si="56"/>
        <v>3587</v>
      </c>
      <c r="G698" s="1816">
        <f t="shared" si="57"/>
        <v>3493</v>
      </c>
    </row>
    <row r="699" spans="1:7" ht="15.75">
      <c r="A699" s="1961">
        <f t="shared" si="58"/>
        <v>31775</v>
      </c>
      <c r="B699" s="1815">
        <v>31750</v>
      </c>
      <c r="C699" s="1815">
        <v>31800</v>
      </c>
      <c r="D699" s="1816">
        <f t="shared" si="54"/>
        <v>3593</v>
      </c>
      <c r="E699" s="1816">
        <f t="shared" si="55"/>
        <v>3373</v>
      </c>
      <c r="F699" s="1816">
        <f t="shared" si="56"/>
        <v>3593</v>
      </c>
      <c r="G699" s="1816">
        <f t="shared" si="57"/>
        <v>3499</v>
      </c>
    </row>
    <row r="700" spans="1:7" ht="15.75">
      <c r="A700" s="1961">
        <f t="shared" si="58"/>
        <v>31825</v>
      </c>
      <c r="B700" s="1815">
        <v>31800</v>
      </c>
      <c r="C700" s="1815">
        <v>31850</v>
      </c>
      <c r="D700" s="1816">
        <f t="shared" si="54"/>
        <v>3599</v>
      </c>
      <c r="E700" s="1816">
        <f t="shared" si="55"/>
        <v>3379</v>
      </c>
      <c r="F700" s="1816">
        <f t="shared" si="56"/>
        <v>3599</v>
      </c>
      <c r="G700" s="1816">
        <f t="shared" si="57"/>
        <v>3505</v>
      </c>
    </row>
    <row r="701" spans="1:7" ht="15.75">
      <c r="A701" s="1961">
        <f t="shared" si="58"/>
        <v>31875</v>
      </c>
      <c r="B701" s="1815">
        <v>31850</v>
      </c>
      <c r="C701" s="1815">
        <v>31900</v>
      </c>
      <c r="D701" s="1816">
        <f t="shared" si="54"/>
        <v>3605</v>
      </c>
      <c r="E701" s="1816">
        <f t="shared" si="55"/>
        <v>3385</v>
      </c>
      <c r="F701" s="1816">
        <f t="shared" si="56"/>
        <v>3605</v>
      </c>
      <c r="G701" s="1816">
        <f t="shared" si="57"/>
        <v>3511</v>
      </c>
    </row>
    <row r="702" spans="1:7" ht="15.75">
      <c r="A702" s="1961">
        <f t="shared" si="58"/>
        <v>31925</v>
      </c>
      <c r="B702" s="1815">
        <v>31900</v>
      </c>
      <c r="C702" s="1815">
        <v>31950</v>
      </c>
      <c r="D702" s="1816">
        <f t="shared" si="54"/>
        <v>3611</v>
      </c>
      <c r="E702" s="1816">
        <f t="shared" si="55"/>
        <v>3391</v>
      </c>
      <c r="F702" s="1816">
        <f t="shared" si="56"/>
        <v>3611</v>
      </c>
      <c r="G702" s="1816">
        <f t="shared" si="57"/>
        <v>3517</v>
      </c>
    </row>
    <row r="703" spans="1:7" ht="15.75">
      <c r="A703" s="1961">
        <f t="shared" si="58"/>
        <v>31975</v>
      </c>
      <c r="B703" s="1815">
        <v>31950</v>
      </c>
      <c r="C703" s="1815">
        <v>32000</v>
      </c>
      <c r="D703" s="1816">
        <f t="shared" si="54"/>
        <v>3617</v>
      </c>
      <c r="E703" s="1816">
        <f t="shared" si="55"/>
        <v>3397</v>
      </c>
      <c r="F703" s="1816">
        <f t="shared" si="56"/>
        <v>3617</v>
      </c>
      <c r="G703" s="1816">
        <f t="shared" si="57"/>
        <v>3523</v>
      </c>
    </row>
    <row r="704" spans="1:7" ht="15.75">
      <c r="A704" s="1961">
        <f t="shared" si="58"/>
        <v>32025</v>
      </c>
      <c r="B704" s="1815">
        <v>32000</v>
      </c>
      <c r="C704" s="1815">
        <v>32050</v>
      </c>
      <c r="D704" s="1816">
        <f t="shared" si="54"/>
        <v>3623</v>
      </c>
      <c r="E704" s="1816">
        <f t="shared" si="55"/>
        <v>3403</v>
      </c>
      <c r="F704" s="1816">
        <f t="shared" si="56"/>
        <v>3623</v>
      </c>
      <c r="G704" s="1816">
        <f t="shared" si="57"/>
        <v>3529</v>
      </c>
    </row>
    <row r="705" spans="1:7" ht="15.75">
      <c r="A705" s="1961">
        <f t="shared" si="58"/>
        <v>32075</v>
      </c>
      <c r="B705" s="1815">
        <v>32050</v>
      </c>
      <c r="C705" s="1815">
        <v>32100</v>
      </c>
      <c r="D705" s="1816">
        <f t="shared" si="54"/>
        <v>3629</v>
      </c>
      <c r="E705" s="1816">
        <f t="shared" si="55"/>
        <v>3409</v>
      </c>
      <c r="F705" s="1816">
        <f t="shared" si="56"/>
        <v>3629</v>
      </c>
      <c r="G705" s="1816">
        <f t="shared" si="57"/>
        <v>3535</v>
      </c>
    </row>
    <row r="706" spans="1:7" ht="15.75">
      <c r="A706" s="1961">
        <f t="shared" si="58"/>
        <v>32125</v>
      </c>
      <c r="B706" s="1815">
        <v>32100</v>
      </c>
      <c r="C706" s="1815">
        <v>32150</v>
      </c>
      <c r="D706" s="1816">
        <f t="shared" ref="D706:D769" si="59">IF($A706&gt;BOTT_A4,ROUND(BASE_A4+RATE_A4*($A706-BOTT_A4),0),IF($A706&gt;BOTT_A3,ROUND(BASE_A3+RATE_A3*($A706-BOTT_A3),0),IF($A706&gt;BOTT_A2,ROUND(BASE_A2+RATE_A2*($A706-BOTT_A2),0),ROUND(RATE_A1*$A706,0))))</f>
        <v>3635</v>
      </c>
      <c r="E706" s="1816">
        <f t="shared" ref="E706:E769" si="60">IF($A706&gt;BOTT_B4,ROUND(BASE_B4+RATE_B4*($A706-BOTT_B4),0),IF($A706&gt;BOTT_B3,ROUND(BASE_B3+RATE_B3*($A706-BOTT_B3),0),IF($A706&gt;BOTT_B2,ROUND(BASE_B2+RATE_B2*($A706-BOTT_B2),0),ROUND(RATE_B1*$A706,0))))</f>
        <v>3415</v>
      </c>
      <c r="F706" s="1816">
        <f t="shared" ref="F706:F769" si="61">IF($A706&gt;BOTT_C4,ROUND(BASE_C4+RATE_C4*($A706-BOTT_C4),0),IF($A706&gt;BOTT_C3,ROUND(BASE_C3+RATE_C3*($A706-BOTT_C3),0),IF($A706&gt;BOTT_C2,ROUND(BASE_C2+RATE_C2*($A706-BOTT_C2),0),ROUND(RATE_C1*$A706,0))))</f>
        <v>3635</v>
      </c>
      <c r="G706" s="1816">
        <f t="shared" ref="G706:G769" si="62">IF($A706&gt;BOTT_D4,ROUND(BASE_D4+RATE_D4*($A706-BOTT_D4),0),IF($A706&gt;BOTT_D3,ROUND(BASE_D3+RATE_D3*($A706-BOTT_D3),0),IF($A706&gt;BOTT_D2,ROUND(BASE_D2+RATE_D2*($A706-BOTT_D2),0),ROUND(RATE_D1*$A706,0))))</f>
        <v>3541</v>
      </c>
    </row>
    <row r="707" spans="1:7" ht="15.75">
      <c r="A707" s="1961">
        <f t="shared" ref="A707:A770" si="63">AVERAGE(B707,C707)</f>
        <v>32175</v>
      </c>
      <c r="B707" s="1815">
        <v>32150</v>
      </c>
      <c r="C707" s="1815">
        <v>32200</v>
      </c>
      <c r="D707" s="1816">
        <f t="shared" si="59"/>
        <v>3641</v>
      </c>
      <c r="E707" s="1816">
        <f t="shared" si="60"/>
        <v>3421</v>
      </c>
      <c r="F707" s="1816">
        <f t="shared" si="61"/>
        <v>3641</v>
      </c>
      <c r="G707" s="1816">
        <f t="shared" si="62"/>
        <v>3547</v>
      </c>
    </row>
    <row r="708" spans="1:7" ht="15.75">
      <c r="A708" s="1961">
        <f t="shared" si="63"/>
        <v>32225</v>
      </c>
      <c r="B708" s="1815">
        <v>32200</v>
      </c>
      <c r="C708" s="1815">
        <v>32250</v>
      </c>
      <c r="D708" s="1816">
        <f t="shared" si="59"/>
        <v>3647</v>
      </c>
      <c r="E708" s="1816">
        <f t="shared" si="60"/>
        <v>3427</v>
      </c>
      <c r="F708" s="1816">
        <f t="shared" si="61"/>
        <v>3647</v>
      </c>
      <c r="G708" s="1816">
        <f t="shared" si="62"/>
        <v>3553</v>
      </c>
    </row>
    <row r="709" spans="1:7" ht="15.75">
      <c r="A709" s="1961">
        <f t="shared" si="63"/>
        <v>32275</v>
      </c>
      <c r="B709" s="1815">
        <v>32250</v>
      </c>
      <c r="C709" s="1815">
        <v>32300</v>
      </c>
      <c r="D709" s="1816">
        <f t="shared" si="59"/>
        <v>3653</v>
      </c>
      <c r="E709" s="1816">
        <f t="shared" si="60"/>
        <v>3433</v>
      </c>
      <c r="F709" s="1816">
        <f t="shared" si="61"/>
        <v>3653</v>
      </c>
      <c r="G709" s="1816">
        <f t="shared" si="62"/>
        <v>3559</v>
      </c>
    </row>
    <row r="710" spans="1:7" ht="15.75">
      <c r="A710" s="1961">
        <f t="shared" si="63"/>
        <v>32325</v>
      </c>
      <c r="B710" s="1815">
        <v>32300</v>
      </c>
      <c r="C710" s="1815">
        <v>32350</v>
      </c>
      <c r="D710" s="1816">
        <f t="shared" si="59"/>
        <v>3659</v>
      </c>
      <c r="E710" s="1816">
        <f t="shared" si="60"/>
        <v>3439</v>
      </c>
      <c r="F710" s="1816">
        <f t="shared" si="61"/>
        <v>3659</v>
      </c>
      <c r="G710" s="1816">
        <f t="shared" si="62"/>
        <v>3565</v>
      </c>
    </row>
    <row r="711" spans="1:7" ht="15.75">
      <c r="A711" s="1961">
        <f t="shared" si="63"/>
        <v>32375</v>
      </c>
      <c r="B711" s="1815">
        <v>32350</v>
      </c>
      <c r="C711" s="1815">
        <v>32400</v>
      </c>
      <c r="D711" s="1816">
        <f t="shared" si="59"/>
        <v>3665</v>
      </c>
      <c r="E711" s="1816">
        <f t="shared" si="60"/>
        <v>3445</v>
      </c>
      <c r="F711" s="1816">
        <f t="shared" si="61"/>
        <v>3665</v>
      </c>
      <c r="G711" s="1816">
        <f t="shared" si="62"/>
        <v>3571</v>
      </c>
    </row>
    <row r="712" spans="1:7" ht="15.75">
      <c r="A712" s="1961">
        <f t="shared" si="63"/>
        <v>32425</v>
      </c>
      <c r="B712" s="1815">
        <v>32400</v>
      </c>
      <c r="C712" s="1815">
        <v>32450</v>
      </c>
      <c r="D712" s="1816">
        <f t="shared" si="59"/>
        <v>3671</v>
      </c>
      <c r="E712" s="1816">
        <f t="shared" si="60"/>
        <v>3451</v>
      </c>
      <c r="F712" s="1816">
        <f t="shared" si="61"/>
        <v>3671</v>
      </c>
      <c r="G712" s="1816">
        <f t="shared" si="62"/>
        <v>3577</v>
      </c>
    </row>
    <row r="713" spans="1:7" ht="15.75">
      <c r="A713" s="1961">
        <f t="shared" si="63"/>
        <v>32475</v>
      </c>
      <c r="B713" s="1815">
        <v>32450</v>
      </c>
      <c r="C713" s="1815">
        <v>32500</v>
      </c>
      <c r="D713" s="1816">
        <f t="shared" si="59"/>
        <v>3677</v>
      </c>
      <c r="E713" s="1816">
        <f t="shared" si="60"/>
        <v>3457</v>
      </c>
      <c r="F713" s="1816">
        <f t="shared" si="61"/>
        <v>3677</v>
      </c>
      <c r="G713" s="1816">
        <f t="shared" si="62"/>
        <v>3583</v>
      </c>
    </row>
    <row r="714" spans="1:7" ht="15.75">
      <c r="A714" s="1961">
        <f t="shared" si="63"/>
        <v>32525</v>
      </c>
      <c r="B714" s="1815">
        <v>32500</v>
      </c>
      <c r="C714" s="1815">
        <v>32550</v>
      </c>
      <c r="D714" s="1816">
        <f t="shared" si="59"/>
        <v>3683</v>
      </c>
      <c r="E714" s="1816">
        <f t="shared" si="60"/>
        <v>3463</v>
      </c>
      <c r="F714" s="1816">
        <f t="shared" si="61"/>
        <v>3683</v>
      </c>
      <c r="G714" s="1816">
        <f t="shared" si="62"/>
        <v>3589</v>
      </c>
    </row>
    <row r="715" spans="1:7" ht="15.75">
      <c r="A715" s="1961">
        <f t="shared" si="63"/>
        <v>32575</v>
      </c>
      <c r="B715" s="1815">
        <v>32550</v>
      </c>
      <c r="C715" s="1815">
        <v>32600</v>
      </c>
      <c r="D715" s="1816">
        <f t="shared" si="59"/>
        <v>3689</v>
      </c>
      <c r="E715" s="1816">
        <f t="shared" si="60"/>
        <v>3469</v>
      </c>
      <c r="F715" s="1816">
        <f t="shared" si="61"/>
        <v>3689</v>
      </c>
      <c r="G715" s="1816">
        <f t="shared" si="62"/>
        <v>3595</v>
      </c>
    </row>
    <row r="716" spans="1:7" ht="15.75">
      <c r="A716" s="1961">
        <f t="shared" si="63"/>
        <v>32625</v>
      </c>
      <c r="B716" s="1815">
        <v>32600</v>
      </c>
      <c r="C716" s="1815">
        <v>32650</v>
      </c>
      <c r="D716" s="1816">
        <f t="shared" si="59"/>
        <v>3695</v>
      </c>
      <c r="E716" s="1816">
        <f t="shared" si="60"/>
        <v>3475</v>
      </c>
      <c r="F716" s="1816">
        <f t="shared" si="61"/>
        <v>3695</v>
      </c>
      <c r="G716" s="1816">
        <f t="shared" si="62"/>
        <v>3601</v>
      </c>
    </row>
    <row r="717" spans="1:7" ht="15.75">
      <c r="A717" s="1961">
        <f t="shared" si="63"/>
        <v>32675</v>
      </c>
      <c r="B717" s="1815">
        <v>32650</v>
      </c>
      <c r="C717" s="1815">
        <v>32700</v>
      </c>
      <c r="D717" s="1816">
        <f t="shared" si="59"/>
        <v>3701</v>
      </c>
      <c r="E717" s="1816">
        <f t="shared" si="60"/>
        <v>3481</v>
      </c>
      <c r="F717" s="1816">
        <f t="shared" si="61"/>
        <v>3701</v>
      </c>
      <c r="G717" s="1816">
        <f t="shared" si="62"/>
        <v>3607</v>
      </c>
    </row>
    <row r="718" spans="1:7" ht="15.75">
      <c r="A718" s="1961">
        <f t="shared" si="63"/>
        <v>32725</v>
      </c>
      <c r="B718" s="1815">
        <v>32700</v>
      </c>
      <c r="C718" s="1815">
        <v>32750</v>
      </c>
      <c r="D718" s="1816">
        <f t="shared" si="59"/>
        <v>3707</v>
      </c>
      <c r="E718" s="1816">
        <f t="shared" si="60"/>
        <v>3487</v>
      </c>
      <c r="F718" s="1816">
        <f t="shared" si="61"/>
        <v>3707</v>
      </c>
      <c r="G718" s="1816">
        <f t="shared" si="62"/>
        <v>3613</v>
      </c>
    </row>
    <row r="719" spans="1:7" ht="15.75">
      <c r="A719" s="1961">
        <f t="shared" si="63"/>
        <v>32775</v>
      </c>
      <c r="B719" s="1815">
        <v>32750</v>
      </c>
      <c r="C719" s="1815">
        <v>32800</v>
      </c>
      <c r="D719" s="1816">
        <f t="shared" si="59"/>
        <v>3713</v>
      </c>
      <c r="E719" s="1816">
        <f t="shared" si="60"/>
        <v>3493</v>
      </c>
      <c r="F719" s="1816">
        <f t="shared" si="61"/>
        <v>3713</v>
      </c>
      <c r="G719" s="1816">
        <f t="shared" si="62"/>
        <v>3619</v>
      </c>
    </row>
    <row r="720" spans="1:7" ht="15.75">
      <c r="A720" s="1961">
        <f t="shared" si="63"/>
        <v>32825</v>
      </c>
      <c r="B720" s="1815">
        <v>32800</v>
      </c>
      <c r="C720" s="1815">
        <v>32850</v>
      </c>
      <c r="D720" s="1816">
        <f t="shared" si="59"/>
        <v>3719</v>
      </c>
      <c r="E720" s="1816">
        <f t="shared" si="60"/>
        <v>3499</v>
      </c>
      <c r="F720" s="1816">
        <f t="shared" si="61"/>
        <v>3719</v>
      </c>
      <c r="G720" s="1816">
        <f t="shared" si="62"/>
        <v>3625</v>
      </c>
    </row>
    <row r="721" spans="1:7" ht="15.75">
      <c r="A721" s="1961">
        <f t="shared" si="63"/>
        <v>32875</v>
      </c>
      <c r="B721" s="1815">
        <v>32850</v>
      </c>
      <c r="C721" s="1815">
        <v>32900</v>
      </c>
      <c r="D721" s="1816">
        <f t="shared" si="59"/>
        <v>3725</v>
      </c>
      <c r="E721" s="1816">
        <f t="shared" si="60"/>
        <v>3505</v>
      </c>
      <c r="F721" s="1816">
        <f t="shared" si="61"/>
        <v>3725</v>
      </c>
      <c r="G721" s="1816">
        <f t="shared" si="62"/>
        <v>3631</v>
      </c>
    </row>
    <row r="722" spans="1:7" ht="15.75">
      <c r="A722" s="1961">
        <f t="shared" si="63"/>
        <v>32925</v>
      </c>
      <c r="B722" s="1815">
        <v>32900</v>
      </c>
      <c r="C722" s="1815">
        <v>32950</v>
      </c>
      <c r="D722" s="1816">
        <f t="shared" si="59"/>
        <v>3731</v>
      </c>
      <c r="E722" s="1816">
        <f t="shared" si="60"/>
        <v>3511</v>
      </c>
      <c r="F722" s="1816">
        <f t="shared" si="61"/>
        <v>3731</v>
      </c>
      <c r="G722" s="1816">
        <f t="shared" si="62"/>
        <v>3637</v>
      </c>
    </row>
    <row r="723" spans="1:7" ht="15.75">
      <c r="A723" s="1961">
        <f t="shared" si="63"/>
        <v>32975</v>
      </c>
      <c r="B723" s="1815">
        <v>32950</v>
      </c>
      <c r="C723" s="1815">
        <v>33000</v>
      </c>
      <c r="D723" s="1816">
        <f t="shared" si="59"/>
        <v>3737</v>
      </c>
      <c r="E723" s="1816">
        <f t="shared" si="60"/>
        <v>3517</v>
      </c>
      <c r="F723" s="1816">
        <f t="shared" si="61"/>
        <v>3737</v>
      </c>
      <c r="G723" s="1816">
        <f t="shared" si="62"/>
        <v>3643</v>
      </c>
    </row>
    <row r="724" spans="1:7" ht="15.75">
      <c r="A724" s="1961">
        <f t="shared" si="63"/>
        <v>33025</v>
      </c>
      <c r="B724" s="1815">
        <v>33000</v>
      </c>
      <c r="C724" s="1815">
        <v>33050</v>
      </c>
      <c r="D724" s="1816">
        <f t="shared" si="59"/>
        <v>3743</v>
      </c>
      <c r="E724" s="1816">
        <f t="shared" si="60"/>
        <v>3523</v>
      </c>
      <c r="F724" s="1816">
        <f t="shared" si="61"/>
        <v>3743</v>
      </c>
      <c r="G724" s="1816">
        <f t="shared" si="62"/>
        <v>3649</v>
      </c>
    </row>
    <row r="725" spans="1:7" ht="15.75">
      <c r="A725" s="1961">
        <f t="shared" si="63"/>
        <v>33075</v>
      </c>
      <c r="B725" s="1815">
        <v>33050</v>
      </c>
      <c r="C725" s="1815">
        <v>33100</v>
      </c>
      <c r="D725" s="1816">
        <f t="shared" si="59"/>
        <v>3749</v>
      </c>
      <c r="E725" s="1816">
        <f t="shared" si="60"/>
        <v>3529</v>
      </c>
      <c r="F725" s="1816">
        <f t="shared" si="61"/>
        <v>3749</v>
      </c>
      <c r="G725" s="1816">
        <f t="shared" si="62"/>
        <v>3655</v>
      </c>
    </row>
    <row r="726" spans="1:7" ht="15.75">
      <c r="A726" s="1961">
        <f t="shared" si="63"/>
        <v>33125</v>
      </c>
      <c r="B726" s="1815">
        <v>33100</v>
      </c>
      <c r="C726" s="1815">
        <v>33150</v>
      </c>
      <c r="D726" s="1816">
        <f t="shared" si="59"/>
        <v>3755</v>
      </c>
      <c r="E726" s="1816">
        <f t="shared" si="60"/>
        <v>3535</v>
      </c>
      <c r="F726" s="1816">
        <f t="shared" si="61"/>
        <v>3755</v>
      </c>
      <c r="G726" s="1816">
        <f t="shared" si="62"/>
        <v>3661</v>
      </c>
    </row>
    <row r="727" spans="1:7" ht="15.75">
      <c r="A727" s="1961">
        <f t="shared" si="63"/>
        <v>33175</v>
      </c>
      <c r="B727" s="1815">
        <v>33150</v>
      </c>
      <c r="C727" s="1815">
        <v>33200</v>
      </c>
      <c r="D727" s="1816">
        <f t="shared" si="59"/>
        <v>3761</v>
      </c>
      <c r="E727" s="1816">
        <f t="shared" si="60"/>
        <v>3541</v>
      </c>
      <c r="F727" s="1816">
        <f t="shared" si="61"/>
        <v>3761</v>
      </c>
      <c r="G727" s="1816">
        <f t="shared" si="62"/>
        <v>3667</v>
      </c>
    </row>
    <row r="728" spans="1:7" ht="15.75">
      <c r="A728" s="1961">
        <f t="shared" si="63"/>
        <v>33225</v>
      </c>
      <c r="B728" s="1815">
        <v>33200</v>
      </c>
      <c r="C728" s="1815">
        <v>33250</v>
      </c>
      <c r="D728" s="1816">
        <f t="shared" si="59"/>
        <v>3767</v>
      </c>
      <c r="E728" s="1816">
        <f t="shared" si="60"/>
        <v>3547</v>
      </c>
      <c r="F728" s="1816">
        <f t="shared" si="61"/>
        <v>3767</v>
      </c>
      <c r="G728" s="1816">
        <f t="shared" si="62"/>
        <v>3673</v>
      </c>
    </row>
    <row r="729" spans="1:7" ht="15.75">
      <c r="A729" s="1961">
        <f t="shared" si="63"/>
        <v>33275</v>
      </c>
      <c r="B729" s="1815">
        <v>33250</v>
      </c>
      <c r="C729" s="1815">
        <v>33300</v>
      </c>
      <c r="D729" s="1816">
        <f t="shared" si="59"/>
        <v>3773</v>
      </c>
      <c r="E729" s="1816">
        <f t="shared" si="60"/>
        <v>3553</v>
      </c>
      <c r="F729" s="1816">
        <f t="shared" si="61"/>
        <v>3773</v>
      </c>
      <c r="G729" s="1816">
        <f t="shared" si="62"/>
        <v>3679</v>
      </c>
    </row>
    <row r="730" spans="1:7" ht="15.75">
      <c r="A730" s="1961">
        <f t="shared" si="63"/>
        <v>33325</v>
      </c>
      <c r="B730" s="1815">
        <v>33300</v>
      </c>
      <c r="C730" s="1815">
        <v>33350</v>
      </c>
      <c r="D730" s="1816">
        <f t="shared" si="59"/>
        <v>3779</v>
      </c>
      <c r="E730" s="1816">
        <f t="shared" si="60"/>
        <v>3559</v>
      </c>
      <c r="F730" s="1816">
        <f t="shared" si="61"/>
        <v>3779</v>
      </c>
      <c r="G730" s="1816">
        <f t="shared" si="62"/>
        <v>3685</v>
      </c>
    </row>
    <row r="731" spans="1:7" ht="15.75">
      <c r="A731" s="1961">
        <f t="shared" si="63"/>
        <v>33375</v>
      </c>
      <c r="B731" s="1815">
        <v>33350</v>
      </c>
      <c r="C731" s="1815">
        <v>33400</v>
      </c>
      <c r="D731" s="1816">
        <f t="shared" si="59"/>
        <v>3785</v>
      </c>
      <c r="E731" s="1816">
        <f t="shared" si="60"/>
        <v>3565</v>
      </c>
      <c r="F731" s="1816">
        <f t="shared" si="61"/>
        <v>3785</v>
      </c>
      <c r="G731" s="1816">
        <f t="shared" si="62"/>
        <v>3691</v>
      </c>
    </row>
    <row r="732" spans="1:7" ht="15.75">
      <c r="A732" s="1961">
        <f t="shared" si="63"/>
        <v>33425</v>
      </c>
      <c r="B732" s="1815">
        <v>33400</v>
      </c>
      <c r="C732" s="1815">
        <v>33450</v>
      </c>
      <c r="D732" s="1816">
        <f t="shared" si="59"/>
        <v>3791</v>
      </c>
      <c r="E732" s="1816">
        <f t="shared" si="60"/>
        <v>3571</v>
      </c>
      <c r="F732" s="1816">
        <f t="shared" si="61"/>
        <v>3791</v>
      </c>
      <c r="G732" s="1816">
        <f t="shared" si="62"/>
        <v>3697</v>
      </c>
    </row>
    <row r="733" spans="1:7" ht="15.75">
      <c r="A733" s="1961">
        <f t="shared" si="63"/>
        <v>33475</v>
      </c>
      <c r="B733" s="1815">
        <v>33450</v>
      </c>
      <c r="C733" s="1815">
        <v>33500</v>
      </c>
      <c r="D733" s="1816">
        <f t="shared" si="59"/>
        <v>3797</v>
      </c>
      <c r="E733" s="1816">
        <f t="shared" si="60"/>
        <v>3577</v>
      </c>
      <c r="F733" s="1816">
        <f t="shared" si="61"/>
        <v>3797</v>
      </c>
      <c r="G733" s="1816">
        <f t="shared" si="62"/>
        <v>3703</v>
      </c>
    </row>
    <row r="734" spans="1:7" ht="15.75">
      <c r="A734" s="1961">
        <f t="shared" si="63"/>
        <v>33525</v>
      </c>
      <c r="B734" s="1815">
        <v>33500</v>
      </c>
      <c r="C734" s="1815">
        <v>33550</v>
      </c>
      <c r="D734" s="1816">
        <f t="shared" si="59"/>
        <v>3803</v>
      </c>
      <c r="E734" s="1816">
        <f t="shared" si="60"/>
        <v>3583</v>
      </c>
      <c r="F734" s="1816">
        <f t="shared" si="61"/>
        <v>3803</v>
      </c>
      <c r="G734" s="1816">
        <f t="shared" si="62"/>
        <v>3709</v>
      </c>
    </row>
    <row r="735" spans="1:7" ht="15.75">
      <c r="A735" s="1961">
        <f t="shared" si="63"/>
        <v>33575</v>
      </c>
      <c r="B735" s="1815">
        <v>33550</v>
      </c>
      <c r="C735" s="1815">
        <v>33600</v>
      </c>
      <c r="D735" s="1816">
        <f t="shared" si="59"/>
        <v>3809</v>
      </c>
      <c r="E735" s="1816">
        <f t="shared" si="60"/>
        <v>3589</v>
      </c>
      <c r="F735" s="1816">
        <f t="shared" si="61"/>
        <v>3809</v>
      </c>
      <c r="G735" s="1816">
        <f t="shared" si="62"/>
        <v>3715</v>
      </c>
    </row>
    <row r="736" spans="1:7" ht="15.75">
      <c r="A736" s="1961">
        <f t="shared" si="63"/>
        <v>33625</v>
      </c>
      <c r="B736" s="1815">
        <v>33600</v>
      </c>
      <c r="C736" s="1815">
        <v>33650</v>
      </c>
      <c r="D736" s="1816">
        <f t="shared" si="59"/>
        <v>3815</v>
      </c>
      <c r="E736" s="1816">
        <f t="shared" si="60"/>
        <v>3595</v>
      </c>
      <c r="F736" s="1816">
        <f t="shared" si="61"/>
        <v>3815</v>
      </c>
      <c r="G736" s="1816">
        <f t="shared" si="62"/>
        <v>3721</v>
      </c>
    </row>
    <row r="737" spans="1:7" ht="15.75">
      <c r="A737" s="1961">
        <f t="shared" si="63"/>
        <v>33675</v>
      </c>
      <c r="B737" s="1815">
        <v>33650</v>
      </c>
      <c r="C737" s="1815">
        <v>33700</v>
      </c>
      <c r="D737" s="1816">
        <f t="shared" si="59"/>
        <v>3821</v>
      </c>
      <c r="E737" s="1816">
        <f t="shared" si="60"/>
        <v>3601</v>
      </c>
      <c r="F737" s="1816">
        <f t="shared" si="61"/>
        <v>3821</v>
      </c>
      <c r="G737" s="1816">
        <f t="shared" si="62"/>
        <v>3727</v>
      </c>
    </row>
    <row r="738" spans="1:7" ht="15.75">
      <c r="A738" s="1961">
        <f t="shared" si="63"/>
        <v>33725</v>
      </c>
      <c r="B738" s="1815">
        <v>33700</v>
      </c>
      <c r="C738" s="1815">
        <v>33750</v>
      </c>
      <c r="D738" s="1816">
        <f t="shared" si="59"/>
        <v>3827</v>
      </c>
      <c r="E738" s="1816">
        <f t="shared" si="60"/>
        <v>3607</v>
      </c>
      <c r="F738" s="1816">
        <f t="shared" si="61"/>
        <v>3827</v>
      </c>
      <c r="G738" s="1816">
        <f t="shared" si="62"/>
        <v>3733</v>
      </c>
    </row>
    <row r="739" spans="1:7" ht="15.75">
      <c r="A739" s="1961">
        <f t="shared" si="63"/>
        <v>33775</v>
      </c>
      <c r="B739" s="1815">
        <v>33750</v>
      </c>
      <c r="C739" s="1815">
        <v>33800</v>
      </c>
      <c r="D739" s="1816">
        <f t="shared" si="59"/>
        <v>3833</v>
      </c>
      <c r="E739" s="1816">
        <f t="shared" si="60"/>
        <v>3613</v>
      </c>
      <c r="F739" s="1816">
        <f t="shared" si="61"/>
        <v>3833</v>
      </c>
      <c r="G739" s="1816">
        <f t="shared" si="62"/>
        <v>3739</v>
      </c>
    </row>
    <row r="740" spans="1:7" ht="15.75">
      <c r="A740" s="1961">
        <f t="shared" si="63"/>
        <v>33825</v>
      </c>
      <c r="B740" s="1815">
        <v>33800</v>
      </c>
      <c r="C740" s="1815">
        <v>33850</v>
      </c>
      <c r="D740" s="1816">
        <f t="shared" si="59"/>
        <v>3839</v>
      </c>
      <c r="E740" s="1816">
        <f t="shared" si="60"/>
        <v>3619</v>
      </c>
      <c r="F740" s="1816">
        <f t="shared" si="61"/>
        <v>3839</v>
      </c>
      <c r="G740" s="1816">
        <f t="shared" si="62"/>
        <v>3745</v>
      </c>
    </row>
    <row r="741" spans="1:7" ht="15.75">
      <c r="A741" s="1961">
        <f t="shared" si="63"/>
        <v>33875</v>
      </c>
      <c r="B741" s="1815">
        <v>33850</v>
      </c>
      <c r="C741" s="1815">
        <v>33900</v>
      </c>
      <c r="D741" s="1816">
        <f t="shared" si="59"/>
        <v>3845</v>
      </c>
      <c r="E741" s="1816">
        <f t="shared" si="60"/>
        <v>3625</v>
      </c>
      <c r="F741" s="1816">
        <f t="shared" si="61"/>
        <v>3845</v>
      </c>
      <c r="G741" s="1816">
        <f t="shared" si="62"/>
        <v>3751</v>
      </c>
    </row>
    <row r="742" spans="1:7" ht="15.75">
      <c r="A742" s="1961">
        <f t="shared" si="63"/>
        <v>33925</v>
      </c>
      <c r="B742" s="1815">
        <v>33900</v>
      </c>
      <c r="C742" s="1815">
        <v>33950</v>
      </c>
      <c r="D742" s="1816">
        <f t="shared" si="59"/>
        <v>3851</v>
      </c>
      <c r="E742" s="1816">
        <f t="shared" si="60"/>
        <v>3631</v>
      </c>
      <c r="F742" s="1816">
        <f t="shared" si="61"/>
        <v>3851</v>
      </c>
      <c r="G742" s="1816">
        <f t="shared" si="62"/>
        <v>3757</v>
      </c>
    </row>
    <row r="743" spans="1:7" ht="15.75">
      <c r="A743" s="1961">
        <f t="shared" si="63"/>
        <v>33975</v>
      </c>
      <c r="B743" s="1815">
        <v>33950</v>
      </c>
      <c r="C743" s="1815">
        <v>34000</v>
      </c>
      <c r="D743" s="1816">
        <f t="shared" si="59"/>
        <v>3857</v>
      </c>
      <c r="E743" s="1816">
        <f t="shared" si="60"/>
        <v>3637</v>
      </c>
      <c r="F743" s="1816">
        <f t="shared" si="61"/>
        <v>3857</v>
      </c>
      <c r="G743" s="1816">
        <f t="shared" si="62"/>
        <v>3763</v>
      </c>
    </row>
    <row r="744" spans="1:7" ht="15.75">
      <c r="A744" s="1961">
        <f t="shared" si="63"/>
        <v>34025</v>
      </c>
      <c r="B744" s="1815">
        <v>34000</v>
      </c>
      <c r="C744" s="1815">
        <v>34050</v>
      </c>
      <c r="D744" s="1816">
        <f t="shared" si="59"/>
        <v>3863</v>
      </c>
      <c r="E744" s="1816">
        <f t="shared" si="60"/>
        <v>3643</v>
      </c>
      <c r="F744" s="1816">
        <f t="shared" si="61"/>
        <v>3863</v>
      </c>
      <c r="G744" s="1816">
        <f t="shared" si="62"/>
        <v>3769</v>
      </c>
    </row>
    <row r="745" spans="1:7" ht="15.75">
      <c r="A745" s="1961">
        <f t="shared" si="63"/>
        <v>34075</v>
      </c>
      <c r="B745" s="1815">
        <v>34050</v>
      </c>
      <c r="C745" s="1815">
        <v>34100</v>
      </c>
      <c r="D745" s="1816">
        <f t="shared" si="59"/>
        <v>3869</v>
      </c>
      <c r="E745" s="1816">
        <f t="shared" si="60"/>
        <v>3649</v>
      </c>
      <c r="F745" s="1816">
        <f t="shared" si="61"/>
        <v>3869</v>
      </c>
      <c r="G745" s="1816">
        <f t="shared" si="62"/>
        <v>3775</v>
      </c>
    </row>
    <row r="746" spans="1:7" ht="15.75">
      <c r="A746" s="1961">
        <f t="shared" si="63"/>
        <v>34125</v>
      </c>
      <c r="B746" s="1815">
        <v>34100</v>
      </c>
      <c r="C746" s="1815">
        <v>34150</v>
      </c>
      <c r="D746" s="1816">
        <f t="shared" si="59"/>
        <v>3875</v>
      </c>
      <c r="E746" s="1816">
        <f t="shared" si="60"/>
        <v>3655</v>
      </c>
      <c r="F746" s="1816">
        <f t="shared" si="61"/>
        <v>3875</v>
      </c>
      <c r="G746" s="1816">
        <f t="shared" si="62"/>
        <v>3781</v>
      </c>
    </row>
    <row r="747" spans="1:7" ht="15.75">
      <c r="A747" s="1961">
        <f t="shared" si="63"/>
        <v>34175</v>
      </c>
      <c r="B747" s="1815">
        <v>34150</v>
      </c>
      <c r="C747" s="1815">
        <v>34200</v>
      </c>
      <c r="D747" s="1816">
        <f t="shared" si="59"/>
        <v>3881</v>
      </c>
      <c r="E747" s="1816">
        <f t="shared" si="60"/>
        <v>3661</v>
      </c>
      <c r="F747" s="1816">
        <f t="shared" si="61"/>
        <v>3881</v>
      </c>
      <c r="G747" s="1816">
        <f t="shared" si="62"/>
        <v>3787</v>
      </c>
    </row>
    <row r="748" spans="1:7" ht="15.75">
      <c r="A748" s="1961">
        <f t="shared" si="63"/>
        <v>34225</v>
      </c>
      <c r="B748" s="1815">
        <v>34200</v>
      </c>
      <c r="C748" s="1815">
        <v>34250</v>
      </c>
      <c r="D748" s="1816">
        <f t="shared" si="59"/>
        <v>3887</v>
      </c>
      <c r="E748" s="1816">
        <f t="shared" si="60"/>
        <v>3667</v>
      </c>
      <c r="F748" s="1816">
        <f t="shared" si="61"/>
        <v>3887</v>
      </c>
      <c r="G748" s="1816">
        <f t="shared" si="62"/>
        <v>3793</v>
      </c>
    </row>
    <row r="749" spans="1:7" ht="15.75">
      <c r="A749" s="1961">
        <f t="shared" si="63"/>
        <v>34275</v>
      </c>
      <c r="B749" s="1815">
        <v>34250</v>
      </c>
      <c r="C749" s="1815">
        <v>34300</v>
      </c>
      <c r="D749" s="1816">
        <f t="shared" si="59"/>
        <v>3893</v>
      </c>
      <c r="E749" s="1816">
        <f t="shared" si="60"/>
        <v>3673</v>
      </c>
      <c r="F749" s="1816">
        <f t="shared" si="61"/>
        <v>3893</v>
      </c>
      <c r="G749" s="1816">
        <f t="shared" si="62"/>
        <v>3799</v>
      </c>
    </row>
    <row r="750" spans="1:7" ht="15.75">
      <c r="A750" s="1961">
        <f t="shared" si="63"/>
        <v>34325</v>
      </c>
      <c r="B750" s="1815">
        <v>34300</v>
      </c>
      <c r="C750" s="1815">
        <v>34350</v>
      </c>
      <c r="D750" s="1816">
        <f t="shared" si="59"/>
        <v>3899</v>
      </c>
      <c r="E750" s="1816">
        <f t="shared" si="60"/>
        <v>3679</v>
      </c>
      <c r="F750" s="1816">
        <f t="shared" si="61"/>
        <v>3899</v>
      </c>
      <c r="G750" s="1816">
        <f t="shared" si="62"/>
        <v>3805</v>
      </c>
    </row>
    <row r="751" spans="1:7" ht="15.75">
      <c r="A751" s="1961">
        <f t="shared" si="63"/>
        <v>34375</v>
      </c>
      <c r="B751" s="1815">
        <v>34350</v>
      </c>
      <c r="C751" s="1815">
        <v>34400</v>
      </c>
      <c r="D751" s="1816">
        <f t="shared" si="59"/>
        <v>3905</v>
      </c>
      <c r="E751" s="1816">
        <f t="shared" si="60"/>
        <v>3685</v>
      </c>
      <c r="F751" s="1816">
        <f t="shared" si="61"/>
        <v>3905</v>
      </c>
      <c r="G751" s="1816">
        <f t="shared" si="62"/>
        <v>3811</v>
      </c>
    </row>
    <row r="752" spans="1:7" ht="15.75">
      <c r="A752" s="1961">
        <f t="shared" si="63"/>
        <v>34425</v>
      </c>
      <c r="B752" s="1815">
        <v>34400</v>
      </c>
      <c r="C752" s="1815">
        <v>34450</v>
      </c>
      <c r="D752" s="1816">
        <f t="shared" si="59"/>
        <v>3911</v>
      </c>
      <c r="E752" s="1816">
        <f t="shared" si="60"/>
        <v>3691</v>
      </c>
      <c r="F752" s="1816">
        <f t="shared" si="61"/>
        <v>3911</v>
      </c>
      <c r="G752" s="1816">
        <f t="shared" si="62"/>
        <v>3817</v>
      </c>
    </row>
    <row r="753" spans="1:7" ht="15.75">
      <c r="A753" s="1961">
        <f t="shared" si="63"/>
        <v>34475</v>
      </c>
      <c r="B753" s="1815">
        <v>34450</v>
      </c>
      <c r="C753" s="1815">
        <v>34500</v>
      </c>
      <c r="D753" s="1816">
        <f t="shared" si="59"/>
        <v>3917</v>
      </c>
      <c r="E753" s="1816">
        <f t="shared" si="60"/>
        <v>3697</v>
      </c>
      <c r="F753" s="1816">
        <f t="shared" si="61"/>
        <v>3917</v>
      </c>
      <c r="G753" s="1816">
        <f t="shared" si="62"/>
        <v>3823</v>
      </c>
    </row>
    <row r="754" spans="1:7" ht="15.75">
      <c r="A754" s="1961">
        <f t="shared" si="63"/>
        <v>34525</v>
      </c>
      <c r="B754" s="1815">
        <v>34500</v>
      </c>
      <c r="C754" s="1815">
        <v>34550</v>
      </c>
      <c r="D754" s="1816">
        <f t="shared" si="59"/>
        <v>3923</v>
      </c>
      <c r="E754" s="1816">
        <f t="shared" si="60"/>
        <v>3703</v>
      </c>
      <c r="F754" s="1816">
        <f t="shared" si="61"/>
        <v>3923</v>
      </c>
      <c r="G754" s="1816">
        <f t="shared" si="62"/>
        <v>3829</v>
      </c>
    </row>
    <row r="755" spans="1:7" ht="15.75">
      <c r="A755" s="1961">
        <f t="shared" si="63"/>
        <v>34575</v>
      </c>
      <c r="B755" s="1815">
        <v>34550</v>
      </c>
      <c r="C755" s="1815">
        <v>34600</v>
      </c>
      <c r="D755" s="1816">
        <f t="shared" si="59"/>
        <v>3929</v>
      </c>
      <c r="E755" s="1816">
        <f t="shared" si="60"/>
        <v>3709</v>
      </c>
      <c r="F755" s="1816">
        <f t="shared" si="61"/>
        <v>3929</v>
      </c>
      <c r="G755" s="1816">
        <f t="shared" si="62"/>
        <v>3835</v>
      </c>
    </row>
    <row r="756" spans="1:7" ht="15.75">
      <c r="A756" s="1961">
        <f t="shared" si="63"/>
        <v>34625</v>
      </c>
      <c r="B756" s="1815">
        <v>34600</v>
      </c>
      <c r="C756" s="1815">
        <v>34650</v>
      </c>
      <c r="D756" s="1816">
        <f t="shared" si="59"/>
        <v>3935</v>
      </c>
      <c r="E756" s="1816">
        <f t="shared" si="60"/>
        <v>3715</v>
      </c>
      <c r="F756" s="1816">
        <f t="shared" si="61"/>
        <v>3935</v>
      </c>
      <c r="G756" s="1816">
        <f t="shared" si="62"/>
        <v>3841</v>
      </c>
    </row>
    <row r="757" spans="1:7" ht="15.75">
      <c r="A757" s="1961">
        <f t="shared" si="63"/>
        <v>34675</v>
      </c>
      <c r="B757" s="1815">
        <v>34650</v>
      </c>
      <c r="C757" s="1815">
        <v>34700</v>
      </c>
      <c r="D757" s="1816">
        <f t="shared" si="59"/>
        <v>3941</v>
      </c>
      <c r="E757" s="1816">
        <f t="shared" si="60"/>
        <v>3721</v>
      </c>
      <c r="F757" s="1816">
        <f t="shared" si="61"/>
        <v>3941</v>
      </c>
      <c r="G757" s="1816">
        <f t="shared" si="62"/>
        <v>3847</v>
      </c>
    </row>
    <row r="758" spans="1:7" ht="15.75">
      <c r="A758" s="1961">
        <f t="shared" si="63"/>
        <v>34725</v>
      </c>
      <c r="B758" s="1815">
        <v>34700</v>
      </c>
      <c r="C758" s="1815">
        <v>34750</v>
      </c>
      <c r="D758" s="1816">
        <f t="shared" si="59"/>
        <v>3947</v>
      </c>
      <c r="E758" s="1816">
        <f t="shared" si="60"/>
        <v>3727</v>
      </c>
      <c r="F758" s="1816">
        <f t="shared" si="61"/>
        <v>3947</v>
      </c>
      <c r="G758" s="1816">
        <f t="shared" si="62"/>
        <v>3853</v>
      </c>
    </row>
    <row r="759" spans="1:7" ht="15.75">
      <c r="A759" s="1961">
        <f t="shared" si="63"/>
        <v>34775</v>
      </c>
      <c r="B759" s="1815">
        <v>34750</v>
      </c>
      <c r="C759" s="1815">
        <v>34800</v>
      </c>
      <c r="D759" s="1816">
        <f t="shared" si="59"/>
        <v>3953</v>
      </c>
      <c r="E759" s="1816">
        <f t="shared" si="60"/>
        <v>3733</v>
      </c>
      <c r="F759" s="1816">
        <f t="shared" si="61"/>
        <v>3953</v>
      </c>
      <c r="G759" s="1816">
        <f t="shared" si="62"/>
        <v>3859</v>
      </c>
    </row>
    <row r="760" spans="1:7" ht="15.75">
      <c r="A760" s="1961">
        <f t="shared" si="63"/>
        <v>34825</v>
      </c>
      <c r="B760" s="1815">
        <v>34800</v>
      </c>
      <c r="C760" s="1815">
        <v>34850</v>
      </c>
      <c r="D760" s="1816">
        <f t="shared" si="59"/>
        <v>3959</v>
      </c>
      <c r="E760" s="1816">
        <f t="shared" si="60"/>
        <v>3739</v>
      </c>
      <c r="F760" s="1816">
        <f t="shared" si="61"/>
        <v>3959</v>
      </c>
      <c r="G760" s="1816">
        <f t="shared" si="62"/>
        <v>3865</v>
      </c>
    </row>
    <row r="761" spans="1:7" ht="15.75">
      <c r="A761" s="1961">
        <f t="shared" si="63"/>
        <v>34875</v>
      </c>
      <c r="B761" s="1815">
        <v>34850</v>
      </c>
      <c r="C761" s="1815">
        <v>34900</v>
      </c>
      <c r="D761" s="1816">
        <f t="shared" si="59"/>
        <v>3965</v>
      </c>
      <c r="E761" s="1816">
        <f t="shared" si="60"/>
        <v>3745</v>
      </c>
      <c r="F761" s="1816">
        <f t="shared" si="61"/>
        <v>3965</v>
      </c>
      <c r="G761" s="1816">
        <f t="shared" si="62"/>
        <v>3871</v>
      </c>
    </row>
    <row r="762" spans="1:7" ht="15.75">
      <c r="A762" s="1961">
        <f t="shared" si="63"/>
        <v>34925</v>
      </c>
      <c r="B762" s="1815">
        <v>34900</v>
      </c>
      <c r="C762" s="1815">
        <v>34950</v>
      </c>
      <c r="D762" s="1816">
        <f t="shared" si="59"/>
        <v>3971</v>
      </c>
      <c r="E762" s="1816">
        <f t="shared" si="60"/>
        <v>3751</v>
      </c>
      <c r="F762" s="1816">
        <f t="shared" si="61"/>
        <v>3971</v>
      </c>
      <c r="G762" s="1816">
        <f t="shared" si="62"/>
        <v>3877</v>
      </c>
    </row>
    <row r="763" spans="1:7" ht="15.75">
      <c r="A763" s="1961">
        <f t="shared" si="63"/>
        <v>34975</v>
      </c>
      <c r="B763" s="1815">
        <v>34950</v>
      </c>
      <c r="C763" s="1815">
        <v>35000</v>
      </c>
      <c r="D763" s="1816">
        <f t="shared" si="59"/>
        <v>3977</v>
      </c>
      <c r="E763" s="1816">
        <f t="shared" si="60"/>
        <v>3757</v>
      </c>
      <c r="F763" s="1816">
        <f t="shared" si="61"/>
        <v>3977</v>
      </c>
      <c r="G763" s="1816">
        <f t="shared" si="62"/>
        <v>3883</v>
      </c>
    </row>
    <row r="764" spans="1:7" ht="15.75">
      <c r="A764" s="1961">
        <f t="shared" si="63"/>
        <v>35025</v>
      </c>
      <c r="B764" s="1815">
        <v>35000</v>
      </c>
      <c r="C764" s="1815">
        <v>35050</v>
      </c>
      <c r="D764" s="1816">
        <f t="shared" si="59"/>
        <v>3983</v>
      </c>
      <c r="E764" s="1816">
        <f t="shared" si="60"/>
        <v>3763</v>
      </c>
      <c r="F764" s="1816">
        <f t="shared" si="61"/>
        <v>3983</v>
      </c>
      <c r="G764" s="1816">
        <f t="shared" si="62"/>
        <v>3889</v>
      </c>
    </row>
    <row r="765" spans="1:7" ht="15.75">
      <c r="A765" s="1961">
        <f t="shared" si="63"/>
        <v>35075</v>
      </c>
      <c r="B765" s="1815">
        <v>35050</v>
      </c>
      <c r="C765" s="1815">
        <v>35100</v>
      </c>
      <c r="D765" s="1816">
        <f t="shared" si="59"/>
        <v>3989</v>
      </c>
      <c r="E765" s="1816">
        <f t="shared" si="60"/>
        <v>3769</v>
      </c>
      <c r="F765" s="1816">
        <f t="shared" si="61"/>
        <v>3989</v>
      </c>
      <c r="G765" s="1816">
        <f t="shared" si="62"/>
        <v>3895</v>
      </c>
    </row>
    <row r="766" spans="1:7" ht="15.75">
      <c r="A766" s="1961">
        <f t="shared" si="63"/>
        <v>35125</v>
      </c>
      <c r="B766" s="1815">
        <v>35100</v>
      </c>
      <c r="C766" s="1815">
        <v>35150</v>
      </c>
      <c r="D766" s="1816">
        <f t="shared" si="59"/>
        <v>3995</v>
      </c>
      <c r="E766" s="1816">
        <f t="shared" si="60"/>
        <v>3775</v>
      </c>
      <c r="F766" s="1816">
        <f t="shared" si="61"/>
        <v>3995</v>
      </c>
      <c r="G766" s="1816">
        <f t="shared" si="62"/>
        <v>3901</v>
      </c>
    </row>
    <row r="767" spans="1:7" ht="15.75">
      <c r="A767" s="1961">
        <f t="shared" si="63"/>
        <v>35175</v>
      </c>
      <c r="B767" s="1815">
        <v>35150</v>
      </c>
      <c r="C767" s="1815">
        <v>35200</v>
      </c>
      <c r="D767" s="1816">
        <f t="shared" si="59"/>
        <v>4001</v>
      </c>
      <c r="E767" s="1816">
        <f t="shared" si="60"/>
        <v>3781</v>
      </c>
      <c r="F767" s="1816">
        <f t="shared" si="61"/>
        <v>4001</v>
      </c>
      <c r="G767" s="1816">
        <f t="shared" si="62"/>
        <v>3907</v>
      </c>
    </row>
    <row r="768" spans="1:7" ht="15.75">
      <c r="A768" s="1961">
        <f t="shared" si="63"/>
        <v>35225</v>
      </c>
      <c r="B768" s="1815">
        <v>35200</v>
      </c>
      <c r="C768" s="1815">
        <v>35250</v>
      </c>
      <c r="D768" s="1816">
        <f t="shared" si="59"/>
        <v>4007</v>
      </c>
      <c r="E768" s="1816">
        <f t="shared" si="60"/>
        <v>3787</v>
      </c>
      <c r="F768" s="1816">
        <f t="shared" si="61"/>
        <v>4007</v>
      </c>
      <c r="G768" s="1816">
        <f t="shared" si="62"/>
        <v>3913</v>
      </c>
    </row>
    <row r="769" spans="1:7" ht="15.75">
      <c r="A769" s="1961">
        <f t="shared" si="63"/>
        <v>35275</v>
      </c>
      <c r="B769" s="1815">
        <v>35250</v>
      </c>
      <c r="C769" s="1815">
        <v>35300</v>
      </c>
      <c r="D769" s="1816">
        <f t="shared" si="59"/>
        <v>4013</v>
      </c>
      <c r="E769" s="1816">
        <f t="shared" si="60"/>
        <v>3793</v>
      </c>
      <c r="F769" s="1816">
        <f t="shared" si="61"/>
        <v>4013</v>
      </c>
      <c r="G769" s="1816">
        <f t="shared" si="62"/>
        <v>3919</v>
      </c>
    </row>
    <row r="770" spans="1:7" ht="15.75">
      <c r="A770" s="1961">
        <f t="shared" si="63"/>
        <v>35325</v>
      </c>
      <c r="B770" s="1815">
        <v>35300</v>
      </c>
      <c r="C770" s="1815">
        <v>35350</v>
      </c>
      <c r="D770" s="1816">
        <f t="shared" ref="D770:D833" si="64">IF($A770&gt;BOTT_A4,ROUND(BASE_A4+RATE_A4*($A770-BOTT_A4),0),IF($A770&gt;BOTT_A3,ROUND(BASE_A3+RATE_A3*($A770-BOTT_A3),0),IF($A770&gt;BOTT_A2,ROUND(BASE_A2+RATE_A2*($A770-BOTT_A2),0),ROUND(RATE_A1*$A770,0))))</f>
        <v>4019</v>
      </c>
      <c r="E770" s="1816">
        <f t="shared" ref="E770:E833" si="65">IF($A770&gt;BOTT_B4,ROUND(BASE_B4+RATE_B4*($A770-BOTT_B4),0),IF($A770&gt;BOTT_B3,ROUND(BASE_B3+RATE_B3*($A770-BOTT_B3),0),IF($A770&gt;BOTT_B2,ROUND(BASE_B2+RATE_B2*($A770-BOTT_B2),0),ROUND(RATE_B1*$A770,0))))</f>
        <v>3799</v>
      </c>
      <c r="F770" s="1816">
        <f t="shared" ref="F770:F833" si="66">IF($A770&gt;BOTT_C4,ROUND(BASE_C4+RATE_C4*($A770-BOTT_C4),0),IF($A770&gt;BOTT_C3,ROUND(BASE_C3+RATE_C3*($A770-BOTT_C3),0),IF($A770&gt;BOTT_C2,ROUND(BASE_C2+RATE_C2*($A770-BOTT_C2),0),ROUND(RATE_C1*$A770,0))))</f>
        <v>4019</v>
      </c>
      <c r="G770" s="1816">
        <f t="shared" ref="G770:G833" si="67">IF($A770&gt;BOTT_D4,ROUND(BASE_D4+RATE_D4*($A770-BOTT_D4),0),IF($A770&gt;BOTT_D3,ROUND(BASE_D3+RATE_D3*($A770-BOTT_D3),0),IF($A770&gt;BOTT_D2,ROUND(BASE_D2+RATE_D2*($A770-BOTT_D2),0),ROUND(RATE_D1*$A770,0))))</f>
        <v>3925</v>
      </c>
    </row>
    <row r="771" spans="1:7" ht="15.75">
      <c r="A771" s="1961">
        <f t="shared" ref="A771:A834" si="68">AVERAGE(B771,C771)</f>
        <v>35375</v>
      </c>
      <c r="B771" s="1815">
        <v>35350</v>
      </c>
      <c r="C771" s="1815">
        <v>35400</v>
      </c>
      <c r="D771" s="1816">
        <f t="shared" si="64"/>
        <v>4025</v>
      </c>
      <c r="E771" s="1816">
        <f t="shared" si="65"/>
        <v>3805</v>
      </c>
      <c r="F771" s="1816">
        <f t="shared" si="66"/>
        <v>4025</v>
      </c>
      <c r="G771" s="1816">
        <f t="shared" si="67"/>
        <v>3931</v>
      </c>
    </row>
    <row r="772" spans="1:7" ht="15.75">
      <c r="A772" s="1961">
        <f t="shared" si="68"/>
        <v>35425</v>
      </c>
      <c r="B772" s="1815">
        <v>35400</v>
      </c>
      <c r="C772" s="1815">
        <v>35450</v>
      </c>
      <c r="D772" s="1816">
        <f t="shared" si="64"/>
        <v>4031</v>
      </c>
      <c r="E772" s="1816">
        <f t="shared" si="65"/>
        <v>3811</v>
      </c>
      <c r="F772" s="1816">
        <f t="shared" si="66"/>
        <v>4031</v>
      </c>
      <c r="G772" s="1816">
        <f t="shared" si="67"/>
        <v>3937</v>
      </c>
    </row>
    <row r="773" spans="1:7" ht="15.75">
      <c r="A773" s="1961">
        <f t="shared" si="68"/>
        <v>35475</v>
      </c>
      <c r="B773" s="1815">
        <v>35450</v>
      </c>
      <c r="C773" s="1815">
        <v>35500</v>
      </c>
      <c r="D773" s="1816">
        <f t="shared" si="64"/>
        <v>4037</v>
      </c>
      <c r="E773" s="1816">
        <f t="shared" si="65"/>
        <v>3817</v>
      </c>
      <c r="F773" s="1816">
        <f t="shared" si="66"/>
        <v>4037</v>
      </c>
      <c r="G773" s="1816">
        <f t="shared" si="67"/>
        <v>3943</v>
      </c>
    </row>
    <row r="774" spans="1:7" ht="15.75">
      <c r="A774" s="1961">
        <f t="shared" si="68"/>
        <v>35525</v>
      </c>
      <c r="B774" s="1815">
        <v>35500</v>
      </c>
      <c r="C774" s="1815">
        <v>35550</v>
      </c>
      <c r="D774" s="1816">
        <f t="shared" si="64"/>
        <v>4043</v>
      </c>
      <c r="E774" s="1816">
        <f t="shared" si="65"/>
        <v>3823</v>
      </c>
      <c r="F774" s="1816">
        <f t="shared" si="66"/>
        <v>4043</v>
      </c>
      <c r="G774" s="1816">
        <f t="shared" si="67"/>
        <v>3949</v>
      </c>
    </row>
    <row r="775" spans="1:7" ht="15.75">
      <c r="A775" s="1961">
        <f t="shared" si="68"/>
        <v>35575</v>
      </c>
      <c r="B775" s="1815">
        <v>35550</v>
      </c>
      <c r="C775" s="1815">
        <v>35600</v>
      </c>
      <c r="D775" s="1816">
        <f t="shared" si="64"/>
        <v>4049</v>
      </c>
      <c r="E775" s="1816">
        <f t="shared" si="65"/>
        <v>3829</v>
      </c>
      <c r="F775" s="1816">
        <f t="shared" si="66"/>
        <v>4049</v>
      </c>
      <c r="G775" s="1816">
        <f t="shared" si="67"/>
        <v>3955</v>
      </c>
    </row>
    <row r="776" spans="1:7" ht="15.75">
      <c r="A776" s="1961">
        <f t="shared" si="68"/>
        <v>35625</v>
      </c>
      <c r="B776" s="1815">
        <v>35600</v>
      </c>
      <c r="C776" s="1815">
        <v>35650</v>
      </c>
      <c r="D776" s="1816">
        <f t="shared" si="64"/>
        <v>4055</v>
      </c>
      <c r="E776" s="1816">
        <f t="shared" si="65"/>
        <v>3835</v>
      </c>
      <c r="F776" s="1816">
        <f t="shared" si="66"/>
        <v>4055</v>
      </c>
      <c r="G776" s="1816">
        <f t="shared" si="67"/>
        <v>3961</v>
      </c>
    </row>
    <row r="777" spans="1:7" ht="15.75">
      <c r="A777" s="1961">
        <f t="shared" si="68"/>
        <v>35675</v>
      </c>
      <c r="B777" s="1815">
        <v>35650</v>
      </c>
      <c r="C777" s="1815">
        <v>35700</v>
      </c>
      <c r="D777" s="1816">
        <f t="shared" si="64"/>
        <v>4061</v>
      </c>
      <c r="E777" s="1816">
        <f t="shared" si="65"/>
        <v>3841</v>
      </c>
      <c r="F777" s="1816">
        <f t="shared" si="66"/>
        <v>4061</v>
      </c>
      <c r="G777" s="1816">
        <f t="shared" si="67"/>
        <v>3967</v>
      </c>
    </row>
    <row r="778" spans="1:7" ht="15.75">
      <c r="A778" s="1961">
        <f t="shared" si="68"/>
        <v>35725</v>
      </c>
      <c r="B778" s="1815">
        <v>35700</v>
      </c>
      <c r="C778" s="1815">
        <v>35750</v>
      </c>
      <c r="D778" s="1816">
        <f t="shared" si="64"/>
        <v>4067</v>
      </c>
      <c r="E778" s="1816">
        <f t="shared" si="65"/>
        <v>3847</v>
      </c>
      <c r="F778" s="1816">
        <f t="shared" si="66"/>
        <v>4067</v>
      </c>
      <c r="G778" s="1816">
        <f t="shared" si="67"/>
        <v>3973</v>
      </c>
    </row>
    <row r="779" spans="1:7" ht="15.75">
      <c r="A779" s="1961">
        <f t="shared" si="68"/>
        <v>35775</v>
      </c>
      <c r="B779" s="1815">
        <v>35750</v>
      </c>
      <c r="C779" s="1815">
        <v>35800</v>
      </c>
      <c r="D779" s="1816">
        <f t="shared" si="64"/>
        <v>4073</v>
      </c>
      <c r="E779" s="1816">
        <f t="shared" si="65"/>
        <v>3853</v>
      </c>
      <c r="F779" s="1816">
        <f t="shared" si="66"/>
        <v>4073</v>
      </c>
      <c r="G779" s="1816">
        <f t="shared" si="67"/>
        <v>3979</v>
      </c>
    </row>
    <row r="780" spans="1:7" ht="15.75">
      <c r="A780" s="1961">
        <f t="shared" si="68"/>
        <v>35825</v>
      </c>
      <c r="B780" s="1815">
        <v>35800</v>
      </c>
      <c r="C780" s="1815">
        <v>35850</v>
      </c>
      <c r="D780" s="1816">
        <f t="shared" si="64"/>
        <v>4079</v>
      </c>
      <c r="E780" s="1816">
        <f t="shared" si="65"/>
        <v>3859</v>
      </c>
      <c r="F780" s="1816">
        <f t="shared" si="66"/>
        <v>4079</v>
      </c>
      <c r="G780" s="1816">
        <f t="shared" si="67"/>
        <v>3985</v>
      </c>
    </row>
    <row r="781" spans="1:7" ht="15.75">
      <c r="A781" s="1961">
        <f t="shared" si="68"/>
        <v>35875</v>
      </c>
      <c r="B781" s="1815">
        <v>35850</v>
      </c>
      <c r="C781" s="1815">
        <v>35900</v>
      </c>
      <c r="D781" s="1816">
        <f t="shared" si="64"/>
        <v>4085</v>
      </c>
      <c r="E781" s="1816">
        <f t="shared" si="65"/>
        <v>3865</v>
      </c>
      <c r="F781" s="1816">
        <f t="shared" si="66"/>
        <v>4085</v>
      </c>
      <c r="G781" s="1816">
        <f t="shared" si="67"/>
        <v>3991</v>
      </c>
    </row>
    <row r="782" spans="1:7" ht="15.75">
      <c r="A782" s="1961">
        <f t="shared" si="68"/>
        <v>35925</v>
      </c>
      <c r="B782" s="1815">
        <v>35900</v>
      </c>
      <c r="C782" s="1815">
        <v>35950</v>
      </c>
      <c r="D782" s="1816">
        <f t="shared" si="64"/>
        <v>4091</v>
      </c>
      <c r="E782" s="1816">
        <f t="shared" si="65"/>
        <v>3871</v>
      </c>
      <c r="F782" s="1816">
        <f t="shared" si="66"/>
        <v>4091</v>
      </c>
      <c r="G782" s="1816">
        <f t="shared" si="67"/>
        <v>3997</v>
      </c>
    </row>
    <row r="783" spans="1:7" ht="15.75">
      <c r="A783" s="1961">
        <f t="shared" si="68"/>
        <v>35975</v>
      </c>
      <c r="B783" s="1815">
        <v>35950</v>
      </c>
      <c r="C783" s="1815">
        <v>36000</v>
      </c>
      <c r="D783" s="1816">
        <f t="shared" si="64"/>
        <v>4097</v>
      </c>
      <c r="E783" s="1816">
        <f t="shared" si="65"/>
        <v>3877</v>
      </c>
      <c r="F783" s="1816">
        <f t="shared" si="66"/>
        <v>4097</v>
      </c>
      <c r="G783" s="1816">
        <f t="shared" si="67"/>
        <v>4003</v>
      </c>
    </row>
    <row r="784" spans="1:7" ht="15.75">
      <c r="A784" s="1961">
        <f t="shared" si="68"/>
        <v>36025</v>
      </c>
      <c r="B784" s="1815">
        <v>36000</v>
      </c>
      <c r="C784" s="1815">
        <v>36050</v>
      </c>
      <c r="D784" s="1816">
        <f t="shared" si="64"/>
        <v>4103</v>
      </c>
      <c r="E784" s="1816">
        <f t="shared" si="65"/>
        <v>3883</v>
      </c>
      <c r="F784" s="1816">
        <f t="shared" si="66"/>
        <v>4103</v>
      </c>
      <c r="G784" s="1816">
        <f t="shared" si="67"/>
        <v>4009</v>
      </c>
    </row>
    <row r="785" spans="1:7" ht="15.75">
      <c r="A785" s="1961">
        <f t="shared" si="68"/>
        <v>36075</v>
      </c>
      <c r="B785" s="1815">
        <v>36050</v>
      </c>
      <c r="C785" s="1815">
        <v>36100</v>
      </c>
      <c r="D785" s="1816">
        <f t="shared" si="64"/>
        <v>4109</v>
      </c>
      <c r="E785" s="1816">
        <f t="shared" si="65"/>
        <v>3889</v>
      </c>
      <c r="F785" s="1816">
        <f t="shared" si="66"/>
        <v>4109</v>
      </c>
      <c r="G785" s="1816">
        <f t="shared" si="67"/>
        <v>4015</v>
      </c>
    </row>
    <row r="786" spans="1:7" ht="15.75">
      <c r="A786" s="1961">
        <f t="shared" si="68"/>
        <v>36125</v>
      </c>
      <c r="B786" s="1815">
        <v>36100</v>
      </c>
      <c r="C786" s="1815">
        <v>36150</v>
      </c>
      <c r="D786" s="1816">
        <f t="shared" si="64"/>
        <v>4115</v>
      </c>
      <c r="E786" s="1816">
        <f t="shared" si="65"/>
        <v>3895</v>
      </c>
      <c r="F786" s="1816">
        <f t="shared" si="66"/>
        <v>4115</v>
      </c>
      <c r="G786" s="1816">
        <f t="shared" si="67"/>
        <v>4021</v>
      </c>
    </row>
    <row r="787" spans="1:7" ht="15.75">
      <c r="A787" s="1961">
        <f t="shared" si="68"/>
        <v>36175</v>
      </c>
      <c r="B787" s="1815">
        <v>36150</v>
      </c>
      <c r="C787" s="1815">
        <v>36200</v>
      </c>
      <c r="D787" s="1816">
        <f t="shared" si="64"/>
        <v>4121</v>
      </c>
      <c r="E787" s="1816">
        <f t="shared" si="65"/>
        <v>3901</v>
      </c>
      <c r="F787" s="1816">
        <f t="shared" si="66"/>
        <v>4121</v>
      </c>
      <c r="G787" s="1816">
        <f t="shared" si="67"/>
        <v>4027</v>
      </c>
    </row>
    <row r="788" spans="1:7" ht="15.75">
      <c r="A788" s="1961">
        <f t="shared" si="68"/>
        <v>36225</v>
      </c>
      <c r="B788" s="1815">
        <v>36200</v>
      </c>
      <c r="C788" s="1815">
        <v>36250</v>
      </c>
      <c r="D788" s="1816">
        <f t="shared" si="64"/>
        <v>4127</v>
      </c>
      <c r="E788" s="1816">
        <f t="shared" si="65"/>
        <v>3907</v>
      </c>
      <c r="F788" s="1816">
        <f t="shared" si="66"/>
        <v>4127</v>
      </c>
      <c r="G788" s="1816">
        <f t="shared" si="67"/>
        <v>4033</v>
      </c>
    </row>
    <row r="789" spans="1:7" ht="15.75">
      <c r="A789" s="1961">
        <f t="shared" si="68"/>
        <v>36275</v>
      </c>
      <c r="B789" s="1815">
        <v>36250</v>
      </c>
      <c r="C789" s="1815">
        <v>36300</v>
      </c>
      <c r="D789" s="1816">
        <f t="shared" si="64"/>
        <v>4133</v>
      </c>
      <c r="E789" s="1816">
        <f t="shared" si="65"/>
        <v>3913</v>
      </c>
      <c r="F789" s="1816">
        <f t="shared" si="66"/>
        <v>4133</v>
      </c>
      <c r="G789" s="1816">
        <f t="shared" si="67"/>
        <v>4039</v>
      </c>
    </row>
    <row r="790" spans="1:7" ht="15.75">
      <c r="A790" s="1961">
        <f t="shared" si="68"/>
        <v>36325</v>
      </c>
      <c r="B790" s="1815">
        <v>36300</v>
      </c>
      <c r="C790" s="1815">
        <v>36350</v>
      </c>
      <c r="D790" s="1816">
        <f t="shared" si="64"/>
        <v>4139</v>
      </c>
      <c r="E790" s="1816">
        <f t="shared" si="65"/>
        <v>3919</v>
      </c>
      <c r="F790" s="1816">
        <f t="shared" si="66"/>
        <v>4139</v>
      </c>
      <c r="G790" s="1816">
        <f t="shared" si="67"/>
        <v>4045</v>
      </c>
    </row>
    <row r="791" spans="1:7" ht="15.75">
      <c r="A791" s="1961">
        <f t="shared" si="68"/>
        <v>36375</v>
      </c>
      <c r="B791" s="1815">
        <v>36350</v>
      </c>
      <c r="C791" s="1815">
        <v>36400</v>
      </c>
      <c r="D791" s="1816">
        <f t="shared" si="64"/>
        <v>4145</v>
      </c>
      <c r="E791" s="1816">
        <f t="shared" si="65"/>
        <v>3925</v>
      </c>
      <c r="F791" s="1816">
        <f t="shared" si="66"/>
        <v>4145</v>
      </c>
      <c r="G791" s="1816">
        <f t="shared" si="67"/>
        <v>4051</v>
      </c>
    </row>
    <row r="792" spans="1:7" ht="15.75">
      <c r="A792" s="1961">
        <f t="shared" si="68"/>
        <v>36425</v>
      </c>
      <c r="B792" s="1815">
        <v>36400</v>
      </c>
      <c r="C792" s="1815">
        <v>36450</v>
      </c>
      <c r="D792" s="1816">
        <f t="shared" si="64"/>
        <v>4151</v>
      </c>
      <c r="E792" s="1816">
        <f t="shared" si="65"/>
        <v>3931</v>
      </c>
      <c r="F792" s="1816">
        <f t="shared" si="66"/>
        <v>4151</v>
      </c>
      <c r="G792" s="1816">
        <f t="shared" si="67"/>
        <v>4057</v>
      </c>
    </row>
    <row r="793" spans="1:7" ht="15.75">
      <c r="A793" s="1961">
        <f t="shared" si="68"/>
        <v>36475</v>
      </c>
      <c r="B793" s="1815">
        <v>36450</v>
      </c>
      <c r="C793" s="1815">
        <v>36500</v>
      </c>
      <c r="D793" s="1816">
        <f t="shared" si="64"/>
        <v>4157</v>
      </c>
      <c r="E793" s="1816">
        <f t="shared" si="65"/>
        <v>3937</v>
      </c>
      <c r="F793" s="1816">
        <f t="shared" si="66"/>
        <v>4157</v>
      </c>
      <c r="G793" s="1816">
        <f t="shared" si="67"/>
        <v>4063</v>
      </c>
    </row>
    <row r="794" spans="1:7" ht="15.75">
      <c r="A794" s="1961">
        <f t="shared" si="68"/>
        <v>36525</v>
      </c>
      <c r="B794" s="1815">
        <v>36500</v>
      </c>
      <c r="C794" s="1815">
        <v>36550</v>
      </c>
      <c r="D794" s="1816">
        <f t="shared" si="64"/>
        <v>4163</v>
      </c>
      <c r="E794" s="1816">
        <f t="shared" si="65"/>
        <v>3943</v>
      </c>
      <c r="F794" s="1816">
        <f t="shared" si="66"/>
        <v>4163</v>
      </c>
      <c r="G794" s="1816">
        <f t="shared" si="67"/>
        <v>4069</v>
      </c>
    </row>
    <row r="795" spans="1:7" ht="15.75">
      <c r="A795" s="1961">
        <f t="shared" si="68"/>
        <v>36575</v>
      </c>
      <c r="B795" s="1815">
        <v>36550</v>
      </c>
      <c r="C795" s="1815">
        <v>36600</v>
      </c>
      <c r="D795" s="1816">
        <f t="shared" si="64"/>
        <v>4169</v>
      </c>
      <c r="E795" s="1816">
        <f t="shared" si="65"/>
        <v>3949</v>
      </c>
      <c r="F795" s="1816">
        <f t="shared" si="66"/>
        <v>4169</v>
      </c>
      <c r="G795" s="1816">
        <f t="shared" si="67"/>
        <v>4075</v>
      </c>
    </row>
    <row r="796" spans="1:7" ht="15.75">
      <c r="A796" s="1961">
        <f t="shared" si="68"/>
        <v>36625</v>
      </c>
      <c r="B796" s="1815">
        <v>36600</v>
      </c>
      <c r="C796" s="1815">
        <v>36650</v>
      </c>
      <c r="D796" s="1816">
        <f t="shared" si="64"/>
        <v>4175</v>
      </c>
      <c r="E796" s="1816">
        <f t="shared" si="65"/>
        <v>3955</v>
      </c>
      <c r="F796" s="1816">
        <f t="shared" si="66"/>
        <v>4175</v>
      </c>
      <c r="G796" s="1816">
        <f t="shared" si="67"/>
        <v>4081</v>
      </c>
    </row>
    <row r="797" spans="1:7" ht="15.75">
      <c r="A797" s="1961">
        <f t="shared" si="68"/>
        <v>36675</v>
      </c>
      <c r="B797" s="1815">
        <v>36650</v>
      </c>
      <c r="C797" s="1815">
        <v>36700</v>
      </c>
      <c r="D797" s="1816">
        <f t="shared" si="64"/>
        <v>4181</v>
      </c>
      <c r="E797" s="1816">
        <f t="shared" si="65"/>
        <v>3961</v>
      </c>
      <c r="F797" s="1816">
        <f t="shared" si="66"/>
        <v>4181</v>
      </c>
      <c r="G797" s="1816">
        <f t="shared" si="67"/>
        <v>4087</v>
      </c>
    </row>
    <row r="798" spans="1:7" ht="15.75">
      <c r="A798" s="1961">
        <f t="shared" si="68"/>
        <v>36725</v>
      </c>
      <c r="B798" s="1815">
        <v>36700</v>
      </c>
      <c r="C798" s="1815">
        <v>36750</v>
      </c>
      <c r="D798" s="1816">
        <f t="shared" si="64"/>
        <v>4187</v>
      </c>
      <c r="E798" s="1816">
        <f t="shared" si="65"/>
        <v>3967</v>
      </c>
      <c r="F798" s="1816">
        <f t="shared" si="66"/>
        <v>4187</v>
      </c>
      <c r="G798" s="1816">
        <f t="shared" si="67"/>
        <v>4093</v>
      </c>
    </row>
    <row r="799" spans="1:7" ht="15.75">
      <c r="A799" s="1961">
        <f t="shared" si="68"/>
        <v>36775</v>
      </c>
      <c r="B799" s="1815">
        <v>36750</v>
      </c>
      <c r="C799" s="1815">
        <v>36800</v>
      </c>
      <c r="D799" s="1816">
        <f t="shared" si="64"/>
        <v>4193</v>
      </c>
      <c r="E799" s="1816">
        <f t="shared" si="65"/>
        <v>3973</v>
      </c>
      <c r="F799" s="1816">
        <f t="shared" si="66"/>
        <v>4193</v>
      </c>
      <c r="G799" s="1816">
        <f t="shared" si="67"/>
        <v>4099</v>
      </c>
    </row>
    <row r="800" spans="1:7" ht="15.75">
      <c r="A800" s="1961">
        <f t="shared" si="68"/>
        <v>36825</v>
      </c>
      <c r="B800" s="1815">
        <v>36800</v>
      </c>
      <c r="C800" s="1815">
        <v>36850</v>
      </c>
      <c r="D800" s="1816">
        <f t="shared" si="64"/>
        <v>4199</v>
      </c>
      <c r="E800" s="1816">
        <f t="shared" si="65"/>
        <v>3979</v>
      </c>
      <c r="F800" s="1816">
        <f t="shared" si="66"/>
        <v>4199</v>
      </c>
      <c r="G800" s="1816">
        <f t="shared" si="67"/>
        <v>4105</v>
      </c>
    </row>
    <row r="801" spans="1:7" ht="15.75">
      <c r="A801" s="1961">
        <f t="shared" si="68"/>
        <v>36875</v>
      </c>
      <c r="B801" s="1815">
        <v>36850</v>
      </c>
      <c r="C801" s="1815">
        <v>36900</v>
      </c>
      <c r="D801" s="1816">
        <f t="shared" si="64"/>
        <v>4205</v>
      </c>
      <c r="E801" s="1816">
        <f t="shared" si="65"/>
        <v>3985</v>
      </c>
      <c r="F801" s="1816">
        <f t="shared" si="66"/>
        <v>4205</v>
      </c>
      <c r="G801" s="1816">
        <f t="shared" si="67"/>
        <v>4111</v>
      </c>
    </row>
    <row r="802" spans="1:7" ht="15.75">
      <c r="A802" s="1961">
        <f t="shared" si="68"/>
        <v>36925</v>
      </c>
      <c r="B802" s="1815">
        <v>36900</v>
      </c>
      <c r="C802" s="1815">
        <v>36950</v>
      </c>
      <c r="D802" s="1816">
        <f t="shared" si="64"/>
        <v>4211</v>
      </c>
      <c r="E802" s="1816">
        <f t="shared" si="65"/>
        <v>3991</v>
      </c>
      <c r="F802" s="1816">
        <f t="shared" si="66"/>
        <v>4211</v>
      </c>
      <c r="G802" s="1816">
        <f t="shared" si="67"/>
        <v>4117</v>
      </c>
    </row>
    <row r="803" spans="1:7" ht="15.75">
      <c r="A803" s="1961">
        <f t="shared" si="68"/>
        <v>36975</v>
      </c>
      <c r="B803" s="1815">
        <v>36950</v>
      </c>
      <c r="C803" s="1815">
        <v>37000</v>
      </c>
      <c r="D803" s="1816">
        <f t="shared" si="64"/>
        <v>4217</v>
      </c>
      <c r="E803" s="1816">
        <f t="shared" si="65"/>
        <v>3997</v>
      </c>
      <c r="F803" s="1816">
        <f t="shared" si="66"/>
        <v>4217</v>
      </c>
      <c r="G803" s="1816">
        <f t="shared" si="67"/>
        <v>4123</v>
      </c>
    </row>
    <row r="804" spans="1:7" ht="15.75">
      <c r="A804" s="1961">
        <f t="shared" si="68"/>
        <v>37025</v>
      </c>
      <c r="B804" s="1815">
        <v>37000</v>
      </c>
      <c r="C804" s="1815">
        <v>37050</v>
      </c>
      <c r="D804" s="1816">
        <f t="shared" si="64"/>
        <v>4223</v>
      </c>
      <c r="E804" s="1816">
        <f t="shared" si="65"/>
        <v>4003</v>
      </c>
      <c r="F804" s="1816">
        <f t="shared" si="66"/>
        <v>4223</v>
      </c>
      <c r="G804" s="1816">
        <f t="shared" si="67"/>
        <v>4129</v>
      </c>
    </row>
    <row r="805" spans="1:7" ht="15.75">
      <c r="A805" s="1961">
        <f t="shared" si="68"/>
        <v>37075</v>
      </c>
      <c r="B805" s="1815">
        <v>37050</v>
      </c>
      <c r="C805" s="1815">
        <v>37100</v>
      </c>
      <c r="D805" s="1816">
        <f t="shared" si="64"/>
        <v>4229</v>
      </c>
      <c r="E805" s="1816">
        <f t="shared" si="65"/>
        <v>4009</v>
      </c>
      <c r="F805" s="1816">
        <f t="shared" si="66"/>
        <v>4229</v>
      </c>
      <c r="G805" s="1816">
        <f t="shared" si="67"/>
        <v>4135</v>
      </c>
    </row>
    <row r="806" spans="1:7" ht="15.75">
      <c r="A806" s="1961">
        <f t="shared" si="68"/>
        <v>37125</v>
      </c>
      <c r="B806" s="1815">
        <v>37100</v>
      </c>
      <c r="C806" s="1815">
        <v>37150</v>
      </c>
      <c r="D806" s="1816">
        <f t="shared" si="64"/>
        <v>4235</v>
      </c>
      <c r="E806" s="1816">
        <f t="shared" si="65"/>
        <v>4015</v>
      </c>
      <c r="F806" s="1816">
        <f t="shared" si="66"/>
        <v>4235</v>
      </c>
      <c r="G806" s="1816">
        <f t="shared" si="67"/>
        <v>4141</v>
      </c>
    </row>
    <row r="807" spans="1:7" ht="15.75">
      <c r="A807" s="1961">
        <f t="shared" si="68"/>
        <v>37175</v>
      </c>
      <c r="B807" s="1815">
        <v>37150</v>
      </c>
      <c r="C807" s="1815">
        <v>37200</v>
      </c>
      <c r="D807" s="1816">
        <f t="shared" si="64"/>
        <v>4241</v>
      </c>
      <c r="E807" s="1816">
        <f t="shared" si="65"/>
        <v>4021</v>
      </c>
      <c r="F807" s="1816">
        <f t="shared" si="66"/>
        <v>4241</v>
      </c>
      <c r="G807" s="1816">
        <f t="shared" si="67"/>
        <v>4147</v>
      </c>
    </row>
    <row r="808" spans="1:7" ht="15.75">
      <c r="A808" s="1961">
        <f t="shared" si="68"/>
        <v>37225</v>
      </c>
      <c r="B808" s="1815">
        <v>37200</v>
      </c>
      <c r="C808" s="1815">
        <v>37250</v>
      </c>
      <c r="D808" s="1816">
        <f t="shared" si="64"/>
        <v>4247</v>
      </c>
      <c r="E808" s="1816">
        <f t="shared" si="65"/>
        <v>4027</v>
      </c>
      <c r="F808" s="1816">
        <f t="shared" si="66"/>
        <v>4247</v>
      </c>
      <c r="G808" s="1816">
        <f t="shared" si="67"/>
        <v>4153</v>
      </c>
    </row>
    <row r="809" spans="1:7" ht="15.75">
      <c r="A809" s="1961">
        <f t="shared" si="68"/>
        <v>37275</v>
      </c>
      <c r="B809" s="1815">
        <v>37250</v>
      </c>
      <c r="C809" s="1815">
        <v>37300</v>
      </c>
      <c r="D809" s="1816">
        <f t="shared" si="64"/>
        <v>4253</v>
      </c>
      <c r="E809" s="1816">
        <f t="shared" si="65"/>
        <v>4033</v>
      </c>
      <c r="F809" s="1816">
        <f t="shared" si="66"/>
        <v>4253</v>
      </c>
      <c r="G809" s="1816">
        <f t="shared" si="67"/>
        <v>4159</v>
      </c>
    </row>
    <row r="810" spans="1:7" ht="15.75">
      <c r="A810" s="1961">
        <f t="shared" si="68"/>
        <v>37325</v>
      </c>
      <c r="B810" s="1815">
        <v>37300</v>
      </c>
      <c r="C810" s="1815">
        <v>37350</v>
      </c>
      <c r="D810" s="1816">
        <f t="shared" si="64"/>
        <v>4259</v>
      </c>
      <c r="E810" s="1816">
        <f t="shared" si="65"/>
        <v>4039</v>
      </c>
      <c r="F810" s="1816">
        <f t="shared" si="66"/>
        <v>4259</v>
      </c>
      <c r="G810" s="1816">
        <f t="shared" si="67"/>
        <v>4165</v>
      </c>
    </row>
    <row r="811" spans="1:7" ht="15.75">
      <c r="A811" s="1961">
        <f t="shared" si="68"/>
        <v>37375</v>
      </c>
      <c r="B811" s="1815">
        <v>37350</v>
      </c>
      <c r="C811" s="1815">
        <v>37400</v>
      </c>
      <c r="D811" s="1816">
        <f t="shared" si="64"/>
        <v>4265</v>
      </c>
      <c r="E811" s="1816">
        <f t="shared" si="65"/>
        <v>4045</v>
      </c>
      <c r="F811" s="1816">
        <f t="shared" si="66"/>
        <v>4265</v>
      </c>
      <c r="G811" s="1816">
        <f t="shared" si="67"/>
        <v>4171</v>
      </c>
    </row>
    <row r="812" spans="1:7" ht="15.75">
      <c r="A812" s="1961">
        <f t="shared" si="68"/>
        <v>37425</v>
      </c>
      <c r="B812" s="1815">
        <v>37400</v>
      </c>
      <c r="C812" s="1815">
        <v>37450</v>
      </c>
      <c r="D812" s="1816">
        <f t="shared" si="64"/>
        <v>4271</v>
      </c>
      <c r="E812" s="1816">
        <f t="shared" si="65"/>
        <v>4051</v>
      </c>
      <c r="F812" s="1816">
        <f t="shared" si="66"/>
        <v>4271</v>
      </c>
      <c r="G812" s="1816">
        <f t="shared" si="67"/>
        <v>4177</v>
      </c>
    </row>
    <row r="813" spans="1:7" ht="15.75">
      <c r="A813" s="1961">
        <f t="shared" si="68"/>
        <v>37475</v>
      </c>
      <c r="B813" s="1815">
        <v>37450</v>
      </c>
      <c r="C813" s="1815">
        <v>37500</v>
      </c>
      <c r="D813" s="1816">
        <f t="shared" si="64"/>
        <v>4277</v>
      </c>
      <c r="E813" s="1816">
        <f t="shared" si="65"/>
        <v>4057</v>
      </c>
      <c r="F813" s="1816">
        <f t="shared" si="66"/>
        <v>4277</v>
      </c>
      <c r="G813" s="1816">
        <f t="shared" si="67"/>
        <v>4183</v>
      </c>
    </row>
    <row r="814" spans="1:7" ht="15.75">
      <c r="A814" s="1961">
        <f t="shared" si="68"/>
        <v>37525</v>
      </c>
      <c r="B814" s="1815">
        <v>37500</v>
      </c>
      <c r="C814" s="1815">
        <v>37550</v>
      </c>
      <c r="D814" s="1816">
        <f t="shared" si="64"/>
        <v>4283</v>
      </c>
      <c r="E814" s="1816">
        <f t="shared" si="65"/>
        <v>4063</v>
      </c>
      <c r="F814" s="1816">
        <f t="shared" si="66"/>
        <v>4283</v>
      </c>
      <c r="G814" s="1816">
        <f t="shared" si="67"/>
        <v>4189</v>
      </c>
    </row>
    <row r="815" spans="1:7" ht="15.75">
      <c r="A815" s="1961">
        <f t="shared" si="68"/>
        <v>37575</v>
      </c>
      <c r="B815" s="1815">
        <v>37550</v>
      </c>
      <c r="C815" s="1815">
        <v>37600</v>
      </c>
      <c r="D815" s="1816">
        <f t="shared" si="64"/>
        <v>4289</v>
      </c>
      <c r="E815" s="1816">
        <f t="shared" si="65"/>
        <v>4069</v>
      </c>
      <c r="F815" s="1816">
        <f t="shared" si="66"/>
        <v>4289</v>
      </c>
      <c r="G815" s="1816">
        <f t="shared" si="67"/>
        <v>4195</v>
      </c>
    </row>
    <row r="816" spans="1:7" ht="15.75">
      <c r="A816" s="1961">
        <f t="shared" si="68"/>
        <v>37625</v>
      </c>
      <c r="B816" s="1815">
        <v>37600</v>
      </c>
      <c r="C816" s="1815">
        <v>37650</v>
      </c>
      <c r="D816" s="1816">
        <f t="shared" si="64"/>
        <v>4295</v>
      </c>
      <c r="E816" s="1816">
        <f t="shared" si="65"/>
        <v>4075</v>
      </c>
      <c r="F816" s="1816">
        <f t="shared" si="66"/>
        <v>4295</v>
      </c>
      <c r="G816" s="1816">
        <f t="shared" si="67"/>
        <v>4201</v>
      </c>
    </row>
    <row r="817" spans="1:7" ht="15.75">
      <c r="A817" s="1961">
        <f t="shared" si="68"/>
        <v>37675</v>
      </c>
      <c r="B817" s="1815">
        <v>37650</v>
      </c>
      <c r="C817" s="1815">
        <v>37700</v>
      </c>
      <c r="D817" s="1816">
        <f t="shared" si="64"/>
        <v>4301</v>
      </c>
      <c r="E817" s="1816">
        <f t="shared" si="65"/>
        <v>4081</v>
      </c>
      <c r="F817" s="1816">
        <f t="shared" si="66"/>
        <v>4301</v>
      </c>
      <c r="G817" s="1816">
        <f t="shared" si="67"/>
        <v>4207</v>
      </c>
    </row>
    <row r="818" spans="1:7" ht="15.75">
      <c r="A818" s="1961">
        <f t="shared" si="68"/>
        <v>37725</v>
      </c>
      <c r="B818" s="1815">
        <v>37700</v>
      </c>
      <c r="C818" s="1815">
        <v>37750</v>
      </c>
      <c r="D818" s="1816">
        <f t="shared" si="64"/>
        <v>4307</v>
      </c>
      <c r="E818" s="1816">
        <f t="shared" si="65"/>
        <v>4087</v>
      </c>
      <c r="F818" s="1816">
        <f t="shared" si="66"/>
        <v>4307</v>
      </c>
      <c r="G818" s="1816">
        <f t="shared" si="67"/>
        <v>4213</v>
      </c>
    </row>
    <row r="819" spans="1:7" ht="15.75">
      <c r="A819" s="1961">
        <f t="shared" si="68"/>
        <v>37775</v>
      </c>
      <c r="B819" s="1815">
        <v>37750</v>
      </c>
      <c r="C819" s="1815">
        <v>37800</v>
      </c>
      <c r="D819" s="1816">
        <f t="shared" si="64"/>
        <v>4313</v>
      </c>
      <c r="E819" s="1816">
        <f t="shared" si="65"/>
        <v>4093</v>
      </c>
      <c r="F819" s="1816">
        <f t="shared" si="66"/>
        <v>4313</v>
      </c>
      <c r="G819" s="1816">
        <f t="shared" si="67"/>
        <v>4219</v>
      </c>
    </row>
    <row r="820" spans="1:7" ht="15.75">
      <c r="A820" s="1961">
        <f t="shared" si="68"/>
        <v>37825</v>
      </c>
      <c r="B820" s="1815">
        <v>37800</v>
      </c>
      <c r="C820" s="1815">
        <v>37850</v>
      </c>
      <c r="D820" s="1816">
        <f t="shared" si="64"/>
        <v>4319</v>
      </c>
      <c r="E820" s="1816">
        <f t="shared" si="65"/>
        <v>4099</v>
      </c>
      <c r="F820" s="1816">
        <f t="shared" si="66"/>
        <v>4319</v>
      </c>
      <c r="G820" s="1816">
        <f t="shared" si="67"/>
        <v>4225</v>
      </c>
    </row>
    <row r="821" spans="1:7" ht="15.75">
      <c r="A821" s="1961">
        <f t="shared" si="68"/>
        <v>37875</v>
      </c>
      <c r="B821" s="1815">
        <v>37850</v>
      </c>
      <c r="C821" s="1815">
        <v>37900</v>
      </c>
      <c r="D821" s="1816">
        <f t="shared" si="64"/>
        <v>4325</v>
      </c>
      <c r="E821" s="1816">
        <f t="shared" si="65"/>
        <v>4105</v>
      </c>
      <c r="F821" s="1816">
        <f t="shared" si="66"/>
        <v>4325</v>
      </c>
      <c r="G821" s="1816">
        <f t="shared" si="67"/>
        <v>4231</v>
      </c>
    </row>
    <row r="822" spans="1:7" ht="15.75">
      <c r="A822" s="1961">
        <f t="shared" si="68"/>
        <v>37925</v>
      </c>
      <c r="B822" s="1815">
        <v>37900</v>
      </c>
      <c r="C822" s="1815">
        <v>37950</v>
      </c>
      <c r="D822" s="1816">
        <f t="shared" si="64"/>
        <v>4331</v>
      </c>
      <c r="E822" s="1816">
        <f t="shared" si="65"/>
        <v>4111</v>
      </c>
      <c r="F822" s="1816">
        <f t="shared" si="66"/>
        <v>4331</v>
      </c>
      <c r="G822" s="1816">
        <f t="shared" si="67"/>
        <v>4237</v>
      </c>
    </row>
    <row r="823" spans="1:7" ht="15.75">
      <c r="A823" s="1961">
        <f t="shared" si="68"/>
        <v>37975</v>
      </c>
      <c r="B823" s="1815">
        <v>37950</v>
      </c>
      <c r="C823" s="1815">
        <v>38000</v>
      </c>
      <c r="D823" s="1816">
        <f t="shared" si="64"/>
        <v>4337</v>
      </c>
      <c r="E823" s="1816">
        <f t="shared" si="65"/>
        <v>4117</v>
      </c>
      <c r="F823" s="1816">
        <f t="shared" si="66"/>
        <v>4337</v>
      </c>
      <c r="G823" s="1816">
        <f t="shared" si="67"/>
        <v>4243</v>
      </c>
    </row>
    <row r="824" spans="1:7" ht="15.75">
      <c r="A824" s="1961">
        <f t="shared" si="68"/>
        <v>38025</v>
      </c>
      <c r="B824" s="1815">
        <v>38000</v>
      </c>
      <c r="C824" s="1815">
        <v>38050</v>
      </c>
      <c r="D824" s="1816">
        <f t="shared" si="64"/>
        <v>4343</v>
      </c>
      <c r="E824" s="1816">
        <f t="shared" si="65"/>
        <v>4123</v>
      </c>
      <c r="F824" s="1816">
        <f t="shared" si="66"/>
        <v>4343</v>
      </c>
      <c r="G824" s="1816">
        <f t="shared" si="67"/>
        <v>4249</v>
      </c>
    </row>
    <row r="825" spans="1:7" ht="15.75">
      <c r="A825" s="1961">
        <f t="shared" si="68"/>
        <v>38075</v>
      </c>
      <c r="B825" s="1815">
        <v>38050</v>
      </c>
      <c r="C825" s="1815">
        <v>38100</v>
      </c>
      <c r="D825" s="1816">
        <f t="shared" si="64"/>
        <v>4349</v>
      </c>
      <c r="E825" s="1816">
        <f t="shared" si="65"/>
        <v>4129</v>
      </c>
      <c r="F825" s="1816">
        <f t="shared" si="66"/>
        <v>4349</v>
      </c>
      <c r="G825" s="1816">
        <f t="shared" si="67"/>
        <v>4255</v>
      </c>
    </row>
    <row r="826" spans="1:7" ht="15.75">
      <c r="A826" s="1961">
        <f t="shared" si="68"/>
        <v>38125</v>
      </c>
      <c r="B826" s="1815">
        <v>38100</v>
      </c>
      <c r="C826" s="1815">
        <v>38150</v>
      </c>
      <c r="D826" s="1816">
        <f t="shared" si="64"/>
        <v>4355</v>
      </c>
      <c r="E826" s="1816">
        <f t="shared" si="65"/>
        <v>4135</v>
      </c>
      <c r="F826" s="1816">
        <f t="shared" si="66"/>
        <v>4355</v>
      </c>
      <c r="G826" s="1816">
        <f t="shared" si="67"/>
        <v>4261</v>
      </c>
    </row>
    <row r="827" spans="1:7" ht="15.75">
      <c r="A827" s="1961">
        <f t="shared" si="68"/>
        <v>38175</v>
      </c>
      <c r="B827" s="1815">
        <v>38150</v>
      </c>
      <c r="C827" s="1815">
        <v>38200</v>
      </c>
      <c r="D827" s="1816">
        <f t="shared" si="64"/>
        <v>4361</v>
      </c>
      <c r="E827" s="1816">
        <f t="shared" si="65"/>
        <v>4141</v>
      </c>
      <c r="F827" s="1816">
        <f t="shared" si="66"/>
        <v>4361</v>
      </c>
      <c r="G827" s="1816">
        <f t="shared" si="67"/>
        <v>4267</v>
      </c>
    </row>
    <row r="828" spans="1:7" ht="15.75">
      <c r="A828" s="1961">
        <f t="shared" si="68"/>
        <v>38225</v>
      </c>
      <c r="B828" s="1815">
        <v>38200</v>
      </c>
      <c r="C828" s="1815">
        <v>38250</v>
      </c>
      <c r="D828" s="1816">
        <f t="shared" si="64"/>
        <v>4367</v>
      </c>
      <c r="E828" s="1816">
        <f t="shared" si="65"/>
        <v>4147</v>
      </c>
      <c r="F828" s="1816">
        <f t="shared" si="66"/>
        <v>4367</v>
      </c>
      <c r="G828" s="1816">
        <f t="shared" si="67"/>
        <v>4273</v>
      </c>
    </row>
    <row r="829" spans="1:7" ht="15.75">
      <c r="A829" s="1961">
        <f t="shared" si="68"/>
        <v>38275</v>
      </c>
      <c r="B829" s="1815">
        <v>38250</v>
      </c>
      <c r="C829" s="1815">
        <v>38300</v>
      </c>
      <c r="D829" s="1816">
        <f t="shared" si="64"/>
        <v>4373</v>
      </c>
      <c r="E829" s="1816">
        <f t="shared" si="65"/>
        <v>4153</v>
      </c>
      <c r="F829" s="1816">
        <f t="shared" si="66"/>
        <v>4373</v>
      </c>
      <c r="G829" s="1816">
        <f t="shared" si="67"/>
        <v>4279</v>
      </c>
    </row>
    <row r="830" spans="1:7" ht="15.75">
      <c r="A830" s="1961">
        <f t="shared" si="68"/>
        <v>38325</v>
      </c>
      <c r="B830" s="1815">
        <v>38300</v>
      </c>
      <c r="C830" s="1815">
        <v>38350</v>
      </c>
      <c r="D830" s="1816">
        <f t="shared" si="64"/>
        <v>4379</v>
      </c>
      <c r="E830" s="1816">
        <f t="shared" si="65"/>
        <v>4159</v>
      </c>
      <c r="F830" s="1816">
        <f t="shared" si="66"/>
        <v>4379</v>
      </c>
      <c r="G830" s="1816">
        <f t="shared" si="67"/>
        <v>4285</v>
      </c>
    </row>
    <row r="831" spans="1:7" ht="15.75">
      <c r="A831" s="1961">
        <f t="shared" si="68"/>
        <v>38375</v>
      </c>
      <c r="B831" s="1815">
        <v>38350</v>
      </c>
      <c r="C831" s="1815">
        <v>38400</v>
      </c>
      <c r="D831" s="1816">
        <f t="shared" si="64"/>
        <v>4385</v>
      </c>
      <c r="E831" s="1816">
        <f t="shared" si="65"/>
        <v>4165</v>
      </c>
      <c r="F831" s="1816">
        <f t="shared" si="66"/>
        <v>4385</v>
      </c>
      <c r="G831" s="1816">
        <f t="shared" si="67"/>
        <v>4291</v>
      </c>
    </row>
    <row r="832" spans="1:7" ht="15.75">
      <c r="A832" s="1961">
        <f t="shared" si="68"/>
        <v>38425</v>
      </c>
      <c r="B832" s="1815">
        <v>38400</v>
      </c>
      <c r="C832" s="1815">
        <v>38450</v>
      </c>
      <c r="D832" s="1816">
        <f t="shared" si="64"/>
        <v>4391</v>
      </c>
      <c r="E832" s="1816">
        <f t="shared" si="65"/>
        <v>4171</v>
      </c>
      <c r="F832" s="1816">
        <f t="shared" si="66"/>
        <v>4391</v>
      </c>
      <c r="G832" s="1816">
        <f t="shared" si="67"/>
        <v>4297</v>
      </c>
    </row>
    <row r="833" spans="1:7" ht="15.75">
      <c r="A833" s="1961">
        <f t="shared" si="68"/>
        <v>38475</v>
      </c>
      <c r="B833" s="1815">
        <v>38450</v>
      </c>
      <c r="C833" s="1815">
        <v>38500</v>
      </c>
      <c r="D833" s="1816">
        <f t="shared" si="64"/>
        <v>4397</v>
      </c>
      <c r="E833" s="1816">
        <f t="shared" si="65"/>
        <v>4177</v>
      </c>
      <c r="F833" s="1816">
        <f t="shared" si="66"/>
        <v>4397</v>
      </c>
      <c r="G833" s="1816">
        <f t="shared" si="67"/>
        <v>4303</v>
      </c>
    </row>
    <row r="834" spans="1:7" ht="15.75">
      <c r="A834" s="1961">
        <f t="shared" si="68"/>
        <v>38525</v>
      </c>
      <c r="B834" s="1815">
        <v>38500</v>
      </c>
      <c r="C834" s="1815">
        <v>38550</v>
      </c>
      <c r="D834" s="1816">
        <f t="shared" ref="D834:D897" si="69">IF($A834&gt;BOTT_A4,ROUND(BASE_A4+RATE_A4*($A834-BOTT_A4),0),IF($A834&gt;BOTT_A3,ROUND(BASE_A3+RATE_A3*($A834-BOTT_A3),0),IF($A834&gt;BOTT_A2,ROUND(BASE_A2+RATE_A2*($A834-BOTT_A2),0),ROUND(RATE_A1*$A834,0))))</f>
        <v>4403</v>
      </c>
      <c r="E834" s="1816">
        <f t="shared" ref="E834:E897" si="70">IF($A834&gt;BOTT_B4,ROUND(BASE_B4+RATE_B4*($A834-BOTT_B4),0),IF($A834&gt;BOTT_B3,ROUND(BASE_B3+RATE_B3*($A834-BOTT_B3),0),IF($A834&gt;BOTT_B2,ROUND(BASE_B2+RATE_B2*($A834-BOTT_B2),0),ROUND(RATE_B1*$A834,0))))</f>
        <v>4183</v>
      </c>
      <c r="F834" s="1816">
        <f t="shared" ref="F834:F897" si="71">IF($A834&gt;BOTT_C4,ROUND(BASE_C4+RATE_C4*($A834-BOTT_C4),0),IF($A834&gt;BOTT_C3,ROUND(BASE_C3+RATE_C3*($A834-BOTT_C3),0),IF($A834&gt;BOTT_C2,ROUND(BASE_C2+RATE_C2*($A834-BOTT_C2),0),ROUND(RATE_C1*$A834,0))))</f>
        <v>4403</v>
      </c>
      <c r="G834" s="1816">
        <f t="shared" ref="G834:G897" si="72">IF($A834&gt;BOTT_D4,ROUND(BASE_D4+RATE_D4*($A834-BOTT_D4),0),IF($A834&gt;BOTT_D3,ROUND(BASE_D3+RATE_D3*($A834-BOTT_D3),0),IF($A834&gt;BOTT_D2,ROUND(BASE_D2+RATE_D2*($A834-BOTT_D2),0),ROUND(RATE_D1*$A834,0))))</f>
        <v>4309</v>
      </c>
    </row>
    <row r="835" spans="1:7" ht="15.75">
      <c r="A835" s="1961">
        <f t="shared" ref="A835:A898" si="73">AVERAGE(B835,C835)</f>
        <v>38575</v>
      </c>
      <c r="B835" s="1815">
        <v>38550</v>
      </c>
      <c r="C835" s="1815">
        <v>38600</v>
      </c>
      <c r="D835" s="1816">
        <f t="shared" si="69"/>
        <v>4409</v>
      </c>
      <c r="E835" s="1816">
        <f t="shared" si="70"/>
        <v>4189</v>
      </c>
      <c r="F835" s="1816">
        <f t="shared" si="71"/>
        <v>4409</v>
      </c>
      <c r="G835" s="1816">
        <f t="shared" si="72"/>
        <v>4315</v>
      </c>
    </row>
    <row r="836" spans="1:7" ht="15.75">
      <c r="A836" s="1961">
        <f t="shared" si="73"/>
        <v>38625</v>
      </c>
      <c r="B836" s="1815">
        <v>38600</v>
      </c>
      <c r="C836" s="1815">
        <v>38650</v>
      </c>
      <c r="D836" s="1816">
        <f t="shared" si="69"/>
        <v>4415</v>
      </c>
      <c r="E836" s="1816">
        <f t="shared" si="70"/>
        <v>4195</v>
      </c>
      <c r="F836" s="1816">
        <f t="shared" si="71"/>
        <v>4415</v>
      </c>
      <c r="G836" s="1816">
        <f t="shared" si="72"/>
        <v>4321</v>
      </c>
    </row>
    <row r="837" spans="1:7" ht="15.75">
      <c r="A837" s="1961">
        <f t="shared" si="73"/>
        <v>38675</v>
      </c>
      <c r="B837" s="1815">
        <v>38650</v>
      </c>
      <c r="C837" s="1815">
        <v>38700</v>
      </c>
      <c r="D837" s="1816">
        <f t="shared" si="69"/>
        <v>4421</v>
      </c>
      <c r="E837" s="1816">
        <f t="shared" si="70"/>
        <v>4201</v>
      </c>
      <c r="F837" s="1816">
        <f t="shared" si="71"/>
        <v>4421</v>
      </c>
      <c r="G837" s="1816">
        <f t="shared" si="72"/>
        <v>4327</v>
      </c>
    </row>
    <row r="838" spans="1:7" ht="15.75">
      <c r="A838" s="1961">
        <f t="shared" si="73"/>
        <v>38725</v>
      </c>
      <c r="B838" s="1815">
        <v>38700</v>
      </c>
      <c r="C838" s="1815">
        <v>38750</v>
      </c>
      <c r="D838" s="1816">
        <f t="shared" si="69"/>
        <v>4427</v>
      </c>
      <c r="E838" s="1816">
        <f t="shared" si="70"/>
        <v>4207</v>
      </c>
      <c r="F838" s="1816">
        <f t="shared" si="71"/>
        <v>4427</v>
      </c>
      <c r="G838" s="1816">
        <f t="shared" si="72"/>
        <v>4333</v>
      </c>
    </row>
    <row r="839" spans="1:7" ht="15.75">
      <c r="A839" s="1961">
        <f t="shared" si="73"/>
        <v>38775</v>
      </c>
      <c r="B839" s="1815">
        <v>38750</v>
      </c>
      <c r="C839" s="1815">
        <v>38800</v>
      </c>
      <c r="D839" s="1816">
        <f t="shared" si="69"/>
        <v>4433</v>
      </c>
      <c r="E839" s="1816">
        <f t="shared" si="70"/>
        <v>4213</v>
      </c>
      <c r="F839" s="1816">
        <f t="shared" si="71"/>
        <v>4433</v>
      </c>
      <c r="G839" s="1816">
        <f t="shared" si="72"/>
        <v>4339</v>
      </c>
    </row>
    <row r="840" spans="1:7" ht="15.75">
      <c r="A840" s="1961">
        <f t="shared" si="73"/>
        <v>38825</v>
      </c>
      <c r="B840" s="1815">
        <v>38800</v>
      </c>
      <c r="C840" s="1815">
        <v>38850</v>
      </c>
      <c r="D840" s="1816">
        <f t="shared" si="69"/>
        <v>4439</v>
      </c>
      <c r="E840" s="1816">
        <f t="shared" si="70"/>
        <v>4219</v>
      </c>
      <c r="F840" s="1816">
        <f t="shared" si="71"/>
        <v>4439</v>
      </c>
      <c r="G840" s="1816">
        <f t="shared" si="72"/>
        <v>4345</v>
      </c>
    </row>
    <row r="841" spans="1:7" ht="15.75">
      <c r="A841" s="1961">
        <f t="shared" si="73"/>
        <v>38875</v>
      </c>
      <c r="B841" s="1815">
        <v>38850</v>
      </c>
      <c r="C841" s="1815">
        <v>38900</v>
      </c>
      <c r="D841" s="1816">
        <f t="shared" si="69"/>
        <v>4445</v>
      </c>
      <c r="E841" s="1816">
        <f t="shared" si="70"/>
        <v>4225</v>
      </c>
      <c r="F841" s="1816">
        <f t="shared" si="71"/>
        <v>4445</v>
      </c>
      <c r="G841" s="1816">
        <f t="shared" si="72"/>
        <v>4351</v>
      </c>
    </row>
    <row r="842" spans="1:7" ht="15.75">
      <c r="A842" s="1961">
        <f t="shared" si="73"/>
        <v>38925</v>
      </c>
      <c r="B842" s="1815">
        <v>38900</v>
      </c>
      <c r="C842" s="1815">
        <v>38950</v>
      </c>
      <c r="D842" s="1816">
        <f t="shared" si="69"/>
        <v>4451</v>
      </c>
      <c r="E842" s="1816">
        <f t="shared" si="70"/>
        <v>4231</v>
      </c>
      <c r="F842" s="1816">
        <f t="shared" si="71"/>
        <v>4451</v>
      </c>
      <c r="G842" s="1816">
        <f t="shared" si="72"/>
        <v>4357</v>
      </c>
    </row>
    <row r="843" spans="1:7" ht="15.75">
      <c r="A843" s="1961">
        <f t="shared" si="73"/>
        <v>38975</v>
      </c>
      <c r="B843" s="1815">
        <v>38950</v>
      </c>
      <c r="C843" s="1815">
        <v>39000</v>
      </c>
      <c r="D843" s="1816">
        <f t="shared" si="69"/>
        <v>4457</v>
      </c>
      <c r="E843" s="1816">
        <f t="shared" si="70"/>
        <v>4237</v>
      </c>
      <c r="F843" s="1816">
        <f t="shared" si="71"/>
        <v>4457</v>
      </c>
      <c r="G843" s="1816">
        <f t="shared" si="72"/>
        <v>4363</v>
      </c>
    </row>
    <row r="844" spans="1:7" ht="15.75">
      <c r="A844" s="1961">
        <f t="shared" si="73"/>
        <v>39025</v>
      </c>
      <c r="B844" s="1815">
        <v>39000</v>
      </c>
      <c r="C844" s="1815">
        <v>39050</v>
      </c>
      <c r="D844" s="1816">
        <f t="shared" si="69"/>
        <v>4463</v>
      </c>
      <c r="E844" s="1816">
        <f t="shared" si="70"/>
        <v>4243</v>
      </c>
      <c r="F844" s="1816">
        <f t="shared" si="71"/>
        <v>4463</v>
      </c>
      <c r="G844" s="1816">
        <f t="shared" si="72"/>
        <v>4369</v>
      </c>
    </row>
    <row r="845" spans="1:7" ht="15.75">
      <c r="A845" s="1961">
        <f t="shared" si="73"/>
        <v>39075</v>
      </c>
      <c r="B845" s="1815">
        <v>39050</v>
      </c>
      <c r="C845" s="1815">
        <v>39100</v>
      </c>
      <c r="D845" s="1816">
        <f t="shared" si="69"/>
        <v>4469</v>
      </c>
      <c r="E845" s="1816">
        <f t="shared" si="70"/>
        <v>4249</v>
      </c>
      <c r="F845" s="1816">
        <f t="shared" si="71"/>
        <v>4469</v>
      </c>
      <c r="G845" s="1816">
        <f t="shared" si="72"/>
        <v>4375</v>
      </c>
    </row>
    <row r="846" spans="1:7" ht="15.75">
      <c r="A846" s="1961">
        <f t="shared" si="73"/>
        <v>39125</v>
      </c>
      <c r="B846" s="1815">
        <v>39100</v>
      </c>
      <c r="C846" s="1815">
        <v>39150</v>
      </c>
      <c r="D846" s="1816">
        <f t="shared" si="69"/>
        <v>4475</v>
      </c>
      <c r="E846" s="1816">
        <f t="shared" si="70"/>
        <v>4255</v>
      </c>
      <c r="F846" s="1816">
        <f t="shared" si="71"/>
        <v>4475</v>
      </c>
      <c r="G846" s="1816">
        <f t="shared" si="72"/>
        <v>4381</v>
      </c>
    </row>
    <row r="847" spans="1:7" ht="15.75">
      <c r="A847" s="1961">
        <f t="shared" si="73"/>
        <v>39175</v>
      </c>
      <c r="B847" s="1815">
        <v>39150</v>
      </c>
      <c r="C847" s="1815">
        <v>39200</v>
      </c>
      <c r="D847" s="1816">
        <f t="shared" si="69"/>
        <v>4481</v>
      </c>
      <c r="E847" s="1816">
        <f t="shared" si="70"/>
        <v>4261</v>
      </c>
      <c r="F847" s="1816">
        <f t="shared" si="71"/>
        <v>4481</v>
      </c>
      <c r="G847" s="1816">
        <f t="shared" si="72"/>
        <v>4387</v>
      </c>
    </row>
    <row r="848" spans="1:7" ht="15.75">
      <c r="A848" s="1961">
        <f t="shared" si="73"/>
        <v>39225</v>
      </c>
      <c r="B848" s="1815">
        <v>39200</v>
      </c>
      <c r="C848" s="1815">
        <v>39250</v>
      </c>
      <c r="D848" s="1816">
        <f t="shared" si="69"/>
        <v>4487</v>
      </c>
      <c r="E848" s="1816">
        <f t="shared" si="70"/>
        <v>4267</v>
      </c>
      <c r="F848" s="1816">
        <f t="shared" si="71"/>
        <v>4487</v>
      </c>
      <c r="G848" s="1816">
        <f t="shared" si="72"/>
        <v>4393</v>
      </c>
    </row>
    <row r="849" spans="1:7" ht="15.75">
      <c r="A849" s="1961">
        <f t="shared" si="73"/>
        <v>39275</v>
      </c>
      <c r="B849" s="1815">
        <v>39250</v>
      </c>
      <c r="C849" s="1815">
        <v>39300</v>
      </c>
      <c r="D849" s="1816">
        <f t="shared" si="69"/>
        <v>4493</v>
      </c>
      <c r="E849" s="1816">
        <f t="shared" si="70"/>
        <v>4273</v>
      </c>
      <c r="F849" s="1816">
        <f t="shared" si="71"/>
        <v>4493</v>
      </c>
      <c r="G849" s="1816">
        <f t="shared" si="72"/>
        <v>4399</v>
      </c>
    </row>
    <row r="850" spans="1:7" ht="15.75">
      <c r="A850" s="1961">
        <f t="shared" si="73"/>
        <v>39325</v>
      </c>
      <c r="B850" s="1815">
        <v>39300</v>
      </c>
      <c r="C850" s="1815">
        <v>39350</v>
      </c>
      <c r="D850" s="1816">
        <f t="shared" si="69"/>
        <v>4499</v>
      </c>
      <c r="E850" s="1816">
        <f t="shared" si="70"/>
        <v>4279</v>
      </c>
      <c r="F850" s="1816">
        <f t="shared" si="71"/>
        <v>4499</v>
      </c>
      <c r="G850" s="1816">
        <f t="shared" si="72"/>
        <v>4405</v>
      </c>
    </row>
    <row r="851" spans="1:7" ht="15.75">
      <c r="A851" s="1961">
        <f t="shared" si="73"/>
        <v>39375</v>
      </c>
      <c r="B851" s="1815">
        <v>39350</v>
      </c>
      <c r="C851" s="1815">
        <v>39400</v>
      </c>
      <c r="D851" s="1816">
        <f t="shared" si="69"/>
        <v>4505</v>
      </c>
      <c r="E851" s="1816">
        <f t="shared" si="70"/>
        <v>4285</v>
      </c>
      <c r="F851" s="1816">
        <f t="shared" si="71"/>
        <v>4505</v>
      </c>
      <c r="G851" s="1816">
        <f t="shared" si="72"/>
        <v>4411</v>
      </c>
    </row>
    <row r="852" spans="1:7" ht="15.75">
      <c r="A852" s="1961">
        <f t="shared" si="73"/>
        <v>39425</v>
      </c>
      <c r="B852" s="1815">
        <v>39400</v>
      </c>
      <c r="C852" s="1815">
        <v>39450</v>
      </c>
      <c r="D852" s="1816">
        <f t="shared" si="69"/>
        <v>4511</v>
      </c>
      <c r="E852" s="1816">
        <f t="shared" si="70"/>
        <v>4291</v>
      </c>
      <c r="F852" s="1816">
        <f t="shared" si="71"/>
        <v>4511</v>
      </c>
      <c r="G852" s="1816">
        <f t="shared" si="72"/>
        <v>4417</v>
      </c>
    </row>
    <row r="853" spans="1:7" ht="15.75">
      <c r="A853" s="1961">
        <f t="shared" si="73"/>
        <v>39475</v>
      </c>
      <c r="B853" s="1815">
        <v>39450</v>
      </c>
      <c r="C853" s="1815">
        <v>39500</v>
      </c>
      <c r="D853" s="1816">
        <f t="shared" si="69"/>
        <v>4517</v>
      </c>
      <c r="E853" s="1816">
        <f t="shared" si="70"/>
        <v>4297</v>
      </c>
      <c r="F853" s="1816">
        <f t="shared" si="71"/>
        <v>4517</v>
      </c>
      <c r="G853" s="1816">
        <f t="shared" si="72"/>
        <v>4423</v>
      </c>
    </row>
    <row r="854" spans="1:7" ht="15.75">
      <c r="A854" s="1961">
        <f t="shared" si="73"/>
        <v>39525</v>
      </c>
      <c r="B854" s="1815">
        <v>39500</v>
      </c>
      <c r="C854" s="1815">
        <v>39550</v>
      </c>
      <c r="D854" s="1816">
        <f t="shared" si="69"/>
        <v>4523</v>
      </c>
      <c r="E854" s="1816">
        <f t="shared" si="70"/>
        <v>4303</v>
      </c>
      <c r="F854" s="1816">
        <f t="shared" si="71"/>
        <v>4523</v>
      </c>
      <c r="G854" s="1816">
        <f t="shared" si="72"/>
        <v>4429</v>
      </c>
    </row>
    <row r="855" spans="1:7" ht="15.75">
      <c r="A855" s="1961">
        <f t="shared" si="73"/>
        <v>39575</v>
      </c>
      <c r="B855" s="1815">
        <v>39550</v>
      </c>
      <c r="C855" s="1815">
        <v>39600</v>
      </c>
      <c r="D855" s="1816">
        <f t="shared" si="69"/>
        <v>4529</v>
      </c>
      <c r="E855" s="1816">
        <f t="shared" si="70"/>
        <v>4309</v>
      </c>
      <c r="F855" s="1816">
        <f t="shared" si="71"/>
        <v>4529</v>
      </c>
      <c r="G855" s="1816">
        <f t="shared" si="72"/>
        <v>4435</v>
      </c>
    </row>
    <row r="856" spans="1:7" ht="15.75">
      <c r="A856" s="1961">
        <f t="shared" si="73"/>
        <v>39625</v>
      </c>
      <c r="B856" s="1815">
        <v>39600</v>
      </c>
      <c r="C856" s="1815">
        <v>39650</v>
      </c>
      <c r="D856" s="1816">
        <f t="shared" si="69"/>
        <v>4535</v>
      </c>
      <c r="E856" s="1816">
        <f t="shared" si="70"/>
        <v>4315</v>
      </c>
      <c r="F856" s="1816">
        <f t="shared" si="71"/>
        <v>4535</v>
      </c>
      <c r="G856" s="1816">
        <f t="shared" si="72"/>
        <v>4441</v>
      </c>
    </row>
    <row r="857" spans="1:7" ht="15.75">
      <c r="A857" s="1961">
        <f t="shared" si="73"/>
        <v>39675</v>
      </c>
      <c r="B857" s="1815">
        <v>39650</v>
      </c>
      <c r="C857" s="1815">
        <v>39700</v>
      </c>
      <c r="D857" s="1816">
        <f t="shared" si="69"/>
        <v>4541</v>
      </c>
      <c r="E857" s="1816">
        <f t="shared" si="70"/>
        <v>4321</v>
      </c>
      <c r="F857" s="1816">
        <f t="shared" si="71"/>
        <v>4541</v>
      </c>
      <c r="G857" s="1816">
        <f t="shared" si="72"/>
        <v>4447</v>
      </c>
    </row>
    <row r="858" spans="1:7" ht="15.75">
      <c r="A858" s="1961">
        <f t="shared" si="73"/>
        <v>39725</v>
      </c>
      <c r="B858" s="1815">
        <v>39700</v>
      </c>
      <c r="C858" s="1815">
        <v>39750</v>
      </c>
      <c r="D858" s="1816">
        <f t="shared" si="69"/>
        <v>4547</v>
      </c>
      <c r="E858" s="1816">
        <f t="shared" si="70"/>
        <v>4327</v>
      </c>
      <c r="F858" s="1816">
        <f t="shared" si="71"/>
        <v>4547</v>
      </c>
      <c r="G858" s="1816">
        <f t="shared" si="72"/>
        <v>4453</v>
      </c>
    </row>
    <row r="859" spans="1:7" ht="15.75">
      <c r="A859" s="1961">
        <f t="shared" si="73"/>
        <v>39775</v>
      </c>
      <c r="B859" s="1815">
        <v>39750</v>
      </c>
      <c r="C859" s="1815">
        <v>39800</v>
      </c>
      <c r="D859" s="1816">
        <f t="shared" si="69"/>
        <v>4553</v>
      </c>
      <c r="E859" s="1816">
        <f t="shared" si="70"/>
        <v>4333</v>
      </c>
      <c r="F859" s="1816">
        <f t="shared" si="71"/>
        <v>4553</v>
      </c>
      <c r="G859" s="1816">
        <f t="shared" si="72"/>
        <v>4459</v>
      </c>
    </row>
    <row r="860" spans="1:7" ht="15.75">
      <c r="A860" s="1961">
        <f t="shared" si="73"/>
        <v>39825</v>
      </c>
      <c r="B860" s="1815">
        <v>39800</v>
      </c>
      <c r="C860" s="1815">
        <v>39850</v>
      </c>
      <c r="D860" s="1816">
        <f t="shared" si="69"/>
        <v>4559</v>
      </c>
      <c r="E860" s="1816">
        <f t="shared" si="70"/>
        <v>4339</v>
      </c>
      <c r="F860" s="1816">
        <f t="shared" si="71"/>
        <v>4559</v>
      </c>
      <c r="G860" s="1816">
        <f t="shared" si="72"/>
        <v>4465</v>
      </c>
    </row>
    <row r="861" spans="1:7" ht="15.75">
      <c r="A861" s="1961">
        <f t="shared" si="73"/>
        <v>39875</v>
      </c>
      <c r="B861" s="1815">
        <v>39850</v>
      </c>
      <c r="C861" s="1815">
        <v>39900</v>
      </c>
      <c r="D861" s="1816">
        <f t="shared" si="69"/>
        <v>4565</v>
      </c>
      <c r="E861" s="1816">
        <f t="shared" si="70"/>
        <v>4345</v>
      </c>
      <c r="F861" s="1816">
        <f t="shared" si="71"/>
        <v>4565</v>
      </c>
      <c r="G861" s="1816">
        <f t="shared" si="72"/>
        <v>4471</v>
      </c>
    </row>
    <row r="862" spans="1:7" ht="15.75">
      <c r="A862" s="1961">
        <f t="shared" si="73"/>
        <v>39925</v>
      </c>
      <c r="B862" s="1815">
        <v>39900</v>
      </c>
      <c r="C862" s="1815">
        <v>39950</v>
      </c>
      <c r="D862" s="1816">
        <f t="shared" si="69"/>
        <v>4571</v>
      </c>
      <c r="E862" s="1816">
        <f t="shared" si="70"/>
        <v>4351</v>
      </c>
      <c r="F862" s="1816">
        <f t="shared" si="71"/>
        <v>4571</v>
      </c>
      <c r="G862" s="1816">
        <f t="shared" si="72"/>
        <v>4477</v>
      </c>
    </row>
    <row r="863" spans="1:7" ht="15.75">
      <c r="A863" s="1961">
        <f t="shared" si="73"/>
        <v>39975</v>
      </c>
      <c r="B863" s="1815">
        <v>39950</v>
      </c>
      <c r="C863" s="1815">
        <v>40000</v>
      </c>
      <c r="D863" s="1816">
        <f t="shared" si="69"/>
        <v>4577</v>
      </c>
      <c r="E863" s="1816">
        <f t="shared" si="70"/>
        <v>4357</v>
      </c>
      <c r="F863" s="1816">
        <f t="shared" si="71"/>
        <v>4577</v>
      </c>
      <c r="G863" s="1816">
        <f t="shared" si="72"/>
        <v>4483</v>
      </c>
    </row>
    <row r="864" spans="1:7" ht="15.75">
      <c r="A864" s="1961">
        <f t="shared" si="73"/>
        <v>40025</v>
      </c>
      <c r="B864" s="1815">
        <v>40000</v>
      </c>
      <c r="C864" s="1815">
        <v>40050</v>
      </c>
      <c r="D864" s="1816">
        <f t="shared" si="69"/>
        <v>4583</v>
      </c>
      <c r="E864" s="1816">
        <f t="shared" si="70"/>
        <v>4363</v>
      </c>
      <c r="F864" s="1816">
        <f t="shared" si="71"/>
        <v>4583</v>
      </c>
      <c r="G864" s="1816">
        <f t="shared" si="72"/>
        <v>4489</v>
      </c>
    </row>
    <row r="865" spans="1:7" ht="15.75">
      <c r="A865" s="1961">
        <f t="shared" si="73"/>
        <v>40075</v>
      </c>
      <c r="B865" s="1815">
        <v>40050</v>
      </c>
      <c r="C865" s="1815">
        <v>40100</v>
      </c>
      <c r="D865" s="1816">
        <f t="shared" si="69"/>
        <v>4589</v>
      </c>
      <c r="E865" s="1816">
        <f t="shared" si="70"/>
        <v>4369</v>
      </c>
      <c r="F865" s="1816">
        <f t="shared" si="71"/>
        <v>4589</v>
      </c>
      <c r="G865" s="1816">
        <f t="shared" si="72"/>
        <v>4495</v>
      </c>
    </row>
    <row r="866" spans="1:7" ht="15.75">
      <c r="A866" s="1961">
        <f t="shared" si="73"/>
        <v>40125</v>
      </c>
      <c r="B866" s="1815">
        <v>40100</v>
      </c>
      <c r="C866" s="1815">
        <v>40150</v>
      </c>
      <c r="D866" s="1816">
        <f t="shared" si="69"/>
        <v>4595</v>
      </c>
      <c r="E866" s="1816">
        <f t="shared" si="70"/>
        <v>4375</v>
      </c>
      <c r="F866" s="1816">
        <f t="shared" si="71"/>
        <v>4595</v>
      </c>
      <c r="G866" s="1816">
        <f t="shared" si="72"/>
        <v>4501</v>
      </c>
    </row>
    <row r="867" spans="1:7" ht="15.75">
      <c r="A867" s="1961">
        <f t="shared" si="73"/>
        <v>40175</v>
      </c>
      <c r="B867" s="1815">
        <v>40150</v>
      </c>
      <c r="C867" s="1815">
        <v>40200</v>
      </c>
      <c r="D867" s="1816">
        <f t="shared" si="69"/>
        <v>4601</v>
      </c>
      <c r="E867" s="1816">
        <f t="shared" si="70"/>
        <v>4381</v>
      </c>
      <c r="F867" s="1816">
        <f t="shared" si="71"/>
        <v>4601</v>
      </c>
      <c r="G867" s="1816">
        <f t="shared" si="72"/>
        <v>4507</v>
      </c>
    </row>
    <row r="868" spans="1:7" ht="15.75">
      <c r="A868" s="1961">
        <f t="shared" si="73"/>
        <v>40225</v>
      </c>
      <c r="B868" s="1815">
        <v>40200</v>
      </c>
      <c r="C868" s="1815">
        <v>40250</v>
      </c>
      <c r="D868" s="1816">
        <f t="shared" si="69"/>
        <v>4607</v>
      </c>
      <c r="E868" s="1816">
        <f t="shared" si="70"/>
        <v>4387</v>
      </c>
      <c r="F868" s="1816">
        <f t="shared" si="71"/>
        <v>4607</v>
      </c>
      <c r="G868" s="1816">
        <f t="shared" si="72"/>
        <v>4513</v>
      </c>
    </row>
    <row r="869" spans="1:7" ht="15.75">
      <c r="A869" s="1961">
        <f t="shared" si="73"/>
        <v>40275</v>
      </c>
      <c r="B869" s="1815">
        <v>40250</v>
      </c>
      <c r="C869" s="1815">
        <v>40300</v>
      </c>
      <c r="D869" s="1816">
        <f t="shared" si="69"/>
        <v>4613</v>
      </c>
      <c r="E869" s="1816">
        <f t="shared" si="70"/>
        <v>4393</v>
      </c>
      <c r="F869" s="1816">
        <f t="shared" si="71"/>
        <v>4613</v>
      </c>
      <c r="G869" s="1816">
        <f t="shared" si="72"/>
        <v>4519</v>
      </c>
    </row>
    <row r="870" spans="1:7" ht="15.75">
      <c r="A870" s="1961">
        <f t="shared" si="73"/>
        <v>40325</v>
      </c>
      <c r="B870" s="1815">
        <v>40300</v>
      </c>
      <c r="C870" s="1815">
        <v>40350</v>
      </c>
      <c r="D870" s="1816">
        <f t="shared" si="69"/>
        <v>4619</v>
      </c>
      <c r="E870" s="1816">
        <f t="shared" si="70"/>
        <v>4399</v>
      </c>
      <c r="F870" s="1816">
        <f t="shared" si="71"/>
        <v>4619</v>
      </c>
      <c r="G870" s="1816">
        <f t="shared" si="72"/>
        <v>4525</v>
      </c>
    </row>
    <row r="871" spans="1:7" ht="15.75">
      <c r="A871" s="1961">
        <f t="shared" si="73"/>
        <v>40375</v>
      </c>
      <c r="B871" s="1815">
        <v>40350</v>
      </c>
      <c r="C871" s="1815">
        <v>40400</v>
      </c>
      <c r="D871" s="1816">
        <f t="shared" si="69"/>
        <v>4625</v>
      </c>
      <c r="E871" s="1816">
        <f t="shared" si="70"/>
        <v>4405</v>
      </c>
      <c r="F871" s="1816">
        <f t="shared" si="71"/>
        <v>4625</v>
      </c>
      <c r="G871" s="1816">
        <f t="shared" si="72"/>
        <v>4531</v>
      </c>
    </row>
    <row r="872" spans="1:7" ht="15.75">
      <c r="A872" s="1961">
        <f t="shared" si="73"/>
        <v>40425</v>
      </c>
      <c r="B872" s="1815">
        <v>40400</v>
      </c>
      <c r="C872" s="1815">
        <v>40450</v>
      </c>
      <c r="D872" s="1816">
        <f t="shared" si="69"/>
        <v>4631</v>
      </c>
      <c r="E872" s="1816">
        <f t="shared" si="70"/>
        <v>4411</v>
      </c>
      <c r="F872" s="1816">
        <f t="shared" si="71"/>
        <v>4631</v>
      </c>
      <c r="G872" s="1816">
        <f t="shared" si="72"/>
        <v>4537</v>
      </c>
    </row>
    <row r="873" spans="1:7" ht="15.75">
      <c r="A873" s="1961">
        <f t="shared" si="73"/>
        <v>40475</v>
      </c>
      <c r="B873" s="1815">
        <v>40450</v>
      </c>
      <c r="C873" s="1815">
        <v>40500</v>
      </c>
      <c r="D873" s="1816">
        <f t="shared" si="69"/>
        <v>4637</v>
      </c>
      <c r="E873" s="1816">
        <f t="shared" si="70"/>
        <v>4417</v>
      </c>
      <c r="F873" s="1816">
        <f t="shared" si="71"/>
        <v>4637</v>
      </c>
      <c r="G873" s="1816">
        <f t="shared" si="72"/>
        <v>4543</v>
      </c>
    </row>
    <row r="874" spans="1:7" ht="15.75">
      <c r="A874" s="1961">
        <f t="shared" si="73"/>
        <v>40525</v>
      </c>
      <c r="B874" s="1815">
        <v>40500</v>
      </c>
      <c r="C874" s="1815">
        <v>40550</v>
      </c>
      <c r="D874" s="1816">
        <f t="shared" si="69"/>
        <v>4643</v>
      </c>
      <c r="E874" s="1816">
        <f t="shared" si="70"/>
        <v>4423</v>
      </c>
      <c r="F874" s="1816">
        <f t="shared" si="71"/>
        <v>4643</v>
      </c>
      <c r="G874" s="1816">
        <f t="shared" si="72"/>
        <v>4549</v>
      </c>
    </row>
    <row r="875" spans="1:7" ht="15.75">
      <c r="A875" s="1961">
        <f t="shared" si="73"/>
        <v>40575</v>
      </c>
      <c r="B875" s="1815">
        <v>40550</v>
      </c>
      <c r="C875" s="1815">
        <v>40600</v>
      </c>
      <c r="D875" s="1816">
        <f t="shared" si="69"/>
        <v>4649</v>
      </c>
      <c r="E875" s="1816">
        <f t="shared" si="70"/>
        <v>4429</v>
      </c>
      <c r="F875" s="1816">
        <f t="shared" si="71"/>
        <v>4649</v>
      </c>
      <c r="G875" s="1816">
        <f t="shared" si="72"/>
        <v>4555</v>
      </c>
    </row>
    <row r="876" spans="1:7" ht="15.75">
      <c r="A876" s="1961">
        <f t="shared" si="73"/>
        <v>40625</v>
      </c>
      <c r="B876" s="1815">
        <v>40600</v>
      </c>
      <c r="C876" s="1815">
        <v>40650</v>
      </c>
      <c r="D876" s="1816">
        <f t="shared" si="69"/>
        <v>4655</v>
      </c>
      <c r="E876" s="1816">
        <f t="shared" si="70"/>
        <v>4435</v>
      </c>
      <c r="F876" s="1816">
        <f t="shared" si="71"/>
        <v>4655</v>
      </c>
      <c r="G876" s="1816">
        <f t="shared" si="72"/>
        <v>4561</v>
      </c>
    </row>
    <row r="877" spans="1:7" ht="15.75">
      <c r="A877" s="1961">
        <f t="shared" si="73"/>
        <v>40675</v>
      </c>
      <c r="B877" s="1815">
        <v>40650</v>
      </c>
      <c r="C877" s="1815">
        <v>40700</v>
      </c>
      <c r="D877" s="1816">
        <f t="shared" si="69"/>
        <v>4661</v>
      </c>
      <c r="E877" s="1816">
        <f t="shared" si="70"/>
        <v>4441</v>
      </c>
      <c r="F877" s="1816">
        <f t="shared" si="71"/>
        <v>4661</v>
      </c>
      <c r="G877" s="1816">
        <f t="shared" si="72"/>
        <v>4567</v>
      </c>
    </row>
    <row r="878" spans="1:7" ht="15.75">
      <c r="A878" s="1961">
        <f t="shared" si="73"/>
        <v>40725</v>
      </c>
      <c r="B878" s="1815">
        <v>40700</v>
      </c>
      <c r="C878" s="1815">
        <v>40750</v>
      </c>
      <c r="D878" s="1816">
        <f t="shared" si="69"/>
        <v>4667</v>
      </c>
      <c r="E878" s="1816">
        <f t="shared" si="70"/>
        <v>4447</v>
      </c>
      <c r="F878" s="1816">
        <f t="shared" si="71"/>
        <v>4667</v>
      </c>
      <c r="G878" s="1816">
        <f t="shared" si="72"/>
        <v>4573</v>
      </c>
    </row>
    <row r="879" spans="1:7" ht="15.75">
      <c r="A879" s="1961">
        <f t="shared" si="73"/>
        <v>40775</v>
      </c>
      <c r="B879" s="1815">
        <v>40750</v>
      </c>
      <c r="C879" s="1815">
        <v>40800</v>
      </c>
      <c r="D879" s="1816">
        <f t="shared" si="69"/>
        <v>4673</v>
      </c>
      <c r="E879" s="1816">
        <f t="shared" si="70"/>
        <v>4453</v>
      </c>
      <c r="F879" s="1816">
        <f t="shared" si="71"/>
        <v>4673</v>
      </c>
      <c r="G879" s="1816">
        <f t="shared" si="72"/>
        <v>4579</v>
      </c>
    </row>
    <row r="880" spans="1:7" ht="15.75">
      <c r="A880" s="1961">
        <f t="shared" si="73"/>
        <v>40825</v>
      </c>
      <c r="B880" s="1815">
        <v>40800</v>
      </c>
      <c r="C880" s="1815">
        <v>40850</v>
      </c>
      <c r="D880" s="1816">
        <f t="shared" si="69"/>
        <v>4679</v>
      </c>
      <c r="E880" s="1816">
        <f t="shared" si="70"/>
        <v>4459</v>
      </c>
      <c r="F880" s="1816">
        <f t="shared" si="71"/>
        <v>4679</v>
      </c>
      <c r="G880" s="1816">
        <f t="shared" si="72"/>
        <v>4585</v>
      </c>
    </row>
    <row r="881" spans="1:7" ht="15.75">
      <c r="A881" s="1961">
        <f t="shared" si="73"/>
        <v>40875</v>
      </c>
      <c r="B881" s="1815">
        <v>40850</v>
      </c>
      <c r="C881" s="1815">
        <v>40900</v>
      </c>
      <c r="D881" s="1816">
        <f t="shared" si="69"/>
        <v>4685</v>
      </c>
      <c r="E881" s="1816">
        <f t="shared" si="70"/>
        <v>4465</v>
      </c>
      <c r="F881" s="1816">
        <f t="shared" si="71"/>
        <v>4685</v>
      </c>
      <c r="G881" s="1816">
        <f t="shared" si="72"/>
        <v>4591</v>
      </c>
    </row>
    <row r="882" spans="1:7" ht="15.75">
      <c r="A882" s="1961">
        <f t="shared" si="73"/>
        <v>40925</v>
      </c>
      <c r="B882" s="1815">
        <v>40900</v>
      </c>
      <c r="C882" s="1815">
        <v>40950</v>
      </c>
      <c r="D882" s="1816">
        <f t="shared" si="69"/>
        <v>4691</v>
      </c>
      <c r="E882" s="1816">
        <f t="shared" si="70"/>
        <v>4471</v>
      </c>
      <c r="F882" s="1816">
        <f t="shared" si="71"/>
        <v>4691</v>
      </c>
      <c r="G882" s="1816">
        <f t="shared" si="72"/>
        <v>4597</v>
      </c>
    </row>
    <row r="883" spans="1:7" ht="15.75">
      <c r="A883" s="1961">
        <f t="shared" si="73"/>
        <v>40975</v>
      </c>
      <c r="B883" s="1815">
        <v>40950</v>
      </c>
      <c r="C883" s="1815">
        <v>41000</v>
      </c>
      <c r="D883" s="1816">
        <f t="shared" si="69"/>
        <v>4697</v>
      </c>
      <c r="E883" s="1816">
        <f t="shared" si="70"/>
        <v>4477</v>
      </c>
      <c r="F883" s="1816">
        <f t="shared" si="71"/>
        <v>4697</v>
      </c>
      <c r="G883" s="1816">
        <f t="shared" si="72"/>
        <v>4603</v>
      </c>
    </row>
    <row r="884" spans="1:7" ht="15.75">
      <c r="A884" s="1961">
        <f t="shared" si="73"/>
        <v>41025</v>
      </c>
      <c r="B884" s="1815">
        <v>41000</v>
      </c>
      <c r="C884" s="1815">
        <v>41050</v>
      </c>
      <c r="D884" s="1816">
        <f t="shared" si="69"/>
        <v>4703</v>
      </c>
      <c r="E884" s="1816">
        <f t="shared" si="70"/>
        <v>4483</v>
      </c>
      <c r="F884" s="1816">
        <f t="shared" si="71"/>
        <v>4703</v>
      </c>
      <c r="G884" s="1816">
        <f t="shared" si="72"/>
        <v>4609</v>
      </c>
    </row>
    <row r="885" spans="1:7" ht="15.75">
      <c r="A885" s="1961">
        <f t="shared" si="73"/>
        <v>41075</v>
      </c>
      <c r="B885" s="1815">
        <v>41050</v>
      </c>
      <c r="C885" s="1815">
        <v>41100</v>
      </c>
      <c r="D885" s="1816">
        <f t="shared" si="69"/>
        <v>4709</v>
      </c>
      <c r="E885" s="1816">
        <f t="shared" si="70"/>
        <v>4489</v>
      </c>
      <c r="F885" s="1816">
        <f t="shared" si="71"/>
        <v>4709</v>
      </c>
      <c r="G885" s="1816">
        <f t="shared" si="72"/>
        <v>4615</v>
      </c>
    </row>
    <row r="886" spans="1:7" ht="15.75">
      <c r="A886" s="1961">
        <f t="shared" si="73"/>
        <v>41125</v>
      </c>
      <c r="B886" s="1815">
        <v>41100</v>
      </c>
      <c r="C886" s="1815">
        <v>41150</v>
      </c>
      <c r="D886" s="1816">
        <f t="shared" si="69"/>
        <v>4715</v>
      </c>
      <c r="E886" s="1816">
        <f t="shared" si="70"/>
        <v>4495</v>
      </c>
      <c r="F886" s="1816">
        <f t="shared" si="71"/>
        <v>4715</v>
      </c>
      <c r="G886" s="1816">
        <f t="shared" si="72"/>
        <v>4621</v>
      </c>
    </row>
    <row r="887" spans="1:7" ht="15.75">
      <c r="A887" s="1961">
        <f t="shared" si="73"/>
        <v>41175</v>
      </c>
      <c r="B887" s="1815">
        <v>41150</v>
      </c>
      <c r="C887" s="1815">
        <v>41200</v>
      </c>
      <c r="D887" s="1816">
        <f t="shared" si="69"/>
        <v>4721</v>
      </c>
      <c r="E887" s="1816">
        <f t="shared" si="70"/>
        <v>4501</v>
      </c>
      <c r="F887" s="1816">
        <f t="shared" si="71"/>
        <v>4721</v>
      </c>
      <c r="G887" s="1816">
        <f t="shared" si="72"/>
        <v>4627</v>
      </c>
    </row>
    <row r="888" spans="1:7" ht="15.75">
      <c r="A888" s="1961">
        <f t="shared" si="73"/>
        <v>41225</v>
      </c>
      <c r="B888" s="1815">
        <v>41200</v>
      </c>
      <c r="C888" s="1815">
        <v>41250</v>
      </c>
      <c r="D888" s="1816">
        <f t="shared" si="69"/>
        <v>4727</v>
      </c>
      <c r="E888" s="1816">
        <f t="shared" si="70"/>
        <v>4507</v>
      </c>
      <c r="F888" s="1816">
        <f t="shared" si="71"/>
        <v>4727</v>
      </c>
      <c r="G888" s="1816">
        <f t="shared" si="72"/>
        <v>4633</v>
      </c>
    </row>
    <row r="889" spans="1:7" ht="15.75">
      <c r="A889" s="1961">
        <f t="shared" si="73"/>
        <v>41275</v>
      </c>
      <c r="B889" s="1815">
        <v>41250</v>
      </c>
      <c r="C889" s="1815">
        <v>41300</v>
      </c>
      <c r="D889" s="1816">
        <f t="shared" si="69"/>
        <v>4733</v>
      </c>
      <c r="E889" s="1816">
        <f t="shared" si="70"/>
        <v>4513</v>
      </c>
      <c r="F889" s="1816">
        <f t="shared" si="71"/>
        <v>4733</v>
      </c>
      <c r="G889" s="1816">
        <f t="shared" si="72"/>
        <v>4639</v>
      </c>
    </row>
    <row r="890" spans="1:7" ht="15.75">
      <c r="A890" s="1961">
        <f t="shared" si="73"/>
        <v>41325</v>
      </c>
      <c r="B890" s="1815">
        <v>41300</v>
      </c>
      <c r="C890" s="1815">
        <v>41350</v>
      </c>
      <c r="D890" s="1816">
        <f t="shared" si="69"/>
        <v>4739</v>
      </c>
      <c r="E890" s="1816">
        <f t="shared" si="70"/>
        <v>4519</v>
      </c>
      <c r="F890" s="1816">
        <f t="shared" si="71"/>
        <v>4739</v>
      </c>
      <c r="G890" s="1816">
        <f t="shared" si="72"/>
        <v>4645</v>
      </c>
    </row>
    <row r="891" spans="1:7" ht="15.75">
      <c r="A891" s="1961">
        <f t="shared" si="73"/>
        <v>41375</v>
      </c>
      <c r="B891" s="1815">
        <v>41350</v>
      </c>
      <c r="C891" s="1815">
        <v>41400</v>
      </c>
      <c r="D891" s="1816">
        <f t="shared" si="69"/>
        <v>4745</v>
      </c>
      <c r="E891" s="1816">
        <f t="shared" si="70"/>
        <v>4525</v>
      </c>
      <c r="F891" s="1816">
        <f t="shared" si="71"/>
        <v>4745</v>
      </c>
      <c r="G891" s="1816">
        <f t="shared" si="72"/>
        <v>4651</v>
      </c>
    </row>
    <row r="892" spans="1:7" ht="15.75">
      <c r="A892" s="1961">
        <f t="shared" si="73"/>
        <v>41425</v>
      </c>
      <c r="B892" s="1815">
        <v>41400</v>
      </c>
      <c r="C892" s="1815">
        <v>41450</v>
      </c>
      <c r="D892" s="1816">
        <f t="shared" si="69"/>
        <v>4751</v>
      </c>
      <c r="E892" s="1816">
        <f t="shared" si="70"/>
        <v>4531</v>
      </c>
      <c r="F892" s="1816">
        <f t="shared" si="71"/>
        <v>4751</v>
      </c>
      <c r="G892" s="1816">
        <f t="shared" si="72"/>
        <v>4657</v>
      </c>
    </row>
    <row r="893" spans="1:7" ht="15.75">
      <c r="A893" s="1961">
        <f t="shared" si="73"/>
        <v>41475</v>
      </c>
      <c r="B893" s="1815">
        <v>41450</v>
      </c>
      <c r="C893" s="1815">
        <v>41500</v>
      </c>
      <c r="D893" s="1816">
        <f t="shared" si="69"/>
        <v>4757</v>
      </c>
      <c r="E893" s="1816">
        <f t="shared" si="70"/>
        <v>4537</v>
      </c>
      <c r="F893" s="1816">
        <f t="shared" si="71"/>
        <v>4757</v>
      </c>
      <c r="G893" s="1816">
        <f t="shared" si="72"/>
        <v>4663</v>
      </c>
    </row>
    <row r="894" spans="1:7" ht="15.75">
      <c r="A894" s="1961">
        <f t="shared" si="73"/>
        <v>41525</v>
      </c>
      <c r="B894" s="1815">
        <v>41500</v>
      </c>
      <c r="C894" s="1815">
        <v>41550</v>
      </c>
      <c r="D894" s="1816">
        <f t="shared" si="69"/>
        <v>4763</v>
      </c>
      <c r="E894" s="1816">
        <f t="shared" si="70"/>
        <v>4543</v>
      </c>
      <c r="F894" s="1816">
        <f t="shared" si="71"/>
        <v>4763</v>
      </c>
      <c r="G894" s="1816">
        <f t="shared" si="72"/>
        <v>4669</v>
      </c>
    </row>
    <row r="895" spans="1:7" ht="15.75">
      <c r="A895" s="1961">
        <f t="shared" si="73"/>
        <v>41575</v>
      </c>
      <c r="B895" s="1815">
        <v>41550</v>
      </c>
      <c r="C895" s="1815">
        <v>41600</v>
      </c>
      <c r="D895" s="1816">
        <f t="shared" si="69"/>
        <v>4769</v>
      </c>
      <c r="E895" s="1816">
        <f t="shared" si="70"/>
        <v>4549</v>
      </c>
      <c r="F895" s="1816">
        <f t="shared" si="71"/>
        <v>4769</v>
      </c>
      <c r="G895" s="1816">
        <f t="shared" si="72"/>
        <v>4675</v>
      </c>
    </row>
    <row r="896" spans="1:7" ht="15.75">
      <c r="A896" s="1961">
        <f t="shared" si="73"/>
        <v>41625</v>
      </c>
      <c r="B896" s="1815">
        <v>41600</v>
      </c>
      <c r="C896" s="1815">
        <v>41650</v>
      </c>
      <c r="D896" s="1816">
        <f t="shared" si="69"/>
        <v>4775</v>
      </c>
      <c r="E896" s="1816">
        <f t="shared" si="70"/>
        <v>4555</v>
      </c>
      <c r="F896" s="1816">
        <f t="shared" si="71"/>
        <v>4775</v>
      </c>
      <c r="G896" s="1816">
        <f t="shared" si="72"/>
        <v>4681</v>
      </c>
    </row>
    <row r="897" spans="1:7" ht="15.75">
      <c r="A897" s="1961">
        <f t="shared" si="73"/>
        <v>41675</v>
      </c>
      <c r="B897" s="1815">
        <v>41650</v>
      </c>
      <c r="C897" s="1815">
        <v>41700</v>
      </c>
      <c r="D897" s="1816">
        <f t="shared" si="69"/>
        <v>4781</v>
      </c>
      <c r="E897" s="1816">
        <f t="shared" si="70"/>
        <v>4561</v>
      </c>
      <c r="F897" s="1816">
        <f t="shared" si="71"/>
        <v>4781</v>
      </c>
      <c r="G897" s="1816">
        <f t="shared" si="72"/>
        <v>4687</v>
      </c>
    </row>
    <row r="898" spans="1:7" ht="15.75">
      <c r="A898" s="1961">
        <f t="shared" si="73"/>
        <v>41725</v>
      </c>
      <c r="B898" s="1815">
        <v>41700</v>
      </c>
      <c r="C898" s="1815">
        <v>41750</v>
      </c>
      <c r="D898" s="1816">
        <f t="shared" ref="D898:D961" si="74">IF($A898&gt;BOTT_A4,ROUND(BASE_A4+RATE_A4*($A898-BOTT_A4),0),IF($A898&gt;BOTT_A3,ROUND(BASE_A3+RATE_A3*($A898-BOTT_A3),0),IF($A898&gt;BOTT_A2,ROUND(BASE_A2+RATE_A2*($A898-BOTT_A2),0),ROUND(RATE_A1*$A898,0))))</f>
        <v>4787</v>
      </c>
      <c r="E898" s="1816">
        <f t="shared" ref="E898:E961" si="75">IF($A898&gt;BOTT_B4,ROUND(BASE_B4+RATE_B4*($A898-BOTT_B4),0),IF($A898&gt;BOTT_B3,ROUND(BASE_B3+RATE_B3*($A898-BOTT_B3),0),IF($A898&gt;BOTT_B2,ROUND(BASE_B2+RATE_B2*($A898-BOTT_B2),0),ROUND(RATE_B1*$A898,0))))</f>
        <v>4567</v>
      </c>
      <c r="F898" s="1816">
        <f t="shared" ref="F898:F961" si="76">IF($A898&gt;BOTT_C4,ROUND(BASE_C4+RATE_C4*($A898-BOTT_C4),0),IF($A898&gt;BOTT_C3,ROUND(BASE_C3+RATE_C3*($A898-BOTT_C3),0),IF($A898&gt;BOTT_C2,ROUND(BASE_C2+RATE_C2*($A898-BOTT_C2),0),ROUND(RATE_C1*$A898,0))))</f>
        <v>4787</v>
      </c>
      <c r="G898" s="1816">
        <f t="shared" ref="G898:G961" si="77">IF($A898&gt;BOTT_D4,ROUND(BASE_D4+RATE_D4*($A898-BOTT_D4),0),IF($A898&gt;BOTT_D3,ROUND(BASE_D3+RATE_D3*($A898-BOTT_D3),0),IF($A898&gt;BOTT_D2,ROUND(BASE_D2+RATE_D2*($A898-BOTT_D2),0),ROUND(RATE_D1*$A898,0))))</f>
        <v>4693</v>
      </c>
    </row>
    <row r="899" spans="1:7" ht="15.75">
      <c r="A899" s="1961">
        <f t="shared" ref="A899:A962" si="78">AVERAGE(B899,C899)</f>
        <v>41775</v>
      </c>
      <c r="B899" s="1815">
        <v>41750</v>
      </c>
      <c r="C899" s="1815">
        <v>41800</v>
      </c>
      <c r="D899" s="1816">
        <f t="shared" si="74"/>
        <v>4793</v>
      </c>
      <c r="E899" s="1816">
        <f t="shared" si="75"/>
        <v>4573</v>
      </c>
      <c r="F899" s="1816">
        <f t="shared" si="76"/>
        <v>4793</v>
      </c>
      <c r="G899" s="1816">
        <f t="shared" si="77"/>
        <v>4699</v>
      </c>
    </row>
    <row r="900" spans="1:7" ht="15.75">
      <c r="A900" s="1961">
        <f t="shared" si="78"/>
        <v>41825</v>
      </c>
      <c r="B900" s="1815">
        <v>41800</v>
      </c>
      <c r="C900" s="1815">
        <v>41850</v>
      </c>
      <c r="D900" s="1816">
        <f t="shared" si="74"/>
        <v>4799</v>
      </c>
      <c r="E900" s="1816">
        <f t="shared" si="75"/>
        <v>4579</v>
      </c>
      <c r="F900" s="1816">
        <f t="shared" si="76"/>
        <v>4799</v>
      </c>
      <c r="G900" s="1816">
        <f t="shared" si="77"/>
        <v>4705</v>
      </c>
    </row>
    <row r="901" spans="1:7" ht="15.75">
      <c r="A901" s="1961">
        <f t="shared" si="78"/>
        <v>41875</v>
      </c>
      <c r="B901" s="1815">
        <v>41850</v>
      </c>
      <c r="C901" s="1815">
        <v>41900</v>
      </c>
      <c r="D901" s="1816">
        <f t="shared" si="74"/>
        <v>4805</v>
      </c>
      <c r="E901" s="1816">
        <f t="shared" si="75"/>
        <v>4585</v>
      </c>
      <c r="F901" s="1816">
        <f t="shared" si="76"/>
        <v>4805</v>
      </c>
      <c r="G901" s="1816">
        <f t="shared" si="77"/>
        <v>4711</v>
      </c>
    </row>
    <row r="902" spans="1:7" ht="15.75">
      <c r="A902" s="1961">
        <f t="shared" si="78"/>
        <v>41925</v>
      </c>
      <c r="B902" s="1815">
        <v>41900</v>
      </c>
      <c r="C902" s="1815">
        <v>41950</v>
      </c>
      <c r="D902" s="1816">
        <f t="shared" si="74"/>
        <v>4811</v>
      </c>
      <c r="E902" s="1816">
        <f t="shared" si="75"/>
        <v>4591</v>
      </c>
      <c r="F902" s="1816">
        <f t="shared" si="76"/>
        <v>4811</v>
      </c>
      <c r="G902" s="1816">
        <f t="shared" si="77"/>
        <v>4717</v>
      </c>
    </row>
    <row r="903" spans="1:7" ht="15.75">
      <c r="A903" s="1961">
        <f t="shared" si="78"/>
        <v>41975</v>
      </c>
      <c r="B903" s="1815">
        <v>41950</v>
      </c>
      <c r="C903" s="1815">
        <v>42000</v>
      </c>
      <c r="D903" s="1816">
        <f t="shared" si="74"/>
        <v>4817</v>
      </c>
      <c r="E903" s="1816">
        <f t="shared" si="75"/>
        <v>4597</v>
      </c>
      <c r="F903" s="1816">
        <f t="shared" si="76"/>
        <v>4817</v>
      </c>
      <c r="G903" s="1816">
        <f t="shared" si="77"/>
        <v>4723</v>
      </c>
    </row>
    <row r="904" spans="1:7" ht="15.75">
      <c r="A904" s="1961">
        <f t="shared" si="78"/>
        <v>42025</v>
      </c>
      <c r="B904" s="1815">
        <v>42000</v>
      </c>
      <c r="C904" s="1815">
        <v>42050</v>
      </c>
      <c r="D904" s="1816">
        <f t="shared" si="74"/>
        <v>4823</v>
      </c>
      <c r="E904" s="1816">
        <f t="shared" si="75"/>
        <v>4603</v>
      </c>
      <c r="F904" s="1816">
        <f t="shared" si="76"/>
        <v>4823</v>
      </c>
      <c r="G904" s="1816">
        <f t="shared" si="77"/>
        <v>4729</v>
      </c>
    </row>
    <row r="905" spans="1:7" ht="15.75">
      <c r="A905" s="1961">
        <f t="shared" si="78"/>
        <v>42075</v>
      </c>
      <c r="B905" s="1815">
        <v>42050</v>
      </c>
      <c r="C905" s="1815">
        <v>42100</v>
      </c>
      <c r="D905" s="1816">
        <f t="shared" si="74"/>
        <v>4829</v>
      </c>
      <c r="E905" s="1816">
        <f t="shared" si="75"/>
        <v>4609</v>
      </c>
      <c r="F905" s="1816">
        <f t="shared" si="76"/>
        <v>4829</v>
      </c>
      <c r="G905" s="1816">
        <f t="shared" si="77"/>
        <v>4735</v>
      </c>
    </row>
    <row r="906" spans="1:7" ht="15.75">
      <c r="A906" s="1961">
        <f t="shared" si="78"/>
        <v>42125</v>
      </c>
      <c r="B906" s="1815">
        <v>42100</v>
      </c>
      <c r="C906" s="1815">
        <v>42150</v>
      </c>
      <c r="D906" s="1816">
        <f t="shared" si="74"/>
        <v>4835</v>
      </c>
      <c r="E906" s="1816">
        <f t="shared" si="75"/>
        <v>4615</v>
      </c>
      <c r="F906" s="1816">
        <f t="shared" si="76"/>
        <v>4835</v>
      </c>
      <c r="G906" s="1816">
        <f t="shared" si="77"/>
        <v>4741</v>
      </c>
    </row>
    <row r="907" spans="1:7" ht="15.75">
      <c r="A907" s="1961">
        <f t="shared" si="78"/>
        <v>42175</v>
      </c>
      <c r="B907" s="1815">
        <v>42150</v>
      </c>
      <c r="C907" s="1815">
        <v>42200</v>
      </c>
      <c r="D907" s="1816">
        <f t="shared" si="74"/>
        <v>4841</v>
      </c>
      <c r="E907" s="1816">
        <f t="shared" si="75"/>
        <v>4621</v>
      </c>
      <c r="F907" s="1816">
        <f t="shared" si="76"/>
        <v>4841</v>
      </c>
      <c r="G907" s="1816">
        <f t="shared" si="77"/>
        <v>4747</v>
      </c>
    </row>
    <row r="908" spans="1:7" ht="15.75">
      <c r="A908" s="1961">
        <f t="shared" si="78"/>
        <v>42225</v>
      </c>
      <c r="B908" s="1815">
        <v>42200</v>
      </c>
      <c r="C908" s="1815">
        <v>42250</v>
      </c>
      <c r="D908" s="1816">
        <f t="shared" si="74"/>
        <v>4847</v>
      </c>
      <c r="E908" s="1816">
        <f t="shared" si="75"/>
        <v>4627</v>
      </c>
      <c r="F908" s="1816">
        <f t="shared" si="76"/>
        <v>4847</v>
      </c>
      <c r="G908" s="1816">
        <f t="shared" si="77"/>
        <v>4753</v>
      </c>
    </row>
    <row r="909" spans="1:7" ht="15.75">
      <c r="A909" s="1961">
        <f t="shared" si="78"/>
        <v>42275</v>
      </c>
      <c r="B909" s="1815">
        <v>42250</v>
      </c>
      <c r="C909" s="1815">
        <v>42300</v>
      </c>
      <c r="D909" s="1816">
        <f t="shared" si="74"/>
        <v>4853</v>
      </c>
      <c r="E909" s="1816">
        <f t="shared" si="75"/>
        <v>4633</v>
      </c>
      <c r="F909" s="1816">
        <f t="shared" si="76"/>
        <v>4853</v>
      </c>
      <c r="G909" s="1816">
        <f t="shared" si="77"/>
        <v>4759</v>
      </c>
    </row>
    <row r="910" spans="1:7" ht="15.75">
      <c r="A910" s="1961">
        <f t="shared" si="78"/>
        <v>42325</v>
      </c>
      <c r="B910" s="1815">
        <v>42300</v>
      </c>
      <c r="C910" s="1815">
        <v>42350</v>
      </c>
      <c r="D910" s="1816">
        <f t="shared" si="74"/>
        <v>4859</v>
      </c>
      <c r="E910" s="1816">
        <f t="shared" si="75"/>
        <v>4639</v>
      </c>
      <c r="F910" s="1816">
        <f t="shared" si="76"/>
        <v>4859</v>
      </c>
      <c r="G910" s="1816">
        <f t="shared" si="77"/>
        <v>4765</v>
      </c>
    </row>
    <row r="911" spans="1:7" ht="15.75">
      <c r="A911" s="1961">
        <f t="shared" si="78"/>
        <v>42375</v>
      </c>
      <c r="B911" s="1815">
        <v>42350</v>
      </c>
      <c r="C911" s="1815">
        <v>42400</v>
      </c>
      <c r="D911" s="1816">
        <f t="shared" si="74"/>
        <v>4865</v>
      </c>
      <c r="E911" s="1816">
        <f t="shared" si="75"/>
        <v>4645</v>
      </c>
      <c r="F911" s="1816">
        <f t="shared" si="76"/>
        <v>4865</v>
      </c>
      <c r="G911" s="1816">
        <f t="shared" si="77"/>
        <v>4771</v>
      </c>
    </row>
    <row r="912" spans="1:7" ht="15.75">
      <c r="A912" s="1961">
        <f t="shared" si="78"/>
        <v>42425</v>
      </c>
      <c r="B912" s="1815">
        <v>42400</v>
      </c>
      <c r="C912" s="1815">
        <v>42450</v>
      </c>
      <c r="D912" s="1816">
        <f t="shared" si="74"/>
        <v>4871</v>
      </c>
      <c r="E912" s="1816">
        <f t="shared" si="75"/>
        <v>4651</v>
      </c>
      <c r="F912" s="1816">
        <f t="shared" si="76"/>
        <v>4871</v>
      </c>
      <c r="G912" s="1816">
        <f t="shared" si="77"/>
        <v>4777</v>
      </c>
    </row>
    <row r="913" spans="1:7" ht="15.75">
      <c r="A913" s="1961">
        <f t="shared" si="78"/>
        <v>42475</v>
      </c>
      <c r="B913" s="1815">
        <v>42450</v>
      </c>
      <c r="C913" s="1815">
        <v>42500</v>
      </c>
      <c r="D913" s="1816">
        <f t="shared" si="74"/>
        <v>4877</v>
      </c>
      <c r="E913" s="1816">
        <f t="shared" si="75"/>
        <v>4657</v>
      </c>
      <c r="F913" s="1816">
        <f t="shared" si="76"/>
        <v>4877</v>
      </c>
      <c r="G913" s="1816">
        <f t="shared" si="77"/>
        <v>4783</v>
      </c>
    </row>
    <row r="914" spans="1:7" ht="15.75">
      <c r="A914" s="1961">
        <f t="shared" si="78"/>
        <v>42525</v>
      </c>
      <c r="B914" s="1815">
        <v>42500</v>
      </c>
      <c r="C914" s="1815">
        <v>42550</v>
      </c>
      <c r="D914" s="1816">
        <f t="shared" si="74"/>
        <v>4883</v>
      </c>
      <c r="E914" s="1816">
        <f t="shared" si="75"/>
        <v>4663</v>
      </c>
      <c r="F914" s="1816">
        <f t="shared" si="76"/>
        <v>4883</v>
      </c>
      <c r="G914" s="1816">
        <f t="shared" si="77"/>
        <v>4789</v>
      </c>
    </row>
    <row r="915" spans="1:7" ht="15.75">
      <c r="A915" s="1961">
        <f t="shared" si="78"/>
        <v>42575</v>
      </c>
      <c r="B915" s="1815">
        <v>42550</v>
      </c>
      <c r="C915" s="1815">
        <v>42600</v>
      </c>
      <c r="D915" s="1816">
        <f t="shared" si="74"/>
        <v>4889</v>
      </c>
      <c r="E915" s="1816">
        <f t="shared" si="75"/>
        <v>4669</v>
      </c>
      <c r="F915" s="1816">
        <f t="shared" si="76"/>
        <v>4889</v>
      </c>
      <c r="G915" s="1816">
        <f t="shared" si="77"/>
        <v>4795</v>
      </c>
    </row>
    <row r="916" spans="1:7" ht="15.75">
      <c r="A916" s="1961">
        <f t="shared" si="78"/>
        <v>42625</v>
      </c>
      <c r="B916" s="1815">
        <v>42600</v>
      </c>
      <c r="C916" s="1815">
        <v>42650</v>
      </c>
      <c r="D916" s="1816">
        <f t="shared" si="74"/>
        <v>4895</v>
      </c>
      <c r="E916" s="1816">
        <f t="shared" si="75"/>
        <v>4675</v>
      </c>
      <c r="F916" s="1816">
        <f t="shared" si="76"/>
        <v>4895</v>
      </c>
      <c r="G916" s="1816">
        <f t="shared" si="77"/>
        <v>4801</v>
      </c>
    </row>
    <row r="917" spans="1:7" ht="15.75">
      <c r="A917" s="1961">
        <f t="shared" si="78"/>
        <v>42675</v>
      </c>
      <c r="B917" s="1815">
        <v>42650</v>
      </c>
      <c r="C917" s="1815">
        <v>42700</v>
      </c>
      <c r="D917" s="1816">
        <f t="shared" si="74"/>
        <v>4901</v>
      </c>
      <c r="E917" s="1816">
        <f t="shared" si="75"/>
        <v>4681</v>
      </c>
      <c r="F917" s="1816">
        <f t="shared" si="76"/>
        <v>4901</v>
      </c>
      <c r="G917" s="1816">
        <f t="shared" si="77"/>
        <v>4807</v>
      </c>
    </row>
    <row r="918" spans="1:7" ht="15.75">
      <c r="A918" s="1961">
        <f t="shared" si="78"/>
        <v>42725</v>
      </c>
      <c r="B918" s="1815">
        <v>42700</v>
      </c>
      <c r="C918" s="1815">
        <v>42750</v>
      </c>
      <c r="D918" s="1816">
        <f t="shared" si="74"/>
        <v>4907</v>
      </c>
      <c r="E918" s="1816">
        <f t="shared" si="75"/>
        <v>4687</v>
      </c>
      <c r="F918" s="1816">
        <f t="shared" si="76"/>
        <v>4907</v>
      </c>
      <c r="G918" s="1816">
        <f t="shared" si="77"/>
        <v>4813</v>
      </c>
    </row>
    <row r="919" spans="1:7" ht="15.75">
      <c r="A919" s="1961">
        <f t="shared" si="78"/>
        <v>42775</v>
      </c>
      <c r="B919" s="1815">
        <v>42750</v>
      </c>
      <c r="C919" s="1815">
        <v>42800</v>
      </c>
      <c r="D919" s="1816">
        <f t="shared" si="74"/>
        <v>4913</v>
      </c>
      <c r="E919" s="1816">
        <f t="shared" si="75"/>
        <v>4693</v>
      </c>
      <c r="F919" s="1816">
        <f t="shared" si="76"/>
        <v>4913</v>
      </c>
      <c r="G919" s="1816">
        <f t="shared" si="77"/>
        <v>4819</v>
      </c>
    </row>
    <row r="920" spans="1:7" ht="15.75">
      <c r="A920" s="1961">
        <f t="shared" si="78"/>
        <v>42825</v>
      </c>
      <c r="B920" s="1815">
        <v>42800</v>
      </c>
      <c r="C920" s="1815">
        <v>42850</v>
      </c>
      <c r="D920" s="1816">
        <f t="shared" si="74"/>
        <v>4919</v>
      </c>
      <c r="E920" s="1816">
        <f t="shared" si="75"/>
        <v>4699</v>
      </c>
      <c r="F920" s="1816">
        <f t="shared" si="76"/>
        <v>4919</v>
      </c>
      <c r="G920" s="1816">
        <f t="shared" si="77"/>
        <v>4825</v>
      </c>
    </row>
    <row r="921" spans="1:7" ht="15.75">
      <c r="A921" s="1961">
        <f t="shared" si="78"/>
        <v>42875</v>
      </c>
      <c r="B921" s="1815">
        <v>42850</v>
      </c>
      <c r="C921" s="1815">
        <v>42900</v>
      </c>
      <c r="D921" s="1816">
        <f t="shared" si="74"/>
        <v>4925</v>
      </c>
      <c r="E921" s="1816">
        <f t="shared" si="75"/>
        <v>4705</v>
      </c>
      <c r="F921" s="1816">
        <f t="shared" si="76"/>
        <v>4925</v>
      </c>
      <c r="G921" s="1816">
        <f t="shared" si="77"/>
        <v>4831</v>
      </c>
    </row>
    <row r="922" spans="1:7" ht="15.75">
      <c r="A922" s="1961">
        <f t="shared" si="78"/>
        <v>42925</v>
      </c>
      <c r="B922" s="1815">
        <v>42900</v>
      </c>
      <c r="C922" s="1815">
        <v>42950</v>
      </c>
      <c r="D922" s="1816">
        <f t="shared" si="74"/>
        <v>4931</v>
      </c>
      <c r="E922" s="1816">
        <f t="shared" si="75"/>
        <v>4711</v>
      </c>
      <c r="F922" s="1816">
        <f t="shared" si="76"/>
        <v>4931</v>
      </c>
      <c r="G922" s="1816">
        <f t="shared" si="77"/>
        <v>4837</v>
      </c>
    </row>
    <row r="923" spans="1:7" ht="15.75">
      <c r="A923" s="1961">
        <f t="shared" si="78"/>
        <v>42975</v>
      </c>
      <c r="B923" s="1815">
        <v>42950</v>
      </c>
      <c r="C923" s="1815">
        <v>43000</v>
      </c>
      <c r="D923" s="1816">
        <f t="shared" si="74"/>
        <v>4937</v>
      </c>
      <c r="E923" s="1816">
        <f t="shared" si="75"/>
        <v>4717</v>
      </c>
      <c r="F923" s="1816">
        <f t="shared" si="76"/>
        <v>4937</v>
      </c>
      <c r="G923" s="1816">
        <f t="shared" si="77"/>
        <v>4843</v>
      </c>
    </row>
    <row r="924" spans="1:7" ht="15.75">
      <c r="A924" s="1961">
        <f t="shared" si="78"/>
        <v>43025</v>
      </c>
      <c r="B924" s="1815">
        <v>43000</v>
      </c>
      <c r="C924" s="1815">
        <v>43050</v>
      </c>
      <c r="D924" s="1816">
        <f t="shared" si="74"/>
        <v>4943</v>
      </c>
      <c r="E924" s="1816">
        <f t="shared" si="75"/>
        <v>4723</v>
      </c>
      <c r="F924" s="1816">
        <f t="shared" si="76"/>
        <v>4943</v>
      </c>
      <c r="G924" s="1816">
        <f t="shared" si="77"/>
        <v>4849</v>
      </c>
    </row>
    <row r="925" spans="1:7" ht="15.75">
      <c r="A925" s="1961">
        <f t="shared" si="78"/>
        <v>43075</v>
      </c>
      <c r="B925" s="1815">
        <v>43050</v>
      </c>
      <c r="C925" s="1815">
        <v>43100</v>
      </c>
      <c r="D925" s="1816">
        <f t="shared" si="74"/>
        <v>4949</v>
      </c>
      <c r="E925" s="1816">
        <f t="shared" si="75"/>
        <v>4729</v>
      </c>
      <c r="F925" s="1816">
        <f t="shared" si="76"/>
        <v>4949</v>
      </c>
      <c r="G925" s="1816">
        <f t="shared" si="77"/>
        <v>4855</v>
      </c>
    </row>
    <row r="926" spans="1:7" ht="15.75">
      <c r="A926" s="1961">
        <f t="shared" si="78"/>
        <v>43125</v>
      </c>
      <c r="B926" s="1815">
        <v>43100</v>
      </c>
      <c r="C926" s="1815">
        <v>43150</v>
      </c>
      <c r="D926" s="1816">
        <f t="shared" si="74"/>
        <v>4955</v>
      </c>
      <c r="E926" s="1816">
        <f t="shared" si="75"/>
        <v>4735</v>
      </c>
      <c r="F926" s="1816">
        <f t="shared" si="76"/>
        <v>4955</v>
      </c>
      <c r="G926" s="1816">
        <f t="shared" si="77"/>
        <v>4861</v>
      </c>
    </row>
    <row r="927" spans="1:7" ht="15.75">
      <c r="A927" s="1961">
        <f t="shared" si="78"/>
        <v>43175</v>
      </c>
      <c r="B927" s="1815">
        <v>43150</v>
      </c>
      <c r="C927" s="1815">
        <v>43200</v>
      </c>
      <c r="D927" s="1816">
        <f t="shared" si="74"/>
        <v>4961</v>
      </c>
      <c r="E927" s="1816">
        <f t="shared" si="75"/>
        <v>4741</v>
      </c>
      <c r="F927" s="1816">
        <f t="shared" si="76"/>
        <v>4961</v>
      </c>
      <c r="G927" s="1816">
        <f t="shared" si="77"/>
        <v>4867</v>
      </c>
    </row>
    <row r="928" spans="1:7" ht="15.75">
      <c r="A928" s="1961">
        <f t="shared" si="78"/>
        <v>43225</v>
      </c>
      <c r="B928" s="1815">
        <v>43200</v>
      </c>
      <c r="C928" s="1815">
        <v>43250</v>
      </c>
      <c r="D928" s="1816">
        <f t="shared" si="74"/>
        <v>4967</v>
      </c>
      <c r="E928" s="1816">
        <f t="shared" si="75"/>
        <v>4747</v>
      </c>
      <c r="F928" s="1816">
        <f t="shared" si="76"/>
        <v>4967</v>
      </c>
      <c r="G928" s="1816">
        <f t="shared" si="77"/>
        <v>4873</v>
      </c>
    </row>
    <row r="929" spans="1:7" ht="15.75">
      <c r="A929" s="1961">
        <f t="shared" si="78"/>
        <v>43275</v>
      </c>
      <c r="B929" s="1815">
        <v>43250</v>
      </c>
      <c r="C929" s="1815">
        <v>43300</v>
      </c>
      <c r="D929" s="1816">
        <f t="shared" si="74"/>
        <v>4973</v>
      </c>
      <c r="E929" s="1816">
        <f t="shared" si="75"/>
        <v>4753</v>
      </c>
      <c r="F929" s="1816">
        <f t="shared" si="76"/>
        <v>4973</v>
      </c>
      <c r="G929" s="1816">
        <f t="shared" si="77"/>
        <v>4879</v>
      </c>
    </row>
    <row r="930" spans="1:7" ht="15.75">
      <c r="A930" s="1961">
        <f t="shared" si="78"/>
        <v>43325</v>
      </c>
      <c r="B930" s="1815">
        <v>43300</v>
      </c>
      <c r="C930" s="1815">
        <v>43350</v>
      </c>
      <c r="D930" s="1816">
        <f t="shared" si="74"/>
        <v>4979</v>
      </c>
      <c r="E930" s="1816">
        <f t="shared" si="75"/>
        <v>4759</v>
      </c>
      <c r="F930" s="1816">
        <f t="shared" si="76"/>
        <v>4979</v>
      </c>
      <c r="G930" s="1816">
        <f t="shared" si="77"/>
        <v>4885</v>
      </c>
    </row>
    <row r="931" spans="1:7" ht="15.75">
      <c r="A931" s="1961">
        <f t="shared" si="78"/>
        <v>43375</v>
      </c>
      <c r="B931" s="1815">
        <v>43350</v>
      </c>
      <c r="C931" s="1815">
        <v>43400</v>
      </c>
      <c r="D931" s="1816">
        <f t="shared" si="74"/>
        <v>4985</v>
      </c>
      <c r="E931" s="1816">
        <f t="shared" si="75"/>
        <v>4765</v>
      </c>
      <c r="F931" s="1816">
        <f t="shared" si="76"/>
        <v>4985</v>
      </c>
      <c r="G931" s="1816">
        <f t="shared" si="77"/>
        <v>4891</v>
      </c>
    </row>
    <row r="932" spans="1:7" ht="15.75">
      <c r="A932" s="1961">
        <f t="shared" si="78"/>
        <v>43425</v>
      </c>
      <c r="B932" s="1815">
        <v>43400</v>
      </c>
      <c r="C932" s="1815">
        <v>43450</v>
      </c>
      <c r="D932" s="1816">
        <f t="shared" si="74"/>
        <v>4991</v>
      </c>
      <c r="E932" s="1816">
        <f t="shared" si="75"/>
        <v>4771</v>
      </c>
      <c r="F932" s="1816">
        <f t="shared" si="76"/>
        <v>4991</v>
      </c>
      <c r="G932" s="1816">
        <f t="shared" si="77"/>
        <v>4897</v>
      </c>
    </row>
    <row r="933" spans="1:7" ht="15.75">
      <c r="A933" s="1961">
        <f t="shared" si="78"/>
        <v>43475</v>
      </c>
      <c r="B933" s="1815">
        <v>43450</v>
      </c>
      <c r="C933" s="1815">
        <v>43500</v>
      </c>
      <c r="D933" s="1816">
        <f t="shared" si="74"/>
        <v>4997</v>
      </c>
      <c r="E933" s="1816">
        <f t="shared" si="75"/>
        <v>4777</v>
      </c>
      <c r="F933" s="1816">
        <f t="shared" si="76"/>
        <v>4997</v>
      </c>
      <c r="G933" s="1816">
        <f t="shared" si="77"/>
        <v>4903</v>
      </c>
    </row>
    <row r="934" spans="1:7" ht="15.75">
      <c r="A934" s="1961">
        <f t="shared" si="78"/>
        <v>43525</v>
      </c>
      <c r="B934" s="1815">
        <v>43500</v>
      </c>
      <c r="C934" s="1815">
        <v>43550</v>
      </c>
      <c r="D934" s="1816">
        <f t="shared" si="74"/>
        <v>5003</v>
      </c>
      <c r="E934" s="1816">
        <f t="shared" si="75"/>
        <v>4783</v>
      </c>
      <c r="F934" s="1816">
        <f t="shared" si="76"/>
        <v>5003</v>
      </c>
      <c r="G934" s="1816">
        <f t="shared" si="77"/>
        <v>4909</v>
      </c>
    </row>
    <row r="935" spans="1:7" ht="15.75">
      <c r="A935" s="1961">
        <f t="shared" si="78"/>
        <v>43575</v>
      </c>
      <c r="B935" s="1815">
        <v>43550</v>
      </c>
      <c r="C935" s="1815">
        <v>43600</v>
      </c>
      <c r="D935" s="1816">
        <f t="shared" si="74"/>
        <v>5009</v>
      </c>
      <c r="E935" s="1816">
        <f t="shared" si="75"/>
        <v>4789</v>
      </c>
      <c r="F935" s="1816">
        <f t="shared" si="76"/>
        <v>5009</v>
      </c>
      <c r="G935" s="1816">
        <f t="shared" si="77"/>
        <v>4915</v>
      </c>
    </row>
    <row r="936" spans="1:7" ht="15.75">
      <c r="A936" s="1961">
        <f t="shared" si="78"/>
        <v>43625</v>
      </c>
      <c r="B936" s="1815">
        <v>43600</v>
      </c>
      <c r="C936" s="1815">
        <v>43650</v>
      </c>
      <c r="D936" s="1816">
        <f t="shared" si="74"/>
        <v>5015</v>
      </c>
      <c r="E936" s="1816">
        <f t="shared" si="75"/>
        <v>4795</v>
      </c>
      <c r="F936" s="1816">
        <f t="shared" si="76"/>
        <v>5015</v>
      </c>
      <c r="G936" s="1816">
        <f t="shared" si="77"/>
        <v>4921</v>
      </c>
    </row>
    <row r="937" spans="1:7" ht="15.75">
      <c r="A937" s="1961">
        <f t="shared" si="78"/>
        <v>43675</v>
      </c>
      <c r="B937" s="1815">
        <v>43650</v>
      </c>
      <c r="C937" s="1815">
        <v>43700</v>
      </c>
      <c r="D937" s="1816">
        <f t="shared" si="74"/>
        <v>5021</v>
      </c>
      <c r="E937" s="1816">
        <f t="shared" si="75"/>
        <v>4801</v>
      </c>
      <c r="F937" s="1816">
        <f t="shared" si="76"/>
        <v>5021</v>
      </c>
      <c r="G937" s="1816">
        <f t="shared" si="77"/>
        <v>4927</v>
      </c>
    </row>
    <row r="938" spans="1:7" ht="15.75">
      <c r="A938" s="1961">
        <f t="shared" si="78"/>
        <v>43725</v>
      </c>
      <c r="B938" s="1815">
        <v>43700</v>
      </c>
      <c r="C938" s="1815">
        <v>43750</v>
      </c>
      <c r="D938" s="1816">
        <f t="shared" si="74"/>
        <v>5027</v>
      </c>
      <c r="E938" s="1816">
        <f t="shared" si="75"/>
        <v>4807</v>
      </c>
      <c r="F938" s="1816">
        <f t="shared" si="76"/>
        <v>5027</v>
      </c>
      <c r="G938" s="1816">
        <f t="shared" si="77"/>
        <v>4933</v>
      </c>
    </row>
    <row r="939" spans="1:7" ht="15.75">
      <c r="A939" s="1961">
        <f t="shared" si="78"/>
        <v>43775</v>
      </c>
      <c r="B939" s="1815">
        <v>43750</v>
      </c>
      <c r="C939" s="1815">
        <v>43800</v>
      </c>
      <c r="D939" s="1816">
        <f t="shared" si="74"/>
        <v>5033</v>
      </c>
      <c r="E939" s="1816">
        <f t="shared" si="75"/>
        <v>4813</v>
      </c>
      <c r="F939" s="1816">
        <f t="shared" si="76"/>
        <v>5033</v>
      </c>
      <c r="G939" s="1816">
        <f t="shared" si="77"/>
        <v>4939</v>
      </c>
    </row>
    <row r="940" spans="1:7" ht="15.75">
      <c r="A940" s="1961">
        <f t="shared" si="78"/>
        <v>43825</v>
      </c>
      <c r="B940" s="1815">
        <v>43800</v>
      </c>
      <c r="C940" s="1815">
        <v>43850</v>
      </c>
      <c r="D940" s="1816">
        <f t="shared" si="74"/>
        <v>5039</v>
      </c>
      <c r="E940" s="1816">
        <f t="shared" si="75"/>
        <v>4819</v>
      </c>
      <c r="F940" s="1816">
        <f t="shared" si="76"/>
        <v>5039</v>
      </c>
      <c r="G940" s="1816">
        <f t="shared" si="77"/>
        <v>4945</v>
      </c>
    </row>
    <row r="941" spans="1:7" ht="15.75">
      <c r="A941" s="1961">
        <f t="shared" si="78"/>
        <v>43875</v>
      </c>
      <c r="B941" s="1815">
        <v>43850</v>
      </c>
      <c r="C941" s="1815">
        <v>43900</v>
      </c>
      <c r="D941" s="1816">
        <f t="shared" si="74"/>
        <v>5045</v>
      </c>
      <c r="E941" s="1816">
        <f t="shared" si="75"/>
        <v>4825</v>
      </c>
      <c r="F941" s="1816">
        <f t="shared" si="76"/>
        <v>5045</v>
      </c>
      <c r="G941" s="1816">
        <f t="shared" si="77"/>
        <v>4951</v>
      </c>
    </row>
    <row r="942" spans="1:7" ht="15.75">
      <c r="A942" s="1961">
        <f t="shared" si="78"/>
        <v>43925</v>
      </c>
      <c r="B942" s="1815">
        <v>43900</v>
      </c>
      <c r="C942" s="1815">
        <v>43950</v>
      </c>
      <c r="D942" s="1816">
        <f t="shared" si="74"/>
        <v>5051</v>
      </c>
      <c r="E942" s="1816">
        <f t="shared" si="75"/>
        <v>4831</v>
      </c>
      <c r="F942" s="1816">
        <f t="shared" si="76"/>
        <v>5051</v>
      </c>
      <c r="G942" s="1816">
        <f t="shared" si="77"/>
        <v>4957</v>
      </c>
    </row>
    <row r="943" spans="1:7" ht="15.75">
      <c r="A943" s="1961">
        <f t="shared" si="78"/>
        <v>43975</v>
      </c>
      <c r="B943" s="1815">
        <v>43950</v>
      </c>
      <c r="C943" s="1815">
        <v>44000</v>
      </c>
      <c r="D943" s="1816">
        <f t="shared" si="74"/>
        <v>5057</v>
      </c>
      <c r="E943" s="1816">
        <f t="shared" si="75"/>
        <v>4837</v>
      </c>
      <c r="F943" s="1816">
        <f t="shared" si="76"/>
        <v>5057</v>
      </c>
      <c r="G943" s="1816">
        <f t="shared" si="77"/>
        <v>4963</v>
      </c>
    </row>
    <row r="944" spans="1:7" ht="15.75">
      <c r="A944" s="1961">
        <f t="shared" si="78"/>
        <v>44025</v>
      </c>
      <c r="B944" s="1815">
        <v>44000</v>
      </c>
      <c r="C944" s="1815">
        <v>44050</v>
      </c>
      <c r="D944" s="1816">
        <f t="shared" si="74"/>
        <v>5063</v>
      </c>
      <c r="E944" s="1816">
        <f t="shared" si="75"/>
        <v>4843</v>
      </c>
      <c r="F944" s="1816">
        <f t="shared" si="76"/>
        <v>5063</v>
      </c>
      <c r="G944" s="1816">
        <f t="shared" si="77"/>
        <v>4969</v>
      </c>
    </row>
    <row r="945" spans="1:7" ht="15.75">
      <c r="A945" s="1961">
        <f t="shared" si="78"/>
        <v>44075</v>
      </c>
      <c r="B945" s="1815">
        <v>44050</v>
      </c>
      <c r="C945" s="1815">
        <v>44100</v>
      </c>
      <c r="D945" s="1816">
        <f t="shared" si="74"/>
        <v>5069</v>
      </c>
      <c r="E945" s="1816">
        <f t="shared" si="75"/>
        <v>4849</v>
      </c>
      <c r="F945" s="1816">
        <f t="shared" si="76"/>
        <v>5069</v>
      </c>
      <c r="G945" s="1816">
        <f t="shared" si="77"/>
        <v>4975</v>
      </c>
    </row>
    <row r="946" spans="1:7" ht="15.75">
      <c r="A946" s="1961">
        <f t="shared" si="78"/>
        <v>44125</v>
      </c>
      <c r="B946" s="1815">
        <v>44100</v>
      </c>
      <c r="C946" s="1815">
        <v>44150</v>
      </c>
      <c r="D946" s="1816">
        <f t="shared" si="74"/>
        <v>5075</v>
      </c>
      <c r="E946" s="1816">
        <f t="shared" si="75"/>
        <v>4855</v>
      </c>
      <c r="F946" s="1816">
        <f t="shared" si="76"/>
        <v>5075</v>
      </c>
      <c r="G946" s="1816">
        <f t="shared" si="77"/>
        <v>4981</v>
      </c>
    </row>
    <row r="947" spans="1:7" ht="15.75">
      <c r="A947" s="1961">
        <f t="shared" si="78"/>
        <v>44175</v>
      </c>
      <c r="B947" s="1815">
        <v>44150</v>
      </c>
      <c r="C947" s="1815">
        <v>44200</v>
      </c>
      <c r="D947" s="1816">
        <f t="shared" si="74"/>
        <v>5081</v>
      </c>
      <c r="E947" s="1816">
        <f t="shared" si="75"/>
        <v>4861</v>
      </c>
      <c r="F947" s="1816">
        <f t="shared" si="76"/>
        <v>5081</v>
      </c>
      <c r="G947" s="1816">
        <f t="shared" si="77"/>
        <v>4987</v>
      </c>
    </row>
    <row r="948" spans="1:7" ht="15.75">
      <c r="A948" s="1961">
        <f t="shared" si="78"/>
        <v>44225</v>
      </c>
      <c r="B948" s="1815">
        <v>44200</v>
      </c>
      <c r="C948" s="1815">
        <v>44250</v>
      </c>
      <c r="D948" s="1816">
        <f t="shared" si="74"/>
        <v>5087</v>
      </c>
      <c r="E948" s="1816">
        <f t="shared" si="75"/>
        <v>4867</v>
      </c>
      <c r="F948" s="1816">
        <f t="shared" si="76"/>
        <v>5087</v>
      </c>
      <c r="G948" s="1816">
        <f t="shared" si="77"/>
        <v>4993</v>
      </c>
    </row>
    <row r="949" spans="1:7" ht="15.75">
      <c r="A949" s="1961">
        <f t="shared" si="78"/>
        <v>44275</v>
      </c>
      <c r="B949" s="1815">
        <v>44250</v>
      </c>
      <c r="C949" s="1815">
        <v>44300</v>
      </c>
      <c r="D949" s="1816">
        <f t="shared" si="74"/>
        <v>5093</v>
      </c>
      <c r="E949" s="1816">
        <f t="shared" si="75"/>
        <v>4873</v>
      </c>
      <c r="F949" s="1816">
        <f t="shared" si="76"/>
        <v>5093</v>
      </c>
      <c r="G949" s="1816">
        <f t="shared" si="77"/>
        <v>4999</v>
      </c>
    </row>
    <row r="950" spans="1:7" ht="15.75">
      <c r="A950" s="1961">
        <f t="shared" si="78"/>
        <v>44325</v>
      </c>
      <c r="B950" s="1815">
        <v>44300</v>
      </c>
      <c r="C950" s="1815">
        <v>44350</v>
      </c>
      <c r="D950" s="1816">
        <f t="shared" si="74"/>
        <v>5099</v>
      </c>
      <c r="E950" s="1816">
        <f t="shared" si="75"/>
        <v>4879</v>
      </c>
      <c r="F950" s="1816">
        <f t="shared" si="76"/>
        <v>5099</v>
      </c>
      <c r="G950" s="1816">
        <f t="shared" si="77"/>
        <v>5005</v>
      </c>
    </row>
    <row r="951" spans="1:7" ht="15.75">
      <c r="A951" s="1961">
        <f t="shared" si="78"/>
        <v>44375</v>
      </c>
      <c r="B951" s="1815">
        <v>44350</v>
      </c>
      <c r="C951" s="1815">
        <v>44400</v>
      </c>
      <c r="D951" s="1816">
        <f t="shared" si="74"/>
        <v>5105</v>
      </c>
      <c r="E951" s="1816">
        <f t="shared" si="75"/>
        <v>4885</v>
      </c>
      <c r="F951" s="1816">
        <f t="shared" si="76"/>
        <v>5105</v>
      </c>
      <c r="G951" s="1816">
        <f t="shared" si="77"/>
        <v>5011</v>
      </c>
    </row>
    <row r="952" spans="1:7" ht="15.75">
      <c r="A952" s="1961">
        <f t="shared" si="78"/>
        <v>44425</v>
      </c>
      <c r="B952" s="1815">
        <v>44400</v>
      </c>
      <c r="C952" s="1815">
        <v>44450</v>
      </c>
      <c r="D952" s="1816">
        <f t="shared" si="74"/>
        <v>5111</v>
      </c>
      <c r="E952" s="1816">
        <f t="shared" si="75"/>
        <v>4891</v>
      </c>
      <c r="F952" s="1816">
        <f t="shared" si="76"/>
        <v>5111</v>
      </c>
      <c r="G952" s="1816">
        <f t="shared" si="77"/>
        <v>5017</v>
      </c>
    </row>
    <row r="953" spans="1:7" ht="15.75">
      <c r="A953" s="1961">
        <f t="shared" si="78"/>
        <v>44475</v>
      </c>
      <c r="B953" s="1815">
        <v>44450</v>
      </c>
      <c r="C953" s="1815">
        <v>44500</v>
      </c>
      <c r="D953" s="1816">
        <f t="shared" si="74"/>
        <v>5117</v>
      </c>
      <c r="E953" s="1816">
        <f t="shared" si="75"/>
        <v>4897</v>
      </c>
      <c r="F953" s="1816">
        <f t="shared" si="76"/>
        <v>5117</v>
      </c>
      <c r="G953" s="1816">
        <f t="shared" si="77"/>
        <v>5023</v>
      </c>
    </row>
    <row r="954" spans="1:7" ht="15.75">
      <c r="A954" s="1961">
        <f t="shared" si="78"/>
        <v>44525</v>
      </c>
      <c r="B954" s="1815">
        <v>44500</v>
      </c>
      <c r="C954" s="1815">
        <v>44550</v>
      </c>
      <c r="D954" s="1816">
        <f t="shared" si="74"/>
        <v>5123</v>
      </c>
      <c r="E954" s="1816">
        <f t="shared" si="75"/>
        <v>4903</v>
      </c>
      <c r="F954" s="1816">
        <f t="shared" si="76"/>
        <v>5123</v>
      </c>
      <c r="G954" s="1816">
        <f t="shared" si="77"/>
        <v>5029</v>
      </c>
    </row>
    <row r="955" spans="1:7" ht="15.75">
      <c r="A955" s="1961">
        <f t="shared" si="78"/>
        <v>44575</v>
      </c>
      <c r="B955" s="1815">
        <v>44550</v>
      </c>
      <c r="C955" s="1815">
        <v>44600</v>
      </c>
      <c r="D955" s="1816">
        <f t="shared" si="74"/>
        <v>5129</v>
      </c>
      <c r="E955" s="1816">
        <f t="shared" si="75"/>
        <v>4909</v>
      </c>
      <c r="F955" s="1816">
        <f t="shared" si="76"/>
        <v>5129</v>
      </c>
      <c r="G955" s="1816">
        <f t="shared" si="77"/>
        <v>5035</v>
      </c>
    </row>
    <row r="956" spans="1:7" ht="15.75">
      <c r="A956" s="1961">
        <f t="shared" si="78"/>
        <v>44625</v>
      </c>
      <c r="B956" s="1815">
        <v>44600</v>
      </c>
      <c r="C956" s="1815">
        <v>44650</v>
      </c>
      <c r="D956" s="1816">
        <f t="shared" si="74"/>
        <v>5135</v>
      </c>
      <c r="E956" s="1816">
        <f t="shared" si="75"/>
        <v>4915</v>
      </c>
      <c r="F956" s="1816">
        <f t="shared" si="76"/>
        <v>5135</v>
      </c>
      <c r="G956" s="1816">
        <f t="shared" si="77"/>
        <v>5041</v>
      </c>
    </row>
    <row r="957" spans="1:7" ht="15.75">
      <c r="A957" s="1961">
        <f t="shared" si="78"/>
        <v>44675</v>
      </c>
      <c r="B957" s="1815">
        <v>44650</v>
      </c>
      <c r="C957" s="1815">
        <v>44700</v>
      </c>
      <c r="D957" s="1816">
        <f t="shared" si="74"/>
        <v>5141</v>
      </c>
      <c r="E957" s="1816">
        <f t="shared" si="75"/>
        <v>4921</v>
      </c>
      <c r="F957" s="1816">
        <f t="shared" si="76"/>
        <v>5141</v>
      </c>
      <c r="G957" s="1816">
        <f t="shared" si="77"/>
        <v>5047</v>
      </c>
    </row>
    <row r="958" spans="1:7" ht="15.75">
      <c r="A958" s="1961">
        <f t="shared" si="78"/>
        <v>44725</v>
      </c>
      <c r="B958" s="1815">
        <v>44700</v>
      </c>
      <c r="C958" s="1815">
        <v>44750</v>
      </c>
      <c r="D958" s="1816">
        <f t="shared" si="74"/>
        <v>5147</v>
      </c>
      <c r="E958" s="1816">
        <f t="shared" si="75"/>
        <v>4927</v>
      </c>
      <c r="F958" s="1816">
        <f t="shared" si="76"/>
        <v>5147</v>
      </c>
      <c r="G958" s="1816">
        <f t="shared" si="77"/>
        <v>5053</v>
      </c>
    </row>
    <row r="959" spans="1:7" ht="15.75">
      <c r="A959" s="1961">
        <f t="shared" si="78"/>
        <v>44775</v>
      </c>
      <c r="B959" s="1815">
        <v>44750</v>
      </c>
      <c r="C959" s="1815">
        <v>44800</v>
      </c>
      <c r="D959" s="1816">
        <f t="shared" si="74"/>
        <v>5158</v>
      </c>
      <c r="E959" s="1816">
        <f t="shared" si="75"/>
        <v>4933</v>
      </c>
      <c r="F959" s="1816">
        <f t="shared" si="76"/>
        <v>5158</v>
      </c>
      <c r="G959" s="1816">
        <f t="shared" si="77"/>
        <v>5059</v>
      </c>
    </row>
    <row r="960" spans="1:7" ht="15.75">
      <c r="A960" s="1961">
        <f t="shared" si="78"/>
        <v>44825</v>
      </c>
      <c r="B960" s="1815">
        <v>44800</v>
      </c>
      <c r="C960" s="1815">
        <v>44850</v>
      </c>
      <c r="D960" s="1816">
        <f t="shared" si="74"/>
        <v>5169</v>
      </c>
      <c r="E960" s="1816">
        <f t="shared" si="75"/>
        <v>4939</v>
      </c>
      <c r="F960" s="1816">
        <f t="shared" si="76"/>
        <v>5169</v>
      </c>
      <c r="G960" s="1816">
        <f t="shared" si="77"/>
        <v>5065</v>
      </c>
    </row>
    <row r="961" spans="1:7" ht="15.75">
      <c r="A961" s="1961">
        <f t="shared" si="78"/>
        <v>44875</v>
      </c>
      <c r="B961" s="1815">
        <v>44850</v>
      </c>
      <c r="C961" s="1815">
        <v>44900</v>
      </c>
      <c r="D961" s="1816">
        <f t="shared" si="74"/>
        <v>5180</v>
      </c>
      <c r="E961" s="1816">
        <f t="shared" si="75"/>
        <v>4945</v>
      </c>
      <c r="F961" s="1816">
        <f t="shared" si="76"/>
        <v>5180</v>
      </c>
      <c r="G961" s="1816">
        <f t="shared" si="77"/>
        <v>5071</v>
      </c>
    </row>
    <row r="962" spans="1:7" ht="15.75">
      <c r="A962" s="1961">
        <f t="shared" si="78"/>
        <v>44925</v>
      </c>
      <c r="B962" s="1815">
        <v>44900</v>
      </c>
      <c r="C962" s="1815">
        <v>44950</v>
      </c>
      <c r="D962" s="1816">
        <f t="shared" ref="D962:D1025" si="79">IF($A962&gt;BOTT_A4,ROUND(BASE_A4+RATE_A4*($A962-BOTT_A4),0),IF($A962&gt;BOTT_A3,ROUND(BASE_A3+RATE_A3*($A962-BOTT_A3),0),IF($A962&gt;BOTT_A2,ROUND(BASE_A2+RATE_A2*($A962-BOTT_A2),0),ROUND(RATE_A1*$A962,0))))</f>
        <v>5191</v>
      </c>
      <c r="E962" s="1816">
        <f t="shared" ref="E962:E1025" si="80">IF($A962&gt;BOTT_B4,ROUND(BASE_B4+RATE_B4*($A962-BOTT_B4),0),IF($A962&gt;BOTT_B3,ROUND(BASE_B3+RATE_B3*($A962-BOTT_B3),0),IF($A962&gt;BOTT_B2,ROUND(BASE_B2+RATE_B2*($A962-BOTT_B2),0),ROUND(RATE_B1*$A962,0))))</f>
        <v>4951</v>
      </c>
      <c r="F962" s="1816">
        <f t="shared" ref="F962:F1025" si="81">IF($A962&gt;BOTT_C4,ROUND(BASE_C4+RATE_C4*($A962-BOTT_C4),0),IF($A962&gt;BOTT_C3,ROUND(BASE_C3+RATE_C3*($A962-BOTT_C3),0),IF($A962&gt;BOTT_C2,ROUND(BASE_C2+RATE_C2*($A962-BOTT_C2),0),ROUND(RATE_C1*$A962,0))))</f>
        <v>5191</v>
      </c>
      <c r="G962" s="1816">
        <f t="shared" ref="G962:G1025" si="82">IF($A962&gt;BOTT_D4,ROUND(BASE_D4+RATE_D4*($A962-BOTT_D4),0),IF($A962&gt;BOTT_D3,ROUND(BASE_D3+RATE_D3*($A962-BOTT_D3),0),IF($A962&gt;BOTT_D2,ROUND(BASE_D2+RATE_D2*($A962-BOTT_D2),0),ROUND(RATE_D1*$A962,0))))</f>
        <v>5077</v>
      </c>
    </row>
    <row r="963" spans="1:7" ht="15.75">
      <c r="A963" s="1961">
        <f t="shared" ref="A963:A1026" si="83">AVERAGE(B963,C963)</f>
        <v>44975</v>
      </c>
      <c r="B963" s="1815">
        <v>44950</v>
      </c>
      <c r="C963" s="1815">
        <v>45000</v>
      </c>
      <c r="D963" s="1816">
        <f t="shared" si="79"/>
        <v>5202</v>
      </c>
      <c r="E963" s="1816">
        <f t="shared" si="80"/>
        <v>4957</v>
      </c>
      <c r="F963" s="1816">
        <f t="shared" si="81"/>
        <v>5202</v>
      </c>
      <c r="G963" s="1816">
        <f t="shared" si="82"/>
        <v>5083</v>
      </c>
    </row>
    <row r="964" spans="1:7" ht="15.75">
      <c r="A964" s="1961">
        <f t="shared" si="83"/>
        <v>45025</v>
      </c>
      <c r="B964" s="1815">
        <v>45000</v>
      </c>
      <c r="C964" s="1815">
        <v>45050</v>
      </c>
      <c r="D964" s="1816">
        <f t="shared" si="79"/>
        <v>5213</v>
      </c>
      <c r="E964" s="1816">
        <f t="shared" si="80"/>
        <v>4963</v>
      </c>
      <c r="F964" s="1816">
        <f t="shared" si="81"/>
        <v>5213</v>
      </c>
      <c r="G964" s="1816">
        <f t="shared" si="82"/>
        <v>5089</v>
      </c>
    </row>
    <row r="965" spans="1:7" ht="15.75">
      <c r="A965" s="1961">
        <f t="shared" si="83"/>
        <v>45075</v>
      </c>
      <c r="B965" s="1815">
        <v>45050</v>
      </c>
      <c r="C965" s="1815">
        <v>45100</v>
      </c>
      <c r="D965" s="1816">
        <f t="shared" si="79"/>
        <v>5224</v>
      </c>
      <c r="E965" s="1816">
        <f t="shared" si="80"/>
        <v>4969</v>
      </c>
      <c r="F965" s="1816">
        <f t="shared" si="81"/>
        <v>5224</v>
      </c>
      <c r="G965" s="1816">
        <f t="shared" si="82"/>
        <v>5095</v>
      </c>
    </row>
    <row r="966" spans="1:7" ht="15.75">
      <c r="A966" s="1961">
        <f t="shared" si="83"/>
        <v>45125</v>
      </c>
      <c r="B966" s="1815">
        <v>45100</v>
      </c>
      <c r="C966" s="1815">
        <v>45150</v>
      </c>
      <c r="D966" s="1816">
        <f t="shared" si="79"/>
        <v>5235</v>
      </c>
      <c r="E966" s="1816">
        <f t="shared" si="80"/>
        <v>4975</v>
      </c>
      <c r="F966" s="1816">
        <f t="shared" si="81"/>
        <v>5235</v>
      </c>
      <c r="G966" s="1816">
        <f t="shared" si="82"/>
        <v>5101</v>
      </c>
    </row>
    <row r="967" spans="1:7" ht="15.75">
      <c r="A967" s="1961">
        <f t="shared" si="83"/>
        <v>45175</v>
      </c>
      <c r="B967" s="1815">
        <v>45150</v>
      </c>
      <c r="C967" s="1815">
        <v>45200</v>
      </c>
      <c r="D967" s="1816">
        <f t="shared" si="79"/>
        <v>5246</v>
      </c>
      <c r="E967" s="1816">
        <f t="shared" si="80"/>
        <v>4981</v>
      </c>
      <c r="F967" s="1816">
        <f t="shared" si="81"/>
        <v>5246</v>
      </c>
      <c r="G967" s="1816">
        <f t="shared" si="82"/>
        <v>5107</v>
      </c>
    </row>
    <row r="968" spans="1:7" ht="15.75">
      <c r="A968" s="1961">
        <f t="shared" si="83"/>
        <v>45225</v>
      </c>
      <c r="B968" s="1815">
        <v>45200</v>
      </c>
      <c r="C968" s="1815">
        <v>45250</v>
      </c>
      <c r="D968" s="1816">
        <f t="shared" si="79"/>
        <v>5257</v>
      </c>
      <c r="E968" s="1816">
        <f t="shared" si="80"/>
        <v>4987</v>
      </c>
      <c r="F968" s="1816">
        <f t="shared" si="81"/>
        <v>5257</v>
      </c>
      <c r="G968" s="1816">
        <f t="shared" si="82"/>
        <v>5113</v>
      </c>
    </row>
    <row r="969" spans="1:7" ht="15.75">
      <c r="A969" s="1961">
        <f t="shared" si="83"/>
        <v>45275</v>
      </c>
      <c r="B969" s="1815">
        <v>45250</v>
      </c>
      <c r="C969" s="1815">
        <v>45300</v>
      </c>
      <c r="D969" s="1816">
        <f t="shared" si="79"/>
        <v>5268</v>
      </c>
      <c r="E969" s="1816">
        <f t="shared" si="80"/>
        <v>4993</v>
      </c>
      <c r="F969" s="1816">
        <f t="shared" si="81"/>
        <v>5268</v>
      </c>
      <c r="G969" s="1816">
        <f t="shared" si="82"/>
        <v>5119</v>
      </c>
    </row>
    <row r="970" spans="1:7" ht="15.75">
      <c r="A970" s="1961">
        <f t="shared" si="83"/>
        <v>45325</v>
      </c>
      <c r="B970" s="1815">
        <v>45300</v>
      </c>
      <c r="C970" s="1815">
        <v>45350</v>
      </c>
      <c r="D970" s="1816">
        <f t="shared" si="79"/>
        <v>5279</v>
      </c>
      <c r="E970" s="1816">
        <f t="shared" si="80"/>
        <v>4999</v>
      </c>
      <c r="F970" s="1816">
        <f t="shared" si="81"/>
        <v>5279</v>
      </c>
      <c r="G970" s="1816">
        <f t="shared" si="82"/>
        <v>5125</v>
      </c>
    </row>
    <row r="971" spans="1:7" ht="15.75">
      <c r="A971" s="1961">
        <f t="shared" si="83"/>
        <v>45375</v>
      </c>
      <c r="B971" s="1815">
        <v>45350</v>
      </c>
      <c r="C971" s="1815">
        <v>45400</v>
      </c>
      <c r="D971" s="1816">
        <f t="shared" si="79"/>
        <v>5290</v>
      </c>
      <c r="E971" s="1816">
        <f t="shared" si="80"/>
        <v>5005</v>
      </c>
      <c r="F971" s="1816">
        <f t="shared" si="81"/>
        <v>5290</v>
      </c>
      <c r="G971" s="1816">
        <f t="shared" si="82"/>
        <v>5131</v>
      </c>
    </row>
    <row r="972" spans="1:7" ht="15.75">
      <c r="A972" s="1961">
        <f t="shared" si="83"/>
        <v>45425</v>
      </c>
      <c r="B972" s="1815">
        <v>45400</v>
      </c>
      <c r="C972" s="1815">
        <v>45450</v>
      </c>
      <c r="D972" s="1816">
        <f t="shared" si="79"/>
        <v>5301</v>
      </c>
      <c r="E972" s="1816">
        <f t="shared" si="80"/>
        <v>5011</v>
      </c>
      <c r="F972" s="1816">
        <f t="shared" si="81"/>
        <v>5301</v>
      </c>
      <c r="G972" s="1816">
        <f t="shared" si="82"/>
        <v>5137</v>
      </c>
    </row>
    <row r="973" spans="1:7" ht="15.75">
      <c r="A973" s="1961">
        <f t="shared" si="83"/>
        <v>45475</v>
      </c>
      <c r="B973" s="1815">
        <v>45450</v>
      </c>
      <c r="C973" s="1815">
        <v>45500</v>
      </c>
      <c r="D973" s="1816">
        <f t="shared" si="79"/>
        <v>5312</v>
      </c>
      <c r="E973" s="1816">
        <f t="shared" si="80"/>
        <v>5017</v>
      </c>
      <c r="F973" s="1816">
        <f t="shared" si="81"/>
        <v>5312</v>
      </c>
      <c r="G973" s="1816">
        <f t="shared" si="82"/>
        <v>5143</v>
      </c>
    </row>
    <row r="974" spans="1:7" ht="15.75">
      <c r="A974" s="1961">
        <f t="shared" si="83"/>
        <v>45525</v>
      </c>
      <c r="B974" s="1815">
        <v>45500</v>
      </c>
      <c r="C974" s="1815">
        <v>45550</v>
      </c>
      <c r="D974" s="1816">
        <f t="shared" si="79"/>
        <v>5323</v>
      </c>
      <c r="E974" s="1816">
        <f t="shared" si="80"/>
        <v>5023</v>
      </c>
      <c r="F974" s="1816">
        <f t="shared" si="81"/>
        <v>5323</v>
      </c>
      <c r="G974" s="1816">
        <f t="shared" si="82"/>
        <v>5149</v>
      </c>
    </row>
    <row r="975" spans="1:7" ht="15.75">
      <c r="A975" s="1961">
        <f t="shared" si="83"/>
        <v>45575</v>
      </c>
      <c r="B975" s="1815">
        <v>45550</v>
      </c>
      <c r="C975" s="1815">
        <v>45600</v>
      </c>
      <c r="D975" s="1816">
        <f t="shared" si="79"/>
        <v>5334</v>
      </c>
      <c r="E975" s="1816">
        <f t="shared" si="80"/>
        <v>5029</v>
      </c>
      <c r="F975" s="1816">
        <f t="shared" si="81"/>
        <v>5334</v>
      </c>
      <c r="G975" s="1816">
        <f t="shared" si="82"/>
        <v>5155</v>
      </c>
    </row>
    <row r="976" spans="1:7" ht="15.75">
      <c r="A976" s="1961">
        <f t="shared" si="83"/>
        <v>45625</v>
      </c>
      <c r="B976" s="1815">
        <v>45600</v>
      </c>
      <c r="C976" s="1815">
        <v>45650</v>
      </c>
      <c r="D976" s="1816">
        <f t="shared" si="79"/>
        <v>5345</v>
      </c>
      <c r="E976" s="1816">
        <f t="shared" si="80"/>
        <v>5035</v>
      </c>
      <c r="F976" s="1816">
        <f t="shared" si="81"/>
        <v>5345</v>
      </c>
      <c r="G976" s="1816">
        <f t="shared" si="82"/>
        <v>5161</v>
      </c>
    </row>
    <row r="977" spans="1:7" ht="15.75">
      <c r="A977" s="1961">
        <f t="shared" si="83"/>
        <v>45675</v>
      </c>
      <c r="B977" s="1815">
        <v>45650</v>
      </c>
      <c r="C977" s="1815">
        <v>45700</v>
      </c>
      <c r="D977" s="1816">
        <f t="shared" si="79"/>
        <v>5356</v>
      </c>
      <c r="E977" s="1816">
        <f t="shared" si="80"/>
        <v>5041</v>
      </c>
      <c r="F977" s="1816">
        <f t="shared" si="81"/>
        <v>5356</v>
      </c>
      <c r="G977" s="1816">
        <f t="shared" si="82"/>
        <v>5167</v>
      </c>
    </row>
    <row r="978" spans="1:7" ht="15.75">
      <c r="A978" s="1961">
        <f t="shared" si="83"/>
        <v>45725</v>
      </c>
      <c r="B978" s="1815">
        <v>45700</v>
      </c>
      <c r="C978" s="1815">
        <v>45750</v>
      </c>
      <c r="D978" s="1816">
        <f t="shared" si="79"/>
        <v>5367</v>
      </c>
      <c r="E978" s="1816">
        <f t="shared" si="80"/>
        <v>5047</v>
      </c>
      <c r="F978" s="1816">
        <f t="shared" si="81"/>
        <v>5367</v>
      </c>
      <c r="G978" s="1816">
        <f t="shared" si="82"/>
        <v>5173</v>
      </c>
    </row>
    <row r="979" spans="1:7" ht="15.75">
      <c r="A979" s="1961">
        <f t="shared" si="83"/>
        <v>45775</v>
      </c>
      <c r="B979" s="1815">
        <v>45750</v>
      </c>
      <c r="C979" s="1815">
        <v>45800</v>
      </c>
      <c r="D979" s="1816">
        <f t="shared" si="79"/>
        <v>5378</v>
      </c>
      <c r="E979" s="1816">
        <f t="shared" si="80"/>
        <v>5053</v>
      </c>
      <c r="F979" s="1816">
        <f t="shared" si="81"/>
        <v>5378</v>
      </c>
      <c r="G979" s="1816">
        <f t="shared" si="82"/>
        <v>5179</v>
      </c>
    </row>
    <row r="980" spans="1:7" ht="15.75">
      <c r="A980" s="1961">
        <f t="shared" si="83"/>
        <v>45825</v>
      </c>
      <c r="B980" s="1815">
        <v>45800</v>
      </c>
      <c r="C980" s="1815">
        <v>45850</v>
      </c>
      <c r="D980" s="1816">
        <f t="shared" si="79"/>
        <v>5389</v>
      </c>
      <c r="E980" s="1816">
        <f t="shared" si="80"/>
        <v>5059</v>
      </c>
      <c r="F980" s="1816">
        <f t="shared" si="81"/>
        <v>5389</v>
      </c>
      <c r="G980" s="1816">
        <f t="shared" si="82"/>
        <v>5185</v>
      </c>
    </row>
    <row r="981" spans="1:7" ht="15.75">
      <c r="A981" s="1961">
        <f t="shared" si="83"/>
        <v>45875</v>
      </c>
      <c r="B981" s="1815">
        <v>45850</v>
      </c>
      <c r="C981" s="1815">
        <v>45900</v>
      </c>
      <c r="D981" s="1816">
        <f t="shared" si="79"/>
        <v>5400</v>
      </c>
      <c r="E981" s="1816">
        <f t="shared" si="80"/>
        <v>5065</v>
      </c>
      <c r="F981" s="1816">
        <f t="shared" si="81"/>
        <v>5400</v>
      </c>
      <c r="G981" s="1816">
        <f t="shared" si="82"/>
        <v>5191</v>
      </c>
    </row>
    <row r="982" spans="1:7" ht="15.75">
      <c r="A982" s="1961">
        <f t="shared" si="83"/>
        <v>45925</v>
      </c>
      <c r="B982" s="1815">
        <v>45900</v>
      </c>
      <c r="C982" s="1815">
        <v>45950</v>
      </c>
      <c r="D982" s="1816">
        <f t="shared" si="79"/>
        <v>5411</v>
      </c>
      <c r="E982" s="1816">
        <f t="shared" si="80"/>
        <v>5071</v>
      </c>
      <c r="F982" s="1816">
        <f t="shared" si="81"/>
        <v>5411</v>
      </c>
      <c r="G982" s="1816">
        <f t="shared" si="82"/>
        <v>5197</v>
      </c>
    </row>
    <row r="983" spans="1:7" ht="15.75">
      <c r="A983" s="1961">
        <f t="shared" si="83"/>
        <v>45975</v>
      </c>
      <c r="B983" s="1815">
        <v>45950</v>
      </c>
      <c r="C983" s="1815">
        <v>46000</v>
      </c>
      <c r="D983" s="1816">
        <f t="shared" si="79"/>
        <v>5422</v>
      </c>
      <c r="E983" s="1816">
        <f t="shared" si="80"/>
        <v>5077</v>
      </c>
      <c r="F983" s="1816">
        <f t="shared" si="81"/>
        <v>5422</v>
      </c>
      <c r="G983" s="1816">
        <f t="shared" si="82"/>
        <v>5203</v>
      </c>
    </row>
    <row r="984" spans="1:7" ht="15.75">
      <c r="A984" s="1961">
        <f t="shared" si="83"/>
        <v>46025</v>
      </c>
      <c r="B984" s="1815">
        <v>46000</v>
      </c>
      <c r="C984" s="1815">
        <v>46050</v>
      </c>
      <c r="D984" s="1816">
        <f t="shared" si="79"/>
        <v>5433</v>
      </c>
      <c r="E984" s="1816">
        <f t="shared" si="80"/>
        <v>5083</v>
      </c>
      <c r="F984" s="1816">
        <f t="shared" si="81"/>
        <v>5433</v>
      </c>
      <c r="G984" s="1816">
        <f t="shared" si="82"/>
        <v>5209</v>
      </c>
    </row>
    <row r="985" spans="1:7" ht="15.75">
      <c r="A985" s="1961">
        <f t="shared" si="83"/>
        <v>46075</v>
      </c>
      <c r="B985" s="1815">
        <v>46050</v>
      </c>
      <c r="C985" s="1815">
        <v>46100</v>
      </c>
      <c r="D985" s="1816">
        <f t="shared" si="79"/>
        <v>5444</v>
      </c>
      <c r="E985" s="1816">
        <f t="shared" si="80"/>
        <v>5089</v>
      </c>
      <c r="F985" s="1816">
        <f t="shared" si="81"/>
        <v>5444</v>
      </c>
      <c r="G985" s="1816">
        <f t="shared" si="82"/>
        <v>5215</v>
      </c>
    </row>
    <row r="986" spans="1:7" ht="15.75">
      <c r="A986" s="1961">
        <f t="shared" si="83"/>
        <v>46125</v>
      </c>
      <c r="B986" s="1815">
        <v>46100</v>
      </c>
      <c r="C986" s="1815">
        <v>46150</v>
      </c>
      <c r="D986" s="1816">
        <f t="shared" si="79"/>
        <v>5455</v>
      </c>
      <c r="E986" s="1816">
        <f t="shared" si="80"/>
        <v>5095</v>
      </c>
      <c r="F986" s="1816">
        <f t="shared" si="81"/>
        <v>5455</v>
      </c>
      <c r="G986" s="1816">
        <f t="shared" si="82"/>
        <v>5221</v>
      </c>
    </row>
    <row r="987" spans="1:7" ht="15.75">
      <c r="A987" s="1961">
        <f t="shared" si="83"/>
        <v>46175</v>
      </c>
      <c r="B987" s="1815">
        <v>46150</v>
      </c>
      <c r="C987" s="1815">
        <v>46200</v>
      </c>
      <c r="D987" s="1816">
        <f t="shared" si="79"/>
        <v>5466</v>
      </c>
      <c r="E987" s="1816">
        <f t="shared" si="80"/>
        <v>5101</v>
      </c>
      <c r="F987" s="1816">
        <f t="shared" si="81"/>
        <v>5466</v>
      </c>
      <c r="G987" s="1816">
        <f t="shared" si="82"/>
        <v>5227</v>
      </c>
    </row>
    <row r="988" spans="1:7" ht="15.75">
      <c r="A988" s="1961">
        <f t="shared" si="83"/>
        <v>46225</v>
      </c>
      <c r="B988" s="1815">
        <v>46200</v>
      </c>
      <c r="C988" s="1815">
        <v>46250</v>
      </c>
      <c r="D988" s="1816">
        <f t="shared" si="79"/>
        <v>5477</v>
      </c>
      <c r="E988" s="1816">
        <f t="shared" si="80"/>
        <v>5107</v>
      </c>
      <c r="F988" s="1816">
        <f t="shared" si="81"/>
        <v>5477</v>
      </c>
      <c r="G988" s="1816">
        <f t="shared" si="82"/>
        <v>5233</v>
      </c>
    </row>
    <row r="989" spans="1:7" ht="15.75">
      <c r="A989" s="1961">
        <f t="shared" si="83"/>
        <v>46275</v>
      </c>
      <c r="B989" s="1815">
        <v>46250</v>
      </c>
      <c r="C989" s="1815">
        <v>46300</v>
      </c>
      <c r="D989" s="1816">
        <f t="shared" si="79"/>
        <v>5488</v>
      </c>
      <c r="E989" s="1816">
        <f t="shared" si="80"/>
        <v>5113</v>
      </c>
      <c r="F989" s="1816">
        <f t="shared" si="81"/>
        <v>5488</v>
      </c>
      <c r="G989" s="1816">
        <f t="shared" si="82"/>
        <v>5239</v>
      </c>
    </row>
    <row r="990" spans="1:7" ht="15.75">
      <c r="A990" s="1961">
        <f t="shared" si="83"/>
        <v>46325</v>
      </c>
      <c r="B990" s="1815">
        <v>46300</v>
      </c>
      <c r="C990" s="1815">
        <v>46350</v>
      </c>
      <c r="D990" s="1816">
        <f t="shared" si="79"/>
        <v>5499</v>
      </c>
      <c r="E990" s="1816">
        <f t="shared" si="80"/>
        <v>5119</v>
      </c>
      <c r="F990" s="1816">
        <f t="shared" si="81"/>
        <v>5499</v>
      </c>
      <c r="G990" s="1816">
        <f t="shared" si="82"/>
        <v>5245</v>
      </c>
    </row>
    <row r="991" spans="1:7" ht="15.75">
      <c r="A991" s="1961">
        <f t="shared" si="83"/>
        <v>46375</v>
      </c>
      <c r="B991" s="1815">
        <v>46350</v>
      </c>
      <c r="C991" s="1815">
        <v>46400</v>
      </c>
      <c r="D991" s="1816">
        <f t="shared" si="79"/>
        <v>5510</v>
      </c>
      <c r="E991" s="1816">
        <f t="shared" si="80"/>
        <v>5125</v>
      </c>
      <c r="F991" s="1816">
        <f t="shared" si="81"/>
        <v>5510</v>
      </c>
      <c r="G991" s="1816">
        <f t="shared" si="82"/>
        <v>5251</v>
      </c>
    </row>
    <row r="992" spans="1:7" ht="15.75">
      <c r="A992" s="1961">
        <f t="shared" si="83"/>
        <v>46425</v>
      </c>
      <c r="B992" s="1815">
        <v>46400</v>
      </c>
      <c r="C992" s="1815">
        <v>46450</v>
      </c>
      <c r="D992" s="1816">
        <f t="shared" si="79"/>
        <v>5521</v>
      </c>
      <c r="E992" s="1816">
        <f t="shared" si="80"/>
        <v>5131</v>
      </c>
      <c r="F992" s="1816">
        <f t="shared" si="81"/>
        <v>5521</v>
      </c>
      <c r="G992" s="1816">
        <f t="shared" si="82"/>
        <v>5257</v>
      </c>
    </row>
    <row r="993" spans="1:7" ht="15.75">
      <c r="A993" s="1961">
        <f t="shared" si="83"/>
        <v>46475</v>
      </c>
      <c r="B993" s="1815">
        <v>46450</v>
      </c>
      <c r="C993" s="1815">
        <v>46500</v>
      </c>
      <c r="D993" s="1816">
        <f t="shared" si="79"/>
        <v>5532</v>
      </c>
      <c r="E993" s="1816">
        <f t="shared" si="80"/>
        <v>5137</v>
      </c>
      <c r="F993" s="1816">
        <f t="shared" si="81"/>
        <v>5532</v>
      </c>
      <c r="G993" s="1816">
        <f t="shared" si="82"/>
        <v>5263</v>
      </c>
    </row>
    <row r="994" spans="1:7" ht="15.75">
      <c r="A994" s="1961">
        <f t="shared" si="83"/>
        <v>46525</v>
      </c>
      <c r="B994" s="1815">
        <v>46500</v>
      </c>
      <c r="C994" s="1815">
        <v>46550</v>
      </c>
      <c r="D994" s="1816">
        <f t="shared" si="79"/>
        <v>5543</v>
      </c>
      <c r="E994" s="1816">
        <f t="shared" si="80"/>
        <v>5143</v>
      </c>
      <c r="F994" s="1816">
        <f t="shared" si="81"/>
        <v>5543</v>
      </c>
      <c r="G994" s="1816">
        <f t="shared" si="82"/>
        <v>5269</v>
      </c>
    </row>
    <row r="995" spans="1:7" ht="15.75">
      <c r="A995" s="1961">
        <f t="shared" si="83"/>
        <v>46575</v>
      </c>
      <c r="B995" s="1815">
        <v>46550</v>
      </c>
      <c r="C995" s="1815">
        <v>46600</v>
      </c>
      <c r="D995" s="1816">
        <f t="shared" si="79"/>
        <v>5554</v>
      </c>
      <c r="E995" s="1816">
        <f t="shared" si="80"/>
        <v>5149</v>
      </c>
      <c r="F995" s="1816">
        <f t="shared" si="81"/>
        <v>5554</v>
      </c>
      <c r="G995" s="1816">
        <f t="shared" si="82"/>
        <v>5275</v>
      </c>
    </row>
    <row r="996" spans="1:7" ht="15.75">
      <c r="A996" s="1961">
        <f t="shared" si="83"/>
        <v>46625</v>
      </c>
      <c r="B996" s="1815">
        <v>46600</v>
      </c>
      <c r="C996" s="1815">
        <v>46650</v>
      </c>
      <c r="D996" s="1816">
        <f t="shared" si="79"/>
        <v>5565</v>
      </c>
      <c r="E996" s="1816">
        <f t="shared" si="80"/>
        <v>5155</v>
      </c>
      <c r="F996" s="1816">
        <f t="shared" si="81"/>
        <v>5565</v>
      </c>
      <c r="G996" s="1816">
        <f t="shared" si="82"/>
        <v>5281</v>
      </c>
    </row>
    <row r="997" spans="1:7" ht="15.75">
      <c r="A997" s="1961">
        <f t="shared" si="83"/>
        <v>46675</v>
      </c>
      <c r="B997" s="1815">
        <v>46650</v>
      </c>
      <c r="C997" s="1815">
        <v>46700</v>
      </c>
      <c r="D997" s="1816">
        <f t="shared" si="79"/>
        <v>5576</v>
      </c>
      <c r="E997" s="1816">
        <f t="shared" si="80"/>
        <v>5161</v>
      </c>
      <c r="F997" s="1816">
        <f t="shared" si="81"/>
        <v>5576</v>
      </c>
      <c r="G997" s="1816">
        <f t="shared" si="82"/>
        <v>5287</v>
      </c>
    </row>
    <row r="998" spans="1:7" ht="15.75">
      <c r="A998" s="1961">
        <f t="shared" si="83"/>
        <v>46725</v>
      </c>
      <c r="B998" s="1815">
        <v>46700</v>
      </c>
      <c r="C998" s="1815">
        <v>46750</v>
      </c>
      <c r="D998" s="1816">
        <f t="shared" si="79"/>
        <v>5587</v>
      </c>
      <c r="E998" s="1816">
        <f t="shared" si="80"/>
        <v>5167</v>
      </c>
      <c r="F998" s="1816">
        <f t="shared" si="81"/>
        <v>5587</v>
      </c>
      <c r="G998" s="1816">
        <f t="shared" si="82"/>
        <v>5293</v>
      </c>
    </row>
    <row r="999" spans="1:7" ht="15.75">
      <c r="A999" s="1961">
        <f t="shared" si="83"/>
        <v>46775</v>
      </c>
      <c r="B999" s="1815">
        <v>46750</v>
      </c>
      <c r="C999" s="1815">
        <v>46800</v>
      </c>
      <c r="D999" s="1816">
        <f t="shared" si="79"/>
        <v>5598</v>
      </c>
      <c r="E999" s="1816">
        <f t="shared" si="80"/>
        <v>5173</v>
      </c>
      <c r="F999" s="1816">
        <f t="shared" si="81"/>
        <v>5598</v>
      </c>
      <c r="G999" s="1816">
        <f t="shared" si="82"/>
        <v>5299</v>
      </c>
    </row>
    <row r="1000" spans="1:7" ht="15.75">
      <c r="A1000" s="1961">
        <f t="shared" si="83"/>
        <v>46825</v>
      </c>
      <c r="B1000" s="1815">
        <v>46800</v>
      </c>
      <c r="C1000" s="1815">
        <v>46850</v>
      </c>
      <c r="D1000" s="1816">
        <f t="shared" si="79"/>
        <v>5609</v>
      </c>
      <c r="E1000" s="1816">
        <f t="shared" si="80"/>
        <v>5179</v>
      </c>
      <c r="F1000" s="1816">
        <f t="shared" si="81"/>
        <v>5609</v>
      </c>
      <c r="G1000" s="1816">
        <f t="shared" si="82"/>
        <v>5305</v>
      </c>
    </row>
    <row r="1001" spans="1:7" ht="15.75">
      <c r="A1001" s="1961">
        <f t="shared" si="83"/>
        <v>46875</v>
      </c>
      <c r="B1001" s="1815">
        <v>46850</v>
      </c>
      <c r="C1001" s="1815">
        <v>46900</v>
      </c>
      <c r="D1001" s="1816">
        <f t="shared" si="79"/>
        <v>5620</v>
      </c>
      <c r="E1001" s="1816">
        <f t="shared" si="80"/>
        <v>5185</v>
      </c>
      <c r="F1001" s="1816">
        <f t="shared" si="81"/>
        <v>5620</v>
      </c>
      <c r="G1001" s="1816">
        <f t="shared" si="82"/>
        <v>5311</v>
      </c>
    </row>
    <row r="1002" spans="1:7" ht="15.75">
      <c r="A1002" s="1961">
        <f t="shared" si="83"/>
        <v>46925</v>
      </c>
      <c r="B1002" s="1815">
        <v>46900</v>
      </c>
      <c r="C1002" s="1815">
        <v>46950</v>
      </c>
      <c r="D1002" s="1816">
        <f t="shared" si="79"/>
        <v>5631</v>
      </c>
      <c r="E1002" s="1816">
        <f t="shared" si="80"/>
        <v>5191</v>
      </c>
      <c r="F1002" s="1816">
        <f t="shared" si="81"/>
        <v>5631</v>
      </c>
      <c r="G1002" s="1816">
        <f t="shared" si="82"/>
        <v>5317</v>
      </c>
    </row>
    <row r="1003" spans="1:7" ht="15.75">
      <c r="A1003" s="1961">
        <f t="shared" si="83"/>
        <v>46975</v>
      </c>
      <c r="B1003" s="1815">
        <v>46950</v>
      </c>
      <c r="C1003" s="1815">
        <v>47000</v>
      </c>
      <c r="D1003" s="1816">
        <f t="shared" si="79"/>
        <v>5642</v>
      </c>
      <c r="E1003" s="1816">
        <f t="shared" si="80"/>
        <v>5197</v>
      </c>
      <c r="F1003" s="1816">
        <f t="shared" si="81"/>
        <v>5642</v>
      </c>
      <c r="G1003" s="1816">
        <f t="shared" si="82"/>
        <v>5323</v>
      </c>
    </row>
    <row r="1004" spans="1:7" ht="15.75">
      <c r="A1004" s="1961">
        <f t="shared" si="83"/>
        <v>47025</v>
      </c>
      <c r="B1004" s="1815">
        <v>47000</v>
      </c>
      <c r="C1004" s="1815">
        <v>47050</v>
      </c>
      <c r="D1004" s="1816">
        <f t="shared" si="79"/>
        <v>5653</v>
      </c>
      <c r="E1004" s="1816">
        <f t="shared" si="80"/>
        <v>5203</v>
      </c>
      <c r="F1004" s="1816">
        <f t="shared" si="81"/>
        <v>5653</v>
      </c>
      <c r="G1004" s="1816">
        <f t="shared" si="82"/>
        <v>5329</v>
      </c>
    </row>
    <row r="1005" spans="1:7" ht="15.75">
      <c r="A1005" s="1961">
        <f t="shared" si="83"/>
        <v>47075</v>
      </c>
      <c r="B1005" s="1815">
        <v>47050</v>
      </c>
      <c r="C1005" s="1815">
        <v>47100</v>
      </c>
      <c r="D1005" s="1816">
        <f t="shared" si="79"/>
        <v>5664</v>
      </c>
      <c r="E1005" s="1816">
        <f t="shared" si="80"/>
        <v>5209</v>
      </c>
      <c r="F1005" s="1816">
        <f t="shared" si="81"/>
        <v>5664</v>
      </c>
      <c r="G1005" s="1816">
        <f t="shared" si="82"/>
        <v>5335</v>
      </c>
    </row>
    <row r="1006" spans="1:7" ht="15.75">
      <c r="A1006" s="1961">
        <f t="shared" si="83"/>
        <v>47125</v>
      </c>
      <c r="B1006" s="1815">
        <v>47100</v>
      </c>
      <c r="C1006" s="1815">
        <v>47150</v>
      </c>
      <c r="D1006" s="1816">
        <f t="shared" si="79"/>
        <v>5675</v>
      </c>
      <c r="E1006" s="1816">
        <f t="shared" si="80"/>
        <v>5215</v>
      </c>
      <c r="F1006" s="1816">
        <f t="shared" si="81"/>
        <v>5675</v>
      </c>
      <c r="G1006" s="1816">
        <f t="shared" si="82"/>
        <v>5341</v>
      </c>
    </row>
    <row r="1007" spans="1:7" ht="15.75">
      <c r="A1007" s="1961">
        <f t="shared" si="83"/>
        <v>47175</v>
      </c>
      <c r="B1007" s="1815">
        <v>47150</v>
      </c>
      <c r="C1007" s="1815">
        <v>47200</v>
      </c>
      <c r="D1007" s="1816">
        <f t="shared" si="79"/>
        <v>5686</v>
      </c>
      <c r="E1007" s="1816">
        <f t="shared" si="80"/>
        <v>5221</v>
      </c>
      <c r="F1007" s="1816">
        <f t="shared" si="81"/>
        <v>5686</v>
      </c>
      <c r="G1007" s="1816">
        <f t="shared" si="82"/>
        <v>5347</v>
      </c>
    </row>
    <row r="1008" spans="1:7" ht="15.75">
      <c r="A1008" s="1961">
        <f t="shared" si="83"/>
        <v>47225</v>
      </c>
      <c r="B1008" s="1815">
        <v>47200</v>
      </c>
      <c r="C1008" s="1815">
        <v>47250</v>
      </c>
      <c r="D1008" s="1816">
        <f t="shared" si="79"/>
        <v>5697</v>
      </c>
      <c r="E1008" s="1816">
        <f t="shared" si="80"/>
        <v>5227</v>
      </c>
      <c r="F1008" s="1816">
        <f t="shared" si="81"/>
        <v>5697</v>
      </c>
      <c r="G1008" s="1816">
        <f t="shared" si="82"/>
        <v>5353</v>
      </c>
    </row>
    <row r="1009" spans="1:7" ht="15.75">
      <c r="A1009" s="1961">
        <f t="shared" si="83"/>
        <v>47275</v>
      </c>
      <c r="B1009" s="1815">
        <v>47250</v>
      </c>
      <c r="C1009" s="1815">
        <v>47300</v>
      </c>
      <c r="D1009" s="1816">
        <f t="shared" si="79"/>
        <v>5708</v>
      </c>
      <c r="E1009" s="1816">
        <f t="shared" si="80"/>
        <v>5233</v>
      </c>
      <c r="F1009" s="1816">
        <f t="shared" si="81"/>
        <v>5708</v>
      </c>
      <c r="G1009" s="1816">
        <f t="shared" si="82"/>
        <v>5359</v>
      </c>
    </row>
    <row r="1010" spans="1:7" ht="15.75">
      <c r="A1010" s="1961">
        <f t="shared" si="83"/>
        <v>47325</v>
      </c>
      <c r="B1010" s="1815">
        <v>47300</v>
      </c>
      <c r="C1010" s="1815">
        <v>47350</v>
      </c>
      <c r="D1010" s="1816">
        <f t="shared" si="79"/>
        <v>5719</v>
      </c>
      <c r="E1010" s="1816">
        <f t="shared" si="80"/>
        <v>5239</v>
      </c>
      <c r="F1010" s="1816">
        <f t="shared" si="81"/>
        <v>5719</v>
      </c>
      <c r="G1010" s="1816">
        <f t="shared" si="82"/>
        <v>5365</v>
      </c>
    </row>
    <row r="1011" spans="1:7" ht="15.75">
      <c r="A1011" s="1961">
        <f t="shared" si="83"/>
        <v>47375</v>
      </c>
      <c r="B1011" s="1815">
        <v>47350</v>
      </c>
      <c r="C1011" s="1815">
        <v>47400</v>
      </c>
      <c r="D1011" s="1816">
        <f t="shared" si="79"/>
        <v>5730</v>
      </c>
      <c r="E1011" s="1816">
        <f t="shared" si="80"/>
        <v>5245</v>
      </c>
      <c r="F1011" s="1816">
        <f t="shared" si="81"/>
        <v>5730</v>
      </c>
      <c r="G1011" s="1816">
        <f t="shared" si="82"/>
        <v>5371</v>
      </c>
    </row>
    <row r="1012" spans="1:7" ht="15.75">
      <c r="A1012" s="1961">
        <f t="shared" si="83"/>
        <v>47425</v>
      </c>
      <c r="B1012" s="1815">
        <v>47400</v>
      </c>
      <c r="C1012" s="1815">
        <v>47450</v>
      </c>
      <c r="D1012" s="1816">
        <f t="shared" si="79"/>
        <v>5741</v>
      </c>
      <c r="E1012" s="1816">
        <f t="shared" si="80"/>
        <v>5251</v>
      </c>
      <c r="F1012" s="1816">
        <f t="shared" si="81"/>
        <v>5741</v>
      </c>
      <c r="G1012" s="1816">
        <f t="shared" si="82"/>
        <v>5377</v>
      </c>
    </row>
    <row r="1013" spans="1:7" ht="15.75">
      <c r="A1013" s="1961">
        <f t="shared" si="83"/>
        <v>47475</v>
      </c>
      <c r="B1013" s="1815">
        <v>47450</v>
      </c>
      <c r="C1013" s="1815">
        <v>47500</v>
      </c>
      <c r="D1013" s="1816">
        <f t="shared" si="79"/>
        <v>5752</v>
      </c>
      <c r="E1013" s="1816">
        <f t="shared" si="80"/>
        <v>5257</v>
      </c>
      <c r="F1013" s="1816">
        <f t="shared" si="81"/>
        <v>5752</v>
      </c>
      <c r="G1013" s="1816">
        <f t="shared" si="82"/>
        <v>5383</v>
      </c>
    </row>
    <row r="1014" spans="1:7" ht="15.75">
      <c r="A1014" s="1961">
        <f t="shared" si="83"/>
        <v>47525</v>
      </c>
      <c r="B1014" s="1815">
        <v>47500</v>
      </c>
      <c r="C1014" s="1815">
        <v>47550</v>
      </c>
      <c r="D1014" s="1816">
        <f t="shared" si="79"/>
        <v>5763</v>
      </c>
      <c r="E1014" s="1816">
        <f t="shared" si="80"/>
        <v>5263</v>
      </c>
      <c r="F1014" s="1816">
        <f t="shared" si="81"/>
        <v>5763</v>
      </c>
      <c r="G1014" s="1816">
        <f t="shared" si="82"/>
        <v>5389</v>
      </c>
    </row>
    <row r="1015" spans="1:7" ht="15.75">
      <c r="A1015" s="1961">
        <f t="shared" si="83"/>
        <v>47575</v>
      </c>
      <c r="B1015" s="1815">
        <v>47550</v>
      </c>
      <c r="C1015" s="1815">
        <v>47600</v>
      </c>
      <c r="D1015" s="1816">
        <f t="shared" si="79"/>
        <v>5774</v>
      </c>
      <c r="E1015" s="1816">
        <f t="shared" si="80"/>
        <v>5269</v>
      </c>
      <c r="F1015" s="1816">
        <f t="shared" si="81"/>
        <v>5774</v>
      </c>
      <c r="G1015" s="1816">
        <f t="shared" si="82"/>
        <v>5395</v>
      </c>
    </row>
    <row r="1016" spans="1:7" ht="15.75">
      <c r="A1016" s="1961">
        <f t="shared" si="83"/>
        <v>47625</v>
      </c>
      <c r="B1016" s="1815">
        <v>47600</v>
      </c>
      <c r="C1016" s="1815">
        <v>47650</v>
      </c>
      <c r="D1016" s="1816">
        <f t="shared" si="79"/>
        <v>5785</v>
      </c>
      <c r="E1016" s="1816">
        <f t="shared" si="80"/>
        <v>5275</v>
      </c>
      <c r="F1016" s="1816">
        <f t="shared" si="81"/>
        <v>5785</v>
      </c>
      <c r="G1016" s="1816">
        <f t="shared" si="82"/>
        <v>5401</v>
      </c>
    </row>
    <row r="1017" spans="1:7" ht="15.75">
      <c r="A1017" s="1961">
        <f t="shared" si="83"/>
        <v>47675</v>
      </c>
      <c r="B1017" s="1815">
        <v>47650</v>
      </c>
      <c r="C1017" s="1815">
        <v>47700</v>
      </c>
      <c r="D1017" s="1816">
        <f t="shared" si="79"/>
        <v>5796</v>
      </c>
      <c r="E1017" s="1816">
        <f t="shared" si="80"/>
        <v>5281</v>
      </c>
      <c r="F1017" s="1816">
        <f t="shared" si="81"/>
        <v>5796</v>
      </c>
      <c r="G1017" s="1816">
        <f t="shared" si="82"/>
        <v>5407</v>
      </c>
    </row>
    <row r="1018" spans="1:7" ht="15.75">
      <c r="A1018" s="1961">
        <f t="shared" si="83"/>
        <v>47725</v>
      </c>
      <c r="B1018" s="1815">
        <v>47700</v>
      </c>
      <c r="C1018" s="1815">
        <v>47750</v>
      </c>
      <c r="D1018" s="1816">
        <f t="shared" si="79"/>
        <v>5807</v>
      </c>
      <c r="E1018" s="1816">
        <f t="shared" si="80"/>
        <v>5287</v>
      </c>
      <c r="F1018" s="1816">
        <f t="shared" si="81"/>
        <v>5807</v>
      </c>
      <c r="G1018" s="1816">
        <f t="shared" si="82"/>
        <v>5413</v>
      </c>
    </row>
    <row r="1019" spans="1:7" ht="15.75">
      <c r="A1019" s="1961">
        <f t="shared" si="83"/>
        <v>47775</v>
      </c>
      <c r="B1019" s="1815">
        <v>47750</v>
      </c>
      <c r="C1019" s="1815">
        <v>47800</v>
      </c>
      <c r="D1019" s="1816">
        <f t="shared" si="79"/>
        <v>5818</v>
      </c>
      <c r="E1019" s="1816">
        <f t="shared" si="80"/>
        <v>5293</v>
      </c>
      <c r="F1019" s="1816">
        <f t="shared" si="81"/>
        <v>5818</v>
      </c>
      <c r="G1019" s="1816">
        <f t="shared" si="82"/>
        <v>5419</v>
      </c>
    </row>
    <row r="1020" spans="1:7" ht="15.75">
      <c r="A1020" s="1961">
        <f t="shared" si="83"/>
        <v>47825</v>
      </c>
      <c r="B1020" s="1815">
        <v>47800</v>
      </c>
      <c r="C1020" s="1815">
        <v>47850</v>
      </c>
      <c r="D1020" s="1816">
        <f t="shared" si="79"/>
        <v>5829</v>
      </c>
      <c r="E1020" s="1816">
        <f t="shared" si="80"/>
        <v>5299</v>
      </c>
      <c r="F1020" s="1816">
        <f t="shared" si="81"/>
        <v>5829</v>
      </c>
      <c r="G1020" s="1816">
        <f t="shared" si="82"/>
        <v>5425</v>
      </c>
    </row>
    <row r="1021" spans="1:7" ht="15.75">
      <c r="A1021" s="1961">
        <f t="shared" si="83"/>
        <v>47875</v>
      </c>
      <c r="B1021" s="1815">
        <v>47850</v>
      </c>
      <c r="C1021" s="1815">
        <v>47900</v>
      </c>
      <c r="D1021" s="1816">
        <f t="shared" si="79"/>
        <v>5840</v>
      </c>
      <c r="E1021" s="1816">
        <f t="shared" si="80"/>
        <v>5305</v>
      </c>
      <c r="F1021" s="1816">
        <f t="shared" si="81"/>
        <v>5840</v>
      </c>
      <c r="G1021" s="1816">
        <f t="shared" si="82"/>
        <v>5431</v>
      </c>
    </row>
    <row r="1022" spans="1:7" ht="15.75">
      <c r="A1022" s="1961">
        <f t="shared" si="83"/>
        <v>47925</v>
      </c>
      <c r="B1022" s="1815">
        <v>47900</v>
      </c>
      <c r="C1022" s="1815">
        <v>47950</v>
      </c>
      <c r="D1022" s="1816">
        <f t="shared" si="79"/>
        <v>5851</v>
      </c>
      <c r="E1022" s="1816">
        <f t="shared" si="80"/>
        <v>5311</v>
      </c>
      <c r="F1022" s="1816">
        <f t="shared" si="81"/>
        <v>5851</v>
      </c>
      <c r="G1022" s="1816">
        <f t="shared" si="82"/>
        <v>5437</v>
      </c>
    </row>
    <row r="1023" spans="1:7" ht="15.75">
      <c r="A1023" s="1961">
        <f t="shared" si="83"/>
        <v>47975</v>
      </c>
      <c r="B1023" s="1815">
        <v>47950</v>
      </c>
      <c r="C1023" s="1815">
        <v>48000</v>
      </c>
      <c r="D1023" s="1816">
        <f t="shared" si="79"/>
        <v>5862</v>
      </c>
      <c r="E1023" s="1816">
        <f t="shared" si="80"/>
        <v>5317</v>
      </c>
      <c r="F1023" s="1816">
        <f t="shared" si="81"/>
        <v>5862</v>
      </c>
      <c r="G1023" s="1816">
        <f t="shared" si="82"/>
        <v>5443</v>
      </c>
    </row>
    <row r="1024" spans="1:7" ht="15.75">
      <c r="A1024" s="1961">
        <f t="shared" si="83"/>
        <v>48025</v>
      </c>
      <c r="B1024" s="1815">
        <v>48000</v>
      </c>
      <c r="C1024" s="1815">
        <v>48050</v>
      </c>
      <c r="D1024" s="1816">
        <f t="shared" si="79"/>
        <v>5873</v>
      </c>
      <c r="E1024" s="1816">
        <f t="shared" si="80"/>
        <v>5323</v>
      </c>
      <c r="F1024" s="1816">
        <f t="shared" si="81"/>
        <v>5873</v>
      </c>
      <c r="G1024" s="1816">
        <f t="shared" si="82"/>
        <v>5449</v>
      </c>
    </row>
    <row r="1025" spans="1:7" ht="15.75">
      <c r="A1025" s="1961">
        <f t="shared" si="83"/>
        <v>48075</v>
      </c>
      <c r="B1025" s="1815">
        <v>48050</v>
      </c>
      <c r="C1025" s="1815">
        <v>48100</v>
      </c>
      <c r="D1025" s="1816">
        <f t="shared" si="79"/>
        <v>5884</v>
      </c>
      <c r="E1025" s="1816">
        <f t="shared" si="80"/>
        <v>5329</v>
      </c>
      <c r="F1025" s="1816">
        <f t="shared" si="81"/>
        <v>5884</v>
      </c>
      <c r="G1025" s="1816">
        <f t="shared" si="82"/>
        <v>5455</v>
      </c>
    </row>
    <row r="1026" spans="1:7" ht="15.75">
      <c r="A1026" s="1961">
        <f t="shared" si="83"/>
        <v>48125</v>
      </c>
      <c r="B1026" s="1815">
        <v>48100</v>
      </c>
      <c r="C1026" s="1815">
        <v>48150</v>
      </c>
      <c r="D1026" s="1816">
        <f t="shared" ref="D1026:D1089" si="84">IF($A1026&gt;BOTT_A4,ROUND(BASE_A4+RATE_A4*($A1026-BOTT_A4),0),IF($A1026&gt;BOTT_A3,ROUND(BASE_A3+RATE_A3*($A1026-BOTT_A3),0),IF($A1026&gt;BOTT_A2,ROUND(BASE_A2+RATE_A2*($A1026-BOTT_A2),0),ROUND(RATE_A1*$A1026,0))))</f>
        <v>5895</v>
      </c>
      <c r="E1026" s="1816">
        <f t="shared" ref="E1026:E1089" si="85">IF($A1026&gt;BOTT_B4,ROUND(BASE_B4+RATE_B4*($A1026-BOTT_B4),0),IF($A1026&gt;BOTT_B3,ROUND(BASE_B3+RATE_B3*($A1026-BOTT_B3),0),IF($A1026&gt;BOTT_B2,ROUND(BASE_B2+RATE_B2*($A1026-BOTT_B2),0),ROUND(RATE_B1*$A1026,0))))</f>
        <v>5335</v>
      </c>
      <c r="F1026" s="1816">
        <f t="shared" ref="F1026:F1089" si="86">IF($A1026&gt;BOTT_C4,ROUND(BASE_C4+RATE_C4*($A1026-BOTT_C4),0),IF($A1026&gt;BOTT_C3,ROUND(BASE_C3+RATE_C3*($A1026-BOTT_C3),0),IF($A1026&gt;BOTT_C2,ROUND(BASE_C2+RATE_C2*($A1026-BOTT_C2),0),ROUND(RATE_C1*$A1026,0))))</f>
        <v>5895</v>
      </c>
      <c r="G1026" s="1816">
        <f t="shared" ref="G1026:G1089" si="87">IF($A1026&gt;BOTT_D4,ROUND(BASE_D4+RATE_D4*($A1026-BOTT_D4),0),IF($A1026&gt;BOTT_D3,ROUND(BASE_D3+RATE_D3*($A1026-BOTT_D3),0),IF($A1026&gt;BOTT_D2,ROUND(BASE_D2+RATE_D2*($A1026-BOTT_D2),0),ROUND(RATE_D1*$A1026,0))))</f>
        <v>5461</v>
      </c>
    </row>
    <row r="1027" spans="1:7" ht="15.75">
      <c r="A1027" s="1961">
        <f t="shared" ref="A1027:A1090" si="88">AVERAGE(B1027,C1027)</f>
        <v>48175</v>
      </c>
      <c r="B1027" s="1815">
        <v>48150</v>
      </c>
      <c r="C1027" s="1815">
        <v>48200</v>
      </c>
      <c r="D1027" s="1816">
        <f t="shared" si="84"/>
        <v>5906</v>
      </c>
      <c r="E1027" s="1816">
        <f t="shared" si="85"/>
        <v>5341</v>
      </c>
      <c r="F1027" s="1816">
        <f t="shared" si="86"/>
        <v>5906</v>
      </c>
      <c r="G1027" s="1816">
        <f t="shared" si="87"/>
        <v>5467</v>
      </c>
    </row>
    <row r="1028" spans="1:7" ht="15.75">
      <c r="A1028" s="1961">
        <f t="shared" si="88"/>
        <v>48225</v>
      </c>
      <c r="B1028" s="1815">
        <v>48200</v>
      </c>
      <c r="C1028" s="1815">
        <v>48250</v>
      </c>
      <c r="D1028" s="1816">
        <f t="shared" si="84"/>
        <v>5917</v>
      </c>
      <c r="E1028" s="1816">
        <f t="shared" si="85"/>
        <v>5347</v>
      </c>
      <c r="F1028" s="1816">
        <f t="shared" si="86"/>
        <v>5917</v>
      </c>
      <c r="G1028" s="1816">
        <f t="shared" si="87"/>
        <v>5473</v>
      </c>
    </row>
    <row r="1029" spans="1:7" ht="15.75">
      <c r="A1029" s="1961">
        <f t="shared" si="88"/>
        <v>48275</v>
      </c>
      <c r="B1029" s="1815">
        <v>48250</v>
      </c>
      <c r="C1029" s="1815">
        <v>48300</v>
      </c>
      <c r="D1029" s="1816">
        <f t="shared" si="84"/>
        <v>5928</v>
      </c>
      <c r="E1029" s="1816">
        <f t="shared" si="85"/>
        <v>5353</v>
      </c>
      <c r="F1029" s="1816">
        <f t="shared" si="86"/>
        <v>5928</v>
      </c>
      <c r="G1029" s="1816">
        <f t="shared" si="87"/>
        <v>5479</v>
      </c>
    </row>
    <row r="1030" spans="1:7" ht="15.75">
      <c r="A1030" s="1961">
        <f t="shared" si="88"/>
        <v>48325</v>
      </c>
      <c r="B1030" s="1815">
        <v>48300</v>
      </c>
      <c r="C1030" s="1815">
        <v>48350</v>
      </c>
      <c r="D1030" s="1816">
        <f t="shared" si="84"/>
        <v>5939</v>
      </c>
      <c r="E1030" s="1816">
        <f t="shared" si="85"/>
        <v>5359</v>
      </c>
      <c r="F1030" s="1816">
        <f t="shared" si="86"/>
        <v>5939</v>
      </c>
      <c r="G1030" s="1816">
        <f t="shared" si="87"/>
        <v>5485</v>
      </c>
    </row>
    <row r="1031" spans="1:7" ht="15.75">
      <c r="A1031" s="1961">
        <f t="shared" si="88"/>
        <v>48375</v>
      </c>
      <c r="B1031" s="1815">
        <v>48350</v>
      </c>
      <c r="C1031" s="1815">
        <v>48400</v>
      </c>
      <c r="D1031" s="1816">
        <f t="shared" si="84"/>
        <v>5950</v>
      </c>
      <c r="E1031" s="1816">
        <f t="shared" si="85"/>
        <v>5365</v>
      </c>
      <c r="F1031" s="1816">
        <f t="shared" si="86"/>
        <v>5950</v>
      </c>
      <c r="G1031" s="1816">
        <f t="shared" si="87"/>
        <v>5491</v>
      </c>
    </row>
    <row r="1032" spans="1:7" ht="15.75">
      <c r="A1032" s="1961">
        <f t="shared" si="88"/>
        <v>48425</v>
      </c>
      <c r="B1032" s="1815">
        <v>48400</v>
      </c>
      <c r="C1032" s="1815">
        <v>48450</v>
      </c>
      <c r="D1032" s="1816">
        <f t="shared" si="84"/>
        <v>5961</v>
      </c>
      <c r="E1032" s="1816">
        <f t="shared" si="85"/>
        <v>5371</v>
      </c>
      <c r="F1032" s="1816">
        <f t="shared" si="86"/>
        <v>5961</v>
      </c>
      <c r="G1032" s="1816">
        <f t="shared" si="87"/>
        <v>5497</v>
      </c>
    </row>
    <row r="1033" spans="1:7" ht="15.75">
      <c r="A1033" s="1961">
        <f t="shared" si="88"/>
        <v>48475</v>
      </c>
      <c r="B1033" s="1815">
        <v>48450</v>
      </c>
      <c r="C1033" s="1815">
        <v>48500</v>
      </c>
      <c r="D1033" s="1816">
        <f t="shared" si="84"/>
        <v>5972</v>
      </c>
      <c r="E1033" s="1816">
        <f t="shared" si="85"/>
        <v>5377</v>
      </c>
      <c r="F1033" s="1816">
        <f t="shared" si="86"/>
        <v>5972</v>
      </c>
      <c r="G1033" s="1816">
        <f t="shared" si="87"/>
        <v>5503</v>
      </c>
    </row>
    <row r="1034" spans="1:7" ht="15.75">
      <c r="A1034" s="1961">
        <f t="shared" si="88"/>
        <v>48525</v>
      </c>
      <c r="B1034" s="1815">
        <v>48500</v>
      </c>
      <c r="C1034" s="1815">
        <v>48550</v>
      </c>
      <c r="D1034" s="1816">
        <f t="shared" si="84"/>
        <v>5983</v>
      </c>
      <c r="E1034" s="1816">
        <f t="shared" si="85"/>
        <v>5383</v>
      </c>
      <c r="F1034" s="1816">
        <f t="shared" si="86"/>
        <v>5983</v>
      </c>
      <c r="G1034" s="1816">
        <f t="shared" si="87"/>
        <v>5509</v>
      </c>
    </row>
    <row r="1035" spans="1:7" ht="15.75">
      <c r="A1035" s="1961">
        <f t="shared" si="88"/>
        <v>48575</v>
      </c>
      <c r="B1035" s="1815">
        <v>48550</v>
      </c>
      <c r="C1035" s="1815">
        <v>48600</v>
      </c>
      <c r="D1035" s="1816">
        <f t="shared" si="84"/>
        <v>5994</v>
      </c>
      <c r="E1035" s="1816">
        <f t="shared" si="85"/>
        <v>5389</v>
      </c>
      <c r="F1035" s="1816">
        <f t="shared" si="86"/>
        <v>5994</v>
      </c>
      <c r="G1035" s="1816">
        <f t="shared" si="87"/>
        <v>5515</v>
      </c>
    </row>
    <row r="1036" spans="1:7" ht="15.75">
      <c r="A1036" s="1961">
        <f t="shared" si="88"/>
        <v>48625</v>
      </c>
      <c r="B1036" s="1815">
        <v>48600</v>
      </c>
      <c r="C1036" s="1815">
        <v>48650</v>
      </c>
      <c r="D1036" s="1816">
        <f t="shared" si="84"/>
        <v>6005</v>
      </c>
      <c r="E1036" s="1816">
        <f t="shared" si="85"/>
        <v>5395</v>
      </c>
      <c r="F1036" s="1816">
        <f t="shared" si="86"/>
        <v>6005</v>
      </c>
      <c r="G1036" s="1816">
        <f t="shared" si="87"/>
        <v>5521</v>
      </c>
    </row>
    <row r="1037" spans="1:7" ht="15.75">
      <c r="A1037" s="1961">
        <f t="shared" si="88"/>
        <v>48675</v>
      </c>
      <c r="B1037" s="1815">
        <v>48650</v>
      </c>
      <c r="C1037" s="1815">
        <v>48700</v>
      </c>
      <c r="D1037" s="1816">
        <f t="shared" si="84"/>
        <v>6016</v>
      </c>
      <c r="E1037" s="1816">
        <f t="shared" si="85"/>
        <v>5401</v>
      </c>
      <c r="F1037" s="1816">
        <f t="shared" si="86"/>
        <v>6016</v>
      </c>
      <c r="G1037" s="1816">
        <f t="shared" si="87"/>
        <v>5527</v>
      </c>
    </row>
    <row r="1038" spans="1:7" ht="15.75">
      <c r="A1038" s="1961">
        <f t="shared" si="88"/>
        <v>48725</v>
      </c>
      <c r="B1038" s="1815">
        <v>48700</v>
      </c>
      <c r="C1038" s="1815">
        <v>48750</v>
      </c>
      <c r="D1038" s="1816">
        <f t="shared" si="84"/>
        <v>6027</v>
      </c>
      <c r="E1038" s="1816">
        <f t="shared" si="85"/>
        <v>5407</v>
      </c>
      <c r="F1038" s="1816">
        <f t="shared" si="86"/>
        <v>6027</v>
      </c>
      <c r="G1038" s="1816">
        <f t="shared" si="87"/>
        <v>5533</v>
      </c>
    </row>
    <row r="1039" spans="1:7" ht="15.75">
      <c r="A1039" s="1961">
        <f t="shared" si="88"/>
        <v>48775</v>
      </c>
      <c r="B1039" s="1815">
        <v>48750</v>
      </c>
      <c r="C1039" s="1815">
        <v>48800</v>
      </c>
      <c r="D1039" s="1816">
        <f t="shared" si="84"/>
        <v>6038</v>
      </c>
      <c r="E1039" s="1816">
        <f t="shared" si="85"/>
        <v>5413</v>
      </c>
      <c r="F1039" s="1816">
        <f t="shared" si="86"/>
        <v>6038</v>
      </c>
      <c r="G1039" s="1816">
        <f t="shared" si="87"/>
        <v>5539</v>
      </c>
    </row>
    <row r="1040" spans="1:7" ht="15.75">
      <c r="A1040" s="1961">
        <f t="shared" si="88"/>
        <v>48825</v>
      </c>
      <c r="B1040" s="1815">
        <v>48800</v>
      </c>
      <c r="C1040" s="1815">
        <v>48850</v>
      </c>
      <c r="D1040" s="1816">
        <f t="shared" si="84"/>
        <v>6049</v>
      </c>
      <c r="E1040" s="1816">
        <f t="shared" si="85"/>
        <v>5419</v>
      </c>
      <c r="F1040" s="1816">
        <f t="shared" si="86"/>
        <v>6049</v>
      </c>
      <c r="G1040" s="1816">
        <f t="shared" si="87"/>
        <v>5545</v>
      </c>
    </row>
    <row r="1041" spans="1:7" ht="15.75">
      <c r="A1041" s="1961">
        <f t="shared" si="88"/>
        <v>48875</v>
      </c>
      <c r="B1041" s="1815">
        <v>48850</v>
      </c>
      <c r="C1041" s="1815">
        <v>48900</v>
      </c>
      <c r="D1041" s="1816">
        <f t="shared" si="84"/>
        <v>6060</v>
      </c>
      <c r="E1041" s="1816">
        <f t="shared" si="85"/>
        <v>5425</v>
      </c>
      <c r="F1041" s="1816">
        <f t="shared" si="86"/>
        <v>6060</v>
      </c>
      <c r="G1041" s="1816">
        <f t="shared" si="87"/>
        <v>5551</v>
      </c>
    </row>
    <row r="1042" spans="1:7" ht="15.75">
      <c r="A1042" s="1961">
        <f t="shared" si="88"/>
        <v>48925</v>
      </c>
      <c r="B1042" s="1815">
        <v>48900</v>
      </c>
      <c r="C1042" s="1815">
        <v>48950</v>
      </c>
      <c r="D1042" s="1816">
        <f t="shared" si="84"/>
        <v>6071</v>
      </c>
      <c r="E1042" s="1816">
        <f t="shared" si="85"/>
        <v>5431</v>
      </c>
      <c r="F1042" s="1816">
        <f t="shared" si="86"/>
        <v>6071</v>
      </c>
      <c r="G1042" s="1816">
        <f t="shared" si="87"/>
        <v>5557</v>
      </c>
    </row>
    <row r="1043" spans="1:7" ht="15.75">
      <c r="A1043" s="1961">
        <f t="shared" si="88"/>
        <v>48975</v>
      </c>
      <c r="B1043" s="1815">
        <v>48950</v>
      </c>
      <c r="C1043" s="1815">
        <v>49000</v>
      </c>
      <c r="D1043" s="1816">
        <f t="shared" si="84"/>
        <v>6082</v>
      </c>
      <c r="E1043" s="1816">
        <f t="shared" si="85"/>
        <v>5437</v>
      </c>
      <c r="F1043" s="1816">
        <f t="shared" si="86"/>
        <v>6082</v>
      </c>
      <c r="G1043" s="1816">
        <f t="shared" si="87"/>
        <v>5563</v>
      </c>
    </row>
    <row r="1044" spans="1:7" ht="15.75">
      <c r="A1044" s="1961">
        <f t="shared" si="88"/>
        <v>49025</v>
      </c>
      <c r="B1044" s="1815">
        <v>49000</v>
      </c>
      <c r="C1044" s="1815">
        <v>49050</v>
      </c>
      <c r="D1044" s="1816">
        <f t="shared" si="84"/>
        <v>6093</v>
      </c>
      <c r="E1044" s="1816">
        <f t="shared" si="85"/>
        <v>5443</v>
      </c>
      <c r="F1044" s="1816">
        <f t="shared" si="86"/>
        <v>6093</v>
      </c>
      <c r="G1044" s="1816">
        <f t="shared" si="87"/>
        <v>5569</v>
      </c>
    </row>
    <row r="1045" spans="1:7" ht="15.75">
      <c r="A1045" s="1961">
        <f t="shared" si="88"/>
        <v>49075</v>
      </c>
      <c r="B1045" s="1815">
        <v>49050</v>
      </c>
      <c r="C1045" s="1815">
        <v>49100</v>
      </c>
      <c r="D1045" s="1816">
        <f t="shared" si="84"/>
        <v>6104</v>
      </c>
      <c r="E1045" s="1816">
        <f t="shared" si="85"/>
        <v>5449</v>
      </c>
      <c r="F1045" s="1816">
        <f t="shared" si="86"/>
        <v>6104</v>
      </c>
      <c r="G1045" s="1816">
        <f t="shared" si="87"/>
        <v>5575</v>
      </c>
    </row>
    <row r="1046" spans="1:7" ht="15.75">
      <c r="A1046" s="1961">
        <f t="shared" si="88"/>
        <v>49125</v>
      </c>
      <c r="B1046" s="1815">
        <v>49100</v>
      </c>
      <c r="C1046" s="1815">
        <v>49150</v>
      </c>
      <c r="D1046" s="1816">
        <f t="shared" si="84"/>
        <v>6115</v>
      </c>
      <c r="E1046" s="1816">
        <f t="shared" si="85"/>
        <v>5455</v>
      </c>
      <c r="F1046" s="1816">
        <f t="shared" si="86"/>
        <v>6115</v>
      </c>
      <c r="G1046" s="1816">
        <f t="shared" si="87"/>
        <v>5581</v>
      </c>
    </row>
    <row r="1047" spans="1:7" ht="15.75">
      <c r="A1047" s="1961">
        <f t="shared" si="88"/>
        <v>49175</v>
      </c>
      <c r="B1047" s="1815">
        <v>49150</v>
      </c>
      <c r="C1047" s="1815">
        <v>49200</v>
      </c>
      <c r="D1047" s="1816">
        <f t="shared" si="84"/>
        <v>6126</v>
      </c>
      <c r="E1047" s="1816">
        <f t="shared" si="85"/>
        <v>5461</v>
      </c>
      <c r="F1047" s="1816">
        <f t="shared" si="86"/>
        <v>6126</v>
      </c>
      <c r="G1047" s="1816">
        <f t="shared" si="87"/>
        <v>5587</v>
      </c>
    </row>
    <row r="1048" spans="1:7" ht="15.75">
      <c r="A1048" s="1961">
        <f t="shared" si="88"/>
        <v>49225</v>
      </c>
      <c r="B1048" s="1815">
        <v>49200</v>
      </c>
      <c r="C1048" s="1815">
        <v>49250</v>
      </c>
      <c r="D1048" s="1816">
        <f t="shared" si="84"/>
        <v>6137</v>
      </c>
      <c r="E1048" s="1816">
        <f t="shared" si="85"/>
        <v>5467</v>
      </c>
      <c r="F1048" s="1816">
        <f t="shared" si="86"/>
        <v>6137</v>
      </c>
      <c r="G1048" s="1816">
        <f t="shared" si="87"/>
        <v>5593</v>
      </c>
    </row>
    <row r="1049" spans="1:7" ht="15.75">
      <c r="A1049" s="1961">
        <f t="shared" si="88"/>
        <v>49275</v>
      </c>
      <c r="B1049" s="1815">
        <v>49250</v>
      </c>
      <c r="C1049" s="1815">
        <v>49300</v>
      </c>
      <c r="D1049" s="1816">
        <f t="shared" si="84"/>
        <v>6148</v>
      </c>
      <c r="E1049" s="1816">
        <f t="shared" si="85"/>
        <v>5473</v>
      </c>
      <c r="F1049" s="1816">
        <f t="shared" si="86"/>
        <v>6148</v>
      </c>
      <c r="G1049" s="1816">
        <f t="shared" si="87"/>
        <v>5599</v>
      </c>
    </row>
    <row r="1050" spans="1:7" ht="15.75">
      <c r="A1050" s="1961">
        <f t="shared" si="88"/>
        <v>49325</v>
      </c>
      <c r="B1050" s="1815">
        <v>49300</v>
      </c>
      <c r="C1050" s="1815">
        <v>49350</v>
      </c>
      <c r="D1050" s="1816">
        <f t="shared" si="84"/>
        <v>6159</v>
      </c>
      <c r="E1050" s="1816">
        <f t="shared" si="85"/>
        <v>5479</v>
      </c>
      <c r="F1050" s="1816">
        <f t="shared" si="86"/>
        <v>6159</v>
      </c>
      <c r="G1050" s="1816">
        <f t="shared" si="87"/>
        <v>5605</v>
      </c>
    </row>
    <row r="1051" spans="1:7" ht="15.75">
      <c r="A1051" s="1961">
        <f t="shared" si="88"/>
        <v>49375</v>
      </c>
      <c r="B1051" s="1815">
        <v>49350</v>
      </c>
      <c r="C1051" s="1815">
        <v>49400</v>
      </c>
      <c r="D1051" s="1816">
        <f t="shared" si="84"/>
        <v>6170</v>
      </c>
      <c r="E1051" s="1816">
        <f t="shared" si="85"/>
        <v>5485</v>
      </c>
      <c r="F1051" s="1816">
        <f t="shared" si="86"/>
        <v>6170</v>
      </c>
      <c r="G1051" s="1816">
        <f t="shared" si="87"/>
        <v>5611</v>
      </c>
    </row>
    <row r="1052" spans="1:7" ht="15.75">
      <c r="A1052" s="1961">
        <f t="shared" si="88"/>
        <v>49425</v>
      </c>
      <c r="B1052" s="1815">
        <v>49400</v>
      </c>
      <c r="C1052" s="1815">
        <v>49450</v>
      </c>
      <c r="D1052" s="1816">
        <f t="shared" si="84"/>
        <v>6181</v>
      </c>
      <c r="E1052" s="1816">
        <f t="shared" si="85"/>
        <v>5491</v>
      </c>
      <c r="F1052" s="1816">
        <f t="shared" si="86"/>
        <v>6181</v>
      </c>
      <c r="G1052" s="1816">
        <f t="shared" si="87"/>
        <v>5617</v>
      </c>
    </row>
    <row r="1053" spans="1:7" ht="15.75">
      <c r="A1053" s="1961">
        <f t="shared" si="88"/>
        <v>49475</v>
      </c>
      <c r="B1053" s="1815">
        <v>49450</v>
      </c>
      <c r="C1053" s="1815">
        <v>49500</v>
      </c>
      <c r="D1053" s="1816">
        <f t="shared" si="84"/>
        <v>6192</v>
      </c>
      <c r="E1053" s="1816">
        <f t="shared" si="85"/>
        <v>5497</v>
      </c>
      <c r="F1053" s="1816">
        <f t="shared" si="86"/>
        <v>6192</v>
      </c>
      <c r="G1053" s="1816">
        <f t="shared" si="87"/>
        <v>5623</v>
      </c>
    </row>
    <row r="1054" spans="1:7" ht="15.75">
      <c r="A1054" s="1961">
        <f t="shared" si="88"/>
        <v>49525</v>
      </c>
      <c r="B1054" s="1815">
        <v>49500</v>
      </c>
      <c r="C1054" s="1815">
        <v>49550</v>
      </c>
      <c r="D1054" s="1816">
        <f t="shared" si="84"/>
        <v>6203</v>
      </c>
      <c r="E1054" s="1816">
        <f t="shared" si="85"/>
        <v>5503</v>
      </c>
      <c r="F1054" s="1816">
        <f t="shared" si="86"/>
        <v>6203</v>
      </c>
      <c r="G1054" s="1816">
        <f t="shared" si="87"/>
        <v>5629</v>
      </c>
    </row>
    <row r="1055" spans="1:7" ht="15.75">
      <c r="A1055" s="1961">
        <f t="shared" si="88"/>
        <v>49575</v>
      </c>
      <c r="B1055" s="1815">
        <v>49550</v>
      </c>
      <c r="C1055" s="1815">
        <v>49600</v>
      </c>
      <c r="D1055" s="1816">
        <f t="shared" si="84"/>
        <v>6214</v>
      </c>
      <c r="E1055" s="1816">
        <f t="shared" si="85"/>
        <v>5509</v>
      </c>
      <c r="F1055" s="1816">
        <f t="shared" si="86"/>
        <v>6214</v>
      </c>
      <c r="G1055" s="1816">
        <f t="shared" si="87"/>
        <v>5635</v>
      </c>
    </row>
    <row r="1056" spans="1:7" ht="15.75">
      <c r="A1056" s="1961">
        <f t="shared" si="88"/>
        <v>49625</v>
      </c>
      <c r="B1056" s="1815">
        <v>49600</v>
      </c>
      <c r="C1056" s="1815">
        <v>49650</v>
      </c>
      <c r="D1056" s="1816">
        <f t="shared" si="84"/>
        <v>6225</v>
      </c>
      <c r="E1056" s="1816">
        <f t="shared" si="85"/>
        <v>5515</v>
      </c>
      <c r="F1056" s="1816">
        <f t="shared" si="86"/>
        <v>6225</v>
      </c>
      <c r="G1056" s="1816">
        <f t="shared" si="87"/>
        <v>5641</v>
      </c>
    </row>
    <row r="1057" spans="1:7" ht="15.75">
      <c r="A1057" s="1961">
        <f t="shared" si="88"/>
        <v>49675</v>
      </c>
      <c r="B1057" s="1815">
        <v>49650</v>
      </c>
      <c r="C1057" s="1815">
        <v>49700</v>
      </c>
      <c r="D1057" s="1816">
        <f t="shared" si="84"/>
        <v>6236</v>
      </c>
      <c r="E1057" s="1816">
        <f t="shared" si="85"/>
        <v>5521</v>
      </c>
      <c r="F1057" s="1816">
        <f t="shared" si="86"/>
        <v>6236</v>
      </c>
      <c r="G1057" s="1816">
        <f t="shared" si="87"/>
        <v>5647</v>
      </c>
    </row>
    <row r="1058" spans="1:7" ht="15.75">
      <c r="A1058" s="1961">
        <f t="shared" si="88"/>
        <v>49725</v>
      </c>
      <c r="B1058" s="1815">
        <v>49700</v>
      </c>
      <c r="C1058" s="1815">
        <v>49750</v>
      </c>
      <c r="D1058" s="1816">
        <f t="shared" si="84"/>
        <v>6247</v>
      </c>
      <c r="E1058" s="1816">
        <f t="shared" si="85"/>
        <v>5527</v>
      </c>
      <c r="F1058" s="1816">
        <f t="shared" si="86"/>
        <v>6247</v>
      </c>
      <c r="G1058" s="1816">
        <f t="shared" si="87"/>
        <v>5653</v>
      </c>
    </row>
    <row r="1059" spans="1:7" ht="15.75">
      <c r="A1059" s="1961">
        <f t="shared" si="88"/>
        <v>49775</v>
      </c>
      <c r="B1059" s="1815">
        <v>49750</v>
      </c>
      <c r="C1059" s="1815">
        <v>49800</v>
      </c>
      <c r="D1059" s="1816">
        <f t="shared" si="84"/>
        <v>6258</v>
      </c>
      <c r="E1059" s="1816">
        <f t="shared" si="85"/>
        <v>5533</v>
      </c>
      <c r="F1059" s="1816">
        <f t="shared" si="86"/>
        <v>6258</v>
      </c>
      <c r="G1059" s="1816">
        <f t="shared" si="87"/>
        <v>5659</v>
      </c>
    </row>
    <row r="1060" spans="1:7" ht="15.75">
      <c r="A1060" s="1961">
        <f t="shared" si="88"/>
        <v>49825</v>
      </c>
      <c r="B1060" s="1815">
        <v>49800</v>
      </c>
      <c r="C1060" s="1815">
        <v>49850</v>
      </c>
      <c r="D1060" s="1816">
        <f t="shared" si="84"/>
        <v>6269</v>
      </c>
      <c r="E1060" s="1816">
        <f t="shared" si="85"/>
        <v>5539</v>
      </c>
      <c r="F1060" s="1816">
        <f t="shared" si="86"/>
        <v>6269</v>
      </c>
      <c r="G1060" s="1816">
        <f t="shared" si="87"/>
        <v>5665</v>
      </c>
    </row>
    <row r="1061" spans="1:7" ht="15.75">
      <c r="A1061" s="1961">
        <f t="shared" si="88"/>
        <v>49875</v>
      </c>
      <c r="B1061" s="1815">
        <v>49850</v>
      </c>
      <c r="C1061" s="1815">
        <v>49900</v>
      </c>
      <c r="D1061" s="1816">
        <f t="shared" si="84"/>
        <v>6280</v>
      </c>
      <c r="E1061" s="1816">
        <f t="shared" si="85"/>
        <v>5545</v>
      </c>
      <c r="F1061" s="1816">
        <f t="shared" si="86"/>
        <v>6280</v>
      </c>
      <c r="G1061" s="1816">
        <f t="shared" si="87"/>
        <v>5671</v>
      </c>
    </row>
    <row r="1062" spans="1:7" ht="15.75">
      <c r="A1062" s="1961">
        <f t="shared" si="88"/>
        <v>49925</v>
      </c>
      <c r="B1062" s="1815">
        <v>49900</v>
      </c>
      <c r="C1062" s="1815">
        <v>49950</v>
      </c>
      <c r="D1062" s="1816">
        <f t="shared" si="84"/>
        <v>6291</v>
      </c>
      <c r="E1062" s="1816">
        <f t="shared" si="85"/>
        <v>5551</v>
      </c>
      <c r="F1062" s="1816">
        <f t="shared" si="86"/>
        <v>6291</v>
      </c>
      <c r="G1062" s="1816">
        <f t="shared" si="87"/>
        <v>5677</v>
      </c>
    </row>
    <row r="1063" spans="1:7" ht="15.75">
      <c r="A1063" s="1961">
        <f t="shared" si="88"/>
        <v>49975</v>
      </c>
      <c r="B1063" s="1815">
        <v>49950</v>
      </c>
      <c r="C1063" s="1815">
        <v>50000</v>
      </c>
      <c r="D1063" s="1816">
        <f t="shared" si="84"/>
        <v>6302</v>
      </c>
      <c r="E1063" s="1816">
        <f t="shared" si="85"/>
        <v>5557</v>
      </c>
      <c r="F1063" s="1816">
        <f t="shared" si="86"/>
        <v>6302</v>
      </c>
      <c r="G1063" s="1816">
        <f t="shared" si="87"/>
        <v>5683</v>
      </c>
    </row>
    <row r="1064" spans="1:7" ht="15.75">
      <c r="A1064" s="1961">
        <f t="shared" si="88"/>
        <v>50025</v>
      </c>
      <c r="B1064" s="1815">
        <v>50000</v>
      </c>
      <c r="C1064" s="1815">
        <v>50050</v>
      </c>
      <c r="D1064" s="1816">
        <f t="shared" si="84"/>
        <v>6313</v>
      </c>
      <c r="E1064" s="1816">
        <f t="shared" si="85"/>
        <v>5563</v>
      </c>
      <c r="F1064" s="1816">
        <f t="shared" si="86"/>
        <v>6313</v>
      </c>
      <c r="G1064" s="1816">
        <f t="shared" si="87"/>
        <v>5689</v>
      </c>
    </row>
    <row r="1065" spans="1:7" ht="15.75">
      <c r="A1065" s="1961">
        <f t="shared" si="88"/>
        <v>50075</v>
      </c>
      <c r="B1065" s="1815">
        <v>50050</v>
      </c>
      <c r="C1065" s="1815">
        <v>50100</v>
      </c>
      <c r="D1065" s="1816">
        <f t="shared" si="84"/>
        <v>6324</v>
      </c>
      <c r="E1065" s="1816">
        <f t="shared" si="85"/>
        <v>5569</v>
      </c>
      <c r="F1065" s="1816">
        <f t="shared" si="86"/>
        <v>6324</v>
      </c>
      <c r="G1065" s="1816">
        <f t="shared" si="87"/>
        <v>5695</v>
      </c>
    </row>
    <row r="1066" spans="1:7" ht="15.75">
      <c r="A1066" s="1961">
        <f t="shared" si="88"/>
        <v>50125</v>
      </c>
      <c r="B1066" s="1815">
        <v>50100</v>
      </c>
      <c r="C1066" s="1815">
        <v>50150</v>
      </c>
      <c r="D1066" s="1816">
        <f t="shared" si="84"/>
        <v>6335</v>
      </c>
      <c r="E1066" s="1816">
        <f t="shared" si="85"/>
        <v>5575</v>
      </c>
      <c r="F1066" s="1816">
        <f t="shared" si="86"/>
        <v>6335</v>
      </c>
      <c r="G1066" s="1816">
        <f t="shared" si="87"/>
        <v>5701</v>
      </c>
    </row>
    <row r="1067" spans="1:7" ht="15.75">
      <c r="A1067" s="1961">
        <f t="shared" si="88"/>
        <v>50175</v>
      </c>
      <c r="B1067" s="1815">
        <v>50150</v>
      </c>
      <c r="C1067" s="1815">
        <v>50200</v>
      </c>
      <c r="D1067" s="1816">
        <f t="shared" si="84"/>
        <v>6346</v>
      </c>
      <c r="E1067" s="1816">
        <f t="shared" si="85"/>
        <v>5581</v>
      </c>
      <c r="F1067" s="1816">
        <f t="shared" si="86"/>
        <v>6346</v>
      </c>
      <c r="G1067" s="1816">
        <f t="shared" si="87"/>
        <v>5707</v>
      </c>
    </row>
    <row r="1068" spans="1:7" ht="15.75">
      <c r="A1068" s="1961">
        <f t="shared" si="88"/>
        <v>50225</v>
      </c>
      <c r="B1068" s="1815">
        <v>50200</v>
      </c>
      <c r="C1068" s="1815">
        <v>50250</v>
      </c>
      <c r="D1068" s="1816">
        <f t="shared" si="84"/>
        <v>6357</v>
      </c>
      <c r="E1068" s="1816">
        <f t="shared" si="85"/>
        <v>5587</v>
      </c>
      <c r="F1068" s="1816">
        <f t="shared" si="86"/>
        <v>6357</v>
      </c>
      <c r="G1068" s="1816">
        <f t="shared" si="87"/>
        <v>5713</v>
      </c>
    </row>
    <row r="1069" spans="1:7" ht="15.75">
      <c r="A1069" s="1961">
        <f t="shared" si="88"/>
        <v>50275</v>
      </c>
      <c r="B1069" s="1815">
        <v>50250</v>
      </c>
      <c r="C1069" s="1815">
        <v>50300</v>
      </c>
      <c r="D1069" s="1816">
        <f t="shared" si="84"/>
        <v>6368</v>
      </c>
      <c r="E1069" s="1816">
        <f t="shared" si="85"/>
        <v>5593</v>
      </c>
      <c r="F1069" s="1816">
        <f t="shared" si="86"/>
        <v>6368</v>
      </c>
      <c r="G1069" s="1816">
        <f t="shared" si="87"/>
        <v>5719</v>
      </c>
    </row>
    <row r="1070" spans="1:7" ht="15.75">
      <c r="A1070" s="1961">
        <f t="shared" si="88"/>
        <v>50325</v>
      </c>
      <c r="B1070" s="1815">
        <v>50300</v>
      </c>
      <c r="C1070" s="1815">
        <v>50350</v>
      </c>
      <c r="D1070" s="1816">
        <f t="shared" si="84"/>
        <v>6379</v>
      </c>
      <c r="E1070" s="1816">
        <f t="shared" si="85"/>
        <v>5599</v>
      </c>
      <c r="F1070" s="1816">
        <f t="shared" si="86"/>
        <v>6379</v>
      </c>
      <c r="G1070" s="1816">
        <f t="shared" si="87"/>
        <v>5725</v>
      </c>
    </row>
    <row r="1071" spans="1:7" ht="15.75">
      <c r="A1071" s="1961">
        <f t="shared" si="88"/>
        <v>50375</v>
      </c>
      <c r="B1071" s="1815">
        <v>50350</v>
      </c>
      <c r="C1071" s="1815">
        <v>50400</v>
      </c>
      <c r="D1071" s="1816">
        <f t="shared" si="84"/>
        <v>6390</v>
      </c>
      <c r="E1071" s="1816">
        <f t="shared" si="85"/>
        <v>5605</v>
      </c>
      <c r="F1071" s="1816">
        <f t="shared" si="86"/>
        <v>6390</v>
      </c>
      <c r="G1071" s="1816">
        <f t="shared" si="87"/>
        <v>5731</v>
      </c>
    </row>
    <row r="1072" spans="1:7" ht="15.75">
      <c r="A1072" s="1961">
        <f t="shared" si="88"/>
        <v>50425</v>
      </c>
      <c r="B1072" s="1815">
        <v>50400</v>
      </c>
      <c r="C1072" s="1815">
        <v>50450</v>
      </c>
      <c r="D1072" s="1816">
        <f t="shared" si="84"/>
        <v>6401</v>
      </c>
      <c r="E1072" s="1816">
        <f t="shared" si="85"/>
        <v>5611</v>
      </c>
      <c r="F1072" s="1816">
        <f t="shared" si="86"/>
        <v>6401</v>
      </c>
      <c r="G1072" s="1816">
        <f t="shared" si="87"/>
        <v>5737</v>
      </c>
    </row>
    <row r="1073" spans="1:7" ht="15.75">
      <c r="A1073" s="1961">
        <f t="shared" si="88"/>
        <v>50475</v>
      </c>
      <c r="B1073" s="1815">
        <v>50450</v>
      </c>
      <c r="C1073" s="1815">
        <v>50500</v>
      </c>
      <c r="D1073" s="1816">
        <f t="shared" si="84"/>
        <v>6412</v>
      </c>
      <c r="E1073" s="1816">
        <f t="shared" si="85"/>
        <v>5617</v>
      </c>
      <c r="F1073" s="1816">
        <f t="shared" si="86"/>
        <v>6412</v>
      </c>
      <c r="G1073" s="1816">
        <f t="shared" si="87"/>
        <v>5743</v>
      </c>
    </row>
    <row r="1074" spans="1:7" ht="15.75">
      <c r="A1074" s="1961">
        <f t="shared" si="88"/>
        <v>50525</v>
      </c>
      <c r="B1074" s="1815">
        <v>50500</v>
      </c>
      <c r="C1074" s="1815">
        <v>50550</v>
      </c>
      <c r="D1074" s="1816">
        <f t="shared" si="84"/>
        <v>6423</v>
      </c>
      <c r="E1074" s="1816">
        <f t="shared" si="85"/>
        <v>5623</v>
      </c>
      <c r="F1074" s="1816">
        <f t="shared" si="86"/>
        <v>6423</v>
      </c>
      <c r="G1074" s="1816">
        <f t="shared" si="87"/>
        <v>5749</v>
      </c>
    </row>
    <row r="1075" spans="1:7" ht="15.75">
      <c r="A1075" s="1961">
        <f t="shared" si="88"/>
        <v>50575</v>
      </c>
      <c r="B1075" s="1815">
        <v>50550</v>
      </c>
      <c r="C1075" s="1815">
        <v>50600</v>
      </c>
      <c r="D1075" s="1816">
        <f t="shared" si="84"/>
        <v>6434</v>
      </c>
      <c r="E1075" s="1816">
        <f t="shared" si="85"/>
        <v>5629</v>
      </c>
      <c r="F1075" s="1816">
        <f t="shared" si="86"/>
        <v>6434</v>
      </c>
      <c r="G1075" s="1816">
        <f t="shared" si="87"/>
        <v>5755</v>
      </c>
    </row>
    <row r="1076" spans="1:7" ht="15.75">
      <c r="A1076" s="1961">
        <f t="shared" si="88"/>
        <v>50625</v>
      </c>
      <c r="B1076" s="1815">
        <v>50600</v>
      </c>
      <c r="C1076" s="1815">
        <v>50650</v>
      </c>
      <c r="D1076" s="1816">
        <f t="shared" si="84"/>
        <v>6445</v>
      </c>
      <c r="E1076" s="1816">
        <f t="shared" si="85"/>
        <v>5635</v>
      </c>
      <c r="F1076" s="1816">
        <f t="shared" si="86"/>
        <v>6445</v>
      </c>
      <c r="G1076" s="1816">
        <f t="shared" si="87"/>
        <v>5761</v>
      </c>
    </row>
    <row r="1077" spans="1:7" ht="15.75">
      <c r="A1077" s="1961">
        <f t="shared" si="88"/>
        <v>50675</v>
      </c>
      <c r="B1077" s="1815">
        <v>50650</v>
      </c>
      <c r="C1077" s="1815">
        <v>50700</v>
      </c>
      <c r="D1077" s="1816">
        <f t="shared" si="84"/>
        <v>6456</v>
      </c>
      <c r="E1077" s="1816">
        <f t="shared" si="85"/>
        <v>5641</v>
      </c>
      <c r="F1077" s="1816">
        <f t="shared" si="86"/>
        <v>6456</v>
      </c>
      <c r="G1077" s="1816">
        <f t="shared" si="87"/>
        <v>5767</v>
      </c>
    </row>
    <row r="1078" spans="1:7" ht="15.75">
      <c r="A1078" s="1961">
        <f t="shared" si="88"/>
        <v>50725</v>
      </c>
      <c r="B1078" s="1815">
        <v>50700</v>
      </c>
      <c r="C1078" s="1815">
        <v>50750</v>
      </c>
      <c r="D1078" s="1816">
        <f t="shared" si="84"/>
        <v>6467</v>
      </c>
      <c r="E1078" s="1816">
        <f t="shared" si="85"/>
        <v>5647</v>
      </c>
      <c r="F1078" s="1816">
        <f t="shared" si="86"/>
        <v>6467</v>
      </c>
      <c r="G1078" s="1816">
        <f t="shared" si="87"/>
        <v>5773</v>
      </c>
    </row>
    <row r="1079" spans="1:7" ht="15.75">
      <c r="A1079" s="1961">
        <f t="shared" si="88"/>
        <v>50775</v>
      </c>
      <c r="B1079" s="1815">
        <v>50750</v>
      </c>
      <c r="C1079" s="1815">
        <v>50800</v>
      </c>
      <c r="D1079" s="1816">
        <f t="shared" si="84"/>
        <v>6478</v>
      </c>
      <c r="E1079" s="1816">
        <f t="shared" si="85"/>
        <v>5653</v>
      </c>
      <c r="F1079" s="1816">
        <f t="shared" si="86"/>
        <v>6478</v>
      </c>
      <c r="G1079" s="1816">
        <f t="shared" si="87"/>
        <v>5779</v>
      </c>
    </row>
    <row r="1080" spans="1:7" ht="15.75">
      <c r="A1080" s="1961">
        <f t="shared" si="88"/>
        <v>50825</v>
      </c>
      <c r="B1080" s="1815">
        <v>50800</v>
      </c>
      <c r="C1080" s="1815">
        <v>50850</v>
      </c>
      <c r="D1080" s="1816">
        <f t="shared" si="84"/>
        <v>6489</v>
      </c>
      <c r="E1080" s="1816">
        <f t="shared" si="85"/>
        <v>5659</v>
      </c>
      <c r="F1080" s="1816">
        <f t="shared" si="86"/>
        <v>6489</v>
      </c>
      <c r="G1080" s="1816">
        <f t="shared" si="87"/>
        <v>5785</v>
      </c>
    </row>
    <row r="1081" spans="1:7" ht="15.75">
      <c r="A1081" s="1961">
        <f t="shared" si="88"/>
        <v>50875</v>
      </c>
      <c r="B1081" s="1815">
        <v>50850</v>
      </c>
      <c r="C1081" s="1815">
        <v>50900</v>
      </c>
      <c r="D1081" s="1816">
        <f t="shared" si="84"/>
        <v>6500</v>
      </c>
      <c r="E1081" s="1816">
        <f t="shared" si="85"/>
        <v>5665</v>
      </c>
      <c r="F1081" s="1816">
        <f t="shared" si="86"/>
        <v>6500</v>
      </c>
      <c r="G1081" s="1816">
        <f t="shared" si="87"/>
        <v>5791</v>
      </c>
    </row>
    <row r="1082" spans="1:7" ht="15.75">
      <c r="A1082" s="1961">
        <f t="shared" si="88"/>
        <v>50925</v>
      </c>
      <c r="B1082" s="1815">
        <v>50900</v>
      </c>
      <c r="C1082" s="1815">
        <v>50950</v>
      </c>
      <c r="D1082" s="1816">
        <f t="shared" si="84"/>
        <v>6511</v>
      </c>
      <c r="E1082" s="1816">
        <f t="shared" si="85"/>
        <v>5671</v>
      </c>
      <c r="F1082" s="1816">
        <f t="shared" si="86"/>
        <v>6511</v>
      </c>
      <c r="G1082" s="1816">
        <f t="shared" si="87"/>
        <v>5797</v>
      </c>
    </row>
    <row r="1083" spans="1:7" ht="15.75">
      <c r="A1083" s="1961">
        <f t="shared" si="88"/>
        <v>50975</v>
      </c>
      <c r="B1083" s="1815">
        <v>50950</v>
      </c>
      <c r="C1083" s="1815">
        <v>51000</v>
      </c>
      <c r="D1083" s="1816">
        <f t="shared" si="84"/>
        <v>6522</v>
      </c>
      <c r="E1083" s="1816">
        <f t="shared" si="85"/>
        <v>5677</v>
      </c>
      <c r="F1083" s="1816">
        <f t="shared" si="86"/>
        <v>6522</v>
      </c>
      <c r="G1083" s="1816">
        <f t="shared" si="87"/>
        <v>5803</v>
      </c>
    </row>
    <row r="1084" spans="1:7" ht="15.75">
      <c r="A1084" s="1961">
        <f t="shared" si="88"/>
        <v>51025</v>
      </c>
      <c r="B1084" s="1815">
        <v>51000</v>
      </c>
      <c r="C1084" s="1815">
        <v>51050</v>
      </c>
      <c r="D1084" s="1816">
        <f t="shared" si="84"/>
        <v>6533</v>
      </c>
      <c r="E1084" s="1816">
        <f t="shared" si="85"/>
        <v>5683</v>
      </c>
      <c r="F1084" s="1816">
        <f t="shared" si="86"/>
        <v>6533</v>
      </c>
      <c r="G1084" s="1816">
        <f t="shared" si="87"/>
        <v>5809</v>
      </c>
    </row>
    <row r="1085" spans="1:7" ht="15.75">
      <c r="A1085" s="1961">
        <f t="shared" si="88"/>
        <v>51075</v>
      </c>
      <c r="B1085" s="1815">
        <v>51050</v>
      </c>
      <c r="C1085" s="1815">
        <v>51100</v>
      </c>
      <c r="D1085" s="1816">
        <f t="shared" si="84"/>
        <v>6544</v>
      </c>
      <c r="E1085" s="1816">
        <f t="shared" si="85"/>
        <v>5689</v>
      </c>
      <c r="F1085" s="1816">
        <f t="shared" si="86"/>
        <v>6544</v>
      </c>
      <c r="G1085" s="1816">
        <f t="shared" si="87"/>
        <v>5815</v>
      </c>
    </row>
    <row r="1086" spans="1:7" ht="15.75">
      <c r="A1086" s="1961">
        <f t="shared" si="88"/>
        <v>51125</v>
      </c>
      <c r="B1086" s="1815">
        <v>51100</v>
      </c>
      <c r="C1086" s="1815">
        <v>51150</v>
      </c>
      <c r="D1086" s="1816">
        <f t="shared" si="84"/>
        <v>6555</v>
      </c>
      <c r="E1086" s="1816">
        <f t="shared" si="85"/>
        <v>5695</v>
      </c>
      <c r="F1086" s="1816">
        <f t="shared" si="86"/>
        <v>6555</v>
      </c>
      <c r="G1086" s="1816">
        <f t="shared" si="87"/>
        <v>5821</v>
      </c>
    </row>
    <row r="1087" spans="1:7" ht="15.75">
      <c r="A1087" s="1961">
        <f t="shared" si="88"/>
        <v>51175</v>
      </c>
      <c r="B1087" s="1815">
        <v>51150</v>
      </c>
      <c r="C1087" s="1815">
        <v>51200</v>
      </c>
      <c r="D1087" s="1816">
        <f t="shared" si="84"/>
        <v>6566</v>
      </c>
      <c r="E1087" s="1816">
        <f t="shared" si="85"/>
        <v>5701</v>
      </c>
      <c r="F1087" s="1816">
        <f t="shared" si="86"/>
        <v>6566</v>
      </c>
      <c r="G1087" s="1816">
        <f t="shared" si="87"/>
        <v>5827</v>
      </c>
    </row>
    <row r="1088" spans="1:7" ht="15.75">
      <c r="A1088" s="1961">
        <f t="shared" si="88"/>
        <v>51225</v>
      </c>
      <c r="B1088" s="1815">
        <v>51200</v>
      </c>
      <c r="C1088" s="1815">
        <v>51250</v>
      </c>
      <c r="D1088" s="1816">
        <f t="shared" si="84"/>
        <v>6577</v>
      </c>
      <c r="E1088" s="1816">
        <f t="shared" si="85"/>
        <v>5707</v>
      </c>
      <c r="F1088" s="1816">
        <f t="shared" si="86"/>
        <v>6577</v>
      </c>
      <c r="G1088" s="1816">
        <f t="shared" si="87"/>
        <v>5833</v>
      </c>
    </row>
    <row r="1089" spans="1:7" ht="15.75">
      <c r="A1089" s="1961">
        <f t="shared" si="88"/>
        <v>51275</v>
      </c>
      <c r="B1089" s="1815">
        <v>51250</v>
      </c>
      <c r="C1089" s="1815">
        <v>51300</v>
      </c>
      <c r="D1089" s="1816">
        <f t="shared" si="84"/>
        <v>6588</v>
      </c>
      <c r="E1089" s="1816">
        <f t="shared" si="85"/>
        <v>5713</v>
      </c>
      <c r="F1089" s="1816">
        <f t="shared" si="86"/>
        <v>6588</v>
      </c>
      <c r="G1089" s="1816">
        <f t="shared" si="87"/>
        <v>5839</v>
      </c>
    </row>
    <row r="1090" spans="1:7" ht="15.75">
      <c r="A1090" s="1961">
        <f t="shared" si="88"/>
        <v>51325</v>
      </c>
      <c r="B1090" s="1815">
        <v>51300</v>
      </c>
      <c r="C1090" s="1815">
        <v>51350</v>
      </c>
      <c r="D1090" s="1816">
        <f t="shared" ref="D1090:D1153" si="89">IF($A1090&gt;BOTT_A4,ROUND(BASE_A4+RATE_A4*($A1090-BOTT_A4),0),IF($A1090&gt;BOTT_A3,ROUND(BASE_A3+RATE_A3*($A1090-BOTT_A3),0),IF($A1090&gt;BOTT_A2,ROUND(BASE_A2+RATE_A2*($A1090-BOTT_A2),0),ROUND(RATE_A1*$A1090,0))))</f>
        <v>6599</v>
      </c>
      <c r="E1090" s="1816">
        <f t="shared" ref="E1090:E1153" si="90">IF($A1090&gt;BOTT_B4,ROUND(BASE_B4+RATE_B4*($A1090-BOTT_B4),0),IF($A1090&gt;BOTT_B3,ROUND(BASE_B3+RATE_B3*($A1090-BOTT_B3),0),IF($A1090&gt;BOTT_B2,ROUND(BASE_B2+RATE_B2*($A1090-BOTT_B2),0),ROUND(RATE_B1*$A1090,0))))</f>
        <v>5719</v>
      </c>
      <c r="F1090" s="1816">
        <f t="shared" ref="F1090:F1153" si="91">IF($A1090&gt;BOTT_C4,ROUND(BASE_C4+RATE_C4*($A1090-BOTT_C4),0),IF($A1090&gt;BOTT_C3,ROUND(BASE_C3+RATE_C3*($A1090-BOTT_C3),0),IF($A1090&gt;BOTT_C2,ROUND(BASE_C2+RATE_C2*($A1090-BOTT_C2),0),ROUND(RATE_C1*$A1090,0))))</f>
        <v>6599</v>
      </c>
      <c r="G1090" s="1816">
        <f t="shared" ref="G1090:G1153" si="92">IF($A1090&gt;BOTT_D4,ROUND(BASE_D4+RATE_D4*($A1090-BOTT_D4),0),IF($A1090&gt;BOTT_D3,ROUND(BASE_D3+RATE_D3*($A1090-BOTT_D3),0),IF($A1090&gt;BOTT_D2,ROUND(BASE_D2+RATE_D2*($A1090-BOTT_D2),0),ROUND(RATE_D1*$A1090,0))))</f>
        <v>5845</v>
      </c>
    </row>
    <row r="1091" spans="1:7" ht="15.75">
      <c r="A1091" s="1961">
        <f t="shared" ref="A1091:A1154" si="93">AVERAGE(B1091,C1091)</f>
        <v>51375</v>
      </c>
      <c r="B1091" s="1815">
        <v>51350</v>
      </c>
      <c r="C1091" s="1815">
        <v>51400</v>
      </c>
      <c r="D1091" s="1816">
        <f t="shared" si="89"/>
        <v>6610</v>
      </c>
      <c r="E1091" s="1816">
        <f t="shared" si="90"/>
        <v>5725</v>
      </c>
      <c r="F1091" s="1816">
        <f t="shared" si="91"/>
        <v>6610</v>
      </c>
      <c r="G1091" s="1816">
        <f t="shared" si="92"/>
        <v>5851</v>
      </c>
    </row>
    <row r="1092" spans="1:7" ht="15.75">
      <c r="A1092" s="1961">
        <f t="shared" si="93"/>
        <v>51425</v>
      </c>
      <c r="B1092" s="1815">
        <v>51400</v>
      </c>
      <c r="C1092" s="1815">
        <v>51450</v>
      </c>
      <c r="D1092" s="1816">
        <f t="shared" si="89"/>
        <v>6621</v>
      </c>
      <c r="E1092" s="1816">
        <f t="shared" si="90"/>
        <v>5731</v>
      </c>
      <c r="F1092" s="1816">
        <f t="shared" si="91"/>
        <v>6621</v>
      </c>
      <c r="G1092" s="1816">
        <f t="shared" si="92"/>
        <v>5857</v>
      </c>
    </row>
    <row r="1093" spans="1:7" ht="15.75">
      <c r="A1093" s="1961">
        <f t="shared" si="93"/>
        <v>51475</v>
      </c>
      <c r="B1093" s="1815">
        <v>51450</v>
      </c>
      <c r="C1093" s="1815">
        <v>51500</v>
      </c>
      <c r="D1093" s="1816">
        <f t="shared" si="89"/>
        <v>6632</v>
      </c>
      <c r="E1093" s="1816">
        <f t="shared" si="90"/>
        <v>5737</v>
      </c>
      <c r="F1093" s="1816">
        <f t="shared" si="91"/>
        <v>6632</v>
      </c>
      <c r="G1093" s="1816">
        <f t="shared" si="92"/>
        <v>5863</v>
      </c>
    </row>
    <row r="1094" spans="1:7" ht="15.75">
      <c r="A1094" s="1961">
        <f t="shared" si="93"/>
        <v>51525</v>
      </c>
      <c r="B1094" s="1815">
        <v>51500</v>
      </c>
      <c r="C1094" s="1815">
        <v>51550</v>
      </c>
      <c r="D1094" s="1816">
        <f t="shared" si="89"/>
        <v>6643</v>
      </c>
      <c r="E1094" s="1816">
        <f t="shared" si="90"/>
        <v>5743</v>
      </c>
      <c r="F1094" s="1816">
        <f t="shared" si="91"/>
        <v>6643</v>
      </c>
      <c r="G1094" s="1816">
        <f t="shared" si="92"/>
        <v>5869</v>
      </c>
    </row>
    <row r="1095" spans="1:7" ht="15.75">
      <c r="A1095" s="1961">
        <f t="shared" si="93"/>
        <v>51575</v>
      </c>
      <c r="B1095" s="1815">
        <v>51550</v>
      </c>
      <c r="C1095" s="1815">
        <v>51600</v>
      </c>
      <c r="D1095" s="1816">
        <f t="shared" si="89"/>
        <v>6654</v>
      </c>
      <c r="E1095" s="1816">
        <f t="shared" si="90"/>
        <v>5749</v>
      </c>
      <c r="F1095" s="1816">
        <f t="shared" si="91"/>
        <v>6654</v>
      </c>
      <c r="G1095" s="1816">
        <f t="shared" si="92"/>
        <v>5875</v>
      </c>
    </row>
    <row r="1096" spans="1:7" ht="15.75">
      <c r="A1096" s="1961">
        <f t="shared" si="93"/>
        <v>51625</v>
      </c>
      <c r="B1096" s="1815">
        <v>51600</v>
      </c>
      <c r="C1096" s="1815">
        <v>51650</v>
      </c>
      <c r="D1096" s="1816">
        <f t="shared" si="89"/>
        <v>6665</v>
      </c>
      <c r="E1096" s="1816">
        <f t="shared" si="90"/>
        <v>5755</v>
      </c>
      <c r="F1096" s="1816">
        <f t="shared" si="91"/>
        <v>6665</v>
      </c>
      <c r="G1096" s="1816">
        <f t="shared" si="92"/>
        <v>5881</v>
      </c>
    </row>
    <row r="1097" spans="1:7" ht="15.75">
      <c r="A1097" s="1961">
        <f t="shared" si="93"/>
        <v>51675</v>
      </c>
      <c r="B1097" s="1815">
        <v>51650</v>
      </c>
      <c r="C1097" s="1815">
        <v>51700</v>
      </c>
      <c r="D1097" s="1816">
        <f t="shared" si="89"/>
        <v>6676</v>
      </c>
      <c r="E1097" s="1816">
        <f t="shared" si="90"/>
        <v>5761</v>
      </c>
      <c r="F1097" s="1816">
        <f t="shared" si="91"/>
        <v>6676</v>
      </c>
      <c r="G1097" s="1816">
        <f t="shared" si="92"/>
        <v>5887</v>
      </c>
    </row>
    <row r="1098" spans="1:7" ht="15.75">
      <c r="A1098" s="1961">
        <f t="shared" si="93"/>
        <v>51725</v>
      </c>
      <c r="B1098" s="1815">
        <v>51700</v>
      </c>
      <c r="C1098" s="1815">
        <v>51750</v>
      </c>
      <c r="D1098" s="1816">
        <f t="shared" si="89"/>
        <v>6687</v>
      </c>
      <c r="E1098" s="1816">
        <f t="shared" si="90"/>
        <v>5767</v>
      </c>
      <c r="F1098" s="1816">
        <f t="shared" si="91"/>
        <v>6687</v>
      </c>
      <c r="G1098" s="1816">
        <f t="shared" si="92"/>
        <v>5893</v>
      </c>
    </row>
    <row r="1099" spans="1:7" ht="15.75">
      <c r="A1099" s="1961">
        <f t="shared" si="93"/>
        <v>51775</v>
      </c>
      <c r="B1099" s="1815">
        <v>51750</v>
      </c>
      <c r="C1099" s="1815">
        <v>51800</v>
      </c>
      <c r="D1099" s="1816">
        <f t="shared" si="89"/>
        <v>6698</v>
      </c>
      <c r="E1099" s="1816">
        <f t="shared" si="90"/>
        <v>5773</v>
      </c>
      <c r="F1099" s="1816">
        <f t="shared" si="91"/>
        <v>6698</v>
      </c>
      <c r="G1099" s="1816">
        <f t="shared" si="92"/>
        <v>5899</v>
      </c>
    </row>
    <row r="1100" spans="1:7" ht="15.75">
      <c r="A1100" s="1961">
        <f t="shared" si="93"/>
        <v>51825</v>
      </c>
      <c r="B1100" s="1815">
        <v>51800</v>
      </c>
      <c r="C1100" s="1815">
        <v>51850</v>
      </c>
      <c r="D1100" s="1816">
        <f t="shared" si="89"/>
        <v>6709</v>
      </c>
      <c r="E1100" s="1816">
        <f t="shared" si="90"/>
        <v>5779</v>
      </c>
      <c r="F1100" s="1816">
        <f t="shared" si="91"/>
        <v>6709</v>
      </c>
      <c r="G1100" s="1816">
        <f t="shared" si="92"/>
        <v>5905</v>
      </c>
    </row>
    <row r="1101" spans="1:7" ht="15.75">
      <c r="A1101" s="1961">
        <f t="shared" si="93"/>
        <v>51875</v>
      </c>
      <c r="B1101" s="1815">
        <v>51850</v>
      </c>
      <c r="C1101" s="1815">
        <v>51900</v>
      </c>
      <c r="D1101" s="1816">
        <f t="shared" si="89"/>
        <v>6720</v>
      </c>
      <c r="E1101" s="1816">
        <f t="shared" si="90"/>
        <v>5785</v>
      </c>
      <c r="F1101" s="1816">
        <f t="shared" si="91"/>
        <v>6720</v>
      </c>
      <c r="G1101" s="1816">
        <f t="shared" si="92"/>
        <v>5911</v>
      </c>
    </row>
    <row r="1102" spans="1:7" ht="15.75">
      <c r="A1102" s="1961">
        <f t="shared" si="93"/>
        <v>51925</v>
      </c>
      <c r="B1102" s="1815">
        <v>51900</v>
      </c>
      <c r="C1102" s="1815">
        <v>51950</v>
      </c>
      <c r="D1102" s="1816">
        <f t="shared" si="89"/>
        <v>6731</v>
      </c>
      <c r="E1102" s="1816">
        <f t="shared" si="90"/>
        <v>5791</v>
      </c>
      <c r="F1102" s="1816">
        <f t="shared" si="91"/>
        <v>6731</v>
      </c>
      <c r="G1102" s="1816">
        <f t="shared" si="92"/>
        <v>5917</v>
      </c>
    </row>
    <row r="1103" spans="1:7" ht="15.75">
      <c r="A1103" s="1961">
        <f t="shared" si="93"/>
        <v>51975</v>
      </c>
      <c r="B1103" s="1815">
        <v>51950</v>
      </c>
      <c r="C1103" s="1815">
        <v>52000</v>
      </c>
      <c r="D1103" s="1816">
        <f t="shared" si="89"/>
        <v>6742</v>
      </c>
      <c r="E1103" s="1816">
        <f t="shared" si="90"/>
        <v>5797</v>
      </c>
      <c r="F1103" s="1816">
        <f t="shared" si="91"/>
        <v>6742</v>
      </c>
      <c r="G1103" s="1816">
        <f t="shared" si="92"/>
        <v>5923</v>
      </c>
    </row>
    <row r="1104" spans="1:7" ht="15.75">
      <c r="A1104" s="1961">
        <f t="shared" si="93"/>
        <v>52025</v>
      </c>
      <c r="B1104" s="1815">
        <v>52000</v>
      </c>
      <c r="C1104" s="1815">
        <v>52050</v>
      </c>
      <c r="D1104" s="1816">
        <f t="shared" si="89"/>
        <v>6753</v>
      </c>
      <c r="E1104" s="1816">
        <f t="shared" si="90"/>
        <v>5803</v>
      </c>
      <c r="F1104" s="1816">
        <f t="shared" si="91"/>
        <v>6753</v>
      </c>
      <c r="G1104" s="1816">
        <f t="shared" si="92"/>
        <v>5929</v>
      </c>
    </row>
    <row r="1105" spans="1:7" ht="15.75">
      <c r="A1105" s="1961">
        <f t="shared" si="93"/>
        <v>52075</v>
      </c>
      <c r="B1105" s="1815">
        <v>52050</v>
      </c>
      <c r="C1105" s="1815">
        <v>52100</v>
      </c>
      <c r="D1105" s="1816">
        <f t="shared" si="89"/>
        <v>6764</v>
      </c>
      <c r="E1105" s="1816">
        <f t="shared" si="90"/>
        <v>5809</v>
      </c>
      <c r="F1105" s="1816">
        <f t="shared" si="91"/>
        <v>6764</v>
      </c>
      <c r="G1105" s="1816">
        <f t="shared" si="92"/>
        <v>5935</v>
      </c>
    </row>
    <row r="1106" spans="1:7" ht="15.75">
      <c r="A1106" s="1961">
        <f t="shared" si="93"/>
        <v>52125</v>
      </c>
      <c r="B1106" s="1815">
        <v>52100</v>
      </c>
      <c r="C1106" s="1815">
        <v>52150</v>
      </c>
      <c r="D1106" s="1816">
        <f t="shared" si="89"/>
        <v>6775</v>
      </c>
      <c r="E1106" s="1816">
        <f t="shared" si="90"/>
        <v>5815</v>
      </c>
      <c r="F1106" s="1816">
        <f t="shared" si="91"/>
        <v>6775</v>
      </c>
      <c r="G1106" s="1816">
        <f t="shared" si="92"/>
        <v>5941</v>
      </c>
    </row>
    <row r="1107" spans="1:7" ht="15.75">
      <c r="A1107" s="1961">
        <f t="shared" si="93"/>
        <v>52175</v>
      </c>
      <c r="B1107" s="1815">
        <v>52150</v>
      </c>
      <c r="C1107" s="1815">
        <v>52200</v>
      </c>
      <c r="D1107" s="1816">
        <f t="shared" si="89"/>
        <v>6786</v>
      </c>
      <c r="E1107" s="1816">
        <f t="shared" si="90"/>
        <v>5821</v>
      </c>
      <c r="F1107" s="1816">
        <f t="shared" si="91"/>
        <v>6786</v>
      </c>
      <c r="G1107" s="1816">
        <f t="shared" si="92"/>
        <v>5947</v>
      </c>
    </row>
    <row r="1108" spans="1:7" ht="15.75">
      <c r="A1108" s="1961">
        <f t="shared" si="93"/>
        <v>52225</v>
      </c>
      <c r="B1108" s="1815">
        <v>52200</v>
      </c>
      <c r="C1108" s="1815">
        <v>52250</v>
      </c>
      <c r="D1108" s="1816">
        <f t="shared" si="89"/>
        <v>6797</v>
      </c>
      <c r="E1108" s="1816">
        <f t="shared" si="90"/>
        <v>5827</v>
      </c>
      <c r="F1108" s="1816">
        <f t="shared" si="91"/>
        <v>6797</v>
      </c>
      <c r="G1108" s="1816">
        <f t="shared" si="92"/>
        <v>5953</v>
      </c>
    </row>
    <row r="1109" spans="1:7" ht="15.75">
      <c r="A1109" s="1961">
        <f t="shared" si="93"/>
        <v>52275</v>
      </c>
      <c r="B1109" s="1815">
        <v>52250</v>
      </c>
      <c r="C1109" s="1815">
        <v>52300</v>
      </c>
      <c r="D1109" s="1816">
        <f t="shared" si="89"/>
        <v>6808</v>
      </c>
      <c r="E1109" s="1816">
        <f t="shared" si="90"/>
        <v>5833</v>
      </c>
      <c r="F1109" s="1816">
        <f t="shared" si="91"/>
        <v>6808</v>
      </c>
      <c r="G1109" s="1816">
        <f t="shared" si="92"/>
        <v>5959</v>
      </c>
    </row>
    <row r="1110" spans="1:7" ht="15.75">
      <c r="A1110" s="1961">
        <f t="shared" si="93"/>
        <v>52325</v>
      </c>
      <c r="B1110" s="1815">
        <v>52300</v>
      </c>
      <c r="C1110" s="1815">
        <v>52350</v>
      </c>
      <c r="D1110" s="1816">
        <f t="shared" si="89"/>
        <v>6819</v>
      </c>
      <c r="E1110" s="1816">
        <f t="shared" si="90"/>
        <v>5839</v>
      </c>
      <c r="F1110" s="1816">
        <f t="shared" si="91"/>
        <v>6819</v>
      </c>
      <c r="G1110" s="1816">
        <f t="shared" si="92"/>
        <v>5965</v>
      </c>
    </row>
    <row r="1111" spans="1:7" ht="15.75">
      <c r="A1111" s="1961">
        <f t="shared" si="93"/>
        <v>52375</v>
      </c>
      <c r="B1111" s="1815">
        <v>52350</v>
      </c>
      <c r="C1111" s="1815">
        <v>52400</v>
      </c>
      <c r="D1111" s="1816">
        <f t="shared" si="89"/>
        <v>6830</v>
      </c>
      <c r="E1111" s="1816">
        <f t="shared" si="90"/>
        <v>5845</v>
      </c>
      <c r="F1111" s="1816">
        <f t="shared" si="91"/>
        <v>6830</v>
      </c>
      <c r="G1111" s="1816">
        <f t="shared" si="92"/>
        <v>5971</v>
      </c>
    </row>
    <row r="1112" spans="1:7" ht="15.75">
      <c r="A1112" s="1961">
        <f t="shared" si="93"/>
        <v>52425</v>
      </c>
      <c r="B1112" s="1815">
        <v>52400</v>
      </c>
      <c r="C1112" s="1815">
        <v>52450</v>
      </c>
      <c r="D1112" s="1816">
        <f t="shared" si="89"/>
        <v>6841</v>
      </c>
      <c r="E1112" s="1816">
        <f t="shared" si="90"/>
        <v>5851</v>
      </c>
      <c r="F1112" s="1816">
        <f t="shared" si="91"/>
        <v>6841</v>
      </c>
      <c r="G1112" s="1816">
        <f t="shared" si="92"/>
        <v>5977</v>
      </c>
    </row>
    <row r="1113" spans="1:7" ht="15.75">
      <c r="A1113" s="1961">
        <f t="shared" si="93"/>
        <v>52475</v>
      </c>
      <c r="B1113" s="1815">
        <v>52450</v>
      </c>
      <c r="C1113" s="1815">
        <v>52500</v>
      </c>
      <c r="D1113" s="1816">
        <f t="shared" si="89"/>
        <v>6852</v>
      </c>
      <c r="E1113" s="1816">
        <f t="shared" si="90"/>
        <v>5857</v>
      </c>
      <c r="F1113" s="1816">
        <f t="shared" si="91"/>
        <v>6852</v>
      </c>
      <c r="G1113" s="1816">
        <f t="shared" si="92"/>
        <v>5983</v>
      </c>
    </row>
    <row r="1114" spans="1:7" ht="15.75">
      <c r="A1114" s="1961">
        <f t="shared" si="93"/>
        <v>52525</v>
      </c>
      <c r="B1114" s="1815">
        <v>52500</v>
      </c>
      <c r="C1114" s="1815">
        <v>52550</v>
      </c>
      <c r="D1114" s="1816">
        <f t="shared" si="89"/>
        <v>6863</v>
      </c>
      <c r="E1114" s="1816">
        <f t="shared" si="90"/>
        <v>5863</v>
      </c>
      <c r="F1114" s="1816">
        <f t="shared" si="91"/>
        <v>6863</v>
      </c>
      <c r="G1114" s="1816">
        <f t="shared" si="92"/>
        <v>5989</v>
      </c>
    </row>
    <row r="1115" spans="1:7" ht="15.75">
      <c r="A1115" s="1961">
        <f t="shared" si="93"/>
        <v>52575</v>
      </c>
      <c r="B1115" s="1815">
        <v>52550</v>
      </c>
      <c r="C1115" s="1815">
        <v>52600</v>
      </c>
      <c r="D1115" s="1816">
        <f t="shared" si="89"/>
        <v>6874</v>
      </c>
      <c r="E1115" s="1816">
        <f t="shared" si="90"/>
        <v>5869</v>
      </c>
      <c r="F1115" s="1816">
        <f t="shared" si="91"/>
        <v>6874</v>
      </c>
      <c r="G1115" s="1816">
        <f t="shared" si="92"/>
        <v>5995</v>
      </c>
    </row>
    <row r="1116" spans="1:7" ht="15.75">
      <c r="A1116" s="1961">
        <f t="shared" si="93"/>
        <v>52625</v>
      </c>
      <c r="B1116" s="1815">
        <v>52600</v>
      </c>
      <c r="C1116" s="1815">
        <v>52650</v>
      </c>
      <c r="D1116" s="1816">
        <f t="shared" si="89"/>
        <v>6885</v>
      </c>
      <c r="E1116" s="1816">
        <f t="shared" si="90"/>
        <v>5875</v>
      </c>
      <c r="F1116" s="1816">
        <f t="shared" si="91"/>
        <v>6885</v>
      </c>
      <c r="G1116" s="1816">
        <f t="shared" si="92"/>
        <v>6001</v>
      </c>
    </row>
    <row r="1117" spans="1:7" ht="15.75">
      <c r="A1117" s="1961">
        <f t="shared" si="93"/>
        <v>52675</v>
      </c>
      <c r="B1117" s="1815">
        <v>52650</v>
      </c>
      <c r="C1117" s="1815">
        <v>52700</v>
      </c>
      <c r="D1117" s="1816">
        <f t="shared" si="89"/>
        <v>6896</v>
      </c>
      <c r="E1117" s="1816">
        <f t="shared" si="90"/>
        <v>5881</v>
      </c>
      <c r="F1117" s="1816">
        <f t="shared" si="91"/>
        <v>6896</v>
      </c>
      <c r="G1117" s="1816">
        <f t="shared" si="92"/>
        <v>6007</v>
      </c>
    </row>
    <row r="1118" spans="1:7" ht="15.75">
      <c r="A1118" s="1961">
        <f t="shared" si="93"/>
        <v>52725</v>
      </c>
      <c r="B1118" s="1815">
        <v>52700</v>
      </c>
      <c r="C1118" s="1815">
        <v>52750</v>
      </c>
      <c r="D1118" s="1816">
        <f t="shared" si="89"/>
        <v>6907</v>
      </c>
      <c r="E1118" s="1816">
        <f t="shared" si="90"/>
        <v>5887</v>
      </c>
      <c r="F1118" s="1816">
        <f t="shared" si="91"/>
        <v>6907</v>
      </c>
      <c r="G1118" s="1816">
        <f t="shared" si="92"/>
        <v>6013</v>
      </c>
    </row>
    <row r="1119" spans="1:7" ht="15.75">
      <c r="A1119" s="1961">
        <f t="shared" si="93"/>
        <v>52775</v>
      </c>
      <c r="B1119" s="1815">
        <v>52750</v>
      </c>
      <c r="C1119" s="1815">
        <v>52800</v>
      </c>
      <c r="D1119" s="1816">
        <f t="shared" si="89"/>
        <v>6918</v>
      </c>
      <c r="E1119" s="1816">
        <f t="shared" si="90"/>
        <v>5893</v>
      </c>
      <c r="F1119" s="1816">
        <f t="shared" si="91"/>
        <v>6918</v>
      </c>
      <c r="G1119" s="1816">
        <f t="shared" si="92"/>
        <v>6019</v>
      </c>
    </row>
    <row r="1120" spans="1:7" ht="15.75">
      <c r="A1120" s="1961">
        <f t="shared" si="93"/>
        <v>52825</v>
      </c>
      <c r="B1120" s="1815">
        <v>52800</v>
      </c>
      <c r="C1120" s="1815">
        <v>52850</v>
      </c>
      <c r="D1120" s="1816">
        <f t="shared" si="89"/>
        <v>6929</v>
      </c>
      <c r="E1120" s="1816">
        <f t="shared" si="90"/>
        <v>5899</v>
      </c>
      <c r="F1120" s="1816">
        <f t="shared" si="91"/>
        <v>6929</v>
      </c>
      <c r="G1120" s="1816">
        <f t="shared" si="92"/>
        <v>6025</v>
      </c>
    </row>
    <row r="1121" spans="1:7" ht="15.75">
      <c r="A1121" s="1961">
        <f t="shared" si="93"/>
        <v>52875</v>
      </c>
      <c r="B1121" s="1815">
        <v>52850</v>
      </c>
      <c r="C1121" s="1815">
        <v>52900</v>
      </c>
      <c r="D1121" s="1816">
        <f t="shared" si="89"/>
        <v>6940</v>
      </c>
      <c r="E1121" s="1816">
        <f t="shared" si="90"/>
        <v>5905</v>
      </c>
      <c r="F1121" s="1816">
        <f t="shared" si="91"/>
        <v>6940</v>
      </c>
      <c r="G1121" s="1816">
        <f t="shared" si="92"/>
        <v>6031</v>
      </c>
    </row>
    <row r="1122" spans="1:7" ht="15.75">
      <c r="A1122" s="1961">
        <f t="shared" si="93"/>
        <v>52925</v>
      </c>
      <c r="B1122" s="1815">
        <v>52900</v>
      </c>
      <c r="C1122" s="1815">
        <v>52950</v>
      </c>
      <c r="D1122" s="1816">
        <f t="shared" si="89"/>
        <v>6951</v>
      </c>
      <c r="E1122" s="1816">
        <f t="shared" si="90"/>
        <v>5911</v>
      </c>
      <c r="F1122" s="1816">
        <f t="shared" si="91"/>
        <v>6951</v>
      </c>
      <c r="G1122" s="1816">
        <f t="shared" si="92"/>
        <v>6037</v>
      </c>
    </row>
    <row r="1123" spans="1:7" ht="15.75">
      <c r="A1123" s="1961">
        <f t="shared" si="93"/>
        <v>52975</v>
      </c>
      <c r="B1123" s="1815">
        <v>52950</v>
      </c>
      <c r="C1123" s="1815">
        <v>53000</v>
      </c>
      <c r="D1123" s="1816">
        <f t="shared" si="89"/>
        <v>6962</v>
      </c>
      <c r="E1123" s="1816">
        <f t="shared" si="90"/>
        <v>5917</v>
      </c>
      <c r="F1123" s="1816">
        <f t="shared" si="91"/>
        <v>6962</v>
      </c>
      <c r="G1123" s="1816">
        <f t="shared" si="92"/>
        <v>6043</v>
      </c>
    </row>
    <row r="1124" spans="1:7" ht="15.75">
      <c r="A1124" s="1961">
        <f t="shared" si="93"/>
        <v>53025</v>
      </c>
      <c r="B1124" s="1815">
        <v>53000</v>
      </c>
      <c r="C1124" s="1815">
        <v>53050</v>
      </c>
      <c r="D1124" s="1816">
        <f t="shared" si="89"/>
        <v>6973</v>
      </c>
      <c r="E1124" s="1816">
        <f t="shared" si="90"/>
        <v>5923</v>
      </c>
      <c r="F1124" s="1816">
        <f t="shared" si="91"/>
        <v>6973</v>
      </c>
      <c r="G1124" s="1816">
        <f t="shared" si="92"/>
        <v>6049</v>
      </c>
    </row>
    <row r="1125" spans="1:7" ht="15.75">
      <c r="A1125" s="1961">
        <f t="shared" si="93"/>
        <v>53075</v>
      </c>
      <c r="B1125" s="1815">
        <v>53050</v>
      </c>
      <c r="C1125" s="1815">
        <v>53100</v>
      </c>
      <c r="D1125" s="1816">
        <f t="shared" si="89"/>
        <v>6984</v>
      </c>
      <c r="E1125" s="1816">
        <f t="shared" si="90"/>
        <v>5929</v>
      </c>
      <c r="F1125" s="1816">
        <f t="shared" si="91"/>
        <v>6984</v>
      </c>
      <c r="G1125" s="1816">
        <f t="shared" si="92"/>
        <v>6055</v>
      </c>
    </row>
    <row r="1126" spans="1:7" ht="15.75">
      <c r="A1126" s="1961">
        <f t="shared" si="93"/>
        <v>53125</v>
      </c>
      <c r="B1126" s="1815">
        <v>53100</v>
      </c>
      <c r="C1126" s="1815">
        <v>53150</v>
      </c>
      <c r="D1126" s="1816">
        <f t="shared" si="89"/>
        <v>6995</v>
      </c>
      <c r="E1126" s="1816">
        <f t="shared" si="90"/>
        <v>5935</v>
      </c>
      <c r="F1126" s="1816">
        <f t="shared" si="91"/>
        <v>6995</v>
      </c>
      <c r="G1126" s="1816">
        <f t="shared" si="92"/>
        <v>6061</v>
      </c>
    </row>
    <row r="1127" spans="1:7" ht="15.75">
      <c r="A1127" s="1961">
        <f t="shared" si="93"/>
        <v>53175</v>
      </c>
      <c r="B1127" s="1815">
        <v>53150</v>
      </c>
      <c r="C1127" s="1815">
        <v>53200</v>
      </c>
      <c r="D1127" s="1816">
        <f t="shared" si="89"/>
        <v>7006</v>
      </c>
      <c r="E1127" s="1816">
        <f t="shared" si="90"/>
        <v>5941</v>
      </c>
      <c r="F1127" s="1816">
        <f t="shared" si="91"/>
        <v>7006</v>
      </c>
      <c r="G1127" s="1816">
        <f t="shared" si="92"/>
        <v>6067</v>
      </c>
    </row>
    <row r="1128" spans="1:7" ht="15.75">
      <c r="A1128" s="1961">
        <f t="shared" si="93"/>
        <v>53225</v>
      </c>
      <c r="B1128" s="1815">
        <v>53200</v>
      </c>
      <c r="C1128" s="1815">
        <v>53250</v>
      </c>
      <c r="D1128" s="1816">
        <f t="shared" si="89"/>
        <v>7017</v>
      </c>
      <c r="E1128" s="1816">
        <f t="shared" si="90"/>
        <v>5947</v>
      </c>
      <c r="F1128" s="1816">
        <f t="shared" si="91"/>
        <v>7017</v>
      </c>
      <c r="G1128" s="1816">
        <f t="shared" si="92"/>
        <v>6073</v>
      </c>
    </row>
    <row r="1129" spans="1:7" ht="15.75">
      <c r="A1129" s="1961">
        <f t="shared" si="93"/>
        <v>53275</v>
      </c>
      <c r="B1129" s="1815">
        <v>53250</v>
      </c>
      <c r="C1129" s="1815">
        <v>53300</v>
      </c>
      <c r="D1129" s="1816">
        <f t="shared" si="89"/>
        <v>7028</v>
      </c>
      <c r="E1129" s="1816">
        <f t="shared" si="90"/>
        <v>5953</v>
      </c>
      <c r="F1129" s="1816">
        <f t="shared" si="91"/>
        <v>7028</v>
      </c>
      <c r="G1129" s="1816">
        <f t="shared" si="92"/>
        <v>6079</v>
      </c>
    </row>
    <row r="1130" spans="1:7" ht="15.75">
      <c r="A1130" s="1961">
        <f t="shared" si="93"/>
        <v>53325</v>
      </c>
      <c r="B1130" s="1815">
        <v>53300</v>
      </c>
      <c r="C1130" s="1815">
        <v>53350</v>
      </c>
      <c r="D1130" s="1816">
        <f t="shared" si="89"/>
        <v>7039</v>
      </c>
      <c r="E1130" s="1816">
        <f t="shared" si="90"/>
        <v>5959</v>
      </c>
      <c r="F1130" s="1816">
        <f t="shared" si="91"/>
        <v>7039</v>
      </c>
      <c r="G1130" s="1816">
        <f t="shared" si="92"/>
        <v>6085</v>
      </c>
    </row>
    <row r="1131" spans="1:7" ht="15.75">
      <c r="A1131" s="1961">
        <f t="shared" si="93"/>
        <v>53375</v>
      </c>
      <c r="B1131" s="1815">
        <v>53350</v>
      </c>
      <c r="C1131" s="1815">
        <v>53400</v>
      </c>
      <c r="D1131" s="1816">
        <f t="shared" si="89"/>
        <v>7050</v>
      </c>
      <c r="E1131" s="1816">
        <f t="shared" si="90"/>
        <v>5965</v>
      </c>
      <c r="F1131" s="1816">
        <f t="shared" si="91"/>
        <v>7050</v>
      </c>
      <c r="G1131" s="1816">
        <f t="shared" si="92"/>
        <v>6091</v>
      </c>
    </row>
    <row r="1132" spans="1:7" ht="15.75">
      <c r="A1132" s="1961">
        <f t="shared" si="93"/>
        <v>53425</v>
      </c>
      <c r="B1132" s="1815">
        <v>53400</v>
      </c>
      <c r="C1132" s="1815">
        <v>53450</v>
      </c>
      <c r="D1132" s="1816">
        <f t="shared" si="89"/>
        <v>7061</v>
      </c>
      <c r="E1132" s="1816">
        <f t="shared" si="90"/>
        <v>5971</v>
      </c>
      <c r="F1132" s="1816">
        <f t="shared" si="91"/>
        <v>7061</v>
      </c>
      <c r="G1132" s="1816">
        <f t="shared" si="92"/>
        <v>6097</v>
      </c>
    </row>
    <row r="1133" spans="1:7" ht="15.75">
      <c r="A1133" s="1961">
        <f t="shared" si="93"/>
        <v>53475</v>
      </c>
      <c r="B1133" s="1815">
        <v>53450</v>
      </c>
      <c r="C1133" s="1815">
        <v>53500</v>
      </c>
      <c r="D1133" s="1816">
        <f t="shared" si="89"/>
        <v>7072</v>
      </c>
      <c r="E1133" s="1816">
        <f t="shared" si="90"/>
        <v>5977</v>
      </c>
      <c r="F1133" s="1816">
        <f t="shared" si="91"/>
        <v>7072</v>
      </c>
      <c r="G1133" s="1816">
        <f t="shared" si="92"/>
        <v>6103</v>
      </c>
    </row>
    <row r="1134" spans="1:7" ht="15.75">
      <c r="A1134" s="1961">
        <f t="shared" si="93"/>
        <v>53525</v>
      </c>
      <c r="B1134" s="1815">
        <v>53500</v>
      </c>
      <c r="C1134" s="1815">
        <v>53550</v>
      </c>
      <c r="D1134" s="1816">
        <f t="shared" si="89"/>
        <v>7083</v>
      </c>
      <c r="E1134" s="1816">
        <f t="shared" si="90"/>
        <v>5983</v>
      </c>
      <c r="F1134" s="1816">
        <f t="shared" si="91"/>
        <v>7083</v>
      </c>
      <c r="G1134" s="1816">
        <f t="shared" si="92"/>
        <v>6109</v>
      </c>
    </row>
    <row r="1135" spans="1:7" ht="15.75">
      <c r="A1135" s="1961">
        <f t="shared" si="93"/>
        <v>53575</v>
      </c>
      <c r="B1135" s="1815">
        <v>53550</v>
      </c>
      <c r="C1135" s="1815">
        <v>53600</v>
      </c>
      <c r="D1135" s="1816">
        <f t="shared" si="89"/>
        <v>7094</v>
      </c>
      <c r="E1135" s="1816">
        <f t="shared" si="90"/>
        <v>5989</v>
      </c>
      <c r="F1135" s="1816">
        <f t="shared" si="91"/>
        <v>7094</v>
      </c>
      <c r="G1135" s="1816">
        <f t="shared" si="92"/>
        <v>6115</v>
      </c>
    </row>
    <row r="1136" spans="1:7" ht="15.75">
      <c r="A1136" s="1961">
        <f t="shared" si="93"/>
        <v>53625</v>
      </c>
      <c r="B1136" s="1815">
        <v>53600</v>
      </c>
      <c r="C1136" s="1815">
        <v>53650</v>
      </c>
      <c r="D1136" s="1816">
        <f t="shared" si="89"/>
        <v>7105</v>
      </c>
      <c r="E1136" s="1816">
        <f t="shared" si="90"/>
        <v>5995</v>
      </c>
      <c r="F1136" s="1816">
        <f t="shared" si="91"/>
        <v>7105</v>
      </c>
      <c r="G1136" s="1816">
        <f t="shared" si="92"/>
        <v>6121</v>
      </c>
    </row>
    <row r="1137" spans="1:7" ht="15.75">
      <c r="A1137" s="1961">
        <f t="shared" si="93"/>
        <v>53675</v>
      </c>
      <c r="B1137" s="1815">
        <v>53650</v>
      </c>
      <c r="C1137" s="1815">
        <v>53700</v>
      </c>
      <c r="D1137" s="1816">
        <f t="shared" si="89"/>
        <v>7116</v>
      </c>
      <c r="E1137" s="1816">
        <f t="shared" si="90"/>
        <v>6001</v>
      </c>
      <c r="F1137" s="1816">
        <f t="shared" si="91"/>
        <v>7116</v>
      </c>
      <c r="G1137" s="1816">
        <f t="shared" si="92"/>
        <v>6127</v>
      </c>
    </row>
    <row r="1138" spans="1:7" ht="15.75">
      <c r="A1138" s="1961">
        <f t="shared" si="93"/>
        <v>53725</v>
      </c>
      <c r="B1138" s="1815">
        <v>53700</v>
      </c>
      <c r="C1138" s="1815">
        <v>53750</v>
      </c>
      <c r="D1138" s="1816">
        <f t="shared" si="89"/>
        <v>7127</v>
      </c>
      <c r="E1138" s="1816">
        <f t="shared" si="90"/>
        <v>6007</v>
      </c>
      <c r="F1138" s="1816">
        <f t="shared" si="91"/>
        <v>7127</v>
      </c>
      <c r="G1138" s="1816">
        <f t="shared" si="92"/>
        <v>6133</v>
      </c>
    </row>
    <row r="1139" spans="1:7" ht="15.75">
      <c r="A1139" s="1961">
        <f t="shared" si="93"/>
        <v>53775</v>
      </c>
      <c r="B1139" s="1815">
        <v>53750</v>
      </c>
      <c r="C1139" s="1815">
        <v>53800</v>
      </c>
      <c r="D1139" s="1816">
        <f t="shared" si="89"/>
        <v>7138</v>
      </c>
      <c r="E1139" s="1816">
        <f t="shared" si="90"/>
        <v>6013</v>
      </c>
      <c r="F1139" s="1816">
        <f t="shared" si="91"/>
        <v>7138</v>
      </c>
      <c r="G1139" s="1816">
        <f t="shared" si="92"/>
        <v>6139</v>
      </c>
    </row>
    <row r="1140" spans="1:7" ht="15.75">
      <c r="A1140" s="1961">
        <f t="shared" si="93"/>
        <v>53825</v>
      </c>
      <c r="B1140" s="1815">
        <v>53800</v>
      </c>
      <c r="C1140" s="1815">
        <v>53850</v>
      </c>
      <c r="D1140" s="1816">
        <f t="shared" si="89"/>
        <v>7149</v>
      </c>
      <c r="E1140" s="1816">
        <f t="shared" si="90"/>
        <v>6019</v>
      </c>
      <c r="F1140" s="1816">
        <f t="shared" si="91"/>
        <v>7149</v>
      </c>
      <c r="G1140" s="1816">
        <f t="shared" si="92"/>
        <v>6145</v>
      </c>
    </row>
    <row r="1141" spans="1:7" ht="15.75">
      <c r="A1141" s="1961">
        <f t="shared" si="93"/>
        <v>53875</v>
      </c>
      <c r="B1141" s="1815">
        <v>53850</v>
      </c>
      <c r="C1141" s="1815">
        <v>53900</v>
      </c>
      <c r="D1141" s="1816">
        <f t="shared" si="89"/>
        <v>7160</v>
      </c>
      <c r="E1141" s="1816">
        <f t="shared" si="90"/>
        <v>6025</v>
      </c>
      <c r="F1141" s="1816">
        <f t="shared" si="91"/>
        <v>7160</v>
      </c>
      <c r="G1141" s="1816">
        <f t="shared" si="92"/>
        <v>6151</v>
      </c>
    </row>
    <row r="1142" spans="1:7" ht="15.75">
      <c r="A1142" s="1961">
        <f t="shared" si="93"/>
        <v>53925</v>
      </c>
      <c r="B1142" s="1815">
        <v>53900</v>
      </c>
      <c r="C1142" s="1815">
        <v>53950</v>
      </c>
      <c r="D1142" s="1816">
        <f t="shared" si="89"/>
        <v>7171</v>
      </c>
      <c r="E1142" s="1816">
        <f t="shared" si="90"/>
        <v>6031</v>
      </c>
      <c r="F1142" s="1816">
        <f t="shared" si="91"/>
        <v>7171</v>
      </c>
      <c r="G1142" s="1816">
        <f t="shared" si="92"/>
        <v>6157</v>
      </c>
    </row>
    <row r="1143" spans="1:7" ht="15.75">
      <c r="A1143" s="1961">
        <f t="shared" si="93"/>
        <v>53975</v>
      </c>
      <c r="B1143" s="1815">
        <v>53950</v>
      </c>
      <c r="C1143" s="1815">
        <v>54000</v>
      </c>
      <c r="D1143" s="1816">
        <f t="shared" si="89"/>
        <v>7182</v>
      </c>
      <c r="E1143" s="1816">
        <f t="shared" si="90"/>
        <v>6037</v>
      </c>
      <c r="F1143" s="1816">
        <f t="shared" si="91"/>
        <v>7182</v>
      </c>
      <c r="G1143" s="1816">
        <f t="shared" si="92"/>
        <v>6163</v>
      </c>
    </row>
    <row r="1144" spans="1:7" ht="15.75">
      <c r="A1144" s="1961">
        <f t="shared" si="93"/>
        <v>54025</v>
      </c>
      <c r="B1144" s="1815">
        <v>54000</v>
      </c>
      <c r="C1144" s="1815">
        <v>54050</v>
      </c>
      <c r="D1144" s="1816">
        <f t="shared" si="89"/>
        <v>7193</v>
      </c>
      <c r="E1144" s="1816">
        <f t="shared" si="90"/>
        <v>6043</v>
      </c>
      <c r="F1144" s="1816">
        <f t="shared" si="91"/>
        <v>7193</v>
      </c>
      <c r="G1144" s="1816">
        <f t="shared" si="92"/>
        <v>6169</v>
      </c>
    </row>
    <row r="1145" spans="1:7" ht="15.75">
      <c r="A1145" s="1961">
        <f t="shared" si="93"/>
        <v>54075</v>
      </c>
      <c r="B1145" s="1815">
        <v>54050</v>
      </c>
      <c r="C1145" s="1815">
        <v>54100</v>
      </c>
      <c r="D1145" s="1816">
        <f t="shared" si="89"/>
        <v>7204</v>
      </c>
      <c r="E1145" s="1816">
        <f t="shared" si="90"/>
        <v>6049</v>
      </c>
      <c r="F1145" s="1816">
        <f t="shared" si="91"/>
        <v>7204</v>
      </c>
      <c r="G1145" s="1816">
        <f t="shared" si="92"/>
        <v>6175</v>
      </c>
    </row>
    <row r="1146" spans="1:7" ht="15.75">
      <c r="A1146" s="1961">
        <f t="shared" si="93"/>
        <v>54125</v>
      </c>
      <c r="B1146" s="1815">
        <v>54100</v>
      </c>
      <c r="C1146" s="1815">
        <v>54150</v>
      </c>
      <c r="D1146" s="1816">
        <f t="shared" si="89"/>
        <v>7215</v>
      </c>
      <c r="E1146" s="1816">
        <f t="shared" si="90"/>
        <v>6055</v>
      </c>
      <c r="F1146" s="1816">
        <f t="shared" si="91"/>
        <v>7215</v>
      </c>
      <c r="G1146" s="1816">
        <f t="shared" si="92"/>
        <v>6181</v>
      </c>
    </row>
    <row r="1147" spans="1:7" ht="15.75">
      <c r="A1147" s="1961">
        <f t="shared" si="93"/>
        <v>54175</v>
      </c>
      <c r="B1147" s="1815">
        <v>54150</v>
      </c>
      <c r="C1147" s="1815">
        <v>54200</v>
      </c>
      <c r="D1147" s="1816">
        <f t="shared" si="89"/>
        <v>7226</v>
      </c>
      <c r="E1147" s="1816">
        <f t="shared" si="90"/>
        <v>6061</v>
      </c>
      <c r="F1147" s="1816">
        <f t="shared" si="91"/>
        <v>7226</v>
      </c>
      <c r="G1147" s="1816">
        <f t="shared" si="92"/>
        <v>6187</v>
      </c>
    </row>
    <row r="1148" spans="1:7" ht="15.75">
      <c r="A1148" s="1961">
        <f t="shared" si="93"/>
        <v>54225</v>
      </c>
      <c r="B1148" s="1815">
        <v>54200</v>
      </c>
      <c r="C1148" s="1815">
        <v>54250</v>
      </c>
      <c r="D1148" s="1816">
        <f t="shared" si="89"/>
        <v>7237</v>
      </c>
      <c r="E1148" s="1816">
        <f t="shared" si="90"/>
        <v>6067</v>
      </c>
      <c r="F1148" s="1816">
        <f t="shared" si="91"/>
        <v>7237</v>
      </c>
      <c r="G1148" s="1816">
        <f t="shared" si="92"/>
        <v>6193</v>
      </c>
    </row>
    <row r="1149" spans="1:7" ht="15.75">
      <c r="A1149" s="1961">
        <f t="shared" si="93"/>
        <v>54275</v>
      </c>
      <c r="B1149" s="1815">
        <v>54250</v>
      </c>
      <c r="C1149" s="1815">
        <v>54300</v>
      </c>
      <c r="D1149" s="1816">
        <f t="shared" si="89"/>
        <v>7248</v>
      </c>
      <c r="E1149" s="1816">
        <f t="shared" si="90"/>
        <v>6073</v>
      </c>
      <c r="F1149" s="1816">
        <f t="shared" si="91"/>
        <v>7248</v>
      </c>
      <c r="G1149" s="1816">
        <f t="shared" si="92"/>
        <v>6199</v>
      </c>
    </row>
    <row r="1150" spans="1:7" ht="15.75">
      <c r="A1150" s="1961">
        <f t="shared" si="93"/>
        <v>54325</v>
      </c>
      <c r="B1150" s="1815">
        <v>54300</v>
      </c>
      <c r="C1150" s="1815">
        <v>54350</v>
      </c>
      <c r="D1150" s="1816">
        <f t="shared" si="89"/>
        <v>7259</v>
      </c>
      <c r="E1150" s="1816">
        <f t="shared" si="90"/>
        <v>6079</v>
      </c>
      <c r="F1150" s="1816">
        <f t="shared" si="91"/>
        <v>7259</v>
      </c>
      <c r="G1150" s="1816">
        <f t="shared" si="92"/>
        <v>6205</v>
      </c>
    </row>
    <row r="1151" spans="1:7" ht="15.75">
      <c r="A1151" s="1961">
        <f t="shared" si="93"/>
        <v>54375</v>
      </c>
      <c r="B1151" s="1815">
        <v>54350</v>
      </c>
      <c r="C1151" s="1815">
        <v>54400</v>
      </c>
      <c r="D1151" s="1816">
        <f t="shared" si="89"/>
        <v>7270</v>
      </c>
      <c r="E1151" s="1816">
        <f t="shared" si="90"/>
        <v>6085</v>
      </c>
      <c r="F1151" s="1816">
        <f t="shared" si="91"/>
        <v>7270</v>
      </c>
      <c r="G1151" s="1816">
        <f t="shared" si="92"/>
        <v>6211</v>
      </c>
    </row>
    <row r="1152" spans="1:7" ht="15.75">
      <c r="A1152" s="1961">
        <f t="shared" si="93"/>
        <v>54425</v>
      </c>
      <c r="B1152" s="1815">
        <v>54400</v>
      </c>
      <c r="C1152" s="1815">
        <v>54450</v>
      </c>
      <c r="D1152" s="1816">
        <f t="shared" si="89"/>
        <v>7281</v>
      </c>
      <c r="E1152" s="1816">
        <f t="shared" si="90"/>
        <v>6091</v>
      </c>
      <c r="F1152" s="1816">
        <f t="shared" si="91"/>
        <v>7281</v>
      </c>
      <c r="G1152" s="1816">
        <f t="shared" si="92"/>
        <v>6217</v>
      </c>
    </row>
    <row r="1153" spans="1:7" ht="15.75">
      <c r="A1153" s="1961">
        <f t="shared" si="93"/>
        <v>54475</v>
      </c>
      <c r="B1153" s="1815">
        <v>54450</v>
      </c>
      <c r="C1153" s="1815">
        <v>54500</v>
      </c>
      <c r="D1153" s="1816">
        <f t="shared" si="89"/>
        <v>7292</v>
      </c>
      <c r="E1153" s="1816">
        <f t="shared" si="90"/>
        <v>6097</v>
      </c>
      <c r="F1153" s="1816">
        <f t="shared" si="91"/>
        <v>7292</v>
      </c>
      <c r="G1153" s="1816">
        <f t="shared" si="92"/>
        <v>6223</v>
      </c>
    </row>
    <row r="1154" spans="1:7" ht="15.75">
      <c r="A1154" s="1961">
        <f t="shared" si="93"/>
        <v>54525</v>
      </c>
      <c r="B1154" s="1815">
        <v>54500</v>
      </c>
      <c r="C1154" s="1815">
        <v>54550</v>
      </c>
      <c r="D1154" s="1816">
        <f t="shared" ref="D1154:D1217" si="94">IF($A1154&gt;BOTT_A4,ROUND(BASE_A4+RATE_A4*($A1154-BOTT_A4),0),IF($A1154&gt;BOTT_A3,ROUND(BASE_A3+RATE_A3*($A1154-BOTT_A3),0),IF($A1154&gt;BOTT_A2,ROUND(BASE_A2+RATE_A2*($A1154-BOTT_A2),0),ROUND(RATE_A1*$A1154,0))))</f>
        <v>7303</v>
      </c>
      <c r="E1154" s="1816">
        <f t="shared" ref="E1154:E1217" si="95">IF($A1154&gt;BOTT_B4,ROUND(BASE_B4+RATE_B4*($A1154-BOTT_B4),0),IF($A1154&gt;BOTT_B3,ROUND(BASE_B3+RATE_B3*($A1154-BOTT_B3),0),IF($A1154&gt;BOTT_B2,ROUND(BASE_B2+RATE_B2*($A1154-BOTT_B2),0),ROUND(RATE_B1*$A1154,0))))</f>
        <v>6103</v>
      </c>
      <c r="F1154" s="1816">
        <f t="shared" ref="F1154:F1217" si="96">IF($A1154&gt;BOTT_C4,ROUND(BASE_C4+RATE_C4*($A1154-BOTT_C4),0),IF($A1154&gt;BOTT_C3,ROUND(BASE_C3+RATE_C3*($A1154-BOTT_C3),0),IF($A1154&gt;BOTT_C2,ROUND(BASE_C2+RATE_C2*($A1154-BOTT_C2),0),ROUND(RATE_C1*$A1154,0))))</f>
        <v>7303</v>
      </c>
      <c r="G1154" s="1816">
        <f t="shared" ref="G1154:G1217" si="97">IF($A1154&gt;BOTT_D4,ROUND(BASE_D4+RATE_D4*($A1154-BOTT_D4),0),IF($A1154&gt;BOTT_D3,ROUND(BASE_D3+RATE_D3*($A1154-BOTT_D3),0),IF($A1154&gt;BOTT_D2,ROUND(BASE_D2+RATE_D2*($A1154-BOTT_D2),0),ROUND(RATE_D1*$A1154,0))))</f>
        <v>6229</v>
      </c>
    </row>
    <row r="1155" spans="1:7" ht="15.75">
      <c r="A1155" s="1961">
        <f t="shared" ref="A1155:A1218" si="98">AVERAGE(B1155,C1155)</f>
        <v>54575</v>
      </c>
      <c r="B1155" s="1815">
        <v>54550</v>
      </c>
      <c r="C1155" s="1815">
        <v>54600</v>
      </c>
      <c r="D1155" s="1816">
        <f t="shared" si="94"/>
        <v>7314</v>
      </c>
      <c r="E1155" s="1816">
        <f t="shared" si="95"/>
        <v>6109</v>
      </c>
      <c r="F1155" s="1816">
        <f t="shared" si="96"/>
        <v>7314</v>
      </c>
      <c r="G1155" s="1816">
        <f t="shared" si="97"/>
        <v>6235</v>
      </c>
    </row>
    <row r="1156" spans="1:7" ht="15.75">
      <c r="A1156" s="1961">
        <f t="shared" si="98"/>
        <v>54625</v>
      </c>
      <c r="B1156" s="1815">
        <v>54600</v>
      </c>
      <c r="C1156" s="1815">
        <v>54650</v>
      </c>
      <c r="D1156" s="1816">
        <f t="shared" si="94"/>
        <v>7325</v>
      </c>
      <c r="E1156" s="1816">
        <f t="shared" si="95"/>
        <v>6115</v>
      </c>
      <c r="F1156" s="1816">
        <f t="shared" si="96"/>
        <v>7325</v>
      </c>
      <c r="G1156" s="1816">
        <f t="shared" si="97"/>
        <v>6241</v>
      </c>
    </row>
    <row r="1157" spans="1:7" ht="15.75">
      <c r="A1157" s="1961">
        <f t="shared" si="98"/>
        <v>54675</v>
      </c>
      <c r="B1157" s="1815">
        <v>54650</v>
      </c>
      <c r="C1157" s="1815">
        <v>54700</v>
      </c>
      <c r="D1157" s="1816">
        <f t="shared" si="94"/>
        <v>7336</v>
      </c>
      <c r="E1157" s="1816">
        <f t="shared" si="95"/>
        <v>6121</v>
      </c>
      <c r="F1157" s="1816">
        <f t="shared" si="96"/>
        <v>7336</v>
      </c>
      <c r="G1157" s="1816">
        <f t="shared" si="97"/>
        <v>6247</v>
      </c>
    </row>
    <row r="1158" spans="1:7" ht="15.75">
      <c r="A1158" s="1961">
        <f t="shared" si="98"/>
        <v>54725</v>
      </c>
      <c r="B1158" s="1815">
        <v>54700</v>
      </c>
      <c r="C1158" s="1815">
        <v>54750</v>
      </c>
      <c r="D1158" s="1816">
        <f t="shared" si="94"/>
        <v>7347</v>
      </c>
      <c r="E1158" s="1816">
        <f t="shared" si="95"/>
        <v>6127</v>
      </c>
      <c r="F1158" s="1816">
        <f t="shared" si="96"/>
        <v>7347</v>
      </c>
      <c r="G1158" s="1816">
        <f t="shared" si="97"/>
        <v>6253</v>
      </c>
    </row>
    <row r="1159" spans="1:7" ht="15.75">
      <c r="A1159" s="1961">
        <f t="shared" si="98"/>
        <v>54775</v>
      </c>
      <c r="B1159" s="1815">
        <v>54750</v>
      </c>
      <c r="C1159" s="1815">
        <v>54800</v>
      </c>
      <c r="D1159" s="1816">
        <f t="shared" si="94"/>
        <v>7358</v>
      </c>
      <c r="E1159" s="1816">
        <f t="shared" si="95"/>
        <v>6133</v>
      </c>
      <c r="F1159" s="1816">
        <f t="shared" si="96"/>
        <v>7358</v>
      </c>
      <c r="G1159" s="1816">
        <f t="shared" si="97"/>
        <v>6259</v>
      </c>
    </row>
    <row r="1160" spans="1:7" ht="15.75">
      <c r="A1160" s="1961">
        <f t="shared" si="98"/>
        <v>54825</v>
      </c>
      <c r="B1160" s="1815">
        <v>54800</v>
      </c>
      <c r="C1160" s="1815">
        <v>54850</v>
      </c>
      <c r="D1160" s="1816">
        <f t="shared" si="94"/>
        <v>7369</v>
      </c>
      <c r="E1160" s="1816">
        <f t="shared" si="95"/>
        <v>6139</v>
      </c>
      <c r="F1160" s="1816">
        <f t="shared" si="96"/>
        <v>7369</v>
      </c>
      <c r="G1160" s="1816">
        <f t="shared" si="97"/>
        <v>6265</v>
      </c>
    </row>
    <row r="1161" spans="1:7" ht="15.75">
      <c r="A1161" s="1961">
        <f t="shared" si="98"/>
        <v>54875</v>
      </c>
      <c r="B1161" s="1815">
        <v>54850</v>
      </c>
      <c r="C1161" s="1815">
        <v>54900</v>
      </c>
      <c r="D1161" s="1816">
        <f t="shared" si="94"/>
        <v>7380</v>
      </c>
      <c r="E1161" s="1816">
        <f t="shared" si="95"/>
        <v>6145</v>
      </c>
      <c r="F1161" s="1816">
        <f t="shared" si="96"/>
        <v>7380</v>
      </c>
      <c r="G1161" s="1816">
        <f t="shared" si="97"/>
        <v>6271</v>
      </c>
    </row>
    <row r="1162" spans="1:7" ht="15.75">
      <c r="A1162" s="1961">
        <f t="shared" si="98"/>
        <v>54925</v>
      </c>
      <c r="B1162" s="1815">
        <v>54900</v>
      </c>
      <c r="C1162" s="1815">
        <v>54950</v>
      </c>
      <c r="D1162" s="1816">
        <f t="shared" si="94"/>
        <v>7391</v>
      </c>
      <c r="E1162" s="1816">
        <f t="shared" si="95"/>
        <v>6151</v>
      </c>
      <c r="F1162" s="1816">
        <f t="shared" si="96"/>
        <v>7391</v>
      </c>
      <c r="G1162" s="1816">
        <f t="shared" si="97"/>
        <v>6277</v>
      </c>
    </row>
    <row r="1163" spans="1:7" ht="15.75">
      <c r="A1163" s="1961">
        <f t="shared" si="98"/>
        <v>54975</v>
      </c>
      <c r="B1163" s="1815">
        <v>54950</v>
      </c>
      <c r="C1163" s="1815">
        <v>55000</v>
      </c>
      <c r="D1163" s="1816">
        <f t="shared" si="94"/>
        <v>7402</v>
      </c>
      <c r="E1163" s="1816">
        <f t="shared" si="95"/>
        <v>6157</v>
      </c>
      <c r="F1163" s="1816">
        <f t="shared" si="96"/>
        <v>7402</v>
      </c>
      <c r="G1163" s="1816">
        <f t="shared" si="97"/>
        <v>6283</v>
      </c>
    </row>
    <row r="1164" spans="1:7" ht="15.75">
      <c r="A1164" s="1961">
        <f t="shared" si="98"/>
        <v>55025</v>
      </c>
      <c r="B1164" s="1815">
        <v>55000</v>
      </c>
      <c r="C1164" s="1815">
        <v>55050</v>
      </c>
      <c r="D1164" s="1816">
        <f t="shared" si="94"/>
        <v>7413</v>
      </c>
      <c r="E1164" s="1816">
        <f t="shared" si="95"/>
        <v>6163</v>
      </c>
      <c r="F1164" s="1816">
        <f t="shared" si="96"/>
        <v>7413</v>
      </c>
      <c r="G1164" s="1816">
        <f t="shared" si="97"/>
        <v>6289</v>
      </c>
    </row>
    <row r="1165" spans="1:7" ht="15.75">
      <c r="A1165" s="1961">
        <f t="shared" si="98"/>
        <v>55075</v>
      </c>
      <c r="B1165" s="1815">
        <v>55050</v>
      </c>
      <c r="C1165" s="1815">
        <v>55100</v>
      </c>
      <c r="D1165" s="1816">
        <f t="shared" si="94"/>
        <v>7424</v>
      </c>
      <c r="E1165" s="1816">
        <f t="shared" si="95"/>
        <v>6169</v>
      </c>
      <c r="F1165" s="1816">
        <f t="shared" si="96"/>
        <v>7424</v>
      </c>
      <c r="G1165" s="1816">
        <f t="shared" si="97"/>
        <v>6295</v>
      </c>
    </row>
    <row r="1166" spans="1:7" ht="15.75">
      <c r="A1166" s="1961">
        <f t="shared" si="98"/>
        <v>55125</v>
      </c>
      <c r="B1166" s="1815">
        <v>55100</v>
      </c>
      <c r="C1166" s="1815">
        <v>55150</v>
      </c>
      <c r="D1166" s="1816">
        <f t="shared" si="94"/>
        <v>7435</v>
      </c>
      <c r="E1166" s="1816">
        <f t="shared" si="95"/>
        <v>6175</v>
      </c>
      <c r="F1166" s="1816">
        <f t="shared" si="96"/>
        <v>7435</v>
      </c>
      <c r="G1166" s="1816">
        <f t="shared" si="97"/>
        <v>6301</v>
      </c>
    </row>
    <row r="1167" spans="1:7" ht="15.75">
      <c r="A1167" s="1961">
        <f t="shared" si="98"/>
        <v>55175</v>
      </c>
      <c r="B1167" s="1815">
        <v>55150</v>
      </c>
      <c r="C1167" s="1815">
        <v>55200</v>
      </c>
      <c r="D1167" s="1816">
        <f t="shared" si="94"/>
        <v>7446</v>
      </c>
      <c r="E1167" s="1816">
        <f t="shared" si="95"/>
        <v>6181</v>
      </c>
      <c r="F1167" s="1816">
        <f t="shared" si="96"/>
        <v>7446</v>
      </c>
      <c r="G1167" s="1816">
        <f t="shared" si="97"/>
        <v>6307</v>
      </c>
    </row>
    <row r="1168" spans="1:7" ht="15.75">
      <c r="A1168" s="1961">
        <f t="shared" si="98"/>
        <v>55225</v>
      </c>
      <c r="B1168" s="1815">
        <v>55200</v>
      </c>
      <c r="C1168" s="1815">
        <v>55250</v>
      </c>
      <c r="D1168" s="1816">
        <f t="shared" si="94"/>
        <v>7457</v>
      </c>
      <c r="E1168" s="1816">
        <f t="shared" si="95"/>
        <v>6187</v>
      </c>
      <c r="F1168" s="1816">
        <f t="shared" si="96"/>
        <v>7457</v>
      </c>
      <c r="G1168" s="1816">
        <f t="shared" si="97"/>
        <v>6313</v>
      </c>
    </row>
    <row r="1169" spans="1:7" ht="15.75">
      <c r="A1169" s="1961">
        <f t="shared" si="98"/>
        <v>55275</v>
      </c>
      <c r="B1169" s="1815">
        <v>55250</v>
      </c>
      <c r="C1169" s="1815">
        <v>55300</v>
      </c>
      <c r="D1169" s="1816">
        <f t="shared" si="94"/>
        <v>7468</v>
      </c>
      <c r="E1169" s="1816">
        <f t="shared" si="95"/>
        <v>6193</v>
      </c>
      <c r="F1169" s="1816">
        <f t="shared" si="96"/>
        <v>7468</v>
      </c>
      <c r="G1169" s="1816">
        <f t="shared" si="97"/>
        <v>6319</v>
      </c>
    </row>
    <row r="1170" spans="1:7" ht="15.75">
      <c r="A1170" s="1961">
        <f t="shared" si="98"/>
        <v>55325</v>
      </c>
      <c r="B1170" s="1815">
        <v>55300</v>
      </c>
      <c r="C1170" s="1815">
        <v>55350</v>
      </c>
      <c r="D1170" s="1816">
        <f t="shared" si="94"/>
        <v>7479</v>
      </c>
      <c r="E1170" s="1816">
        <f t="shared" si="95"/>
        <v>6199</v>
      </c>
      <c r="F1170" s="1816">
        <f t="shared" si="96"/>
        <v>7479</v>
      </c>
      <c r="G1170" s="1816">
        <f t="shared" si="97"/>
        <v>6325</v>
      </c>
    </row>
    <row r="1171" spans="1:7" ht="15.75">
      <c r="A1171" s="1961">
        <f t="shared" si="98"/>
        <v>55375</v>
      </c>
      <c r="B1171" s="1815">
        <v>55350</v>
      </c>
      <c r="C1171" s="1815">
        <v>55400</v>
      </c>
      <c r="D1171" s="1816">
        <f t="shared" si="94"/>
        <v>7490</v>
      </c>
      <c r="E1171" s="1816">
        <f t="shared" si="95"/>
        <v>6205</v>
      </c>
      <c r="F1171" s="1816">
        <f t="shared" si="96"/>
        <v>7490</v>
      </c>
      <c r="G1171" s="1816">
        <f t="shared" si="97"/>
        <v>6331</v>
      </c>
    </row>
    <row r="1172" spans="1:7" ht="15.75">
      <c r="A1172" s="1961">
        <f t="shared" si="98"/>
        <v>55425</v>
      </c>
      <c r="B1172" s="1815">
        <v>55400</v>
      </c>
      <c r="C1172" s="1815">
        <v>55450</v>
      </c>
      <c r="D1172" s="1816">
        <f t="shared" si="94"/>
        <v>7501</v>
      </c>
      <c r="E1172" s="1816">
        <f t="shared" si="95"/>
        <v>6211</v>
      </c>
      <c r="F1172" s="1816">
        <f t="shared" si="96"/>
        <v>7501</v>
      </c>
      <c r="G1172" s="1816">
        <f t="shared" si="97"/>
        <v>6337</v>
      </c>
    </row>
    <row r="1173" spans="1:7" ht="15.75">
      <c r="A1173" s="1961">
        <f t="shared" si="98"/>
        <v>55475</v>
      </c>
      <c r="B1173" s="1815">
        <v>55450</v>
      </c>
      <c r="C1173" s="1815">
        <v>55500</v>
      </c>
      <c r="D1173" s="1816">
        <f t="shared" si="94"/>
        <v>7512</v>
      </c>
      <c r="E1173" s="1816">
        <f t="shared" si="95"/>
        <v>6217</v>
      </c>
      <c r="F1173" s="1816">
        <f t="shared" si="96"/>
        <v>7512</v>
      </c>
      <c r="G1173" s="1816">
        <f t="shared" si="97"/>
        <v>6343</v>
      </c>
    </row>
    <row r="1174" spans="1:7" ht="15.75">
      <c r="A1174" s="1961">
        <f t="shared" si="98"/>
        <v>55525</v>
      </c>
      <c r="B1174" s="1815">
        <v>55500</v>
      </c>
      <c r="C1174" s="1815">
        <v>55550</v>
      </c>
      <c r="D1174" s="1816">
        <f t="shared" si="94"/>
        <v>7523</v>
      </c>
      <c r="E1174" s="1816">
        <f t="shared" si="95"/>
        <v>6223</v>
      </c>
      <c r="F1174" s="1816">
        <f t="shared" si="96"/>
        <v>7523</v>
      </c>
      <c r="G1174" s="1816">
        <f t="shared" si="97"/>
        <v>6349</v>
      </c>
    </row>
    <row r="1175" spans="1:7" ht="15.75">
      <c r="A1175" s="1961">
        <f t="shared" si="98"/>
        <v>55575</v>
      </c>
      <c r="B1175" s="1815">
        <v>55550</v>
      </c>
      <c r="C1175" s="1815">
        <v>55600</v>
      </c>
      <c r="D1175" s="1816">
        <f t="shared" si="94"/>
        <v>7534</v>
      </c>
      <c r="E1175" s="1816">
        <f t="shared" si="95"/>
        <v>6229</v>
      </c>
      <c r="F1175" s="1816">
        <f t="shared" si="96"/>
        <v>7534</v>
      </c>
      <c r="G1175" s="1816">
        <f t="shared" si="97"/>
        <v>6355</v>
      </c>
    </row>
    <row r="1176" spans="1:7" ht="15.75">
      <c r="A1176" s="1961">
        <f t="shared" si="98"/>
        <v>55625</v>
      </c>
      <c r="B1176" s="1815">
        <v>55600</v>
      </c>
      <c r="C1176" s="1815">
        <v>55650</v>
      </c>
      <c r="D1176" s="1816">
        <f t="shared" si="94"/>
        <v>7545</v>
      </c>
      <c r="E1176" s="1816">
        <f t="shared" si="95"/>
        <v>6235</v>
      </c>
      <c r="F1176" s="1816">
        <f t="shared" si="96"/>
        <v>7545</v>
      </c>
      <c r="G1176" s="1816">
        <f t="shared" si="97"/>
        <v>6361</v>
      </c>
    </row>
    <row r="1177" spans="1:7" ht="15.75">
      <c r="A1177" s="1961">
        <f t="shared" si="98"/>
        <v>55675</v>
      </c>
      <c r="B1177" s="1815">
        <v>55650</v>
      </c>
      <c r="C1177" s="1815">
        <v>55700</v>
      </c>
      <c r="D1177" s="1816">
        <f t="shared" si="94"/>
        <v>7556</v>
      </c>
      <c r="E1177" s="1816">
        <f t="shared" si="95"/>
        <v>6241</v>
      </c>
      <c r="F1177" s="1816">
        <f t="shared" si="96"/>
        <v>7556</v>
      </c>
      <c r="G1177" s="1816">
        <f t="shared" si="97"/>
        <v>6367</v>
      </c>
    </row>
    <row r="1178" spans="1:7" ht="15.75">
      <c r="A1178" s="1961">
        <f t="shared" si="98"/>
        <v>55725</v>
      </c>
      <c r="B1178" s="1815">
        <v>55700</v>
      </c>
      <c r="C1178" s="1815">
        <v>55750</v>
      </c>
      <c r="D1178" s="1816">
        <f t="shared" si="94"/>
        <v>7567</v>
      </c>
      <c r="E1178" s="1816">
        <f t="shared" si="95"/>
        <v>6247</v>
      </c>
      <c r="F1178" s="1816">
        <f t="shared" si="96"/>
        <v>7567</v>
      </c>
      <c r="G1178" s="1816">
        <f t="shared" si="97"/>
        <v>6373</v>
      </c>
    </row>
    <row r="1179" spans="1:7" ht="15.75">
      <c r="A1179" s="1961">
        <f t="shared" si="98"/>
        <v>55775</v>
      </c>
      <c r="B1179" s="1815">
        <v>55750</v>
      </c>
      <c r="C1179" s="1815">
        <v>55800</v>
      </c>
      <c r="D1179" s="1816">
        <f t="shared" si="94"/>
        <v>7578</v>
      </c>
      <c r="E1179" s="1816">
        <f t="shared" si="95"/>
        <v>6253</v>
      </c>
      <c r="F1179" s="1816">
        <f t="shared" si="96"/>
        <v>7578</v>
      </c>
      <c r="G1179" s="1816">
        <f t="shared" si="97"/>
        <v>6379</v>
      </c>
    </row>
    <row r="1180" spans="1:7" ht="15.75">
      <c r="A1180" s="1961">
        <f t="shared" si="98"/>
        <v>55825</v>
      </c>
      <c r="B1180" s="1815">
        <v>55800</v>
      </c>
      <c r="C1180" s="1815">
        <v>55850</v>
      </c>
      <c r="D1180" s="1816">
        <f t="shared" si="94"/>
        <v>7589</v>
      </c>
      <c r="E1180" s="1816">
        <f t="shared" si="95"/>
        <v>6259</v>
      </c>
      <c r="F1180" s="1816">
        <f t="shared" si="96"/>
        <v>7589</v>
      </c>
      <c r="G1180" s="1816">
        <f t="shared" si="97"/>
        <v>6385</v>
      </c>
    </row>
    <row r="1181" spans="1:7" ht="15.75">
      <c r="A1181" s="1961">
        <f t="shared" si="98"/>
        <v>55875</v>
      </c>
      <c r="B1181" s="1815">
        <v>55850</v>
      </c>
      <c r="C1181" s="1815">
        <v>55900</v>
      </c>
      <c r="D1181" s="1816">
        <f t="shared" si="94"/>
        <v>7600</v>
      </c>
      <c r="E1181" s="1816">
        <f t="shared" si="95"/>
        <v>6265</v>
      </c>
      <c r="F1181" s="1816">
        <f t="shared" si="96"/>
        <v>7600</v>
      </c>
      <c r="G1181" s="1816">
        <f t="shared" si="97"/>
        <v>6391</v>
      </c>
    </row>
    <row r="1182" spans="1:7" ht="15.75">
      <c r="A1182" s="1961">
        <f t="shared" si="98"/>
        <v>55925</v>
      </c>
      <c r="B1182" s="1815">
        <v>55900</v>
      </c>
      <c r="C1182" s="1815">
        <v>55950</v>
      </c>
      <c r="D1182" s="1816">
        <f t="shared" si="94"/>
        <v>7611</v>
      </c>
      <c r="E1182" s="1816">
        <f t="shared" si="95"/>
        <v>6271</v>
      </c>
      <c r="F1182" s="1816">
        <f t="shared" si="96"/>
        <v>7611</v>
      </c>
      <c r="G1182" s="1816">
        <f t="shared" si="97"/>
        <v>6397</v>
      </c>
    </row>
    <row r="1183" spans="1:7" ht="15.75">
      <c r="A1183" s="1961">
        <f t="shared" si="98"/>
        <v>55975</v>
      </c>
      <c r="B1183" s="1815">
        <v>55950</v>
      </c>
      <c r="C1183" s="1815">
        <v>56000</v>
      </c>
      <c r="D1183" s="1816">
        <f t="shared" si="94"/>
        <v>7622</v>
      </c>
      <c r="E1183" s="1816">
        <f t="shared" si="95"/>
        <v>6277</v>
      </c>
      <c r="F1183" s="1816">
        <f t="shared" si="96"/>
        <v>7622</v>
      </c>
      <c r="G1183" s="1816">
        <f t="shared" si="97"/>
        <v>6403</v>
      </c>
    </row>
    <row r="1184" spans="1:7" ht="15.75">
      <c r="A1184" s="1961">
        <f t="shared" si="98"/>
        <v>56025</v>
      </c>
      <c r="B1184" s="1815">
        <v>56000</v>
      </c>
      <c r="C1184" s="1815">
        <v>56050</v>
      </c>
      <c r="D1184" s="1816">
        <f t="shared" si="94"/>
        <v>7633</v>
      </c>
      <c r="E1184" s="1816">
        <f t="shared" si="95"/>
        <v>6283</v>
      </c>
      <c r="F1184" s="1816">
        <f t="shared" si="96"/>
        <v>7633</v>
      </c>
      <c r="G1184" s="1816">
        <f t="shared" si="97"/>
        <v>6409</v>
      </c>
    </row>
    <row r="1185" spans="1:7" ht="15.75">
      <c r="A1185" s="1961">
        <f t="shared" si="98"/>
        <v>56075</v>
      </c>
      <c r="B1185" s="1815">
        <v>56050</v>
      </c>
      <c r="C1185" s="1815">
        <v>56100</v>
      </c>
      <c r="D1185" s="1816">
        <f t="shared" si="94"/>
        <v>7644</v>
      </c>
      <c r="E1185" s="1816">
        <f t="shared" si="95"/>
        <v>6289</v>
      </c>
      <c r="F1185" s="1816">
        <f t="shared" si="96"/>
        <v>7644</v>
      </c>
      <c r="G1185" s="1816">
        <f t="shared" si="97"/>
        <v>6415</v>
      </c>
    </row>
    <row r="1186" spans="1:7" ht="15.75">
      <c r="A1186" s="1961">
        <f t="shared" si="98"/>
        <v>56125</v>
      </c>
      <c r="B1186" s="1815">
        <v>56100</v>
      </c>
      <c r="C1186" s="1815">
        <v>56150</v>
      </c>
      <c r="D1186" s="1816">
        <f t="shared" si="94"/>
        <v>7655</v>
      </c>
      <c r="E1186" s="1816">
        <f t="shared" si="95"/>
        <v>6295</v>
      </c>
      <c r="F1186" s="1816">
        <f t="shared" si="96"/>
        <v>7655</v>
      </c>
      <c r="G1186" s="1816">
        <f t="shared" si="97"/>
        <v>6421</v>
      </c>
    </row>
    <row r="1187" spans="1:7" ht="15.75">
      <c r="A1187" s="1961">
        <f t="shared" si="98"/>
        <v>56175</v>
      </c>
      <c r="B1187" s="1815">
        <v>56150</v>
      </c>
      <c r="C1187" s="1815">
        <v>56200</v>
      </c>
      <c r="D1187" s="1816">
        <f t="shared" si="94"/>
        <v>7666</v>
      </c>
      <c r="E1187" s="1816">
        <f t="shared" si="95"/>
        <v>6301</v>
      </c>
      <c r="F1187" s="1816">
        <f t="shared" si="96"/>
        <v>7666</v>
      </c>
      <c r="G1187" s="1816">
        <f t="shared" si="97"/>
        <v>6427</v>
      </c>
    </row>
    <row r="1188" spans="1:7" ht="15.75">
      <c r="A1188" s="1961">
        <f t="shared" si="98"/>
        <v>56225</v>
      </c>
      <c r="B1188" s="1815">
        <v>56200</v>
      </c>
      <c r="C1188" s="1815">
        <v>56250</v>
      </c>
      <c r="D1188" s="1816">
        <f t="shared" si="94"/>
        <v>7677</v>
      </c>
      <c r="E1188" s="1816">
        <f t="shared" si="95"/>
        <v>6307</v>
      </c>
      <c r="F1188" s="1816">
        <f t="shared" si="96"/>
        <v>7677</v>
      </c>
      <c r="G1188" s="1816">
        <f t="shared" si="97"/>
        <v>6433</v>
      </c>
    </row>
    <row r="1189" spans="1:7" ht="15.75">
      <c r="A1189" s="1961">
        <f t="shared" si="98"/>
        <v>56275</v>
      </c>
      <c r="B1189" s="1815">
        <v>56250</v>
      </c>
      <c r="C1189" s="1815">
        <v>56300</v>
      </c>
      <c r="D1189" s="1816">
        <f t="shared" si="94"/>
        <v>7688</v>
      </c>
      <c r="E1189" s="1816">
        <f t="shared" si="95"/>
        <v>6313</v>
      </c>
      <c r="F1189" s="1816">
        <f t="shared" si="96"/>
        <v>7688</v>
      </c>
      <c r="G1189" s="1816">
        <f t="shared" si="97"/>
        <v>6439</v>
      </c>
    </row>
    <row r="1190" spans="1:7" ht="15.75">
      <c r="A1190" s="1961">
        <f t="shared" si="98"/>
        <v>56325</v>
      </c>
      <c r="B1190" s="1815">
        <v>56300</v>
      </c>
      <c r="C1190" s="1815">
        <v>56350</v>
      </c>
      <c r="D1190" s="1816">
        <f t="shared" si="94"/>
        <v>7699</v>
      </c>
      <c r="E1190" s="1816">
        <f t="shared" si="95"/>
        <v>6319</v>
      </c>
      <c r="F1190" s="1816">
        <f t="shared" si="96"/>
        <v>7699</v>
      </c>
      <c r="G1190" s="1816">
        <f t="shared" si="97"/>
        <v>6445</v>
      </c>
    </row>
    <row r="1191" spans="1:7" ht="15.75">
      <c r="A1191" s="1961">
        <f t="shared" si="98"/>
        <v>56375</v>
      </c>
      <c r="B1191" s="1815">
        <v>56350</v>
      </c>
      <c r="C1191" s="1815">
        <v>56400</v>
      </c>
      <c r="D1191" s="1816">
        <f t="shared" si="94"/>
        <v>7710</v>
      </c>
      <c r="E1191" s="1816">
        <f t="shared" si="95"/>
        <v>6325</v>
      </c>
      <c r="F1191" s="1816">
        <f t="shared" si="96"/>
        <v>7710</v>
      </c>
      <c r="G1191" s="1816">
        <f t="shared" si="97"/>
        <v>6451</v>
      </c>
    </row>
    <row r="1192" spans="1:7" ht="15.75">
      <c r="A1192" s="1961">
        <f t="shared" si="98"/>
        <v>56425</v>
      </c>
      <c r="B1192" s="1815">
        <v>56400</v>
      </c>
      <c r="C1192" s="1815">
        <v>56450</v>
      </c>
      <c r="D1192" s="1816">
        <f t="shared" si="94"/>
        <v>7721</v>
      </c>
      <c r="E1192" s="1816">
        <f t="shared" si="95"/>
        <v>6331</v>
      </c>
      <c r="F1192" s="1816">
        <f t="shared" si="96"/>
        <v>7721</v>
      </c>
      <c r="G1192" s="1816">
        <f t="shared" si="97"/>
        <v>6457</v>
      </c>
    </row>
    <row r="1193" spans="1:7" ht="15.75">
      <c r="A1193" s="1961">
        <f t="shared" si="98"/>
        <v>56475</v>
      </c>
      <c r="B1193" s="1815">
        <v>56450</v>
      </c>
      <c r="C1193" s="1815">
        <v>56500</v>
      </c>
      <c r="D1193" s="1816">
        <f t="shared" si="94"/>
        <v>7732</v>
      </c>
      <c r="E1193" s="1816">
        <f t="shared" si="95"/>
        <v>6337</v>
      </c>
      <c r="F1193" s="1816">
        <f t="shared" si="96"/>
        <v>7732</v>
      </c>
      <c r="G1193" s="1816">
        <f t="shared" si="97"/>
        <v>6463</v>
      </c>
    </row>
    <row r="1194" spans="1:7" ht="15.75">
      <c r="A1194" s="1961">
        <f t="shared" si="98"/>
        <v>56525</v>
      </c>
      <c r="B1194" s="1815">
        <v>56500</v>
      </c>
      <c r="C1194" s="1815">
        <v>56550</v>
      </c>
      <c r="D1194" s="1816">
        <f t="shared" si="94"/>
        <v>7743</v>
      </c>
      <c r="E1194" s="1816">
        <f t="shared" si="95"/>
        <v>6343</v>
      </c>
      <c r="F1194" s="1816">
        <f t="shared" si="96"/>
        <v>7743</v>
      </c>
      <c r="G1194" s="1816">
        <f t="shared" si="97"/>
        <v>6469</v>
      </c>
    </row>
    <row r="1195" spans="1:7" ht="15.75">
      <c r="A1195" s="1961">
        <f t="shared" si="98"/>
        <v>56575</v>
      </c>
      <c r="B1195" s="1815">
        <v>56550</v>
      </c>
      <c r="C1195" s="1815">
        <v>56600</v>
      </c>
      <c r="D1195" s="1816">
        <f t="shared" si="94"/>
        <v>7754</v>
      </c>
      <c r="E1195" s="1816">
        <f t="shared" si="95"/>
        <v>6349</v>
      </c>
      <c r="F1195" s="1816">
        <f t="shared" si="96"/>
        <v>7754</v>
      </c>
      <c r="G1195" s="1816">
        <f t="shared" si="97"/>
        <v>6475</v>
      </c>
    </row>
    <row r="1196" spans="1:7" ht="15.75">
      <c r="A1196" s="1961">
        <f t="shared" si="98"/>
        <v>56625</v>
      </c>
      <c r="B1196" s="1815">
        <v>56600</v>
      </c>
      <c r="C1196" s="1815">
        <v>56650</v>
      </c>
      <c r="D1196" s="1816">
        <f t="shared" si="94"/>
        <v>7765</v>
      </c>
      <c r="E1196" s="1816">
        <f t="shared" si="95"/>
        <v>6355</v>
      </c>
      <c r="F1196" s="1816">
        <f t="shared" si="96"/>
        <v>7765</v>
      </c>
      <c r="G1196" s="1816">
        <f t="shared" si="97"/>
        <v>6481</v>
      </c>
    </row>
    <row r="1197" spans="1:7" ht="15.75">
      <c r="A1197" s="1961">
        <f t="shared" si="98"/>
        <v>56675</v>
      </c>
      <c r="B1197" s="1815">
        <v>56650</v>
      </c>
      <c r="C1197" s="1815">
        <v>56700</v>
      </c>
      <c r="D1197" s="1816">
        <f t="shared" si="94"/>
        <v>7776</v>
      </c>
      <c r="E1197" s="1816">
        <f t="shared" si="95"/>
        <v>6361</v>
      </c>
      <c r="F1197" s="1816">
        <f t="shared" si="96"/>
        <v>7776</v>
      </c>
      <c r="G1197" s="1816">
        <f t="shared" si="97"/>
        <v>6487</v>
      </c>
    </row>
    <row r="1198" spans="1:7" ht="15.75">
      <c r="A1198" s="1961">
        <f t="shared" si="98"/>
        <v>56725</v>
      </c>
      <c r="B1198" s="1815">
        <v>56700</v>
      </c>
      <c r="C1198" s="1815">
        <v>56750</v>
      </c>
      <c r="D1198" s="1816">
        <f t="shared" si="94"/>
        <v>7787</v>
      </c>
      <c r="E1198" s="1816">
        <f t="shared" si="95"/>
        <v>6367</v>
      </c>
      <c r="F1198" s="1816">
        <f t="shared" si="96"/>
        <v>7787</v>
      </c>
      <c r="G1198" s="1816">
        <f t="shared" si="97"/>
        <v>6493</v>
      </c>
    </row>
    <row r="1199" spans="1:7" ht="15.75">
      <c r="A1199" s="1961">
        <f t="shared" si="98"/>
        <v>56775</v>
      </c>
      <c r="B1199" s="1815">
        <v>56750</v>
      </c>
      <c r="C1199" s="1815">
        <v>56800</v>
      </c>
      <c r="D1199" s="1816">
        <f t="shared" si="94"/>
        <v>7798</v>
      </c>
      <c r="E1199" s="1816">
        <f t="shared" si="95"/>
        <v>6373</v>
      </c>
      <c r="F1199" s="1816">
        <f t="shared" si="96"/>
        <v>7798</v>
      </c>
      <c r="G1199" s="1816">
        <f t="shared" si="97"/>
        <v>6499</v>
      </c>
    </row>
    <row r="1200" spans="1:7" ht="15.75">
      <c r="A1200" s="1961">
        <f t="shared" si="98"/>
        <v>56825</v>
      </c>
      <c r="B1200" s="1815">
        <v>56800</v>
      </c>
      <c r="C1200" s="1815">
        <v>56850</v>
      </c>
      <c r="D1200" s="1816">
        <f t="shared" si="94"/>
        <v>7809</v>
      </c>
      <c r="E1200" s="1816">
        <f t="shared" si="95"/>
        <v>6379</v>
      </c>
      <c r="F1200" s="1816">
        <f t="shared" si="96"/>
        <v>7809</v>
      </c>
      <c r="G1200" s="1816">
        <f t="shared" si="97"/>
        <v>6505</v>
      </c>
    </row>
    <row r="1201" spans="1:7" ht="15.75">
      <c r="A1201" s="1961">
        <f t="shared" si="98"/>
        <v>56875</v>
      </c>
      <c r="B1201" s="1815">
        <v>56850</v>
      </c>
      <c r="C1201" s="1815">
        <v>56900</v>
      </c>
      <c r="D1201" s="1816">
        <f t="shared" si="94"/>
        <v>7820</v>
      </c>
      <c r="E1201" s="1816">
        <f t="shared" si="95"/>
        <v>6385</v>
      </c>
      <c r="F1201" s="1816">
        <f t="shared" si="96"/>
        <v>7820</v>
      </c>
      <c r="G1201" s="1816">
        <f t="shared" si="97"/>
        <v>6511</v>
      </c>
    </row>
    <row r="1202" spans="1:7" ht="15.75">
      <c r="A1202" s="1961">
        <f t="shared" si="98"/>
        <v>56925</v>
      </c>
      <c r="B1202" s="1815">
        <v>56900</v>
      </c>
      <c r="C1202" s="1815">
        <v>56950</v>
      </c>
      <c r="D1202" s="1816">
        <f t="shared" si="94"/>
        <v>7831</v>
      </c>
      <c r="E1202" s="1816">
        <f t="shared" si="95"/>
        <v>6391</v>
      </c>
      <c r="F1202" s="1816">
        <f t="shared" si="96"/>
        <v>7831</v>
      </c>
      <c r="G1202" s="1816">
        <f t="shared" si="97"/>
        <v>6517</v>
      </c>
    </row>
    <row r="1203" spans="1:7" ht="15.75">
      <c r="A1203" s="1961">
        <f t="shared" si="98"/>
        <v>56975</v>
      </c>
      <c r="B1203" s="1815">
        <v>56950</v>
      </c>
      <c r="C1203" s="1815">
        <v>57000</v>
      </c>
      <c r="D1203" s="1816">
        <f t="shared" si="94"/>
        <v>7842</v>
      </c>
      <c r="E1203" s="1816">
        <f t="shared" si="95"/>
        <v>6397</v>
      </c>
      <c r="F1203" s="1816">
        <f t="shared" si="96"/>
        <v>7842</v>
      </c>
      <c r="G1203" s="1816">
        <f t="shared" si="97"/>
        <v>6523</v>
      </c>
    </row>
    <row r="1204" spans="1:7" ht="15.75">
      <c r="A1204" s="1961">
        <f t="shared" si="98"/>
        <v>57025</v>
      </c>
      <c r="B1204" s="1815">
        <v>57000</v>
      </c>
      <c r="C1204" s="1815">
        <v>57050</v>
      </c>
      <c r="D1204" s="1816">
        <f t="shared" si="94"/>
        <v>7853</v>
      </c>
      <c r="E1204" s="1816">
        <f t="shared" si="95"/>
        <v>6403</v>
      </c>
      <c r="F1204" s="1816">
        <f t="shared" si="96"/>
        <v>7853</v>
      </c>
      <c r="G1204" s="1816">
        <f t="shared" si="97"/>
        <v>6529</v>
      </c>
    </row>
    <row r="1205" spans="1:7" ht="15.75">
      <c r="A1205" s="1961">
        <f t="shared" si="98"/>
        <v>57075</v>
      </c>
      <c r="B1205" s="1815">
        <v>57050</v>
      </c>
      <c r="C1205" s="1815">
        <v>57100</v>
      </c>
      <c r="D1205" s="1816">
        <f t="shared" si="94"/>
        <v>7864</v>
      </c>
      <c r="E1205" s="1816">
        <f t="shared" si="95"/>
        <v>6409</v>
      </c>
      <c r="F1205" s="1816">
        <f t="shared" si="96"/>
        <v>7864</v>
      </c>
      <c r="G1205" s="1816">
        <f t="shared" si="97"/>
        <v>6535</v>
      </c>
    </row>
    <row r="1206" spans="1:7" ht="15.75">
      <c r="A1206" s="1961">
        <f t="shared" si="98"/>
        <v>57125</v>
      </c>
      <c r="B1206" s="1815">
        <v>57100</v>
      </c>
      <c r="C1206" s="1815">
        <v>57150</v>
      </c>
      <c r="D1206" s="1816">
        <f t="shared" si="94"/>
        <v>7875</v>
      </c>
      <c r="E1206" s="1816">
        <f t="shared" si="95"/>
        <v>6415</v>
      </c>
      <c r="F1206" s="1816">
        <f t="shared" si="96"/>
        <v>7875</v>
      </c>
      <c r="G1206" s="1816">
        <f t="shared" si="97"/>
        <v>6541</v>
      </c>
    </row>
    <row r="1207" spans="1:7" ht="15.75">
      <c r="A1207" s="1961">
        <f t="shared" si="98"/>
        <v>57175</v>
      </c>
      <c r="B1207" s="1815">
        <v>57150</v>
      </c>
      <c r="C1207" s="1815">
        <v>57200</v>
      </c>
      <c r="D1207" s="1816">
        <f t="shared" si="94"/>
        <v>7886</v>
      </c>
      <c r="E1207" s="1816">
        <f t="shared" si="95"/>
        <v>6421</v>
      </c>
      <c r="F1207" s="1816">
        <f t="shared" si="96"/>
        <v>7886</v>
      </c>
      <c r="G1207" s="1816">
        <f t="shared" si="97"/>
        <v>6547</v>
      </c>
    </row>
    <row r="1208" spans="1:7" ht="15.75">
      <c r="A1208" s="1961">
        <f t="shared" si="98"/>
        <v>57225</v>
      </c>
      <c r="B1208" s="1815">
        <v>57200</v>
      </c>
      <c r="C1208" s="1815">
        <v>57250</v>
      </c>
      <c r="D1208" s="1816">
        <f t="shared" si="94"/>
        <v>7897</v>
      </c>
      <c r="E1208" s="1816">
        <f t="shared" si="95"/>
        <v>6427</v>
      </c>
      <c r="F1208" s="1816">
        <f t="shared" si="96"/>
        <v>7897</v>
      </c>
      <c r="G1208" s="1816">
        <f t="shared" si="97"/>
        <v>6553</v>
      </c>
    </row>
    <row r="1209" spans="1:7" ht="15.75">
      <c r="A1209" s="1961">
        <f t="shared" si="98"/>
        <v>57275</v>
      </c>
      <c r="B1209" s="1815">
        <v>57250</v>
      </c>
      <c r="C1209" s="1815">
        <v>57300</v>
      </c>
      <c r="D1209" s="1816">
        <f t="shared" si="94"/>
        <v>7908</v>
      </c>
      <c r="E1209" s="1816">
        <f t="shared" si="95"/>
        <v>6433</v>
      </c>
      <c r="F1209" s="1816">
        <f t="shared" si="96"/>
        <v>7908</v>
      </c>
      <c r="G1209" s="1816">
        <f t="shared" si="97"/>
        <v>6559</v>
      </c>
    </row>
    <row r="1210" spans="1:7" ht="15.75">
      <c r="A1210" s="1961">
        <f t="shared" si="98"/>
        <v>57325</v>
      </c>
      <c r="B1210" s="1815">
        <v>57300</v>
      </c>
      <c r="C1210" s="1815">
        <v>57350</v>
      </c>
      <c r="D1210" s="1816">
        <f t="shared" si="94"/>
        <v>7919</v>
      </c>
      <c r="E1210" s="1816">
        <f t="shared" si="95"/>
        <v>6439</v>
      </c>
      <c r="F1210" s="1816">
        <f t="shared" si="96"/>
        <v>7919</v>
      </c>
      <c r="G1210" s="1816">
        <f t="shared" si="97"/>
        <v>6565</v>
      </c>
    </row>
    <row r="1211" spans="1:7" ht="15.75">
      <c r="A1211" s="1961">
        <f t="shared" si="98"/>
        <v>57375</v>
      </c>
      <c r="B1211" s="1815">
        <v>57350</v>
      </c>
      <c r="C1211" s="1815">
        <v>57400</v>
      </c>
      <c r="D1211" s="1816">
        <f t="shared" si="94"/>
        <v>7930</v>
      </c>
      <c r="E1211" s="1816">
        <f t="shared" si="95"/>
        <v>6445</v>
      </c>
      <c r="F1211" s="1816">
        <f t="shared" si="96"/>
        <v>7930</v>
      </c>
      <c r="G1211" s="1816">
        <f t="shared" si="97"/>
        <v>6571</v>
      </c>
    </row>
    <row r="1212" spans="1:7" ht="15.75">
      <c r="A1212" s="1961">
        <f t="shared" si="98"/>
        <v>57425</v>
      </c>
      <c r="B1212" s="1815">
        <v>57400</v>
      </c>
      <c r="C1212" s="1815">
        <v>57450</v>
      </c>
      <c r="D1212" s="1816">
        <f t="shared" si="94"/>
        <v>7941</v>
      </c>
      <c r="E1212" s="1816">
        <f t="shared" si="95"/>
        <v>6451</v>
      </c>
      <c r="F1212" s="1816">
        <f t="shared" si="96"/>
        <v>7941</v>
      </c>
      <c r="G1212" s="1816">
        <f t="shared" si="97"/>
        <v>6577</v>
      </c>
    </row>
    <row r="1213" spans="1:7" ht="15.75">
      <c r="A1213" s="1961">
        <f t="shared" si="98"/>
        <v>57475</v>
      </c>
      <c r="B1213" s="1815">
        <v>57450</v>
      </c>
      <c r="C1213" s="1815">
        <v>57500</v>
      </c>
      <c r="D1213" s="1816">
        <f t="shared" si="94"/>
        <v>7952</v>
      </c>
      <c r="E1213" s="1816">
        <f t="shared" si="95"/>
        <v>6457</v>
      </c>
      <c r="F1213" s="1816">
        <f t="shared" si="96"/>
        <v>7952</v>
      </c>
      <c r="G1213" s="1816">
        <f t="shared" si="97"/>
        <v>6583</v>
      </c>
    </row>
    <row r="1214" spans="1:7" ht="15.75">
      <c r="A1214" s="1961">
        <f t="shared" si="98"/>
        <v>57525</v>
      </c>
      <c r="B1214" s="1815">
        <v>57500</v>
      </c>
      <c r="C1214" s="1815">
        <v>57550</v>
      </c>
      <c r="D1214" s="1816">
        <f t="shared" si="94"/>
        <v>7963</v>
      </c>
      <c r="E1214" s="1816">
        <f t="shared" si="95"/>
        <v>6463</v>
      </c>
      <c r="F1214" s="1816">
        <f t="shared" si="96"/>
        <v>7963</v>
      </c>
      <c r="G1214" s="1816">
        <f t="shared" si="97"/>
        <v>6589</v>
      </c>
    </row>
    <row r="1215" spans="1:7" ht="15.75">
      <c r="A1215" s="1961">
        <f t="shared" si="98"/>
        <v>57575</v>
      </c>
      <c r="B1215" s="1815">
        <v>57550</v>
      </c>
      <c r="C1215" s="1815">
        <v>57600</v>
      </c>
      <c r="D1215" s="1816">
        <f t="shared" si="94"/>
        <v>7974</v>
      </c>
      <c r="E1215" s="1816">
        <f t="shared" si="95"/>
        <v>6469</v>
      </c>
      <c r="F1215" s="1816">
        <f t="shared" si="96"/>
        <v>7974</v>
      </c>
      <c r="G1215" s="1816">
        <f t="shared" si="97"/>
        <v>6595</v>
      </c>
    </row>
    <row r="1216" spans="1:7" ht="15.75">
      <c r="A1216" s="1961">
        <f t="shared" si="98"/>
        <v>57625</v>
      </c>
      <c r="B1216" s="1815">
        <v>57600</v>
      </c>
      <c r="C1216" s="1815">
        <v>57650</v>
      </c>
      <c r="D1216" s="1816">
        <f t="shared" si="94"/>
        <v>7985</v>
      </c>
      <c r="E1216" s="1816">
        <f t="shared" si="95"/>
        <v>6475</v>
      </c>
      <c r="F1216" s="1816">
        <f t="shared" si="96"/>
        <v>7985</v>
      </c>
      <c r="G1216" s="1816">
        <f t="shared" si="97"/>
        <v>6601</v>
      </c>
    </row>
    <row r="1217" spans="1:7" ht="15.75">
      <c r="A1217" s="1961">
        <f t="shared" si="98"/>
        <v>57675</v>
      </c>
      <c r="B1217" s="1815">
        <v>57650</v>
      </c>
      <c r="C1217" s="1815">
        <v>57700</v>
      </c>
      <c r="D1217" s="1816">
        <f t="shared" si="94"/>
        <v>7996</v>
      </c>
      <c r="E1217" s="1816">
        <f t="shared" si="95"/>
        <v>6481</v>
      </c>
      <c r="F1217" s="1816">
        <f t="shared" si="96"/>
        <v>7996</v>
      </c>
      <c r="G1217" s="1816">
        <f t="shared" si="97"/>
        <v>6607</v>
      </c>
    </row>
    <row r="1218" spans="1:7" ht="15.75">
      <c r="A1218" s="1961">
        <f t="shared" si="98"/>
        <v>57725</v>
      </c>
      <c r="B1218" s="1815">
        <v>57700</v>
      </c>
      <c r="C1218" s="1815">
        <v>57750</v>
      </c>
      <c r="D1218" s="1816">
        <f t="shared" ref="D1218:D1281" si="99">IF($A1218&gt;BOTT_A4,ROUND(BASE_A4+RATE_A4*($A1218-BOTT_A4),0),IF($A1218&gt;BOTT_A3,ROUND(BASE_A3+RATE_A3*($A1218-BOTT_A3),0),IF($A1218&gt;BOTT_A2,ROUND(BASE_A2+RATE_A2*($A1218-BOTT_A2),0),ROUND(RATE_A1*$A1218,0))))</f>
        <v>8007</v>
      </c>
      <c r="E1218" s="1816">
        <f t="shared" ref="E1218:E1281" si="100">IF($A1218&gt;BOTT_B4,ROUND(BASE_B4+RATE_B4*($A1218-BOTT_B4),0),IF($A1218&gt;BOTT_B3,ROUND(BASE_B3+RATE_B3*($A1218-BOTT_B3),0),IF($A1218&gt;BOTT_B2,ROUND(BASE_B2+RATE_B2*($A1218-BOTT_B2),0),ROUND(RATE_B1*$A1218,0))))</f>
        <v>6487</v>
      </c>
      <c r="F1218" s="1816">
        <f t="shared" ref="F1218:F1281" si="101">IF($A1218&gt;BOTT_C4,ROUND(BASE_C4+RATE_C4*($A1218-BOTT_C4),0),IF($A1218&gt;BOTT_C3,ROUND(BASE_C3+RATE_C3*($A1218-BOTT_C3),0),IF($A1218&gt;BOTT_C2,ROUND(BASE_C2+RATE_C2*($A1218-BOTT_C2),0),ROUND(RATE_C1*$A1218,0))))</f>
        <v>8007</v>
      </c>
      <c r="G1218" s="1816">
        <f t="shared" ref="G1218:G1281" si="102">IF($A1218&gt;BOTT_D4,ROUND(BASE_D4+RATE_D4*($A1218-BOTT_D4),0),IF($A1218&gt;BOTT_D3,ROUND(BASE_D3+RATE_D3*($A1218-BOTT_D3),0),IF($A1218&gt;BOTT_D2,ROUND(BASE_D2+RATE_D2*($A1218-BOTT_D2),0),ROUND(RATE_D1*$A1218,0))))</f>
        <v>6613</v>
      </c>
    </row>
    <row r="1219" spans="1:7" ht="15.75">
      <c r="A1219" s="1961">
        <f t="shared" ref="A1219:A1282" si="103">AVERAGE(B1219,C1219)</f>
        <v>57775</v>
      </c>
      <c r="B1219" s="1815">
        <v>57750</v>
      </c>
      <c r="C1219" s="1815">
        <v>57800</v>
      </c>
      <c r="D1219" s="1816">
        <f t="shared" si="99"/>
        <v>8018</v>
      </c>
      <c r="E1219" s="1816">
        <f t="shared" si="100"/>
        <v>6493</v>
      </c>
      <c r="F1219" s="1816">
        <f t="shared" si="101"/>
        <v>8018</v>
      </c>
      <c r="G1219" s="1816">
        <f t="shared" si="102"/>
        <v>6619</v>
      </c>
    </row>
    <row r="1220" spans="1:7" ht="15.75">
      <c r="A1220" s="1961">
        <f t="shared" si="103"/>
        <v>57825</v>
      </c>
      <c r="B1220" s="1815">
        <v>57800</v>
      </c>
      <c r="C1220" s="1815">
        <v>57850</v>
      </c>
      <c r="D1220" s="1816">
        <f t="shared" si="99"/>
        <v>8029</v>
      </c>
      <c r="E1220" s="1816">
        <f t="shared" si="100"/>
        <v>6499</v>
      </c>
      <c r="F1220" s="1816">
        <f t="shared" si="101"/>
        <v>8029</v>
      </c>
      <c r="G1220" s="1816">
        <f t="shared" si="102"/>
        <v>6625</v>
      </c>
    </row>
    <row r="1221" spans="1:7" ht="15.75">
      <c r="A1221" s="1961">
        <f t="shared" si="103"/>
        <v>57875</v>
      </c>
      <c r="B1221" s="1815">
        <v>57850</v>
      </c>
      <c r="C1221" s="1815">
        <v>57900</v>
      </c>
      <c r="D1221" s="1816">
        <f t="shared" si="99"/>
        <v>8040</v>
      </c>
      <c r="E1221" s="1816">
        <f t="shared" si="100"/>
        <v>6505</v>
      </c>
      <c r="F1221" s="1816">
        <f t="shared" si="101"/>
        <v>8040</v>
      </c>
      <c r="G1221" s="1816">
        <f t="shared" si="102"/>
        <v>6631</v>
      </c>
    </row>
    <row r="1222" spans="1:7" ht="15.75">
      <c r="A1222" s="1961">
        <f t="shared" si="103"/>
        <v>57925</v>
      </c>
      <c r="B1222" s="1815">
        <v>57900</v>
      </c>
      <c r="C1222" s="1815">
        <v>57950</v>
      </c>
      <c r="D1222" s="1816">
        <f t="shared" si="99"/>
        <v>8051</v>
      </c>
      <c r="E1222" s="1816">
        <f t="shared" si="100"/>
        <v>6511</v>
      </c>
      <c r="F1222" s="1816">
        <f t="shared" si="101"/>
        <v>8051</v>
      </c>
      <c r="G1222" s="1816">
        <f t="shared" si="102"/>
        <v>6637</v>
      </c>
    </row>
    <row r="1223" spans="1:7" ht="15.75">
      <c r="A1223" s="1961">
        <f t="shared" si="103"/>
        <v>57975</v>
      </c>
      <c r="B1223" s="1815">
        <v>57950</v>
      </c>
      <c r="C1223" s="1815">
        <v>58000</v>
      </c>
      <c r="D1223" s="1816">
        <f t="shared" si="99"/>
        <v>8062</v>
      </c>
      <c r="E1223" s="1816">
        <f t="shared" si="100"/>
        <v>6517</v>
      </c>
      <c r="F1223" s="1816">
        <f t="shared" si="101"/>
        <v>8062</v>
      </c>
      <c r="G1223" s="1816">
        <f t="shared" si="102"/>
        <v>6643</v>
      </c>
    </row>
    <row r="1224" spans="1:7" ht="15.75">
      <c r="A1224" s="1961">
        <f t="shared" si="103"/>
        <v>58025</v>
      </c>
      <c r="B1224" s="1815">
        <v>58000</v>
      </c>
      <c r="C1224" s="1815">
        <v>58050</v>
      </c>
      <c r="D1224" s="1816">
        <f t="shared" si="99"/>
        <v>8073</v>
      </c>
      <c r="E1224" s="1816">
        <f t="shared" si="100"/>
        <v>6523</v>
      </c>
      <c r="F1224" s="1816">
        <f t="shared" si="101"/>
        <v>8073</v>
      </c>
      <c r="G1224" s="1816">
        <f t="shared" si="102"/>
        <v>6649</v>
      </c>
    </row>
    <row r="1225" spans="1:7" ht="15.75">
      <c r="A1225" s="1961">
        <f t="shared" si="103"/>
        <v>58075</v>
      </c>
      <c r="B1225" s="1815">
        <v>58050</v>
      </c>
      <c r="C1225" s="1815">
        <v>58100</v>
      </c>
      <c r="D1225" s="1816">
        <f t="shared" si="99"/>
        <v>8084</v>
      </c>
      <c r="E1225" s="1816">
        <f t="shared" si="100"/>
        <v>6529</v>
      </c>
      <c r="F1225" s="1816">
        <f t="shared" si="101"/>
        <v>8084</v>
      </c>
      <c r="G1225" s="1816">
        <f t="shared" si="102"/>
        <v>6655</v>
      </c>
    </row>
    <row r="1226" spans="1:7" ht="15.75">
      <c r="A1226" s="1961">
        <f t="shared" si="103"/>
        <v>58125</v>
      </c>
      <c r="B1226" s="1815">
        <v>58100</v>
      </c>
      <c r="C1226" s="1815">
        <v>58150</v>
      </c>
      <c r="D1226" s="1816">
        <f t="shared" si="99"/>
        <v>8095</v>
      </c>
      <c r="E1226" s="1816">
        <f t="shared" si="100"/>
        <v>6535</v>
      </c>
      <c r="F1226" s="1816">
        <f t="shared" si="101"/>
        <v>8095</v>
      </c>
      <c r="G1226" s="1816">
        <f t="shared" si="102"/>
        <v>6661</v>
      </c>
    </row>
    <row r="1227" spans="1:7" ht="15.75">
      <c r="A1227" s="1961">
        <f t="shared" si="103"/>
        <v>58175</v>
      </c>
      <c r="B1227" s="1815">
        <v>58150</v>
      </c>
      <c r="C1227" s="1815">
        <v>58200</v>
      </c>
      <c r="D1227" s="1816">
        <f t="shared" si="99"/>
        <v>8106</v>
      </c>
      <c r="E1227" s="1816">
        <f t="shared" si="100"/>
        <v>6541</v>
      </c>
      <c r="F1227" s="1816">
        <f t="shared" si="101"/>
        <v>8106</v>
      </c>
      <c r="G1227" s="1816">
        <f t="shared" si="102"/>
        <v>6667</v>
      </c>
    </row>
    <row r="1228" spans="1:7" ht="15.75">
      <c r="A1228" s="1961">
        <f t="shared" si="103"/>
        <v>58225</v>
      </c>
      <c r="B1228" s="1815">
        <v>58200</v>
      </c>
      <c r="C1228" s="1815">
        <v>58250</v>
      </c>
      <c r="D1228" s="1816">
        <f t="shared" si="99"/>
        <v>8117</v>
      </c>
      <c r="E1228" s="1816">
        <f t="shared" si="100"/>
        <v>6547</v>
      </c>
      <c r="F1228" s="1816">
        <f t="shared" si="101"/>
        <v>8117</v>
      </c>
      <c r="G1228" s="1816">
        <f t="shared" si="102"/>
        <v>6673</v>
      </c>
    </row>
    <row r="1229" spans="1:7" ht="15.75">
      <c r="A1229" s="1961">
        <f t="shared" si="103"/>
        <v>58275</v>
      </c>
      <c r="B1229" s="1815">
        <v>58250</v>
      </c>
      <c r="C1229" s="1815">
        <v>58300</v>
      </c>
      <c r="D1229" s="1816">
        <f t="shared" si="99"/>
        <v>8128</v>
      </c>
      <c r="E1229" s="1816">
        <f t="shared" si="100"/>
        <v>6553</v>
      </c>
      <c r="F1229" s="1816">
        <f t="shared" si="101"/>
        <v>8128</v>
      </c>
      <c r="G1229" s="1816">
        <f t="shared" si="102"/>
        <v>6679</v>
      </c>
    </row>
    <row r="1230" spans="1:7" ht="15.75">
      <c r="A1230" s="1961">
        <f t="shared" si="103"/>
        <v>58325</v>
      </c>
      <c r="B1230" s="1815">
        <v>58300</v>
      </c>
      <c r="C1230" s="1815">
        <v>58350</v>
      </c>
      <c r="D1230" s="1816">
        <f t="shared" si="99"/>
        <v>8139</v>
      </c>
      <c r="E1230" s="1816">
        <f t="shared" si="100"/>
        <v>6559</v>
      </c>
      <c r="F1230" s="1816">
        <f t="shared" si="101"/>
        <v>8139</v>
      </c>
      <c r="G1230" s="1816">
        <f t="shared" si="102"/>
        <v>6685</v>
      </c>
    </row>
    <row r="1231" spans="1:7" ht="15.75">
      <c r="A1231" s="1961">
        <f t="shared" si="103"/>
        <v>58375</v>
      </c>
      <c r="B1231" s="1815">
        <v>58350</v>
      </c>
      <c r="C1231" s="1815">
        <v>58400</v>
      </c>
      <c r="D1231" s="1816">
        <f t="shared" si="99"/>
        <v>8150</v>
      </c>
      <c r="E1231" s="1816">
        <f t="shared" si="100"/>
        <v>6565</v>
      </c>
      <c r="F1231" s="1816">
        <f t="shared" si="101"/>
        <v>8150</v>
      </c>
      <c r="G1231" s="1816">
        <f t="shared" si="102"/>
        <v>6691</v>
      </c>
    </row>
    <row r="1232" spans="1:7" ht="15.75">
      <c r="A1232" s="1961">
        <f t="shared" si="103"/>
        <v>58425</v>
      </c>
      <c r="B1232" s="1815">
        <v>58400</v>
      </c>
      <c r="C1232" s="1815">
        <v>58450</v>
      </c>
      <c r="D1232" s="1816">
        <f t="shared" si="99"/>
        <v>8161</v>
      </c>
      <c r="E1232" s="1816">
        <f t="shared" si="100"/>
        <v>6571</v>
      </c>
      <c r="F1232" s="1816">
        <f t="shared" si="101"/>
        <v>8161</v>
      </c>
      <c r="G1232" s="1816">
        <f t="shared" si="102"/>
        <v>6697</v>
      </c>
    </row>
    <row r="1233" spans="1:7" ht="15.75">
      <c r="A1233" s="1961">
        <f t="shared" si="103"/>
        <v>58475</v>
      </c>
      <c r="B1233" s="1815">
        <v>58450</v>
      </c>
      <c r="C1233" s="1815">
        <v>58500</v>
      </c>
      <c r="D1233" s="1816">
        <f t="shared" si="99"/>
        <v>8172</v>
      </c>
      <c r="E1233" s="1816">
        <f t="shared" si="100"/>
        <v>6577</v>
      </c>
      <c r="F1233" s="1816">
        <f t="shared" si="101"/>
        <v>8172</v>
      </c>
      <c r="G1233" s="1816">
        <f t="shared" si="102"/>
        <v>6703</v>
      </c>
    </row>
    <row r="1234" spans="1:7" ht="15.75">
      <c r="A1234" s="1961">
        <f t="shared" si="103"/>
        <v>58525</v>
      </c>
      <c r="B1234" s="1815">
        <v>58500</v>
      </c>
      <c r="C1234" s="1815">
        <v>58550</v>
      </c>
      <c r="D1234" s="1816">
        <f t="shared" si="99"/>
        <v>8183</v>
      </c>
      <c r="E1234" s="1816">
        <f t="shared" si="100"/>
        <v>6583</v>
      </c>
      <c r="F1234" s="1816">
        <f t="shared" si="101"/>
        <v>8183</v>
      </c>
      <c r="G1234" s="1816">
        <f t="shared" si="102"/>
        <v>6709</v>
      </c>
    </row>
    <row r="1235" spans="1:7" ht="15.75">
      <c r="A1235" s="1961">
        <f t="shared" si="103"/>
        <v>58575</v>
      </c>
      <c r="B1235" s="1815">
        <v>58550</v>
      </c>
      <c r="C1235" s="1815">
        <v>58600</v>
      </c>
      <c r="D1235" s="1816">
        <f t="shared" si="99"/>
        <v>8194</v>
      </c>
      <c r="E1235" s="1816">
        <f t="shared" si="100"/>
        <v>6589</v>
      </c>
      <c r="F1235" s="1816">
        <f t="shared" si="101"/>
        <v>8194</v>
      </c>
      <c r="G1235" s="1816">
        <f t="shared" si="102"/>
        <v>6715</v>
      </c>
    </row>
    <row r="1236" spans="1:7" ht="15.75">
      <c r="A1236" s="1961">
        <f t="shared" si="103"/>
        <v>58625</v>
      </c>
      <c r="B1236" s="1815">
        <v>58600</v>
      </c>
      <c r="C1236" s="1815">
        <v>58650</v>
      </c>
      <c r="D1236" s="1816">
        <f t="shared" si="99"/>
        <v>8205</v>
      </c>
      <c r="E1236" s="1816">
        <f t="shared" si="100"/>
        <v>6595</v>
      </c>
      <c r="F1236" s="1816">
        <f t="shared" si="101"/>
        <v>8205</v>
      </c>
      <c r="G1236" s="1816">
        <f t="shared" si="102"/>
        <v>6721</v>
      </c>
    </row>
    <row r="1237" spans="1:7" ht="15.75">
      <c r="A1237" s="1961">
        <f t="shared" si="103"/>
        <v>58675</v>
      </c>
      <c r="B1237" s="1815">
        <v>58650</v>
      </c>
      <c r="C1237" s="1815">
        <v>58700</v>
      </c>
      <c r="D1237" s="1816">
        <f t="shared" si="99"/>
        <v>8216</v>
      </c>
      <c r="E1237" s="1816">
        <f t="shared" si="100"/>
        <v>6601</v>
      </c>
      <c r="F1237" s="1816">
        <f t="shared" si="101"/>
        <v>8216</v>
      </c>
      <c r="G1237" s="1816">
        <f t="shared" si="102"/>
        <v>6727</v>
      </c>
    </row>
    <row r="1238" spans="1:7" ht="15.75">
      <c r="A1238" s="1961">
        <f t="shared" si="103"/>
        <v>58725</v>
      </c>
      <c r="B1238" s="1815">
        <v>58700</v>
      </c>
      <c r="C1238" s="1815">
        <v>58750</v>
      </c>
      <c r="D1238" s="1816">
        <f t="shared" si="99"/>
        <v>8227</v>
      </c>
      <c r="E1238" s="1816">
        <f t="shared" si="100"/>
        <v>6607</v>
      </c>
      <c r="F1238" s="1816">
        <f t="shared" si="101"/>
        <v>8227</v>
      </c>
      <c r="G1238" s="1816">
        <f t="shared" si="102"/>
        <v>6733</v>
      </c>
    </row>
    <row r="1239" spans="1:7" ht="15.75">
      <c r="A1239" s="1961">
        <f t="shared" si="103"/>
        <v>58775</v>
      </c>
      <c r="B1239" s="1815">
        <v>58750</v>
      </c>
      <c r="C1239" s="1815">
        <v>58800</v>
      </c>
      <c r="D1239" s="1816">
        <f t="shared" si="99"/>
        <v>8238</v>
      </c>
      <c r="E1239" s="1816">
        <f t="shared" si="100"/>
        <v>6613</v>
      </c>
      <c r="F1239" s="1816">
        <f t="shared" si="101"/>
        <v>8238</v>
      </c>
      <c r="G1239" s="1816">
        <f t="shared" si="102"/>
        <v>6739</v>
      </c>
    </row>
    <row r="1240" spans="1:7" ht="15.75">
      <c r="A1240" s="1961">
        <f t="shared" si="103"/>
        <v>58825</v>
      </c>
      <c r="B1240" s="1815">
        <v>58800</v>
      </c>
      <c r="C1240" s="1815">
        <v>58850</v>
      </c>
      <c r="D1240" s="1816">
        <f t="shared" si="99"/>
        <v>8249</v>
      </c>
      <c r="E1240" s="1816">
        <f t="shared" si="100"/>
        <v>6619</v>
      </c>
      <c r="F1240" s="1816">
        <f t="shared" si="101"/>
        <v>8249</v>
      </c>
      <c r="G1240" s="1816">
        <f t="shared" si="102"/>
        <v>6745</v>
      </c>
    </row>
    <row r="1241" spans="1:7" ht="15.75">
      <c r="A1241" s="1961">
        <f t="shared" si="103"/>
        <v>58875</v>
      </c>
      <c r="B1241" s="1815">
        <v>58850</v>
      </c>
      <c r="C1241" s="1815">
        <v>58900</v>
      </c>
      <c r="D1241" s="1816">
        <f t="shared" si="99"/>
        <v>8260</v>
      </c>
      <c r="E1241" s="1816">
        <f t="shared" si="100"/>
        <v>6625</v>
      </c>
      <c r="F1241" s="1816">
        <f t="shared" si="101"/>
        <v>8260</v>
      </c>
      <c r="G1241" s="1816">
        <f t="shared" si="102"/>
        <v>6751</v>
      </c>
    </row>
    <row r="1242" spans="1:7" ht="15.75">
      <c r="A1242" s="1961">
        <f t="shared" si="103"/>
        <v>58925</v>
      </c>
      <c r="B1242" s="1815">
        <v>58900</v>
      </c>
      <c r="C1242" s="1815">
        <v>58950</v>
      </c>
      <c r="D1242" s="1816">
        <f t="shared" si="99"/>
        <v>8271</v>
      </c>
      <c r="E1242" s="1816">
        <f t="shared" si="100"/>
        <v>6631</v>
      </c>
      <c r="F1242" s="1816">
        <f t="shared" si="101"/>
        <v>8271</v>
      </c>
      <c r="G1242" s="1816">
        <f t="shared" si="102"/>
        <v>6757</v>
      </c>
    </row>
    <row r="1243" spans="1:7" ht="15.75">
      <c r="A1243" s="1961">
        <f t="shared" si="103"/>
        <v>58975</v>
      </c>
      <c r="B1243" s="1815">
        <v>58950</v>
      </c>
      <c r="C1243" s="1815">
        <v>59000</v>
      </c>
      <c r="D1243" s="1816">
        <f t="shared" si="99"/>
        <v>8282</v>
      </c>
      <c r="E1243" s="1816">
        <f t="shared" si="100"/>
        <v>6637</v>
      </c>
      <c r="F1243" s="1816">
        <f t="shared" si="101"/>
        <v>8282</v>
      </c>
      <c r="G1243" s="1816">
        <f t="shared" si="102"/>
        <v>6763</v>
      </c>
    </row>
    <row r="1244" spans="1:7" ht="15.75">
      <c r="A1244" s="1961">
        <f t="shared" si="103"/>
        <v>59025</v>
      </c>
      <c r="B1244" s="1815">
        <v>59000</v>
      </c>
      <c r="C1244" s="1815">
        <v>59050</v>
      </c>
      <c r="D1244" s="1816">
        <f t="shared" si="99"/>
        <v>8293</v>
      </c>
      <c r="E1244" s="1816">
        <f t="shared" si="100"/>
        <v>6643</v>
      </c>
      <c r="F1244" s="1816">
        <f t="shared" si="101"/>
        <v>8293</v>
      </c>
      <c r="G1244" s="1816">
        <f t="shared" si="102"/>
        <v>6769</v>
      </c>
    </row>
    <row r="1245" spans="1:7" ht="15.75">
      <c r="A1245" s="1961">
        <f t="shared" si="103"/>
        <v>59075</v>
      </c>
      <c r="B1245" s="1815">
        <v>59050</v>
      </c>
      <c r="C1245" s="1815">
        <v>59100</v>
      </c>
      <c r="D1245" s="1816">
        <f t="shared" si="99"/>
        <v>8304</v>
      </c>
      <c r="E1245" s="1816">
        <f t="shared" si="100"/>
        <v>6649</v>
      </c>
      <c r="F1245" s="1816">
        <f t="shared" si="101"/>
        <v>8304</v>
      </c>
      <c r="G1245" s="1816">
        <f t="shared" si="102"/>
        <v>6775</v>
      </c>
    </row>
    <row r="1246" spans="1:7" ht="15.75">
      <c r="A1246" s="1961">
        <f t="shared" si="103"/>
        <v>59125</v>
      </c>
      <c r="B1246" s="1815">
        <v>59100</v>
      </c>
      <c r="C1246" s="1815">
        <v>59150</v>
      </c>
      <c r="D1246" s="1816">
        <f t="shared" si="99"/>
        <v>8315</v>
      </c>
      <c r="E1246" s="1816">
        <f t="shared" si="100"/>
        <v>6655</v>
      </c>
      <c r="F1246" s="1816">
        <f t="shared" si="101"/>
        <v>8315</v>
      </c>
      <c r="G1246" s="1816">
        <f t="shared" si="102"/>
        <v>6781</v>
      </c>
    </row>
    <row r="1247" spans="1:7" ht="15.75">
      <c r="A1247" s="1961">
        <f t="shared" si="103"/>
        <v>59175</v>
      </c>
      <c r="B1247" s="1815">
        <v>59150</v>
      </c>
      <c r="C1247" s="1815">
        <v>59200</v>
      </c>
      <c r="D1247" s="1816">
        <f t="shared" si="99"/>
        <v>8326</v>
      </c>
      <c r="E1247" s="1816">
        <f t="shared" si="100"/>
        <v>6661</v>
      </c>
      <c r="F1247" s="1816">
        <f t="shared" si="101"/>
        <v>8326</v>
      </c>
      <c r="G1247" s="1816">
        <f t="shared" si="102"/>
        <v>6787</v>
      </c>
    </row>
    <row r="1248" spans="1:7" ht="15.75">
      <c r="A1248" s="1961">
        <f t="shared" si="103"/>
        <v>59225</v>
      </c>
      <c r="B1248" s="1815">
        <v>59200</v>
      </c>
      <c r="C1248" s="1815">
        <v>59250</v>
      </c>
      <c r="D1248" s="1816">
        <f t="shared" si="99"/>
        <v>8337</v>
      </c>
      <c r="E1248" s="1816">
        <f t="shared" si="100"/>
        <v>6667</v>
      </c>
      <c r="F1248" s="1816">
        <f t="shared" si="101"/>
        <v>8337</v>
      </c>
      <c r="G1248" s="1816">
        <f t="shared" si="102"/>
        <v>6793</v>
      </c>
    </row>
    <row r="1249" spans="1:7" ht="15.75">
      <c r="A1249" s="1961">
        <f t="shared" si="103"/>
        <v>59275</v>
      </c>
      <c r="B1249" s="1815">
        <v>59250</v>
      </c>
      <c r="C1249" s="1815">
        <v>59300</v>
      </c>
      <c r="D1249" s="1816">
        <f t="shared" si="99"/>
        <v>8348</v>
      </c>
      <c r="E1249" s="1816">
        <f t="shared" si="100"/>
        <v>6673</v>
      </c>
      <c r="F1249" s="1816">
        <f t="shared" si="101"/>
        <v>8348</v>
      </c>
      <c r="G1249" s="1816">
        <f t="shared" si="102"/>
        <v>6799</v>
      </c>
    </row>
    <row r="1250" spans="1:7" ht="15.75">
      <c r="A1250" s="1961">
        <f t="shared" si="103"/>
        <v>59325</v>
      </c>
      <c r="B1250" s="1815">
        <v>59300</v>
      </c>
      <c r="C1250" s="1815">
        <v>59350</v>
      </c>
      <c r="D1250" s="1816">
        <f t="shared" si="99"/>
        <v>8359</v>
      </c>
      <c r="E1250" s="1816">
        <f t="shared" si="100"/>
        <v>6679</v>
      </c>
      <c r="F1250" s="1816">
        <f t="shared" si="101"/>
        <v>8359</v>
      </c>
      <c r="G1250" s="1816">
        <f t="shared" si="102"/>
        <v>6805</v>
      </c>
    </row>
    <row r="1251" spans="1:7" ht="15.75">
      <c r="A1251" s="1961">
        <f t="shared" si="103"/>
        <v>59375</v>
      </c>
      <c r="B1251" s="1815">
        <v>59350</v>
      </c>
      <c r="C1251" s="1815">
        <v>59400</v>
      </c>
      <c r="D1251" s="1816">
        <f t="shared" si="99"/>
        <v>8370</v>
      </c>
      <c r="E1251" s="1816">
        <f t="shared" si="100"/>
        <v>6685</v>
      </c>
      <c r="F1251" s="1816">
        <f t="shared" si="101"/>
        <v>8370</v>
      </c>
      <c r="G1251" s="1816">
        <f t="shared" si="102"/>
        <v>6811</v>
      </c>
    </row>
    <row r="1252" spans="1:7" ht="15.75">
      <c r="A1252" s="1961">
        <f t="shared" si="103"/>
        <v>59425</v>
      </c>
      <c r="B1252" s="1815">
        <v>59400</v>
      </c>
      <c r="C1252" s="1815">
        <v>59450</v>
      </c>
      <c r="D1252" s="1816">
        <f t="shared" si="99"/>
        <v>8381</v>
      </c>
      <c r="E1252" s="1816">
        <f t="shared" si="100"/>
        <v>6691</v>
      </c>
      <c r="F1252" s="1816">
        <f t="shared" si="101"/>
        <v>8381</v>
      </c>
      <c r="G1252" s="1816">
        <f t="shared" si="102"/>
        <v>6817</v>
      </c>
    </row>
    <row r="1253" spans="1:7" ht="15.75">
      <c r="A1253" s="1961">
        <f t="shared" si="103"/>
        <v>59475</v>
      </c>
      <c r="B1253" s="1815">
        <v>59450</v>
      </c>
      <c r="C1253" s="1815">
        <v>59500</v>
      </c>
      <c r="D1253" s="1816">
        <f t="shared" si="99"/>
        <v>8392</v>
      </c>
      <c r="E1253" s="1816">
        <f t="shared" si="100"/>
        <v>6697</v>
      </c>
      <c r="F1253" s="1816">
        <f t="shared" si="101"/>
        <v>8392</v>
      </c>
      <c r="G1253" s="1816">
        <f t="shared" si="102"/>
        <v>6823</v>
      </c>
    </row>
    <row r="1254" spans="1:7" ht="15.75">
      <c r="A1254" s="1961">
        <f t="shared" si="103"/>
        <v>59525</v>
      </c>
      <c r="B1254" s="1815">
        <v>59500</v>
      </c>
      <c r="C1254" s="1815">
        <v>59550</v>
      </c>
      <c r="D1254" s="1816">
        <f t="shared" si="99"/>
        <v>8403</v>
      </c>
      <c r="E1254" s="1816">
        <f t="shared" si="100"/>
        <v>6703</v>
      </c>
      <c r="F1254" s="1816">
        <f t="shared" si="101"/>
        <v>8403</v>
      </c>
      <c r="G1254" s="1816">
        <f t="shared" si="102"/>
        <v>6829</v>
      </c>
    </row>
    <row r="1255" spans="1:7" ht="15.75">
      <c r="A1255" s="1961">
        <f t="shared" si="103"/>
        <v>59575</v>
      </c>
      <c r="B1255" s="1815">
        <v>59550</v>
      </c>
      <c r="C1255" s="1815">
        <v>59600</v>
      </c>
      <c r="D1255" s="1816">
        <f t="shared" si="99"/>
        <v>8414</v>
      </c>
      <c r="E1255" s="1816">
        <f t="shared" si="100"/>
        <v>6709</v>
      </c>
      <c r="F1255" s="1816">
        <f t="shared" si="101"/>
        <v>8414</v>
      </c>
      <c r="G1255" s="1816">
        <f t="shared" si="102"/>
        <v>6835</v>
      </c>
    </row>
    <row r="1256" spans="1:7" ht="15.75">
      <c r="A1256" s="1961">
        <f t="shared" si="103"/>
        <v>59625</v>
      </c>
      <c r="B1256" s="1815">
        <v>59600</v>
      </c>
      <c r="C1256" s="1815">
        <v>59650</v>
      </c>
      <c r="D1256" s="1816">
        <f t="shared" si="99"/>
        <v>8425</v>
      </c>
      <c r="E1256" s="1816">
        <f t="shared" si="100"/>
        <v>6715</v>
      </c>
      <c r="F1256" s="1816">
        <f t="shared" si="101"/>
        <v>8425</v>
      </c>
      <c r="G1256" s="1816">
        <f t="shared" si="102"/>
        <v>6841</v>
      </c>
    </row>
    <row r="1257" spans="1:7" ht="15.75">
      <c r="A1257" s="1961">
        <f t="shared" si="103"/>
        <v>59675</v>
      </c>
      <c r="B1257" s="1815">
        <v>59650</v>
      </c>
      <c r="C1257" s="1815">
        <v>59700</v>
      </c>
      <c r="D1257" s="1816">
        <f t="shared" si="99"/>
        <v>8436</v>
      </c>
      <c r="E1257" s="1816">
        <f t="shared" si="100"/>
        <v>6721</v>
      </c>
      <c r="F1257" s="1816">
        <f t="shared" si="101"/>
        <v>8436</v>
      </c>
      <c r="G1257" s="1816">
        <f t="shared" si="102"/>
        <v>6847</v>
      </c>
    </row>
    <row r="1258" spans="1:7" ht="15.75">
      <c r="A1258" s="1961">
        <f t="shared" si="103"/>
        <v>59725</v>
      </c>
      <c r="B1258" s="1815">
        <v>59700</v>
      </c>
      <c r="C1258" s="1815">
        <v>59750</v>
      </c>
      <c r="D1258" s="1816">
        <f t="shared" si="99"/>
        <v>8447</v>
      </c>
      <c r="E1258" s="1816">
        <f t="shared" si="100"/>
        <v>6727</v>
      </c>
      <c r="F1258" s="1816">
        <f t="shared" si="101"/>
        <v>8447</v>
      </c>
      <c r="G1258" s="1816">
        <f t="shared" si="102"/>
        <v>6853</v>
      </c>
    </row>
    <row r="1259" spans="1:7" ht="15.75">
      <c r="A1259" s="1961">
        <f t="shared" si="103"/>
        <v>59775</v>
      </c>
      <c r="B1259" s="1815">
        <v>59750</v>
      </c>
      <c r="C1259" s="1815">
        <v>59800</v>
      </c>
      <c r="D1259" s="1816">
        <f t="shared" si="99"/>
        <v>8458</v>
      </c>
      <c r="E1259" s="1816">
        <f t="shared" si="100"/>
        <v>6733</v>
      </c>
      <c r="F1259" s="1816">
        <f t="shared" si="101"/>
        <v>8458</v>
      </c>
      <c r="G1259" s="1816">
        <f t="shared" si="102"/>
        <v>6859</v>
      </c>
    </row>
    <row r="1260" spans="1:7" ht="15.75">
      <c r="A1260" s="1961">
        <f t="shared" si="103"/>
        <v>59825</v>
      </c>
      <c r="B1260" s="1815">
        <v>59800</v>
      </c>
      <c r="C1260" s="1815">
        <v>59850</v>
      </c>
      <c r="D1260" s="1816">
        <f t="shared" si="99"/>
        <v>8469</v>
      </c>
      <c r="E1260" s="1816">
        <f t="shared" si="100"/>
        <v>6739</v>
      </c>
      <c r="F1260" s="1816">
        <f t="shared" si="101"/>
        <v>8469</v>
      </c>
      <c r="G1260" s="1816">
        <f t="shared" si="102"/>
        <v>6865</v>
      </c>
    </row>
    <row r="1261" spans="1:7" ht="15.75">
      <c r="A1261" s="1961">
        <f t="shared" si="103"/>
        <v>59875</v>
      </c>
      <c r="B1261" s="1815">
        <v>59850</v>
      </c>
      <c r="C1261" s="1815">
        <v>59900</v>
      </c>
      <c r="D1261" s="1816">
        <f t="shared" si="99"/>
        <v>8480</v>
      </c>
      <c r="E1261" s="1816">
        <f t="shared" si="100"/>
        <v>6745</v>
      </c>
      <c r="F1261" s="1816">
        <f t="shared" si="101"/>
        <v>8480</v>
      </c>
      <c r="G1261" s="1816">
        <f t="shared" si="102"/>
        <v>6874</v>
      </c>
    </row>
    <row r="1262" spans="1:7" ht="15.75">
      <c r="A1262" s="1961">
        <f t="shared" si="103"/>
        <v>59925</v>
      </c>
      <c r="B1262" s="1815">
        <v>59900</v>
      </c>
      <c r="C1262" s="1815">
        <v>59950</v>
      </c>
      <c r="D1262" s="1816">
        <f t="shared" si="99"/>
        <v>8491</v>
      </c>
      <c r="E1262" s="1816">
        <f t="shared" si="100"/>
        <v>6751</v>
      </c>
      <c r="F1262" s="1816">
        <f t="shared" si="101"/>
        <v>8491</v>
      </c>
      <c r="G1262" s="1816">
        <f t="shared" si="102"/>
        <v>6885</v>
      </c>
    </row>
    <row r="1263" spans="1:7" ht="15.75">
      <c r="A1263" s="1961">
        <f t="shared" si="103"/>
        <v>59975</v>
      </c>
      <c r="B1263" s="1815">
        <v>59950</v>
      </c>
      <c r="C1263" s="1815">
        <v>60000</v>
      </c>
      <c r="D1263" s="1816">
        <f t="shared" si="99"/>
        <v>8502</v>
      </c>
      <c r="E1263" s="1816">
        <f t="shared" si="100"/>
        <v>6757</v>
      </c>
      <c r="F1263" s="1816">
        <f t="shared" si="101"/>
        <v>8502</v>
      </c>
      <c r="G1263" s="1816">
        <f t="shared" si="102"/>
        <v>6896</v>
      </c>
    </row>
    <row r="1264" spans="1:7" ht="15.75">
      <c r="A1264" s="1961">
        <f t="shared" si="103"/>
        <v>60025</v>
      </c>
      <c r="B1264" s="1815">
        <v>60000</v>
      </c>
      <c r="C1264" s="1815">
        <v>60050</v>
      </c>
      <c r="D1264" s="1816">
        <f t="shared" si="99"/>
        <v>8513</v>
      </c>
      <c r="E1264" s="1816">
        <f t="shared" si="100"/>
        <v>6763</v>
      </c>
      <c r="F1264" s="1816">
        <f t="shared" si="101"/>
        <v>8513</v>
      </c>
      <c r="G1264" s="1816">
        <f t="shared" si="102"/>
        <v>6907</v>
      </c>
    </row>
    <row r="1265" spans="1:7" ht="15.75">
      <c r="A1265" s="1961">
        <f t="shared" si="103"/>
        <v>60075</v>
      </c>
      <c r="B1265" s="1815">
        <v>60050</v>
      </c>
      <c r="C1265" s="1815">
        <v>60100</v>
      </c>
      <c r="D1265" s="1816">
        <f t="shared" si="99"/>
        <v>8524</v>
      </c>
      <c r="E1265" s="1816">
        <f t="shared" si="100"/>
        <v>6769</v>
      </c>
      <c r="F1265" s="1816">
        <f t="shared" si="101"/>
        <v>8524</v>
      </c>
      <c r="G1265" s="1816">
        <f t="shared" si="102"/>
        <v>6918</v>
      </c>
    </row>
    <row r="1266" spans="1:7" ht="15.75">
      <c r="A1266" s="1961">
        <f t="shared" si="103"/>
        <v>60125</v>
      </c>
      <c r="B1266" s="1815">
        <v>60100</v>
      </c>
      <c r="C1266" s="1815">
        <v>60150</v>
      </c>
      <c r="D1266" s="1816">
        <f t="shared" si="99"/>
        <v>8535</v>
      </c>
      <c r="E1266" s="1816">
        <f t="shared" si="100"/>
        <v>6775</v>
      </c>
      <c r="F1266" s="1816">
        <f t="shared" si="101"/>
        <v>8535</v>
      </c>
      <c r="G1266" s="1816">
        <f t="shared" si="102"/>
        <v>6929</v>
      </c>
    </row>
    <row r="1267" spans="1:7" ht="15.75">
      <c r="A1267" s="1961">
        <f t="shared" si="103"/>
        <v>60175</v>
      </c>
      <c r="B1267" s="1815">
        <v>60150</v>
      </c>
      <c r="C1267" s="1815">
        <v>60200</v>
      </c>
      <c r="D1267" s="1816">
        <f t="shared" si="99"/>
        <v>8546</v>
      </c>
      <c r="E1267" s="1816">
        <f t="shared" si="100"/>
        <v>6781</v>
      </c>
      <c r="F1267" s="1816">
        <f t="shared" si="101"/>
        <v>8546</v>
      </c>
      <c r="G1267" s="1816">
        <f t="shared" si="102"/>
        <v>6940</v>
      </c>
    </row>
    <row r="1268" spans="1:7" ht="15.75">
      <c r="A1268" s="1961">
        <f t="shared" si="103"/>
        <v>60225</v>
      </c>
      <c r="B1268" s="1815">
        <v>60200</v>
      </c>
      <c r="C1268" s="1815">
        <v>60250</v>
      </c>
      <c r="D1268" s="1816">
        <f t="shared" si="99"/>
        <v>8557</v>
      </c>
      <c r="E1268" s="1816">
        <f t="shared" si="100"/>
        <v>6787</v>
      </c>
      <c r="F1268" s="1816">
        <f t="shared" si="101"/>
        <v>8557</v>
      </c>
      <c r="G1268" s="1816">
        <f t="shared" si="102"/>
        <v>6951</v>
      </c>
    </row>
    <row r="1269" spans="1:7" ht="15.75">
      <c r="A1269" s="1961">
        <f t="shared" si="103"/>
        <v>60275</v>
      </c>
      <c r="B1269" s="1815">
        <v>60250</v>
      </c>
      <c r="C1269" s="1815">
        <v>60300</v>
      </c>
      <c r="D1269" s="1816">
        <f t="shared" si="99"/>
        <v>8568</v>
      </c>
      <c r="E1269" s="1816">
        <f t="shared" si="100"/>
        <v>6793</v>
      </c>
      <c r="F1269" s="1816">
        <f t="shared" si="101"/>
        <v>8568</v>
      </c>
      <c r="G1269" s="1816">
        <f t="shared" si="102"/>
        <v>6962</v>
      </c>
    </row>
    <row r="1270" spans="1:7" ht="15.75">
      <c r="A1270" s="1961">
        <f t="shared" si="103"/>
        <v>60325</v>
      </c>
      <c r="B1270" s="1815">
        <v>60300</v>
      </c>
      <c r="C1270" s="1815">
        <v>60350</v>
      </c>
      <c r="D1270" s="1816">
        <f t="shared" si="99"/>
        <v>8579</v>
      </c>
      <c r="E1270" s="1816">
        <f t="shared" si="100"/>
        <v>6799</v>
      </c>
      <c r="F1270" s="1816">
        <f t="shared" si="101"/>
        <v>8579</v>
      </c>
      <c r="G1270" s="1816">
        <f t="shared" si="102"/>
        <v>6973</v>
      </c>
    </row>
    <row r="1271" spans="1:7" ht="15.75">
      <c r="A1271" s="1961">
        <f t="shared" si="103"/>
        <v>60375</v>
      </c>
      <c r="B1271" s="1815">
        <v>60350</v>
      </c>
      <c r="C1271" s="1815">
        <v>60400</v>
      </c>
      <c r="D1271" s="1816">
        <f t="shared" si="99"/>
        <v>8590</v>
      </c>
      <c r="E1271" s="1816">
        <f t="shared" si="100"/>
        <v>6805</v>
      </c>
      <c r="F1271" s="1816">
        <f t="shared" si="101"/>
        <v>8590</v>
      </c>
      <c r="G1271" s="1816">
        <f t="shared" si="102"/>
        <v>6984</v>
      </c>
    </row>
    <row r="1272" spans="1:7" ht="15.75">
      <c r="A1272" s="1961">
        <f t="shared" si="103"/>
        <v>60425</v>
      </c>
      <c r="B1272" s="1815">
        <v>60400</v>
      </c>
      <c r="C1272" s="1815">
        <v>60450</v>
      </c>
      <c r="D1272" s="1816">
        <f t="shared" si="99"/>
        <v>8601</v>
      </c>
      <c r="E1272" s="1816">
        <f t="shared" si="100"/>
        <v>6811</v>
      </c>
      <c r="F1272" s="1816">
        <f t="shared" si="101"/>
        <v>8601</v>
      </c>
      <c r="G1272" s="1816">
        <f t="shared" si="102"/>
        <v>6995</v>
      </c>
    </row>
    <row r="1273" spans="1:7" ht="15.75">
      <c r="A1273" s="1961">
        <f t="shared" si="103"/>
        <v>60475</v>
      </c>
      <c r="B1273" s="1815">
        <v>60450</v>
      </c>
      <c r="C1273" s="1815">
        <v>60500</v>
      </c>
      <c r="D1273" s="1816">
        <f t="shared" si="99"/>
        <v>8612</v>
      </c>
      <c r="E1273" s="1816">
        <f t="shared" si="100"/>
        <v>6817</v>
      </c>
      <c r="F1273" s="1816">
        <f t="shared" si="101"/>
        <v>8612</v>
      </c>
      <c r="G1273" s="1816">
        <f t="shared" si="102"/>
        <v>7006</v>
      </c>
    </row>
    <row r="1274" spans="1:7" ht="15.75">
      <c r="A1274" s="1961">
        <f t="shared" si="103"/>
        <v>60525</v>
      </c>
      <c r="B1274" s="1815">
        <v>60500</v>
      </c>
      <c r="C1274" s="1815">
        <v>60550</v>
      </c>
      <c r="D1274" s="1816">
        <f t="shared" si="99"/>
        <v>8623</v>
      </c>
      <c r="E1274" s="1816">
        <f t="shared" si="100"/>
        <v>6823</v>
      </c>
      <c r="F1274" s="1816">
        <f t="shared" si="101"/>
        <v>8623</v>
      </c>
      <c r="G1274" s="1816">
        <f t="shared" si="102"/>
        <v>7017</v>
      </c>
    </row>
    <row r="1275" spans="1:7" ht="15.75">
      <c r="A1275" s="1961">
        <f t="shared" si="103"/>
        <v>60575</v>
      </c>
      <c r="B1275" s="1815">
        <v>60550</v>
      </c>
      <c r="C1275" s="1815">
        <v>60600</v>
      </c>
      <c r="D1275" s="1816">
        <f t="shared" si="99"/>
        <v>8634</v>
      </c>
      <c r="E1275" s="1816">
        <f t="shared" si="100"/>
        <v>6829</v>
      </c>
      <c r="F1275" s="1816">
        <f t="shared" si="101"/>
        <v>8634</v>
      </c>
      <c r="G1275" s="1816">
        <f t="shared" si="102"/>
        <v>7028</v>
      </c>
    </row>
    <row r="1276" spans="1:7" ht="15.75">
      <c r="A1276" s="1961">
        <f t="shared" si="103"/>
        <v>60625</v>
      </c>
      <c r="B1276" s="1815">
        <v>60600</v>
      </c>
      <c r="C1276" s="1815">
        <v>60650</v>
      </c>
      <c r="D1276" s="1816">
        <f t="shared" si="99"/>
        <v>8645</v>
      </c>
      <c r="E1276" s="1816">
        <f t="shared" si="100"/>
        <v>6835</v>
      </c>
      <c r="F1276" s="1816">
        <f t="shared" si="101"/>
        <v>8645</v>
      </c>
      <c r="G1276" s="1816">
        <f t="shared" si="102"/>
        <v>7039</v>
      </c>
    </row>
    <row r="1277" spans="1:7" ht="15.75">
      <c r="A1277" s="1961">
        <f t="shared" si="103"/>
        <v>60675</v>
      </c>
      <c r="B1277" s="1815">
        <v>60650</v>
      </c>
      <c r="C1277" s="1815">
        <v>60700</v>
      </c>
      <c r="D1277" s="1816">
        <f t="shared" si="99"/>
        <v>8656</v>
      </c>
      <c r="E1277" s="1816">
        <f t="shared" si="100"/>
        <v>6841</v>
      </c>
      <c r="F1277" s="1816">
        <f t="shared" si="101"/>
        <v>8656</v>
      </c>
      <c r="G1277" s="1816">
        <f t="shared" si="102"/>
        <v>7050</v>
      </c>
    </row>
    <row r="1278" spans="1:7" ht="15.75">
      <c r="A1278" s="1961">
        <f t="shared" si="103"/>
        <v>60725</v>
      </c>
      <c r="B1278" s="1815">
        <v>60700</v>
      </c>
      <c r="C1278" s="1815">
        <v>60750</v>
      </c>
      <c r="D1278" s="1816">
        <f t="shared" si="99"/>
        <v>8667</v>
      </c>
      <c r="E1278" s="1816">
        <f t="shared" si="100"/>
        <v>6847</v>
      </c>
      <c r="F1278" s="1816">
        <f t="shared" si="101"/>
        <v>8667</v>
      </c>
      <c r="G1278" s="1816">
        <f t="shared" si="102"/>
        <v>7061</v>
      </c>
    </row>
    <row r="1279" spans="1:7" ht="15.75">
      <c r="A1279" s="1961">
        <f t="shared" si="103"/>
        <v>60775</v>
      </c>
      <c r="B1279" s="1815">
        <v>60750</v>
      </c>
      <c r="C1279" s="1815">
        <v>60800</v>
      </c>
      <c r="D1279" s="1816">
        <f t="shared" si="99"/>
        <v>8678</v>
      </c>
      <c r="E1279" s="1816">
        <f t="shared" si="100"/>
        <v>6853</v>
      </c>
      <c r="F1279" s="1816">
        <f t="shared" si="101"/>
        <v>8678</v>
      </c>
      <c r="G1279" s="1816">
        <f t="shared" si="102"/>
        <v>7072</v>
      </c>
    </row>
    <row r="1280" spans="1:7" ht="15.75">
      <c r="A1280" s="1961">
        <f t="shared" si="103"/>
        <v>60825</v>
      </c>
      <c r="B1280" s="1815">
        <v>60800</v>
      </c>
      <c r="C1280" s="1815">
        <v>60850</v>
      </c>
      <c r="D1280" s="1816">
        <f t="shared" si="99"/>
        <v>8689</v>
      </c>
      <c r="E1280" s="1816">
        <f t="shared" si="100"/>
        <v>6859</v>
      </c>
      <c r="F1280" s="1816">
        <f t="shared" si="101"/>
        <v>8689</v>
      </c>
      <c r="G1280" s="1816">
        <f t="shared" si="102"/>
        <v>7083</v>
      </c>
    </row>
    <row r="1281" spans="1:7" ht="15.75">
      <c r="A1281" s="1961">
        <f t="shared" si="103"/>
        <v>60875</v>
      </c>
      <c r="B1281" s="1815">
        <v>60850</v>
      </c>
      <c r="C1281" s="1815">
        <v>60900</v>
      </c>
      <c r="D1281" s="1816">
        <f t="shared" si="99"/>
        <v>8700</v>
      </c>
      <c r="E1281" s="1816">
        <f t="shared" si="100"/>
        <v>6865</v>
      </c>
      <c r="F1281" s="1816">
        <f t="shared" si="101"/>
        <v>8700</v>
      </c>
      <c r="G1281" s="1816">
        <f t="shared" si="102"/>
        <v>7094</v>
      </c>
    </row>
    <row r="1282" spans="1:7" ht="15.75">
      <c r="A1282" s="1961">
        <f t="shared" si="103"/>
        <v>60925</v>
      </c>
      <c r="B1282" s="1815">
        <v>60900</v>
      </c>
      <c r="C1282" s="1815">
        <v>60950</v>
      </c>
      <c r="D1282" s="1816">
        <f t="shared" ref="D1282:D1345" si="104">IF($A1282&gt;BOTT_A4,ROUND(BASE_A4+RATE_A4*($A1282-BOTT_A4),0),IF($A1282&gt;BOTT_A3,ROUND(BASE_A3+RATE_A3*($A1282-BOTT_A3),0),IF($A1282&gt;BOTT_A2,ROUND(BASE_A2+RATE_A2*($A1282-BOTT_A2),0),ROUND(RATE_A1*$A1282,0))))</f>
        <v>8711</v>
      </c>
      <c r="E1282" s="1816">
        <f t="shared" ref="E1282:E1345" si="105">IF($A1282&gt;BOTT_B4,ROUND(BASE_B4+RATE_B4*($A1282-BOTT_B4),0),IF($A1282&gt;BOTT_B3,ROUND(BASE_B3+RATE_B3*($A1282-BOTT_B3),0),IF($A1282&gt;BOTT_B2,ROUND(BASE_B2+RATE_B2*($A1282-BOTT_B2),0),ROUND(RATE_B1*$A1282,0))))</f>
        <v>6871</v>
      </c>
      <c r="F1282" s="1816">
        <f t="shared" ref="F1282:F1345" si="106">IF($A1282&gt;BOTT_C4,ROUND(BASE_C4+RATE_C4*($A1282-BOTT_C4),0),IF($A1282&gt;BOTT_C3,ROUND(BASE_C3+RATE_C3*($A1282-BOTT_C3),0),IF($A1282&gt;BOTT_C2,ROUND(BASE_C2+RATE_C2*($A1282-BOTT_C2),0),ROUND(RATE_C1*$A1282,0))))</f>
        <v>8711</v>
      </c>
      <c r="G1282" s="1816">
        <f t="shared" ref="G1282:G1345" si="107">IF($A1282&gt;BOTT_D4,ROUND(BASE_D4+RATE_D4*($A1282-BOTT_D4),0),IF($A1282&gt;BOTT_D3,ROUND(BASE_D3+RATE_D3*($A1282-BOTT_D3),0),IF($A1282&gt;BOTT_D2,ROUND(BASE_D2+RATE_D2*($A1282-BOTT_D2),0),ROUND(RATE_D1*$A1282,0))))</f>
        <v>7105</v>
      </c>
    </row>
    <row r="1283" spans="1:7" ht="15.75">
      <c r="A1283" s="1961">
        <f t="shared" ref="A1283:A1346" si="108">AVERAGE(B1283,C1283)</f>
        <v>60975</v>
      </c>
      <c r="B1283" s="1815">
        <v>60950</v>
      </c>
      <c r="C1283" s="1815">
        <v>61000</v>
      </c>
      <c r="D1283" s="1816">
        <f t="shared" si="104"/>
        <v>8722</v>
      </c>
      <c r="E1283" s="1816">
        <f t="shared" si="105"/>
        <v>6877</v>
      </c>
      <c r="F1283" s="1816">
        <f t="shared" si="106"/>
        <v>8722</v>
      </c>
      <c r="G1283" s="1816">
        <f t="shared" si="107"/>
        <v>7116</v>
      </c>
    </row>
    <row r="1284" spans="1:7" ht="15.75">
      <c r="A1284" s="1961">
        <f t="shared" si="108"/>
        <v>61025</v>
      </c>
      <c r="B1284" s="1815">
        <v>61000</v>
      </c>
      <c r="C1284" s="1815">
        <v>61050</v>
      </c>
      <c r="D1284" s="1816">
        <f t="shared" si="104"/>
        <v>8733</v>
      </c>
      <c r="E1284" s="1816">
        <f t="shared" si="105"/>
        <v>6883</v>
      </c>
      <c r="F1284" s="1816">
        <f t="shared" si="106"/>
        <v>8733</v>
      </c>
      <c r="G1284" s="1816">
        <f t="shared" si="107"/>
        <v>7127</v>
      </c>
    </row>
    <row r="1285" spans="1:7" ht="15.75">
      <c r="A1285" s="1961">
        <f t="shared" si="108"/>
        <v>61075</v>
      </c>
      <c r="B1285" s="1815">
        <v>61050</v>
      </c>
      <c r="C1285" s="1815">
        <v>61100</v>
      </c>
      <c r="D1285" s="1816">
        <f t="shared" si="104"/>
        <v>8744</v>
      </c>
      <c r="E1285" s="1816">
        <f t="shared" si="105"/>
        <v>6889</v>
      </c>
      <c r="F1285" s="1816">
        <f t="shared" si="106"/>
        <v>8744</v>
      </c>
      <c r="G1285" s="1816">
        <f t="shared" si="107"/>
        <v>7138</v>
      </c>
    </row>
    <row r="1286" spans="1:7" ht="15.75">
      <c r="A1286" s="1961">
        <f t="shared" si="108"/>
        <v>61125</v>
      </c>
      <c r="B1286" s="1815">
        <v>61100</v>
      </c>
      <c r="C1286" s="1815">
        <v>61150</v>
      </c>
      <c r="D1286" s="1816">
        <f t="shared" si="104"/>
        <v>8755</v>
      </c>
      <c r="E1286" s="1816">
        <f t="shared" si="105"/>
        <v>6895</v>
      </c>
      <c r="F1286" s="1816">
        <f t="shared" si="106"/>
        <v>8755</v>
      </c>
      <c r="G1286" s="1816">
        <f t="shared" si="107"/>
        <v>7149</v>
      </c>
    </row>
    <row r="1287" spans="1:7" ht="15.75">
      <c r="A1287" s="1961">
        <f t="shared" si="108"/>
        <v>61175</v>
      </c>
      <c r="B1287" s="1815">
        <v>61150</v>
      </c>
      <c r="C1287" s="1815">
        <v>61200</v>
      </c>
      <c r="D1287" s="1816">
        <f t="shared" si="104"/>
        <v>8766</v>
      </c>
      <c r="E1287" s="1816">
        <f t="shared" si="105"/>
        <v>6901</v>
      </c>
      <c r="F1287" s="1816">
        <f t="shared" si="106"/>
        <v>8766</v>
      </c>
      <c r="G1287" s="1816">
        <f t="shared" si="107"/>
        <v>7160</v>
      </c>
    </row>
    <row r="1288" spans="1:7" ht="15.75">
      <c r="A1288" s="1961">
        <f t="shared" si="108"/>
        <v>61225</v>
      </c>
      <c r="B1288" s="1815">
        <v>61200</v>
      </c>
      <c r="C1288" s="1815">
        <v>61250</v>
      </c>
      <c r="D1288" s="1816">
        <f t="shared" si="104"/>
        <v>8777</v>
      </c>
      <c r="E1288" s="1816">
        <f t="shared" si="105"/>
        <v>6907</v>
      </c>
      <c r="F1288" s="1816">
        <f t="shared" si="106"/>
        <v>8777</v>
      </c>
      <c r="G1288" s="1816">
        <f t="shared" si="107"/>
        <v>7171</v>
      </c>
    </row>
    <row r="1289" spans="1:7" ht="15.75">
      <c r="A1289" s="1961">
        <f t="shared" si="108"/>
        <v>61275</v>
      </c>
      <c r="B1289" s="1815">
        <v>61250</v>
      </c>
      <c r="C1289" s="1815">
        <v>61300</v>
      </c>
      <c r="D1289" s="1816">
        <f t="shared" si="104"/>
        <v>8788</v>
      </c>
      <c r="E1289" s="1816">
        <f t="shared" si="105"/>
        <v>6913</v>
      </c>
      <c r="F1289" s="1816">
        <f t="shared" si="106"/>
        <v>8788</v>
      </c>
      <c r="G1289" s="1816">
        <f t="shared" si="107"/>
        <v>7182</v>
      </c>
    </row>
    <row r="1290" spans="1:7" ht="15.75">
      <c r="A1290" s="1961">
        <f t="shared" si="108"/>
        <v>61325</v>
      </c>
      <c r="B1290" s="1815">
        <v>61300</v>
      </c>
      <c r="C1290" s="1815">
        <v>61350</v>
      </c>
      <c r="D1290" s="1816">
        <f t="shared" si="104"/>
        <v>8799</v>
      </c>
      <c r="E1290" s="1816">
        <f t="shared" si="105"/>
        <v>6919</v>
      </c>
      <c r="F1290" s="1816">
        <f t="shared" si="106"/>
        <v>8799</v>
      </c>
      <c r="G1290" s="1816">
        <f t="shared" si="107"/>
        <v>7193</v>
      </c>
    </row>
    <row r="1291" spans="1:7" ht="15.75">
      <c r="A1291" s="1961">
        <f t="shared" si="108"/>
        <v>61375</v>
      </c>
      <c r="B1291" s="1815">
        <v>61350</v>
      </c>
      <c r="C1291" s="1815">
        <v>61400</v>
      </c>
      <c r="D1291" s="1816">
        <f t="shared" si="104"/>
        <v>8810</v>
      </c>
      <c r="E1291" s="1816">
        <f t="shared" si="105"/>
        <v>6925</v>
      </c>
      <c r="F1291" s="1816">
        <f t="shared" si="106"/>
        <v>8810</v>
      </c>
      <c r="G1291" s="1816">
        <f t="shared" si="107"/>
        <v>7204</v>
      </c>
    </row>
    <row r="1292" spans="1:7" ht="15.75">
      <c r="A1292" s="1961">
        <f t="shared" si="108"/>
        <v>61425</v>
      </c>
      <c r="B1292" s="1815">
        <v>61400</v>
      </c>
      <c r="C1292" s="1815">
        <v>61450</v>
      </c>
      <c r="D1292" s="1816">
        <f t="shared" si="104"/>
        <v>8821</v>
      </c>
      <c r="E1292" s="1816">
        <f t="shared" si="105"/>
        <v>6931</v>
      </c>
      <c r="F1292" s="1816">
        <f t="shared" si="106"/>
        <v>8821</v>
      </c>
      <c r="G1292" s="1816">
        <f t="shared" si="107"/>
        <v>7215</v>
      </c>
    </row>
    <row r="1293" spans="1:7" ht="15.75">
      <c r="A1293" s="1961">
        <f t="shared" si="108"/>
        <v>61475</v>
      </c>
      <c r="B1293" s="1815">
        <v>61450</v>
      </c>
      <c r="C1293" s="1815">
        <v>61500</v>
      </c>
      <c r="D1293" s="1816">
        <f t="shared" si="104"/>
        <v>8832</v>
      </c>
      <c r="E1293" s="1816">
        <f t="shared" si="105"/>
        <v>6937</v>
      </c>
      <c r="F1293" s="1816">
        <f t="shared" si="106"/>
        <v>8832</v>
      </c>
      <c r="G1293" s="1816">
        <f t="shared" si="107"/>
        <v>7226</v>
      </c>
    </row>
    <row r="1294" spans="1:7" ht="15.75">
      <c r="A1294" s="1961">
        <f t="shared" si="108"/>
        <v>61525</v>
      </c>
      <c r="B1294" s="1815">
        <v>61500</v>
      </c>
      <c r="C1294" s="1815">
        <v>61550</v>
      </c>
      <c r="D1294" s="1816">
        <f t="shared" si="104"/>
        <v>8843</v>
      </c>
      <c r="E1294" s="1816">
        <f t="shared" si="105"/>
        <v>6943</v>
      </c>
      <c r="F1294" s="1816">
        <f t="shared" si="106"/>
        <v>8843</v>
      </c>
      <c r="G1294" s="1816">
        <f t="shared" si="107"/>
        <v>7237</v>
      </c>
    </row>
    <row r="1295" spans="1:7" ht="15.75">
      <c r="A1295" s="1961">
        <f t="shared" si="108"/>
        <v>61575</v>
      </c>
      <c r="B1295" s="1815">
        <v>61550</v>
      </c>
      <c r="C1295" s="1815">
        <v>61600</v>
      </c>
      <c r="D1295" s="1816">
        <f t="shared" si="104"/>
        <v>8854</v>
      </c>
      <c r="E1295" s="1816">
        <f t="shared" si="105"/>
        <v>6949</v>
      </c>
      <c r="F1295" s="1816">
        <f t="shared" si="106"/>
        <v>8854</v>
      </c>
      <c r="G1295" s="1816">
        <f t="shared" si="107"/>
        <v>7248</v>
      </c>
    </row>
    <row r="1296" spans="1:7" ht="15.75">
      <c r="A1296" s="1961">
        <f t="shared" si="108"/>
        <v>61625</v>
      </c>
      <c r="B1296" s="1815">
        <v>61600</v>
      </c>
      <c r="C1296" s="1815">
        <v>61650</v>
      </c>
      <c r="D1296" s="1816">
        <f t="shared" si="104"/>
        <v>8865</v>
      </c>
      <c r="E1296" s="1816">
        <f t="shared" si="105"/>
        <v>6955</v>
      </c>
      <c r="F1296" s="1816">
        <f t="shared" si="106"/>
        <v>8865</v>
      </c>
      <c r="G1296" s="1816">
        <f t="shared" si="107"/>
        <v>7259</v>
      </c>
    </row>
    <row r="1297" spans="1:7" ht="15.75">
      <c r="A1297" s="1961">
        <f t="shared" si="108"/>
        <v>61675</v>
      </c>
      <c r="B1297" s="1815">
        <v>61650</v>
      </c>
      <c r="C1297" s="1815">
        <v>61700</v>
      </c>
      <c r="D1297" s="1816">
        <f t="shared" si="104"/>
        <v>8876</v>
      </c>
      <c r="E1297" s="1816">
        <f t="shared" si="105"/>
        <v>6961</v>
      </c>
      <c r="F1297" s="1816">
        <f t="shared" si="106"/>
        <v>8876</v>
      </c>
      <c r="G1297" s="1816">
        <f t="shared" si="107"/>
        <v>7270</v>
      </c>
    </row>
    <row r="1298" spans="1:7" ht="15.75">
      <c r="A1298" s="1961">
        <f t="shared" si="108"/>
        <v>61725</v>
      </c>
      <c r="B1298" s="1815">
        <v>61700</v>
      </c>
      <c r="C1298" s="1815">
        <v>61750</v>
      </c>
      <c r="D1298" s="1816">
        <f t="shared" si="104"/>
        <v>8887</v>
      </c>
      <c r="E1298" s="1816">
        <f t="shared" si="105"/>
        <v>6967</v>
      </c>
      <c r="F1298" s="1816">
        <f t="shared" si="106"/>
        <v>8887</v>
      </c>
      <c r="G1298" s="1816">
        <f t="shared" si="107"/>
        <v>7281</v>
      </c>
    </row>
    <row r="1299" spans="1:7" ht="15.75">
      <c r="A1299" s="1961">
        <f t="shared" si="108"/>
        <v>61775</v>
      </c>
      <c r="B1299" s="1815">
        <v>61750</v>
      </c>
      <c r="C1299" s="1815">
        <v>61800</v>
      </c>
      <c r="D1299" s="1816">
        <f t="shared" si="104"/>
        <v>8898</v>
      </c>
      <c r="E1299" s="1816">
        <f t="shared" si="105"/>
        <v>6973</v>
      </c>
      <c r="F1299" s="1816">
        <f t="shared" si="106"/>
        <v>8898</v>
      </c>
      <c r="G1299" s="1816">
        <f t="shared" si="107"/>
        <v>7292</v>
      </c>
    </row>
    <row r="1300" spans="1:7" ht="15.75">
      <c r="A1300" s="1961">
        <f t="shared" si="108"/>
        <v>61825</v>
      </c>
      <c r="B1300" s="1815">
        <v>61800</v>
      </c>
      <c r="C1300" s="1815">
        <v>61850</v>
      </c>
      <c r="D1300" s="1816">
        <f t="shared" si="104"/>
        <v>8909</v>
      </c>
      <c r="E1300" s="1816">
        <f t="shared" si="105"/>
        <v>6979</v>
      </c>
      <c r="F1300" s="1816">
        <f t="shared" si="106"/>
        <v>8909</v>
      </c>
      <c r="G1300" s="1816">
        <f t="shared" si="107"/>
        <v>7303</v>
      </c>
    </row>
    <row r="1301" spans="1:7" ht="15.75">
      <c r="A1301" s="1961">
        <f t="shared" si="108"/>
        <v>61875</v>
      </c>
      <c r="B1301" s="1815">
        <v>61850</v>
      </c>
      <c r="C1301" s="1815">
        <v>61900</v>
      </c>
      <c r="D1301" s="1816">
        <f t="shared" si="104"/>
        <v>8920</v>
      </c>
      <c r="E1301" s="1816">
        <f t="shared" si="105"/>
        <v>6985</v>
      </c>
      <c r="F1301" s="1816">
        <f t="shared" si="106"/>
        <v>8920</v>
      </c>
      <c r="G1301" s="1816">
        <f t="shared" si="107"/>
        <v>7314</v>
      </c>
    </row>
    <row r="1302" spans="1:7" ht="15.75">
      <c r="A1302" s="1961">
        <f t="shared" si="108"/>
        <v>61925</v>
      </c>
      <c r="B1302" s="1815">
        <v>61900</v>
      </c>
      <c r="C1302" s="1815">
        <v>61950</v>
      </c>
      <c r="D1302" s="1816">
        <f t="shared" si="104"/>
        <v>8931</v>
      </c>
      <c r="E1302" s="1816">
        <f t="shared" si="105"/>
        <v>6991</v>
      </c>
      <c r="F1302" s="1816">
        <f t="shared" si="106"/>
        <v>8931</v>
      </c>
      <c r="G1302" s="1816">
        <f t="shared" si="107"/>
        <v>7325</v>
      </c>
    </row>
    <row r="1303" spans="1:7" ht="15.75">
      <c r="A1303" s="1961">
        <f t="shared" si="108"/>
        <v>61975</v>
      </c>
      <c r="B1303" s="1815">
        <v>61950</v>
      </c>
      <c r="C1303" s="1815">
        <v>62000</v>
      </c>
      <c r="D1303" s="1816">
        <f t="shared" si="104"/>
        <v>8942</v>
      </c>
      <c r="E1303" s="1816">
        <f t="shared" si="105"/>
        <v>6997</v>
      </c>
      <c r="F1303" s="1816">
        <f t="shared" si="106"/>
        <v>8942</v>
      </c>
      <c r="G1303" s="1816">
        <f t="shared" si="107"/>
        <v>7336</v>
      </c>
    </row>
    <row r="1304" spans="1:7" ht="15.75">
      <c r="A1304" s="1961">
        <f t="shared" si="108"/>
        <v>62025</v>
      </c>
      <c r="B1304" s="1815">
        <v>62000</v>
      </c>
      <c r="C1304" s="1815">
        <v>62050</v>
      </c>
      <c r="D1304" s="1816">
        <f t="shared" si="104"/>
        <v>8953</v>
      </c>
      <c r="E1304" s="1816">
        <f t="shared" si="105"/>
        <v>7003</v>
      </c>
      <c r="F1304" s="1816">
        <f t="shared" si="106"/>
        <v>8953</v>
      </c>
      <c r="G1304" s="1816">
        <f t="shared" si="107"/>
        <v>7347</v>
      </c>
    </row>
    <row r="1305" spans="1:7" ht="15.75">
      <c r="A1305" s="1961">
        <f t="shared" si="108"/>
        <v>62075</v>
      </c>
      <c r="B1305" s="1815">
        <v>62050</v>
      </c>
      <c r="C1305" s="1815">
        <v>62100</v>
      </c>
      <c r="D1305" s="1816">
        <f t="shared" si="104"/>
        <v>8964</v>
      </c>
      <c r="E1305" s="1816">
        <f t="shared" si="105"/>
        <v>7009</v>
      </c>
      <c r="F1305" s="1816">
        <f t="shared" si="106"/>
        <v>8964</v>
      </c>
      <c r="G1305" s="1816">
        <f t="shared" si="107"/>
        <v>7358</v>
      </c>
    </row>
    <row r="1306" spans="1:7" ht="15.75">
      <c r="A1306" s="1961">
        <f t="shared" si="108"/>
        <v>62125</v>
      </c>
      <c r="B1306" s="1815">
        <v>62100</v>
      </c>
      <c r="C1306" s="1815">
        <v>62150</v>
      </c>
      <c r="D1306" s="1816">
        <f t="shared" si="104"/>
        <v>8975</v>
      </c>
      <c r="E1306" s="1816">
        <f t="shared" si="105"/>
        <v>7015</v>
      </c>
      <c r="F1306" s="1816">
        <f t="shared" si="106"/>
        <v>8975</v>
      </c>
      <c r="G1306" s="1816">
        <f t="shared" si="107"/>
        <v>7369</v>
      </c>
    </row>
    <row r="1307" spans="1:7" ht="15.75">
      <c r="A1307" s="1961">
        <f t="shared" si="108"/>
        <v>62175</v>
      </c>
      <c r="B1307" s="1815">
        <v>62150</v>
      </c>
      <c r="C1307" s="1815">
        <v>62200</v>
      </c>
      <c r="D1307" s="1816">
        <f t="shared" si="104"/>
        <v>8986</v>
      </c>
      <c r="E1307" s="1816">
        <f t="shared" si="105"/>
        <v>7021</v>
      </c>
      <c r="F1307" s="1816">
        <f t="shared" si="106"/>
        <v>8986</v>
      </c>
      <c r="G1307" s="1816">
        <f t="shared" si="107"/>
        <v>7380</v>
      </c>
    </row>
    <row r="1308" spans="1:7" ht="15.75">
      <c r="A1308" s="1961">
        <f t="shared" si="108"/>
        <v>62225</v>
      </c>
      <c r="B1308" s="1815">
        <v>62200</v>
      </c>
      <c r="C1308" s="1815">
        <v>62250</v>
      </c>
      <c r="D1308" s="1816">
        <f t="shared" si="104"/>
        <v>8997</v>
      </c>
      <c r="E1308" s="1816">
        <f t="shared" si="105"/>
        <v>7027</v>
      </c>
      <c r="F1308" s="1816">
        <f t="shared" si="106"/>
        <v>8997</v>
      </c>
      <c r="G1308" s="1816">
        <f t="shared" si="107"/>
        <v>7391</v>
      </c>
    </row>
    <row r="1309" spans="1:7" ht="15.75">
      <c r="A1309" s="1961">
        <f t="shared" si="108"/>
        <v>62275</v>
      </c>
      <c r="B1309" s="1815">
        <v>62250</v>
      </c>
      <c r="C1309" s="1815">
        <v>62300</v>
      </c>
      <c r="D1309" s="1816">
        <f t="shared" si="104"/>
        <v>9008</v>
      </c>
      <c r="E1309" s="1816">
        <f t="shared" si="105"/>
        <v>7033</v>
      </c>
      <c r="F1309" s="1816">
        <f t="shared" si="106"/>
        <v>9008</v>
      </c>
      <c r="G1309" s="1816">
        <f t="shared" si="107"/>
        <v>7402</v>
      </c>
    </row>
    <row r="1310" spans="1:7" ht="15.75">
      <c r="A1310" s="1961">
        <f t="shared" si="108"/>
        <v>62325</v>
      </c>
      <c r="B1310" s="1815">
        <v>62300</v>
      </c>
      <c r="C1310" s="1815">
        <v>62350</v>
      </c>
      <c r="D1310" s="1816">
        <f t="shared" si="104"/>
        <v>9019</v>
      </c>
      <c r="E1310" s="1816">
        <f t="shared" si="105"/>
        <v>7039</v>
      </c>
      <c r="F1310" s="1816">
        <f t="shared" si="106"/>
        <v>9019</v>
      </c>
      <c r="G1310" s="1816">
        <f t="shared" si="107"/>
        <v>7413</v>
      </c>
    </row>
    <row r="1311" spans="1:7" ht="15.75">
      <c r="A1311" s="1961">
        <f t="shared" si="108"/>
        <v>62375</v>
      </c>
      <c r="B1311" s="1815">
        <v>62350</v>
      </c>
      <c r="C1311" s="1815">
        <v>62400</v>
      </c>
      <c r="D1311" s="1816">
        <f t="shared" si="104"/>
        <v>9030</v>
      </c>
      <c r="E1311" s="1816">
        <f t="shared" si="105"/>
        <v>7045</v>
      </c>
      <c r="F1311" s="1816">
        <f t="shared" si="106"/>
        <v>9030</v>
      </c>
      <c r="G1311" s="1816">
        <f t="shared" si="107"/>
        <v>7424</v>
      </c>
    </row>
    <row r="1312" spans="1:7" ht="15.75">
      <c r="A1312" s="1961">
        <f t="shared" si="108"/>
        <v>62425</v>
      </c>
      <c r="B1312" s="1815">
        <v>62400</v>
      </c>
      <c r="C1312" s="1815">
        <v>62450</v>
      </c>
      <c r="D1312" s="1816">
        <f t="shared" si="104"/>
        <v>9041</v>
      </c>
      <c r="E1312" s="1816">
        <f t="shared" si="105"/>
        <v>7051</v>
      </c>
      <c r="F1312" s="1816">
        <f t="shared" si="106"/>
        <v>9041</v>
      </c>
      <c r="G1312" s="1816">
        <f t="shared" si="107"/>
        <v>7435</v>
      </c>
    </row>
    <row r="1313" spans="1:7" ht="15.75">
      <c r="A1313" s="1961">
        <f t="shared" si="108"/>
        <v>62475</v>
      </c>
      <c r="B1313" s="1815">
        <v>62450</v>
      </c>
      <c r="C1313" s="1815">
        <v>62500</v>
      </c>
      <c r="D1313" s="1816">
        <f t="shared" si="104"/>
        <v>9052</v>
      </c>
      <c r="E1313" s="1816">
        <f t="shared" si="105"/>
        <v>7057</v>
      </c>
      <c r="F1313" s="1816">
        <f t="shared" si="106"/>
        <v>9052</v>
      </c>
      <c r="G1313" s="1816">
        <f t="shared" si="107"/>
        <v>7446</v>
      </c>
    </row>
    <row r="1314" spans="1:7" ht="15.75">
      <c r="A1314" s="1961">
        <f t="shared" si="108"/>
        <v>62525</v>
      </c>
      <c r="B1314" s="1815">
        <v>62500</v>
      </c>
      <c r="C1314" s="1815">
        <v>62550</v>
      </c>
      <c r="D1314" s="1816">
        <f t="shared" si="104"/>
        <v>9063</v>
      </c>
      <c r="E1314" s="1816">
        <f t="shared" si="105"/>
        <v>7063</v>
      </c>
      <c r="F1314" s="1816">
        <f t="shared" si="106"/>
        <v>9063</v>
      </c>
      <c r="G1314" s="1816">
        <f t="shared" si="107"/>
        <v>7457</v>
      </c>
    </row>
    <row r="1315" spans="1:7" ht="15.75">
      <c r="A1315" s="1961">
        <f t="shared" si="108"/>
        <v>62575</v>
      </c>
      <c r="B1315" s="1815">
        <v>62550</v>
      </c>
      <c r="C1315" s="1815">
        <v>62600</v>
      </c>
      <c r="D1315" s="1816">
        <f t="shared" si="104"/>
        <v>9074</v>
      </c>
      <c r="E1315" s="1816">
        <f t="shared" si="105"/>
        <v>7069</v>
      </c>
      <c r="F1315" s="1816">
        <f t="shared" si="106"/>
        <v>9074</v>
      </c>
      <c r="G1315" s="1816">
        <f t="shared" si="107"/>
        <v>7468</v>
      </c>
    </row>
    <row r="1316" spans="1:7" ht="15.75">
      <c r="A1316" s="1961">
        <f t="shared" si="108"/>
        <v>62625</v>
      </c>
      <c r="B1316" s="1815">
        <v>62600</v>
      </c>
      <c r="C1316" s="1815">
        <v>62650</v>
      </c>
      <c r="D1316" s="1816">
        <f t="shared" si="104"/>
        <v>9085</v>
      </c>
      <c r="E1316" s="1816">
        <f t="shared" si="105"/>
        <v>7075</v>
      </c>
      <c r="F1316" s="1816">
        <f t="shared" si="106"/>
        <v>9085</v>
      </c>
      <c r="G1316" s="1816">
        <f t="shared" si="107"/>
        <v>7479</v>
      </c>
    </row>
    <row r="1317" spans="1:7" ht="15.75">
      <c r="A1317" s="1961">
        <f t="shared" si="108"/>
        <v>62675</v>
      </c>
      <c r="B1317" s="1815">
        <v>62650</v>
      </c>
      <c r="C1317" s="1815">
        <v>62700</v>
      </c>
      <c r="D1317" s="1816">
        <f t="shared" si="104"/>
        <v>9096</v>
      </c>
      <c r="E1317" s="1816">
        <f t="shared" si="105"/>
        <v>7081</v>
      </c>
      <c r="F1317" s="1816">
        <f t="shared" si="106"/>
        <v>9096</v>
      </c>
      <c r="G1317" s="1816">
        <f t="shared" si="107"/>
        <v>7490</v>
      </c>
    </row>
    <row r="1318" spans="1:7" ht="15.75">
      <c r="A1318" s="1961">
        <f t="shared" si="108"/>
        <v>62725</v>
      </c>
      <c r="B1318" s="1815">
        <v>62700</v>
      </c>
      <c r="C1318" s="1815">
        <v>62750</v>
      </c>
      <c r="D1318" s="1816">
        <f t="shared" si="104"/>
        <v>9107</v>
      </c>
      <c r="E1318" s="1816">
        <f t="shared" si="105"/>
        <v>7087</v>
      </c>
      <c r="F1318" s="1816">
        <f t="shared" si="106"/>
        <v>9107</v>
      </c>
      <c r="G1318" s="1816">
        <f t="shared" si="107"/>
        <v>7501</v>
      </c>
    </row>
    <row r="1319" spans="1:7" ht="15.75">
      <c r="A1319" s="1961">
        <f t="shared" si="108"/>
        <v>62775</v>
      </c>
      <c r="B1319" s="1815">
        <v>62750</v>
      </c>
      <c r="C1319" s="1815">
        <v>62800</v>
      </c>
      <c r="D1319" s="1816">
        <f t="shared" si="104"/>
        <v>9118</v>
      </c>
      <c r="E1319" s="1816">
        <f t="shared" si="105"/>
        <v>7093</v>
      </c>
      <c r="F1319" s="1816">
        <f t="shared" si="106"/>
        <v>9118</v>
      </c>
      <c r="G1319" s="1816">
        <f t="shared" si="107"/>
        <v>7512</v>
      </c>
    </row>
    <row r="1320" spans="1:7" ht="15.75">
      <c r="A1320" s="1961">
        <f t="shared" si="108"/>
        <v>62825</v>
      </c>
      <c r="B1320" s="1815">
        <v>62800</v>
      </c>
      <c r="C1320" s="1815">
        <v>62850</v>
      </c>
      <c r="D1320" s="1816">
        <f t="shared" si="104"/>
        <v>9129</v>
      </c>
      <c r="E1320" s="1816">
        <f t="shared" si="105"/>
        <v>7099</v>
      </c>
      <c r="F1320" s="1816">
        <f t="shared" si="106"/>
        <v>9129</v>
      </c>
      <c r="G1320" s="1816">
        <f t="shared" si="107"/>
        <v>7523</v>
      </c>
    </row>
    <row r="1321" spans="1:7" ht="15.75">
      <c r="A1321" s="1961">
        <f t="shared" si="108"/>
        <v>62875</v>
      </c>
      <c r="B1321" s="1815">
        <v>62850</v>
      </c>
      <c r="C1321" s="1815">
        <v>62900</v>
      </c>
      <c r="D1321" s="1816">
        <f t="shared" si="104"/>
        <v>9140</v>
      </c>
      <c r="E1321" s="1816">
        <f t="shared" si="105"/>
        <v>7105</v>
      </c>
      <c r="F1321" s="1816">
        <f t="shared" si="106"/>
        <v>9140</v>
      </c>
      <c r="G1321" s="1816">
        <f t="shared" si="107"/>
        <v>7534</v>
      </c>
    </row>
    <row r="1322" spans="1:7" ht="15.75">
      <c r="A1322" s="1961">
        <f t="shared" si="108"/>
        <v>62925</v>
      </c>
      <c r="B1322" s="1815">
        <v>62900</v>
      </c>
      <c r="C1322" s="1815">
        <v>62950</v>
      </c>
      <c r="D1322" s="1816">
        <f t="shared" si="104"/>
        <v>9151</v>
      </c>
      <c r="E1322" s="1816">
        <f t="shared" si="105"/>
        <v>7111</v>
      </c>
      <c r="F1322" s="1816">
        <f t="shared" si="106"/>
        <v>9151</v>
      </c>
      <c r="G1322" s="1816">
        <f t="shared" si="107"/>
        <v>7545</v>
      </c>
    </row>
    <row r="1323" spans="1:7" ht="15.75">
      <c r="A1323" s="1961">
        <f t="shared" si="108"/>
        <v>62975</v>
      </c>
      <c r="B1323" s="1815">
        <v>62950</v>
      </c>
      <c r="C1323" s="1815">
        <v>63000</v>
      </c>
      <c r="D1323" s="1816">
        <f t="shared" si="104"/>
        <v>9162</v>
      </c>
      <c r="E1323" s="1816">
        <f t="shared" si="105"/>
        <v>7117</v>
      </c>
      <c r="F1323" s="1816">
        <f t="shared" si="106"/>
        <v>9162</v>
      </c>
      <c r="G1323" s="1816">
        <f t="shared" si="107"/>
        <v>7556</v>
      </c>
    </row>
    <row r="1324" spans="1:7" ht="15.75">
      <c r="A1324" s="1961">
        <f t="shared" si="108"/>
        <v>63025</v>
      </c>
      <c r="B1324" s="1815">
        <v>63000</v>
      </c>
      <c r="C1324" s="1815">
        <v>63050</v>
      </c>
      <c r="D1324" s="1816">
        <f t="shared" si="104"/>
        <v>9173</v>
      </c>
      <c r="E1324" s="1816">
        <f t="shared" si="105"/>
        <v>7123</v>
      </c>
      <c r="F1324" s="1816">
        <f t="shared" si="106"/>
        <v>9173</v>
      </c>
      <c r="G1324" s="1816">
        <f t="shared" si="107"/>
        <v>7567</v>
      </c>
    </row>
    <row r="1325" spans="1:7" ht="15.75">
      <c r="A1325" s="1961">
        <f t="shared" si="108"/>
        <v>63075</v>
      </c>
      <c r="B1325" s="1815">
        <v>63050</v>
      </c>
      <c r="C1325" s="1815">
        <v>63100</v>
      </c>
      <c r="D1325" s="1816">
        <f t="shared" si="104"/>
        <v>9184</v>
      </c>
      <c r="E1325" s="1816">
        <f t="shared" si="105"/>
        <v>7129</v>
      </c>
      <c r="F1325" s="1816">
        <f t="shared" si="106"/>
        <v>9184</v>
      </c>
      <c r="G1325" s="1816">
        <f t="shared" si="107"/>
        <v>7578</v>
      </c>
    </row>
    <row r="1326" spans="1:7" ht="15.75">
      <c r="A1326" s="1961">
        <f t="shared" si="108"/>
        <v>63125</v>
      </c>
      <c r="B1326" s="1815">
        <v>63100</v>
      </c>
      <c r="C1326" s="1815">
        <v>63150</v>
      </c>
      <c r="D1326" s="1816">
        <f t="shared" si="104"/>
        <v>9195</v>
      </c>
      <c r="E1326" s="1816">
        <f t="shared" si="105"/>
        <v>7135</v>
      </c>
      <c r="F1326" s="1816">
        <f t="shared" si="106"/>
        <v>9195</v>
      </c>
      <c r="G1326" s="1816">
        <f t="shared" si="107"/>
        <v>7589</v>
      </c>
    </row>
    <row r="1327" spans="1:7" ht="15.75">
      <c r="A1327" s="1961">
        <f t="shared" si="108"/>
        <v>63175</v>
      </c>
      <c r="B1327" s="1815">
        <v>63150</v>
      </c>
      <c r="C1327" s="1815">
        <v>63200</v>
      </c>
      <c r="D1327" s="1816">
        <f t="shared" si="104"/>
        <v>9206</v>
      </c>
      <c r="E1327" s="1816">
        <f t="shared" si="105"/>
        <v>7141</v>
      </c>
      <c r="F1327" s="1816">
        <f t="shared" si="106"/>
        <v>9206</v>
      </c>
      <c r="G1327" s="1816">
        <f t="shared" si="107"/>
        <v>7600</v>
      </c>
    </row>
    <row r="1328" spans="1:7" ht="15.75">
      <c r="A1328" s="1961">
        <f t="shared" si="108"/>
        <v>63225</v>
      </c>
      <c r="B1328" s="1815">
        <v>63200</v>
      </c>
      <c r="C1328" s="1815">
        <v>63250</v>
      </c>
      <c r="D1328" s="1816">
        <f t="shared" si="104"/>
        <v>9217</v>
      </c>
      <c r="E1328" s="1816">
        <f t="shared" si="105"/>
        <v>7147</v>
      </c>
      <c r="F1328" s="1816">
        <f t="shared" si="106"/>
        <v>9217</v>
      </c>
      <c r="G1328" s="1816">
        <f t="shared" si="107"/>
        <v>7611</v>
      </c>
    </row>
    <row r="1329" spans="1:7" ht="15.75">
      <c r="A1329" s="1961">
        <f t="shared" si="108"/>
        <v>63275</v>
      </c>
      <c r="B1329" s="1815">
        <v>63250</v>
      </c>
      <c r="C1329" s="1815">
        <v>63300</v>
      </c>
      <c r="D1329" s="1816">
        <f t="shared" si="104"/>
        <v>9228</v>
      </c>
      <c r="E1329" s="1816">
        <f t="shared" si="105"/>
        <v>7153</v>
      </c>
      <c r="F1329" s="1816">
        <f t="shared" si="106"/>
        <v>9228</v>
      </c>
      <c r="G1329" s="1816">
        <f t="shared" si="107"/>
        <v>7622</v>
      </c>
    </row>
    <row r="1330" spans="1:7" ht="15.75">
      <c r="A1330" s="1961">
        <f t="shared" si="108"/>
        <v>63325</v>
      </c>
      <c r="B1330" s="1815">
        <v>63300</v>
      </c>
      <c r="C1330" s="1815">
        <v>63350</v>
      </c>
      <c r="D1330" s="1816">
        <f t="shared" si="104"/>
        <v>9239</v>
      </c>
      <c r="E1330" s="1816">
        <f t="shared" si="105"/>
        <v>7159</v>
      </c>
      <c r="F1330" s="1816">
        <f t="shared" si="106"/>
        <v>9239</v>
      </c>
      <c r="G1330" s="1816">
        <f t="shared" si="107"/>
        <v>7633</v>
      </c>
    </row>
    <row r="1331" spans="1:7" ht="15.75">
      <c r="A1331" s="1961">
        <f t="shared" si="108"/>
        <v>63375</v>
      </c>
      <c r="B1331" s="1815">
        <v>63350</v>
      </c>
      <c r="C1331" s="1815">
        <v>63400</v>
      </c>
      <c r="D1331" s="1816">
        <f t="shared" si="104"/>
        <v>9250</v>
      </c>
      <c r="E1331" s="1816">
        <f t="shared" si="105"/>
        <v>7165</v>
      </c>
      <c r="F1331" s="1816">
        <f t="shared" si="106"/>
        <v>9250</v>
      </c>
      <c r="G1331" s="1816">
        <f t="shared" si="107"/>
        <v>7644</v>
      </c>
    </row>
    <row r="1332" spans="1:7" ht="15.75">
      <c r="A1332" s="1961">
        <f t="shared" si="108"/>
        <v>63425</v>
      </c>
      <c r="B1332" s="1815">
        <v>63400</v>
      </c>
      <c r="C1332" s="1815">
        <v>63450</v>
      </c>
      <c r="D1332" s="1816">
        <f t="shared" si="104"/>
        <v>9261</v>
      </c>
      <c r="E1332" s="1816">
        <f t="shared" si="105"/>
        <v>7171</v>
      </c>
      <c r="F1332" s="1816">
        <f t="shared" si="106"/>
        <v>9261</v>
      </c>
      <c r="G1332" s="1816">
        <f t="shared" si="107"/>
        <v>7655</v>
      </c>
    </row>
    <row r="1333" spans="1:7" ht="15.75">
      <c r="A1333" s="1961">
        <f t="shared" si="108"/>
        <v>63475</v>
      </c>
      <c r="B1333" s="1815">
        <v>63450</v>
      </c>
      <c r="C1333" s="1815">
        <v>63500</v>
      </c>
      <c r="D1333" s="1816">
        <f t="shared" si="104"/>
        <v>9272</v>
      </c>
      <c r="E1333" s="1816">
        <f t="shared" si="105"/>
        <v>7177</v>
      </c>
      <c r="F1333" s="1816">
        <f t="shared" si="106"/>
        <v>9272</v>
      </c>
      <c r="G1333" s="1816">
        <f t="shared" si="107"/>
        <v>7666</v>
      </c>
    </row>
    <row r="1334" spans="1:7" ht="15.75">
      <c r="A1334" s="1961">
        <f t="shared" si="108"/>
        <v>63525</v>
      </c>
      <c r="B1334" s="1815">
        <v>63500</v>
      </c>
      <c r="C1334" s="1815">
        <v>63550</v>
      </c>
      <c r="D1334" s="1816">
        <f t="shared" si="104"/>
        <v>9283</v>
      </c>
      <c r="E1334" s="1816">
        <f t="shared" si="105"/>
        <v>7183</v>
      </c>
      <c r="F1334" s="1816">
        <f t="shared" si="106"/>
        <v>9283</v>
      </c>
      <c r="G1334" s="1816">
        <f t="shared" si="107"/>
        <v>7677</v>
      </c>
    </row>
    <row r="1335" spans="1:7" ht="15.75">
      <c r="A1335" s="1961">
        <f t="shared" si="108"/>
        <v>63575</v>
      </c>
      <c r="B1335" s="1815">
        <v>63550</v>
      </c>
      <c r="C1335" s="1815">
        <v>63600</v>
      </c>
      <c r="D1335" s="1816">
        <f t="shared" si="104"/>
        <v>9294</v>
      </c>
      <c r="E1335" s="1816">
        <f t="shared" si="105"/>
        <v>7189</v>
      </c>
      <c r="F1335" s="1816">
        <f t="shared" si="106"/>
        <v>9294</v>
      </c>
      <c r="G1335" s="1816">
        <f t="shared" si="107"/>
        <v>7688</v>
      </c>
    </row>
    <row r="1336" spans="1:7" ht="15.75">
      <c r="A1336" s="1961">
        <f t="shared" si="108"/>
        <v>63625</v>
      </c>
      <c r="B1336" s="1815">
        <v>63600</v>
      </c>
      <c r="C1336" s="1815">
        <v>63650</v>
      </c>
      <c r="D1336" s="1816">
        <f t="shared" si="104"/>
        <v>9305</v>
      </c>
      <c r="E1336" s="1816">
        <f t="shared" si="105"/>
        <v>7195</v>
      </c>
      <c r="F1336" s="1816">
        <f t="shared" si="106"/>
        <v>9305</v>
      </c>
      <c r="G1336" s="1816">
        <f t="shared" si="107"/>
        <v>7699</v>
      </c>
    </row>
    <row r="1337" spans="1:7" ht="15.75">
      <c r="A1337" s="1961">
        <f t="shared" si="108"/>
        <v>63675</v>
      </c>
      <c r="B1337" s="1815">
        <v>63650</v>
      </c>
      <c r="C1337" s="1815">
        <v>63700</v>
      </c>
      <c r="D1337" s="1816">
        <f t="shared" si="104"/>
        <v>9316</v>
      </c>
      <c r="E1337" s="1816">
        <f t="shared" si="105"/>
        <v>7201</v>
      </c>
      <c r="F1337" s="1816">
        <f t="shared" si="106"/>
        <v>9316</v>
      </c>
      <c r="G1337" s="1816">
        <f t="shared" si="107"/>
        <v>7710</v>
      </c>
    </row>
    <row r="1338" spans="1:7" ht="15.75">
      <c r="A1338" s="1961">
        <f t="shared" si="108"/>
        <v>63725</v>
      </c>
      <c r="B1338" s="1815">
        <v>63700</v>
      </c>
      <c r="C1338" s="1815">
        <v>63750</v>
      </c>
      <c r="D1338" s="1816">
        <f t="shared" si="104"/>
        <v>9327</v>
      </c>
      <c r="E1338" s="1816">
        <f t="shared" si="105"/>
        <v>7207</v>
      </c>
      <c r="F1338" s="1816">
        <f t="shared" si="106"/>
        <v>9327</v>
      </c>
      <c r="G1338" s="1816">
        <f t="shared" si="107"/>
        <v>7721</v>
      </c>
    </row>
    <row r="1339" spans="1:7" ht="15.75">
      <c r="A1339" s="1961">
        <f t="shared" si="108"/>
        <v>63775</v>
      </c>
      <c r="B1339" s="1815">
        <v>63750</v>
      </c>
      <c r="C1339" s="1815">
        <v>63800</v>
      </c>
      <c r="D1339" s="1816">
        <f t="shared" si="104"/>
        <v>9338</v>
      </c>
      <c r="E1339" s="1816">
        <f t="shared" si="105"/>
        <v>7213</v>
      </c>
      <c r="F1339" s="1816">
        <f t="shared" si="106"/>
        <v>9338</v>
      </c>
      <c r="G1339" s="1816">
        <f t="shared" si="107"/>
        <v>7732</v>
      </c>
    </row>
    <row r="1340" spans="1:7" ht="15.75">
      <c r="A1340" s="1961">
        <f t="shared" si="108"/>
        <v>63825</v>
      </c>
      <c r="B1340" s="1815">
        <v>63800</v>
      </c>
      <c r="C1340" s="1815">
        <v>63850</v>
      </c>
      <c r="D1340" s="1816">
        <f t="shared" si="104"/>
        <v>9349</v>
      </c>
      <c r="E1340" s="1816">
        <f t="shared" si="105"/>
        <v>7219</v>
      </c>
      <c r="F1340" s="1816">
        <f t="shared" si="106"/>
        <v>9349</v>
      </c>
      <c r="G1340" s="1816">
        <f t="shared" si="107"/>
        <v>7743</v>
      </c>
    </row>
    <row r="1341" spans="1:7" ht="15.75">
      <c r="A1341" s="1961">
        <f t="shared" si="108"/>
        <v>63875</v>
      </c>
      <c r="B1341" s="1815">
        <v>63850</v>
      </c>
      <c r="C1341" s="1815">
        <v>63900</v>
      </c>
      <c r="D1341" s="1816">
        <f t="shared" si="104"/>
        <v>9360</v>
      </c>
      <c r="E1341" s="1816">
        <f t="shared" si="105"/>
        <v>7225</v>
      </c>
      <c r="F1341" s="1816">
        <f t="shared" si="106"/>
        <v>9360</v>
      </c>
      <c r="G1341" s="1816">
        <f t="shared" si="107"/>
        <v>7754</v>
      </c>
    </row>
    <row r="1342" spans="1:7" ht="15.75">
      <c r="A1342" s="1961">
        <f t="shared" si="108"/>
        <v>63925</v>
      </c>
      <c r="B1342" s="1815">
        <v>63900</v>
      </c>
      <c r="C1342" s="1815">
        <v>63950</v>
      </c>
      <c r="D1342" s="1816">
        <f t="shared" si="104"/>
        <v>9371</v>
      </c>
      <c r="E1342" s="1816">
        <f t="shared" si="105"/>
        <v>7231</v>
      </c>
      <c r="F1342" s="1816">
        <f t="shared" si="106"/>
        <v>9371</v>
      </c>
      <c r="G1342" s="1816">
        <f t="shared" si="107"/>
        <v>7765</v>
      </c>
    </row>
    <row r="1343" spans="1:7" ht="15.75">
      <c r="A1343" s="1961">
        <f t="shared" si="108"/>
        <v>63975</v>
      </c>
      <c r="B1343" s="1815">
        <v>63950</v>
      </c>
      <c r="C1343" s="1815">
        <v>64000</v>
      </c>
      <c r="D1343" s="1816">
        <f t="shared" si="104"/>
        <v>9382</v>
      </c>
      <c r="E1343" s="1816">
        <f t="shared" si="105"/>
        <v>7237</v>
      </c>
      <c r="F1343" s="1816">
        <f t="shared" si="106"/>
        <v>9382</v>
      </c>
      <c r="G1343" s="1816">
        <f t="shared" si="107"/>
        <v>7776</v>
      </c>
    </row>
    <row r="1344" spans="1:7" ht="15.75">
      <c r="A1344" s="1961">
        <f t="shared" si="108"/>
        <v>64025</v>
      </c>
      <c r="B1344" s="1815">
        <v>64000</v>
      </c>
      <c r="C1344" s="1815">
        <v>64050</v>
      </c>
      <c r="D1344" s="1816">
        <f t="shared" si="104"/>
        <v>9393</v>
      </c>
      <c r="E1344" s="1816">
        <f t="shared" si="105"/>
        <v>7243</v>
      </c>
      <c r="F1344" s="1816">
        <f t="shared" si="106"/>
        <v>9393</v>
      </c>
      <c r="G1344" s="1816">
        <f t="shared" si="107"/>
        <v>7787</v>
      </c>
    </row>
    <row r="1345" spans="1:7" ht="15.75">
      <c r="A1345" s="1961">
        <f t="shared" si="108"/>
        <v>64075</v>
      </c>
      <c r="B1345" s="1815">
        <v>64050</v>
      </c>
      <c r="C1345" s="1815">
        <v>64100</v>
      </c>
      <c r="D1345" s="1816">
        <f t="shared" si="104"/>
        <v>9404</v>
      </c>
      <c r="E1345" s="1816">
        <f t="shared" si="105"/>
        <v>7249</v>
      </c>
      <c r="F1345" s="1816">
        <f t="shared" si="106"/>
        <v>9404</v>
      </c>
      <c r="G1345" s="1816">
        <f t="shared" si="107"/>
        <v>7798</v>
      </c>
    </row>
    <row r="1346" spans="1:7" ht="15.75">
      <c r="A1346" s="1961">
        <f t="shared" si="108"/>
        <v>64125</v>
      </c>
      <c r="B1346" s="1815">
        <v>64100</v>
      </c>
      <c r="C1346" s="1815">
        <v>64150</v>
      </c>
      <c r="D1346" s="1816">
        <f t="shared" ref="D1346:D1409" si="109">IF($A1346&gt;BOTT_A4,ROUND(BASE_A4+RATE_A4*($A1346-BOTT_A4),0),IF($A1346&gt;BOTT_A3,ROUND(BASE_A3+RATE_A3*($A1346-BOTT_A3),0),IF($A1346&gt;BOTT_A2,ROUND(BASE_A2+RATE_A2*($A1346-BOTT_A2),0),ROUND(RATE_A1*$A1346,0))))</f>
        <v>9415</v>
      </c>
      <c r="E1346" s="1816">
        <f t="shared" ref="E1346:E1409" si="110">IF($A1346&gt;BOTT_B4,ROUND(BASE_B4+RATE_B4*($A1346-BOTT_B4),0),IF($A1346&gt;BOTT_B3,ROUND(BASE_B3+RATE_B3*($A1346-BOTT_B3),0),IF($A1346&gt;BOTT_B2,ROUND(BASE_B2+RATE_B2*($A1346-BOTT_B2),0),ROUND(RATE_B1*$A1346,0))))</f>
        <v>7255</v>
      </c>
      <c r="F1346" s="1816">
        <f t="shared" ref="F1346:F1409" si="111">IF($A1346&gt;BOTT_C4,ROUND(BASE_C4+RATE_C4*($A1346-BOTT_C4),0),IF($A1346&gt;BOTT_C3,ROUND(BASE_C3+RATE_C3*($A1346-BOTT_C3),0),IF($A1346&gt;BOTT_C2,ROUND(BASE_C2+RATE_C2*($A1346-BOTT_C2),0),ROUND(RATE_C1*$A1346,0))))</f>
        <v>9415</v>
      </c>
      <c r="G1346" s="1816">
        <f t="shared" ref="G1346:G1409" si="112">IF($A1346&gt;BOTT_D4,ROUND(BASE_D4+RATE_D4*($A1346-BOTT_D4),0),IF($A1346&gt;BOTT_D3,ROUND(BASE_D3+RATE_D3*($A1346-BOTT_D3),0),IF($A1346&gt;BOTT_D2,ROUND(BASE_D2+RATE_D2*($A1346-BOTT_D2),0),ROUND(RATE_D1*$A1346,0))))</f>
        <v>7809</v>
      </c>
    </row>
    <row r="1347" spans="1:7" ht="15.75">
      <c r="A1347" s="1961">
        <f t="shared" ref="A1347:A1410" si="113">AVERAGE(B1347,C1347)</f>
        <v>64175</v>
      </c>
      <c r="B1347" s="1815">
        <v>64150</v>
      </c>
      <c r="C1347" s="1815">
        <v>64200</v>
      </c>
      <c r="D1347" s="1816">
        <f t="shared" si="109"/>
        <v>9426</v>
      </c>
      <c r="E1347" s="1816">
        <f t="shared" si="110"/>
        <v>7261</v>
      </c>
      <c r="F1347" s="1816">
        <f t="shared" si="111"/>
        <v>9426</v>
      </c>
      <c r="G1347" s="1816">
        <f t="shared" si="112"/>
        <v>7820</v>
      </c>
    </row>
    <row r="1348" spans="1:7" ht="15.75">
      <c r="A1348" s="1961">
        <f t="shared" si="113"/>
        <v>64225</v>
      </c>
      <c r="B1348" s="1815">
        <v>64200</v>
      </c>
      <c r="C1348" s="1815">
        <v>64250</v>
      </c>
      <c r="D1348" s="1816">
        <f t="shared" si="109"/>
        <v>9437</v>
      </c>
      <c r="E1348" s="1816">
        <f t="shared" si="110"/>
        <v>7267</v>
      </c>
      <c r="F1348" s="1816">
        <f t="shared" si="111"/>
        <v>9437</v>
      </c>
      <c r="G1348" s="1816">
        <f t="shared" si="112"/>
        <v>7831</v>
      </c>
    </row>
    <row r="1349" spans="1:7" ht="15.75">
      <c r="A1349" s="1961">
        <f t="shared" si="113"/>
        <v>64275</v>
      </c>
      <c r="B1349" s="1815">
        <v>64250</v>
      </c>
      <c r="C1349" s="1815">
        <v>64300</v>
      </c>
      <c r="D1349" s="1816">
        <f t="shared" si="109"/>
        <v>9448</v>
      </c>
      <c r="E1349" s="1816">
        <f t="shared" si="110"/>
        <v>7273</v>
      </c>
      <c r="F1349" s="1816">
        <f t="shared" si="111"/>
        <v>9448</v>
      </c>
      <c r="G1349" s="1816">
        <f t="shared" si="112"/>
        <v>7842</v>
      </c>
    </row>
    <row r="1350" spans="1:7" ht="15.75">
      <c r="A1350" s="1961">
        <f t="shared" si="113"/>
        <v>64325</v>
      </c>
      <c r="B1350" s="1815">
        <v>64300</v>
      </c>
      <c r="C1350" s="1815">
        <v>64350</v>
      </c>
      <c r="D1350" s="1816">
        <f t="shared" si="109"/>
        <v>9459</v>
      </c>
      <c r="E1350" s="1816">
        <f t="shared" si="110"/>
        <v>7279</v>
      </c>
      <c r="F1350" s="1816">
        <f t="shared" si="111"/>
        <v>9459</v>
      </c>
      <c r="G1350" s="1816">
        <f t="shared" si="112"/>
        <v>7853</v>
      </c>
    </row>
    <row r="1351" spans="1:7" ht="15.75">
      <c r="A1351" s="1961">
        <f t="shared" si="113"/>
        <v>64375</v>
      </c>
      <c r="B1351" s="1815">
        <v>64350</v>
      </c>
      <c r="C1351" s="1815">
        <v>64400</v>
      </c>
      <c r="D1351" s="1816">
        <f t="shared" si="109"/>
        <v>9470</v>
      </c>
      <c r="E1351" s="1816">
        <f t="shared" si="110"/>
        <v>7285</v>
      </c>
      <c r="F1351" s="1816">
        <f t="shared" si="111"/>
        <v>9470</v>
      </c>
      <c r="G1351" s="1816">
        <f t="shared" si="112"/>
        <v>7864</v>
      </c>
    </row>
    <row r="1352" spans="1:7" ht="15.75">
      <c r="A1352" s="1961">
        <f t="shared" si="113"/>
        <v>64425</v>
      </c>
      <c r="B1352" s="1815">
        <v>64400</v>
      </c>
      <c r="C1352" s="1815">
        <v>64450</v>
      </c>
      <c r="D1352" s="1816">
        <f t="shared" si="109"/>
        <v>9481</v>
      </c>
      <c r="E1352" s="1816">
        <f t="shared" si="110"/>
        <v>7291</v>
      </c>
      <c r="F1352" s="1816">
        <f t="shared" si="111"/>
        <v>9481</v>
      </c>
      <c r="G1352" s="1816">
        <f t="shared" si="112"/>
        <v>7875</v>
      </c>
    </row>
    <row r="1353" spans="1:7" ht="15.75">
      <c r="A1353" s="1961">
        <f t="shared" si="113"/>
        <v>64475</v>
      </c>
      <c r="B1353" s="1815">
        <v>64450</v>
      </c>
      <c r="C1353" s="1815">
        <v>64500</v>
      </c>
      <c r="D1353" s="1816">
        <f t="shared" si="109"/>
        <v>9492</v>
      </c>
      <c r="E1353" s="1816">
        <f t="shared" si="110"/>
        <v>7297</v>
      </c>
      <c r="F1353" s="1816">
        <f t="shared" si="111"/>
        <v>9492</v>
      </c>
      <c r="G1353" s="1816">
        <f t="shared" si="112"/>
        <v>7886</v>
      </c>
    </row>
    <row r="1354" spans="1:7" ht="15.75">
      <c r="A1354" s="1961">
        <f t="shared" si="113"/>
        <v>64525</v>
      </c>
      <c r="B1354" s="1815">
        <v>64500</v>
      </c>
      <c r="C1354" s="1815">
        <v>64550</v>
      </c>
      <c r="D1354" s="1816">
        <f t="shared" si="109"/>
        <v>9503</v>
      </c>
      <c r="E1354" s="1816">
        <f t="shared" si="110"/>
        <v>7303</v>
      </c>
      <c r="F1354" s="1816">
        <f t="shared" si="111"/>
        <v>9503</v>
      </c>
      <c r="G1354" s="1816">
        <f t="shared" si="112"/>
        <v>7897</v>
      </c>
    </row>
    <row r="1355" spans="1:7" ht="15.75">
      <c r="A1355" s="1961">
        <f t="shared" si="113"/>
        <v>64575</v>
      </c>
      <c r="B1355" s="1815">
        <v>64550</v>
      </c>
      <c r="C1355" s="1815">
        <v>64600</v>
      </c>
      <c r="D1355" s="1816">
        <f t="shared" si="109"/>
        <v>9514</v>
      </c>
      <c r="E1355" s="1816">
        <f t="shared" si="110"/>
        <v>7309</v>
      </c>
      <c r="F1355" s="1816">
        <f t="shared" si="111"/>
        <v>9514</v>
      </c>
      <c r="G1355" s="1816">
        <f t="shared" si="112"/>
        <v>7908</v>
      </c>
    </row>
    <row r="1356" spans="1:7" ht="15.75">
      <c r="A1356" s="1961">
        <f t="shared" si="113"/>
        <v>64625</v>
      </c>
      <c r="B1356" s="1815">
        <v>64600</v>
      </c>
      <c r="C1356" s="1815">
        <v>64650</v>
      </c>
      <c r="D1356" s="1816">
        <f t="shared" si="109"/>
        <v>9525</v>
      </c>
      <c r="E1356" s="1816">
        <f t="shared" si="110"/>
        <v>7315</v>
      </c>
      <c r="F1356" s="1816">
        <f t="shared" si="111"/>
        <v>9525</v>
      </c>
      <c r="G1356" s="1816">
        <f t="shared" si="112"/>
        <v>7919</v>
      </c>
    </row>
    <row r="1357" spans="1:7" ht="15.75">
      <c r="A1357" s="1961">
        <f t="shared" si="113"/>
        <v>64675</v>
      </c>
      <c r="B1357" s="1815">
        <v>64650</v>
      </c>
      <c r="C1357" s="1815">
        <v>64700</v>
      </c>
      <c r="D1357" s="1816">
        <f t="shared" si="109"/>
        <v>9536</v>
      </c>
      <c r="E1357" s="1816">
        <f t="shared" si="110"/>
        <v>7321</v>
      </c>
      <c r="F1357" s="1816">
        <f t="shared" si="111"/>
        <v>9536</v>
      </c>
      <c r="G1357" s="1816">
        <f t="shared" si="112"/>
        <v>7930</v>
      </c>
    </row>
    <row r="1358" spans="1:7" ht="15.75">
      <c r="A1358" s="1961">
        <f t="shared" si="113"/>
        <v>64725</v>
      </c>
      <c r="B1358" s="1815">
        <v>64700</v>
      </c>
      <c r="C1358" s="1815">
        <v>64750</v>
      </c>
      <c r="D1358" s="1816">
        <f t="shared" si="109"/>
        <v>9547</v>
      </c>
      <c r="E1358" s="1816">
        <f t="shared" si="110"/>
        <v>7327</v>
      </c>
      <c r="F1358" s="1816">
        <f t="shared" si="111"/>
        <v>9547</v>
      </c>
      <c r="G1358" s="1816">
        <f t="shared" si="112"/>
        <v>7941</v>
      </c>
    </row>
    <row r="1359" spans="1:7" ht="15.75">
      <c r="A1359" s="1961">
        <f t="shared" si="113"/>
        <v>64775</v>
      </c>
      <c r="B1359" s="1815">
        <v>64750</v>
      </c>
      <c r="C1359" s="1815">
        <v>64800</v>
      </c>
      <c r="D1359" s="1816">
        <f t="shared" si="109"/>
        <v>9558</v>
      </c>
      <c r="E1359" s="1816">
        <f t="shared" si="110"/>
        <v>7333</v>
      </c>
      <c r="F1359" s="1816">
        <f t="shared" si="111"/>
        <v>9558</v>
      </c>
      <c r="G1359" s="1816">
        <f t="shared" si="112"/>
        <v>7952</v>
      </c>
    </row>
    <row r="1360" spans="1:7" ht="15.75">
      <c r="A1360" s="1961">
        <f t="shared" si="113"/>
        <v>64825</v>
      </c>
      <c r="B1360" s="1815">
        <v>64800</v>
      </c>
      <c r="C1360" s="1815">
        <v>64850</v>
      </c>
      <c r="D1360" s="1816">
        <f t="shared" si="109"/>
        <v>9569</v>
      </c>
      <c r="E1360" s="1816">
        <f t="shared" si="110"/>
        <v>7339</v>
      </c>
      <c r="F1360" s="1816">
        <f t="shared" si="111"/>
        <v>9569</v>
      </c>
      <c r="G1360" s="1816">
        <f t="shared" si="112"/>
        <v>7963</v>
      </c>
    </row>
    <row r="1361" spans="1:7" ht="15.75">
      <c r="A1361" s="1961">
        <f t="shared" si="113"/>
        <v>64875</v>
      </c>
      <c r="B1361" s="1815">
        <v>64850</v>
      </c>
      <c r="C1361" s="1815">
        <v>64900</v>
      </c>
      <c r="D1361" s="1816">
        <f t="shared" si="109"/>
        <v>9580</v>
      </c>
      <c r="E1361" s="1816">
        <f t="shared" si="110"/>
        <v>7345</v>
      </c>
      <c r="F1361" s="1816">
        <f t="shared" si="111"/>
        <v>9580</v>
      </c>
      <c r="G1361" s="1816">
        <f t="shared" si="112"/>
        <v>7974</v>
      </c>
    </row>
    <row r="1362" spans="1:7" ht="15.75">
      <c r="A1362" s="1961">
        <f t="shared" si="113"/>
        <v>64925</v>
      </c>
      <c r="B1362" s="1815">
        <v>64900</v>
      </c>
      <c r="C1362" s="1815">
        <v>64950</v>
      </c>
      <c r="D1362" s="1816">
        <f t="shared" si="109"/>
        <v>9591</v>
      </c>
      <c r="E1362" s="1816">
        <f t="shared" si="110"/>
        <v>7351</v>
      </c>
      <c r="F1362" s="1816">
        <f t="shared" si="111"/>
        <v>9591</v>
      </c>
      <c r="G1362" s="1816">
        <f t="shared" si="112"/>
        <v>7985</v>
      </c>
    </row>
    <row r="1363" spans="1:7" ht="15.75">
      <c r="A1363" s="1961">
        <f t="shared" si="113"/>
        <v>64975</v>
      </c>
      <c r="B1363" s="1815">
        <v>64950</v>
      </c>
      <c r="C1363" s="1815">
        <v>65000</v>
      </c>
      <c r="D1363" s="1816">
        <f t="shared" si="109"/>
        <v>9602</v>
      </c>
      <c r="E1363" s="1816">
        <f t="shared" si="110"/>
        <v>7357</v>
      </c>
      <c r="F1363" s="1816">
        <f t="shared" si="111"/>
        <v>9602</v>
      </c>
      <c r="G1363" s="1816">
        <f t="shared" si="112"/>
        <v>7996</v>
      </c>
    </row>
    <row r="1364" spans="1:7" ht="15.75">
      <c r="A1364" s="1961">
        <f t="shared" si="113"/>
        <v>65025</v>
      </c>
      <c r="B1364" s="1815">
        <v>65000</v>
      </c>
      <c r="C1364" s="1815">
        <v>65050</v>
      </c>
      <c r="D1364" s="1816">
        <f t="shared" si="109"/>
        <v>9613</v>
      </c>
      <c r="E1364" s="1816">
        <f t="shared" si="110"/>
        <v>7363</v>
      </c>
      <c r="F1364" s="1816">
        <f t="shared" si="111"/>
        <v>9613</v>
      </c>
      <c r="G1364" s="1816">
        <f t="shared" si="112"/>
        <v>8007</v>
      </c>
    </row>
    <row r="1365" spans="1:7" ht="15.75">
      <c r="A1365" s="1961">
        <f t="shared" si="113"/>
        <v>65075</v>
      </c>
      <c r="B1365" s="1815">
        <v>65050</v>
      </c>
      <c r="C1365" s="1815">
        <v>65100</v>
      </c>
      <c r="D1365" s="1816">
        <f t="shared" si="109"/>
        <v>9624</v>
      </c>
      <c r="E1365" s="1816">
        <f t="shared" si="110"/>
        <v>7369</v>
      </c>
      <c r="F1365" s="1816">
        <f t="shared" si="111"/>
        <v>9624</v>
      </c>
      <c r="G1365" s="1816">
        <f t="shared" si="112"/>
        <v>8018</v>
      </c>
    </row>
    <row r="1366" spans="1:7" ht="15.75">
      <c r="A1366" s="1961">
        <f t="shared" si="113"/>
        <v>65125</v>
      </c>
      <c r="B1366" s="1815">
        <v>65100</v>
      </c>
      <c r="C1366" s="1815">
        <v>65150</v>
      </c>
      <c r="D1366" s="1816">
        <f t="shared" si="109"/>
        <v>9635</v>
      </c>
      <c r="E1366" s="1816">
        <f t="shared" si="110"/>
        <v>7375</v>
      </c>
      <c r="F1366" s="1816">
        <f t="shared" si="111"/>
        <v>9635</v>
      </c>
      <c r="G1366" s="1816">
        <f t="shared" si="112"/>
        <v>8029</v>
      </c>
    </row>
    <row r="1367" spans="1:7" ht="15.75">
      <c r="A1367" s="1961">
        <f t="shared" si="113"/>
        <v>65175</v>
      </c>
      <c r="B1367" s="1815">
        <v>65150</v>
      </c>
      <c r="C1367" s="1815">
        <v>65200</v>
      </c>
      <c r="D1367" s="1816">
        <f t="shared" si="109"/>
        <v>9646</v>
      </c>
      <c r="E1367" s="1816">
        <f t="shared" si="110"/>
        <v>7381</v>
      </c>
      <c r="F1367" s="1816">
        <f t="shared" si="111"/>
        <v>9646</v>
      </c>
      <c r="G1367" s="1816">
        <f t="shared" si="112"/>
        <v>8040</v>
      </c>
    </row>
    <row r="1368" spans="1:7" ht="15.75">
      <c r="A1368" s="1961">
        <f t="shared" si="113"/>
        <v>65225</v>
      </c>
      <c r="B1368" s="1815">
        <v>65200</v>
      </c>
      <c r="C1368" s="1815">
        <v>65250</v>
      </c>
      <c r="D1368" s="1816">
        <f t="shared" si="109"/>
        <v>9657</v>
      </c>
      <c r="E1368" s="1816">
        <f t="shared" si="110"/>
        <v>7387</v>
      </c>
      <c r="F1368" s="1816">
        <f t="shared" si="111"/>
        <v>9657</v>
      </c>
      <c r="G1368" s="1816">
        <f t="shared" si="112"/>
        <v>8051</v>
      </c>
    </row>
    <row r="1369" spans="1:7" ht="15.75">
      <c r="A1369" s="1961">
        <f t="shared" si="113"/>
        <v>65275</v>
      </c>
      <c r="B1369" s="1815">
        <v>65250</v>
      </c>
      <c r="C1369" s="1815">
        <v>65300</v>
      </c>
      <c r="D1369" s="1816">
        <f t="shared" si="109"/>
        <v>9668</v>
      </c>
      <c r="E1369" s="1816">
        <f t="shared" si="110"/>
        <v>7393</v>
      </c>
      <c r="F1369" s="1816">
        <f t="shared" si="111"/>
        <v>9668</v>
      </c>
      <c r="G1369" s="1816">
        <f t="shared" si="112"/>
        <v>8062</v>
      </c>
    </row>
    <row r="1370" spans="1:7" ht="15.75">
      <c r="A1370" s="1961">
        <f t="shared" si="113"/>
        <v>65325</v>
      </c>
      <c r="B1370" s="1815">
        <v>65300</v>
      </c>
      <c r="C1370" s="1815">
        <v>65350</v>
      </c>
      <c r="D1370" s="1816">
        <f t="shared" si="109"/>
        <v>9679</v>
      </c>
      <c r="E1370" s="1816">
        <f t="shared" si="110"/>
        <v>7399</v>
      </c>
      <c r="F1370" s="1816">
        <f t="shared" si="111"/>
        <v>9679</v>
      </c>
      <c r="G1370" s="1816">
        <f t="shared" si="112"/>
        <v>8073</v>
      </c>
    </row>
    <row r="1371" spans="1:7" ht="15.75">
      <c r="A1371" s="1961">
        <f t="shared" si="113"/>
        <v>65375</v>
      </c>
      <c r="B1371" s="1815">
        <v>65350</v>
      </c>
      <c r="C1371" s="1815">
        <v>65400</v>
      </c>
      <c r="D1371" s="1816">
        <f t="shared" si="109"/>
        <v>9690</v>
      </c>
      <c r="E1371" s="1816">
        <f t="shared" si="110"/>
        <v>7405</v>
      </c>
      <c r="F1371" s="1816">
        <f t="shared" si="111"/>
        <v>9690</v>
      </c>
      <c r="G1371" s="1816">
        <f t="shared" si="112"/>
        <v>8084</v>
      </c>
    </row>
    <row r="1372" spans="1:7" ht="15.75">
      <c r="A1372" s="1961">
        <f t="shared" si="113"/>
        <v>65425</v>
      </c>
      <c r="B1372" s="1815">
        <v>65400</v>
      </c>
      <c r="C1372" s="1815">
        <v>65450</v>
      </c>
      <c r="D1372" s="1816">
        <f t="shared" si="109"/>
        <v>9701</v>
      </c>
      <c r="E1372" s="1816">
        <f t="shared" si="110"/>
        <v>7411</v>
      </c>
      <c r="F1372" s="1816">
        <f t="shared" si="111"/>
        <v>9701</v>
      </c>
      <c r="G1372" s="1816">
        <f t="shared" si="112"/>
        <v>8095</v>
      </c>
    </row>
    <row r="1373" spans="1:7" ht="15.75">
      <c r="A1373" s="1961">
        <f t="shared" si="113"/>
        <v>65475</v>
      </c>
      <c r="B1373" s="1815">
        <v>65450</v>
      </c>
      <c r="C1373" s="1815">
        <v>65500</v>
      </c>
      <c r="D1373" s="1816">
        <f t="shared" si="109"/>
        <v>9712</v>
      </c>
      <c r="E1373" s="1816">
        <f t="shared" si="110"/>
        <v>7417</v>
      </c>
      <c r="F1373" s="1816">
        <f t="shared" si="111"/>
        <v>9712</v>
      </c>
      <c r="G1373" s="1816">
        <f t="shared" si="112"/>
        <v>8106</v>
      </c>
    </row>
    <row r="1374" spans="1:7" ht="15.75">
      <c r="A1374" s="1961">
        <f t="shared" si="113"/>
        <v>65525</v>
      </c>
      <c r="B1374" s="1815">
        <v>65500</v>
      </c>
      <c r="C1374" s="1815">
        <v>65550</v>
      </c>
      <c r="D1374" s="1816">
        <f t="shared" si="109"/>
        <v>9723</v>
      </c>
      <c r="E1374" s="1816">
        <f t="shared" si="110"/>
        <v>7423</v>
      </c>
      <c r="F1374" s="1816">
        <f t="shared" si="111"/>
        <v>9723</v>
      </c>
      <c r="G1374" s="1816">
        <f t="shared" si="112"/>
        <v>8117</v>
      </c>
    </row>
    <row r="1375" spans="1:7" ht="15.75">
      <c r="A1375" s="1961">
        <f t="shared" si="113"/>
        <v>65575</v>
      </c>
      <c r="B1375" s="1815">
        <v>65550</v>
      </c>
      <c r="C1375" s="1815">
        <v>65600</v>
      </c>
      <c r="D1375" s="1816">
        <f t="shared" si="109"/>
        <v>9734</v>
      </c>
      <c r="E1375" s="1816">
        <f t="shared" si="110"/>
        <v>7429</v>
      </c>
      <c r="F1375" s="1816">
        <f t="shared" si="111"/>
        <v>9734</v>
      </c>
      <c r="G1375" s="1816">
        <f t="shared" si="112"/>
        <v>8128</v>
      </c>
    </row>
    <row r="1376" spans="1:7" ht="15.75">
      <c r="A1376" s="1961">
        <f t="shared" si="113"/>
        <v>65625</v>
      </c>
      <c r="B1376" s="1815">
        <v>65600</v>
      </c>
      <c r="C1376" s="1815">
        <v>65650</v>
      </c>
      <c r="D1376" s="1816">
        <f t="shared" si="109"/>
        <v>9745</v>
      </c>
      <c r="E1376" s="1816">
        <f t="shared" si="110"/>
        <v>7435</v>
      </c>
      <c r="F1376" s="1816">
        <f t="shared" si="111"/>
        <v>9745</v>
      </c>
      <c r="G1376" s="1816">
        <f t="shared" si="112"/>
        <v>8139</v>
      </c>
    </row>
    <row r="1377" spans="1:7" ht="15.75">
      <c r="A1377" s="1961">
        <f t="shared" si="113"/>
        <v>65675</v>
      </c>
      <c r="B1377" s="1815">
        <v>65650</v>
      </c>
      <c r="C1377" s="1815">
        <v>65700</v>
      </c>
      <c r="D1377" s="1816">
        <f t="shared" si="109"/>
        <v>9756</v>
      </c>
      <c r="E1377" s="1816">
        <f t="shared" si="110"/>
        <v>7441</v>
      </c>
      <c r="F1377" s="1816">
        <f t="shared" si="111"/>
        <v>9756</v>
      </c>
      <c r="G1377" s="1816">
        <f t="shared" si="112"/>
        <v>8150</v>
      </c>
    </row>
    <row r="1378" spans="1:7" ht="15.75">
      <c r="A1378" s="1961">
        <f t="shared" si="113"/>
        <v>65725</v>
      </c>
      <c r="B1378" s="1815">
        <v>65700</v>
      </c>
      <c r="C1378" s="1815">
        <v>65750</v>
      </c>
      <c r="D1378" s="1816">
        <f t="shared" si="109"/>
        <v>9767</v>
      </c>
      <c r="E1378" s="1816">
        <f t="shared" si="110"/>
        <v>7447</v>
      </c>
      <c r="F1378" s="1816">
        <f t="shared" si="111"/>
        <v>9767</v>
      </c>
      <c r="G1378" s="1816">
        <f t="shared" si="112"/>
        <v>8161</v>
      </c>
    </row>
    <row r="1379" spans="1:7" ht="15.75">
      <c r="A1379" s="1961">
        <f t="shared" si="113"/>
        <v>65775</v>
      </c>
      <c r="B1379" s="1815">
        <v>65750</v>
      </c>
      <c r="C1379" s="1815">
        <v>65800</v>
      </c>
      <c r="D1379" s="1816">
        <f t="shared" si="109"/>
        <v>9778</v>
      </c>
      <c r="E1379" s="1816">
        <f t="shared" si="110"/>
        <v>7453</v>
      </c>
      <c r="F1379" s="1816">
        <f t="shared" si="111"/>
        <v>9778</v>
      </c>
      <c r="G1379" s="1816">
        <f t="shared" si="112"/>
        <v>8172</v>
      </c>
    </row>
    <row r="1380" spans="1:7" ht="15.75">
      <c r="A1380" s="1961">
        <f t="shared" si="113"/>
        <v>65825</v>
      </c>
      <c r="B1380" s="1815">
        <v>65800</v>
      </c>
      <c r="C1380" s="1815">
        <v>65850</v>
      </c>
      <c r="D1380" s="1816">
        <f t="shared" si="109"/>
        <v>9789</v>
      </c>
      <c r="E1380" s="1816">
        <f t="shared" si="110"/>
        <v>7459</v>
      </c>
      <c r="F1380" s="1816">
        <f t="shared" si="111"/>
        <v>9789</v>
      </c>
      <c r="G1380" s="1816">
        <f t="shared" si="112"/>
        <v>8183</v>
      </c>
    </row>
    <row r="1381" spans="1:7" ht="15.75">
      <c r="A1381" s="1961">
        <f t="shared" si="113"/>
        <v>65875</v>
      </c>
      <c r="B1381" s="1815">
        <v>65850</v>
      </c>
      <c r="C1381" s="1815">
        <v>65900</v>
      </c>
      <c r="D1381" s="1816">
        <f t="shared" si="109"/>
        <v>9800</v>
      </c>
      <c r="E1381" s="1816">
        <f t="shared" si="110"/>
        <v>7465</v>
      </c>
      <c r="F1381" s="1816">
        <f t="shared" si="111"/>
        <v>9800</v>
      </c>
      <c r="G1381" s="1816">
        <f t="shared" si="112"/>
        <v>8194</v>
      </c>
    </row>
    <row r="1382" spans="1:7" ht="15.75">
      <c r="A1382" s="1961">
        <f t="shared" si="113"/>
        <v>65925</v>
      </c>
      <c r="B1382" s="1815">
        <v>65900</v>
      </c>
      <c r="C1382" s="1815">
        <v>65950</v>
      </c>
      <c r="D1382" s="1816">
        <f t="shared" si="109"/>
        <v>9811</v>
      </c>
      <c r="E1382" s="1816">
        <f t="shared" si="110"/>
        <v>7471</v>
      </c>
      <c r="F1382" s="1816">
        <f t="shared" si="111"/>
        <v>9811</v>
      </c>
      <c r="G1382" s="1816">
        <f t="shared" si="112"/>
        <v>8205</v>
      </c>
    </row>
    <row r="1383" spans="1:7" ht="15.75">
      <c r="A1383" s="1961">
        <f t="shared" si="113"/>
        <v>65975</v>
      </c>
      <c r="B1383" s="1815">
        <v>65950</v>
      </c>
      <c r="C1383" s="1815">
        <v>66000</v>
      </c>
      <c r="D1383" s="1816">
        <f t="shared" si="109"/>
        <v>9822</v>
      </c>
      <c r="E1383" s="1816">
        <f t="shared" si="110"/>
        <v>7477</v>
      </c>
      <c r="F1383" s="1816">
        <f t="shared" si="111"/>
        <v>9822</v>
      </c>
      <c r="G1383" s="1816">
        <f t="shared" si="112"/>
        <v>8216</v>
      </c>
    </row>
    <row r="1384" spans="1:7" ht="15.75">
      <c r="A1384" s="1961">
        <f t="shared" si="113"/>
        <v>66025</v>
      </c>
      <c r="B1384" s="1815">
        <v>66000</v>
      </c>
      <c r="C1384" s="1815">
        <v>66050</v>
      </c>
      <c r="D1384" s="1816">
        <f t="shared" si="109"/>
        <v>9833</v>
      </c>
      <c r="E1384" s="1816">
        <f t="shared" si="110"/>
        <v>7483</v>
      </c>
      <c r="F1384" s="1816">
        <f t="shared" si="111"/>
        <v>9833</v>
      </c>
      <c r="G1384" s="1816">
        <f t="shared" si="112"/>
        <v>8227</v>
      </c>
    </row>
    <row r="1385" spans="1:7" ht="15.75">
      <c r="A1385" s="1961">
        <f t="shared" si="113"/>
        <v>66075</v>
      </c>
      <c r="B1385" s="1815">
        <v>66050</v>
      </c>
      <c r="C1385" s="1815">
        <v>66100</v>
      </c>
      <c r="D1385" s="1816">
        <f t="shared" si="109"/>
        <v>9844</v>
      </c>
      <c r="E1385" s="1816">
        <f t="shared" si="110"/>
        <v>7489</v>
      </c>
      <c r="F1385" s="1816">
        <f t="shared" si="111"/>
        <v>9844</v>
      </c>
      <c r="G1385" s="1816">
        <f t="shared" si="112"/>
        <v>8238</v>
      </c>
    </row>
    <row r="1386" spans="1:7" ht="15.75">
      <c r="A1386" s="1961">
        <f t="shared" si="113"/>
        <v>66125</v>
      </c>
      <c r="B1386" s="1815">
        <v>66100</v>
      </c>
      <c r="C1386" s="1815">
        <v>66150</v>
      </c>
      <c r="D1386" s="1816">
        <f t="shared" si="109"/>
        <v>9855</v>
      </c>
      <c r="E1386" s="1816">
        <f t="shared" si="110"/>
        <v>7495</v>
      </c>
      <c r="F1386" s="1816">
        <f t="shared" si="111"/>
        <v>9855</v>
      </c>
      <c r="G1386" s="1816">
        <f t="shared" si="112"/>
        <v>8249</v>
      </c>
    </row>
    <row r="1387" spans="1:7" ht="15.75">
      <c r="A1387" s="1961">
        <f t="shared" si="113"/>
        <v>66175</v>
      </c>
      <c r="B1387" s="1815">
        <v>66150</v>
      </c>
      <c r="C1387" s="1815">
        <v>66200</v>
      </c>
      <c r="D1387" s="1816">
        <f t="shared" si="109"/>
        <v>9866</v>
      </c>
      <c r="E1387" s="1816">
        <f t="shared" si="110"/>
        <v>7501</v>
      </c>
      <c r="F1387" s="1816">
        <f t="shared" si="111"/>
        <v>9866</v>
      </c>
      <c r="G1387" s="1816">
        <f t="shared" si="112"/>
        <v>8260</v>
      </c>
    </row>
    <row r="1388" spans="1:7" ht="15.75">
      <c r="A1388" s="1961">
        <f t="shared" si="113"/>
        <v>66225</v>
      </c>
      <c r="B1388" s="1815">
        <v>66200</v>
      </c>
      <c r="C1388" s="1815">
        <v>66250</v>
      </c>
      <c r="D1388" s="1816">
        <f t="shared" si="109"/>
        <v>9877</v>
      </c>
      <c r="E1388" s="1816">
        <f t="shared" si="110"/>
        <v>7507</v>
      </c>
      <c r="F1388" s="1816">
        <f t="shared" si="111"/>
        <v>9877</v>
      </c>
      <c r="G1388" s="1816">
        <f t="shared" si="112"/>
        <v>8271</v>
      </c>
    </row>
    <row r="1389" spans="1:7" ht="15.75">
      <c r="A1389" s="1961">
        <f t="shared" si="113"/>
        <v>66275</v>
      </c>
      <c r="B1389" s="1815">
        <v>66250</v>
      </c>
      <c r="C1389" s="1815">
        <v>66300</v>
      </c>
      <c r="D1389" s="1816">
        <f t="shared" si="109"/>
        <v>9888</v>
      </c>
      <c r="E1389" s="1816">
        <f t="shared" si="110"/>
        <v>7513</v>
      </c>
      <c r="F1389" s="1816">
        <f t="shared" si="111"/>
        <v>9888</v>
      </c>
      <c r="G1389" s="1816">
        <f t="shared" si="112"/>
        <v>8282</v>
      </c>
    </row>
    <row r="1390" spans="1:7" ht="15.75">
      <c r="A1390" s="1961">
        <f t="shared" si="113"/>
        <v>66325</v>
      </c>
      <c r="B1390" s="1815">
        <v>66300</v>
      </c>
      <c r="C1390" s="1815">
        <v>66350</v>
      </c>
      <c r="D1390" s="1816">
        <f t="shared" si="109"/>
        <v>9899</v>
      </c>
      <c r="E1390" s="1816">
        <f t="shared" si="110"/>
        <v>7519</v>
      </c>
      <c r="F1390" s="1816">
        <f t="shared" si="111"/>
        <v>9899</v>
      </c>
      <c r="G1390" s="1816">
        <f t="shared" si="112"/>
        <v>8293</v>
      </c>
    </row>
    <row r="1391" spans="1:7" ht="15.75">
      <c r="A1391" s="1961">
        <f t="shared" si="113"/>
        <v>66375</v>
      </c>
      <c r="B1391" s="1815">
        <v>66350</v>
      </c>
      <c r="C1391" s="1815">
        <v>66400</v>
      </c>
      <c r="D1391" s="1816">
        <f t="shared" si="109"/>
        <v>9910</v>
      </c>
      <c r="E1391" s="1816">
        <f t="shared" si="110"/>
        <v>7525</v>
      </c>
      <c r="F1391" s="1816">
        <f t="shared" si="111"/>
        <v>9910</v>
      </c>
      <c r="G1391" s="1816">
        <f t="shared" si="112"/>
        <v>8304</v>
      </c>
    </row>
    <row r="1392" spans="1:7" ht="15.75">
      <c r="A1392" s="1961">
        <f t="shared" si="113"/>
        <v>66425</v>
      </c>
      <c r="B1392" s="1815">
        <v>66400</v>
      </c>
      <c r="C1392" s="1815">
        <v>66450</v>
      </c>
      <c r="D1392" s="1816">
        <f t="shared" si="109"/>
        <v>9921</v>
      </c>
      <c r="E1392" s="1816">
        <f t="shared" si="110"/>
        <v>7531</v>
      </c>
      <c r="F1392" s="1816">
        <f t="shared" si="111"/>
        <v>9921</v>
      </c>
      <c r="G1392" s="1816">
        <f t="shared" si="112"/>
        <v>8315</v>
      </c>
    </row>
    <row r="1393" spans="1:7" ht="15.75">
      <c r="A1393" s="1961">
        <f t="shared" si="113"/>
        <v>66475</v>
      </c>
      <c r="B1393" s="1815">
        <v>66450</v>
      </c>
      <c r="C1393" s="1815">
        <v>66500</v>
      </c>
      <c r="D1393" s="1816">
        <f t="shared" si="109"/>
        <v>9932</v>
      </c>
      <c r="E1393" s="1816">
        <f t="shared" si="110"/>
        <v>7537</v>
      </c>
      <c r="F1393" s="1816">
        <f t="shared" si="111"/>
        <v>9932</v>
      </c>
      <c r="G1393" s="1816">
        <f t="shared" si="112"/>
        <v>8326</v>
      </c>
    </row>
    <row r="1394" spans="1:7" ht="15.75">
      <c r="A1394" s="1961">
        <f t="shared" si="113"/>
        <v>66525</v>
      </c>
      <c r="B1394" s="1815">
        <v>66500</v>
      </c>
      <c r="C1394" s="1815">
        <v>66550</v>
      </c>
      <c r="D1394" s="1816">
        <f t="shared" si="109"/>
        <v>9943</v>
      </c>
      <c r="E1394" s="1816">
        <f t="shared" si="110"/>
        <v>7543</v>
      </c>
      <c r="F1394" s="1816">
        <f t="shared" si="111"/>
        <v>9943</v>
      </c>
      <c r="G1394" s="1816">
        <f t="shared" si="112"/>
        <v>8337</v>
      </c>
    </row>
    <row r="1395" spans="1:7" ht="15.75">
      <c r="A1395" s="1961">
        <f t="shared" si="113"/>
        <v>66575</v>
      </c>
      <c r="B1395" s="1815">
        <v>66550</v>
      </c>
      <c r="C1395" s="1815">
        <v>66600</v>
      </c>
      <c r="D1395" s="1816">
        <f t="shared" si="109"/>
        <v>9954</v>
      </c>
      <c r="E1395" s="1816">
        <f t="shared" si="110"/>
        <v>7549</v>
      </c>
      <c r="F1395" s="1816">
        <f t="shared" si="111"/>
        <v>9954</v>
      </c>
      <c r="G1395" s="1816">
        <f t="shared" si="112"/>
        <v>8348</v>
      </c>
    </row>
    <row r="1396" spans="1:7" ht="15.75">
      <c r="A1396" s="1961">
        <f t="shared" si="113"/>
        <v>66625</v>
      </c>
      <c r="B1396" s="1815">
        <v>66600</v>
      </c>
      <c r="C1396" s="1815">
        <v>66650</v>
      </c>
      <c r="D1396" s="1816">
        <f t="shared" si="109"/>
        <v>9965</v>
      </c>
      <c r="E1396" s="1816">
        <f t="shared" si="110"/>
        <v>7555</v>
      </c>
      <c r="F1396" s="1816">
        <f t="shared" si="111"/>
        <v>9965</v>
      </c>
      <c r="G1396" s="1816">
        <f t="shared" si="112"/>
        <v>8359</v>
      </c>
    </row>
    <row r="1397" spans="1:7" ht="15.75">
      <c r="A1397" s="1961">
        <f t="shared" si="113"/>
        <v>66675</v>
      </c>
      <c r="B1397" s="1815">
        <v>66650</v>
      </c>
      <c r="C1397" s="1815">
        <v>66700</v>
      </c>
      <c r="D1397" s="1816">
        <f t="shared" si="109"/>
        <v>9976</v>
      </c>
      <c r="E1397" s="1816">
        <f t="shared" si="110"/>
        <v>7561</v>
      </c>
      <c r="F1397" s="1816">
        <f t="shared" si="111"/>
        <v>9976</v>
      </c>
      <c r="G1397" s="1816">
        <f t="shared" si="112"/>
        <v>8370</v>
      </c>
    </row>
    <row r="1398" spans="1:7" ht="15.75">
      <c r="A1398" s="1961">
        <f t="shared" si="113"/>
        <v>66725</v>
      </c>
      <c r="B1398" s="1815">
        <v>66700</v>
      </c>
      <c r="C1398" s="1815">
        <v>66750</v>
      </c>
      <c r="D1398" s="1816">
        <f t="shared" si="109"/>
        <v>9987</v>
      </c>
      <c r="E1398" s="1816">
        <f t="shared" si="110"/>
        <v>7567</v>
      </c>
      <c r="F1398" s="1816">
        <f t="shared" si="111"/>
        <v>9987</v>
      </c>
      <c r="G1398" s="1816">
        <f t="shared" si="112"/>
        <v>8381</v>
      </c>
    </row>
    <row r="1399" spans="1:7" ht="15.75">
      <c r="A1399" s="1961">
        <f t="shared" si="113"/>
        <v>66775</v>
      </c>
      <c r="B1399" s="1815">
        <v>66750</v>
      </c>
      <c r="C1399" s="1815">
        <v>66800</v>
      </c>
      <c r="D1399" s="1816">
        <f t="shared" si="109"/>
        <v>9998</v>
      </c>
      <c r="E1399" s="1816">
        <f t="shared" si="110"/>
        <v>7573</v>
      </c>
      <c r="F1399" s="1816">
        <f t="shared" si="111"/>
        <v>9998</v>
      </c>
      <c r="G1399" s="1816">
        <f t="shared" si="112"/>
        <v>8392</v>
      </c>
    </row>
    <row r="1400" spans="1:7" ht="15.75">
      <c r="A1400" s="1961">
        <f t="shared" si="113"/>
        <v>66825</v>
      </c>
      <c r="B1400" s="1815">
        <v>66800</v>
      </c>
      <c r="C1400" s="1815">
        <v>66850</v>
      </c>
      <c r="D1400" s="1816">
        <f t="shared" si="109"/>
        <v>10009</v>
      </c>
      <c r="E1400" s="1816">
        <f t="shared" si="110"/>
        <v>7579</v>
      </c>
      <c r="F1400" s="1816">
        <f t="shared" si="111"/>
        <v>10009</v>
      </c>
      <c r="G1400" s="1816">
        <f t="shared" si="112"/>
        <v>8403</v>
      </c>
    </row>
    <row r="1401" spans="1:7" ht="15.75">
      <c r="A1401" s="1961">
        <f t="shared" si="113"/>
        <v>66875</v>
      </c>
      <c r="B1401" s="1815">
        <v>66850</v>
      </c>
      <c r="C1401" s="1815">
        <v>66900</v>
      </c>
      <c r="D1401" s="1816">
        <f t="shared" si="109"/>
        <v>10020</v>
      </c>
      <c r="E1401" s="1816">
        <f t="shared" si="110"/>
        <v>7585</v>
      </c>
      <c r="F1401" s="1816">
        <f t="shared" si="111"/>
        <v>10020</v>
      </c>
      <c r="G1401" s="1816">
        <f t="shared" si="112"/>
        <v>8414</v>
      </c>
    </row>
    <row r="1402" spans="1:7" ht="15.75">
      <c r="A1402" s="1961">
        <f t="shared" si="113"/>
        <v>66925</v>
      </c>
      <c r="B1402" s="1815">
        <v>66900</v>
      </c>
      <c r="C1402" s="1815">
        <v>66950</v>
      </c>
      <c r="D1402" s="1816">
        <f t="shared" si="109"/>
        <v>10031</v>
      </c>
      <c r="E1402" s="1816">
        <f t="shared" si="110"/>
        <v>7591</v>
      </c>
      <c r="F1402" s="1816">
        <f t="shared" si="111"/>
        <v>10031</v>
      </c>
      <c r="G1402" s="1816">
        <f t="shared" si="112"/>
        <v>8425</v>
      </c>
    </row>
    <row r="1403" spans="1:7" ht="15.75">
      <c r="A1403" s="1961">
        <f t="shared" si="113"/>
        <v>66975</v>
      </c>
      <c r="B1403" s="1815">
        <v>66950</v>
      </c>
      <c r="C1403" s="1815">
        <v>67000</v>
      </c>
      <c r="D1403" s="1816">
        <f t="shared" si="109"/>
        <v>10042</v>
      </c>
      <c r="E1403" s="1816">
        <f t="shared" si="110"/>
        <v>7597</v>
      </c>
      <c r="F1403" s="1816">
        <f t="shared" si="111"/>
        <v>10042</v>
      </c>
      <c r="G1403" s="1816">
        <f t="shared" si="112"/>
        <v>8436</v>
      </c>
    </row>
    <row r="1404" spans="1:7" ht="15.75">
      <c r="A1404" s="1961">
        <f t="shared" si="113"/>
        <v>67025</v>
      </c>
      <c r="B1404" s="1815">
        <v>67000</v>
      </c>
      <c r="C1404" s="1815">
        <v>67050</v>
      </c>
      <c r="D1404" s="1816">
        <f t="shared" si="109"/>
        <v>10053</v>
      </c>
      <c r="E1404" s="1816">
        <f t="shared" si="110"/>
        <v>7603</v>
      </c>
      <c r="F1404" s="1816">
        <f t="shared" si="111"/>
        <v>10053</v>
      </c>
      <c r="G1404" s="1816">
        <f t="shared" si="112"/>
        <v>8447</v>
      </c>
    </row>
    <row r="1405" spans="1:7" ht="15.75">
      <c r="A1405" s="1961">
        <f t="shared" si="113"/>
        <v>67075</v>
      </c>
      <c r="B1405" s="1815">
        <v>67050</v>
      </c>
      <c r="C1405" s="1815">
        <v>67100</v>
      </c>
      <c r="D1405" s="1816">
        <f t="shared" si="109"/>
        <v>10064</v>
      </c>
      <c r="E1405" s="1816">
        <f t="shared" si="110"/>
        <v>7609</v>
      </c>
      <c r="F1405" s="1816">
        <f t="shared" si="111"/>
        <v>10064</v>
      </c>
      <c r="G1405" s="1816">
        <f t="shared" si="112"/>
        <v>8458</v>
      </c>
    </row>
    <row r="1406" spans="1:7" ht="15.75">
      <c r="A1406" s="1961">
        <f t="shared" si="113"/>
        <v>67125</v>
      </c>
      <c r="B1406" s="1815">
        <v>67100</v>
      </c>
      <c r="C1406" s="1815">
        <v>67150</v>
      </c>
      <c r="D1406" s="1816">
        <f t="shared" si="109"/>
        <v>10075</v>
      </c>
      <c r="E1406" s="1816">
        <f t="shared" si="110"/>
        <v>7615</v>
      </c>
      <c r="F1406" s="1816">
        <f t="shared" si="111"/>
        <v>10075</v>
      </c>
      <c r="G1406" s="1816">
        <f t="shared" si="112"/>
        <v>8469</v>
      </c>
    </row>
    <row r="1407" spans="1:7" ht="15.75">
      <c r="A1407" s="1961">
        <f t="shared" si="113"/>
        <v>67175</v>
      </c>
      <c r="B1407" s="1815">
        <v>67150</v>
      </c>
      <c r="C1407" s="1815">
        <v>67200</v>
      </c>
      <c r="D1407" s="1816">
        <f t="shared" si="109"/>
        <v>10086</v>
      </c>
      <c r="E1407" s="1816">
        <f t="shared" si="110"/>
        <v>7621</v>
      </c>
      <c r="F1407" s="1816">
        <f t="shared" si="111"/>
        <v>10086</v>
      </c>
      <c r="G1407" s="1816">
        <f t="shared" si="112"/>
        <v>8480</v>
      </c>
    </row>
    <row r="1408" spans="1:7" ht="15.75">
      <c r="A1408" s="1961">
        <f t="shared" si="113"/>
        <v>67225</v>
      </c>
      <c r="B1408" s="1815">
        <v>67200</v>
      </c>
      <c r="C1408" s="1815">
        <v>67250</v>
      </c>
      <c r="D1408" s="1816">
        <f t="shared" si="109"/>
        <v>10097</v>
      </c>
      <c r="E1408" s="1816">
        <f t="shared" si="110"/>
        <v>7627</v>
      </c>
      <c r="F1408" s="1816">
        <f t="shared" si="111"/>
        <v>10097</v>
      </c>
      <c r="G1408" s="1816">
        <f t="shared" si="112"/>
        <v>8491</v>
      </c>
    </row>
    <row r="1409" spans="1:7" ht="15.75">
      <c r="A1409" s="1961">
        <f t="shared" si="113"/>
        <v>67275</v>
      </c>
      <c r="B1409" s="1815">
        <v>67250</v>
      </c>
      <c r="C1409" s="1815">
        <v>67300</v>
      </c>
      <c r="D1409" s="1816">
        <f t="shared" si="109"/>
        <v>10108</v>
      </c>
      <c r="E1409" s="1816">
        <f t="shared" si="110"/>
        <v>7633</v>
      </c>
      <c r="F1409" s="1816">
        <f t="shared" si="111"/>
        <v>10108</v>
      </c>
      <c r="G1409" s="1816">
        <f t="shared" si="112"/>
        <v>8502</v>
      </c>
    </row>
    <row r="1410" spans="1:7" ht="15.75">
      <c r="A1410" s="1961">
        <f t="shared" si="113"/>
        <v>67325</v>
      </c>
      <c r="B1410" s="1815">
        <v>67300</v>
      </c>
      <c r="C1410" s="1815">
        <v>67350</v>
      </c>
      <c r="D1410" s="1816">
        <f t="shared" ref="D1410:D1473" si="114">IF($A1410&gt;BOTT_A4,ROUND(BASE_A4+RATE_A4*($A1410-BOTT_A4),0),IF($A1410&gt;BOTT_A3,ROUND(BASE_A3+RATE_A3*($A1410-BOTT_A3),0),IF($A1410&gt;BOTT_A2,ROUND(BASE_A2+RATE_A2*($A1410-BOTT_A2),0),ROUND(RATE_A1*$A1410,0))))</f>
        <v>10119</v>
      </c>
      <c r="E1410" s="1816">
        <f t="shared" ref="E1410:E1473" si="115">IF($A1410&gt;BOTT_B4,ROUND(BASE_B4+RATE_B4*($A1410-BOTT_B4),0),IF($A1410&gt;BOTT_B3,ROUND(BASE_B3+RATE_B3*($A1410-BOTT_B3),0),IF($A1410&gt;BOTT_B2,ROUND(BASE_B2+RATE_B2*($A1410-BOTT_B2),0),ROUND(RATE_B1*$A1410,0))))</f>
        <v>7639</v>
      </c>
      <c r="F1410" s="1816">
        <f t="shared" ref="F1410:F1473" si="116">IF($A1410&gt;BOTT_C4,ROUND(BASE_C4+RATE_C4*($A1410-BOTT_C4),0),IF($A1410&gt;BOTT_C3,ROUND(BASE_C3+RATE_C3*($A1410-BOTT_C3),0),IF($A1410&gt;BOTT_C2,ROUND(BASE_C2+RATE_C2*($A1410-BOTT_C2),0),ROUND(RATE_C1*$A1410,0))))</f>
        <v>10119</v>
      </c>
      <c r="G1410" s="1816">
        <f t="shared" ref="G1410:G1473" si="117">IF($A1410&gt;BOTT_D4,ROUND(BASE_D4+RATE_D4*($A1410-BOTT_D4),0),IF($A1410&gt;BOTT_D3,ROUND(BASE_D3+RATE_D3*($A1410-BOTT_D3),0),IF($A1410&gt;BOTT_D2,ROUND(BASE_D2+RATE_D2*($A1410-BOTT_D2),0),ROUND(RATE_D1*$A1410,0))))</f>
        <v>8513</v>
      </c>
    </row>
    <row r="1411" spans="1:7" ht="15.75">
      <c r="A1411" s="1961">
        <f t="shared" ref="A1411:A1474" si="118">AVERAGE(B1411,C1411)</f>
        <v>67375</v>
      </c>
      <c r="B1411" s="1815">
        <v>67350</v>
      </c>
      <c r="C1411" s="1815">
        <v>67400</v>
      </c>
      <c r="D1411" s="1816">
        <f t="shared" si="114"/>
        <v>10130</v>
      </c>
      <c r="E1411" s="1816">
        <f t="shared" si="115"/>
        <v>7645</v>
      </c>
      <c r="F1411" s="1816">
        <f t="shared" si="116"/>
        <v>10130</v>
      </c>
      <c r="G1411" s="1816">
        <f t="shared" si="117"/>
        <v>8524</v>
      </c>
    </row>
    <row r="1412" spans="1:7" ht="15.75">
      <c r="A1412" s="1961">
        <f t="shared" si="118"/>
        <v>67425</v>
      </c>
      <c r="B1412" s="1815">
        <v>67400</v>
      </c>
      <c r="C1412" s="1815">
        <v>67450</v>
      </c>
      <c r="D1412" s="1816">
        <f t="shared" si="114"/>
        <v>10141</v>
      </c>
      <c r="E1412" s="1816">
        <f t="shared" si="115"/>
        <v>7651</v>
      </c>
      <c r="F1412" s="1816">
        <f t="shared" si="116"/>
        <v>10141</v>
      </c>
      <c r="G1412" s="1816">
        <f t="shared" si="117"/>
        <v>8535</v>
      </c>
    </row>
    <row r="1413" spans="1:7" ht="15.75">
      <c r="A1413" s="1961">
        <f t="shared" si="118"/>
        <v>67475</v>
      </c>
      <c r="B1413" s="1815">
        <v>67450</v>
      </c>
      <c r="C1413" s="1815">
        <v>67500</v>
      </c>
      <c r="D1413" s="1816">
        <f t="shared" si="114"/>
        <v>10152</v>
      </c>
      <c r="E1413" s="1816">
        <f t="shared" si="115"/>
        <v>7657</v>
      </c>
      <c r="F1413" s="1816">
        <f t="shared" si="116"/>
        <v>10152</v>
      </c>
      <c r="G1413" s="1816">
        <f t="shared" si="117"/>
        <v>8546</v>
      </c>
    </row>
    <row r="1414" spans="1:7" ht="15.75">
      <c r="A1414" s="1961">
        <f t="shared" si="118"/>
        <v>67525</v>
      </c>
      <c r="B1414" s="1815">
        <v>67500</v>
      </c>
      <c r="C1414" s="1815">
        <v>67550</v>
      </c>
      <c r="D1414" s="1816">
        <f t="shared" si="114"/>
        <v>10163</v>
      </c>
      <c r="E1414" s="1816">
        <f t="shared" si="115"/>
        <v>7663</v>
      </c>
      <c r="F1414" s="1816">
        <f t="shared" si="116"/>
        <v>10163</v>
      </c>
      <c r="G1414" s="1816">
        <f t="shared" si="117"/>
        <v>8557</v>
      </c>
    </row>
    <row r="1415" spans="1:7" ht="15.75">
      <c r="A1415" s="1961">
        <f t="shared" si="118"/>
        <v>67575</v>
      </c>
      <c r="B1415" s="1815">
        <v>67550</v>
      </c>
      <c r="C1415" s="1815">
        <v>67600</v>
      </c>
      <c r="D1415" s="1816">
        <f t="shared" si="114"/>
        <v>10174</v>
      </c>
      <c r="E1415" s="1816">
        <f t="shared" si="115"/>
        <v>7669</v>
      </c>
      <c r="F1415" s="1816">
        <f t="shared" si="116"/>
        <v>10174</v>
      </c>
      <c r="G1415" s="1816">
        <f t="shared" si="117"/>
        <v>8568</v>
      </c>
    </row>
    <row r="1416" spans="1:7" ht="15.75">
      <c r="A1416" s="1961">
        <f t="shared" si="118"/>
        <v>67625</v>
      </c>
      <c r="B1416" s="1815">
        <v>67600</v>
      </c>
      <c r="C1416" s="1815">
        <v>67650</v>
      </c>
      <c r="D1416" s="1816">
        <f t="shared" si="114"/>
        <v>10185</v>
      </c>
      <c r="E1416" s="1816">
        <f t="shared" si="115"/>
        <v>7675</v>
      </c>
      <c r="F1416" s="1816">
        <f t="shared" si="116"/>
        <v>10185</v>
      </c>
      <c r="G1416" s="1816">
        <f t="shared" si="117"/>
        <v>8579</v>
      </c>
    </row>
    <row r="1417" spans="1:7" ht="15.75">
      <c r="A1417" s="1961">
        <f t="shared" si="118"/>
        <v>67675</v>
      </c>
      <c r="B1417" s="1815">
        <v>67650</v>
      </c>
      <c r="C1417" s="1815">
        <v>67700</v>
      </c>
      <c r="D1417" s="1816">
        <f t="shared" si="114"/>
        <v>10196</v>
      </c>
      <c r="E1417" s="1816">
        <f t="shared" si="115"/>
        <v>7681</v>
      </c>
      <c r="F1417" s="1816">
        <f t="shared" si="116"/>
        <v>10196</v>
      </c>
      <c r="G1417" s="1816">
        <f t="shared" si="117"/>
        <v>8590</v>
      </c>
    </row>
    <row r="1418" spans="1:7" ht="15.75">
      <c r="A1418" s="1961">
        <f t="shared" si="118"/>
        <v>67725</v>
      </c>
      <c r="B1418" s="1815">
        <v>67700</v>
      </c>
      <c r="C1418" s="1815">
        <v>67750</v>
      </c>
      <c r="D1418" s="1816">
        <f t="shared" si="114"/>
        <v>10207</v>
      </c>
      <c r="E1418" s="1816">
        <f t="shared" si="115"/>
        <v>7687</v>
      </c>
      <c r="F1418" s="1816">
        <f t="shared" si="116"/>
        <v>10207</v>
      </c>
      <c r="G1418" s="1816">
        <f t="shared" si="117"/>
        <v>8601</v>
      </c>
    </row>
    <row r="1419" spans="1:7" ht="15.75">
      <c r="A1419" s="1961">
        <f t="shared" si="118"/>
        <v>67775</v>
      </c>
      <c r="B1419" s="1815">
        <v>67750</v>
      </c>
      <c r="C1419" s="1815">
        <v>67800</v>
      </c>
      <c r="D1419" s="1816">
        <f t="shared" si="114"/>
        <v>10218</v>
      </c>
      <c r="E1419" s="1816">
        <f t="shared" si="115"/>
        <v>7693</v>
      </c>
      <c r="F1419" s="1816">
        <f t="shared" si="116"/>
        <v>10218</v>
      </c>
      <c r="G1419" s="1816">
        <f t="shared" si="117"/>
        <v>8612</v>
      </c>
    </row>
    <row r="1420" spans="1:7" ht="15.75">
      <c r="A1420" s="1961">
        <f t="shared" si="118"/>
        <v>67825</v>
      </c>
      <c r="B1420" s="1815">
        <v>67800</v>
      </c>
      <c r="C1420" s="1815">
        <v>67850</v>
      </c>
      <c r="D1420" s="1816">
        <f t="shared" si="114"/>
        <v>10229</v>
      </c>
      <c r="E1420" s="1816">
        <f t="shared" si="115"/>
        <v>7699</v>
      </c>
      <c r="F1420" s="1816">
        <f t="shared" si="116"/>
        <v>10229</v>
      </c>
      <c r="G1420" s="1816">
        <f t="shared" si="117"/>
        <v>8623</v>
      </c>
    </row>
    <row r="1421" spans="1:7" ht="15.75">
      <c r="A1421" s="1961">
        <f t="shared" si="118"/>
        <v>67875</v>
      </c>
      <c r="B1421" s="1815">
        <v>67850</v>
      </c>
      <c r="C1421" s="1815">
        <v>67900</v>
      </c>
      <c r="D1421" s="1816">
        <f t="shared" si="114"/>
        <v>10240</v>
      </c>
      <c r="E1421" s="1816">
        <f t="shared" si="115"/>
        <v>7705</v>
      </c>
      <c r="F1421" s="1816">
        <f t="shared" si="116"/>
        <v>10240</v>
      </c>
      <c r="G1421" s="1816">
        <f t="shared" si="117"/>
        <v>8634</v>
      </c>
    </row>
    <row r="1422" spans="1:7" ht="15.75">
      <c r="A1422" s="1961">
        <f t="shared" si="118"/>
        <v>67925</v>
      </c>
      <c r="B1422" s="1815">
        <v>67900</v>
      </c>
      <c r="C1422" s="1815">
        <v>67950</v>
      </c>
      <c r="D1422" s="1816">
        <f t="shared" si="114"/>
        <v>10251</v>
      </c>
      <c r="E1422" s="1816">
        <f t="shared" si="115"/>
        <v>7711</v>
      </c>
      <c r="F1422" s="1816">
        <f t="shared" si="116"/>
        <v>10251</v>
      </c>
      <c r="G1422" s="1816">
        <f t="shared" si="117"/>
        <v>8645</v>
      </c>
    </row>
    <row r="1423" spans="1:7" ht="15.75">
      <c r="A1423" s="1961">
        <f t="shared" si="118"/>
        <v>67975</v>
      </c>
      <c r="B1423" s="1815">
        <v>67950</v>
      </c>
      <c r="C1423" s="1815">
        <v>68000</v>
      </c>
      <c r="D1423" s="1816">
        <f t="shared" si="114"/>
        <v>10262</v>
      </c>
      <c r="E1423" s="1816">
        <f t="shared" si="115"/>
        <v>7717</v>
      </c>
      <c r="F1423" s="1816">
        <f t="shared" si="116"/>
        <v>10262</v>
      </c>
      <c r="G1423" s="1816">
        <f t="shared" si="117"/>
        <v>8656</v>
      </c>
    </row>
    <row r="1424" spans="1:7" ht="15.75">
      <c r="A1424" s="1961">
        <f t="shared" si="118"/>
        <v>68025</v>
      </c>
      <c r="B1424" s="1815">
        <v>68000</v>
      </c>
      <c r="C1424" s="1815">
        <v>68050</v>
      </c>
      <c r="D1424" s="1816">
        <f t="shared" si="114"/>
        <v>10273</v>
      </c>
      <c r="E1424" s="1816">
        <f t="shared" si="115"/>
        <v>7723</v>
      </c>
      <c r="F1424" s="1816">
        <f t="shared" si="116"/>
        <v>10273</v>
      </c>
      <c r="G1424" s="1816">
        <f t="shared" si="117"/>
        <v>8667</v>
      </c>
    </row>
    <row r="1425" spans="1:7" ht="15.75">
      <c r="A1425" s="1961">
        <f t="shared" si="118"/>
        <v>68075</v>
      </c>
      <c r="B1425" s="1815">
        <v>68050</v>
      </c>
      <c r="C1425" s="1815">
        <v>68100</v>
      </c>
      <c r="D1425" s="1816">
        <f t="shared" si="114"/>
        <v>10284</v>
      </c>
      <c r="E1425" s="1816">
        <f t="shared" si="115"/>
        <v>7729</v>
      </c>
      <c r="F1425" s="1816">
        <f t="shared" si="116"/>
        <v>10284</v>
      </c>
      <c r="G1425" s="1816">
        <f t="shared" si="117"/>
        <v>8678</v>
      </c>
    </row>
    <row r="1426" spans="1:7" ht="15.75">
      <c r="A1426" s="1961">
        <f t="shared" si="118"/>
        <v>68125</v>
      </c>
      <c r="B1426" s="1815">
        <v>68100</v>
      </c>
      <c r="C1426" s="1815">
        <v>68150</v>
      </c>
      <c r="D1426" s="1816">
        <f t="shared" si="114"/>
        <v>10295</v>
      </c>
      <c r="E1426" s="1816">
        <f t="shared" si="115"/>
        <v>7735</v>
      </c>
      <c r="F1426" s="1816">
        <f t="shared" si="116"/>
        <v>10295</v>
      </c>
      <c r="G1426" s="1816">
        <f t="shared" si="117"/>
        <v>8689</v>
      </c>
    </row>
    <row r="1427" spans="1:7" ht="15.75">
      <c r="A1427" s="1961">
        <f t="shared" si="118"/>
        <v>68175</v>
      </c>
      <c r="B1427" s="1815">
        <v>68150</v>
      </c>
      <c r="C1427" s="1815">
        <v>68200</v>
      </c>
      <c r="D1427" s="1816">
        <f t="shared" si="114"/>
        <v>10306</v>
      </c>
      <c r="E1427" s="1816">
        <f t="shared" si="115"/>
        <v>7741</v>
      </c>
      <c r="F1427" s="1816">
        <f t="shared" si="116"/>
        <v>10306</v>
      </c>
      <c r="G1427" s="1816">
        <f t="shared" si="117"/>
        <v>8700</v>
      </c>
    </row>
    <row r="1428" spans="1:7" ht="15.75">
      <c r="A1428" s="1961">
        <f t="shared" si="118"/>
        <v>68225</v>
      </c>
      <c r="B1428" s="1815">
        <v>68200</v>
      </c>
      <c r="C1428" s="1815">
        <v>68250</v>
      </c>
      <c r="D1428" s="1816">
        <f t="shared" si="114"/>
        <v>10317</v>
      </c>
      <c r="E1428" s="1816">
        <f t="shared" si="115"/>
        <v>7747</v>
      </c>
      <c r="F1428" s="1816">
        <f t="shared" si="116"/>
        <v>10317</v>
      </c>
      <c r="G1428" s="1816">
        <f t="shared" si="117"/>
        <v>8711</v>
      </c>
    </row>
    <row r="1429" spans="1:7" ht="15.75">
      <c r="A1429" s="1961">
        <f t="shared" si="118"/>
        <v>68275</v>
      </c>
      <c r="B1429" s="1815">
        <v>68250</v>
      </c>
      <c r="C1429" s="1815">
        <v>68300</v>
      </c>
      <c r="D1429" s="1816">
        <f t="shared" si="114"/>
        <v>10328</v>
      </c>
      <c r="E1429" s="1816">
        <f t="shared" si="115"/>
        <v>7753</v>
      </c>
      <c r="F1429" s="1816">
        <f t="shared" si="116"/>
        <v>10328</v>
      </c>
      <c r="G1429" s="1816">
        <f t="shared" si="117"/>
        <v>8722</v>
      </c>
    </row>
    <row r="1430" spans="1:7" ht="15.75">
      <c r="A1430" s="1961">
        <f t="shared" si="118"/>
        <v>68325</v>
      </c>
      <c r="B1430" s="1815">
        <v>68300</v>
      </c>
      <c r="C1430" s="1815">
        <v>68350</v>
      </c>
      <c r="D1430" s="1816">
        <f t="shared" si="114"/>
        <v>10339</v>
      </c>
      <c r="E1430" s="1816">
        <f t="shared" si="115"/>
        <v>7759</v>
      </c>
      <c r="F1430" s="1816">
        <f t="shared" si="116"/>
        <v>10339</v>
      </c>
      <c r="G1430" s="1816">
        <f t="shared" si="117"/>
        <v>8733</v>
      </c>
    </row>
    <row r="1431" spans="1:7" ht="15.75">
      <c r="A1431" s="1961">
        <f t="shared" si="118"/>
        <v>68375</v>
      </c>
      <c r="B1431" s="1815">
        <v>68350</v>
      </c>
      <c r="C1431" s="1815">
        <v>68400</v>
      </c>
      <c r="D1431" s="1816">
        <f t="shared" si="114"/>
        <v>10350</v>
      </c>
      <c r="E1431" s="1816">
        <f t="shared" si="115"/>
        <v>7765</v>
      </c>
      <c r="F1431" s="1816">
        <f t="shared" si="116"/>
        <v>10350</v>
      </c>
      <c r="G1431" s="1816">
        <f t="shared" si="117"/>
        <v>8744</v>
      </c>
    </row>
    <row r="1432" spans="1:7" ht="15.75">
      <c r="A1432" s="1961">
        <f t="shared" si="118"/>
        <v>68425</v>
      </c>
      <c r="B1432" s="1815">
        <v>68400</v>
      </c>
      <c r="C1432" s="1815">
        <v>68450</v>
      </c>
      <c r="D1432" s="1816">
        <f t="shared" si="114"/>
        <v>10361</v>
      </c>
      <c r="E1432" s="1816">
        <f t="shared" si="115"/>
        <v>7771</v>
      </c>
      <c r="F1432" s="1816">
        <f t="shared" si="116"/>
        <v>10361</v>
      </c>
      <c r="G1432" s="1816">
        <f t="shared" si="117"/>
        <v>8755</v>
      </c>
    </row>
    <row r="1433" spans="1:7" ht="15.75">
      <c r="A1433" s="1961">
        <f t="shared" si="118"/>
        <v>68475</v>
      </c>
      <c r="B1433" s="1815">
        <v>68450</v>
      </c>
      <c r="C1433" s="1815">
        <v>68500</v>
      </c>
      <c r="D1433" s="1816">
        <f t="shared" si="114"/>
        <v>10372</v>
      </c>
      <c r="E1433" s="1816">
        <f t="shared" si="115"/>
        <v>7777</v>
      </c>
      <c r="F1433" s="1816">
        <f t="shared" si="116"/>
        <v>10372</v>
      </c>
      <c r="G1433" s="1816">
        <f t="shared" si="117"/>
        <v>8766</v>
      </c>
    </row>
    <row r="1434" spans="1:7" ht="15.75">
      <c r="A1434" s="1961">
        <f t="shared" si="118"/>
        <v>68525</v>
      </c>
      <c r="B1434" s="1815">
        <v>68500</v>
      </c>
      <c r="C1434" s="1815">
        <v>68550</v>
      </c>
      <c r="D1434" s="1816">
        <f t="shared" si="114"/>
        <v>10383</v>
      </c>
      <c r="E1434" s="1816">
        <f t="shared" si="115"/>
        <v>7783</v>
      </c>
      <c r="F1434" s="1816">
        <f t="shared" si="116"/>
        <v>10383</v>
      </c>
      <c r="G1434" s="1816">
        <f t="shared" si="117"/>
        <v>8777</v>
      </c>
    </row>
    <row r="1435" spans="1:7" ht="15.75">
      <c r="A1435" s="1961">
        <f t="shared" si="118"/>
        <v>68575</v>
      </c>
      <c r="B1435" s="1815">
        <v>68550</v>
      </c>
      <c r="C1435" s="1815">
        <v>68600</v>
      </c>
      <c r="D1435" s="1816">
        <f t="shared" si="114"/>
        <v>10394</v>
      </c>
      <c r="E1435" s="1816">
        <f t="shared" si="115"/>
        <v>7789</v>
      </c>
      <c r="F1435" s="1816">
        <f t="shared" si="116"/>
        <v>10394</v>
      </c>
      <c r="G1435" s="1816">
        <f t="shared" si="117"/>
        <v>8788</v>
      </c>
    </row>
    <row r="1436" spans="1:7" ht="15.75">
      <c r="A1436" s="1961">
        <f t="shared" si="118"/>
        <v>68625</v>
      </c>
      <c r="B1436" s="1815">
        <v>68600</v>
      </c>
      <c r="C1436" s="1815">
        <v>68650</v>
      </c>
      <c r="D1436" s="1816">
        <f t="shared" si="114"/>
        <v>10405</v>
      </c>
      <c r="E1436" s="1816">
        <f t="shared" si="115"/>
        <v>7795</v>
      </c>
      <c r="F1436" s="1816">
        <f t="shared" si="116"/>
        <v>10405</v>
      </c>
      <c r="G1436" s="1816">
        <f t="shared" si="117"/>
        <v>8799</v>
      </c>
    </row>
    <row r="1437" spans="1:7" ht="15.75">
      <c r="A1437" s="1961">
        <f t="shared" si="118"/>
        <v>68675</v>
      </c>
      <c r="B1437" s="1815">
        <v>68650</v>
      </c>
      <c r="C1437" s="1815">
        <v>68700</v>
      </c>
      <c r="D1437" s="1816">
        <f t="shared" si="114"/>
        <v>10416</v>
      </c>
      <c r="E1437" s="1816">
        <f t="shared" si="115"/>
        <v>7801</v>
      </c>
      <c r="F1437" s="1816">
        <f t="shared" si="116"/>
        <v>10416</v>
      </c>
      <c r="G1437" s="1816">
        <f t="shared" si="117"/>
        <v>8810</v>
      </c>
    </row>
    <row r="1438" spans="1:7" ht="15.75">
      <c r="A1438" s="1961">
        <f t="shared" si="118"/>
        <v>68725</v>
      </c>
      <c r="B1438" s="1815">
        <v>68700</v>
      </c>
      <c r="C1438" s="1815">
        <v>68750</v>
      </c>
      <c r="D1438" s="1816">
        <f t="shared" si="114"/>
        <v>10427</v>
      </c>
      <c r="E1438" s="1816">
        <f t="shared" si="115"/>
        <v>7807</v>
      </c>
      <c r="F1438" s="1816">
        <f t="shared" si="116"/>
        <v>10427</v>
      </c>
      <c r="G1438" s="1816">
        <f t="shared" si="117"/>
        <v>8821</v>
      </c>
    </row>
    <row r="1439" spans="1:7" ht="15.75">
      <c r="A1439" s="1961">
        <f t="shared" si="118"/>
        <v>68775</v>
      </c>
      <c r="B1439" s="1815">
        <v>68750</v>
      </c>
      <c r="C1439" s="1815">
        <v>68800</v>
      </c>
      <c r="D1439" s="1816">
        <f t="shared" si="114"/>
        <v>10438</v>
      </c>
      <c r="E1439" s="1816">
        <f t="shared" si="115"/>
        <v>7813</v>
      </c>
      <c r="F1439" s="1816">
        <f t="shared" si="116"/>
        <v>10438</v>
      </c>
      <c r="G1439" s="1816">
        <f t="shared" si="117"/>
        <v>8832</v>
      </c>
    </row>
    <row r="1440" spans="1:7" ht="15.75">
      <c r="A1440" s="1961">
        <f t="shared" si="118"/>
        <v>68825</v>
      </c>
      <c r="B1440" s="1815">
        <v>68800</v>
      </c>
      <c r="C1440" s="1815">
        <v>68850</v>
      </c>
      <c r="D1440" s="1816">
        <f t="shared" si="114"/>
        <v>10449</v>
      </c>
      <c r="E1440" s="1816">
        <f t="shared" si="115"/>
        <v>7819</v>
      </c>
      <c r="F1440" s="1816">
        <f t="shared" si="116"/>
        <v>10449</v>
      </c>
      <c r="G1440" s="1816">
        <f t="shared" si="117"/>
        <v>8843</v>
      </c>
    </row>
    <row r="1441" spans="1:7" ht="15.75">
      <c r="A1441" s="1961">
        <f t="shared" si="118"/>
        <v>68875</v>
      </c>
      <c r="B1441" s="1815">
        <v>68850</v>
      </c>
      <c r="C1441" s="1815">
        <v>68900</v>
      </c>
      <c r="D1441" s="1816">
        <f t="shared" si="114"/>
        <v>10460</v>
      </c>
      <c r="E1441" s="1816">
        <f t="shared" si="115"/>
        <v>7825</v>
      </c>
      <c r="F1441" s="1816">
        <f t="shared" si="116"/>
        <v>10460</v>
      </c>
      <c r="G1441" s="1816">
        <f t="shared" si="117"/>
        <v>8854</v>
      </c>
    </row>
    <row r="1442" spans="1:7" ht="15.75">
      <c r="A1442" s="1961">
        <f t="shared" si="118"/>
        <v>68925</v>
      </c>
      <c r="B1442" s="1815">
        <v>68900</v>
      </c>
      <c r="C1442" s="1815">
        <v>68950</v>
      </c>
      <c r="D1442" s="1816">
        <f t="shared" si="114"/>
        <v>10471</v>
      </c>
      <c r="E1442" s="1816">
        <f t="shared" si="115"/>
        <v>7831</v>
      </c>
      <c r="F1442" s="1816">
        <f t="shared" si="116"/>
        <v>10471</v>
      </c>
      <c r="G1442" s="1816">
        <f t="shared" si="117"/>
        <v>8865</v>
      </c>
    </row>
    <row r="1443" spans="1:7" ht="15.75">
      <c r="A1443" s="1961">
        <f t="shared" si="118"/>
        <v>68975</v>
      </c>
      <c r="B1443" s="1815">
        <v>68950</v>
      </c>
      <c r="C1443" s="1815">
        <v>69000</v>
      </c>
      <c r="D1443" s="1816">
        <f t="shared" si="114"/>
        <v>10482</v>
      </c>
      <c r="E1443" s="1816">
        <f t="shared" si="115"/>
        <v>7837</v>
      </c>
      <c r="F1443" s="1816">
        <f t="shared" si="116"/>
        <v>10482</v>
      </c>
      <c r="G1443" s="1816">
        <f t="shared" si="117"/>
        <v>8876</v>
      </c>
    </row>
    <row r="1444" spans="1:7" ht="15.75">
      <c r="A1444" s="1961">
        <f t="shared" si="118"/>
        <v>69025</v>
      </c>
      <c r="B1444" s="1815">
        <v>69000</v>
      </c>
      <c r="C1444" s="1815">
        <v>69050</v>
      </c>
      <c r="D1444" s="1816">
        <f t="shared" si="114"/>
        <v>10493</v>
      </c>
      <c r="E1444" s="1816">
        <f t="shared" si="115"/>
        <v>7843</v>
      </c>
      <c r="F1444" s="1816">
        <f t="shared" si="116"/>
        <v>10493</v>
      </c>
      <c r="G1444" s="1816">
        <f t="shared" si="117"/>
        <v>8887</v>
      </c>
    </row>
    <row r="1445" spans="1:7" ht="15.75">
      <c r="A1445" s="1961">
        <f t="shared" si="118"/>
        <v>69075</v>
      </c>
      <c r="B1445" s="1815">
        <v>69050</v>
      </c>
      <c r="C1445" s="1815">
        <v>69100</v>
      </c>
      <c r="D1445" s="1816">
        <f t="shared" si="114"/>
        <v>10504</v>
      </c>
      <c r="E1445" s="1816">
        <f t="shared" si="115"/>
        <v>7849</v>
      </c>
      <c r="F1445" s="1816">
        <f t="shared" si="116"/>
        <v>10504</v>
      </c>
      <c r="G1445" s="1816">
        <f t="shared" si="117"/>
        <v>8898</v>
      </c>
    </row>
    <row r="1446" spans="1:7" ht="15.75">
      <c r="A1446" s="1961">
        <f t="shared" si="118"/>
        <v>69125</v>
      </c>
      <c r="B1446" s="1815">
        <v>69100</v>
      </c>
      <c r="C1446" s="1815">
        <v>69150</v>
      </c>
      <c r="D1446" s="1816">
        <f t="shared" si="114"/>
        <v>10515</v>
      </c>
      <c r="E1446" s="1816">
        <f t="shared" si="115"/>
        <v>7855</v>
      </c>
      <c r="F1446" s="1816">
        <f t="shared" si="116"/>
        <v>10515</v>
      </c>
      <c r="G1446" s="1816">
        <f t="shared" si="117"/>
        <v>8909</v>
      </c>
    </row>
    <row r="1447" spans="1:7" ht="15.75">
      <c r="A1447" s="1961">
        <f t="shared" si="118"/>
        <v>69175</v>
      </c>
      <c r="B1447" s="1815">
        <v>69150</v>
      </c>
      <c r="C1447" s="1815">
        <v>69200</v>
      </c>
      <c r="D1447" s="1816">
        <f t="shared" si="114"/>
        <v>10526</v>
      </c>
      <c r="E1447" s="1816">
        <f t="shared" si="115"/>
        <v>7861</v>
      </c>
      <c r="F1447" s="1816">
        <f t="shared" si="116"/>
        <v>10526</v>
      </c>
      <c r="G1447" s="1816">
        <f t="shared" si="117"/>
        <v>8920</v>
      </c>
    </row>
    <row r="1448" spans="1:7" ht="15.75">
      <c r="A1448" s="1961">
        <f t="shared" si="118"/>
        <v>69225</v>
      </c>
      <c r="B1448" s="1815">
        <v>69200</v>
      </c>
      <c r="C1448" s="1815">
        <v>69250</v>
      </c>
      <c r="D1448" s="1816">
        <f t="shared" si="114"/>
        <v>10537</v>
      </c>
      <c r="E1448" s="1816">
        <f t="shared" si="115"/>
        <v>7867</v>
      </c>
      <c r="F1448" s="1816">
        <f t="shared" si="116"/>
        <v>10537</v>
      </c>
      <c r="G1448" s="1816">
        <f t="shared" si="117"/>
        <v>8931</v>
      </c>
    </row>
    <row r="1449" spans="1:7" ht="15.75">
      <c r="A1449" s="1961">
        <f t="shared" si="118"/>
        <v>69275</v>
      </c>
      <c r="B1449" s="1815">
        <v>69250</v>
      </c>
      <c r="C1449" s="1815">
        <v>69300</v>
      </c>
      <c r="D1449" s="1816">
        <f t="shared" si="114"/>
        <v>10548</v>
      </c>
      <c r="E1449" s="1816">
        <f t="shared" si="115"/>
        <v>7873</v>
      </c>
      <c r="F1449" s="1816">
        <f t="shared" si="116"/>
        <v>10548</v>
      </c>
      <c r="G1449" s="1816">
        <f t="shared" si="117"/>
        <v>8942</v>
      </c>
    </row>
    <row r="1450" spans="1:7" ht="15.75">
      <c r="A1450" s="1961">
        <f t="shared" si="118"/>
        <v>69325</v>
      </c>
      <c r="B1450" s="1815">
        <v>69300</v>
      </c>
      <c r="C1450" s="1815">
        <v>69350</v>
      </c>
      <c r="D1450" s="1816">
        <f t="shared" si="114"/>
        <v>10559</v>
      </c>
      <c r="E1450" s="1816">
        <f t="shared" si="115"/>
        <v>7879</v>
      </c>
      <c r="F1450" s="1816">
        <f t="shared" si="116"/>
        <v>10559</v>
      </c>
      <c r="G1450" s="1816">
        <f t="shared" si="117"/>
        <v>8953</v>
      </c>
    </row>
    <row r="1451" spans="1:7" ht="15.75">
      <c r="A1451" s="1961">
        <f t="shared" si="118"/>
        <v>69375</v>
      </c>
      <c r="B1451" s="1815">
        <v>69350</v>
      </c>
      <c r="C1451" s="1815">
        <v>69400</v>
      </c>
      <c r="D1451" s="1816">
        <f t="shared" si="114"/>
        <v>10570</v>
      </c>
      <c r="E1451" s="1816">
        <f t="shared" si="115"/>
        <v>7885</v>
      </c>
      <c r="F1451" s="1816">
        <f t="shared" si="116"/>
        <v>10570</v>
      </c>
      <c r="G1451" s="1816">
        <f t="shared" si="117"/>
        <v>8964</v>
      </c>
    </row>
    <row r="1452" spans="1:7" ht="15.75">
      <c r="A1452" s="1961">
        <f t="shared" si="118"/>
        <v>69425</v>
      </c>
      <c r="B1452" s="1815">
        <v>69400</v>
      </c>
      <c r="C1452" s="1815">
        <v>69450</v>
      </c>
      <c r="D1452" s="1816">
        <f t="shared" si="114"/>
        <v>10581</v>
      </c>
      <c r="E1452" s="1816">
        <f t="shared" si="115"/>
        <v>7891</v>
      </c>
      <c r="F1452" s="1816">
        <f t="shared" si="116"/>
        <v>10581</v>
      </c>
      <c r="G1452" s="1816">
        <f t="shared" si="117"/>
        <v>8975</v>
      </c>
    </row>
    <row r="1453" spans="1:7" ht="15.75">
      <c r="A1453" s="1961">
        <f t="shared" si="118"/>
        <v>69475</v>
      </c>
      <c r="B1453" s="1815">
        <v>69450</v>
      </c>
      <c r="C1453" s="1815">
        <v>69500</v>
      </c>
      <c r="D1453" s="1816">
        <f t="shared" si="114"/>
        <v>10592</v>
      </c>
      <c r="E1453" s="1816">
        <f t="shared" si="115"/>
        <v>7897</v>
      </c>
      <c r="F1453" s="1816">
        <f t="shared" si="116"/>
        <v>10592</v>
      </c>
      <c r="G1453" s="1816">
        <f t="shared" si="117"/>
        <v>8986</v>
      </c>
    </row>
    <row r="1454" spans="1:7" ht="15.75">
      <c r="A1454" s="1961">
        <f t="shared" si="118"/>
        <v>69525</v>
      </c>
      <c r="B1454" s="1815">
        <v>69500</v>
      </c>
      <c r="C1454" s="1815">
        <v>69550</v>
      </c>
      <c r="D1454" s="1816">
        <f t="shared" si="114"/>
        <v>10603</v>
      </c>
      <c r="E1454" s="1816">
        <f t="shared" si="115"/>
        <v>7903</v>
      </c>
      <c r="F1454" s="1816">
        <f t="shared" si="116"/>
        <v>10603</v>
      </c>
      <c r="G1454" s="1816">
        <f t="shared" si="117"/>
        <v>8997</v>
      </c>
    </row>
    <row r="1455" spans="1:7" ht="15.75">
      <c r="A1455" s="1961">
        <f t="shared" si="118"/>
        <v>69575</v>
      </c>
      <c r="B1455" s="1815">
        <v>69550</v>
      </c>
      <c r="C1455" s="1815">
        <v>69600</v>
      </c>
      <c r="D1455" s="1816">
        <f t="shared" si="114"/>
        <v>10614</v>
      </c>
      <c r="E1455" s="1816">
        <f t="shared" si="115"/>
        <v>7909</v>
      </c>
      <c r="F1455" s="1816">
        <f t="shared" si="116"/>
        <v>10614</v>
      </c>
      <c r="G1455" s="1816">
        <f t="shared" si="117"/>
        <v>9008</v>
      </c>
    </row>
    <row r="1456" spans="1:7" ht="15.75">
      <c r="A1456" s="1961">
        <f t="shared" si="118"/>
        <v>69625</v>
      </c>
      <c r="B1456" s="1815">
        <v>69600</v>
      </c>
      <c r="C1456" s="1815">
        <v>69650</v>
      </c>
      <c r="D1456" s="1816">
        <f t="shared" si="114"/>
        <v>10625</v>
      </c>
      <c r="E1456" s="1816">
        <f t="shared" si="115"/>
        <v>7915</v>
      </c>
      <c r="F1456" s="1816">
        <f t="shared" si="116"/>
        <v>10625</v>
      </c>
      <c r="G1456" s="1816">
        <f t="shared" si="117"/>
        <v>9019</v>
      </c>
    </row>
    <row r="1457" spans="1:7" ht="15.75">
      <c r="A1457" s="1961">
        <f t="shared" si="118"/>
        <v>69675</v>
      </c>
      <c r="B1457" s="1815">
        <v>69650</v>
      </c>
      <c r="C1457" s="1815">
        <v>69700</v>
      </c>
      <c r="D1457" s="1816">
        <f t="shared" si="114"/>
        <v>10636</v>
      </c>
      <c r="E1457" s="1816">
        <f t="shared" si="115"/>
        <v>7921</v>
      </c>
      <c r="F1457" s="1816">
        <f t="shared" si="116"/>
        <v>10636</v>
      </c>
      <c r="G1457" s="1816">
        <f t="shared" si="117"/>
        <v>9030</v>
      </c>
    </row>
    <row r="1458" spans="1:7" ht="15.75">
      <c r="A1458" s="1961">
        <f t="shared" si="118"/>
        <v>69725</v>
      </c>
      <c r="B1458" s="1815">
        <v>69700</v>
      </c>
      <c r="C1458" s="1815">
        <v>69750</v>
      </c>
      <c r="D1458" s="1816">
        <f t="shared" si="114"/>
        <v>10647</v>
      </c>
      <c r="E1458" s="1816">
        <f t="shared" si="115"/>
        <v>7927</v>
      </c>
      <c r="F1458" s="1816">
        <f t="shared" si="116"/>
        <v>10647</v>
      </c>
      <c r="G1458" s="1816">
        <f t="shared" si="117"/>
        <v>9041</v>
      </c>
    </row>
    <row r="1459" spans="1:7" ht="15.75">
      <c r="A1459" s="1961">
        <f t="shared" si="118"/>
        <v>69775</v>
      </c>
      <c r="B1459" s="1815">
        <v>69750</v>
      </c>
      <c r="C1459" s="1815">
        <v>69800</v>
      </c>
      <c r="D1459" s="1816">
        <f t="shared" si="114"/>
        <v>10658</v>
      </c>
      <c r="E1459" s="1816">
        <f t="shared" si="115"/>
        <v>7933</v>
      </c>
      <c r="F1459" s="1816">
        <f t="shared" si="116"/>
        <v>10658</v>
      </c>
      <c r="G1459" s="1816">
        <f t="shared" si="117"/>
        <v>9052</v>
      </c>
    </row>
    <row r="1460" spans="1:7" ht="15.75">
      <c r="A1460" s="1961">
        <f t="shared" si="118"/>
        <v>69825</v>
      </c>
      <c r="B1460" s="1815">
        <v>69800</v>
      </c>
      <c r="C1460" s="1815">
        <v>69850</v>
      </c>
      <c r="D1460" s="1816">
        <f t="shared" si="114"/>
        <v>10669</v>
      </c>
      <c r="E1460" s="1816">
        <f t="shared" si="115"/>
        <v>7939</v>
      </c>
      <c r="F1460" s="1816">
        <f t="shared" si="116"/>
        <v>10669</v>
      </c>
      <c r="G1460" s="1816">
        <f t="shared" si="117"/>
        <v>9063</v>
      </c>
    </row>
    <row r="1461" spans="1:7" ht="15.75">
      <c r="A1461" s="1961">
        <f t="shared" si="118"/>
        <v>69875</v>
      </c>
      <c r="B1461" s="1815">
        <v>69850</v>
      </c>
      <c r="C1461" s="1815">
        <v>69900</v>
      </c>
      <c r="D1461" s="1816">
        <f t="shared" si="114"/>
        <v>10680</v>
      </c>
      <c r="E1461" s="1816">
        <f t="shared" si="115"/>
        <v>7945</v>
      </c>
      <c r="F1461" s="1816">
        <f t="shared" si="116"/>
        <v>10680</v>
      </c>
      <c r="G1461" s="1816">
        <f t="shared" si="117"/>
        <v>9074</v>
      </c>
    </row>
    <row r="1462" spans="1:7" ht="15.75">
      <c r="A1462" s="1961">
        <f t="shared" si="118"/>
        <v>69925</v>
      </c>
      <c r="B1462" s="1815">
        <v>69900</v>
      </c>
      <c r="C1462" s="1815">
        <v>69950</v>
      </c>
      <c r="D1462" s="1816">
        <f t="shared" si="114"/>
        <v>10691</v>
      </c>
      <c r="E1462" s="1816">
        <f t="shared" si="115"/>
        <v>7951</v>
      </c>
      <c r="F1462" s="1816">
        <f t="shared" si="116"/>
        <v>10691</v>
      </c>
      <c r="G1462" s="1816">
        <f t="shared" si="117"/>
        <v>9085</v>
      </c>
    </row>
    <row r="1463" spans="1:7" ht="15.75">
      <c r="A1463" s="1961">
        <f t="shared" si="118"/>
        <v>69975</v>
      </c>
      <c r="B1463" s="1815">
        <v>69950</v>
      </c>
      <c r="C1463" s="1815">
        <v>70000</v>
      </c>
      <c r="D1463" s="1816">
        <f t="shared" si="114"/>
        <v>10702</v>
      </c>
      <c r="E1463" s="1816">
        <f t="shared" si="115"/>
        <v>7957</v>
      </c>
      <c r="F1463" s="1816">
        <f t="shared" si="116"/>
        <v>10702</v>
      </c>
      <c r="G1463" s="1816">
        <f t="shared" si="117"/>
        <v>9096</v>
      </c>
    </row>
    <row r="1464" spans="1:7" ht="15.75">
      <c r="A1464" s="1961">
        <f t="shared" si="118"/>
        <v>70025</v>
      </c>
      <c r="B1464" s="1815">
        <v>70000</v>
      </c>
      <c r="C1464" s="1815">
        <v>70050</v>
      </c>
      <c r="D1464" s="1816">
        <f t="shared" si="114"/>
        <v>10713</v>
      </c>
      <c r="E1464" s="1816">
        <f t="shared" si="115"/>
        <v>7963</v>
      </c>
      <c r="F1464" s="1816">
        <f t="shared" si="116"/>
        <v>10713</v>
      </c>
      <c r="G1464" s="1816">
        <f t="shared" si="117"/>
        <v>9107</v>
      </c>
    </row>
    <row r="1465" spans="1:7" ht="15.75">
      <c r="A1465" s="1961">
        <f t="shared" si="118"/>
        <v>70075</v>
      </c>
      <c r="B1465" s="1815">
        <v>70050</v>
      </c>
      <c r="C1465" s="1815">
        <v>70100</v>
      </c>
      <c r="D1465" s="1816">
        <f t="shared" si="114"/>
        <v>10724</v>
      </c>
      <c r="E1465" s="1816">
        <f t="shared" si="115"/>
        <v>7969</v>
      </c>
      <c r="F1465" s="1816">
        <f t="shared" si="116"/>
        <v>10724</v>
      </c>
      <c r="G1465" s="1816">
        <f t="shared" si="117"/>
        <v>9118</v>
      </c>
    </row>
    <row r="1466" spans="1:7" ht="15.75">
      <c r="A1466" s="1961">
        <f t="shared" si="118"/>
        <v>70125</v>
      </c>
      <c r="B1466" s="1815">
        <v>70100</v>
      </c>
      <c r="C1466" s="1815">
        <v>70150</v>
      </c>
      <c r="D1466" s="1816">
        <f t="shared" si="114"/>
        <v>10735</v>
      </c>
      <c r="E1466" s="1816">
        <f t="shared" si="115"/>
        <v>7975</v>
      </c>
      <c r="F1466" s="1816">
        <f t="shared" si="116"/>
        <v>10735</v>
      </c>
      <c r="G1466" s="1816">
        <f t="shared" si="117"/>
        <v>9129</v>
      </c>
    </row>
    <row r="1467" spans="1:7" ht="15.75">
      <c r="A1467" s="1961">
        <f t="shared" si="118"/>
        <v>70175</v>
      </c>
      <c r="B1467" s="1815">
        <v>70150</v>
      </c>
      <c r="C1467" s="1815">
        <v>70200</v>
      </c>
      <c r="D1467" s="1816">
        <f t="shared" si="114"/>
        <v>10746</v>
      </c>
      <c r="E1467" s="1816">
        <f t="shared" si="115"/>
        <v>7981</v>
      </c>
      <c r="F1467" s="1816">
        <f t="shared" si="116"/>
        <v>10746</v>
      </c>
      <c r="G1467" s="1816">
        <f t="shared" si="117"/>
        <v>9140</v>
      </c>
    </row>
    <row r="1468" spans="1:7" ht="15.75">
      <c r="A1468" s="1961">
        <f t="shared" si="118"/>
        <v>70225</v>
      </c>
      <c r="B1468" s="1815">
        <v>70200</v>
      </c>
      <c r="C1468" s="1815">
        <v>70250</v>
      </c>
      <c r="D1468" s="1816">
        <f t="shared" si="114"/>
        <v>10757</v>
      </c>
      <c r="E1468" s="1816">
        <f t="shared" si="115"/>
        <v>7987</v>
      </c>
      <c r="F1468" s="1816">
        <f t="shared" si="116"/>
        <v>10757</v>
      </c>
      <c r="G1468" s="1816">
        <f t="shared" si="117"/>
        <v>9151</v>
      </c>
    </row>
    <row r="1469" spans="1:7" ht="15.75">
      <c r="A1469" s="1961">
        <f t="shared" si="118"/>
        <v>70275</v>
      </c>
      <c r="B1469" s="1815">
        <v>70250</v>
      </c>
      <c r="C1469" s="1815">
        <v>70300</v>
      </c>
      <c r="D1469" s="1816">
        <f t="shared" si="114"/>
        <v>10768</v>
      </c>
      <c r="E1469" s="1816">
        <f t="shared" si="115"/>
        <v>7993</v>
      </c>
      <c r="F1469" s="1816">
        <f t="shared" si="116"/>
        <v>10768</v>
      </c>
      <c r="G1469" s="1816">
        <f t="shared" si="117"/>
        <v>9162</v>
      </c>
    </row>
    <row r="1470" spans="1:7" ht="15.75">
      <c r="A1470" s="1961">
        <f t="shared" si="118"/>
        <v>70325</v>
      </c>
      <c r="B1470" s="1815">
        <v>70300</v>
      </c>
      <c r="C1470" s="1815">
        <v>70350</v>
      </c>
      <c r="D1470" s="1816">
        <f t="shared" si="114"/>
        <v>10779</v>
      </c>
      <c r="E1470" s="1816">
        <f t="shared" si="115"/>
        <v>7999</v>
      </c>
      <c r="F1470" s="1816">
        <f t="shared" si="116"/>
        <v>10779</v>
      </c>
      <c r="G1470" s="1816">
        <f t="shared" si="117"/>
        <v>9173</v>
      </c>
    </row>
    <row r="1471" spans="1:7" ht="15.75">
      <c r="A1471" s="1961">
        <f t="shared" si="118"/>
        <v>70375</v>
      </c>
      <c r="B1471" s="1815">
        <v>70350</v>
      </c>
      <c r="C1471" s="1815">
        <v>70400</v>
      </c>
      <c r="D1471" s="1816">
        <f t="shared" si="114"/>
        <v>10790</v>
      </c>
      <c r="E1471" s="1816">
        <f t="shared" si="115"/>
        <v>8005</v>
      </c>
      <c r="F1471" s="1816">
        <f t="shared" si="116"/>
        <v>10790</v>
      </c>
      <c r="G1471" s="1816">
        <f t="shared" si="117"/>
        <v>9184</v>
      </c>
    </row>
    <row r="1472" spans="1:7" ht="15.75">
      <c r="A1472" s="1961">
        <f t="shared" si="118"/>
        <v>70425</v>
      </c>
      <c r="B1472" s="1815">
        <v>70400</v>
      </c>
      <c r="C1472" s="1815">
        <v>70450</v>
      </c>
      <c r="D1472" s="1816">
        <f t="shared" si="114"/>
        <v>10801</v>
      </c>
      <c r="E1472" s="1816">
        <f t="shared" si="115"/>
        <v>8011</v>
      </c>
      <c r="F1472" s="1816">
        <f t="shared" si="116"/>
        <v>10801</v>
      </c>
      <c r="G1472" s="1816">
        <f t="shared" si="117"/>
        <v>9195</v>
      </c>
    </row>
    <row r="1473" spans="1:7" ht="15.75">
      <c r="A1473" s="1961">
        <f t="shared" si="118"/>
        <v>70475</v>
      </c>
      <c r="B1473" s="1815">
        <v>70450</v>
      </c>
      <c r="C1473" s="1815">
        <v>70500</v>
      </c>
      <c r="D1473" s="1816">
        <f t="shared" si="114"/>
        <v>10812</v>
      </c>
      <c r="E1473" s="1816">
        <f t="shared" si="115"/>
        <v>8017</v>
      </c>
      <c r="F1473" s="1816">
        <f t="shared" si="116"/>
        <v>10812</v>
      </c>
      <c r="G1473" s="1816">
        <f t="shared" si="117"/>
        <v>9206</v>
      </c>
    </row>
    <row r="1474" spans="1:7" ht="15.75">
      <c r="A1474" s="1961">
        <f t="shared" si="118"/>
        <v>70525</v>
      </c>
      <c r="B1474" s="1815">
        <v>70500</v>
      </c>
      <c r="C1474" s="1815">
        <v>70550</v>
      </c>
      <c r="D1474" s="1816">
        <f t="shared" ref="D1474:D1537" si="119">IF($A1474&gt;BOTT_A4,ROUND(BASE_A4+RATE_A4*($A1474-BOTT_A4),0),IF($A1474&gt;BOTT_A3,ROUND(BASE_A3+RATE_A3*($A1474-BOTT_A3),0),IF($A1474&gt;BOTT_A2,ROUND(BASE_A2+RATE_A2*($A1474-BOTT_A2),0),ROUND(RATE_A1*$A1474,0))))</f>
        <v>10823</v>
      </c>
      <c r="E1474" s="1816">
        <f t="shared" ref="E1474:E1537" si="120">IF($A1474&gt;BOTT_B4,ROUND(BASE_B4+RATE_B4*($A1474-BOTT_B4),0),IF($A1474&gt;BOTT_B3,ROUND(BASE_B3+RATE_B3*($A1474-BOTT_B3),0),IF($A1474&gt;BOTT_B2,ROUND(BASE_B2+RATE_B2*($A1474-BOTT_B2),0),ROUND(RATE_B1*$A1474,0))))</f>
        <v>8023</v>
      </c>
      <c r="F1474" s="1816">
        <f t="shared" ref="F1474:F1537" si="121">IF($A1474&gt;BOTT_C4,ROUND(BASE_C4+RATE_C4*($A1474-BOTT_C4),0),IF($A1474&gt;BOTT_C3,ROUND(BASE_C3+RATE_C3*($A1474-BOTT_C3),0),IF($A1474&gt;BOTT_C2,ROUND(BASE_C2+RATE_C2*($A1474-BOTT_C2),0),ROUND(RATE_C1*$A1474,0))))</f>
        <v>10823</v>
      </c>
      <c r="G1474" s="1816">
        <f t="shared" ref="G1474:G1537" si="122">IF($A1474&gt;BOTT_D4,ROUND(BASE_D4+RATE_D4*($A1474-BOTT_D4),0),IF($A1474&gt;BOTT_D3,ROUND(BASE_D3+RATE_D3*($A1474-BOTT_D3),0),IF($A1474&gt;BOTT_D2,ROUND(BASE_D2+RATE_D2*($A1474-BOTT_D2),0),ROUND(RATE_D1*$A1474,0))))</f>
        <v>9217</v>
      </c>
    </row>
    <row r="1475" spans="1:7" ht="15.75">
      <c r="A1475" s="1961">
        <f t="shared" ref="A1475:A1538" si="123">AVERAGE(B1475,C1475)</f>
        <v>70575</v>
      </c>
      <c r="B1475" s="1815">
        <v>70550</v>
      </c>
      <c r="C1475" s="1815">
        <v>70600</v>
      </c>
      <c r="D1475" s="1816">
        <f t="shared" si="119"/>
        <v>10834</v>
      </c>
      <c r="E1475" s="1816">
        <f t="shared" si="120"/>
        <v>8029</v>
      </c>
      <c r="F1475" s="1816">
        <f t="shared" si="121"/>
        <v>10834</v>
      </c>
      <c r="G1475" s="1816">
        <f t="shared" si="122"/>
        <v>9228</v>
      </c>
    </row>
    <row r="1476" spans="1:7" ht="15.75">
      <c r="A1476" s="1961">
        <f t="shared" si="123"/>
        <v>70625</v>
      </c>
      <c r="B1476" s="1815">
        <v>70600</v>
      </c>
      <c r="C1476" s="1815">
        <v>70650</v>
      </c>
      <c r="D1476" s="1816">
        <f t="shared" si="119"/>
        <v>10845</v>
      </c>
      <c r="E1476" s="1816">
        <f t="shared" si="120"/>
        <v>8035</v>
      </c>
      <c r="F1476" s="1816">
        <f t="shared" si="121"/>
        <v>10845</v>
      </c>
      <c r="G1476" s="1816">
        <f t="shared" si="122"/>
        <v>9239</v>
      </c>
    </row>
    <row r="1477" spans="1:7" ht="15.75">
      <c r="A1477" s="1961">
        <f t="shared" si="123"/>
        <v>70675</v>
      </c>
      <c r="B1477" s="1815">
        <v>70650</v>
      </c>
      <c r="C1477" s="1815">
        <v>70700</v>
      </c>
      <c r="D1477" s="1816">
        <f t="shared" si="119"/>
        <v>10856</v>
      </c>
      <c r="E1477" s="1816">
        <f t="shared" si="120"/>
        <v>8041</v>
      </c>
      <c r="F1477" s="1816">
        <f t="shared" si="121"/>
        <v>10856</v>
      </c>
      <c r="G1477" s="1816">
        <f t="shared" si="122"/>
        <v>9250</v>
      </c>
    </row>
    <row r="1478" spans="1:7" ht="15.75">
      <c r="A1478" s="1961">
        <f t="shared" si="123"/>
        <v>70725</v>
      </c>
      <c r="B1478" s="1815">
        <v>70700</v>
      </c>
      <c r="C1478" s="1815">
        <v>70750</v>
      </c>
      <c r="D1478" s="1816">
        <f t="shared" si="119"/>
        <v>10867</v>
      </c>
      <c r="E1478" s="1816">
        <f t="shared" si="120"/>
        <v>8047</v>
      </c>
      <c r="F1478" s="1816">
        <f t="shared" si="121"/>
        <v>10867</v>
      </c>
      <c r="G1478" s="1816">
        <f t="shared" si="122"/>
        <v>9261</v>
      </c>
    </row>
    <row r="1479" spans="1:7" ht="15.75">
      <c r="A1479" s="1961">
        <f t="shared" si="123"/>
        <v>70775</v>
      </c>
      <c r="B1479" s="1815">
        <v>70750</v>
      </c>
      <c r="C1479" s="1815">
        <v>70800</v>
      </c>
      <c r="D1479" s="1816">
        <f t="shared" si="119"/>
        <v>10878</v>
      </c>
      <c r="E1479" s="1816">
        <f t="shared" si="120"/>
        <v>8053</v>
      </c>
      <c r="F1479" s="1816">
        <f t="shared" si="121"/>
        <v>10878</v>
      </c>
      <c r="G1479" s="1816">
        <f t="shared" si="122"/>
        <v>9272</v>
      </c>
    </row>
    <row r="1480" spans="1:7" ht="15.75">
      <c r="A1480" s="1961">
        <f t="shared" si="123"/>
        <v>70825</v>
      </c>
      <c r="B1480" s="1815">
        <v>70800</v>
      </c>
      <c r="C1480" s="1815">
        <v>70850</v>
      </c>
      <c r="D1480" s="1816">
        <f t="shared" si="119"/>
        <v>10889</v>
      </c>
      <c r="E1480" s="1816">
        <f t="shared" si="120"/>
        <v>8059</v>
      </c>
      <c r="F1480" s="1816">
        <f t="shared" si="121"/>
        <v>10889</v>
      </c>
      <c r="G1480" s="1816">
        <f t="shared" si="122"/>
        <v>9283</v>
      </c>
    </row>
    <row r="1481" spans="1:7" ht="15.75">
      <c r="A1481" s="1961">
        <f t="shared" si="123"/>
        <v>70875</v>
      </c>
      <c r="B1481" s="1815">
        <v>70850</v>
      </c>
      <c r="C1481" s="1815">
        <v>70900</v>
      </c>
      <c r="D1481" s="1816">
        <f t="shared" si="119"/>
        <v>10900</v>
      </c>
      <c r="E1481" s="1816">
        <f t="shared" si="120"/>
        <v>8065</v>
      </c>
      <c r="F1481" s="1816">
        <f t="shared" si="121"/>
        <v>10900</v>
      </c>
      <c r="G1481" s="1816">
        <f t="shared" si="122"/>
        <v>9294</v>
      </c>
    </row>
    <row r="1482" spans="1:7" ht="15.75">
      <c r="A1482" s="1961">
        <f t="shared" si="123"/>
        <v>70925</v>
      </c>
      <c r="B1482" s="1815">
        <v>70900</v>
      </c>
      <c r="C1482" s="1815">
        <v>70950</v>
      </c>
      <c r="D1482" s="1816">
        <f t="shared" si="119"/>
        <v>10911</v>
      </c>
      <c r="E1482" s="1816">
        <f t="shared" si="120"/>
        <v>8071</v>
      </c>
      <c r="F1482" s="1816">
        <f t="shared" si="121"/>
        <v>10911</v>
      </c>
      <c r="G1482" s="1816">
        <f t="shared" si="122"/>
        <v>9305</v>
      </c>
    </row>
    <row r="1483" spans="1:7" ht="15.75">
      <c r="A1483" s="1961">
        <f t="shared" si="123"/>
        <v>70975</v>
      </c>
      <c r="B1483" s="1815">
        <v>70950</v>
      </c>
      <c r="C1483" s="1815">
        <v>71000</v>
      </c>
      <c r="D1483" s="1816">
        <f t="shared" si="119"/>
        <v>10922</v>
      </c>
      <c r="E1483" s="1816">
        <f t="shared" si="120"/>
        <v>8077</v>
      </c>
      <c r="F1483" s="1816">
        <f t="shared" si="121"/>
        <v>10922</v>
      </c>
      <c r="G1483" s="1816">
        <f t="shared" si="122"/>
        <v>9316</v>
      </c>
    </row>
    <row r="1484" spans="1:7" ht="15.75">
      <c r="A1484" s="1961">
        <f t="shared" si="123"/>
        <v>71025</v>
      </c>
      <c r="B1484" s="1815">
        <v>71000</v>
      </c>
      <c r="C1484" s="1815">
        <v>71050</v>
      </c>
      <c r="D1484" s="1816">
        <f t="shared" si="119"/>
        <v>10933</v>
      </c>
      <c r="E1484" s="1816">
        <f t="shared" si="120"/>
        <v>8083</v>
      </c>
      <c r="F1484" s="1816">
        <f t="shared" si="121"/>
        <v>10933</v>
      </c>
      <c r="G1484" s="1816">
        <f t="shared" si="122"/>
        <v>9327</v>
      </c>
    </row>
    <row r="1485" spans="1:7" ht="15.75">
      <c r="A1485" s="1961">
        <f t="shared" si="123"/>
        <v>71075</v>
      </c>
      <c r="B1485" s="1815">
        <v>71050</v>
      </c>
      <c r="C1485" s="1815">
        <v>71100</v>
      </c>
      <c r="D1485" s="1816">
        <f t="shared" si="119"/>
        <v>10944</v>
      </c>
      <c r="E1485" s="1816">
        <f t="shared" si="120"/>
        <v>8089</v>
      </c>
      <c r="F1485" s="1816">
        <f t="shared" si="121"/>
        <v>10944</v>
      </c>
      <c r="G1485" s="1816">
        <f t="shared" si="122"/>
        <v>9338</v>
      </c>
    </row>
    <row r="1486" spans="1:7" ht="15.75">
      <c r="A1486" s="1961">
        <f t="shared" si="123"/>
        <v>71125</v>
      </c>
      <c r="B1486" s="1815">
        <v>71100</v>
      </c>
      <c r="C1486" s="1815">
        <v>71150</v>
      </c>
      <c r="D1486" s="1816">
        <f t="shared" si="119"/>
        <v>10955</v>
      </c>
      <c r="E1486" s="1816">
        <f t="shared" si="120"/>
        <v>8095</v>
      </c>
      <c r="F1486" s="1816">
        <f t="shared" si="121"/>
        <v>10955</v>
      </c>
      <c r="G1486" s="1816">
        <f t="shared" si="122"/>
        <v>9349</v>
      </c>
    </row>
    <row r="1487" spans="1:7" ht="15.75">
      <c r="A1487" s="1961">
        <f t="shared" si="123"/>
        <v>71175</v>
      </c>
      <c r="B1487" s="1815">
        <v>71150</v>
      </c>
      <c r="C1487" s="1815">
        <v>71200</v>
      </c>
      <c r="D1487" s="1816">
        <f t="shared" si="119"/>
        <v>10966</v>
      </c>
      <c r="E1487" s="1816">
        <f t="shared" si="120"/>
        <v>8101</v>
      </c>
      <c r="F1487" s="1816">
        <f t="shared" si="121"/>
        <v>10966</v>
      </c>
      <c r="G1487" s="1816">
        <f t="shared" si="122"/>
        <v>9360</v>
      </c>
    </row>
    <row r="1488" spans="1:7" ht="15.75">
      <c r="A1488" s="1961">
        <f t="shared" si="123"/>
        <v>71225</v>
      </c>
      <c r="B1488" s="1815">
        <v>71200</v>
      </c>
      <c r="C1488" s="1815">
        <v>71250</v>
      </c>
      <c r="D1488" s="1816">
        <f t="shared" si="119"/>
        <v>10977</v>
      </c>
      <c r="E1488" s="1816">
        <f t="shared" si="120"/>
        <v>8107</v>
      </c>
      <c r="F1488" s="1816">
        <f t="shared" si="121"/>
        <v>10977</v>
      </c>
      <c r="G1488" s="1816">
        <f t="shared" si="122"/>
        <v>9371</v>
      </c>
    </row>
    <row r="1489" spans="1:7" ht="15.75">
      <c r="A1489" s="1961">
        <f t="shared" si="123"/>
        <v>71275</v>
      </c>
      <c r="B1489" s="1815">
        <v>71250</v>
      </c>
      <c r="C1489" s="1815">
        <v>71300</v>
      </c>
      <c r="D1489" s="1816">
        <f t="shared" si="119"/>
        <v>10988</v>
      </c>
      <c r="E1489" s="1816">
        <f t="shared" si="120"/>
        <v>8113</v>
      </c>
      <c r="F1489" s="1816">
        <f t="shared" si="121"/>
        <v>10988</v>
      </c>
      <c r="G1489" s="1816">
        <f t="shared" si="122"/>
        <v>9382</v>
      </c>
    </row>
    <row r="1490" spans="1:7" ht="15.75">
      <c r="A1490" s="1961">
        <f t="shared" si="123"/>
        <v>71325</v>
      </c>
      <c r="B1490" s="1815">
        <v>71300</v>
      </c>
      <c r="C1490" s="1815">
        <v>71350</v>
      </c>
      <c r="D1490" s="1816">
        <f t="shared" si="119"/>
        <v>10999</v>
      </c>
      <c r="E1490" s="1816">
        <f t="shared" si="120"/>
        <v>8119</v>
      </c>
      <c r="F1490" s="1816">
        <f t="shared" si="121"/>
        <v>10999</v>
      </c>
      <c r="G1490" s="1816">
        <f t="shared" si="122"/>
        <v>9393</v>
      </c>
    </row>
    <row r="1491" spans="1:7" ht="15.75">
      <c r="A1491" s="1961">
        <f t="shared" si="123"/>
        <v>71375</v>
      </c>
      <c r="B1491" s="1815">
        <v>71350</v>
      </c>
      <c r="C1491" s="1815">
        <v>71400</v>
      </c>
      <c r="D1491" s="1816">
        <f t="shared" si="119"/>
        <v>11010</v>
      </c>
      <c r="E1491" s="1816">
        <f t="shared" si="120"/>
        <v>8125</v>
      </c>
      <c r="F1491" s="1816">
        <f t="shared" si="121"/>
        <v>11010</v>
      </c>
      <c r="G1491" s="1816">
        <f t="shared" si="122"/>
        <v>9404</v>
      </c>
    </row>
    <row r="1492" spans="1:7" ht="15.75">
      <c r="A1492" s="1961">
        <f t="shared" si="123"/>
        <v>71425</v>
      </c>
      <c r="B1492" s="1815">
        <v>71400</v>
      </c>
      <c r="C1492" s="1815">
        <v>71450</v>
      </c>
      <c r="D1492" s="1816">
        <f t="shared" si="119"/>
        <v>11021</v>
      </c>
      <c r="E1492" s="1816">
        <f t="shared" si="120"/>
        <v>8131</v>
      </c>
      <c r="F1492" s="1816">
        <f t="shared" si="121"/>
        <v>11021</v>
      </c>
      <c r="G1492" s="1816">
        <f t="shared" si="122"/>
        <v>9415</v>
      </c>
    </row>
    <row r="1493" spans="1:7" ht="15.75">
      <c r="A1493" s="1961">
        <f t="shared" si="123"/>
        <v>71475</v>
      </c>
      <c r="B1493" s="1815">
        <v>71450</v>
      </c>
      <c r="C1493" s="1815">
        <v>71500</v>
      </c>
      <c r="D1493" s="1816">
        <f t="shared" si="119"/>
        <v>11032</v>
      </c>
      <c r="E1493" s="1816">
        <f t="shared" si="120"/>
        <v>8137</v>
      </c>
      <c r="F1493" s="1816">
        <f t="shared" si="121"/>
        <v>11032</v>
      </c>
      <c r="G1493" s="1816">
        <f t="shared" si="122"/>
        <v>9426</v>
      </c>
    </row>
    <row r="1494" spans="1:7" ht="15.75">
      <c r="A1494" s="1961">
        <f t="shared" si="123"/>
        <v>71525</v>
      </c>
      <c r="B1494" s="1815">
        <v>71500</v>
      </c>
      <c r="C1494" s="1815">
        <v>71550</v>
      </c>
      <c r="D1494" s="1816">
        <f t="shared" si="119"/>
        <v>11043</v>
      </c>
      <c r="E1494" s="1816">
        <f t="shared" si="120"/>
        <v>8143</v>
      </c>
      <c r="F1494" s="1816">
        <f t="shared" si="121"/>
        <v>11043</v>
      </c>
      <c r="G1494" s="1816">
        <f t="shared" si="122"/>
        <v>9437</v>
      </c>
    </row>
    <row r="1495" spans="1:7" ht="15.75">
      <c r="A1495" s="1961">
        <f t="shared" si="123"/>
        <v>71575</v>
      </c>
      <c r="B1495" s="1815">
        <v>71550</v>
      </c>
      <c r="C1495" s="1815">
        <v>71600</v>
      </c>
      <c r="D1495" s="1816">
        <f t="shared" si="119"/>
        <v>11054</v>
      </c>
      <c r="E1495" s="1816">
        <f t="shared" si="120"/>
        <v>8149</v>
      </c>
      <c r="F1495" s="1816">
        <f t="shared" si="121"/>
        <v>11054</v>
      </c>
      <c r="G1495" s="1816">
        <f t="shared" si="122"/>
        <v>9448</v>
      </c>
    </row>
    <row r="1496" spans="1:7" ht="15.75">
      <c r="A1496" s="1961">
        <f t="shared" si="123"/>
        <v>71625</v>
      </c>
      <c r="B1496" s="1815">
        <v>71600</v>
      </c>
      <c r="C1496" s="1815">
        <v>71650</v>
      </c>
      <c r="D1496" s="1816">
        <f t="shared" si="119"/>
        <v>11065</v>
      </c>
      <c r="E1496" s="1816">
        <f t="shared" si="120"/>
        <v>8155</v>
      </c>
      <c r="F1496" s="1816">
        <f t="shared" si="121"/>
        <v>11065</v>
      </c>
      <c r="G1496" s="1816">
        <f t="shared" si="122"/>
        <v>9459</v>
      </c>
    </row>
    <row r="1497" spans="1:7" ht="15.75">
      <c r="A1497" s="1961">
        <f t="shared" si="123"/>
        <v>71675</v>
      </c>
      <c r="B1497" s="1815">
        <v>71650</v>
      </c>
      <c r="C1497" s="1815">
        <v>71700</v>
      </c>
      <c r="D1497" s="1816">
        <f t="shared" si="119"/>
        <v>11076</v>
      </c>
      <c r="E1497" s="1816">
        <f t="shared" si="120"/>
        <v>8161</v>
      </c>
      <c r="F1497" s="1816">
        <f t="shared" si="121"/>
        <v>11076</v>
      </c>
      <c r="G1497" s="1816">
        <f t="shared" si="122"/>
        <v>9470</v>
      </c>
    </row>
    <row r="1498" spans="1:7" ht="15.75">
      <c r="A1498" s="1961">
        <f t="shared" si="123"/>
        <v>71725</v>
      </c>
      <c r="B1498" s="1815">
        <v>71700</v>
      </c>
      <c r="C1498" s="1815">
        <v>71750</v>
      </c>
      <c r="D1498" s="1816">
        <f t="shared" si="119"/>
        <v>11087</v>
      </c>
      <c r="E1498" s="1816">
        <f t="shared" si="120"/>
        <v>8167</v>
      </c>
      <c r="F1498" s="1816">
        <f t="shared" si="121"/>
        <v>11087</v>
      </c>
      <c r="G1498" s="1816">
        <f t="shared" si="122"/>
        <v>9481</v>
      </c>
    </row>
    <row r="1499" spans="1:7" ht="15.75">
      <c r="A1499" s="1961">
        <f t="shared" si="123"/>
        <v>71775</v>
      </c>
      <c r="B1499" s="1815">
        <v>71750</v>
      </c>
      <c r="C1499" s="1815">
        <v>71800</v>
      </c>
      <c r="D1499" s="1816">
        <f t="shared" si="119"/>
        <v>11098</v>
      </c>
      <c r="E1499" s="1816">
        <f t="shared" si="120"/>
        <v>8173</v>
      </c>
      <c r="F1499" s="1816">
        <f t="shared" si="121"/>
        <v>11098</v>
      </c>
      <c r="G1499" s="1816">
        <f t="shared" si="122"/>
        <v>9492</v>
      </c>
    </row>
    <row r="1500" spans="1:7" ht="15.75">
      <c r="A1500" s="1961">
        <f t="shared" si="123"/>
        <v>71825</v>
      </c>
      <c r="B1500" s="1815">
        <v>71800</v>
      </c>
      <c r="C1500" s="1815">
        <v>71850</v>
      </c>
      <c r="D1500" s="1816">
        <f t="shared" si="119"/>
        <v>11109</v>
      </c>
      <c r="E1500" s="1816">
        <f t="shared" si="120"/>
        <v>8179</v>
      </c>
      <c r="F1500" s="1816">
        <f t="shared" si="121"/>
        <v>11109</v>
      </c>
      <c r="G1500" s="1816">
        <f t="shared" si="122"/>
        <v>9503</v>
      </c>
    </row>
    <row r="1501" spans="1:7" ht="15.75">
      <c r="A1501" s="1961">
        <f t="shared" si="123"/>
        <v>71875</v>
      </c>
      <c r="B1501" s="1815">
        <v>71850</v>
      </c>
      <c r="C1501" s="1815">
        <v>71900</v>
      </c>
      <c r="D1501" s="1816">
        <f t="shared" si="119"/>
        <v>11120</v>
      </c>
      <c r="E1501" s="1816">
        <f t="shared" si="120"/>
        <v>8185</v>
      </c>
      <c r="F1501" s="1816">
        <f t="shared" si="121"/>
        <v>11120</v>
      </c>
      <c r="G1501" s="1816">
        <f t="shared" si="122"/>
        <v>9514</v>
      </c>
    </row>
    <row r="1502" spans="1:7" ht="15.75">
      <c r="A1502" s="1961">
        <f t="shared" si="123"/>
        <v>71925</v>
      </c>
      <c r="B1502" s="1815">
        <v>71900</v>
      </c>
      <c r="C1502" s="1815">
        <v>71950</v>
      </c>
      <c r="D1502" s="1816">
        <f t="shared" si="119"/>
        <v>11131</v>
      </c>
      <c r="E1502" s="1816">
        <f t="shared" si="120"/>
        <v>8191</v>
      </c>
      <c r="F1502" s="1816">
        <f t="shared" si="121"/>
        <v>11131</v>
      </c>
      <c r="G1502" s="1816">
        <f t="shared" si="122"/>
        <v>9525</v>
      </c>
    </row>
    <row r="1503" spans="1:7" ht="15.75">
      <c r="A1503" s="1961">
        <f t="shared" si="123"/>
        <v>71975</v>
      </c>
      <c r="B1503" s="1815">
        <v>71950</v>
      </c>
      <c r="C1503" s="1815">
        <v>72000</v>
      </c>
      <c r="D1503" s="1816">
        <f t="shared" si="119"/>
        <v>11142</v>
      </c>
      <c r="E1503" s="1816">
        <f t="shared" si="120"/>
        <v>8197</v>
      </c>
      <c r="F1503" s="1816">
        <f t="shared" si="121"/>
        <v>11142</v>
      </c>
      <c r="G1503" s="1816">
        <f t="shared" si="122"/>
        <v>9536</v>
      </c>
    </row>
    <row r="1504" spans="1:7" ht="15.75">
      <c r="A1504" s="1961">
        <f t="shared" si="123"/>
        <v>72025</v>
      </c>
      <c r="B1504" s="1815">
        <v>72000</v>
      </c>
      <c r="C1504" s="1815">
        <v>72050</v>
      </c>
      <c r="D1504" s="1816">
        <f t="shared" si="119"/>
        <v>11153</v>
      </c>
      <c r="E1504" s="1816">
        <f t="shared" si="120"/>
        <v>8203</v>
      </c>
      <c r="F1504" s="1816">
        <f t="shared" si="121"/>
        <v>11153</v>
      </c>
      <c r="G1504" s="1816">
        <f t="shared" si="122"/>
        <v>9547</v>
      </c>
    </row>
    <row r="1505" spans="1:7" ht="15.75">
      <c r="A1505" s="1961">
        <f t="shared" si="123"/>
        <v>72075</v>
      </c>
      <c r="B1505" s="1815">
        <v>72050</v>
      </c>
      <c r="C1505" s="1815">
        <v>72100</v>
      </c>
      <c r="D1505" s="1816">
        <f t="shared" si="119"/>
        <v>11164</v>
      </c>
      <c r="E1505" s="1816">
        <f t="shared" si="120"/>
        <v>8209</v>
      </c>
      <c r="F1505" s="1816">
        <f t="shared" si="121"/>
        <v>11164</v>
      </c>
      <c r="G1505" s="1816">
        <f t="shared" si="122"/>
        <v>9558</v>
      </c>
    </row>
    <row r="1506" spans="1:7" ht="15.75">
      <c r="A1506" s="1961">
        <f t="shared" si="123"/>
        <v>72125</v>
      </c>
      <c r="B1506" s="1815">
        <v>72100</v>
      </c>
      <c r="C1506" s="1815">
        <v>72150</v>
      </c>
      <c r="D1506" s="1816">
        <f t="shared" si="119"/>
        <v>11175</v>
      </c>
      <c r="E1506" s="1816">
        <f t="shared" si="120"/>
        <v>8215</v>
      </c>
      <c r="F1506" s="1816">
        <f t="shared" si="121"/>
        <v>11175</v>
      </c>
      <c r="G1506" s="1816">
        <f t="shared" si="122"/>
        <v>9569</v>
      </c>
    </row>
    <row r="1507" spans="1:7" ht="15.75">
      <c r="A1507" s="1961">
        <f t="shared" si="123"/>
        <v>72175</v>
      </c>
      <c r="B1507" s="1815">
        <v>72150</v>
      </c>
      <c r="C1507" s="1815">
        <v>72200</v>
      </c>
      <c r="D1507" s="1816">
        <f t="shared" si="119"/>
        <v>11186</v>
      </c>
      <c r="E1507" s="1816">
        <f t="shared" si="120"/>
        <v>8221</v>
      </c>
      <c r="F1507" s="1816">
        <f t="shared" si="121"/>
        <v>11186</v>
      </c>
      <c r="G1507" s="1816">
        <f t="shared" si="122"/>
        <v>9580</v>
      </c>
    </row>
    <row r="1508" spans="1:7" ht="15.75">
      <c r="A1508" s="1961">
        <f t="shared" si="123"/>
        <v>72225</v>
      </c>
      <c r="B1508" s="1815">
        <v>72200</v>
      </c>
      <c r="C1508" s="1815">
        <v>72250</v>
      </c>
      <c r="D1508" s="1816">
        <f t="shared" si="119"/>
        <v>11197</v>
      </c>
      <c r="E1508" s="1816">
        <f t="shared" si="120"/>
        <v>8227</v>
      </c>
      <c r="F1508" s="1816">
        <f t="shared" si="121"/>
        <v>11197</v>
      </c>
      <c r="G1508" s="1816">
        <f t="shared" si="122"/>
        <v>9591</v>
      </c>
    </row>
    <row r="1509" spans="1:7" ht="15.75">
      <c r="A1509" s="1961">
        <f t="shared" si="123"/>
        <v>72275</v>
      </c>
      <c r="B1509" s="1815">
        <v>72250</v>
      </c>
      <c r="C1509" s="1815">
        <v>72300</v>
      </c>
      <c r="D1509" s="1816">
        <f t="shared" si="119"/>
        <v>11208</v>
      </c>
      <c r="E1509" s="1816">
        <f t="shared" si="120"/>
        <v>8233</v>
      </c>
      <c r="F1509" s="1816">
        <f t="shared" si="121"/>
        <v>11208</v>
      </c>
      <c r="G1509" s="1816">
        <f t="shared" si="122"/>
        <v>9602</v>
      </c>
    </row>
    <row r="1510" spans="1:7" ht="15.75">
      <c r="A1510" s="1961">
        <f t="shared" si="123"/>
        <v>72325</v>
      </c>
      <c r="B1510" s="1815">
        <v>72300</v>
      </c>
      <c r="C1510" s="1815">
        <v>72350</v>
      </c>
      <c r="D1510" s="1816">
        <f t="shared" si="119"/>
        <v>11219</v>
      </c>
      <c r="E1510" s="1816">
        <f t="shared" si="120"/>
        <v>8239</v>
      </c>
      <c r="F1510" s="1816">
        <f t="shared" si="121"/>
        <v>11219</v>
      </c>
      <c r="G1510" s="1816">
        <f t="shared" si="122"/>
        <v>9613</v>
      </c>
    </row>
    <row r="1511" spans="1:7" ht="15.75">
      <c r="A1511" s="1961">
        <f t="shared" si="123"/>
        <v>72375</v>
      </c>
      <c r="B1511" s="1815">
        <v>72350</v>
      </c>
      <c r="C1511" s="1815">
        <v>72400</v>
      </c>
      <c r="D1511" s="1816">
        <f t="shared" si="119"/>
        <v>11230</v>
      </c>
      <c r="E1511" s="1816">
        <f t="shared" si="120"/>
        <v>8245</v>
      </c>
      <c r="F1511" s="1816">
        <f t="shared" si="121"/>
        <v>11230</v>
      </c>
      <c r="G1511" s="1816">
        <f t="shared" si="122"/>
        <v>9624</v>
      </c>
    </row>
    <row r="1512" spans="1:7" ht="15.75">
      <c r="A1512" s="1961">
        <f t="shared" si="123"/>
        <v>72425</v>
      </c>
      <c r="B1512" s="1815">
        <v>72400</v>
      </c>
      <c r="C1512" s="1815">
        <v>72450</v>
      </c>
      <c r="D1512" s="1816">
        <f t="shared" si="119"/>
        <v>11241</v>
      </c>
      <c r="E1512" s="1816">
        <f t="shared" si="120"/>
        <v>8251</v>
      </c>
      <c r="F1512" s="1816">
        <f t="shared" si="121"/>
        <v>11241</v>
      </c>
      <c r="G1512" s="1816">
        <f t="shared" si="122"/>
        <v>9635</v>
      </c>
    </row>
    <row r="1513" spans="1:7" ht="15.75">
      <c r="A1513" s="1961">
        <f t="shared" si="123"/>
        <v>72475</v>
      </c>
      <c r="B1513" s="1815">
        <v>72450</v>
      </c>
      <c r="C1513" s="1815">
        <v>72500</v>
      </c>
      <c r="D1513" s="1816">
        <f t="shared" si="119"/>
        <v>11252</v>
      </c>
      <c r="E1513" s="1816">
        <f t="shared" si="120"/>
        <v>8257</v>
      </c>
      <c r="F1513" s="1816">
        <f t="shared" si="121"/>
        <v>11252</v>
      </c>
      <c r="G1513" s="1816">
        <f t="shared" si="122"/>
        <v>9646</v>
      </c>
    </row>
    <row r="1514" spans="1:7" ht="15.75">
      <c r="A1514" s="1961">
        <f t="shared" si="123"/>
        <v>72525</v>
      </c>
      <c r="B1514" s="1815">
        <v>72500</v>
      </c>
      <c r="C1514" s="1815">
        <v>72550</v>
      </c>
      <c r="D1514" s="1816">
        <f t="shared" si="119"/>
        <v>11263</v>
      </c>
      <c r="E1514" s="1816">
        <f t="shared" si="120"/>
        <v>8263</v>
      </c>
      <c r="F1514" s="1816">
        <f t="shared" si="121"/>
        <v>11263</v>
      </c>
      <c r="G1514" s="1816">
        <f t="shared" si="122"/>
        <v>9657</v>
      </c>
    </row>
    <row r="1515" spans="1:7" ht="15.75">
      <c r="A1515" s="1961">
        <f t="shared" si="123"/>
        <v>72575</v>
      </c>
      <c r="B1515" s="1815">
        <v>72550</v>
      </c>
      <c r="C1515" s="1815">
        <v>72600</v>
      </c>
      <c r="D1515" s="1816">
        <f t="shared" si="119"/>
        <v>11274</v>
      </c>
      <c r="E1515" s="1816">
        <f t="shared" si="120"/>
        <v>8269</v>
      </c>
      <c r="F1515" s="1816">
        <f t="shared" si="121"/>
        <v>11274</v>
      </c>
      <c r="G1515" s="1816">
        <f t="shared" si="122"/>
        <v>9668</v>
      </c>
    </row>
    <row r="1516" spans="1:7" ht="15.75">
      <c r="A1516" s="1961">
        <f t="shared" si="123"/>
        <v>72625</v>
      </c>
      <c r="B1516" s="1815">
        <v>72600</v>
      </c>
      <c r="C1516" s="1815">
        <v>72650</v>
      </c>
      <c r="D1516" s="1816">
        <f t="shared" si="119"/>
        <v>11285</v>
      </c>
      <c r="E1516" s="1816">
        <f t="shared" si="120"/>
        <v>8275</v>
      </c>
      <c r="F1516" s="1816">
        <f t="shared" si="121"/>
        <v>11285</v>
      </c>
      <c r="G1516" s="1816">
        <f t="shared" si="122"/>
        <v>9679</v>
      </c>
    </row>
    <row r="1517" spans="1:7" ht="15.75">
      <c r="A1517" s="1961">
        <f t="shared" si="123"/>
        <v>72675</v>
      </c>
      <c r="B1517" s="1815">
        <v>72650</v>
      </c>
      <c r="C1517" s="1815">
        <v>72700</v>
      </c>
      <c r="D1517" s="1816">
        <f t="shared" si="119"/>
        <v>11296</v>
      </c>
      <c r="E1517" s="1816">
        <f t="shared" si="120"/>
        <v>8281</v>
      </c>
      <c r="F1517" s="1816">
        <f t="shared" si="121"/>
        <v>11296</v>
      </c>
      <c r="G1517" s="1816">
        <f t="shared" si="122"/>
        <v>9690</v>
      </c>
    </row>
    <row r="1518" spans="1:7" ht="15.75">
      <c r="A1518" s="1961">
        <f t="shared" si="123"/>
        <v>72725</v>
      </c>
      <c r="B1518" s="1815">
        <v>72700</v>
      </c>
      <c r="C1518" s="1815">
        <v>72750</v>
      </c>
      <c r="D1518" s="1816">
        <f t="shared" si="119"/>
        <v>11307</v>
      </c>
      <c r="E1518" s="1816">
        <f t="shared" si="120"/>
        <v>8287</v>
      </c>
      <c r="F1518" s="1816">
        <f t="shared" si="121"/>
        <v>11307</v>
      </c>
      <c r="G1518" s="1816">
        <f t="shared" si="122"/>
        <v>9701</v>
      </c>
    </row>
    <row r="1519" spans="1:7" ht="15.75">
      <c r="A1519" s="1961">
        <f t="shared" si="123"/>
        <v>72775</v>
      </c>
      <c r="B1519" s="1815">
        <v>72750</v>
      </c>
      <c r="C1519" s="1815">
        <v>72800</v>
      </c>
      <c r="D1519" s="1816">
        <f t="shared" si="119"/>
        <v>11318</v>
      </c>
      <c r="E1519" s="1816">
        <f t="shared" si="120"/>
        <v>8293</v>
      </c>
      <c r="F1519" s="1816">
        <f t="shared" si="121"/>
        <v>11318</v>
      </c>
      <c r="G1519" s="1816">
        <f t="shared" si="122"/>
        <v>9712</v>
      </c>
    </row>
    <row r="1520" spans="1:7" ht="15.75">
      <c r="A1520" s="1961">
        <f t="shared" si="123"/>
        <v>72825</v>
      </c>
      <c r="B1520" s="1815">
        <v>72800</v>
      </c>
      <c r="C1520" s="1815">
        <v>72850</v>
      </c>
      <c r="D1520" s="1816">
        <f t="shared" si="119"/>
        <v>11329</v>
      </c>
      <c r="E1520" s="1816">
        <f t="shared" si="120"/>
        <v>8299</v>
      </c>
      <c r="F1520" s="1816">
        <f t="shared" si="121"/>
        <v>11329</v>
      </c>
      <c r="G1520" s="1816">
        <f t="shared" si="122"/>
        <v>9723</v>
      </c>
    </row>
    <row r="1521" spans="1:7" ht="15.75">
      <c r="A1521" s="1961">
        <f t="shared" si="123"/>
        <v>72875</v>
      </c>
      <c r="B1521" s="1815">
        <v>72850</v>
      </c>
      <c r="C1521" s="1815">
        <v>72900</v>
      </c>
      <c r="D1521" s="1816">
        <f t="shared" si="119"/>
        <v>11340</v>
      </c>
      <c r="E1521" s="1816">
        <f t="shared" si="120"/>
        <v>8305</v>
      </c>
      <c r="F1521" s="1816">
        <f t="shared" si="121"/>
        <v>11340</v>
      </c>
      <c r="G1521" s="1816">
        <f t="shared" si="122"/>
        <v>9734</v>
      </c>
    </row>
    <row r="1522" spans="1:7" ht="15.75">
      <c r="A1522" s="1961">
        <f t="shared" si="123"/>
        <v>72925</v>
      </c>
      <c r="B1522" s="1815">
        <v>72900</v>
      </c>
      <c r="C1522" s="1815">
        <v>72950</v>
      </c>
      <c r="D1522" s="1816">
        <f t="shared" si="119"/>
        <v>11351</v>
      </c>
      <c r="E1522" s="1816">
        <f t="shared" si="120"/>
        <v>8311</v>
      </c>
      <c r="F1522" s="1816">
        <f t="shared" si="121"/>
        <v>11351</v>
      </c>
      <c r="G1522" s="1816">
        <f t="shared" si="122"/>
        <v>9745</v>
      </c>
    </row>
    <row r="1523" spans="1:7" ht="15.75">
      <c r="A1523" s="1961">
        <f t="shared" si="123"/>
        <v>72975</v>
      </c>
      <c r="B1523" s="1815">
        <v>72950</v>
      </c>
      <c r="C1523" s="1815">
        <v>73000</v>
      </c>
      <c r="D1523" s="1816">
        <f t="shared" si="119"/>
        <v>11362</v>
      </c>
      <c r="E1523" s="1816">
        <f t="shared" si="120"/>
        <v>8317</v>
      </c>
      <c r="F1523" s="1816">
        <f t="shared" si="121"/>
        <v>11362</v>
      </c>
      <c r="G1523" s="1816">
        <f t="shared" si="122"/>
        <v>9756</v>
      </c>
    </row>
    <row r="1524" spans="1:7" ht="15.75">
      <c r="A1524" s="1961">
        <f t="shared" si="123"/>
        <v>73025</v>
      </c>
      <c r="B1524" s="1815">
        <v>73000</v>
      </c>
      <c r="C1524" s="1815">
        <v>73050</v>
      </c>
      <c r="D1524" s="1816">
        <f t="shared" si="119"/>
        <v>11373</v>
      </c>
      <c r="E1524" s="1816">
        <f t="shared" si="120"/>
        <v>8323</v>
      </c>
      <c r="F1524" s="1816">
        <f t="shared" si="121"/>
        <v>11373</v>
      </c>
      <c r="G1524" s="1816">
        <f t="shared" si="122"/>
        <v>9767</v>
      </c>
    </row>
    <row r="1525" spans="1:7" ht="15.75">
      <c r="A1525" s="1961">
        <f t="shared" si="123"/>
        <v>73075</v>
      </c>
      <c r="B1525" s="1815">
        <v>73050</v>
      </c>
      <c r="C1525" s="1815">
        <v>73100</v>
      </c>
      <c r="D1525" s="1816">
        <f t="shared" si="119"/>
        <v>11384</v>
      </c>
      <c r="E1525" s="1816">
        <f t="shared" si="120"/>
        <v>8329</v>
      </c>
      <c r="F1525" s="1816">
        <f t="shared" si="121"/>
        <v>11384</v>
      </c>
      <c r="G1525" s="1816">
        <f t="shared" si="122"/>
        <v>9778</v>
      </c>
    </row>
    <row r="1526" spans="1:7" ht="15.75">
      <c r="A1526" s="1961">
        <f t="shared" si="123"/>
        <v>73125</v>
      </c>
      <c r="B1526" s="1815">
        <v>73100</v>
      </c>
      <c r="C1526" s="1815">
        <v>73150</v>
      </c>
      <c r="D1526" s="1816">
        <f t="shared" si="119"/>
        <v>11395</v>
      </c>
      <c r="E1526" s="1816">
        <f t="shared" si="120"/>
        <v>8335</v>
      </c>
      <c r="F1526" s="1816">
        <f t="shared" si="121"/>
        <v>11395</v>
      </c>
      <c r="G1526" s="1816">
        <f t="shared" si="122"/>
        <v>9789</v>
      </c>
    </row>
    <row r="1527" spans="1:7" ht="15.75">
      <c r="A1527" s="1961">
        <f t="shared" si="123"/>
        <v>73175</v>
      </c>
      <c r="B1527" s="1815">
        <v>73150</v>
      </c>
      <c r="C1527" s="1815">
        <v>73200</v>
      </c>
      <c r="D1527" s="1816">
        <f t="shared" si="119"/>
        <v>11406</v>
      </c>
      <c r="E1527" s="1816">
        <f t="shared" si="120"/>
        <v>8341</v>
      </c>
      <c r="F1527" s="1816">
        <f t="shared" si="121"/>
        <v>11406</v>
      </c>
      <c r="G1527" s="1816">
        <f t="shared" si="122"/>
        <v>9800</v>
      </c>
    </row>
    <row r="1528" spans="1:7" ht="15.75">
      <c r="A1528" s="1961">
        <f t="shared" si="123"/>
        <v>73225</v>
      </c>
      <c r="B1528" s="1815">
        <v>73200</v>
      </c>
      <c r="C1528" s="1815">
        <v>73250</v>
      </c>
      <c r="D1528" s="1816">
        <f t="shared" si="119"/>
        <v>11417</v>
      </c>
      <c r="E1528" s="1816">
        <f t="shared" si="120"/>
        <v>8347</v>
      </c>
      <c r="F1528" s="1816">
        <f t="shared" si="121"/>
        <v>11417</v>
      </c>
      <c r="G1528" s="1816">
        <f t="shared" si="122"/>
        <v>9811</v>
      </c>
    </row>
    <row r="1529" spans="1:7" ht="15.75">
      <c r="A1529" s="1961">
        <f t="shared" si="123"/>
        <v>73275</v>
      </c>
      <c r="B1529" s="1815">
        <v>73250</v>
      </c>
      <c r="C1529" s="1815">
        <v>73300</v>
      </c>
      <c r="D1529" s="1816">
        <f t="shared" si="119"/>
        <v>11428</v>
      </c>
      <c r="E1529" s="1816">
        <f t="shared" si="120"/>
        <v>8353</v>
      </c>
      <c r="F1529" s="1816">
        <f t="shared" si="121"/>
        <v>11428</v>
      </c>
      <c r="G1529" s="1816">
        <f t="shared" si="122"/>
        <v>9822</v>
      </c>
    </row>
    <row r="1530" spans="1:7" ht="15.75">
      <c r="A1530" s="1961">
        <f t="shared" si="123"/>
        <v>73325</v>
      </c>
      <c r="B1530" s="1815">
        <v>73300</v>
      </c>
      <c r="C1530" s="1815">
        <v>73350</v>
      </c>
      <c r="D1530" s="1816">
        <f t="shared" si="119"/>
        <v>11439</v>
      </c>
      <c r="E1530" s="1816">
        <f t="shared" si="120"/>
        <v>8359</v>
      </c>
      <c r="F1530" s="1816">
        <f t="shared" si="121"/>
        <v>11439</v>
      </c>
      <c r="G1530" s="1816">
        <f t="shared" si="122"/>
        <v>9833</v>
      </c>
    </row>
    <row r="1531" spans="1:7" ht="15.75">
      <c r="A1531" s="1961">
        <f t="shared" si="123"/>
        <v>73375</v>
      </c>
      <c r="B1531" s="1815">
        <v>73350</v>
      </c>
      <c r="C1531" s="1815">
        <v>73400</v>
      </c>
      <c r="D1531" s="1816">
        <f t="shared" si="119"/>
        <v>11450</v>
      </c>
      <c r="E1531" s="1816">
        <f t="shared" si="120"/>
        <v>8365</v>
      </c>
      <c r="F1531" s="1816">
        <f t="shared" si="121"/>
        <v>11450</v>
      </c>
      <c r="G1531" s="1816">
        <f t="shared" si="122"/>
        <v>9844</v>
      </c>
    </row>
    <row r="1532" spans="1:7" ht="15.75">
      <c r="A1532" s="1961">
        <f t="shared" si="123"/>
        <v>73425</v>
      </c>
      <c r="B1532" s="1815">
        <v>73400</v>
      </c>
      <c r="C1532" s="1815">
        <v>73450</v>
      </c>
      <c r="D1532" s="1816">
        <f t="shared" si="119"/>
        <v>11461</v>
      </c>
      <c r="E1532" s="1816">
        <f t="shared" si="120"/>
        <v>8371</v>
      </c>
      <c r="F1532" s="1816">
        <f t="shared" si="121"/>
        <v>11461</v>
      </c>
      <c r="G1532" s="1816">
        <f t="shared" si="122"/>
        <v>9855</v>
      </c>
    </row>
    <row r="1533" spans="1:7" ht="15.75">
      <c r="A1533" s="1961">
        <f t="shared" si="123"/>
        <v>73475</v>
      </c>
      <c r="B1533" s="1815">
        <v>73450</v>
      </c>
      <c r="C1533" s="1815">
        <v>73500</v>
      </c>
      <c r="D1533" s="1816">
        <f t="shared" si="119"/>
        <v>11472</v>
      </c>
      <c r="E1533" s="1816">
        <f t="shared" si="120"/>
        <v>8377</v>
      </c>
      <c r="F1533" s="1816">
        <f t="shared" si="121"/>
        <v>11472</v>
      </c>
      <c r="G1533" s="1816">
        <f t="shared" si="122"/>
        <v>9866</v>
      </c>
    </row>
    <row r="1534" spans="1:7" ht="15.75">
      <c r="A1534" s="1961">
        <f t="shared" si="123"/>
        <v>73525</v>
      </c>
      <c r="B1534" s="1815">
        <v>73500</v>
      </c>
      <c r="C1534" s="1815">
        <v>73550</v>
      </c>
      <c r="D1534" s="1816">
        <f t="shared" si="119"/>
        <v>11483</v>
      </c>
      <c r="E1534" s="1816">
        <f t="shared" si="120"/>
        <v>8383</v>
      </c>
      <c r="F1534" s="1816">
        <f t="shared" si="121"/>
        <v>11483</v>
      </c>
      <c r="G1534" s="1816">
        <f t="shared" si="122"/>
        <v>9877</v>
      </c>
    </row>
    <row r="1535" spans="1:7" ht="15.75">
      <c r="A1535" s="1961">
        <f t="shared" si="123"/>
        <v>73575</v>
      </c>
      <c r="B1535" s="1815">
        <v>73550</v>
      </c>
      <c r="C1535" s="1815">
        <v>73600</v>
      </c>
      <c r="D1535" s="1816">
        <f t="shared" si="119"/>
        <v>11494</v>
      </c>
      <c r="E1535" s="1816">
        <f t="shared" si="120"/>
        <v>8389</v>
      </c>
      <c r="F1535" s="1816">
        <f t="shared" si="121"/>
        <v>11494</v>
      </c>
      <c r="G1535" s="1816">
        <f t="shared" si="122"/>
        <v>9888</v>
      </c>
    </row>
    <row r="1536" spans="1:7" ht="15.75">
      <c r="A1536" s="1961">
        <f t="shared" si="123"/>
        <v>73625</v>
      </c>
      <c r="B1536" s="1815">
        <v>73600</v>
      </c>
      <c r="C1536" s="1815">
        <v>73650</v>
      </c>
      <c r="D1536" s="1816">
        <f t="shared" si="119"/>
        <v>11505</v>
      </c>
      <c r="E1536" s="1816">
        <f t="shared" si="120"/>
        <v>8395</v>
      </c>
      <c r="F1536" s="1816">
        <f t="shared" si="121"/>
        <v>11505</v>
      </c>
      <c r="G1536" s="1816">
        <f t="shared" si="122"/>
        <v>9899</v>
      </c>
    </row>
    <row r="1537" spans="1:7" ht="15.75">
      <c r="A1537" s="1961">
        <f t="shared" si="123"/>
        <v>73675</v>
      </c>
      <c r="B1537" s="1815">
        <v>73650</v>
      </c>
      <c r="C1537" s="1815">
        <v>73700</v>
      </c>
      <c r="D1537" s="1816">
        <f t="shared" si="119"/>
        <v>11516</v>
      </c>
      <c r="E1537" s="1816">
        <f t="shared" si="120"/>
        <v>8401</v>
      </c>
      <c r="F1537" s="1816">
        <f t="shared" si="121"/>
        <v>11516</v>
      </c>
      <c r="G1537" s="1816">
        <f t="shared" si="122"/>
        <v>9910</v>
      </c>
    </row>
    <row r="1538" spans="1:7" ht="15.75">
      <c r="A1538" s="1961">
        <f t="shared" si="123"/>
        <v>73725</v>
      </c>
      <c r="B1538" s="1815">
        <v>73700</v>
      </c>
      <c r="C1538" s="1815">
        <v>73750</v>
      </c>
      <c r="D1538" s="1816">
        <f t="shared" ref="D1538:D1601" si="124">IF($A1538&gt;BOTT_A4,ROUND(BASE_A4+RATE_A4*($A1538-BOTT_A4),0),IF($A1538&gt;BOTT_A3,ROUND(BASE_A3+RATE_A3*($A1538-BOTT_A3),0),IF($A1538&gt;BOTT_A2,ROUND(BASE_A2+RATE_A2*($A1538-BOTT_A2),0),ROUND(RATE_A1*$A1538,0))))</f>
        <v>11527</v>
      </c>
      <c r="E1538" s="1816">
        <f t="shared" ref="E1538:E1601" si="125">IF($A1538&gt;BOTT_B4,ROUND(BASE_B4+RATE_B4*($A1538-BOTT_B4),0),IF($A1538&gt;BOTT_B3,ROUND(BASE_B3+RATE_B3*($A1538-BOTT_B3),0),IF($A1538&gt;BOTT_B2,ROUND(BASE_B2+RATE_B2*($A1538-BOTT_B2),0),ROUND(RATE_B1*$A1538,0))))</f>
        <v>8407</v>
      </c>
      <c r="F1538" s="1816">
        <f t="shared" ref="F1538:F1601" si="126">IF($A1538&gt;BOTT_C4,ROUND(BASE_C4+RATE_C4*($A1538-BOTT_C4),0),IF($A1538&gt;BOTT_C3,ROUND(BASE_C3+RATE_C3*($A1538-BOTT_C3),0),IF($A1538&gt;BOTT_C2,ROUND(BASE_C2+RATE_C2*($A1538-BOTT_C2),0),ROUND(RATE_C1*$A1538,0))))</f>
        <v>11527</v>
      </c>
      <c r="G1538" s="1816">
        <f t="shared" ref="G1538:G1601" si="127">IF($A1538&gt;BOTT_D4,ROUND(BASE_D4+RATE_D4*($A1538-BOTT_D4),0),IF($A1538&gt;BOTT_D3,ROUND(BASE_D3+RATE_D3*($A1538-BOTT_D3),0),IF($A1538&gt;BOTT_D2,ROUND(BASE_D2+RATE_D2*($A1538-BOTT_D2),0),ROUND(RATE_D1*$A1538,0))))</f>
        <v>9921</v>
      </c>
    </row>
    <row r="1539" spans="1:7" ht="15.75">
      <c r="A1539" s="1961">
        <f t="shared" ref="A1539:A1602" si="128">AVERAGE(B1539,C1539)</f>
        <v>73775</v>
      </c>
      <c r="B1539" s="1815">
        <v>73750</v>
      </c>
      <c r="C1539" s="1815">
        <v>73800</v>
      </c>
      <c r="D1539" s="1816">
        <f t="shared" si="124"/>
        <v>11538</v>
      </c>
      <c r="E1539" s="1816">
        <f t="shared" si="125"/>
        <v>8413</v>
      </c>
      <c r="F1539" s="1816">
        <f t="shared" si="126"/>
        <v>11538</v>
      </c>
      <c r="G1539" s="1816">
        <f t="shared" si="127"/>
        <v>9932</v>
      </c>
    </row>
    <row r="1540" spans="1:7" ht="15.75">
      <c r="A1540" s="1961">
        <f t="shared" si="128"/>
        <v>73825</v>
      </c>
      <c r="B1540" s="1815">
        <v>73800</v>
      </c>
      <c r="C1540" s="1815">
        <v>73850</v>
      </c>
      <c r="D1540" s="1816">
        <f t="shared" si="124"/>
        <v>11549</v>
      </c>
      <c r="E1540" s="1816">
        <f t="shared" si="125"/>
        <v>8419</v>
      </c>
      <c r="F1540" s="1816">
        <f t="shared" si="126"/>
        <v>11549</v>
      </c>
      <c r="G1540" s="1816">
        <f t="shared" si="127"/>
        <v>9943</v>
      </c>
    </row>
    <row r="1541" spans="1:7" ht="15.75">
      <c r="A1541" s="1961">
        <f t="shared" si="128"/>
        <v>73875</v>
      </c>
      <c r="B1541" s="1815">
        <v>73850</v>
      </c>
      <c r="C1541" s="1815">
        <v>73900</v>
      </c>
      <c r="D1541" s="1816">
        <f t="shared" si="124"/>
        <v>11560</v>
      </c>
      <c r="E1541" s="1816">
        <f t="shared" si="125"/>
        <v>8425</v>
      </c>
      <c r="F1541" s="1816">
        <f t="shared" si="126"/>
        <v>11560</v>
      </c>
      <c r="G1541" s="1816">
        <f t="shared" si="127"/>
        <v>9954</v>
      </c>
    </row>
    <row r="1542" spans="1:7" ht="15.75">
      <c r="A1542" s="1961">
        <f t="shared" si="128"/>
        <v>73925</v>
      </c>
      <c r="B1542" s="1815">
        <v>73900</v>
      </c>
      <c r="C1542" s="1815">
        <v>73950</v>
      </c>
      <c r="D1542" s="1816">
        <f t="shared" si="124"/>
        <v>11571</v>
      </c>
      <c r="E1542" s="1816">
        <f t="shared" si="125"/>
        <v>8431</v>
      </c>
      <c r="F1542" s="1816">
        <f t="shared" si="126"/>
        <v>11571</v>
      </c>
      <c r="G1542" s="1816">
        <f t="shared" si="127"/>
        <v>9965</v>
      </c>
    </row>
    <row r="1543" spans="1:7" ht="15.75">
      <c r="A1543" s="1961">
        <f t="shared" si="128"/>
        <v>73975</v>
      </c>
      <c r="B1543" s="1815">
        <v>73950</v>
      </c>
      <c r="C1543" s="1815">
        <v>74000</v>
      </c>
      <c r="D1543" s="1816">
        <f t="shared" si="124"/>
        <v>11582</v>
      </c>
      <c r="E1543" s="1816">
        <f t="shared" si="125"/>
        <v>8437</v>
      </c>
      <c r="F1543" s="1816">
        <f t="shared" si="126"/>
        <v>11582</v>
      </c>
      <c r="G1543" s="1816">
        <f t="shared" si="127"/>
        <v>9976</v>
      </c>
    </row>
    <row r="1544" spans="1:7" ht="15.75">
      <c r="A1544" s="1961">
        <f t="shared" si="128"/>
        <v>74025</v>
      </c>
      <c r="B1544" s="1815">
        <v>74000</v>
      </c>
      <c r="C1544" s="1815">
        <v>74050</v>
      </c>
      <c r="D1544" s="1816">
        <f t="shared" si="124"/>
        <v>11593</v>
      </c>
      <c r="E1544" s="1816">
        <f t="shared" si="125"/>
        <v>8443</v>
      </c>
      <c r="F1544" s="1816">
        <f t="shared" si="126"/>
        <v>11593</v>
      </c>
      <c r="G1544" s="1816">
        <f t="shared" si="127"/>
        <v>9987</v>
      </c>
    </row>
    <row r="1545" spans="1:7" ht="15.75">
      <c r="A1545" s="1961">
        <f t="shared" si="128"/>
        <v>74075</v>
      </c>
      <c r="B1545" s="1815">
        <v>74050</v>
      </c>
      <c r="C1545" s="1815">
        <v>74100</v>
      </c>
      <c r="D1545" s="1816">
        <f t="shared" si="124"/>
        <v>11604</v>
      </c>
      <c r="E1545" s="1816">
        <f t="shared" si="125"/>
        <v>8449</v>
      </c>
      <c r="F1545" s="1816">
        <f t="shared" si="126"/>
        <v>11604</v>
      </c>
      <c r="G1545" s="1816">
        <f t="shared" si="127"/>
        <v>9998</v>
      </c>
    </row>
    <row r="1546" spans="1:7" ht="15.75">
      <c r="A1546" s="1961">
        <f t="shared" si="128"/>
        <v>74125</v>
      </c>
      <c r="B1546" s="1815">
        <v>74100</v>
      </c>
      <c r="C1546" s="1815">
        <v>74150</v>
      </c>
      <c r="D1546" s="1816">
        <f t="shared" si="124"/>
        <v>11615</v>
      </c>
      <c r="E1546" s="1816">
        <f t="shared" si="125"/>
        <v>8455</v>
      </c>
      <c r="F1546" s="1816">
        <f t="shared" si="126"/>
        <v>11615</v>
      </c>
      <c r="G1546" s="1816">
        <f t="shared" si="127"/>
        <v>10009</v>
      </c>
    </row>
    <row r="1547" spans="1:7" ht="15.75">
      <c r="A1547" s="1961">
        <f t="shared" si="128"/>
        <v>74175</v>
      </c>
      <c r="B1547" s="1815">
        <v>74150</v>
      </c>
      <c r="C1547" s="1815">
        <v>74200</v>
      </c>
      <c r="D1547" s="1816">
        <f t="shared" si="124"/>
        <v>11626</v>
      </c>
      <c r="E1547" s="1816">
        <f t="shared" si="125"/>
        <v>8461</v>
      </c>
      <c r="F1547" s="1816">
        <f t="shared" si="126"/>
        <v>11626</v>
      </c>
      <c r="G1547" s="1816">
        <f t="shared" si="127"/>
        <v>10020</v>
      </c>
    </row>
    <row r="1548" spans="1:7" ht="15.75">
      <c r="A1548" s="1961">
        <f t="shared" si="128"/>
        <v>74225</v>
      </c>
      <c r="B1548" s="1815">
        <v>74200</v>
      </c>
      <c r="C1548" s="1815">
        <v>74250</v>
      </c>
      <c r="D1548" s="1816">
        <f t="shared" si="124"/>
        <v>11637</v>
      </c>
      <c r="E1548" s="1816">
        <f t="shared" si="125"/>
        <v>8467</v>
      </c>
      <c r="F1548" s="1816">
        <f t="shared" si="126"/>
        <v>11637</v>
      </c>
      <c r="G1548" s="1816">
        <f t="shared" si="127"/>
        <v>10031</v>
      </c>
    </row>
    <row r="1549" spans="1:7" ht="15.75">
      <c r="A1549" s="1961">
        <f t="shared" si="128"/>
        <v>74275</v>
      </c>
      <c r="B1549" s="1815">
        <v>74250</v>
      </c>
      <c r="C1549" s="1815">
        <v>74300</v>
      </c>
      <c r="D1549" s="1816">
        <f t="shared" si="124"/>
        <v>11648</v>
      </c>
      <c r="E1549" s="1816">
        <f t="shared" si="125"/>
        <v>8473</v>
      </c>
      <c r="F1549" s="1816">
        <f t="shared" si="126"/>
        <v>11648</v>
      </c>
      <c r="G1549" s="1816">
        <f t="shared" si="127"/>
        <v>10042</v>
      </c>
    </row>
    <row r="1550" spans="1:7" ht="15.75">
      <c r="A1550" s="1961">
        <f t="shared" si="128"/>
        <v>74325</v>
      </c>
      <c r="B1550" s="1815">
        <v>74300</v>
      </c>
      <c r="C1550" s="1815">
        <v>74350</v>
      </c>
      <c r="D1550" s="1816">
        <f t="shared" si="124"/>
        <v>11659</v>
      </c>
      <c r="E1550" s="1816">
        <f t="shared" si="125"/>
        <v>8479</v>
      </c>
      <c r="F1550" s="1816">
        <f t="shared" si="126"/>
        <v>11659</v>
      </c>
      <c r="G1550" s="1816">
        <f t="shared" si="127"/>
        <v>10053</v>
      </c>
    </row>
    <row r="1551" spans="1:7" ht="15.75">
      <c r="A1551" s="1961">
        <f t="shared" si="128"/>
        <v>74375</v>
      </c>
      <c r="B1551" s="1815">
        <v>74350</v>
      </c>
      <c r="C1551" s="1815">
        <v>74400</v>
      </c>
      <c r="D1551" s="1816">
        <f t="shared" si="124"/>
        <v>11670</v>
      </c>
      <c r="E1551" s="1816">
        <f t="shared" si="125"/>
        <v>8485</v>
      </c>
      <c r="F1551" s="1816">
        <f t="shared" si="126"/>
        <v>11670</v>
      </c>
      <c r="G1551" s="1816">
        <f t="shared" si="127"/>
        <v>10064</v>
      </c>
    </row>
    <row r="1552" spans="1:7" ht="15.75">
      <c r="A1552" s="1961">
        <f t="shared" si="128"/>
        <v>74425</v>
      </c>
      <c r="B1552" s="1815">
        <v>74400</v>
      </c>
      <c r="C1552" s="1815">
        <v>74450</v>
      </c>
      <c r="D1552" s="1816">
        <f t="shared" si="124"/>
        <v>11681</v>
      </c>
      <c r="E1552" s="1816">
        <f t="shared" si="125"/>
        <v>8491</v>
      </c>
      <c r="F1552" s="1816">
        <f t="shared" si="126"/>
        <v>11681</v>
      </c>
      <c r="G1552" s="1816">
        <f t="shared" si="127"/>
        <v>10075</v>
      </c>
    </row>
    <row r="1553" spans="1:7" ht="15.75">
      <c r="A1553" s="1961">
        <f t="shared" si="128"/>
        <v>74475</v>
      </c>
      <c r="B1553" s="1815">
        <v>74450</v>
      </c>
      <c r="C1553" s="1815">
        <v>74500</v>
      </c>
      <c r="D1553" s="1816">
        <f t="shared" si="124"/>
        <v>11692</v>
      </c>
      <c r="E1553" s="1816">
        <f t="shared" si="125"/>
        <v>8497</v>
      </c>
      <c r="F1553" s="1816">
        <f t="shared" si="126"/>
        <v>11692</v>
      </c>
      <c r="G1553" s="1816">
        <f t="shared" si="127"/>
        <v>10086</v>
      </c>
    </row>
    <row r="1554" spans="1:7" ht="15.75">
      <c r="A1554" s="1961">
        <f t="shared" si="128"/>
        <v>74525</v>
      </c>
      <c r="B1554" s="1815">
        <v>74500</v>
      </c>
      <c r="C1554" s="1815">
        <v>74550</v>
      </c>
      <c r="D1554" s="1816">
        <f t="shared" si="124"/>
        <v>11703</v>
      </c>
      <c r="E1554" s="1816">
        <f t="shared" si="125"/>
        <v>8503</v>
      </c>
      <c r="F1554" s="1816">
        <f t="shared" si="126"/>
        <v>11703</v>
      </c>
      <c r="G1554" s="1816">
        <f t="shared" si="127"/>
        <v>10097</v>
      </c>
    </row>
    <row r="1555" spans="1:7" ht="15.75">
      <c r="A1555" s="1961">
        <f t="shared" si="128"/>
        <v>74575</v>
      </c>
      <c r="B1555" s="1815">
        <v>74550</v>
      </c>
      <c r="C1555" s="1815">
        <v>74600</v>
      </c>
      <c r="D1555" s="1816">
        <f t="shared" si="124"/>
        <v>11714</v>
      </c>
      <c r="E1555" s="1816">
        <f t="shared" si="125"/>
        <v>8509</v>
      </c>
      <c r="F1555" s="1816">
        <f t="shared" si="126"/>
        <v>11714</v>
      </c>
      <c r="G1555" s="1816">
        <f t="shared" si="127"/>
        <v>10108</v>
      </c>
    </row>
    <row r="1556" spans="1:7" ht="15.75">
      <c r="A1556" s="1961">
        <f t="shared" si="128"/>
        <v>74625</v>
      </c>
      <c r="B1556" s="1815">
        <v>74600</v>
      </c>
      <c r="C1556" s="1815">
        <v>74650</v>
      </c>
      <c r="D1556" s="1816">
        <f t="shared" si="124"/>
        <v>11725</v>
      </c>
      <c r="E1556" s="1816">
        <f t="shared" si="125"/>
        <v>8515</v>
      </c>
      <c r="F1556" s="1816">
        <f t="shared" si="126"/>
        <v>11725</v>
      </c>
      <c r="G1556" s="1816">
        <f t="shared" si="127"/>
        <v>10119</v>
      </c>
    </row>
    <row r="1557" spans="1:7" ht="15.75">
      <c r="A1557" s="1961">
        <f t="shared" si="128"/>
        <v>74675</v>
      </c>
      <c r="B1557" s="1815">
        <v>74650</v>
      </c>
      <c r="C1557" s="1815">
        <v>74700</v>
      </c>
      <c r="D1557" s="1816">
        <f t="shared" si="124"/>
        <v>11736</v>
      </c>
      <c r="E1557" s="1816">
        <f t="shared" si="125"/>
        <v>8521</v>
      </c>
      <c r="F1557" s="1816">
        <f t="shared" si="126"/>
        <v>11736</v>
      </c>
      <c r="G1557" s="1816">
        <f t="shared" si="127"/>
        <v>10130</v>
      </c>
    </row>
    <row r="1558" spans="1:7" ht="15.75">
      <c r="A1558" s="1961">
        <f t="shared" si="128"/>
        <v>74725</v>
      </c>
      <c r="B1558" s="1815">
        <v>74700</v>
      </c>
      <c r="C1558" s="1815">
        <v>74750</v>
      </c>
      <c r="D1558" s="1816">
        <f t="shared" si="124"/>
        <v>11747</v>
      </c>
      <c r="E1558" s="1816">
        <f t="shared" si="125"/>
        <v>8527</v>
      </c>
      <c r="F1558" s="1816">
        <f t="shared" si="126"/>
        <v>11747</v>
      </c>
      <c r="G1558" s="1816">
        <f t="shared" si="127"/>
        <v>10141</v>
      </c>
    </row>
    <row r="1559" spans="1:7" ht="15.75">
      <c r="A1559" s="1961">
        <f t="shared" si="128"/>
        <v>74775</v>
      </c>
      <c r="B1559" s="1815">
        <v>74750</v>
      </c>
      <c r="C1559" s="1815">
        <v>74800</v>
      </c>
      <c r="D1559" s="1816">
        <f t="shared" si="124"/>
        <v>11758</v>
      </c>
      <c r="E1559" s="1816">
        <f t="shared" si="125"/>
        <v>8533</v>
      </c>
      <c r="F1559" s="1816">
        <f t="shared" si="126"/>
        <v>11758</v>
      </c>
      <c r="G1559" s="1816">
        <f t="shared" si="127"/>
        <v>10152</v>
      </c>
    </row>
    <row r="1560" spans="1:7" ht="15.75">
      <c r="A1560" s="1961">
        <f t="shared" si="128"/>
        <v>74825</v>
      </c>
      <c r="B1560" s="1815">
        <v>74800</v>
      </c>
      <c r="C1560" s="1815">
        <v>74850</v>
      </c>
      <c r="D1560" s="1816">
        <f t="shared" si="124"/>
        <v>11769</v>
      </c>
      <c r="E1560" s="1816">
        <f t="shared" si="125"/>
        <v>8539</v>
      </c>
      <c r="F1560" s="1816">
        <f t="shared" si="126"/>
        <v>11769</v>
      </c>
      <c r="G1560" s="1816">
        <f t="shared" si="127"/>
        <v>10163</v>
      </c>
    </row>
    <row r="1561" spans="1:7" ht="15.75">
      <c r="A1561" s="1961">
        <f t="shared" si="128"/>
        <v>74875</v>
      </c>
      <c r="B1561" s="1815">
        <v>74850</v>
      </c>
      <c r="C1561" s="1815">
        <v>74900</v>
      </c>
      <c r="D1561" s="1816">
        <f t="shared" si="124"/>
        <v>11780</v>
      </c>
      <c r="E1561" s="1816">
        <f t="shared" si="125"/>
        <v>8545</v>
      </c>
      <c r="F1561" s="1816">
        <f t="shared" si="126"/>
        <v>11780</v>
      </c>
      <c r="G1561" s="1816">
        <f t="shared" si="127"/>
        <v>10174</v>
      </c>
    </row>
    <row r="1562" spans="1:7" ht="15.75">
      <c r="A1562" s="1961">
        <f t="shared" si="128"/>
        <v>74925</v>
      </c>
      <c r="B1562" s="1815">
        <v>74900</v>
      </c>
      <c r="C1562" s="1815">
        <v>74950</v>
      </c>
      <c r="D1562" s="1816">
        <f t="shared" si="124"/>
        <v>11791</v>
      </c>
      <c r="E1562" s="1816">
        <f t="shared" si="125"/>
        <v>8551</v>
      </c>
      <c r="F1562" s="1816">
        <f t="shared" si="126"/>
        <v>11791</v>
      </c>
      <c r="G1562" s="1816">
        <f t="shared" si="127"/>
        <v>10185</v>
      </c>
    </row>
    <row r="1563" spans="1:7" ht="15.75">
      <c r="A1563" s="1961">
        <f t="shared" si="128"/>
        <v>74975</v>
      </c>
      <c r="B1563" s="1815">
        <v>74950</v>
      </c>
      <c r="C1563" s="1815">
        <v>75000</v>
      </c>
      <c r="D1563" s="1816">
        <f t="shared" si="124"/>
        <v>11802</v>
      </c>
      <c r="E1563" s="1816">
        <f t="shared" si="125"/>
        <v>8557</v>
      </c>
      <c r="F1563" s="1816">
        <f t="shared" si="126"/>
        <v>11802</v>
      </c>
      <c r="G1563" s="1816">
        <f t="shared" si="127"/>
        <v>10196</v>
      </c>
    </row>
    <row r="1564" spans="1:7" ht="15.75">
      <c r="A1564" s="1961">
        <f t="shared" si="128"/>
        <v>75025</v>
      </c>
      <c r="B1564" s="1815">
        <v>75000</v>
      </c>
      <c r="C1564" s="1815">
        <v>75050</v>
      </c>
      <c r="D1564" s="1816">
        <f t="shared" si="124"/>
        <v>11813</v>
      </c>
      <c r="E1564" s="1816">
        <f t="shared" si="125"/>
        <v>8563</v>
      </c>
      <c r="F1564" s="1816">
        <f t="shared" si="126"/>
        <v>11813</v>
      </c>
      <c r="G1564" s="1816">
        <f t="shared" si="127"/>
        <v>10207</v>
      </c>
    </row>
    <row r="1565" spans="1:7" ht="15.75">
      <c r="A1565" s="1961">
        <f t="shared" si="128"/>
        <v>75075</v>
      </c>
      <c r="B1565" s="1815">
        <v>75050</v>
      </c>
      <c r="C1565" s="1815">
        <v>75100</v>
      </c>
      <c r="D1565" s="1816">
        <f t="shared" si="124"/>
        <v>11824</v>
      </c>
      <c r="E1565" s="1816">
        <f t="shared" si="125"/>
        <v>8569</v>
      </c>
      <c r="F1565" s="1816">
        <f t="shared" si="126"/>
        <v>11824</v>
      </c>
      <c r="G1565" s="1816">
        <f t="shared" si="127"/>
        <v>10218</v>
      </c>
    </row>
    <row r="1566" spans="1:7" ht="15.75">
      <c r="A1566" s="1961">
        <f t="shared" si="128"/>
        <v>75125</v>
      </c>
      <c r="B1566" s="1815">
        <v>75100</v>
      </c>
      <c r="C1566" s="1815">
        <v>75150</v>
      </c>
      <c r="D1566" s="1816">
        <f t="shared" si="124"/>
        <v>11835</v>
      </c>
      <c r="E1566" s="1816">
        <f t="shared" si="125"/>
        <v>8575</v>
      </c>
      <c r="F1566" s="1816">
        <f t="shared" si="126"/>
        <v>11835</v>
      </c>
      <c r="G1566" s="1816">
        <f t="shared" si="127"/>
        <v>10229</v>
      </c>
    </row>
    <row r="1567" spans="1:7" ht="15.75">
      <c r="A1567" s="1961">
        <f t="shared" si="128"/>
        <v>75175</v>
      </c>
      <c r="B1567" s="1815">
        <v>75150</v>
      </c>
      <c r="C1567" s="1815">
        <v>75200</v>
      </c>
      <c r="D1567" s="1816">
        <f t="shared" si="124"/>
        <v>11846</v>
      </c>
      <c r="E1567" s="1816">
        <f t="shared" si="125"/>
        <v>8581</v>
      </c>
      <c r="F1567" s="1816">
        <f t="shared" si="126"/>
        <v>11846</v>
      </c>
      <c r="G1567" s="1816">
        <f t="shared" si="127"/>
        <v>10240</v>
      </c>
    </row>
    <row r="1568" spans="1:7" ht="15.75">
      <c r="A1568" s="1961">
        <f t="shared" si="128"/>
        <v>75225</v>
      </c>
      <c r="B1568" s="1815">
        <v>75200</v>
      </c>
      <c r="C1568" s="1815">
        <v>75250</v>
      </c>
      <c r="D1568" s="1816">
        <f t="shared" si="124"/>
        <v>11857</v>
      </c>
      <c r="E1568" s="1816">
        <f t="shared" si="125"/>
        <v>8587</v>
      </c>
      <c r="F1568" s="1816">
        <f t="shared" si="126"/>
        <v>11857</v>
      </c>
      <c r="G1568" s="1816">
        <f t="shared" si="127"/>
        <v>10251</v>
      </c>
    </row>
    <row r="1569" spans="1:7" ht="15.75">
      <c r="A1569" s="1961">
        <f t="shared" si="128"/>
        <v>75275</v>
      </c>
      <c r="B1569" s="1815">
        <v>75250</v>
      </c>
      <c r="C1569" s="1815">
        <v>75300</v>
      </c>
      <c r="D1569" s="1816">
        <f t="shared" si="124"/>
        <v>11868</v>
      </c>
      <c r="E1569" s="1816">
        <f t="shared" si="125"/>
        <v>8593</v>
      </c>
      <c r="F1569" s="1816">
        <f t="shared" si="126"/>
        <v>11868</v>
      </c>
      <c r="G1569" s="1816">
        <f t="shared" si="127"/>
        <v>10262</v>
      </c>
    </row>
    <row r="1570" spans="1:7" ht="15.75">
      <c r="A1570" s="1961">
        <f t="shared" si="128"/>
        <v>75325</v>
      </c>
      <c r="B1570" s="1815">
        <v>75300</v>
      </c>
      <c r="C1570" s="1815">
        <v>75350</v>
      </c>
      <c r="D1570" s="1816">
        <f t="shared" si="124"/>
        <v>11879</v>
      </c>
      <c r="E1570" s="1816">
        <f t="shared" si="125"/>
        <v>8599</v>
      </c>
      <c r="F1570" s="1816">
        <f t="shared" si="126"/>
        <v>11879</v>
      </c>
      <c r="G1570" s="1816">
        <f t="shared" si="127"/>
        <v>10273</v>
      </c>
    </row>
    <row r="1571" spans="1:7" ht="15.75">
      <c r="A1571" s="1961">
        <f t="shared" si="128"/>
        <v>75375</v>
      </c>
      <c r="B1571" s="1815">
        <v>75350</v>
      </c>
      <c r="C1571" s="1815">
        <v>75400</v>
      </c>
      <c r="D1571" s="1816">
        <f t="shared" si="124"/>
        <v>11890</v>
      </c>
      <c r="E1571" s="1816">
        <f t="shared" si="125"/>
        <v>8605</v>
      </c>
      <c r="F1571" s="1816">
        <f t="shared" si="126"/>
        <v>11890</v>
      </c>
      <c r="G1571" s="1816">
        <f t="shared" si="127"/>
        <v>10284</v>
      </c>
    </row>
    <row r="1572" spans="1:7" ht="15.75">
      <c r="A1572" s="1961">
        <f t="shared" si="128"/>
        <v>75425</v>
      </c>
      <c r="B1572" s="1815">
        <v>75400</v>
      </c>
      <c r="C1572" s="1815">
        <v>75450</v>
      </c>
      <c r="D1572" s="1816">
        <f t="shared" si="124"/>
        <v>11901</v>
      </c>
      <c r="E1572" s="1816">
        <f t="shared" si="125"/>
        <v>8611</v>
      </c>
      <c r="F1572" s="1816">
        <f t="shared" si="126"/>
        <v>11901</v>
      </c>
      <c r="G1572" s="1816">
        <f t="shared" si="127"/>
        <v>10295</v>
      </c>
    </row>
    <row r="1573" spans="1:7" ht="15.75">
      <c r="A1573" s="1961">
        <f t="shared" si="128"/>
        <v>75475</v>
      </c>
      <c r="B1573" s="1815">
        <v>75450</v>
      </c>
      <c r="C1573" s="1815">
        <v>75500</v>
      </c>
      <c r="D1573" s="1816">
        <f t="shared" si="124"/>
        <v>11912</v>
      </c>
      <c r="E1573" s="1816">
        <f t="shared" si="125"/>
        <v>8617</v>
      </c>
      <c r="F1573" s="1816">
        <f t="shared" si="126"/>
        <v>11912</v>
      </c>
      <c r="G1573" s="1816">
        <f t="shared" si="127"/>
        <v>10306</v>
      </c>
    </row>
    <row r="1574" spans="1:7" ht="15.75">
      <c r="A1574" s="1961">
        <f t="shared" si="128"/>
        <v>75525</v>
      </c>
      <c r="B1574" s="1815">
        <v>75500</v>
      </c>
      <c r="C1574" s="1815">
        <v>75550</v>
      </c>
      <c r="D1574" s="1816">
        <f t="shared" si="124"/>
        <v>11923</v>
      </c>
      <c r="E1574" s="1816">
        <f t="shared" si="125"/>
        <v>8623</v>
      </c>
      <c r="F1574" s="1816">
        <f t="shared" si="126"/>
        <v>11923</v>
      </c>
      <c r="G1574" s="1816">
        <f t="shared" si="127"/>
        <v>10317</v>
      </c>
    </row>
    <row r="1575" spans="1:7" ht="15.75">
      <c r="A1575" s="1961">
        <f t="shared" si="128"/>
        <v>75575</v>
      </c>
      <c r="B1575" s="1815">
        <v>75550</v>
      </c>
      <c r="C1575" s="1815">
        <v>75600</v>
      </c>
      <c r="D1575" s="1816">
        <f t="shared" si="124"/>
        <v>11934</v>
      </c>
      <c r="E1575" s="1816">
        <f t="shared" si="125"/>
        <v>8629</v>
      </c>
      <c r="F1575" s="1816">
        <f t="shared" si="126"/>
        <v>11934</v>
      </c>
      <c r="G1575" s="1816">
        <f t="shared" si="127"/>
        <v>10328</v>
      </c>
    </row>
    <row r="1576" spans="1:7" ht="15.75">
      <c r="A1576" s="1961">
        <f t="shared" si="128"/>
        <v>75625</v>
      </c>
      <c r="B1576" s="1815">
        <v>75600</v>
      </c>
      <c r="C1576" s="1815">
        <v>75650</v>
      </c>
      <c r="D1576" s="1816">
        <f t="shared" si="124"/>
        <v>11945</v>
      </c>
      <c r="E1576" s="1816">
        <f t="shared" si="125"/>
        <v>8635</v>
      </c>
      <c r="F1576" s="1816">
        <f t="shared" si="126"/>
        <v>11945</v>
      </c>
      <c r="G1576" s="1816">
        <f t="shared" si="127"/>
        <v>10339</v>
      </c>
    </row>
    <row r="1577" spans="1:7" ht="15.75">
      <c r="A1577" s="1961">
        <f t="shared" si="128"/>
        <v>75675</v>
      </c>
      <c r="B1577" s="1815">
        <v>75650</v>
      </c>
      <c r="C1577" s="1815">
        <v>75700</v>
      </c>
      <c r="D1577" s="1816">
        <f t="shared" si="124"/>
        <v>11956</v>
      </c>
      <c r="E1577" s="1816">
        <f t="shared" si="125"/>
        <v>8641</v>
      </c>
      <c r="F1577" s="1816">
        <f t="shared" si="126"/>
        <v>11956</v>
      </c>
      <c r="G1577" s="1816">
        <f t="shared" si="127"/>
        <v>10350</v>
      </c>
    </row>
    <row r="1578" spans="1:7" ht="15.75">
      <c r="A1578" s="1961">
        <f t="shared" si="128"/>
        <v>75725</v>
      </c>
      <c r="B1578" s="1815">
        <v>75700</v>
      </c>
      <c r="C1578" s="1815">
        <v>75750</v>
      </c>
      <c r="D1578" s="1816">
        <f t="shared" si="124"/>
        <v>11967</v>
      </c>
      <c r="E1578" s="1816">
        <f t="shared" si="125"/>
        <v>8647</v>
      </c>
      <c r="F1578" s="1816">
        <f t="shared" si="126"/>
        <v>11967</v>
      </c>
      <c r="G1578" s="1816">
        <f t="shared" si="127"/>
        <v>10361</v>
      </c>
    </row>
    <row r="1579" spans="1:7" ht="15.75">
      <c r="A1579" s="1961">
        <f t="shared" si="128"/>
        <v>75775</v>
      </c>
      <c r="B1579" s="1815">
        <v>75750</v>
      </c>
      <c r="C1579" s="1815">
        <v>75800</v>
      </c>
      <c r="D1579" s="1816">
        <f t="shared" si="124"/>
        <v>11978</v>
      </c>
      <c r="E1579" s="1816">
        <f t="shared" si="125"/>
        <v>8653</v>
      </c>
      <c r="F1579" s="1816">
        <f t="shared" si="126"/>
        <v>11978</v>
      </c>
      <c r="G1579" s="1816">
        <f t="shared" si="127"/>
        <v>10372</v>
      </c>
    </row>
    <row r="1580" spans="1:7" ht="15.75">
      <c r="A1580" s="1961">
        <f t="shared" si="128"/>
        <v>75825</v>
      </c>
      <c r="B1580" s="1815">
        <v>75800</v>
      </c>
      <c r="C1580" s="1815">
        <v>75850</v>
      </c>
      <c r="D1580" s="1816">
        <f t="shared" si="124"/>
        <v>11989</v>
      </c>
      <c r="E1580" s="1816">
        <f t="shared" si="125"/>
        <v>8659</v>
      </c>
      <c r="F1580" s="1816">
        <f t="shared" si="126"/>
        <v>11989</v>
      </c>
      <c r="G1580" s="1816">
        <f t="shared" si="127"/>
        <v>10383</v>
      </c>
    </row>
    <row r="1581" spans="1:7" ht="15.75">
      <c r="A1581" s="1961">
        <f t="shared" si="128"/>
        <v>75875</v>
      </c>
      <c r="B1581" s="1815">
        <v>75850</v>
      </c>
      <c r="C1581" s="1815">
        <v>75900</v>
      </c>
      <c r="D1581" s="1816">
        <f t="shared" si="124"/>
        <v>12000</v>
      </c>
      <c r="E1581" s="1816">
        <f t="shared" si="125"/>
        <v>8665</v>
      </c>
      <c r="F1581" s="1816">
        <f t="shared" si="126"/>
        <v>12000</v>
      </c>
      <c r="G1581" s="1816">
        <f t="shared" si="127"/>
        <v>10394</v>
      </c>
    </row>
    <row r="1582" spans="1:7" ht="15.75">
      <c r="A1582" s="1961">
        <f t="shared" si="128"/>
        <v>75925</v>
      </c>
      <c r="B1582" s="1815">
        <v>75900</v>
      </c>
      <c r="C1582" s="1815">
        <v>75950</v>
      </c>
      <c r="D1582" s="1816">
        <f t="shared" si="124"/>
        <v>12011</v>
      </c>
      <c r="E1582" s="1816">
        <f t="shared" si="125"/>
        <v>8671</v>
      </c>
      <c r="F1582" s="1816">
        <f t="shared" si="126"/>
        <v>12011</v>
      </c>
      <c r="G1582" s="1816">
        <f t="shared" si="127"/>
        <v>10405</v>
      </c>
    </row>
    <row r="1583" spans="1:7" ht="15.75">
      <c r="A1583" s="1961">
        <f t="shared" si="128"/>
        <v>75975</v>
      </c>
      <c r="B1583" s="1815">
        <v>75950</v>
      </c>
      <c r="C1583" s="1815">
        <v>76000</v>
      </c>
      <c r="D1583" s="1816">
        <f t="shared" si="124"/>
        <v>12022</v>
      </c>
      <c r="E1583" s="1816">
        <f t="shared" si="125"/>
        <v>8677</v>
      </c>
      <c r="F1583" s="1816">
        <f t="shared" si="126"/>
        <v>12022</v>
      </c>
      <c r="G1583" s="1816">
        <f t="shared" si="127"/>
        <v>10416</v>
      </c>
    </row>
    <row r="1584" spans="1:7" ht="15.75">
      <c r="A1584" s="1961">
        <f t="shared" si="128"/>
        <v>76025</v>
      </c>
      <c r="B1584" s="1815">
        <v>76000</v>
      </c>
      <c r="C1584" s="1815">
        <v>76050</v>
      </c>
      <c r="D1584" s="1816">
        <f t="shared" si="124"/>
        <v>12033</v>
      </c>
      <c r="E1584" s="1816">
        <f t="shared" si="125"/>
        <v>8683</v>
      </c>
      <c r="F1584" s="1816">
        <f t="shared" si="126"/>
        <v>12033</v>
      </c>
      <c r="G1584" s="1816">
        <f t="shared" si="127"/>
        <v>10427</v>
      </c>
    </row>
    <row r="1585" spans="1:7" ht="15.75">
      <c r="A1585" s="1961">
        <f t="shared" si="128"/>
        <v>76075</v>
      </c>
      <c r="B1585" s="1815">
        <v>76050</v>
      </c>
      <c r="C1585" s="1815">
        <v>76100</v>
      </c>
      <c r="D1585" s="1816">
        <f t="shared" si="124"/>
        <v>12044</v>
      </c>
      <c r="E1585" s="1816">
        <f t="shared" si="125"/>
        <v>8689</v>
      </c>
      <c r="F1585" s="1816">
        <f t="shared" si="126"/>
        <v>12044</v>
      </c>
      <c r="G1585" s="1816">
        <f t="shared" si="127"/>
        <v>10438</v>
      </c>
    </row>
    <row r="1586" spans="1:7" ht="15.75">
      <c r="A1586" s="1961">
        <f t="shared" si="128"/>
        <v>76125</v>
      </c>
      <c r="B1586" s="1815">
        <v>76100</v>
      </c>
      <c r="C1586" s="1815">
        <v>76150</v>
      </c>
      <c r="D1586" s="1816">
        <f t="shared" si="124"/>
        <v>12055</v>
      </c>
      <c r="E1586" s="1816">
        <f t="shared" si="125"/>
        <v>8695</v>
      </c>
      <c r="F1586" s="1816">
        <f t="shared" si="126"/>
        <v>12055</v>
      </c>
      <c r="G1586" s="1816">
        <f t="shared" si="127"/>
        <v>10449</v>
      </c>
    </row>
    <row r="1587" spans="1:7" ht="15.75">
      <c r="A1587" s="1961">
        <f t="shared" si="128"/>
        <v>76175</v>
      </c>
      <c r="B1587" s="1815">
        <v>76150</v>
      </c>
      <c r="C1587" s="1815">
        <v>76200</v>
      </c>
      <c r="D1587" s="1816">
        <f t="shared" si="124"/>
        <v>12066</v>
      </c>
      <c r="E1587" s="1816">
        <f t="shared" si="125"/>
        <v>8701</v>
      </c>
      <c r="F1587" s="1816">
        <f t="shared" si="126"/>
        <v>12066</v>
      </c>
      <c r="G1587" s="1816">
        <f t="shared" si="127"/>
        <v>10460</v>
      </c>
    </row>
    <row r="1588" spans="1:7" ht="15.75">
      <c r="A1588" s="1961">
        <f t="shared" si="128"/>
        <v>76225</v>
      </c>
      <c r="B1588" s="1815">
        <v>76200</v>
      </c>
      <c r="C1588" s="1815">
        <v>76250</v>
      </c>
      <c r="D1588" s="1816">
        <f t="shared" si="124"/>
        <v>12077</v>
      </c>
      <c r="E1588" s="1816">
        <f t="shared" si="125"/>
        <v>8707</v>
      </c>
      <c r="F1588" s="1816">
        <f t="shared" si="126"/>
        <v>12077</v>
      </c>
      <c r="G1588" s="1816">
        <f t="shared" si="127"/>
        <v>10471</v>
      </c>
    </row>
    <row r="1589" spans="1:7" ht="15.75">
      <c r="A1589" s="1961">
        <f t="shared" si="128"/>
        <v>76275</v>
      </c>
      <c r="B1589" s="1815">
        <v>76250</v>
      </c>
      <c r="C1589" s="1815">
        <v>76300</v>
      </c>
      <c r="D1589" s="1816">
        <f t="shared" si="124"/>
        <v>12088</v>
      </c>
      <c r="E1589" s="1816">
        <f t="shared" si="125"/>
        <v>8713</v>
      </c>
      <c r="F1589" s="1816">
        <f t="shared" si="126"/>
        <v>12088</v>
      </c>
      <c r="G1589" s="1816">
        <f t="shared" si="127"/>
        <v>10482</v>
      </c>
    </row>
    <row r="1590" spans="1:7" ht="15.75">
      <c r="A1590" s="1961">
        <f t="shared" si="128"/>
        <v>76325</v>
      </c>
      <c r="B1590" s="1815">
        <v>76300</v>
      </c>
      <c r="C1590" s="1815">
        <v>76350</v>
      </c>
      <c r="D1590" s="1816">
        <f t="shared" si="124"/>
        <v>12099</v>
      </c>
      <c r="E1590" s="1816">
        <f t="shared" si="125"/>
        <v>8719</v>
      </c>
      <c r="F1590" s="1816">
        <f t="shared" si="126"/>
        <v>12099</v>
      </c>
      <c r="G1590" s="1816">
        <f t="shared" si="127"/>
        <v>10493</v>
      </c>
    </row>
    <row r="1591" spans="1:7" ht="15.75">
      <c r="A1591" s="1961">
        <f t="shared" si="128"/>
        <v>76375</v>
      </c>
      <c r="B1591" s="1815">
        <v>76350</v>
      </c>
      <c r="C1591" s="1815">
        <v>76400</v>
      </c>
      <c r="D1591" s="1816">
        <f t="shared" si="124"/>
        <v>12110</v>
      </c>
      <c r="E1591" s="1816">
        <f t="shared" si="125"/>
        <v>8725</v>
      </c>
      <c r="F1591" s="1816">
        <f t="shared" si="126"/>
        <v>12110</v>
      </c>
      <c r="G1591" s="1816">
        <f t="shared" si="127"/>
        <v>10504</v>
      </c>
    </row>
    <row r="1592" spans="1:7" ht="15.75">
      <c r="A1592" s="1961">
        <f t="shared" si="128"/>
        <v>76425</v>
      </c>
      <c r="B1592" s="1815">
        <v>76400</v>
      </c>
      <c r="C1592" s="1815">
        <v>76450</v>
      </c>
      <c r="D1592" s="1816">
        <f t="shared" si="124"/>
        <v>12121</v>
      </c>
      <c r="E1592" s="1816">
        <f t="shared" si="125"/>
        <v>8731</v>
      </c>
      <c r="F1592" s="1816">
        <f t="shared" si="126"/>
        <v>12121</v>
      </c>
      <c r="G1592" s="1816">
        <f t="shared" si="127"/>
        <v>10515</v>
      </c>
    </row>
    <row r="1593" spans="1:7" ht="15.75">
      <c r="A1593" s="1961">
        <f t="shared" si="128"/>
        <v>76475</v>
      </c>
      <c r="B1593" s="1815">
        <v>76450</v>
      </c>
      <c r="C1593" s="1815">
        <v>76500</v>
      </c>
      <c r="D1593" s="1816">
        <f t="shared" si="124"/>
        <v>12132</v>
      </c>
      <c r="E1593" s="1816">
        <f t="shared" si="125"/>
        <v>8737</v>
      </c>
      <c r="F1593" s="1816">
        <f t="shared" si="126"/>
        <v>12132</v>
      </c>
      <c r="G1593" s="1816">
        <f t="shared" si="127"/>
        <v>10526</v>
      </c>
    </row>
    <row r="1594" spans="1:7" ht="15.75">
      <c r="A1594" s="1961">
        <f t="shared" si="128"/>
        <v>76525</v>
      </c>
      <c r="B1594" s="1815">
        <v>76500</v>
      </c>
      <c r="C1594" s="1815">
        <v>76550</v>
      </c>
      <c r="D1594" s="1816">
        <f t="shared" si="124"/>
        <v>12143</v>
      </c>
      <c r="E1594" s="1816">
        <f t="shared" si="125"/>
        <v>8743</v>
      </c>
      <c r="F1594" s="1816">
        <f t="shared" si="126"/>
        <v>12143</v>
      </c>
      <c r="G1594" s="1816">
        <f t="shared" si="127"/>
        <v>10537</v>
      </c>
    </row>
    <row r="1595" spans="1:7" ht="15.75">
      <c r="A1595" s="1961">
        <f t="shared" si="128"/>
        <v>76575</v>
      </c>
      <c r="B1595" s="1815">
        <v>76550</v>
      </c>
      <c r="C1595" s="1815">
        <v>76600</v>
      </c>
      <c r="D1595" s="1816">
        <f t="shared" si="124"/>
        <v>12154</v>
      </c>
      <c r="E1595" s="1816">
        <f t="shared" si="125"/>
        <v>8749</v>
      </c>
      <c r="F1595" s="1816">
        <f t="shared" si="126"/>
        <v>12154</v>
      </c>
      <c r="G1595" s="1816">
        <f t="shared" si="127"/>
        <v>10548</v>
      </c>
    </row>
    <row r="1596" spans="1:7" ht="15.75">
      <c r="A1596" s="1961">
        <f t="shared" si="128"/>
        <v>76625</v>
      </c>
      <c r="B1596" s="1815">
        <v>76600</v>
      </c>
      <c r="C1596" s="1815">
        <v>76650</v>
      </c>
      <c r="D1596" s="1816">
        <f t="shared" si="124"/>
        <v>12165</v>
      </c>
      <c r="E1596" s="1816">
        <f t="shared" si="125"/>
        <v>8755</v>
      </c>
      <c r="F1596" s="1816">
        <f t="shared" si="126"/>
        <v>12165</v>
      </c>
      <c r="G1596" s="1816">
        <f t="shared" si="127"/>
        <v>10559</v>
      </c>
    </row>
    <row r="1597" spans="1:7" ht="15.75">
      <c r="A1597" s="1961">
        <f t="shared" si="128"/>
        <v>76675</v>
      </c>
      <c r="B1597" s="1815">
        <v>76650</v>
      </c>
      <c r="C1597" s="1815">
        <v>76700</v>
      </c>
      <c r="D1597" s="1816">
        <f t="shared" si="124"/>
        <v>12176</v>
      </c>
      <c r="E1597" s="1816">
        <f t="shared" si="125"/>
        <v>8761</v>
      </c>
      <c r="F1597" s="1816">
        <f t="shared" si="126"/>
        <v>12176</v>
      </c>
      <c r="G1597" s="1816">
        <f t="shared" si="127"/>
        <v>10570</v>
      </c>
    </row>
    <row r="1598" spans="1:7" ht="15.75">
      <c r="A1598" s="1961">
        <f t="shared" si="128"/>
        <v>76725</v>
      </c>
      <c r="B1598" s="1815">
        <v>76700</v>
      </c>
      <c r="C1598" s="1815">
        <v>76750</v>
      </c>
      <c r="D1598" s="1816">
        <f t="shared" si="124"/>
        <v>12187</v>
      </c>
      <c r="E1598" s="1816">
        <f t="shared" si="125"/>
        <v>8767</v>
      </c>
      <c r="F1598" s="1816">
        <f t="shared" si="126"/>
        <v>12187</v>
      </c>
      <c r="G1598" s="1816">
        <f t="shared" si="127"/>
        <v>10581</v>
      </c>
    </row>
    <row r="1599" spans="1:7" ht="15.75">
      <c r="A1599" s="1961">
        <f t="shared" si="128"/>
        <v>76775</v>
      </c>
      <c r="B1599" s="1815">
        <v>76750</v>
      </c>
      <c r="C1599" s="1815">
        <v>76800</v>
      </c>
      <c r="D1599" s="1816">
        <f t="shared" si="124"/>
        <v>12198</v>
      </c>
      <c r="E1599" s="1816">
        <f t="shared" si="125"/>
        <v>8773</v>
      </c>
      <c r="F1599" s="1816">
        <f t="shared" si="126"/>
        <v>12198</v>
      </c>
      <c r="G1599" s="1816">
        <f t="shared" si="127"/>
        <v>10592</v>
      </c>
    </row>
    <row r="1600" spans="1:7" ht="15.75">
      <c r="A1600" s="1961">
        <f t="shared" si="128"/>
        <v>76825</v>
      </c>
      <c r="B1600" s="1815">
        <v>76800</v>
      </c>
      <c r="C1600" s="1815">
        <v>76850</v>
      </c>
      <c r="D1600" s="1816">
        <f t="shared" si="124"/>
        <v>12209</v>
      </c>
      <c r="E1600" s="1816">
        <f t="shared" si="125"/>
        <v>8779</v>
      </c>
      <c r="F1600" s="1816">
        <f t="shared" si="126"/>
        <v>12209</v>
      </c>
      <c r="G1600" s="1816">
        <f t="shared" si="127"/>
        <v>10603</v>
      </c>
    </row>
    <row r="1601" spans="1:7" ht="15.75">
      <c r="A1601" s="1961">
        <f t="shared" si="128"/>
        <v>76875</v>
      </c>
      <c r="B1601" s="1815">
        <v>76850</v>
      </c>
      <c r="C1601" s="1815">
        <v>76900</v>
      </c>
      <c r="D1601" s="1816">
        <f t="shared" si="124"/>
        <v>12220</v>
      </c>
      <c r="E1601" s="1816">
        <f t="shared" si="125"/>
        <v>8785</v>
      </c>
      <c r="F1601" s="1816">
        <f t="shared" si="126"/>
        <v>12220</v>
      </c>
      <c r="G1601" s="1816">
        <f t="shared" si="127"/>
        <v>10614</v>
      </c>
    </row>
    <row r="1602" spans="1:7" ht="15.75">
      <c r="A1602" s="1961">
        <f t="shared" si="128"/>
        <v>76925</v>
      </c>
      <c r="B1602" s="1815">
        <v>76900</v>
      </c>
      <c r="C1602" s="1815">
        <v>76950</v>
      </c>
      <c r="D1602" s="1816">
        <f t="shared" ref="D1602:D1665" si="129">IF($A1602&gt;BOTT_A4,ROUND(BASE_A4+RATE_A4*($A1602-BOTT_A4),0),IF($A1602&gt;BOTT_A3,ROUND(BASE_A3+RATE_A3*($A1602-BOTT_A3),0),IF($A1602&gt;BOTT_A2,ROUND(BASE_A2+RATE_A2*($A1602-BOTT_A2),0),ROUND(RATE_A1*$A1602,0))))</f>
        <v>12231</v>
      </c>
      <c r="E1602" s="1816">
        <f t="shared" ref="E1602:E1665" si="130">IF($A1602&gt;BOTT_B4,ROUND(BASE_B4+RATE_B4*($A1602-BOTT_B4),0),IF($A1602&gt;BOTT_B3,ROUND(BASE_B3+RATE_B3*($A1602-BOTT_B3),0),IF($A1602&gt;BOTT_B2,ROUND(BASE_B2+RATE_B2*($A1602-BOTT_B2),0),ROUND(RATE_B1*$A1602,0))))</f>
        <v>8791</v>
      </c>
      <c r="F1602" s="1816">
        <f t="shared" ref="F1602:F1665" si="131">IF($A1602&gt;BOTT_C4,ROUND(BASE_C4+RATE_C4*($A1602-BOTT_C4),0),IF($A1602&gt;BOTT_C3,ROUND(BASE_C3+RATE_C3*($A1602-BOTT_C3),0),IF($A1602&gt;BOTT_C2,ROUND(BASE_C2+RATE_C2*($A1602-BOTT_C2),0),ROUND(RATE_C1*$A1602,0))))</f>
        <v>12231</v>
      </c>
      <c r="G1602" s="1816">
        <f t="shared" ref="G1602:G1665" si="132">IF($A1602&gt;BOTT_D4,ROUND(BASE_D4+RATE_D4*($A1602-BOTT_D4),0),IF($A1602&gt;BOTT_D3,ROUND(BASE_D3+RATE_D3*($A1602-BOTT_D3),0),IF($A1602&gt;BOTT_D2,ROUND(BASE_D2+RATE_D2*($A1602-BOTT_D2),0),ROUND(RATE_D1*$A1602,0))))</f>
        <v>10625</v>
      </c>
    </row>
    <row r="1603" spans="1:7" ht="15.75">
      <c r="A1603" s="1961">
        <f t="shared" ref="A1603:A1666" si="133">AVERAGE(B1603,C1603)</f>
        <v>76975</v>
      </c>
      <c r="B1603" s="1815">
        <v>76950</v>
      </c>
      <c r="C1603" s="1815">
        <v>77000</v>
      </c>
      <c r="D1603" s="1816">
        <f t="shared" si="129"/>
        <v>12242</v>
      </c>
      <c r="E1603" s="1816">
        <f t="shared" si="130"/>
        <v>8797</v>
      </c>
      <c r="F1603" s="1816">
        <f t="shared" si="131"/>
        <v>12242</v>
      </c>
      <c r="G1603" s="1816">
        <f t="shared" si="132"/>
        <v>10636</v>
      </c>
    </row>
    <row r="1604" spans="1:7" ht="15.75">
      <c r="A1604" s="1961">
        <f t="shared" si="133"/>
        <v>77025</v>
      </c>
      <c r="B1604" s="1815">
        <v>77000</v>
      </c>
      <c r="C1604" s="1815">
        <v>77050</v>
      </c>
      <c r="D1604" s="1816">
        <f t="shared" si="129"/>
        <v>12253</v>
      </c>
      <c r="E1604" s="1816">
        <f t="shared" si="130"/>
        <v>8803</v>
      </c>
      <c r="F1604" s="1816">
        <f t="shared" si="131"/>
        <v>12253</v>
      </c>
      <c r="G1604" s="1816">
        <f t="shared" si="132"/>
        <v>10647</v>
      </c>
    </row>
    <row r="1605" spans="1:7" ht="15.75">
      <c r="A1605" s="1961">
        <f t="shared" si="133"/>
        <v>77075</v>
      </c>
      <c r="B1605" s="1815">
        <v>77050</v>
      </c>
      <c r="C1605" s="1815">
        <v>77100</v>
      </c>
      <c r="D1605" s="1816">
        <f t="shared" si="129"/>
        <v>12264</v>
      </c>
      <c r="E1605" s="1816">
        <f t="shared" si="130"/>
        <v>8809</v>
      </c>
      <c r="F1605" s="1816">
        <f t="shared" si="131"/>
        <v>12264</v>
      </c>
      <c r="G1605" s="1816">
        <f t="shared" si="132"/>
        <v>10658</v>
      </c>
    </row>
    <row r="1606" spans="1:7" ht="15.75">
      <c r="A1606" s="1961">
        <f t="shared" si="133"/>
        <v>77125</v>
      </c>
      <c r="B1606" s="1815">
        <v>77100</v>
      </c>
      <c r="C1606" s="1815">
        <v>77150</v>
      </c>
      <c r="D1606" s="1816">
        <f t="shared" si="129"/>
        <v>12275</v>
      </c>
      <c r="E1606" s="1816">
        <f t="shared" si="130"/>
        <v>8815</v>
      </c>
      <c r="F1606" s="1816">
        <f t="shared" si="131"/>
        <v>12275</v>
      </c>
      <c r="G1606" s="1816">
        <f t="shared" si="132"/>
        <v>10669</v>
      </c>
    </row>
    <row r="1607" spans="1:7" ht="15.75">
      <c r="A1607" s="1961">
        <f t="shared" si="133"/>
        <v>77175</v>
      </c>
      <c r="B1607" s="1815">
        <v>77150</v>
      </c>
      <c r="C1607" s="1815">
        <v>77200</v>
      </c>
      <c r="D1607" s="1816">
        <f t="shared" si="129"/>
        <v>12286</v>
      </c>
      <c r="E1607" s="1816">
        <f t="shared" si="130"/>
        <v>8821</v>
      </c>
      <c r="F1607" s="1816">
        <f t="shared" si="131"/>
        <v>12286</v>
      </c>
      <c r="G1607" s="1816">
        <f t="shared" si="132"/>
        <v>10680</v>
      </c>
    </row>
    <row r="1608" spans="1:7" ht="15.75">
      <c r="A1608" s="1961">
        <f t="shared" si="133"/>
        <v>77225</v>
      </c>
      <c r="B1608" s="1815">
        <v>77200</v>
      </c>
      <c r="C1608" s="1815">
        <v>77250</v>
      </c>
      <c r="D1608" s="1816">
        <f t="shared" si="129"/>
        <v>12297</v>
      </c>
      <c r="E1608" s="1816">
        <f t="shared" si="130"/>
        <v>8827</v>
      </c>
      <c r="F1608" s="1816">
        <f t="shared" si="131"/>
        <v>12297</v>
      </c>
      <c r="G1608" s="1816">
        <f t="shared" si="132"/>
        <v>10691</v>
      </c>
    </row>
    <row r="1609" spans="1:7" ht="15.75">
      <c r="A1609" s="1961">
        <f t="shared" si="133"/>
        <v>77275</v>
      </c>
      <c r="B1609" s="1815">
        <v>77250</v>
      </c>
      <c r="C1609" s="1815">
        <v>77300</v>
      </c>
      <c r="D1609" s="1816">
        <f t="shared" si="129"/>
        <v>12308</v>
      </c>
      <c r="E1609" s="1816">
        <f t="shared" si="130"/>
        <v>8833</v>
      </c>
      <c r="F1609" s="1816">
        <f t="shared" si="131"/>
        <v>12308</v>
      </c>
      <c r="G1609" s="1816">
        <f t="shared" si="132"/>
        <v>10702</v>
      </c>
    </row>
    <row r="1610" spans="1:7" ht="15.75">
      <c r="A1610" s="1961">
        <f t="shared" si="133"/>
        <v>77325</v>
      </c>
      <c r="B1610" s="1815">
        <v>77300</v>
      </c>
      <c r="C1610" s="1815">
        <v>77350</v>
      </c>
      <c r="D1610" s="1816">
        <f t="shared" si="129"/>
        <v>12319</v>
      </c>
      <c r="E1610" s="1816">
        <f t="shared" si="130"/>
        <v>8839</v>
      </c>
      <c r="F1610" s="1816">
        <f t="shared" si="131"/>
        <v>12319</v>
      </c>
      <c r="G1610" s="1816">
        <f t="shared" si="132"/>
        <v>10713</v>
      </c>
    </row>
    <row r="1611" spans="1:7" ht="15.75">
      <c r="A1611" s="1961">
        <f t="shared" si="133"/>
        <v>77375</v>
      </c>
      <c r="B1611" s="1815">
        <v>77350</v>
      </c>
      <c r="C1611" s="1815">
        <v>77400</v>
      </c>
      <c r="D1611" s="1816">
        <f t="shared" si="129"/>
        <v>12330</v>
      </c>
      <c r="E1611" s="1816">
        <f t="shared" si="130"/>
        <v>8845</v>
      </c>
      <c r="F1611" s="1816">
        <f t="shared" si="131"/>
        <v>12330</v>
      </c>
      <c r="G1611" s="1816">
        <f t="shared" si="132"/>
        <v>10724</v>
      </c>
    </row>
    <row r="1612" spans="1:7" ht="15.75">
      <c r="A1612" s="1961">
        <f t="shared" si="133"/>
        <v>77425</v>
      </c>
      <c r="B1612" s="1815">
        <v>77400</v>
      </c>
      <c r="C1612" s="1815">
        <v>77450</v>
      </c>
      <c r="D1612" s="1816">
        <f t="shared" si="129"/>
        <v>12341</v>
      </c>
      <c r="E1612" s="1816">
        <f t="shared" si="130"/>
        <v>8851</v>
      </c>
      <c r="F1612" s="1816">
        <f t="shared" si="131"/>
        <v>12341</v>
      </c>
      <c r="G1612" s="1816">
        <f t="shared" si="132"/>
        <v>10735</v>
      </c>
    </row>
    <row r="1613" spans="1:7" ht="15.75">
      <c r="A1613" s="1961">
        <f t="shared" si="133"/>
        <v>77475</v>
      </c>
      <c r="B1613" s="1815">
        <v>77450</v>
      </c>
      <c r="C1613" s="1815">
        <v>77500</v>
      </c>
      <c r="D1613" s="1816">
        <f t="shared" si="129"/>
        <v>12352</v>
      </c>
      <c r="E1613" s="1816">
        <f t="shared" si="130"/>
        <v>8857</v>
      </c>
      <c r="F1613" s="1816">
        <f t="shared" si="131"/>
        <v>12352</v>
      </c>
      <c r="G1613" s="1816">
        <f t="shared" si="132"/>
        <v>10746</v>
      </c>
    </row>
    <row r="1614" spans="1:7" ht="15.75">
      <c r="A1614" s="1961">
        <f t="shared" si="133"/>
        <v>77525</v>
      </c>
      <c r="B1614" s="1815">
        <v>77500</v>
      </c>
      <c r="C1614" s="1815">
        <v>77550</v>
      </c>
      <c r="D1614" s="1816">
        <f t="shared" si="129"/>
        <v>12363</v>
      </c>
      <c r="E1614" s="1816">
        <f t="shared" si="130"/>
        <v>8863</v>
      </c>
      <c r="F1614" s="1816">
        <f t="shared" si="131"/>
        <v>12363</v>
      </c>
      <c r="G1614" s="1816">
        <f t="shared" si="132"/>
        <v>10757</v>
      </c>
    </row>
    <row r="1615" spans="1:7" ht="15.75">
      <c r="A1615" s="1961">
        <f t="shared" si="133"/>
        <v>77575</v>
      </c>
      <c r="B1615" s="1815">
        <v>77550</v>
      </c>
      <c r="C1615" s="1815">
        <v>77600</v>
      </c>
      <c r="D1615" s="1816">
        <f t="shared" si="129"/>
        <v>12374</v>
      </c>
      <c r="E1615" s="1816">
        <f t="shared" si="130"/>
        <v>8869</v>
      </c>
      <c r="F1615" s="1816">
        <f t="shared" si="131"/>
        <v>12374</v>
      </c>
      <c r="G1615" s="1816">
        <f t="shared" si="132"/>
        <v>10768</v>
      </c>
    </row>
    <row r="1616" spans="1:7" ht="15.75">
      <c r="A1616" s="1961">
        <f t="shared" si="133"/>
        <v>77625</v>
      </c>
      <c r="B1616" s="1815">
        <v>77600</v>
      </c>
      <c r="C1616" s="1815">
        <v>77650</v>
      </c>
      <c r="D1616" s="1816">
        <f t="shared" si="129"/>
        <v>12385</v>
      </c>
      <c r="E1616" s="1816">
        <f t="shared" si="130"/>
        <v>8875</v>
      </c>
      <c r="F1616" s="1816">
        <f t="shared" si="131"/>
        <v>12385</v>
      </c>
      <c r="G1616" s="1816">
        <f t="shared" si="132"/>
        <v>10779</v>
      </c>
    </row>
    <row r="1617" spans="1:7" ht="15.75">
      <c r="A1617" s="1961">
        <f t="shared" si="133"/>
        <v>77675</v>
      </c>
      <c r="B1617" s="1815">
        <v>77650</v>
      </c>
      <c r="C1617" s="1815">
        <v>77700</v>
      </c>
      <c r="D1617" s="1816">
        <f t="shared" si="129"/>
        <v>12396</v>
      </c>
      <c r="E1617" s="1816">
        <f t="shared" si="130"/>
        <v>8881</v>
      </c>
      <c r="F1617" s="1816">
        <f t="shared" si="131"/>
        <v>12396</v>
      </c>
      <c r="G1617" s="1816">
        <f t="shared" si="132"/>
        <v>10790</v>
      </c>
    </row>
    <row r="1618" spans="1:7" ht="15.75">
      <c r="A1618" s="1961">
        <f t="shared" si="133"/>
        <v>77725</v>
      </c>
      <c r="B1618" s="1815">
        <v>77700</v>
      </c>
      <c r="C1618" s="1815">
        <v>77750</v>
      </c>
      <c r="D1618" s="1816">
        <f t="shared" si="129"/>
        <v>12407</v>
      </c>
      <c r="E1618" s="1816">
        <f t="shared" si="130"/>
        <v>8887</v>
      </c>
      <c r="F1618" s="1816">
        <f t="shared" si="131"/>
        <v>12407</v>
      </c>
      <c r="G1618" s="1816">
        <f t="shared" si="132"/>
        <v>10801</v>
      </c>
    </row>
    <row r="1619" spans="1:7" ht="15.75">
      <c r="A1619" s="1961">
        <f t="shared" si="133"/>
        <v>77775</v>
      </c>
      <c r="B1619" s="1815">
        <v>77750</v>
      </c>
      <c r="C1619" s="1815">
        <v>77800</v>
      </c>
      <c r="D1619" s="1816">
        <f t="shared" si="129"/>
        <v>12418</v>
      </c>
      <c r="E1619" s="1816">
        <f t="shared" si="130"/>
        <v>8893</v>
      </c>
      <c r="F1619" s="1816">
        <f t="shared" si="131"/>
        <v>12418</v>
      </c>
      <c r="G1619" s="1816">
        <f t="shared" si="132"/>
        <v>10812</v>
      </c>
    </row>
    <row r="1620" spans="1:7" ht="15.75">
      <c r="A1620" s="1961">
        <f t="shared" si="133"/>
        <v>77825</v>
      </c>
      <c r="B1620" s="1815">
        <v>77800</v>
      </c>
      <c r="C1620" s="1815">
        <v>77850</v>
      </c>
      <c r="D1620" s="1816">
        <f t="shared" si="129"/>
        <v>12429</v>
      </c>
      <c r="E1620" s="1816">
        <f t="shared" si="130"/>
        <v>8899</v>
      </c>
      <c r="F1620" s="1816">
        <f t="shared" si="131"/>
        <v>12429</v>
      </c>
      <c r="G1620" s="1816">
        <f t="shared" si="132"/>
        <v>10823</v>
      </c>
    </row>
    <row r="1621" spans="1:7" ht="15.75">
      <c r="A1621" s="1961">
        <f t="shared" si="133"/>
        <v>77875</v>
      </c>
      <c r="B1621" s="1815">
        <v>77850</v>
      </c>
      <c r="C1621" s="1815">
        <v>77900</v>
      </c>
      <c r="D1621" s="1816">
        <f t="shared" si="129"/>
        <v>12440</v>
      </c>
      <c r="E1621" s="1816">
        <f t="shared" si="130"/>
        <v>8905</v>
      </c>
      <c r="F1621" s="1816">
        <f t="shared" si="131"/>
        <v>12440</v>
      </c>
      <c r="G1621" s="1816">
        <f t="shared" si="132"/>
        <v>10834</v>
      </c>
    </row>
    <row r="1622" spans="1:7" ht="15.75">
      <c r="A1622" s="1961">
        <f t="shared" si="133"/>
        <v>77925</v>
      </c>
      <c r="B1622" s="1815">
        <v>77900</v>
      </c>
      <c r="C1622" s="1815">
        <v>77950</v>
      </c>
      <c r="D1622" s="1816">
        <f t="shared" si="129"/>
        <v>12451</v>
      </c>
      <c r="E1622" s="1816">
        <f t="shared" si="130"/>
        <v>8911</v>
      </c>
      <c r="F1622" s="1816">
        <f t="shared" si="131"/>
        <v>12451</v>
      </c>
      <c r="G1622" s="1816">
        <f t="shared" si="132"/>
        <v>10845</v>
      </c>
    </row>
    <row r="1623" spans="1:7" ht="15.75">
      <c r="A1623" s="1961">
        <f t="shared" si="133"/>
        <v>77975</v>
      </c>
      <c r="B1623" s="1815">
        <v>77950</v>
      </c>
      <c r="C1623" s="1815">
        <v>78000</v>
      </c>
      <c r="D1623" s="1816">
        <f t="shared" si="129"/>
        <v>12462</v>
      </c>
      <c r="E1623" s="1816">
        <f t="shared" si="130"/>
        <v>8917</v>
      </c>
      <c r="F1623" s="1816">
        <f t="shared" si="131"/>
        <v>12462</v>
      </c>
      <c r="G1623" s="1816">
        <f t="shared" si="132"/>
        <v>10856</v>
      </c>
    </row>
    <row r="1624" spans="1:7" ht="15.75">
      <c r="A1624" s="1961">
        <f t="shared" si="133"/>
        <v>78025</v>
      </c>
      <c r="B1624" s="1815">
        <v>78000</v>
      </c>
      <c r="C1624" s="1815">
        <v>78050</v>
      </c>
      <c r="D1624" s="1816">
        <f t="shared" si="129"/>
        <v>12473</v>
      </c>
      <c r="E1624" s="1816">
        <f t="shared" si="130"/>
        <v>8923</v>
      </c>
      <c r="F1624" s="1816">
        <f t="shared" si="131"/>
        <v>12473</v>
      </c>
      <c r="G1624" s="1816">
        <f t="shared" si="132"/>
        <v>10867</v>
      </c>
    </row>
    <row r="1625" spans="1:7" ht="15.75">
      <c r="A1625" s="1961">
        <f t="shared" si="133"/>
        <v>78075</v>
      </c>
      <c r="B1625" s="1815">
        <v>78050</v>
      </c>
      <c r="C1625" s="1815">
        <v>78100</v>
      </c>
      <c r="D1625" s="1816">
        <f t="shared" si="129"/>
        <v>12484</v>
      </c>
      <c r="E1625" s="1816">
        <f t="shared" si="130"/>
        <v>8929</v>
      </c>
      <c r="F1625" s="1816">
        <f t="shared" si="131"/>
        <v>12484</v>
      </c>
      <c r="G1625" s="1816">
        <f t="shared" si="132"/>
        <v>10878</v>
      </c>
    </row>
    <row r="1626" spans="1:7" ht="15.75">
      <c r="A1626" s="1961">
        <f t="shared" si="133"/>
        <v>78125</v>
      </c>
      <c r="B1626" s="1815">
        <v>78100</v>
      </c>
      <c r="C1626" s="1815">
        <v>78150</v>
      </c>
      <c r="D1626" s="1816">
        <f t="shared" si="129"/>
        <v>12495</v>
      </c>
      <c r="E1626" s="1816">
        <f t="shared" si="130"/>
        <v>8935</v>
      </c>
      <c r="F1626" s="1816">
        <f t="shared" si="131"/>
        <v>12495</v>
      </c>
      <c r="G1626" s="1816">
        <f t="shared" si="132"/>
        <v>10889</v>
      </c>
    </row>
    <row r="1627" spans="1:7" ht="15.75">
      <c r="A1627" s="1961">
        <f t="shared" si="133"/>
        <v>78175</v>
      </c>
      <c r="B1627" s="1815">
        <v>78150</v>
      </c>
      <c r="C1627" s="1815">
        <v>78200</v>
      </c>
      <c r="D1627" s="1816">
        <f t="shared" si="129"/>
        <v>12506</v>
      </c>
      <c r="E1627" s="1816">
        <f t="shared" si="130"/>
        <v>8941</v>
      </c>
      <c r="F1627" s="1816">
        <f t="shared" si="131"/>
        <v>12506</v>
      </c>
      <c r="G1627" s="1816">
        <f t="shared" si="132"/>
        <v>10900</v>
      </c>
    </row>
    <row r="1628" spans="1:7" ht="15.75">
      <c r="A1628" s="1961">
        <f t="shared" si="133"/>
        <v>78225</v>
      </c>
      <c r="B1628" s="1815">
        <v>78200</v>
      </c>
      <c r="C1628" s="1815">
        <v>78250</v>
      </c>
      <c r="D1628" s="1816">
        <f t="shared" si="129"/>
        <v>12517</v>
      </c>
      <c r="E1628" s="1816">
        <f t="shared" si="130"/>
        <v>8947</v>
      </c>
      <c r="F1628" s="1816">
        <f t="shared" si="131"/>
        <v>12517</v>
      </c>
      <c r="G1628" s="1816">
        <f t="shared" si="132"/>
        <v>10911</v>
      </c>
    </row>
    <row r="1629" spans="1:7" ht="15.75">
      <c r="A1629" s="1961">
        <f t="shared" si="133"/>
        <v>78275</v>
      </c>
      <c r="B1629" s="1815">
        <v>78250</v>
      </c>
      <c r="C1629" s="1815">
        <v>78300</v>
      </c>
      <c r="D1629" s="1816">
        <f t="shared" si="129"/>
        <v>12528</v>
      </c>
      <c r="E1629" s="1816">
        <f t="shared" si="130"/>
        <v>8953</v>
      </c>
      <c r="F1629" s="1816">
        <f t="shared" si="131"/>
        <v>12528</v>
      </c>
      <c r="G1629" s="1816">
        <f t="shared" si="132"/>
        <v>10922</v>
      </c>
    </row>
    <row r="1630" spans="1:7" ht="15.75">
      <c r="A1630" s="1961">
        <f t="shared" si="133"/>
        <v>78325</v>
      </c>
      <c r="B1630" s="1815">
        <v>78300</v>
      </c>
      <c r="C1630" s="1815">
        <v>78350</v>
      </c>
      <c r="D1630" s="1816">
        <f t="shared" si="129"/>
        <v>12539</v>
      </c>
      <c r="E1630" s="1816">
        <f t="shared" si="130"/>
        <v>8959</v>
      </c>
      <c r="F1630" s="1816">
        <f t="shared" si="131"/>
        <v>12539</v>
      </c>
      <c r="G1630" s="1816">
        <f t="shared" si="132"/>
        <v>10933</v>
      </c>
    </row>
    <row r="1631" spans="1:7" ht="15.75">
      <c r="A1631" s="1961">
        <f t="shared" si="133"/>
        <v>78375</v>
      </c>
      <c r="B1631" s="1815">
        <v>78350</v>
      </c>
      <c r="C1631" s="1815">
        <v>78400</v>
      </c>
      <c r="D1631" s="1816">
        <f t="shared" si="129"/>
        <v>12550</v>
      </c>
      <c r="E1631" s="1816">
        <f t="shared" si="130"/>
        <v>8965</v>
      </c>
      <c r="F1631" s="1816">
        <f t="shared" si="131"/>
        <v>12550</v>
      </c>
      <c r="G1631" s="1816">
        <f t="shared" si="132"/>
        <v>10944</v>
      </c>
    </row>
    <row r="1632" spans="1:7" ht="15.75">
      <c r="A1632" s="1961">
        <f t="shared" si="133"/>
        <v>78425</v>
      </c>
      <c r="B1632" s="1815">
        <v>78400</v>
      </c>
      <c r="C1632" s="1815">
        <v>78450</v>
      </c>
      <c r="D1632" s="1816">
        <f t="shared" si="129"/>
        <v>12561</v>
      </c>
      <c r="E1632" s="1816">
        <f t="shared" si="130"/>
        <v>8971</v>
      </c>
      <c r="F1632" s="1816">
        <f t="shared" si="131"/>
        <v>12561</v>
      </c>
      <c r="G1632" s="1816">
        <f t="shared" si="132"/>
        <v>10955</v>
      </c>
    </row>
    <row r="1633" spans="1:7" ht="15.75">
      <c r="A1633" s="1961">
        <f t="shared" si="133"/>
        <v>78475</v>
      </c>
      <c r="B1633" s="1815">
        <v>78450</v>
      </c>
      <c r="C1633" s="1815">
        <v>78500</v>
      </c>
      <c r="D1633" s="1816">
        <f t="shared" si="129"/>
        <v>12572</v>
      </c>
      <c r="E1633" s="1816">
        <f t="shared" si="130"/>
        <v>8977</v>
      </c>
      <c r="F1633" s="1816">
        <f t="shared" si="131"/>
        <v>12572</v>
      </c>
      <c r="G1633" s="1816">
        <f t="shared" si="132"/>
        <v>10966</v>
      </c>
    </row>
    <row r="1634" spans="1:7" ht="15.75">
      <c r="A1634" s="1961">
        <f t="shared" si="133"/>
        <v>78525</v>
      </c>
      <c r="B1634" s="1815">
        <v>78500</v>
      </c>
      <c r="C1634" s="1815">
        <v>78550</v>
      </c>
      <c r="D1634" s="1816">
        <f t="shared" si="129"/>
        <v>12583</v>
      </c>
      <c r="E1634" s="1816">
        <f t="shared" si="130"/>
        <v>8983</v>
      </c>
      <c r="F1634" s="1816">
        <f t="shared" si="131"/>
        <v>12583</v>
      </c>
      <c r="G1634" s="1816">
        <f t="shared" si="132"/>
        <v>10977</v>
      </c>
    </row>
    <row r="1635" spans="1:7" ht="15.75">
      <c r="A1635" s="1961">
        <f t="shared" si="133"/>
        <v>78575</v>
      </c>
      <c r="B1635" s="1815">
        <v>78550</v>
      </c>
      <c r="C1635" s="1815">
        <v>78600</v>
      </c>
      <c r="D1635" s="1816">
        <f t="shared" si="129"/>
        <v>12594</v>
      </c>
      <c r="E1635" s="1816">
        <f t="shared" si="130"/>
        <v>8989</v>
      </c>
      <c r="F1635" s="1816">
        <f t="shared" si="131"/>
        <v>12594</v>
      </c>
      <c r="G1635" s="1816">
        <f t="shared" si="132"/>
        <v>10988</v>
      </c>
    </row>
    <row r="1636" spans="1:7" ht="15.75">
      <c r="A1636" s="1961">
        <f t="shared" si="133"/>
        <v>78625</v>
      </c>
      <c r="B1636" s="1815">
        <v>78600</v>
      </c>
      <c r="C1636" s="1815">
        <v>78650</v>
      </c>
      <c r="D1636" s="1816">
        <f t="shared" si="129"/>
        <v>12605</v>
      </c>
      <c r="E1636" s="1816">
        <f t="shared" si="130"/>
        <v>8995</v>
      </c>
      <c r="F1636" s="1816">
        <f t="shared" si="131"/>
        <v>12605</v>
      </c>
      <c r="G1636" s="1816">
        <f t="shared" si="132"/>
        <v>10999</v>
      </c>
    </row>
    <row r="1637" spans="1:7" ht="15.75">
      <c r="A1637" s="1961">
        <f t="shared" si="133"/>
        <v>78675</v>
      </c>
      <c r="B1637" s="1815">
        <v>78650</v>
      </c>
      <c r="C1637" s="1815">
        <v>78700</v>
      </c>
      <c r="D1637" s="1816">
        <f t="shared" si="129"/>
        <v>12616</v>
      </c>
      <c r="E1637" s="1816">
        <f t="shared" si="130"/>
        <v>9001</v>
      </c>
      <c r="F1637" s="1816">
        <f t="shared" si="131"/>
        <v>12616</v>
      </c>
      <c r="G1637" s="1816">
        <f t="shared" si="132"/>
        <v>11010</v>
      </c>
    </row>
    <row r="1638" spans="1:7" ht="15.75">
      <c r="A1638" s="1961">
        <f t="shared" si="133"/>
        <v>78725</v>
      </c>
      <c r="B1638" s="1815">
        <v>78700</v>
      </c>
      <c r="C1638" s="1815">
        <v>78750</v>
      </c>
      <c r="D1638" s="1816">
        <f t="shared" si="129"/>
        <v>12627</v>
      </c>
      <c r="E1638" s="1816">
        <f t="shared" si="130"/>
        <v>9007</v>
      </c>
      <c r="F1638" s="1816">
        <f t="shared" si="131"/>
        <v>12627</v>
      </c>
      <c r="G1638" s="1816">
        <f t="shared" si="132"/>
        <v>11021</v>
      </c>
    </row>
    <row r="1639" spans="1:7" ht="15.75">
      <c r="A1639" s="1961">
        <f t="shared" si="133"/>
        <v>78775</v>
      </c>
      <c r="B1639" s="1815">
        <v>78750</v>
      </c>
      <c r="C1639" s="1815">
        <v>78800</v>
      </c>
      <c r="D1639" s="1816">
        <f t="shared" si="129"/>
        <v>12638</v>
      </c>
      <c r="E1639" s="1816">
        <f t="shared" si="130"/>
        <v>9013</v>
      </c>
      <c r="F1639" s="1816">
        <f t="shared" si="131"/>
        <v>12638</v>
      </c>
      <c r="G1639" s="1816">
        <f t="shared" si="132"/>
        <v>11032</v>
      </c>
    </row>
    <row r="1640" spans="1:7" ht="15.75">
      <c r="A1640" s="1961">
        <f t="shared" si="133"/>
        <v>78825</v>
      </c>
      <c r="B1640" s="1815">
        <v>78800</v>
      </c>
      <c r="C1640" s="1815">
        <v>78850</v>
      </c>
      <c r="D1640" s="1816">
        <f t="shared" si="129"/>
        <v>12649</v>
      </c>
      <c r="E1640" s="1816">
        <f t="shared" si="130"/>
        <v>9019</v>
      </c>
      <c r="F1640" s="1816">
        <f t="shared" si="131"/>
        <v>12649</v>
      </c>
      <c r="G1640" s="1816">
        <f t="shared" si="132"/>
        <v>11043</v>
      </c>
    </row>
    <row r="1641" spans="1:7" ht="15.75">
      <c r="A1641" s="1961">
        <f t="shared" si="133"/>
        <v>78875</v>
      </c>
      <c r="B1641" s="1815">
        <v>78850</v>
      </c>
      <c r="C1641" s="1815">
        <v>78900</v>
      </c>
      <c r="D1641" s="1816">
        <f t="shared" si="129"/>
        <v>12660</v>
      </c>
      <c r="E1641" s="1816">
        <f t="shared" si="130"/>
        <v>9025</v>
      </c>
      <c r="F1641" s="1816">
        <f t="shared" si="131"/>
        <v>12660</v>
      </c>
      <c r="G1641" s="1816">
        <f t="shared" si="132"/>
        <v>11054</v>
      </c>
    </row>
    <row r="1642" spans="1:7" ht="15.75">
      <c r="A1642" s="1961">
        <f t="shared" si="133"/>
        <v>78925</v>
      </c>
      <c r="B1642" s="1815">
        <v>78900</v>
      </c>
      <c r="C1642" s="1815">
        <v>78950</v>
      </c>
      <c r="D1642" s="1816">
        <f t="shared" si="129"/>
        <v>12671</v>
      </c>
      <c r="E1642" s="1816">
        <f t="shared" si="130"/>
        <v>9031</v>
      </c>
      <c r="F1642" s="1816">
        <f t="shared" si="131"/>
        <v>12671</v>
      </c>
      <c r="G1642" s="1816">
        <f t="shared" si="132"/>
        <v>11065</v>
      </c>
    </row>
    <row r="1643" spans="1:7" ht="15.75">
      <c r="A1643" s="1961">
        <f t="shared" si="133"/>
        <v>78975</v>
      </c>
      <c r="B1643" s="1815">
        <v>78950</v>
      </c>
      <c r="C1643" s="1815">
        <v>79000</v>
      </c>
      <c r="D1643" s="1816">
        <f t="shared" si="129"/>
        <v>12682</v>
      </c>
      <c r="E1643" s="1816">
        <f t="shared" si="130"/>
        <v>9037</v>
      </c>
      <c r="F1643" s="1816">
        <f t="shared" si="131"/>
        <v>12682</v>
      </c>
      <c r="G1643" s="1816">
        <f t="shared" si="132"/>
        <v>11076</v>
      </c>
    </row>
    <row r="1644" spans="1:7" ht="15.75">
      <c r="A1644" s="1961">
        <f t="shared" si="133"/>
        <v>79025</v>
      </c>
      <c r="B1644" s="1815">
        <v>79000</v>
      </c>
      <c r="C1644" s="1815">
        <v>79050</v>
      </c>
      <c r="D1644" s="1816">
        <f t="shared" si="129"/>
        <v>12693</v>
      </c>
      <c r="E1644" s="1816">
        <f t="shared" si="130"/>
        <v>9043</v>
      </c>
      <c r="F1644" s="1816">
        <f t="shared" si="131"/>
        <v>12693</v>
      </c>
      <c r="G1644" s="1816">
        <f t="shared" si="132"/>
        <v>11087</v>
      </c>
    </row>
    <row r="1645" spans="1:7" ht="15.75">
      <c r="A1645" s="1961">
        <f t="shared" si="133"/>
        <v>79075</v>
      </c>
      <c r="B1645" s="1815">
        <v>79050</v>
      </c>
      <c r="C1645" s="1815">
        <v>79100</v>
      </c>
      <c r="D1645" s="1816">
        <f t="shared" si="129"/>
        <v>12704</v>
      </c>
      <c r="E1645" s="1816">
        <f t="shared" si="130"/>
        <v>9049</v>
      </c>
      <c r="F1645" s="1816">
        <f t="shared" si="131"/>
        <v>12704</v>
      </c>
      <c r="G1645" s="1816">
        <f t="shared" si="132"/>
        <v>11098</v>
      </c>
    </row>
    <row r="1646" spans="1:7" ht="15.75">
      <c r="A1646" s="1961">
        <f t="shared" si="133"/>
        <v>79125</v>
      </c>
      <c r="B1646" s="1815">
        <v>79100</v>
      </c>
      <c r="C1646" s="1815">
        <v>79150</v>
      </c>
      <c r="D1646" s="1816">
        <f t="shared" si="129"/>
        <v>12715</v>
      </c>
      <c r="E1646" s="1816">
        <f t="shared" si="130"/>
        <v>9055</v>
      </c>
      <c r="F1646" s="1816">
        <f t="shared" si="131"/>
        <v>12715</v>
      </c>
      <c r="G1646" s="1816">
        <f t="shared" si="132"/>
        <v>11109</v>
      </c>
    </row>
    <row r="1647" spans="1:7" ht="15.75">
      <c r="A1647" s="1961">
        <f t="shared" si="133"/>
        <v>79175</v>
      </c>
      <c r="B1647" s="1815">
        <v>79150</v>
      </c>
      <c r="C1647" s="1815">
        <v>79200</v>
      </c>
      <c r="D1647" s="1816">
        <f t="shared" si="129"/>
        <v>12726</v>
      </c>
      <c r="E1647" s="1816">
        <f t="shared" si="130"/>
        <v>9061</v>
      </c>
      <c r="F1647" s="1816">
        <f t="shared" si="131"/>
        <v>12726</v>
      </c>
      <c r="G1647" s="1816">
        <f t="shared" si="132"/>
        <v>11120</v>
      </c>
    </row>
    <row r="1648" spans="1:7" ht="15.75">
      <c r="A1648" s="1961">
        <f t="shared" si="133"/>
        <v>79225</v>
      </c>
      <c r="B1648" s="1815">
        <v>79200</v>
      </c>
      <c r="C1648" s="1815">
        <v>79250</v>
      </c>
      <c r="D1648" s="1816">
        <f t="shared" si="129"/>
        <v>12737</v>
      </c>
      <c r="E1648" s="1816">
        <f t="shared" si="130"/>
        <v>9067</v>
      </c>
      <c r="F1648" s="1816">
        <f t="shared" si="131"/>
        <v>12737</v>
      </c>
      <c r="G1648" s="1816">
        <f t="shared" si="132"/>
        <v>11131</v>
      </c>
    </row>
    <row r="1649" spans="1:7" ht="15.75">
      <c r="A1649" s="1961">
        <f t="shared" si="133"/>
        <v>79275</v>
      </c>
      <c r="B1649" s="1815">
        <v>79250</v>
      </c>
      <c r="C1649" s="1815">
        <v>79300</v>
      </c>
      <c r="D1649" s="1816">
        <f t="shared" si="129"/>
        <v>12748</v>
      </c>
      <c r="E1649" s="1816">
        <f t="shared" si="130"/>
        <v>9073</v>
      </c>
      <c r="F1649" s="1816">
        <f t="shared" si="131"/>
        <v>12748</v>
      </c>
      <c r="G1649" s="1816">
        <f t="shared" si="132"/>
        <v>11142</v>
      </c>
    </row>
    <row r="1650" spans="1:7" ht="15.75">
      <c r="A1650" s="1961">
        <f t="shared" si="133"/>
        <v>79325</v>
      </c>
      <c r="B1650" s="1815">
        <v>79300</v>
      </c>
      <c r="C1650" s="1815">
        <v>79350</v>
      </c>
      <c r="D1650" s="1816">
        <f t="shared" si="129"/>
        <v>12759</v>
      </c>
      <c r="E1650" s="1816">
        <f t="shared" si="130"/>
        <v>9079</v>
      </c>
      <c r="F1650" s="1816">
        <f t="shared" si="131"/>
        <v>12759</v>
      </c>
      <c r="G1650" s="1816">
        <f t="shared" si="132"/>
        <v>11153</v>
      </c>
    </row>
    <row r="1651" spans="1:7" ht="15.75">
      <c r="A1651" s="1961">
        <f t="shared" si="133"/>
        <v>79375</v>
      </c>
      <c r="B1651" s="1815">
        <v>79350</v>
      </c>
      <c r="C1651" s="1815">
        <v>79400</v>
      </c>
      <c r="D1651" s="1816">
        <f t="shared" si="129"/>
        <v>12770</v>
      </c>
      <c r="E1651" s="1816">
        <f t="shared" si="130"/>
        <v>9085</v>
      </c>
      <c r="F1651" s="1816">
        <f t="shared" si="131"/>
        <v>12770</v>
      </c>
      <c r="G1651" s="1816">
        <f t="shared" si="132"/>
        <v>11164</v>
      </c>
    </row>
    <row r="1652" spans="1:7" ht="15.75">
      <c r="A1652" s="1961">
        <f t="shared" si="133"/>
        <v>79425</v>
      </c>
      <c r="B1652" s="1815">
        <v>79400</v>
      </c>
      <c r="C1652" s="1815">
        <v>79450</v>
      </c>
      <c r="D1652" s="1816">
        <f t="shared" si="129"/>
        <v>12781</v>
      </c>
      <c r="E1652" s="1816">
        <f t="shared" si="130"/>
        <v>9091</v>
      </c>
      <c r="F1652" s="1816">
        <f t="shared" si="131"/>
        <v>12781</v>
      </c>
      <c r="G1652" s="1816">
        <f t="shared" si="132"/>
        <v>11175</v>
      </c>
    </row>
    <row r="1653" spans="1:7" ht="15.75">
      <c r="A1653" s="1961">
        <f t="shared" si="133"/>
        <v>79475</v>
      </c>
      <c r="B1653" s="1815">
        <v>79450</v>
      </c>
      <c r="C1653" s="1815">
        <v>79500</v>
      </c>
      <c r="D1653" s="1816">
        <f t="shared" si="129"/>
        <v>12792</v>
      </c>
      <c r="E1653" s="1816">
        <f t="shared" si="130"/>
        <v>9097</v>
      </c>
      <c r="F1653" s="1816">
        <f t="shared" si="131"/>
        <v>12792</v>
      </c>
      <c r="G1653" s="1816">
        <f t="shared" si="132"/>
        <v>11186</v>
      </c>
    </row>
    <row r="1654" spans="1:7" ht="15.75">
      <c r="A1654" s="1961">
        <f t="shared" si="133"/>
        <v>79525</v>
      </c>
      <c r="B1654" s="1815">
        <v>79500</v>
      </c>
      <c r="C1654" s="1815">
        <v>79550</v>
      </c>
      <c r="D1654" s="1816">
        <f t="shared" si="129"/>
        <v>12803</v>
      </c>
      <c r="E1654" s="1816">
        <f t="shared" si="130"/>
        <v>9103</v>
      </c>
      <c r="F1654" s="1816">
        <f t="shared" si="131"/>
        <v>12803</v>
      </c>
      <c r="G1654" s="1816">
        <f t="shared" si="132"/>
        <v>11197</v>
      </c>
    </row>
    <row r="1655" spans="1:7" ht="15.75">
      <c r="A1655" s="1961">
        <f t="shared" si="133"/>
        <v>79575</v>
      </c>
      <c r="B1655" s="1815">
        <v>79550</v>
      </c>
      <c r="C1655" s="1815">
        <v>79600</v>
      </c>
      <c r="D1655" s="1816">
        <f t="shared" si="129"/>
        <v>12814</v>
      </c>
      <c r="E1655" s="1816">
        <f t="shared" si="130"/>
        <v>9109</v>
      </c>
      <c r="F1655" s="1816">
        <f t="shared" si="131"/>
        <v>12814</v>
      </c>
      <c r="G1655" s="1816">
        <f t="shared" si="132"/>
        <v>11208</v>
      </c>
    </row>
    <row r="1656" spans="1:7" ht="15.75">
      <c r="A1656" s="1961">
        <f t="shared" si="133"/>
        <v>79625</v>
      </c>
      <c r="B1656" s="1815">
        <v>79600</v>
      </c>
      <c r="C1656" s="1815">
        <v>79650</v>
      </c>
      <c r="D1656" s="1816">
        <f t="shared" si="129"/>
        <v>12825</v>
      </c>
      <c r="E1656" s="1816">
        <f t="shared" si="130"/>
        <v>9115</v>
      </c>
      <c r="F1656" s="1816">
        <f t="shared" si="131"/>
        <v>12825</v>
      </c>
      <c r="G1656" s="1816">
        <f t="shared" si="132"/>
        <v>11219</v>
      </c>
    </row>
    <row r="1657" spans="1:7" ht="15.75">
      <c r="A1657" s="1961">
        <f t="shared" si="133"/>
        <v>79675</v>
      </c>
      <c r="B1657" s="1815">
        <v>79650</v>
      </c>
      <c r="C1657" s="1815">
        <v>79700</v>
      </c>
      <c r="D1657" s="1816">
        <f t="shared" si="129"/>
        <v>12836</v>
      </c>
      <c r="E1657" s="1816">
        <f t="shared" si="130"/>
        <v>9121</v>
      </c>
      <c r="F1657" s="1816">
        <f t="shared" si="131"/>
        <v>12836</v>
      </c>
      <c r="G1657" s="1816">
        <f t="shared" si="132"/>
        <v>11230</v>
      </c>
    </row>
    <row r="1658" spans="1:7" ht="15.75">
      <c r="A1658" s="1961">
        <f t="shared" si="133"/>
        <v>79725</v>
      </c>
      <c r="B1658" s="1815">
        <v>79700</v>
      </c>
      <c r="C1658" s="1815">
        <v>79750</v>
      </c>
      <c r="D1658" s="1816">
        <f t="shared" si="129"/>
        <v>12847</v>
      </c>
      <c r="E1658" s="1816">
        <f t="shared" si="130"/>
        <v>9127</v>
      </c>
      <c r="F1658" s="1816">
        <f t="shared" si="131"/>
        <v>12847</v>
      </c>
      <c r="G1658" s="1816">
        <f t="shared" si="132"/>
        <v>11241</v>
      </c>
    </row>
    <row r="1659" spans="1:7" ht="15.75">
      <c r="A1659" s="1961">
        <f t="shared" si="133"/>
        <v>79775</v>
      </c>
      <c r="B1659" s="1815">
        <v>79750</v>
      </c>
      <c r="C1659" s="1815">
        <v>79800</v>
      </c>
      <c r="D1659" s="1816">
        <f t="shared" si="129"/>
        <v>12858</v>
      </c>
      <c r="E1659" s="1816">
        <f t="shared" si="130"/>
        <v>9133</v>
      </c>
      <c r="F1659" s="1816">
        <f t="shared" si="131"/>
        <v>12858</v>
      </c>
      <c r="G1659" s="1816">
        <f t="shared" si="132"/>
        <v>11252</v>
      </c>
    </row>
    <row r="1660" spans="1:7" ht="15.75">
      <c r="A1660" s="1961">
        <f t="shared" si="133"/>
        <v>79825</v>
      </c>
      <c r="B1660" s="1815">
        <v>79800</v>
      </c>
      <c r="C1660" s="1815">
        <v>79850</v>
      </c>
      <c r="D1660" s="1816">
        <f t="shared" si="129"/>
        <v>12869</v>
      </c>
      <c r="E1660" s="1816">
        <f t="shared" si="130"/>
        <v>9139</v>
      </c>
      <c r="F1660" s="1816">
        <f t="shared" si="131"/>
        <v>12869</v>
      </c>
      <c r="G1660" s="1816">
        <f t="shared" si="132"/>
        <v>11263</v>
      </c>
    </row>
    <row r="1661" spans="1:7" ht="15.75">
      <c r="A1661" s="1961">
        <f t="shared" si="133"/>
        <v>79875</v>
      </c>
      <c r="B1661" s="1815">
        <v>79850</v>
      </c>
      <c r="C1661" s="1815">
        <v>79900</v>
      </c>
      <c r="D1661" s="1816">
        <f t="shared" si="129"/>
        <v>12880</v>
      </c>
      <c r="E1661" s="1816">
        <f t="shared" si="130"/>
        <v>9145</v>
      </c>
      <c r="F1661" s="1816">
        <f t="shared" si="131"/>
        <v>12880</v>
      </c>
      <c r="G1661" s="1816">
        <f t="shared" si="132"/>
        <v>11274</v>
      </c>
    </row>
    <row r="1662" spans="1:7" ht="15.75">
      <c r="A1662" s="1961">
        <f t="shared" si="133"/>
        <v>79925</v>
      </c>
      <c r="B1662" s="1815">
        <v>79900</v>
      </c>
      <c r="C1662" s="1815">
        <v>79950</v>
      </c>
      <c r="D1662" s="1816">
        <f t="shared" si="129"/>
        <v>12891</v>
      </c>
      <c r="E1662" s="1816">
        <f t="shared" si="130"/>
        <v>9151</v>
      </c>
      <c r="F1662" s="1816">
        <f t="shared" si="131"/>
        <v>12891</v>
      </c>
      <c r="G1662" s="1816">
        <f t="shared" si="132"/>
        <v>11285</v>
      </c>
    </row>
    <row r="1663" spans="1:7" ht="15.75">
      <c r="A1663" s="1961">
        <f t="shared" si="133"/>
        <v>79975</v>
      </c>
      <c r="B1663" s="1815">
        <v>79950</v>
      </c>
      <c r="C1663" s="1815">
        <v>80000</v>
      </c>
      <c r="D1663" s="1816">
        <f t="shared" si="129"/>
        <v>12902</v>
      </c>
      <c r="E1663" s="1816">
        <f t="shared" si="130"/>
        <v>9157</v>
      </c>
      <c r="F1663" s="1816">
        <f t="shared" si="131"/>
        <v>12902</v>
      </c>
      <c r="G1663" s="1816">
        <f t="shared" si="132"/>
        <v>11296</v>
      </c>
    </row>
    <row r="1664" spans="1:7" ht="15.75">
      <c r="A1664" s="1961">
        <f t="shared" si="133"/>
        <v>80025</v>
      </c>
      <c r="B1664" s="1815">
        <v>80000</v>
      </c>
      <c r="C1664" s="1815">
        <v>80050</v>
      </c>
      <c r="D1664" s="1816">
        <f t="shared" si="129"/>
        <v>12913</v>
      </c>
      <c r="E1664" s="1816">
        <f t="shared" si="130"/>
        <v>9163</v>
      </c>
      <c r="F1664" s="1816">
        <f t="shared" si="131"/>
        <v>12913</v>
      </c>
      <c r="G1664" s="1816">
        <f t="shared" si="132"/>
        <v>11307</v>
      </c>
    </row>
    <row r="1665" spans="1:7" ht="15.75">
      <c r="A1665" s="1961">
        <f t="shared" si="133"/>
        <v>80075</v>
      </c>
      <c r="B1665" s="1815">
        <v>80050</v>
      </c>
      <c r="C1665" s="1815">
        <v>80100</v>
      </c>
      <c r="D1665" s="1816">
        <f t="shared" si="129"/>
        <v>12924</v>
      </c>
      <c r="E1665" s="1816">
        <f t="shared" si="130"/>
        <v>9169</v>
      </c>
      <c r="F1665" s="1816">
        <f t="shared" si="131"/>
        <v>12924</v>
      </c>
      <c r="G1665" s="1816">
        <f t="shared" si="132"/>
        <v>11318</v>
      </c>
    </row>
    <row r="1666" spans="1:7" ht="15.75">
      <c r="A1666" s="1961">
        <f t="shared" si="133"/>
        <v>80125</v>
      </c>
      <c r="B1666" s="1815">
        <v>80100</v>
      </c>
      <c r="C1666" s="1815">
        <v>80150</v>
      </c>
      <c r="D1666" s="1816">
        <f t="shared" ref="D1666:D1729" si="134">IF($A1666&gt;BOTT_A4,ROUND(BASE_A4+RATE_A4*($A1666-BOTT_A4),0),IF($A1666&gt;BOTT_A3,ROUND(BASE_A3+RATE_A3*($A1666-BOTT_A3),0),IF($A1666&gt;BOTT_A2,ROUND(BASE_A2+RATE_A2*($A1666-BOTT_A2),0),ROUND(RATE_A1*$A1666,0))))</f>
        <v>12935</v>
      </c>
      <c r="E1666" s="1816">
        <f t="shared" ref="E1666:E1729" si="135">IF($A1666&gt;BOTT_B4,ROUND(BASE_B4+RATE_B4*($A1666-BOTT_B4),0),IF($A1666&gt;BOTT_B3,ROUND(BASE_B3+RATE_B3*($A1666-BOTT_B3),0),IF($A1666&gt;BOTT_B2,ROUND(BASE_B2+RATE_B2*($A1666-BOTT_B2),0),ROUND(RATE_B1*$A1666,0))))</f>
        <v>9175</v>
      </c>
      <c r="F1666" s="1816">
        <f t="shared" ref="F1666:F1729" si="136">IF($A1666&gt;BOTT_C4,ROUND(BASE_C4+RATE_C4*($A1666-BOTT_C4),0),IF($A1666&gt;BOTT_C3,ROUND(BASE_C3+RATE_C3*($A1666-BOTT_C3),0),IF($A1666&gt;BOTT_C2,ROUND(BASE_C2+RATE_C2*($A1666-BOTT_C2),0),ROUND(RATE_C1*$A1666,0))))</f>
        <v>12935</v>
      </c>
      <c r="G1666" s="1816">
        <f t="shared" ref="G1666:G1729" si="137">IF($A1666&gt;BOTT_D4,ROUND(BASE_D4+RATE_D4*($A1666-BOTT_D4),0),IF($A1666&gt;BOTT_D3,ROUND(BASE_D3+RATE_D3*($A1666-BOTT_D3),0),IF($A1666&gt;BOTT_D2,ROUND(BASE_D2+RATE_D2*($A1666-BOTT_D2),0),ROUND(RATE_D1*$A1666,0))))</f>
        <v>11329</v>
      </c>
    </row>
    <row r="1667" spans="1:7" ht="15.75">
      <c r="A1667" s="1961">
        <f t="shared" ref="A1667:A1730" si="138">AVERAGE(B1667,C1667)</f>
        <v>80175</v>
      </c>
      <c r="B1667" s="1815">
        <v>80150</v>
      </c>
      <c r="C1667" s="1815">
        <v>80200</v>
      </c>
      <c r="D1667" s="1816">
        <f t="shared" si="134"/>
        <v>12946</v>
      </c>
      <c r="E1667" s="1816">
        <f t="shared" si="135"/>
        <v>9181</v>
      </c>
      <c r="F1667" s="1816">
        <f t="shared" si="136"/>
        <v>12946</v>
      </c>
      <c r="G1667" s="1816">
        <f t="shared" si="137"/>
        <v>11340</v>
      </c>
    </row>
    <row r="1668" spans="1:7" ht="15.75">
      <c r="A1668" s="1961">
        <f t="shared" si="138"/>
        <v>80225</v>
      </c>
      <c r="B1668" s="1815">
        <v>80200</v>
      </c>
      <c r="C1668" s="1815">
        <v>80250</v>
      </c>
      <c r="D1668" s="1816">
        <f t="shared" si="134"/>
        <v>12957</v>
      </c>
      <c r="E1668" s="1816">
        <f t="shared" si="135"/>
        <v>9187</v>
      </c>
      <c r="F1668" s="1816">
        <f t="shared" si="136"/>
        <v>12957</v>
      </c>
      <c r="G1668" s="1816">
        <f t="shared" si="137"/>
        <v>11351</v>
      </c>
    </row>
    <row r="1669" spans="1:7" ht="15.75">
      <c r="A1669" s="1961">
        <f t="shared" si="138"/>
        <v>80275</v>
      </c>
      <c r="B1669" s="1815">
        <v>80250</v>
      </c>
      <c r="C1669" s="1815">
        <v>80300</v>
      </c>
      <c r="D1669" s="1816">
        <f t="shared" si="134"/>
        <v>12968</v>
      </c>
      <c r="E1669" s="1816">
        <f t="shared" si="135"/>
        <v>9193</v>
      </c>
      <c r="F1669" s="1816">
        <f t="shared" si="136"/>
        <v>12968</v>
      </c>
      <c r="G1669" s="1816">
        <f t="shared" si="137"/>
        <v>11362</v>
      </c>
    </row>
    <row r="1670" spans="1:7" ht="15.75">
      <c r="A1670" s="1961">
        <f t="shared" si="138"/>
        <v>80325</v>
      </c>
      <c r="B1670" s="1815">
        <v>80300</v>
      </c>
      <c r="C1670" s="1815">
        <v>80350</v>
      </c>
      <c r="D1670" s="1816">
        <f t="shared" si="134"/>
        <v>12979</v>
      </c>
      <c r="E1670" s="1816">
        <f t="shared" si="135"/>
        <v>9199</v>
      </c>
      <c r="F1670" s="1816">
        <f t="shared" si="136"/>
        <v>12979</v>
      </c>
      <c r="G1670" s="1816">
        <f t="shared" si="137"/>
        <v>11373</v>
      </c>
    </row>
    <row r="1671" spans="1:7" ht="15.75">
      <c r="A1671" s="1961">
        <f t="shared" si="138"/>
        <v>80375</v>
      </c>
      <c r="B1671" s="1815">
        <v>80350</v>
      </c>
      <c r="C1671" s="1815">
        <v>80400</v>
      </c>
      <c r="D1671" s="1816">
        <f t="shared" si="134"/>
        <v>12990</v>
      </c>
      <c r="E1671" s="1816">
        <f t="shared" si="135"/>
        <v>9205</v>
      </c>
      <c r="F1671" s="1816">
        <f t="shared" si="136"/>
        <v>12990</v>
      </c>
      <c r="G1671" s="1816">
        <f t="shared" si="137"/>
        <v>11384</v>
      </c>
    </row>
    <row r="1672" spans="1:7" ht="15.75">
      <c r="A1672" s="1961">
        <f t="shared" si="138"/>
        <v>80425</v>
      </c>
      <c r="B1672" s="1815">
        <v>80400</v>
      </c>
      <c r="C1672" s="1815">
        <v>80450</v>
      </c>
      <c r="D1672" s="1816">
        <f t="shared" si="134"/>
        <v>13001</v>
      </c>
      <c r="E1672" s="1816">
        <f t="shared" si="135"/>
        <v>9211</v>
      </c>
      <c r="F1672" s="1816">
        <f t="shared" si="136"/>
        <v>13001</v>
      </c>
      <c r="G1672" s="1816">
        <f t="shared" si="137"/>
        <v>11395</v>
      </c>
    </row>
    <row r="1673" spans="1:7" ht="15.75">
      <c r="A1673" s="1961">
        <f t="shared" si="138"/>
        <v>80475</v>
      </c>
      <c r="B1673" s="1815">
        <v>80450</v>
      </c>
      <c r="C1673" s="1815">
        <v>80500</v>
      </c>
      <c r="D1673" s="1816">
        <f t="shared" si="134"/>
        <v>13012</v>
      </c>
      <c r="E1673" s="1816">
        <f t="shared" si="135"/>
        <v>9217</v>
      </c>
      <c r="F1673" s="1816">
        <f t="shared" si="136"/>
        <v>13012</v>
      </c>
      <c r="G1673" s="1816">
        <f t="shared" si="137"/>
        <v>11406</v>
      </c>
    </row>
    <row r="1674" spans="1:7" ht="15.75">
      <c r="A1674" s="1961">
        <f t="shared" si="138"/>
        <v>80525</v>
      </c>
      <c r="B1674" s="1815">
        <v>80500</v>
      </c>
      <c r="C1674" s="1815">
        <v>80550</v>
      </c>
      <c r="D1674" s="1816">
        <f t="shared" si="134"/>
        <v>13023</v>
      </c>
      <c r="E1674" s="1816">
        <f t="shared" si="135"/>
        <v>9223</v>
      </c>
      <c r="F1674" s="1816">
        <f t="shared" si="136"/>
        <v>13023</v>
      </c>
      <c r="G1674" s="1816">
        <f t="shared" si="137"/>
        <v>11417</v>
      </c>
    </row>
    <row r="1675" spans="1:7" ht="15.75">
      <c r="A1675" s="1961">
        <f t="shared" si="138"/>
        <v>80575</v>
      </c>
      <c r="B1675" s="1815">
        <v>80550</v>
      </c>
      <c r="C1675" s="1815">
        <v>80600</v>
      </c>
      <c r="D1675" s="1816">
        <f t="shared" si="134"/>
        <v>13034</v>
      </c>
      <c r="E1675" s="1816">
        <f t="shared" si="135"/>
        <v>9229</v>
      </c>
      <c r="F1675" s="1816">
        <f t="shared" si="136"/>
        <v>13034</v>
      </c>
      <c r="G1675" s="1816">
        <f t="shared" si="137"/>
        <v>11428</v>
      </c>
    </row>
    <row r="1676" spans="1:7" ht="15.75">
      <c r="A1676" s="1961">
        <f t="shared" si="138"/>
        <v>80625</v>
      </c>
      <c r="B1676" s="1815">
        <v>80600</v>
      </c>
      <c r="C1676" s="1815">
        <v>80650</v>
      </c>
      <c r="D1676" s="1816">
        <f t="shared" si="134"/>
        <v>13045</v>
      </c>
      <c r="E1676" s="1816">
        <f t="shared" si="135"/>
        <v>9235</v>
      </c>
      <c r="F1676" s="1816">
        <f t="shared" si="136"/>
        <v>13045</v>
      </c>
      <c r="G1676" s="1816">
        <f t="shared" si="137"/>
        <v>11439</v>
      </c>
    </row>
    <row r="1677" spans="1:7" ht="15.75">
      <c r="A1677" s="1961">
        <f t="shared" si="138"/>
        <v>80675</v>
      </c>
      <c r="B1677" s="1815">
        <v>80650</v>
      </c>
      <c r="C1677" s="1815">
        <v>80700</v>
      </c>
      <c r="D1677" s="1816">
        <f t="shared" si="134"/>
        <v>13056</v>
      </c>
      <c r="E1677" s="1816">
        <f t="shared" si="135"/>
        <v>9241</v>
      </c>
      <c r="F1677" s="1816">
        <f t="shared" si="136"/>
        <v>13056</v>
      </c>
      <c r="G1677" s="1816">
        <f t="shared" si="137"/>
        <v>11450</v>
      </c>
    </row>
    <row r="1678" spans="1:7" ht="15.75">
      <c r="A1678" s="1961">
        <f t="shared" si="138"/>
        <v>80725</v>
      </c>
      <c r="B1678" s="1815">
        <v>80700</v>
      </c>
      <c r="C1678" s="1815">
        <v>80750</v>
      </c>
      <c r="D1678" s="1816">
        <f t="shared" si="134"/>
        <v>13067</v>
      </c>
      <c r="E1678" s="1816">
        <f t="shared" si="135"/>
        <v>9247</v>
      </c>
      <c r="F1678" s="1816">
        <f t="shared" si="136"/>
        <v>13067</v>
      </c>
      <c r="G1678" s="1816">
        <f t="shared" si="137"/>
        <v>11461</v>
      </c>
    </row>
    <row r="1679" spans="1:7" ht="15.75">
      <c r="A1679" s="1961">
        <f t="shared" si="138"/>
        <v>80775</v>
      </c>
      <c r="B1679" s="1815">
        <v>80750</v>
      </c>
      <c r="C1679" s="1815">
        <v>80800</v>
      </c>
      <c r="D1679" s="1816">
        <f t="shared" si="134"/>
        <v>13078</v>
      </c>
      <c r="E1679" s="1816">
        <f t="shared" si="135"/>
        <v>9253</v>
      </c>
      <c r="F1679" s="1816">
        <f t="shared" si="136"/>
        <v>13078</v>
      </c>
      <c r="G1679" s="1816">
        <f t="shared" si="137"/>
        <v>11472</v>
      </c>
    </row>
    <row r="1680" spans="1:7" ht="15.75">
      <c r="A1680" s="1961">
        <f t="shared" si="138"/>
        <v>80825</v>
      </c>
      <c r="B1680" s="1815">
        <v>80800</v>
      </c>
      <c r="C1680" s="1815">
        <v>80850</v>
      </c>
      <c r="D1680" s="1816">
        <f t="shared" si="134"/>
        <v>13089</v>
      </c>
      <c r="E1680" s="1816">
        <f t="shared" si="135"/>
        <v>9259</v>
      </c>
      <c r="F1680" s="1816">
        <f t="shared" si="136"/>
        <v>13089</v>
      </c>
      <c r="G1680" s="1816">
        <f t="shared" si="137"/>
        <v>11483</v>
      </c>
    </row>
    <row r="1681" spans="1:7" ht="15.75">
      <c r="A1681" s="1961">
        <f t="shared" si="138"/>
        <v>80875</v>
      </c>
      <c r="B1681" s="1815">
        <v>80850</v>
      </c>
      <c r="C1681" s="1815">
        <v>80900</v>
      </c>
      <c r="D1681" s="1816">
        <f t="shared" si="134"/>
        <v>13100</v>
      </c>
      <c r="E1681" s="1816">
        <f t="shared" si="135"/>
        <v>9265</v>
      </c>
      <c r="F1681" s="1816">
        <f t="shared" si="136"/>
        <v>13100</v>
      </c>
      <c r="G1681" s="1816">
        <f t="shared" si="137"/>
        <v>11494</v>
      </c>
    </row>
    <row r="1682" spans="1:7" ht="15.75">
      <c r="A1682" s="1961">
        <f t="shared" si="138"/>
        <v>80925</v>
      </c>
      <c r="B1682" s="1815">
        <v>80900</v>
      </c>
      <c r="C1682" s="1815">
        <v>80950</v>
      </c>
      <c r="D1682" s="1816">
        <f t="shared" si="134"/>
        <v>13111</v>
      </c>
      <c r="E1682" s="1816">
        <f t="shared" si="135"/>
        <v>9271</v>
      </c>
      <c r="F1682" s="1816">
        <f t="shared" si="136"/>
        <v>13111</v>
      </c>
      <c r="G1682" s="1816">
        <f t="shared" si="137"/>
        <v>11505</v>
      </c>
    </row>
    <row r="1683" spans="1:7" ht="15.75">
      <c r="A1683" s="1961">
        <f t="shared" si="138"/>
        <v>80975</v>
      </c>
      <c r="B1683" s="1815">
        <v>80950</v>
      </c>
      <c r="C1683" s="1815">
        <v>81000</v>
      </c>
      <c r="D1683" s="1816">
        <f t="shared" si="134"/>
        <v>13122</v>
      </c>
      <c r="E1683" s="1816">
        <f t="shared" si="135"/>
        <v>9277</v>
      </c>
      <c r="F1683" s="1816">
        <f t="shared" si="136"/>
        <v>13122</v>
      </c>
      <c r="G1683" s="1816">
        <f t="shared" si="137"/>
        <v>11516</v>
      </c>
    </row>
    <row r="1684" spans="1:7" ht="15.75">
      <c r="A1684" s="1961">
        <f t="shared" si="138"/>
        <v>81025</v>
      </c>
      <c r="B1684" s="1815">
        <v>81000</v>
      </c>
      <c r="C1684" s="1815">
        <v>81050</v>
      </c>
      <c r="D1684" s="1816">
        <f t="shared" si="134"/>
        <v>13133</v>
      </c>
      <c r="E1684" s="1816">
        <f t="shared" si="135"/>
        <v>9283</v>
      </c>
      <c r="F1684" s="1816">
        <f t="shared" si="136"/>
        <v>13133</v>
      </c>
      <c r="G1684" s="1816">
        <f t="shared" si="137"/>
        <v>11527</v>
      </c>
    </row>
    <row r="1685" spans="1:7" ht="15.75">
      <c r="A1685" s="1961">
        <f t="shared" si="138"/>
        <v>81075</v>
      </c>
      <c r="B1685" s="1815">
        <v>81050</v>
      </c>
      <c r="C1685" s="1815">
        <v>81100</v>
      </c>
      <c r="D1685" s="1816">
        <f t="shared" si="134"/>
        <v>13144</v>
      </c>
      <c r="E1685" s="1816">
        <f t="shared" si="135"/>
        <v>9289</v>
      </c>
      <c r="F1685" s="1816">
        <f t="shared" si="136"/>
        <v>13144</v>
      </c>
      <c r="G1685" s="1816">
        <f t="shared" si="137"/>
        <v>11538</v>
      </c>
    </row>
    <row r="1686" spans="1:7" ht="15.75">
      <c r="A1686" s="1961">
        <f t="shared" si="138"/>
        <v>81125</v>
      </c>
      <c r="B1686" s="1815">
        <v>81100</v>
      </c>
      <c r="C1686" s="1815">
        <v>81150</v>
      </c>
      <c r="D1686" s="1816">
        <f t="shared" si="134"/>
        <v>13155</v>
      </c>
      <c r="E1686" s="1816">
        <f t="shared" si="135"/>
        <v>9295</v>
      </c>
      <c r="F1686" s="1816">
        <f t="shared" si="136"/>
        <v>13155</v>
      </c>
      <c r="G1686" s="1816">
        <f t="shared" si="137"/>
        <v>11549</v>
      </c>
    </row>
    <row r="1687" spans="1:7" ht="15.75">
      <c r="A1687" s="1961">
        <f t="shared" si="138"/>
        <v>81175</v>
      </c>
      <c r="B1687" s="1815">
        <v>81150</v>
      </c>
      <c r="C1687" s="1815">
        <v>81200</v>
      </c>
      <c r="D1687" s="1816">
        <f t="shared" si="134"/>
        <v>13166</v>
      </c>
      <c r="E1687" s="1816">
        <f t="shared" si="135"/>
        <v>9301</v>
      </c>
      <c r="F1687" s="1816">
        <f t="shared" si="136"/>
        <v>13166</v>
      </c>
      <c r="G1687" s="1816">
        <f t="shared" si="137"/>
        <v>11560</v>
      </c>
    </row>
    <row r="1688" spans="1:7" ht="15.75">
      <c r="A1688" s="1961">
        <f t="shared" si="138"/>
        <v>81225</v>
      </c>
      <c r="B1688" s="1815">
        <v>81200</v>
      </c>
      <c r="C1688" s="1815">
        <v>81250</v>
      </c>
      <c r="D1688" s="1816">
        <f t="shared" si="134"/>
        <v>13177</v>
      </c>
      <c r="E1688" s="1816">
        <f t="shared" si="135"/>
        <v>9307</v>
      </c>
      <c r="F1688" s="1816">
        <f t="shared" si="136"/>
        <v>13177</v>
      </c>
      <c r="G1688" s="1816">
        <f t="shared" si="137"/>
        <v>11571</v>
      </c>
    </row>
    <row r="1689" spans="1:7" ht="15.75">
      <c r="A1689" s="1961">
        <f t="shared" si="138"/>
        <v>81275</v>
      </c>
      <c r="B1689" s="1815">
        <v>81250</v>
      </c>
      <c r="C1689" s="1815">
        <v>81300</v>
      </c>
      <c r="D1689" s="1816">
        <f t="shared" si="134"/>
        <v>13188</v>
      </c>
      <c r="E1689" s="1816">
        <f t="shared" si="135"/>
        <v>9313</v>
      </c>
      <c r="F1689" s="1816">
        <f t="shared" si="136"/>
        <v>13188</v>
      </c>
      <c r="G1689" s="1816">
        <f t="shared" si="137"/>
        <v>11582</v>
      </c>
    </row>
    <row r="1690" spans="1:7" ht="15.75">
      <c r="A1690" s="1961">
        <f t="shared" si="138"/>
        <v>81325</v>
      </c>
      <c r="B1690" s="1815">
        <v>81300</v>
      </c>
      <c r="C1690" s="1815">
        <v>81350</v>
      </c>
      <c r="D1690" s="1816">
        <f t="shared" si="134"/>
        <v>13199</v>
      </c>
      <c r="E1690" s="1816">
        <f t="shared" si="135"/>
        <v>9319</v>
      </c>
      <c r="F1690" s="1816">
        <f t="shared" si="136"/>
        <v>13199</v>
      </c>
      <c r="G1690" s="1816">
        <f t="shared" si="137"/>
        <v>11593</v>
      </c>
    </row>
    <row r="1691" spans="1:7" ht="15.75">
      <c r="A1691" s="1961">
        <f t="shared" si="138"/>
        <v>81375</v>
      </c>
      <c r="B1691" s="1815">
        <v>81350</v>
      </c>
      <c r="C1691" s="1815">
        <v>81400</v>
      </c>
      <c r="D1691" s="1816">
        <f t="shared" si="134"/>
        <v>13210</v>
      </c>
      <c r="E1691" s="1816">
        <f t="shared" si="135"/>
        <v>9325</v>
      </c>
      <c r="F1691" s="1816">
        <f t="shared" si="136"/>
        <v>13210</v>
      </c>
      <c r="G1691" s="1816">
        <f t="shared" si="137"/>
        <v>11604</v>
      </c>
    </row>
    <row r="1692" spans="1:7" ht="15.75">
      <c r="A1692" s="1961">
        <f t="shared" si="138"/>
        <v>81425</v>
      </c>
      <c r="B1692" s="1815">
        <v>81400</v>
      </c>
      <c r="C1692" s="1815">
        <v>81450</v>
      </c>
      <c r="D1692" s="1816">
        <f t="shared" si="134"/>
        <v>13221</v>
      </c>
      <c r="E1692" s="1816">
        <f t="shared" si="135"/>
        <v>9331</v>
      </c>
      <c r="F1692" s="1816">
        <f t="shared" si="136"/>
        <v>13221</v>
      </c>
      <c r="G1692" s="1816">
        <f t="shared" si="137"/>
        <v>11615</v>
      </c>
    </row>
    <row r="1693" spans="1:7" ht="15.75">
      <c r="A1693" s="1961">
        <f t="shared" si="138"/>
        <v>81475</v>
      </c>
      <c r="B1693" s="1815">
        <v>81450</v>
      </c>
      <c r="C1693" s="1815">
        <v>81500</v>
      </c>
      <c r="D1693" s="1816">
        <f t="shared" si="134"/>
        <v>13232</v>
      </c>
      <c r="E1693" s="1816">
        <f t="shared" si="135"/>
        <v>9337</v>
      </c>
      <c r="F1693" s="1816">
        <f t="shared" si="136"/>
        <v>13232</v>
      </c>
      <c r="G1693" s="1816">
        <f t="shared" si="137"/>
        <v>11626</v>
      </c>
    </row>
    <row r="1694" spans="1:7" ht="15.75">
      <c r="A1694" s="1961">
        <f t="shared" si="138"/>
        <v>81525</v>
      </c>
      <c r="B1694" s="1815">
        <v>81500</v>
      </c>
      <c r="C1694" s="1815">
        <v>81550</v>
      </c>
      <c r="D1694" s="1816">
        <f t="shared" si="134"/>
        <v>13243</v>
      </c>
      <c r="E1694" s="1816">
        <f t="shared" si="135"/>
        <v>9343</v>
      </c>
      <c r="F1694" s="1816">
        <f t="shared" si="136"/>
        <v>13243</v>
      </c>
      <c r="G1694" s="1816">
        <f t="shared" si="137"/>
        <v>11637</v>
      </c>
    </row>
    <row r="1695" spans="1:7" ht="15.75">
      <c r="A1695" s="1961">
        <f t="shared" si="138"/>
        <v>81575</v>
      </c>
      <c r="B1695" s="1815">
        <v>81550</v>
      </c>
      <c r="C1695" s="1815">
        <v>81600</v>
      </c>
      <c r="D1695" s="1816">
        <f t="shared" si="134"/>
        <v>13254</v>
      </c>
      <c r="E1695" s="1816">
        <f t="shared" si="135"/>
        <v>9349</v>
      </c>
      <c r="F1695" s="1816">
        <f t="shared" si="136"/>
        <v>13254</v>
      </c>
      <c r="G1695" s="1816">
        <f t="shared" si="137"/>
        <v>11648</v>
      </c>
    </row>
    <row r="1696" spans="1:7" ht="15.75">
      <c r="A1696" s="1961">
        <f t="shared" si="138"/>
        <v>81625</v>
      </c>
      <c r="B1696" s="1815">
        <v>81600</v>
      </c>
      <c r="C1696" s="1815">
        <v>81650</v>
      </c>
      <c r="D1696" s="1816">
        <f t="shared" si="134"/>
        <v>13265</v>
      </c>
      <c r="E1696" s="1816">
        <f t="shared" si="135"/>
        <v>9355</v>
      </c>
      <c r="F1696" s="1816">
        <f t="shared" si="136"/>
        <v>13265</v>
      </c>
      <c r="G1696" s="1816">
        <f t="shared" si="137"/>
        <v>11659</v>
      </c>
    </row>
    <row r="1697" spans="1:7" ht="15.75">
      <c r="A1697" s="1961">
        <f t="shared" si="138"/>
        <v>81675</v>
      </c>
      <c r="B1697" s="1815">
        <v>81650</v>
      </c>
      <c r="C1697" s="1815">
        <v>81700</v>
      </c>
      <c r="D1697" s="1816">
        <f t="shared" si="134"/>
        <v>13276</v>
      </c>
      <c r="E1697" s="1816">
        <f t="shared" si="135"/>
        <v>9361</v>
      </c>
      <c r="F1697" s="1816">
        <f t="shared" si="136"/>
        <v>13276</v>
      </c>
      <c r="G1697" s="1816">
        <f t="shared" si="137"/>
        <v>11670</v>
      </c>
    </row>
    <row r="1698" spans="1:7" ht="15.75">
      <c r="A1698" s="1961">
        <f t="shared" si="138"/>
        <v>81725</v>
      </c>
      <c r="B1698" s="1815">
        <v>81700</v>
      </c>
      <c r="C1698" s="1815">
        <v>81750</v>
      </c>
      <c r="D1698" s="1816">
        <f t="shared" si="134"/>
        <v>13287</v>
      </c>
      <c r="E1698" s="1816">
        <f t="shared" si="135"/>
        <v>9367</v>
      </c>
      <c r="F1698" s="1816">
        <f t="shared" si="136"/>
        <v>13287</v>
      </c>
      <c r="G1698" s="1816">
        <f t="shared" si="137"/>
        <v>11681</v>
      </c>
    </row>
    <row r="1699" spans="1:7" ht="15.75">
      <c r="A1699" s="1961">
        <f t="shared" si="138"/>
        <v>81775</v>
      </c>
      <c r="B1699" s="1815">
        <v>81750</v>
      </c>
      <c r="C1699" s="1815">
        <v>81800</v>
      </c>
      <c r="D1699" s="1816">
        <f t="shared" si="134"/>
        <v>13298</v>
      </c>
      <c r="E1699" s="1816">
        <f t="shared" si="135"/>
        <v>9373</v>
      </c>
      <c r="F1699" s="1816">
        <f t="shared" si="136"/>
        <v>13298</v>
      </c>
      <c r="G1699" s="1816">
        <f t="shared" si="137"/>
        <v>11692</v>
      </c>
    </row>
    <row r="1700" spans="1:7" ht="15.75">
      <c r="A1700" s="1961">
        <f t="shared" si="138"/>
        <v>81825</v>
      </c>
      <c r="B1700" s="1815">
        <v>81800</v>
      </c>
      <c r="C1700" s="1815">
        <v>81850</v>
      </c>
      <c r="D1700" s="1816">
        <f t="shared" si="134"/>
        <v>13309</v>
      </c>
      <c r="E1700" s="1816">
        <f t="shared" si="135"/>
        <v>9379</v>
      </c>
      <c r="F1700" s="1816">
        <f t="shared" si="136"/>
        <v>13309</v>
      </c>
      <c r="G1700" s="1816">
        <f t="shared" si="137"/>
        <v>11703</v>
      </c>
    </row>
    <row r="1701" spans="1:7" ht="15.75">
      <c r="A1701" s="1961">
        <f t="shared" si="138"/>
        <v>81875</v>
      </c>
      <c r="B1701" s="1815">
        <v>81850</v>
      </c>
      <c r="C1701" s="1815">
        <v>81900</v>
      </c>
      <c r="D1701" s="1816">
        <f t="shared" si="134"/>
        <v>13320</v>
      </c>
      <c r="E1701" s="1816">
        <f t="shared" si="135"/>
        <v>9385</v>
      </c>
      <c r="F1701" s="1816">
        <f t="shared" si="136"/>
        <v>13320</v>
      </c>
      <c r="G1701" s="1816">
        <f t="shared" si="137"/>
        <v>11714</v>
      </c>
    </row>
    <row r="1702" spans="1:7" ht="15.75">
      <c r="A1702" s="1961">
        <f t="shared" si="138"/>
        <v>81925</v>
      </c>
      <c r="B1702" s="1815">
        <v>81900</v>
      </c>
      <c r="C1702" s="1815">
        <v>81950</v>
      </c>
      <c r="D1702" s="1816">
        <f t="shared" si="134"/>
        <v>13331</v>
      </c>
      <c r="E1702" s="1816">
        <f t="shared" si="135"/>
        <v>9391</v>
      </c>
      <c r="F1702" s="1816">
        <f t="shared" si="136"/>
        <v>13331</v>
      </c>
      <c r="G1702" s="1816">
        <f t="shared" si="137"/>
        <v>11725</v>
      </c>
    </row>
    <row r="1703" spans="1:7" ht="15.75">
      <c r="A1703" s="1961">
        <f t="shared" si="138"/>
        <v>81975</v>
      </c>
      <c r="B1703" s="1815">
        <v>81950</v>
      </c>
      <c r="C1703" s="1815">
        <v>82000</v>
      </c>
      <c r="D1703" s="1816">
        <f t="shared" si="134"/>
        <v>13342</v>
      </c>
      <c r="E1703" s="1816">
        <f t="shared" si="135"/>
        <v>9397</v>
      </c>
      <c r="F1703" s="1816">
        <f t="shared" si="136"/>
        <v>13342</v>
      </c>
      <c r="G1703" s="1816">
        <f t="shared" si="137"/>
        <v>11736</v>
      </c>
    </row>
    <row r="1704" spans="1:7" ht="15.75">
      <c r="A1704" s="1961">
        <f t="shared" si="138"/>
        <v>82025</v>
      </c>
      <c r="B1704" s="1815">
        <v>82000</v>
      </c>
      <c r="C1704" s="1815">
        <v>82050</v>
      </c>
      <c r="D1704" s="1816">
        <f t="shared" si="134"/>
        <v>13353</v>
      </c>
      <c r="E1704" s="1816">
        <f t="shared" si="135"/>
        <v>9403</v>
      </c>
      <c r="F1704" s="1816">
        <f t="shared" si="136"/>
        <v>13353</v>
      </c>
      <c r="G1704" s="1816">
        <f t="shared" si="137"/>
        <v>11747</v>
      </c>
    </row>
    <row r="1705" spans="1:7" ht="15.75">
      <c r="A1705" s="1961">
        <f t="shared" si="138"/>
        <v>82075</v>
      </c>
      <c r="B1705" s="1815">
        <v>82050</v>
      </c>
      <c r="C1705" s="1815">
        <v>82100</v>
      </c>
      <c r="D1705" s="1816">
        <f t="shared" si="134"/>
        <v>13364</v>
      </c>
      <c r="E1705" s="1816">
        <f t="shared" si="135"/>
        <v>9409</v>
      </c>
      <c r="F1705" s="1816">
        <f t="shared" si="136"/>
        <v>13364</v>
      </c>
      <c r="G1705" s="1816">
        <f t="shared" si="137"/>
        <v>11758</v>
      </c>
    </row>
    <row r="1706" spans="1:7" ht="15.75">
      <c r="A1706" s="1961">
        <f t="shared" si="138"/>
        <v>82125</v>
      </c>
      <c r="B1706" s="1815">
        <v>82100</v>
      </c>
      <c r="C1706" s="1815">
        <v>82150</v>
      </c>
      <c r="D1706" s="1816">
        <f t="shared" si="134"/>
        <v>13375</v>
      </c>
      <c r="E1706" s="1816">
        <f t="shared" si="135"/>
        <v>9415</v>
      </c>
      <c r="F1706" s="1816">
        <f t="shared" si="136"/>
        <v>13375</v>
      </c>
      <c r="G1706" s="1816">
        <f t="shared" si="137"/>
        <v>11769</v>
      </c>
    </row>
    <row r="1707" spans="1:7" ht="15.75">
      <c r="A1707" s="1961">
        <f t="shared" si="138"/>
        <v>82175</v>
      </c>
      <c r="B1707" s="1815">
        <v>82150</v>
      </c>
      <c r="C1707" s="1815">
        <v>82200</v>
      </c>
      <c r="D1707" s="1816">
        <f t="shared" si="134"/>
        <v>13386</v>
      </c>
      <c r="E1707" s="1816">
        <f t="shared" si="135"/>
        <v>9421</v>
      </c>
      <c r="F1707" s="1816">
        <f t="shared" si="136"/>
        <v>13386</v>
      </c>
      <c r="G1707" s="1816">
        <f t="shared" si="137"/>
        <v>11780</v>
      </c>
    </row>
    <row r="1708" spans="1:7" ht="15.75">
      <c r="A1708" s="1961">
        <f t="shared" si="138"/>
        <v>82225</v>
      </c>
      <c r="B1708" s="1815">
        <v>82200</v>
      </c>
      <c r="C1708" s="1815">
        <v>82250</v>
      </c>
      <c r="D1708" s="1816">
        <f t="shared" si="134"/>
        <v>13397</v>
      </c>
      <c r="E1708" s="1816">
        <f t="shared" si="135"/>
        <v>9427</v>
      </c>
      <c r="F1708" s="1816">
        <f t="shared" si="136"/>
        <v>13397</v>
      </c>
      <c r="G1708" s="1816">
        <f t="shared" si="137"/>
        <v>11791</v>
      </c>
    </row>
    <row r="1709" spans="1:7" ht="15.75">
      <c r="A1709" s="1961">
        <f t="shared" si="138"/>
        <v>82275</v>
      </c>
      <c r="B1709" s="1815">
        <v>82250</v>
      </c>
      <c r="C1709" s="1815">
        <v>82300</v>
      </c>
      <c r="D1709" s="1816">
        <f t="shared" si="134"/>
        <v>13408</v>
      </c>
      <c r="E1709" s="1816">
        <f t="shared" si="135"/>
        <v>9433</v>
      </c>
      <c r="F1709" s="1816">
        <f t="shared" si="136"/>
        <v>13408</v>
      </c>
      <c r="G1709" s="1816">
        <f t="shared" si="137"/>
        <v>11802</v>
      </c>
    </row>
    <row r="1710" spans="1:7" ht="15.75">
      <c r="A1710" s="1961">
        <f t="shared" si="138"/>
        <v>82325</v>
      </c>
      <c r="B1710" s="1815">
        <v>82300</v>
      </c>
      <c r="C1710" s="1815">
        <v>82350</v>
      </c>
      <c r="D1710" s="1816">
        <f t="shared" si="134"/>
        <v>13419</v>
      </c>
      <c r="E1710" s="1816">
        <f t="shared" si="135"/>
        <v>9439</v>
      </c>
      <c r="F1710" s="1816">
        <f t="shared" si="136"/>
        <v>13419</v>
      </c>
      <c r="G1710" s="1816">
        <f t="shared" si="137"/>
        <v>11813</v>
      </c>
    </row>
    <row r="1711" spans="1:7" ht="15.75">
      <c r="A1711" s="1961">
        <f t="shared" si="138"/>
        <v>82375</v>
      </c>
      <c r="B1711" s="1815">
        <v>82350</v>
      </c>
      <c r="C1711" s="1815">
        <v>82400</v>
      </c>
      <c r="D1711" s="1816">
        <f t="shared" si="134"/>
        <v>13430</v>
      </c>
      <c r="E1711" s="1816">
        <f t="shared" si="135"/>
        <v>9445</v>
      </c>
      <c r="F1711" s="1816">
        <f t="shared" si="136"/>
        <v>13430</v>
      </c>
      <c r="G1711" s="1816">
        <f t="shared" si="137"/>
        <v>11824</v>
      </c>
    </row>
    <row r="1712" spans="1:7" ht="15.75">
      <c r="A1712" s="1961">
        <f t="shared" si="138"/>
        <v>82425</v>
      </c>
      <c r="B1712" s="1815">
        <v>82400</v>
      </c>
      <c r="C1712" s="1815">
        <v>82450</v>
      </c>
      <c r="D1712" s="1816">
        <f t="shared" si="134"/>
        <v>13441</v>
      </c>
      <c r="E1712" s="1816">
        <f t="shared" si="135"/>
        <v>9451</v>
      </c>
      <c r="F1712" s="1816">
        <f t="shared" si="136"/>
        <v>13441</v>
      </c>
      <c r="G1712" s="1816">
        <f t="shared" si="137"/>
        <v>11835</v>
      </c>
    </row>
    <row r="1713" spans="1:7" ht="15.75">
      <c r="A1713" s="1961">
        <f t="shared" si="138"/>
        <v>82475</v>
      </c>
      <c r="B1713" s="1815">
        <v>82450</v>
      </c>
      <c r="C1713" s="1815">
        <v>82500</v>
      </c>
      <c r="D1713" s="1816">
        <f t="shared" si="134"/>
        <v>13452</v>
      </c>
      <c r="E1713" s="1816">
        <f t="shared" si="135"/>
        <v>9457</v>
      </c>
      <c r="F1713" s="1816">
        <f t="shared" si="136"/>
        <v>13452</v>
      </c>
      <c r="G1713" s="1816">
        <f t="shared" si="137"/>
        <v>11846</v>
      </c>
    </row>
    <row r="1714" spans="1:7" ht="15.75">
      <c r="A1714" s="1961">
        <f t="shared" si="138"/>
        <v>82525</v>
      </c>
      <c r="B1714" s="1815">
        <v>82500</v>
      </c>
      <c r="C1714" s="1815">
        <v>82550</v>
      </c>
      <c r="D1714" s="1816">
        <f t="shared" si="134"/>
        <v>13463</v>
      </c>
      <c r="E1714" s="1816">
        <f t="shared" si="135"/>
        <v>9463</v>
      </c>
      <c r="F1714" s="1816">
        <f t="shared" si="136"/>
        <v>13463</v>
      </c>
      <c r="G1714" s="1816">
        <f t="shared" si="137"/>
        <v>11857</v>
      </c>
    </row>
    <row r="1715" spans="1:7" ht="15.75">
      <c r="A1715" s="1961">
        <f t="shared" si="138"/>
        <v>82575</v>
      </c>
      <c r="B1715" s="1815">
        <v>82550</v>
      </c>
      <c r="C1715" s="1815">
        <v>82600</v>
      </c>
      <c r="D1715" s="1816">
        <f t="shared" si="134"/>
        <v>13474</v>
      </c>
      <c r="E1715" s="1816">
        <f t="shared" si="135"/>
        <v>9469</v>
      </c>
      <c r="F1715" s="1816">
        <f t="shared" si="136"/>
        <v>13474</v>
      </c>
      <c r="G1715" s="1816">
        <f t="shared" si="137"/>
        <v>11868</v>
      </c>
    </row>
    <row r="1716" spans="1:7" ht="15.75">
      <c r="A1716" s="1961">
        <f t="shared" si="138"/>
        <v>82625</v>
      </c>
      <c r="B1716" s="1815">
        <v>82600</v>
      </c>
      <c r="C1716" s="1815">
        <v>82650</v>
      </c>
      <c r="D1716" s="1816">
        <f t="shared" si="134"/>
        <v>13485</v>
      </c>
      <c r="E1716" s="1816">
        <f t="shared" si="135"/>
        <v>9475</v>
      </c>
      <c r="F1716" s="1816">
        <f t="shared" si="136"/>
        <v>13485</v>
      </c>
      <c r="G1716" s="1816">
        <f t="shared" si="137"/>
        <v>11879</v>
      </c>
    </row>
    <row r="1717" spans="1:7" ht="15.75">
      <c r="A1717" s="1961">
        <f t="shared" si="138"/>
        <v>82675</v>
      </c>
      <c r="B1717" s="1815">
        <v>82650</v>
      </c>
      <c r="C1717" s="1815">
        <v>82700</v>
      </c>
      <c r="D1717" s="1816">
        <f t="shared" si="134"/>
        <v>13496</v>
      </c>
      <c r="E1717" s="1816">
        <f t="shared" si="135"/>
        <v>9481</v>
      </c>
      <c r="F1717" s="1816">
        <f t="shared" si="136"/>
        <v>13496</v>
      </c>
      <c r="G1717" s="1816">
        <f t="shared" si="137"/>
        <v>11890</v>
      </c>
    </row>
    <row r="1718" spans="1:7" ht="15.75">
      <c r="A1718" s="1961">
        <f t="shared" si="138"/>
        <v>82725</v>
      </c>
      <c r="B1718" s="1815">
        <v>82700</v>
      </c>
      <c r="C1718" s="1815">
        <v>82750</v>
      </c>
      <c r="D1718" s="1816">
        <f t="shared" si="134"/>
        <v>13507</v>
      </c>
      <c r="E1718" s="1816">
        <f t="shared" si="135"/>
        <v>9487</v>
      </c>
      <c r="F1718" s="1816">
        <f t="shared" si="136"/>
        <v>13507</v>
      </c>
      <c r="G1718" s="1816">
        <f t="shared" si="137"/>
        <v>11901</v>
      </c>
    </row>
    <row r="1719" spans="1:7" ht="15.75">
      <c r="A1719" s="1961">
        <f t="shared" si="138"/>
        <v>82775</v>
      </c>
      <c r="B1719" s="1815">
        <v>82750</v>
      </c>
      <c r="C1719" s="1815">
        <v>82800</v>
      </c>
      <c r="D1719" s="1816">
        <f t="shared" si="134"/>
        <v>13518</v>
      </c>
      <c r="E1719" s="1816">
        <f t="shared" si="135"/>
        <v>9493</v>
      </c>
      <c r="F1719" s="1816">
        <f t="shared" si="136"/>
        <v>13518</v>
      </c>
      <c r="G1719" s="1816">
        <f t="shared" si="137"/>
        <v>11912</v>
      </c>
    </row>
    <row r="1720" spans="1:7" ht="15.75">
      <c r="A1720" s="1961">
        <f t="shared" si="138"/>
        <v>82825</v>
      </c>
      <c r="B1720" s="1815">
        <v>82800</v>
      </c>
      <c r="C1720" s="1815">
        <v>82850</v>
      </c>
      <c r="D1720" s="1816">
        <f t="shared" si="134"/>
        <v>13529</v>
      </c>
      <c r="E1720" s="1816">
        <f t="shared" si="135"/>
        <v>9499</v>
      </c>
      <c r="F1720" s="1816">
        <f t="shared" si="136"/>
        <v>13529</v>
      </c>
      <c r="G1720" s="1816">
        <f t="shared" si="137"/>
        <v>11923</v>
      </c>
    </row>
    <row r="1721" spans="1:7" ht="15.75">
      <c r="A1721" s="1961">
        <f t="shared" si="138"/>
        <v>82875</v>
      </c>
      <c r="B1721" s="1815">
        <v>82850</v>
      </c>
      <c r="C1721" s="1815">
        <v>82900</v>
      </c>
      <c r="D1721" s="1816">
        <f t="shared" si="134"/>
        <v>13540</v>
      </c>
      <c r="E1721" s="1816">
        <f t="shared" si="135"/>
        <v>9505</v>
      </c>
      <c r="F1721" s="1816">
        <f t="shared" si="136"/>
        <v>13540</v>
      </c>
      <c r="G1721" s="1816">
        <f t="shared" si="137"/>
        <v>11934</v>
      </c>
    </row>
    <row r="1722" spans="1:7" ht="15.75">
      <c r="A1722" s="1961">
        <f t="shared" si="138"/>
        <v>82925</v>
      </c>
      <c r="B1722" s="1815">
        <v>82900</v>
      </c>
      <c r="C1722" s="1815">
        <v>82950</v>
      </c>
      <c r="D1722" s="1816">
        <f t="shared" si="134"/>
        <v>13551</v>
      </c>
      <c r="E1722" s="1816">
        <f t="shared" si="135"/>
        <v>9511</v>
      </c>
      <c r="F1722" s="1816">
        <f t="shared" si="136"/>
        <v>13551</v>
      </c>
      <c r="G1722" s="1816">
        <f t="shared" si="137"/>
        <v>11945</v>
      </c>
    </row>
    <row r="1723" spans="1:7" ht="15.75">
      <c r="A1723" s="1961">
        <f t="shared" si="138"/>
        <v>82975</v>
      </c>
      <c r="B1723" s="1815">
        <v>82950</v>
      </c>
      <c r="C1723" s="1815">
        <v>83000</v>
      </c>
      <c r="D1723" s="1816">
        <f t="shared" si="134"/>
        <v>13562</v>
      </c>
      <c r="E1723" s="1816">
        <f t="shared" si="135"/>
        <v>9517</v>
      </c>
      <c r="F1723" s="1816">
        <f t="shared" si="136"/>
        <v>13562</v>
      </c>
      <c r="G1723" s="1816">
        <f t="shared" si="137"/>
        <v>11956</v>
      </c>
    </row>
    <row r="1724" spans="1:7" ht="15.75">
      <c r="A1724" s="1961">
        <f t="shared" si="138"/>
        <v>83025</v>
      </c>
      <c r="B1724" s="1815">
        <v>83000</v>
      </c>
      <c r="C1724" s="1815">
        <v>83050</v>
      </c>
      <c r="D1724" s="1816">
        <f t="shared" si="134"/>
        <v>13573</v>
      </c>
      <c r="E1724" s="1816">
        <f t="shared" si="135"/>
        <v>9523</v>
      </c>
      <c r="F1724" s="1816">
        <f t="shared" si="136"/>
        <v>13573</v>
      </c>
      <c r="G1724" s="1816">
        <f t="shared" si="137"/>
        <v>11967</v>
      </c>
    </row>
    <row r="1725" spans="1:7" ht="15.75">
      <c r="A1725" s="1961">
        <f t="shared" si="138"/>
        <v>83075</v>
      </c>
      <c r="B1725" s="1815">
        <v>83050</v>
      </c>
      <c r="C1725" s="1815">
        <v>83100</v>
      </c>
      <c r="D1725" s="1816">
        <f t="shared" si="134"/>
        <v>13584</v>
      </c>
      <c r="E1725" s="1816">
        <f t="shared" si="135"/>
        <v>9529</v>
      </c>
      <c r="F1725" s="1816">
        <f t="shared" si="136"/>
        <v>13584</v>
      </c>
      <c r="G1725" s="1816">
        <f t="shared" si="137"/>
        <v>11978</v>
      </c>
    </row>
    <row r="1726" spans="1:7" ht="15.75">
      <c r="A1726" s="1961">
        <f t="shared" si="138"/>
        <v>83125</v>
      </c>
      <c r="B1726" s="1815">
        <v>83100</v>
      </c>
      <c r="C1726" s="1815">
        <v>83150</v>
      </c>
      <c r="D1726" s="1816">
        <f t="shared" si="134"/>
        <v>13595</v>
      </c>
      <c r="E1726" s="1816">
        <f t="shared" si="135"/>
        <v>9535</v>
      </c>
      <c r="F1726" s="1816">
        <f t="shared" si="136"/>
        <v>13595</v>
      </c>
      <c r="G1726" s="1816">
        <f t="shared" si="137"/>
        <v>11989</v>
      </c>
    </row>
    <row r="1727" spans="1:7" ht="15.75">
      <c r="A1727" s="1961">
        <f t="shared" si="138"/>
        <v>83175</v>
      </c>
      <c r="B1727" s="1815">
        <v>83150</v>
      </c>
      <c r="C1727" s="1815">
        <v>83200</v>
      </c>
      <c r="D1727" s="1816">
        <f t="shared" si="134"/>
        <v>13606</v>
      </c>
      <c r="E1727" s="1816">
        <f t="shared" si="135"/>
        <v>9541</v>
      </c>
      <c r="F1727" s="1816">
        <f t="shared" si="136"/>
        <v>13606</v>
      </c>
      <c r="G1727" s="1816">
        <f t="shared" si="137"/>
        <v>12000</v>
      </c>
    </row>
    <row r="1728" spans="1:7" ht="15.75">
      <c r="A1728" s="1961">
        <f t="shared" si="138"/>
        <v>83225</v>
      </c>
      <c r="B1728" s="1815">
        <v>83200</v>
      </c>
      <c r="C1728" s="1815">
        <v>83250</v>
      </c>
      <c r="D1728" s="1816">
        <f t="shared" si="134"/>
        <v>13617</v>
      </c>
      <c r="E1728" s="1816">
        <f t="shared" si="135"/>
        <v>9547</v>
      </c>
      <c r="F1728" s="1816">
        <f t="shared" si="136"/>
        <v>13617</v>
      </c>
      <c r="G1728" s="1816">
        <f t="shared" si="137"/>
        <v>12011</v>
      </c>
    </row>
    <row r="1729" spans="1:7" ht="15.75">
      <c r="A1729" s="1961">
        <f t="shared" si="138"/>
        <v>83275</v>
      </c>
      <c r="B1729" s="1815">
        <v>83250</v>
      </c>
      <c r="C1729" s="1815">
        <v>83300</v>
      </c>
      <c r="D1729" s="1816">
        <f t="shared" si="134"/>
        <v>13628</v>
      </c>
      <c r="E1729" s="1816">
        <f t="shared" si="135"/>
        <v>9553</v>
      </c>
      <c r="F1729" s="1816">
        <f t="shared" si="136"/>
        <v>13628</v>
      </c>
      <c r="G1729" s="1816">
        <f t="shared" si="137"/>
        <v>12022</v>
      </c>
    </row>
    <row r="1730" spans="1:7" ht="15.75">
      <c r="A1730" s="1961">
        <f t="shared" si="138"/>
        <v>83325</v>
      </c>
      <c r="B1730" s="1815">
        <v>83300</v>
      </c>
      <c r="C1730" s="1815">
        <v>83350</v>
      </c>
      <c r="D1730" s="1816">
        <f t="shared" ref="D1730:D1793" si="139">IF($A1730&gt;BOTT_A4,ROUND(BASE_A4+RATE_A4*($A1730-BOTT_A4),0),IF($A1730&gt;BOTT_A3,ROUND(BASE_A3+RATE_A3*($A1730-BOTT_A3),0),IF($A1730&gt;BOTT_A2,ROUND(BASE_A2+RATE_A2*($A1730-BOTT_A2),0),ROUND(RATE_A1*$A1730,0))))</f>
        <v>13639</v>
      </c>
      <c r="E1730" s="1816">
        <f t="shared" ref="E1730:E1793" si="140">IF($A1730&gt;BOTT_B4,ROUND(BASE_B4+RATE_B4*($A1730-BOTT_B4),0),IF($A1730&gt;BOTT_B3,ROUND(BASE_B3+RATE_B3*($A1730-BOTT_B3),0),IF($A1730&gt;BOTT_B2,ROUND(BASE_B2+RATE_B2*($A1730-BOTT_B2),0),ROUND(RATE_B1*$A1730,0))))</f>
        <v>9559</v>
      </c>
      <c r="F1730" s="1816">
        <f t="shared" ref="F1730:F1793" si="141">IF($A1730&gt;BOTT_C4,ROUND(BASE_C4+RATE_C4*($A1730-BOTT_C4),0),IF($A1730&gt;BOTT_C3,ROUND(BASE_C3+RATE_C3*($A1730-BOTT_C3),0),IF($A1730&gt;BOTT_C2,ROUND(BASE_C2+RATE_C2*($A1730-BOTT_C2),0),ROUND(RATE_C1*$A1730,0))))</f>
        <v>13639</v>
      </c>
      <c r="G1730" s="1816">
        <f t="shared" ref="G1730:G1793" si="142">IF($A1730&gt;BOTT_D4,ROUND(BASE_D4+RATE_D4*($A1730-BOTT_D4),0),IF($A1730&gt;BOTT_D3,ROUND(BASE_D3+RATE_D3*($A1730-BOTT_D3),0),IF($A1730&gt;BOTT_D2,ROUND(BASE_D2+RATE_D2*($A1730-BOTT_D2),0),ROUND(RATE_D1*$A1730,0))))</f>
        <v>12033</v>
      </c>
    </row>
    <row r="1731" spans="1:7" ht="15.75">
      <c r="A1731" s="1961">
        <f t="shared" ref="A1731:A1794" si="143">AVERAGE(B1731,C1731)</f>
        <v>83375</v>
      </c>
      <c r="B1731" s="1815">
        <v>83350</v>
      </c>
      <c r="C1731" s="1815">
        <v>83400</v>
      </c>
      <c r="D1731" s="1816">
        <f t="shared" si="139"/>
        <v>13650</v>
      </c>
      <c r="E1731" s="1816">
        <f t="shared" si="140"/>
        <v>9565</v>
      </c>
      <c r="F1731" s="1816">
        <f t="shared" si="141"/>
        <v>13650</v>
      </c>
      <c r="G1731" s="1816">
        <f t="shared" si="142"/>
        <v>12044</v>
      </c>
    </row>
    <row r="1732" spans="1:7" ht="15.75">
      <c r="A1732" s="1961">
        <f t="shared" si="143"/>
        <v>83425</v>
      </c>
      <c r="B1732" s="1815">
        <v>83400</v>
      </c>
      <c r="C1732" s="1815">
        <v>83450</v>
      </c>
      <c r="D1732" s="1816">
        <f t="shared" si="139"/>
        <v>13661</v>
      </c>
      <c r="E1732" s="1816">
        <f t="shared" si="140"/>
        <v>9571</v>
      </c>
      <c r="F1732" s="1816">
        <f t="shared" si="141"/>
        <v>13661</v>
      </c>
      <c r="G1732" s="1816">
        <f t="shared" si="142"/>
        <v>12055</v>
      </c>
    </row>
    <row r="1733" spans="1:7" ht="15.75">
      <c r="A1733" s="1961">
        <f t="shared" si="143"/>
        <v>83475</v>
      </c>
      <c r="B1733" s="1815">
        <v>83450</v>
      </c>
      <c r="C1733" s="1815">
        <v>83500</v>
      </c>
      <c r="D1733" s="1816">
        <f t="shared" si="139"/>
        <v>13672</v>
      </c>
      <c r="E1733" s="1816">
        <f t="shared" si="140"/>
        <v>9577</v>
      </c>
      <c r="F1733" s="1816">
        <f t="shared" si="141"/>
        <v>13672</v>
      </c>
      <c r="G1733" s="1816">
        <f t="shared" si="142"/>
        <v>12066</v>
      </c>
    </row>
    <row r="1734" spans="1:7" ht="15.75">
      <c r="A1734" s="1961">
        <f t="shared" si="143"/>
        <v>83525</v>
      </c>
      <c r="B1734" s="1815">
        <v>83500</v>
      </c>
      <c r="C1734" s="1815">
        <v>83550</v>
      </c>
      <c r="D1734" s="1816">
        <f t="shared" si="139"/>
        <v>13683</v>
      </c>
      <c r="E1734" s="1816">
        <f t="shared" si="140"/>
        <v>9583</v>
      </c>
      <c r="F1734" s="1816">
        <f t="shared" si="141"/>
        <v>13683</v>
      </c>
      <c r="G1734" s="1816">
        <f t="shared" si="142"/>
        <v>12077</v>
      </c>
    </row>
    <row r="1735" spans="1:7" ht="15.75">
      <c r="A1735" s="1961">
        <f t="shared" si="143"/>
        <v>83575</v>
      </c>
      <c r="B1735" s="1815">
        <v>83550</v>
      </c>
      <c r="C1735" s="1815">
        <v>83600</v>
      </c>
      <c r="D1735" s="1816">
        <f t="shared" si="139"/>
        <v>13694</v>
      </c>
      <c r="E1735" s="1816">
        <f t="shared" si="140"/>
        <v>9589</v>
      </c>
      <c r="F1735" s="1816">
        <f t="shared" si="141"/>
        <v>13694</v>
      </c>
      <c r="G1735" s="1816">
        <f t="shared" si="142"/>
        <v>12088</v>
      </c>
    </row>
    <row r="1736" spans="1:7" ht="15.75">
      <c r="A1736" s="1961">
        <f t="shared" si="143"/>
        <v>83625</v>
      </c>
      <c r="B1736" s="1815">
        <v>83600</v>
      </c>
      <c r="C1736" s="1815">
        <v>83650</v>
      </c>
      <c r="D1736" s="1816">
        <f t="shared" si="139"/>
        <v>13705</v>
      </c>
      <c r="E1736" s="1816">
        <f t="shared" si="140"/>
        <v>9595</v>
      </c>
      <c r="F1736" s="1816">
        <f t="shared" si="141"/>
        <v>13705</v>
      </c>
      <c r="G1736" s="1816">
        <f t="shared" si="142"/>
        <v>12099</v>
      </c>
    </row>
    <row r="1737" spans="1:7" ht="15.75">
      <c r="A1737" s="1961">
        <f t="shared" si="143"/>
        <v>83675</v>
      </c>
      <c r="B1737" s="1815">
        <v>83650</v>
      </c>
      <c r="C1737" s="1815">
        <v>83700</v>
      </c>
      <c r="D1737" s="1816">
        <f t="shared" si="139"/>
        <v>13716</v>
      </c>
      <c r="E1737" s="1816">
        <f t="shared" si="140"/>
        <v>9601</v>
      </c>
      <c r="F1737" s="1816">
        <f t="shared" si="141"/>
        <v>13716</v>
      </c>
      <c r="G1737" s="1816">
        <f t="shared" si="142"/>
        <v>12110</v>
      </c>
    </row>
    <row r="1738" spans="1:7" ht="15.75">
      <c r="A1738" s="1961">
        <f t="shared" si="143"/>
        <v>83725</v>
      </c>
      <c r="B1738" s="1815">
        <v>83700</v>
      </c>
      <c r="C1738" s="1815">
        <v>83750</v>
      </c>
      <c r="D1738" s="1816">
        <f t="shared" si="139"/>
        <v>13727</v>
      </c>
      <c r="E1738" s="1816">
        <f t="shared" si="140"/>
        <v>9607</v>
      </c>
      <c r="F1738" s="1816">
        <f t="shared" si="141"/>
        <v>13727</v>
      </c>
      <c r="G1738" s="1816">
        <f t="shared" si="142"/>
        <v>12121</v>
      </c>
    </row>
    <row r="1739" spans="1:7" ht="15.75">
      <c r="A1739" s="1961">
        <f t="shared" si="143"/>
        <v>83775</v>
      </c>
      <c r="B1739" s="1815">
        <v>83750</v>
      </c>
      <c r="C1739" s="1815">
        <v>83800</v>
      </c>
      <c r="D1739" s="1816">
        <f t="shared" si="139"/>
        <v>13738</v>
      </c>
      <c r="E1739" s="1816">
        <f t="shared" si="140"/>
        <v>9613</v>
      </c>
      <c r="F1739" s="1816">
        <f t="shared" si="141"/>
        <v>13738</v>
      </c>
      <c r="G1739" s="1816">
        <f t="shared" si="142"/>
        <v>12132</v>
      </c>
    </row>
    <row r="1740" spans="1:7" ht="15.75">
      <c r="A1740" s="1961">
        <f t="shared" si="143"/>
        <v>83825</v>
      </c>
      <c r="B1740" s="1815">
        <v>83800</v>
      </c>
      <c r="C1740" s="1815">
        <v>83850</v>
      </c>
      <c r="D1740" s="1816">
        <f t="shared" si="139"/>
        <v>13749</v>
      </c>
      <c r="E1740" s="1816">
        <f t="shared" si="140"/>
        <v>9619</v>
      </c>
      <c r="F1740" s="1816">
        <f t="shared" si="141"/>
        <v>13749</v>
      </c>
      <c r="G1740" s="1816">
        <f t="shared" si="142"/>
        <v>12143</v>
      </c>
    </row>
    <row r="1741" spans="1:7" ht="15.75">
      <c r="A1741" s="1961">
        <f t="shared" si="143"/>
        <v>83875</v>
      </c>
      <c r="B1741" s="1815">
        <v>83850</v>
      </c>
      <c r="C1741" s="1815">
        <v>83900</v>
      </c>
      <c r="D1741" s="1816">
        <f t="shared" si="139"/>
        <v>13760</v>
      </c>
      <c r="E1741" s="1816">
        <f t="shared" si="140"/>
        <v>9625</v>
      </c>
      <c r="F1741" s="1816">
        <f t="shared" si="141"/>
        <v>13760</v>
      </c>
      <c r="G1741" s="1816">
        <f t="shared" si="142"/>
        <v>12154</v>
      </c>
    </row>
    <row r="1742" spans="1:7" ht="15.75">
      <c r="A1742" s="1961">
        <f t="shared" si="143"/>
        <v>83925</v>
      </c>
      <c r="B1742" s="1815">
        <v>83900</v>
      </c>
      <c r="C1742" s="1815">
        <v>83950</v>
      </c>
      <c r="D1742" s="1816">
        <f t="shared" si="139"/>
        <v>13771</v>
      </c>
      <c r="E1742" s="1816">
        <f t="shared" si="140"/>
        <v>9631</v>
      </c>
      <c r="F1742" s="1816">
        <f t="shared" si="141"/>
        <v>13771</v>
      </c>
      <c r="G1742" s="1816">
        <f t="shared" si="142"/>
        <v>12165</v>
      </c>
    </row>
    <row r="1743" spans="1:7" ht="15.75">
      <c r="A1743" s="1961">
        <f t="shared" si="143"/>
        <v>83975</v>
      </c>
      <c r="B1743" s="1815">
        <v>83950</v>
      </c>
      <c r="C1743" s="1815">
        <v>84000</v>
      </c>
      <c r="D1743" s="1816">
        <f t="shared" si="139"/>
        <v>13782</v>
      </c>
      <c r="E1743" s="1816">
        <f t="shared" si="140"/>
        <v>9637</v>
      </c>
      <c r="F1743" s="1816">
        <f t="shared" si="141"/>
        <v>13782</v>
      </c>
      <c r="G1743" s="1816">
        <f t="shared" si="142"/>
        <v>12176</v>
      </c>
    </row>
    <row r="1744" spans="1:7" ht="15.75">
      <c r="A1744" s="1961">
        <f t="shared" si="143"/>
        <v>84025</v>
      </c>
      <c r="B1744" s="1815">
        <v>84000</v>
      </c>
      <c r="C1744" s="1815">
        <v>84050</v>
      </c>
      <c r="D1744" s="1816">
        <f t="shared" si="139"/>
        <v>13793</v>
      </c>
      <c r="E1744" s="1816">
        <f t="shared" si="140"/>
        <v>9643</v>
      </c>
      <c r="F1744" s="1816">
        <f t="shared" si="141"/>
        <v>13793</v>
      </c>
      <c r="G1744" s="1816">
        <f t="shared" si="142"/>
        <v>12187</v>
      </c>
    </row>
    <row r="1745" spans="1:7" ht="15.75">
      <c r="A1745" s="1961">
        <f t="shared" si="143"/>
        <v>84075</v>
      </c>
      <c r="B1745" s="1815">
        <v>84050</v>
      </c>
      <c r="C1745" s="1815">
        <v>84100</v>
      </c>
      <c r="D1745" s="1816">
        <f t="shared" si="139"/>
        <v>13804</v>
      </c>
      <c r="E1745" s="1816">
        <f t="shared" si="140"/>
        <v>9649</v>
      </c>
      <c r="F1745" s="1816">
        <f t="shared" si="141"/>
        <v>13804</v>
      </c>
      <c r="G1745" s="1816">
        <f t="shared" si="142"/>
        <v>12198</v>
      </c>
    </row>
    <row r="1746" spans="1:7" ht="15.75">
      <c r="A1746" s="1961">
        <f t="shared" si="143"/>
        <v>84125</v>
      </c>
      <c r="B1746" s="1815">
        <v>84100</v>
      </c>
      <c r="C1746" s="1815">
        <v>84150</v>
      </c>
      <c r="D1746" s="1816">
        <f t="shared" si="139"/>
        <v>13815</v>
      </c>
      <c r="E1746" s="1816">
        <f t="shared" si="140"/>
        <v>9655</v>
      </c>
      <c r="F1746" s="1816">
        <f t="shared" si="141"/>
        <v>13815</v>
      </c>
      <c r="G1746" s="1816">
        <f t="shared" si="142"/>
        <v>12209</v>
      </c>
    </row>
    <row r="1747" spans="1:7" ht="15.75">
      <c r="A1747" s="1961">
        <f t="shared" si="143"/>
        <v>84175</v>
      </c>
      <c r="B1747" s="1815">
        <v>84150</v>
      </c>
      <c r="C1747" s="1815">
        <v>84200</v>
      </c>
      <c r="D1747" s="1816">
        <f t="shared" si="139"/>
        <v>13826</v>
      </c>
      <c r="E1747" s="1816">
        <f t="shared" si="140"/>
        <v>9661</v>
      </c>
      <c r="F1747" s="1816">
        <f t="shared" si="141"/>
        <v>13826</v>
      </c>
      <c r="G1747" s="1816">
        <f t="shared" si="142"/>
        <v>12220</v>
      </c>
    </row>
    <row r="1748" spans="1:7" ht="15.75">
      <c r="A1748" s="1961">
        <f t="shared" si="143"/>
        <v>84225</v>
      </c>
      <c r="B1748" s="1815">
        <v>84200</v>
      </c>
      <c r="C1748" s="1815">
        <v>84250</v>
      </c>
      <c r="D1748" s="1816">
        <f t="shared" si="139"/>
        <v>13837</v>
      </c>
      <c r="E1748" s="1816">
        <f t="shared" si="140"/>
        <v>9667</v>
      </c>
      <c r="F1748" s="1816">
        <f t="shared" si="141"/>
        <v>13837</v>
      </c>
      <c r="G1748" s="1816">
        <f t="shared" si="142"/>
        <v>12231</v>
      </c>
    </row>
    <row r="1749" spans="1:7" ht="15.75">
      <c r="A1749" s="1961">
        <f t="shared" si="143"/>
        <v>84275</v>
      </c>
      <c r="B1749" s="1815">
        <v>84250</v>
      </c>
      <c r="C1749" s="1815">
        <v>84300</v>
      </c>
      <c r="D1749" s="1816">
        <f t="shared" si="139"/>
        <v>13848</v>
      </c>
      <c r="E1749" s="1816">
        <f t="shared" si="140"/>
        <v>9673</v>
      </c>
      <c r="F1749" s="1816">
        <f t="shared" si="141"/>
        <v>13848</v>
      </c>
      <c r="G1749" s="1816">
        <f t="shared" si="142"/>
        <v>12242</v>
      </c>
    </row>
    <row r="1750" spans="1:7" ht="15.75">
      <c r="A1750" s="1961">
        <f t="shared" si="143"/>
        <v>84325</v>
      </c>
      <c r="B1750" s="1815">
        <v>84300</v>
      </c>
      <c r="C1750" s="1815">
        <v>84350</v>
      </c>
      <c r="D1750" s="1816">
        <f t="shared" si="139"/>
        <v>13859</v>
      </c>
      <c r="E1750" s="1816">
        <f t="shared" si="140"/>
        <v>9679</v>
      </c>
      <c r="F1750" s="1816">
        <f t="shared" si="141"/>
        <v>13859</v>
      </c>
      <c r="G1750" s="1816">
        <f t="shared" si="142"/>
        <v>12253</v>
      </c>
    </row>
    <row r="1751" spans="1:7" ht="15.75">
      <c r="A1751" s="1961">
        <f t="shared" si="143"/>
        <v>84375</v>
      </c>
      <c r="B1751" s="1815">
        <v>84350</v>
      </c>
      <c r="C1751" s="1815">
        <v>84400</v>
      </c>
      <c r="D1751" s="1816">
        <f t="shared" si="139"/>
        <v>13870</v>
      </c>
      <c r="E1751" s="1816">
        <f t="shared" si="140"/>
        <v>9685</v>
      </c>
      <c r="F1751" s="1816">
        <f t="shared" si="141"/>
        <v>13870</v>
      </c>
      <c r="G1751" s="1816">
        <f t="shared" si="142"/>
        <v>12264</v>
      </c>
    </row>
    <row r="1752" spans="1:7" ht="15.75">
      <c r="A1752" s="1961">
        <f t="shared" si="143"/>
        <v>84425</v>
      </c>
      <c r="B1752" s="1815">
        <v>84400</v>
      </c>
      <c r="C1752" s="1815">
        <v>84450</v>
      </c>
      <c r="D1752" s="1816">
        <f t="shared" si="139"/>
        <v>13881</v>
      </c>
      <c r="E1752" s="1816">
        <f t="shared" si="140"/>
        <v>9691</v>
      </c>
      <c r="F1752" s="1816">
        <f t="shared" si="141"/>
        <v>13881</v>
      </c>
      <c r="G1752" s="1816">
        <f t="shared" si="142"/>
        <v>12275</v>
      </c>
    </row>
    <row r="1753" spans="1:7" ht="15.75">
      <c r="A1753" s="1961">
        <f t="shared" si="143"/>
        <v>84475</v>
      </c>
      <c r="B1753" s="1815">
        <v>84450</v>
      </c>
      <c r="C1753" s="1815">
        <v>84500</v>
      </c>
      <c r="D1753" s="1816">
        <f t="shared" si="139"/>
        <v>13892</v>
      </c>
      <c r="E1753" s="1816">
        <f t="shared" si="140"/>
        <v>9697</v>
      </c>
      <c r="F1753" s="1816">
        <f t="shared" si="141"/>
        <v>13892</v>
      </c>
      <c r="G1753" s="1816">
        <f t="shared" si="142"/>
        <v>12286</v>
      </c>
    </row>
    <row r="1754" spans="1:7" ht="15.75">
      <c r="A1754" s="1961">
        <f t="shared" si="143"/>
        <v>84525</v>
      </c>
      <c r="B1754" s="1815">
        <v>84500</v>
      </c>
      <c r="C1754" s="1815">
        <v>84550</v>
      </c>
      <c r="D1754" s="1816">
        <f t="shared" si="139"/>
        <v>13903</v>
      </c>
      <c r="E1754" s="1816">
        <f t="shared" si="140"/>
        <v>9703</v>
      </c>
      <c r="F1754" s="1816">
        <f t="shared" si="141"/>
        <v>13903</v>
      </c>
      <c r="G1754" s="1816">
        <f t="shared" si="142"/>
        <v>12297</v>
      </c>
    </row>
    <row r="1755" spans="1:7" ht="15.75">
      <c r="A1755" s="1961">
        <f t="shared" si="143"/>
        <v>84575</v>
      </c>
      <c r="B1755" s="1815">
        <v>84550</v>
      </c>
      <c r="C1755" s="1815">
        <v>84600</v>
      </c>
      <c r="D1755" s="1816">
        <f t="shared" si="139"/>
        <v>13914</v>
      </c>
      <c r="E1755" s="1816">
        <f t="shared" si="140"/>
        <v>9709</v>
      </c>
      <c r="F1755" s="1816">
        <f t="shared" si="141"/>
        <v>13914</v>
      </c>
      <c r="G1755" s="1816">
        <f t="shared" si="142"/>
        <v>12308</v>
      </c>
    </row>
    <row r="1756" spans="1:7" ht="15.75">
      <c r="A1756" s="1961">
        <f t="shared" si="143"/>
        <v>84625</v>
      </c>
      <c r="B1756" s="1815">
        <v>84600</v>
      </c>
      <c r="C1756" s="1815">
        <v>84650</v>
      </c>
      <c r="D1756" s="1816">
        <f t="shared" si="139"/>
        <v>13925</v>
      </c>
      <c r="E1756" s="1816">
        <f t="shared" si="140"/>
        <v>9715</v>
      </c>
      <c r="F1756" s="1816">
        <f t="shared" si="141"/>
        <v>13925</v>
      </c>
      <c r="G1756" s="1816">
        <f t="shared" si="142"/>
        <v>12319</v>
      </c>
    </row>
    <row r="1757" spans="1:7" ht="15.75">
      <c r="A1757" s="1961">
        <f t="shared" si="143"/>
        <v>84675</v>
      </c>
      <c r="B1757" s="1815">
        <v>84650</v>
      </c>
      <c r="C1757" s="1815">
        <v>84700</v>
      </c>
      <c r="D1757" s="1816">
        <f t="shared" si="139"/>
        <v>13936</v>
      </c>
      <c r="E1757" s="1816">
        <f t="shared" si="140"/>
        <v>9721</v>
      </c>
      <c r="F1757" s="1816">
        <f t="shared" si="141"/>
        <v>13936</v>
      </c>
      <c r="G1757" s="1816">
        <f t="shared" si="142"/>
        <v>12330</v>
      </c>
    </row>
    <row r="1758" spans="1:7" ht="15.75">
      <c r="A1758" s="1961">
        <f t="shared" si="143"/>
        <v>84725</v>
      </c>
      <c r="B1758" s="1815">
        <v>84700</v>
      </c>
      <c r="C1758" s="1815">
        <v>84750</v>
      </c>
      <c r="D1758" s="1816">
        <f t="shared" si="139"/>
        <v>13947</v>
      </c>
      <c r="E1758" s="1816">
        <f t="shared" si="140"/>
        <v>9727</v>
      </c>
      <c r="F1758" s="1816">
        <f t="shared" si="141"/>
        <v>13947</v>
      </c>
      <c r="G1758" s="1816">
        <f t="shared" si="142"/>
        <v>12341</v>
      </c>
    </row>
    <row r="1759" spans="1:7" ht="15.75">
      <c r="A1759" s="1961">
        <f t="shared" si="143"/>
        <v>84775</v>
      </c>
      <c r="B1759" s="1815">
        <v>84750</v>
      </c>
      <c r="C1759" s="1815">
        <v>84800</v>
      </c>
      <c r="D1759" s="1816">
        <f t="shared" si="139"/>
        <v>13958</v>
      </c>
      <c r="E1759" s="1816">
        <f t="shared" si="140"/>
        <v>9733</v>
      </c>
      <c r="F1759" s="1816">
        <f t="shared" si="141"/>
        <v>13958</v>
      </c>
      <c r="G1759" s="1816">
        <f t="shared" si="142"/>
        <v>12352</v>
      </c>
    </row>
    <row r="1760" spans="1:7" ht="15.75">
      <c r="A1760" s="1961">
        <f t="shared" si="143"/>
        <v>84825</v>
      </c>
      <c r="B1760" s="1815">
        <v>84800</v>
      </c>
      <c r="C1760" s="1815">
        <v>84850</v>
      </c>
      <c r="D1760" s="1816">
        <f t="shared" si="139"/>
        <v>13969</v>
      </c>
      <c r="E1760" s="1816">
        <f t="shared" si="140"/>
        <v>9739</v>
      </c>
      <c r="F1760" s="1816">
        <f t="shared" si="141"/>
        <v>13969</v>
      </c>
      <c r="G1760" s="1816">
        <f t="shared" si="142"/>
        <v>12363</v>
      </c>
    </row>
    <row r="1761" spans="1:7" ht="15.75">
      <c r="A1761" s="1961">
        <f t="shared" si="143"/>
        <v>84875</v>
      </c>
      <c r="B1761" s="1815">
        <v>84850</v>
      </c>
      <c r="C1761" s="1815">
        <v>84900</v>
      </c>
      <c r="D1761" s="1816">
        <f t="shared" si="139"/>
        <v>13980</v>
      </c>
      <c r="E1761" s="1816">
        <f t="shared" si="140"/>
        <v>9745</v>
      </c>
      <c r="F1761" s="1816">
        <f t="shared" si="141"/>
        <v>13980</v>
      </c>
      <c r="G1761" s="1816">
        <f t="shared" si="142"/>
        <v>12374</v>
      </c>
    </row>
    <row r="1762" spans="1:7" ht="15.75">
      <c r="A1762" s="1961">
        <f t="shared" si="143"/>
        <v>84925</v>
      </c>
      <c r="B1762" s="1815">
        <v>84900</v>
      </c>
      <c r="C1762" s="1815">
        <v>84950</v>
      </c>
      <c r="D1762" s="1816">
        <f t="shared" si="139"/>
        <v>13991</v>
      </c>
      <c r="E1762" s="1816">
        <f t="shared" si="140"/>
        <v>9751</v>
      </c>
      <c r="F1762" s="1816">
        <f t="shared" si="141"/>
        <v>13991</v>
      </c>
      <c r="G1762" s="1816">
        <f t="shared" si="142"/>
        <v>12385</v>
      </c>
    </row>
    <row r="1763" spans="1:7" ht="15.75">
      <c r="A1763" s="1961">
        <f t="shared" si="143"/>
        <v>84975</v>
      </c>
      <c r="B1763" s="1815">
        <v>84950</v>
      </c>
      <c r="C1763" s="1815">
        <v>85000</v>
      </c>
      <c r="D1763" s="1816">
        <f t="shared" si="139"/>
        <v>14002</v>
      </c>
      <c r="E1763" s="1816">
        <f t="shared" si="140"/>
        <v>9757</v>
      </c>
      <c r="F1763" s="1816">
        <f t="shared" si="141"/>
        <v>14002</v>
      </c>
      <c r="G1763" s="1816">
        <f t="shared" si="142"/>
        <v>12396</v>
      </c>
    </row>
    <row r="1764" spans="1:7" ht="15.75">
      <c r="A1764" s="1961">
        <f t="shared" si="143"/>
        <v>85025</v>
      </c>
      <c r="B1764" s="1815">
        <v>85000</v>
      </c>
      <c r="C1764" s="1815">
        <v>85050</v>
      </c>
      <c r="D1764" s="1816">
        <f t="shared" si="139"/>
        <v>14013</v>
      </c>
      <c r="E1764" s="1816">
        <f t="shared" si="140"/>
        <v>9763</v>
      </c>
      <c r="F1764" s="1816">
        <f t="shared" si="141"/>
        <v>14013</v>
      </c>
      <c r="G1764" s="1816">
        <f t="shared" si="142"/>
        <v>12407</v>
      </c>
    </row>
    <row r="1765" spans="1:7" ht="15.75">
      <c r="A1765" s="1961">
        <f t="shared" si="143"/>
        <v>85075</v>
      </c>
      <c r="B1765" s="1815">
        <v>85050</v>
      </c>
      <c r="C1765" s="1815">
        <v>85100</v>
      </c>
      <c r="D1765" s="1816">
        <f t="shared" si="139"/>
        <v>14024</v>
      </c>
      <c r="E1765" s="1816">
        <f t="shared" si="140"/>
        <v>9769</v>
      </c>
      <c r="F1765" s="1816">
        <f t="shared" si="141"/>
        <v>14024</v>
      </c>
      <c r="G1765" s="1816">
        <f t="shared" si="142"/>
        <v>12418</v>
      </c>
    </row>
    <row r="1766" spans="1:7" ht="15.75">
      <c r="A1766" s="1961">
        <f t="shared" si="143"/>
        <v>85125</v>
      </c>
      <c r="B1766" s="1815">
        <v>85100</v>
      </c>
      <c r="C1766" s="1815">
        <v>85150</v>
      </c>
      <c r="D1766" s="1816">
        <f t="shared" si="139"/>
        <v>14035</v>
      </c>
      <c r="E1766" s="1816">
        <f t="shared" si="140"/>
        <v>9775</v>
      </c>
      <c r="F1766" s="1816">
        <f t="shared" si="141"/>
        <v>14035</v>
      </c>
      <c r="G1766" s="1816">
        <f t="shared" si="142"/>
        <v>12429</v>
      </c>
    </row>
    <row r="1767" spans="1:7" ht="15.75">
      <c r="A1767" s="1961">
        <f t="shared" si="143"/>
        <v>85175</v>
      </c>
      <c r="B1767" s="1815">
        <v>85150</v>
      </c>
      <c r="C1767" s="1815">
        <v>85200</v>
      </c>
      <c r="D1767" s="1816">
        <f t="shared" si="139"/>
        <v>14046</v>
      </c>
      <c r="E1767" s="1816">
        <f t="shared" si="140"/>
        <v>9781</v>
      </c>
      <c r="F1767" s="1816">
        <f t="shared" si="141"/>
        <v>14046</v>
      </c>
      <c r="G1767" s="1816">
        <f t="shared" si="142"/>
        <v>12440</v>
      </c>
    </row>
    <row r="1768" spans="1:7" ht="15.75">
      <c r="A1768" s="1961">
        <f t="shared" si="143"/>
        <v>85225</v>
      </c>
      <c r="B1768" s="1815">
        <v>85200</v>
      </c>
      <c r="C1768" s="1815">
        <v>85250</v>
      </c>
      <c r="D1768" s="1816">
        <f t="shared" si="139"/>
        <v>14057</v>
      </c>
      <c r="E1768" s="1816">
        <f t="shared" si="140"/>
        <v>9787</v>
      </c>
      <c r="F1768" s="1816">
        <f t="shared" si="141"/>
        <v>14057</v>
      </c>
      <c r="G1768" s="1816">
        <f t="shared" si="142"/>
        <v>12451</v>
      </c>
    </row>
    <row r="1769" spans="1:7" ht="15.75">
      <c r="A1769" s="1961">
        <f t="shared" si="143"/>
        <v>85275</v>
      </c>
      <c r="B1769" s="1815">
        <v>85250</v>
      </c>
      <c r="C1769" s="1815">
        <v>85300</v>
      </c>
      <c r="D1769" s="1816">
        <f t="shared" si="139"/>
        <v>14068</v>
      </c>
      <c r="E1769" s="1816">
        <f t="shared" si="140"/>
        <v>9793</v>
      </c>
      <c r="F1769" s="1816">
        <f t="shared" si="141"/>
        <v>14068</v>
      </c>
      <c r="G1769" s="1816">
        <f t="shared" si="142"/>
        <v>12462</v>
      </c>
    </row>
    <row r="1770" spans="1:7" ht="15.75">
      <c r="A1770" s="1961">
        <f t="shared" si="143"/>
        <v>85325</v>
      </c>
      <c r="B1770" s="1815">
        <v>85300</v>
      </c>
      <c r="C1770" s="1815">
        <v>85350</v>
      </c>
      <c r="D1770" s="1816">
        <f t="shared" si="139"/>
        <v>14079</v>
      </c>
      <c r="E1770" s="1816">
        <f t="shared" si="140"/>
        <v>9799</v>
      </c>
      <c r="F1770" s="1816">
        <f t="shared" si="141"/>
        <v>14079</v>
      </c>
      <c r="G1770" s="1816">
        <f t="shared" si="142"/>
        <v>12473</v>
      </c>
    </row>
    <row r="1771" spans="1:7" ht="15.75">
      <c r="A1771" s="1961">
        <f t="shared" si="143"/>
        <v>85375</v>
      </c>
      <c r="B1771" s="1815">
        <v>85350</v>
      </c>
      <c r="C1771" s="1815">
        <v>85400</v>
      </c>
      <c r="D1771" s="1816">
        <f t="shared" si="139"/>
        <v>14090</v>
      </c>
      <c r="E1771" s="1816">
        <f t="shared" si="140"/>
        <v>9805</v>
      </c>
      <c r="F1771" s="1816">
        <f t="shared" si="141"/>
        <v>14090</v>
      </c>
      <c r="G1771" s="1816">
        <f t="shared" si="142"/>
        <v>12484</v>
      </c>
    </row>
    <row r="1772" spans="1:7" ht="15.75">
      <c r="A1772" s="1961">
        <f t="shared" si="143"/>
        <v>85425</v>
      </c>
      <c r="B1772" s="1815">
        <v>85400</v>
      </c>
      <c r="C1772" s="1815">
        <v>85450</v>
      </c>
      <c r="D1772" s="1816">
        <f t="shared" si="139"/>
        <v>14101</v>
      </c>
      <c r="E1772" s="1816">
        <f t="shared" si="140"/>
        <v>9811</v>
      </c>
      <c r="F1772" s="1816">
        <f t="shared" si="141"/>
        <v>14101</v>
      </c>
      <c r="G1772" s="1816">
        <f t="shared" si="142"/>
        <v>12495</v>
      </c>
    </row>
    <row r="1773" spans="1:7" ht="15.75">
      <c r="A1773" s="1961">
        <f t="shared" si="143"/>
        <v>85475</v>
      </c>
      <c r="B1773" s="1815">
        <v>85450</v>
      </c>
      <c r="C1773" s="1815">
        <v>85500</v>
      </c>
      <c r="D1773" s="1816">
        <f t="shared" si="139"/>
        <v>14112</v>
      </c>
      <c r="E1773" s="1816">
        <f t="shared" si="140"/>
        <v>9817</v>
      </c>
      <c r="F1773" s="1816">
        <f t="shared" si="141"/>
        <v>14112</v>
      </c>
      <c r="G1773" s="1816">
        <f t="shared" si="142"/>
        <v>12506</v>
      </c>
    </row>
    <row r="1774" spans="1:7" ht="15.75">
      <c r="A1774" s="1961">
        <f t="shared" si="143"/>
        <v>85525</v>
      </c>
      <c r="B1774" s="1815">
        <v>85500</v>
      </c>
      <c r="C1774" s="1815">
        <v>85550</v>
      </c>
      <c r="D1774" s="1816">
        <f t="shared" si="139"/>
        <v>14123</v>
      </c>
      <c r="E1774" s="1816">
        <f t="shared" si="140"/>
        <v>9823</v>
      </c>
      <c r="F1774" s="1816">
        <f t="shared" si="141"/>
        <v>14123</v>
      </c>
      <c r="G1774" s="1816">
        <f t="shared" si="142"/>
        <v>12517</v>
      </c>
    </row>
    <row r="1775" spans="1:7" ht="15.75">
      <c r="A1775" s="1961">
        <f t="shared" si="143"/>
        <v>85575</v>
      </c>
      <c r="B1775" s="1815">
        <v>85550</v>
      </c>
      <c r="C1775" s="1815">
        <v>85600</v>
      </c>
      <c r="D1775" s="1816">
        <f t="shared" si="139"/>
        <v>14134</v>
      </c>
      <c r="E1775" s="1816">
        <f t="shared" si="140"/>
        <v>9829</v>
      </c>
      <c r="F1775" s="1816">
        <f t="shared" si="141"/>
        <v>14134</v>
      </c>
      <c r="G1775" s="1816">
        <f t="shared" si="142"/>
        <v>12528</v>
      </c>
    </row>
    <row r="1776" spans="1:7" ht="15.75">
      <c r="A1776" s="1961">
        <f t="shared" si="143"/>
        <v>85625</v>
      </c>
      <c r="B1776" s="1815">
        <v>85600</v>
      </c>
      <c r="C1776" s="1815">
        <v>85650</v>
      </c>
      <c r="D1776" s="1816">
        <f t="shared" si="139"/>
        <v>14145</v>
      </c>
      <c r="E1776" s="1816">
        <f t="shared" si="140"/>
        <v>9835</v>
      </c>
      <c r="F1776" s="1816">
        <f t="shared" si="141"/>
        <v>14145</v>
      </c>
      <c r="G1776" s="1816">
        <f t="shared" si="142"/>
        <v>12539</v>
      </c>
    </row>
    <row r="1777" spans="1:7" ht="15.75">
      <c r="A1777" s="1961">
        <f t="shared" si="143"/>
        <v>85675</v>
      </c>
      <c r="B1777" s="1815">
        <v>85650</v>
      </c>
      <c r="C1777" s="1815">
        <v>85700</v>
      </c>
      <c r="D1777" s="1816">
        <f t="shared" si="139"/>
        <v>14156</v>
      </c>
      <c r="E1777" s="1816">
        <f t="shared" si="140"/>
        <v>9841</v>
      </c>
      <c r="F1777" s="1816">
        <f t="shared" si="141"/>
        <v>14156</v>
      </c>
      <c r="G1777" s="1816">
        <f t="shared" si="142"/>
        <v>12550</v>
      </c>
    </row>
    <row r="1778" spans="1:7" ht="15.75">
      <c r="A1778" s="1961">
        <f t="shared" si="143"/>
        <v>85725</v>
      </c>
      <c r="B1778" s="1815">
        <v>85700</v>
      </c>
      <c r="C1778" s="1815">
        <v>85750</v>
      </c>
      <c r="D1778" s="1816">
        <f t="shared" si="139"/>
        <v>14167</v>
      </c>
      <c r="E1778" s="1816">
        <f t="shared" si="140"/>
        <v>9847</v>
      </c>
      <c r="F1778" s="1816">
        <f t="shared" si="141"/>
        <v>14167</v>
      </c>
      <c r="G1778" s="1816">
        <f t="shared" si="142"/>
        <v>12561</v>
      </c>
    </row>
    <row r="1779" spans="1:7" ht="15.75">
      <c r="A1779" s="1961">
        <f t="shared" si="143"/>
        <v>85775</v>
      </c>
      <c r="B1779" s="1815">
        <v>85750</v>
      </c>
      <c r="C1779" s="1815">
        <v>85800</v>
      </c>
      <c r="D1779" s="1816">
        <f t="shared" si="139"/>
        <v>14178</v>
      </c>
      <c r="E1779" s="1816">
        <f t="shared" si="140"/>
        <v>9853</v>
      </c>
      <c r="F1779" s="1816">
        <f t="shared" si="141"/>
        <v>14178</v>
      </c>
      <c r="G1779" s="1816">
        <f t="shared" si="142"/>
        <v>12572</v>
      </c>
    </row>
    <row r="1780" spans="1:7" ht="15.75">
      <c r="A1780" s="1961">
        <f t="shared" si="143"/>
        <v>85825</v>
      </c>
      <c r="B1780" s="1815">
        <v>85800</v>
      </c>
      <c r="C1780" s="1815">
        <v>85850</v>
      </c>
      <c r="D1780" s="1816">
        <f t="shared" si="139"/>
        <v>14189</v>
      </c>
      <c r="E1780" s="1816">
        <f t="shared" si="140"/>
        <v>9859</v>
      </c>
      <c r="F1780" s="1816">
        <f t="shared" si="141"/>
        <v>14189</v>
      </c>
      <c r="G1780" s="1816">
        <f t="shared" si="142"/>
        <v>12583</v>
      </c>
    </row>
    <row r="1781" spans="1:7" ht="15.75">
      <c r="A1781" s="1961">
        <f t="shared" si="143"/>
        <v>85875</v>
      </c>
      <c r="B1781" s="1815">
        <v>85850</v>
      </c>
      <c r="C1781" s="1815">
        <v>85900</v>
      </c>
      <c r="D1781" s="1816">
        <f t="shared" si="139"/>
        <v>14200</v>
      </c>
      <c r="E1781" s="1816">
        <f t="shared" si="140"/>
        <v>9865</v>
      </c>
      <c r="F1781" s="1816">
        <f t="shared" si="141"/>
        <v>14200</v>
      </c>
      <c r="G1781" s="1816">
        <f t="shared" si="142"/>
        <v>12594</v>
      </c>
    </row>
    <row r="1782" spans="1:7" ht="15.75">
      <c r="A1782" s="1961">
        <f t="shared" si="143"/>
        <v>85925</v>
      </c>
      <c r="B1782" s="1815">
        <v>85900</v>
      </c>
      <c r="C1782" s="1815">
        <v>85950</v>
      </c>
      <c r="D1782" s="1816">
        <f t="shared" si="139"/>
        <v>14211</v>
      </c>
      <c r="E1782" s="1816">
        <f t="shared" si="140"/>
        <v>9871</v>
      </c>
      <c r="F1782" s="1816">
        <f t="shared" si="141"/>
        <v>14211</v>
      </c>
      <c r="G1782" s="1816">
        <f t="shared" si="142"/>
        <v>12605</v>
      </c>
    </row>
    <row r="1783" spans="1:7" ht="15.75">
      <c r="A1783" s="1961">
        <f t="shared" si="143"/>
        <v>85975</v>
      </c>
      <c r="B1783" s="1815">
        <v>85950</v>
      </c>
      <c r="C1783" s="1815">
        <v>86000</v>
      </c>
      <c r="D1783" s="1816">
        <f t="shared" si="139"/>
        <v>14222</v>
      </c>
      <c r="E1783" s="1816">
        <f t="shared" si="140"/>
        <v>9877</v>
      </c>
      <c r="F1783" s="1816">
        <f t="shared" si="141"/>
        <v>14222</v>
      </c>
      <c r="G1783" s="1816">
        <f t="shared" si="142"/>
        <v>12616</v>
      </c>
    </row>
    <row r="1784" spans="1:7" ht="15.75">
      <c r="A1784" s="1961">
        <f t="shared" si="143"/>
        <v>86025</v>
      </c>
      <c r="B1784" s="1815">
        <v>86000</v>
      </c>
      <c r="C1784" s="1815">
        <v>86050</v>
      </c>
      <c r="D1784" s="1816">
        <f t="shared" si="139"/>
        <v>14233</v>
      </c>
      <c r="E1784" s="1816">
        <f t="shared" si="140"/>
        <v>9883</v>
      </c>
      <c r="F1784" s="1816">
        <f t="shared" si="141"/>
        <v>14233</v>
      </c>
      <c r="G1784" s="1816">
        <f t="shared" si="142"/>
        <v>12627</v>
      </c>
    </row>
    <row r="1785" spans="1:7" ht="15.75">
      <c r="A1785" s="1961">
        <f t="shared" si="143"/>
        <v>86075</v>
      </c>
      <c r="B1785" s="1815">
        <v>86050</v>
      </c>
      <c r="C1785" s="1815">
        <v>86100</v>
      </c>
      <c r="D1785" s="1816">
        <f t="shared" si="139"/>
        <v>14244</v>
      </c>
      <c r="E1785" s="1816">
        <f t="shared" si="140"/>
        <v>9889</v>
      </c>
      <c r="F1785" s="1816">
        <f t="shared" si="141"/>
        <v>14244</v>
      </c>
      <c r="G1785" s="1816">
        <f t="shared" si="142"/>
        <v>12638</v>
      </c>
    </row>
    <row r="1786" spans="1:7" ht="15.75">
      <c r="A1786" s="1961">
        <f t="shared" si="143"/>
        <v>86125</v>
      </c>
      <c r="B1786" s="1815">
        <v>86100</v>
      </c>
      <c r="C1786" s="1815">
        <v>86150</v>
      </c>
      <c r="D1786" s="1816">
        <f t="shared" si="139"/>
        <v>14255</v>
      </c>
      <c r="E1786" s="1816">
        <f t="shared" si="140"/>
        <v>9895</v>
      </c>
      <c r="F1786" s="1816">
        <f t="shared" si="141"/>
        <v>14255</v>
      </c>
      <c r="G1786" s="1816">
        <f t="shared" si="142"/>
        <v>12649</v>
      </c>
    </row>
    <row r="1787" spans="1:7" ht="15.75">
      <c r="A1787" s="1961">
        <f t="shared" si="143"/>
        <v>86175</v>
      </c>
      <c r="B1787" s="1815">
        <v>86150</v>
      </c>
      <c r="C1787" s="1815">
        <v>86200</v>
      </c>
      <c r="D1787" s="1816">
        <f t="shared" si="139"/>
        <v>14266</v>
      </c>
      <c r="E1787" s="1816">
        <f t="shared" si="140"/>
        <v>9901</v>
      </c>
      <c r="F1787" s="1816">
        <f t="shared" si="141"/>
        <v>14266</v>
      </c>
      <c r="G1787" s="1816">
        <f t="shared" si="142"/>
        <v>12660</v>
      </c>
    </row>
    <row r="1788" spans="1:7" ht="15.75">
      <c r="A1788" s="1961">
        <f t="shared" si="143"/>
        <v>86225</v>
      </c>
      <c r="B1788" s="1815">
        <v>86200</v>
      </c>
      <c r="C1788" s="1815">
        <v>86250</v>
      </c>
      <c r="D1788" s="1816">
        <f t="shared" si="139"/>
        <v>14277</v>
      </c>
      <c r="E1788" s="1816">
        <f t="shared" si="140"/>
        <v>9907</v>
      </c>
      <c r="F1788" s="1816">
        <f t="shared" si="141"/>
        <v>14277</v>
      </c>
      <c r="G1788" s="1816">
        <f t="shared" si="142"/>
        <v>12671</v>
      </c>
    </row>
    <row r="1789" spans="1:7" ht="15.75">
      <c r="A1789" s="1961">
        <f t="shared" si="143"/>
        <v>86275</v>
      </c>
      <c r="B1789" s="1815">
        <v>86250</v>
      </c>
      <c r="C1789" s="1815">
        <v>86300</v>
      </c>
      <c r="D1789" s="1816">
        <f t="shared" si="139"/>
        <v>14288</v>
      </c>
      <c r="E1789" s="1816">
        <f t="shared" si="140"/>
        <v>9913</v>
      </c>
      <c r="F1789" s="1816">
        <f t="shared" si="141"/>
        <v>14288</v>
      </c>
      <c r="G1789" s="1816">
        <f t="shared" si="142"/>
        <v>12682</v>
      </c>
    </row>
    <row r="1790" spans="1:7" ht="15.75">
      <c r="A1790" s="1961">
        <f t="shared" si="143"/>
        <v>86325</v>
      </c>
      <c r="B1790" s="1815">
        <v>86300</v>
      </c>
      <c r="C1790" s="1815">
        <v>86350</v>
      </c>
      <c r="D1790" s="1816">
        <f t="shared" si="139"/>
        <v>14299</v>
      </c>
      <c r="E1790" s="1816">
        <f t="shared" si="140"/>
        <v>9919</v>
      </c>
      <c r="F1790" s="1816">
        <f t="shared" si="141"/>
        <v>14299</v>
      </c>
      <c r="G1790" s="1816">
        <f t="shared" si="142"/>
        <v>12693</v>
      </c>
    </row>
    <row r="1791" spans="1:7" ht="15.75">
      <c r="A1791" s="1961">
        <f t="shared" si="143"/>
        <v>86375</v>
      </c>
      <c r="B1791" s="1815">
        <v>86350</v>
      </c>
      <c r="C1791" s="1815">
        <v>86400</v>
      </c>
      <c r="D1791" s="1816">
        <f t="shared" si="139"/>
        <v>14310</v>
      </c>
      <c r="E1791" s="1816">
        <f t="shared" si="140"/>
        <v>9925</v>
      </c>
      <c r="F1791" s="1816">
        <f t="shared" si="141"/>
        <v>14310</v>
      </c>
      <c r="G1791" s="1816">
        <f t="shared" si="142"/>
        <v>12704</v>
      </c>
    </row>
    <row r="1792" spans="1:7" ht="15.75">
      <c r="A1792" s="1961">
        <f t="shared" si="143"/>
        <v>86425</v>
      </c>
      <c r="B1792" s="1815">
        <v>86400</v>
      </c>
      <c r="C1792" s="1815">
        <v>86450</v>
      </c>
      <c r="D1792" s="1816">
        <f t="shared" si="139"/>
        <v>14321</v>
      </c>
      <c r="E1792" s="1816">
        <f t="shared" si="140"/>
        <v>9931</v>
      </c>
      <c r="F1792" s="1816">
        <f t="shared" si="141"/>
        <v>14321</v>
      </c>
      <c r="G1792" s="1816">
        <f t="shared" si="142"/>
        <v>12715</v>
      </c>
    </row>
    <row r="1793" spans="1:7" ht="15.75">
      <c r="A1793" s="1961">
        <f t="shared" si="143"/>
        <v>86475</v>
      </c>
      <c r="B1793" s="1815">
        <v>86450</v>
      </c>
      <c r="C1793" s="1815">
        <v>86500</v>
      </c>
      <c r="D1793" s="1816">
        <f t="shared" si="139"/>
        <v>14332</v>
      </c>
      <c r="E1793" s="1816">
        <f t="shared" si="140"/>
        <v>9937</v>
      </c>
      <c r="F1793" s="1816">
        <f t="shared" si="141"/>
        <v>14332</v>
      </c>
      <c r="G1793" s="1816">
        <f t="shared" si="142"/>
        <v>12726</v>
      </c>
    </row>
    <row r="1794" spans="1:7" ht="15.75">
      <c r="A1794" s="1961">
        <f t="shared" si="143"/>
        <v>86525</v>
      </c>
      <c r="B1794" s="1815">
        <v>86500</v>
      </c>
      <c r="C1794" s="1815">
        <v>86550</v>
      </c>
      <c r="D1794" s="1816">
        <f t="shared" ref="D1794:D1857" si="144">IF($A1794&gt;BOTT_A4,ROUND(BASE_A4+RATE_A4*($A1794-BOTT_A4),0),IF($A1794&gt;BOTT_A3,ROUND(BASE_A3+RATE_A3*($A1794-BOTT_A3),0),IF($A1794&gt;BOTT_A2,ROUND(BASE_A2+RATE_A2*($A1794-BOTT_A2),0),ROUND(RATE_A1*$A1794,0))))</f>
        <v>14343</v>
      </c>
      <c r="E1794" s="1816">
        <f t="shared" ref="E1794:E1857" si="145">IF($A1794&gt;BOTT_B4,ROUND(BASE_B4+RATE_B4*($A1794-BOTT_B4),0),IF($A1794&gt;BOTT_B3,ROUND(BASE_B3+RATE_B3*($A1794-BOTT_B3),0),IF($A1794&gt;BOTT_B2,ROUND(BASE_B2+RATE_B2*($A1794-BOTT_B2),0),ROUND(RATE_B1*$A1794,0))))</f>
        <v>9943</v>
      </c>
      <c r="F1794" s="1816">
        <f t="shared" ref="F1794:F1857" si="146">IF($A1794&gt;BOTT_C4,ROUND(BASE_C4+RATE_C4*($A1794-BOTT_C4),0),IF($A1794&gt;BOTT_C3,ROUND(BASE_C3+RATE_C3*($A1794-BOTT_C3),0),IF($A1794&gt;BOTT_C2,ROUND(BASE_C2+RATE_C2*($A1794-BOTT_C2),0),ROUND(RATE_C1*$A1794,0))))</f>
        <v>14343</v>
      </c>
      <c r="G1794" s="1816">
        <f t="shared" ref="G1794:G1857" si="147">IF($A1794&gt;BOTT_D4,ROUND(BASE_D4+RATE_D4*($A1794-BOTT_D4),0),IF($A1794&gt;BOTT_D3,ROUND(BASE_D3+RATE_D3*($A1794-BOTT_D3),0),IF($A1794&gt;BOTT_D2,ROUND(BASE_D2+RATE_D2*($A1794-BOTT_D2),0),ROUND(RATE_D1*$A1794,0))))</f>
        <v>12737</v>
      </c>
    </row>
    <row r="1795" spans="1:7" ht="15.75">
      <c r="A1795" s="1961">
        <f t="shared" ref="A1795:A1858" si="148">AVERAGE(B1795,C1795)</f>
        <v>86575</v>
      </c>
      <c r="B1795" s="1815">
        <v>86550</v>
      </c>
      <c r="C1795" s="1815">
        <v>86600</v>
      </c>
      <c r="D1795" s="1816">
        <f t="shared" si="144"/>
        <v>14354</v>
      </c>
      <c r="E1795" s="1816">
        <f t="shared" si="145"/>
        <v>9949</v>
      </c>
      <c r="F1795" s="1816">
        <f t="shared" si="146"/>
        <v>14354</v>
      </c>
      <c r="G1795" s="1816">
        <f t="shared" si="147"/>
        <v>12748</v>
      </c>
    </row>
    <row r="1796" spans="1:7" ht="15.75">
      <c r="A1796" s="1961">
        <f t="shared" si="148"/>
        <v>86625</v>
      </c>
      <c r="B1796" s="1815">
        <v>86600</v>
      </c>
      <c r="C1796" s="1815">
        <v>86650</v>
      </c>
      <c r="D1796" s="1816">
        <f t="shared" si="144"/>
        <v>14365</v>
      </c>
      <c r="E1796" s="1816">
        <f t="shared" si="145"/>
        <v>9955</v>
      </c>
      <c r="F1796" s="1816">
        <f t="shared" si="146"/>
        <v>14365</v>
      </c>
      <c r="G1796" s="1816">
        <f t="shared" si="147"/>
        <v>12759</v>
      </c>
    </row>
    <row r="1797" spans="1:7" ht="15.75">
      <c r="A1797" s="1961">
        <f t="shared" si="148"/>
        <v>86675</v>
      </c>
      <c r="B1797" s="1815">
        <v>86650</v>
      </c>
      <c r="C1797" s="1815">
        <v>86700</v>
      </c>
      <c r="D1797" s="1816">
        <f t="shared" si="144"/>
        <v>14376</v>
      </c>
      <c r="E1797" s="1816">
        <f t="shared" si="145"/>
        <v>9961</v>
      </c>
      <c r="F1797" s="1816">
        <f t="shared" si="146"/>
        <v>14376</v>
      </c>
      <c r="G1797" s="1816">
        <f t="shared" si="147"/>
        <v>12770</v>
      </c>
    </row>
    <row r="1798" spans="1:7" ht="15.75">
      <c r="A1798" s="1961">
        <f t="shared" si="148"/>
        <v>86725</v>
      </c>
      <c r="B1798" s="1815">
        <v>86700</v>
      </c>
      <c r="C1798" s="1815">
        <v>86750</v>
      </c>
      <c r="D1798" s="1816">
        <f t="shared" si="144"/>
        <v>14387</v>
      </c>
      <c r="E1798" s="1816">
        <f t="shared" si="145"/>
        <v>9967</v>
      </c>
      <c r="F1798" s="1816">
        <f t="shared" si="146"/>
        <v>14387</v>
      </c>
      <c r="G1798" s="1816">
        <f t="shared" si="147"/>
        <v>12781</v>
      </c>
    </row>
    <row r="1799" spans="1:7" ht="15.75">
      <c r="A1799" s="1961">
        <f t="shared" si="148"/>
        <v>86775</v>
      </c>
      <c r="B1799" s="1815">
        <v>86750</v>
      </c>
      <c r="C1799" s="1815">
        <v>86800</v>
      </c>
      <c r="D1799" s="1816">
        <f t="shared" si="144"/>
        <v>14398</v>
      </c>
      <c r="E1799" s="1816">
        <f t="shared" si="145"/>
        <v>9973</v>
      </c>
      <c r="F1799" s="1816">
        <f t="shared" si="146"/>
        <v>14398</v>
      </c>
      <c r="G1799" s="1816">
        <f t="shared" si="147"/>
        <v>12792</v>
      </c>
    </row>
    <row r="1800" spans="1:7" ht="15.75">
      <c r="A1800" s="1961">
        <f t="shared" si="148"/>
        <v>86825</v>
      </c>
      <c r="B1800" s="1815">
        <v>86800</v>
      </c>
      <c r="C1800" s="1815">
        <v>86850</v>
      </c>
      <c r="D1800" s="1816">
        <f t="shared" si="144"/>
        <v>14409</v>
      </c>
      <c r="E1800" s="1816">
        <f t="shared" si="145"/>
        <v>9979</v>
      </c>
      <c r="F1800" s="1816">
        <f t="shared" si="146"/>
        <v>14409</v>
      </c>
      <c r="G1800" s="1816">
        <f t="shared" si="147"/>
        <v>12803</v>
      </c>
    </row>
    <row r="1801" spans="1:7" ht="15.75">
      <c r="A1801" s="1961">
        <f t="shared" si="148"/>
        <v>86875</v>
      </c>
      <c r="B1801" s="1815">
        <v>86850</v>
      </c>
      <c r="C1801" s="1815">
        <v>86900</v>
      </c>
      <c r="D1801" s="1816">
        <f t="shared" si="144"/>
        <v>14420</v>
      </c>
      <c r="E1801" s="1816">
        <f t="shared" si="145"/>
        <v>9985</v>
      </c>
      <c r="F1801" s="1816">
        <f t="shared" si="146"/>
        <v>14420</v>
      </c>
      <c r="G1801" s="1816">
        <f t="shared" si="147"/>
        <v>12814</v>
      </c>
    </row>
    <row r="1802" spans="1:7" ht="15.75">
      <c r="A1802" s="1961">
        <f t="shared" si="148"/>
        <v>86925</v>
      </c>
      <c r="B1802" s="1815">
        <v>86900</v>
      </c>
      <c r="C1802" s="1815">
        <v>86950</v>
      </c>
      <c r="D1802" s="1816">
        <f t="shared" si="144"/>
        <v>14431</v>
      </c>
      <c r="E1802" s="1816">
        <f t="shared" si="145"/>
        <v>9991</v>
      </c>
      <c r="F1802" s="1816">
        <f t="shared" si="146"/>
        <v>14431</v>
      </c>
      <c r="G1802" s="1816">
        <f t="shared" si="147"/>
        <v>12825</v>
      </c>
    </row>
    <row r="1803" spans="1:7" ht="15.75">
      <c r="A1803" s="1961">
        <f t="shared" si="148"/>
        <v>86975</v>
      </c>
      <c r="B1803" s="1815">
        <v>86950</v>
      </c>
      <c r="C1803" s="1815">
        <v>87000</v>
      </c>
      <c r="D1803" s="1816">
        <f t="shared" si="144"/>
        <v>14442</v>
      </c>
      <c r="E1803" s="1816">
        <f t="shared" si="145"/>
        <v>9997</v>
      </c>
      <c r="F1803" s="1816">
        <f t="shared" si="146"/>
        <v>14442</v>
      </c>
      <c r="G1803" s="1816">
        <f t="shared" si="147"/>
        <v>12836</v>
      </c>
    </row>
    <row r="1804" spans="1:7" ht="15.75">
      <c r="A1804" s="1961">
        <f t="shared" si="148"/>
        <v>87025</v>
      </c>
      <c r="B1804" s="1815">
        <v>87000</v>
      </c>
      <c r="C1804" s="1815">
        <v>87050</v>
      </c>
      <c r="D1804" s="1816">
        <f t="shared" si="144"/>
        <v>14453</v>
      </c>
      <c r="E1804" s="1816">
        <f t="shared" si="145"/>
        <v>10003</v>
      </c>
      <c r="F1804" s="1816">
        <f t="shared" si="146"/>
        <v>14453</v>
      </c>
      <c r="G1804" s="1816">
        <f t="shared" si="147"/>
        <v>12847</v>
      </c>
    </row>
    <row r="1805" spans="1:7" ht="15.75">
      <c r="A1805" s="1961">
        <f t="shared" si="148"/>
        <v>87075</v>
      </c>
      <c r="B1805" s="1815">
        <v>87050</v>
      </c>
      <c r="C1805" s="1815">
        <v>87100</v>
      </c>
      <c r="D1805" s="1816">
        <f t="shared" si="144"/>
        <v>14464</v>
      </c>
      <c r="E1805" s="1816">
        <f t="shared" si="145"/>
        <v>10009</v>
      </c>
      <c r="F1805" s="1816">
        <f t="shared" si="146"/>
        <v>14464</v>
      </c>
      <c r="G1805" s="1816">
        <f t="shared" si="147"/>
        <v>12858</v>
      </c>
    </row>
    <row r="1806" spans="1:7" ht="15.75">
      <c r="A1806" s="1961">
        <f t="shared" si="148"/>
        <v>87125</v>
      </c>
      <c r="B1806" s="1815">
        <v>87100</v>
      </c>
      <c r="C1806" s="1815">
        <v>87150</v>
      </c>
      <c r="D1806" s="1816">
        <f t="shared" si="144"/>
        <v>14475</v>
      </c>
      <c r="E1806" s="1816">
        <f t="shared" si="145"/>
        <v>10015</v>
      </c>
      <c r="F1806" s="1816">
        <f t="shared" si="146"/>
        <v>14475</v>
      </c>
      <c r="G1806" s="1816">
        <f t="shared" si="147"/>
        <v>12869</v>
      </c>
    </row>
    <row r="1807" spans="1:7" ht="15.75">
      <c r="A1807" s="1961">
        <f t="shared" si="148"/>
        <v>87175</v>
      </c>
      <c r="B1807" s="1815">
        <v>87150</v>
      </c>
      <c r="C1807" s="1815">
        <v>87200</v>
      </c>
      <c r="D1807" s="1816">
        <f t="shared" si="144"/>
        <v>14486</v>
      </c>
      <c r="E1807" s="1816">
        <f t="shared" si="145"/>
        <v>10021</v>
      </c>
      <c r="F1807" s="1816">
        <f t="shared" si="146"/>
        <v>14486</v>
      </c>
      <c r="G1807" s="1816">
        <f t="shared" si="147"/>
        <v>12880</v>
      </c>
    </row>
    <row r="1808" spans="1:7" ht="15.75">
      <c r="A1808" s="1961">
        <f t="shared" si="148"/>
        <v>87225</v>
      </c>
      <c r="B1808" s="1815">
        <v>87200</v>
      </c>
      <c r="C1808" s="1815">
        <v>87250</v>
      </c>
      <c r="D1808" s="1816">
        <f t="shared" si="144"/>
        <v>14497</v>
      </c>
      <c r="E1808" s="1816">
        <f t="shared" si="145"/>
        <v>10027</v>
      </c>
      <c r="F1808" s="1816">
        <f t="shared" si="146"/>
        <v>14497</v>
      </c>
      <c r="G1808" s="1816">
        <f t="shared" si="147"/>
        <v>12891</v>
      </c>
    </row>
    <row r="1809" spans="1:7" ht="15.75">
      <c r="A1809" s="1961">
        <f t="shared" si="148"/>
        <v>87275</v>
      </c>
      <c r="B1809" s="1815">
        <v>87250</v>
      </c>
      <c r="C1809" s="1815">
        <v>87300</v>
      </c>
      <c r="D1809" s="1816">
        <f t="shared" si="144"/>
        <v>14508</v>
      </c>
      <c r="E1809" s="1816">
        <f t="shared" si="145"/>
        <v>10033</v>
      </c>
      <c r="F1809" s="1816">
        <f t="shared" si="146"/>
        <v>14508</v>
      </c>
      <c r="G1809" s="1816">
        <f t="shared" si="147"/>
        <v>12902</v>
      </c>
    </row>
    <row r="1810" spans="1:7" ht="15.75">
      <c r="A1810" s="1961">
        <f t="shared" si="148"/>
        <v>87325</v>
      </c>
      <c r="B1810" s="1815">
        <v>87300</v>
      </c>
      <c r="C1810" s="1815">
        <v>87350</v>
      </c>
      <c r="D1810" s="1816">
        <f t="shared" si="144"/>
        <v>14519</v>
      </c>
      <c r="E1810" s="1816">
        <f t="shared" si="145"/>
        <v>10039</v>
      </c>
      <c r="F1810" s="1816">
        <f t="shared" si="146"/>
        <v>14519</v>
      </c>
      <c r="G1810" s="1816">
        <f t="shared" si="147"/>
        <v>12913</v>
      </c>
    </row>
    <row r="1811" spans="1:7" ht="15.75">
      <c r="A1811" s="1961">
        <f t="shared" si="148"/>
        <v>87375</v>
      </c>
      <c r="B1811" s="1815">
        <v>87350</v>
      </c>
      <c r="C1811" s="1815">
        <v>87400</v>
      </c>
      <c r="D1811" s="1816">
        <f t="shared" si="144"/>
        <v>14530</v>
      </c>
      <c r="E1811" s="1816">
        <f t="shared" si="145"/>
        <v>10045</v>
      </c>
      <c r="F1811" s="1816">
        <f t="shared" si="146"/>
        <v>14530</v>
      </c>
      <c r="G1811" s="1816">
        <f t="shared" si="147"/>
        <v>12924</v>
      </c>
    </row>
    <row r="1812" spans="1:7" ht="15.75">
      <c r="A1812" s="1961">
        <f t="shared" si="148"/>
        <v>87425</v>
      </c>
      <c r="B1812" s="1815">
        <v>87400</v>
      </c>
      <c r="C1812" s="1815">
        <v>87450</v>
      </c>
      <c r="D1812" s="1816">
        <f t="shared" si="144"/>
        <v>14541</v>
      </c>
      <c r="E1812" s="1816">
        <f t="shared" si="145"/>
        <v>10051</v>
      </c>
      <c r="F1812" s="1816">
        <f t="shared" si="146"/>
        <v>14541</v>
      </c>
      <c r="G1812" s="1816">
        <f t="shared" si="147"/>
        <v>12935</v>
      </c>
    </row>
    <row r="1813" spans="1:7" ht="15.75">
      <c r="A1813" s="1961">
        <f t="shared" si="148"/>
        <v>87475</v>
      </c>
      <c r="B1813" s="1815">
        <v>87450</v>
      </c>
      <c r="C1813" s="1815">
        <v>87500</v>
      </c>
      <c r="D1813" s="1816">
        <f t="shared" si="144"/>
        <v>14552</v>
      </c>
      <c r="E1813" s="1816">
        <f t="shared" si="145"/>
        <v>10057</v>
      </c>
      <c r="F1813" s="1816">
        <f t="shared" si="146"/>
        <v>14552</v>
      </c>
      <c r="G1813" s="1816">
        <f t="shared" si="147"/>
        <v>12946</v>
      </c>
    </row>
    <row r="1814" spans="1:7" ht="15.75">
      <c r="A1814" s="1961">
        <f t="shared" si="148"/>
        <v>87525</v>
      </c>
      <c r="B1814" s="1815">
        <v>87500</v>
      </c>
      <c r="C1814" s="1815">
        <v>87550</v>
      </c>
      <c r="D1814" s="1816">
        <f t="shared" si="144"/>
        <v>14563</v>
      </c>
      <c r="E1814" s="1816">
        <f t="shared" si="145"/>
        <v>10063</v>
      </c>
      <c r="F1814" s="1816">
        <f t="shared" si="146"/>
        <v>14563</v>
      </c>
      <c r="G1814" s="1816">
        <f t="shared" si="147"/>
        <v>12957</v>
      </c>
    </row>
    <row r="1815" spans="1:7" ht="15.75">
      <c r="A1815" s="1961">
        <f t="shared" si="148"/>
        <v>87575</v>
      </c>
      <c r="B1815" s="1815">
        <v>87550</v>
      </c>
      <c r="C1815" s="1815">
        <v>87600</v>
      </c>
      <c r="D1815" s="1816">
        <f t="shared" si="144"/>
        <v>14574</v>
      </c>
      <c r="E1815" s="1816">
        <f t="shared" si="145"/>
        <v>10069</v>
      </c>
      <c r="F1815" s="1816">
        <f t="shared" si="146"/>
        <v>14574</v>
      </c>
      <c r="G1815" s="1816">
        <f t="shared" si="147"/>
        <v>12968</v>
      </c>
    </row>
    <row r="1816" spans="1:7" ht="15.75">
      <c r="A1816" s="1961">
        <f t="shared" si="148"/>
        <v>87625</v>
      </c>
      <c r="B1816" s="1815">
        <v>87600</v>
      </c>
      <c r="C1816" s="1815">
        <v>87650</v>
      </c>
      <c r="D1816" s="1816">
        <f t="shared" si="144"/>
        <v>14585</v>
      </c>
      <c r="E1816" s="1816">
        <f t="shared" si="145"/>
        <v>10075</v>
      </c>
      <c r="F1816" s="1816">
        <f t="shared" si="146"/>
        <v>14585</v>
      </c>
      <c r="G1816" s="1816">
        <f t="shared" si="147"/>
        <v>12979</v>
      </c>
    </row>
    <row r="1817" spans="1:7" ht="15.75">
      <c r="A1817" s="1961">
        <f t="shared" si="148"/>
        <v>87675</v>
      </c>
      <c r="B1817" s="1815">
        <v>87650</v>
      </c>
      <c r="C1817" s="1815">
        <v>87700</v>
      </c>
      <c r="D1817" s="1816">
        <f t="shared" si="144"/>
        <v>14596</v>
      </c>
      <c r="E1817" s="1816">
        <f t="shared" si="145"/>
        <v>10081</v>
      </c>
      <c r="F1817" s="1816">
        <f t="shared" si="146"/>
        <v>14596</v>
      </c>
      <c r="G1817" s="1816">
        <f t="shared" si="147"/>
        <v>12990</v>
      </c>
    </row>
    <row r="1818" spans="1:7" ht="15.75">
      <c r="A1818" s="1961">
        <f t="shared" si="148"/>
        <v>87725</v>
      </c>
      <c r="B1818" s="1815">
        <v>87700</v>
      </c>
      <c r="C1818" s="1815">
        <v>87750</v>
      </c>
      <c r="D1818" s="1816">
        <f t="shared" si="144"/>
        <v>14607</v>
      </c>
      <c r="E1818" s="1816">
        <f t="shared" si="145"/>
        <v>10087</v>
      </c>
      <c r="F1818" s="1816">
        <f t="shared" si="146"/>
        <v>14607</v>
      </c>
      <c r="G1818" s="1816">
        <f t="shared" si="147"/>
        <v>13001</v>
      </c>
    </row>
    <row r="1819" spans="1:7" ht="15.75">
      <c r="A1819" s="1961">
        <f t="shared" si="148"/>
        <v>87775</v>
      </c>
      <c r="B1819" s="1815">
        <v>87750</v>
      </c>
      <c r="C1819" s="1815">
        <v>87800</v>
      </c>
      <c r="D1819" s="1816">
        <f t="shared" si="144"/>
        <v>14618</v>
      </c>
      <c r="E1819" s="1816">
        <f t="shared" si="145"/>
        <v>10093</v>
      </c>
      <c r="F1819" s="1816">
        <f t="shared" si="146"/>
        <v>14618</v>
      </c>
      <c r="G1819" s="1816">
        <f t="shared" si="147"/>
        <v>13012</v>
      </c>
    </row>
    <row r="1820" spans="1:7" ht="15.75">
      <c r="A1820" s="1961">
        <f t="shared" si="148"/>
        <v>87825</v>
      </c>
      <c r="B1820" s="1815">
        <v>87800</v>
      </c>
      <c r="C1820" s="1815">
        <v>87850</v>
      </c>
      <c r="D1820" s="1816">
        <f t="shared" si="144"/>
        <v>14629</v>
      </c>
      <c r="E1820" s="1816">
        <f t="shared" si="145"/>
        <v>10099</v>
      </c>
      <c r="F1820" s="1816">
        <f t="shared" si="146"/>
        <v>14629</v>
      </c>
      <c r="G1820" s="1816">
        <f t="shared" si="147"/>
        <v>13023</v>
      </c>
    </row>
    <row r="1821" spans="1:7" ht="15.75">
      <c r="A1821" s="1961">
        <f t="shared" si="148"/>
        <v>87875</v>
      </c>
      <c r="B1821" s="1815">
        <v>87850</v>
      </c>
      <c r="C1821" s="1815">
        <v>87900</v>
      </c>
      <c r="D1821" s="1816">
        <f t="shared" si="144"/>
        <v>14640</v>
      </c>
      <c r="E1821" s="1816">
        <f t="shared" si="145"/>
        <v>10105</v>
      </c>
      <c r="F1821" s="1816">
        <f t="shared" si="146"/>
        <v>14640</v>
      </c>
      <c r="G1821" s="1816">
        <f t="shared" si="147"/>
        <v>13034</v>
      </c>
    </row>
    <row r="1822" spans="1:7" ht="15.75">
      <c r="A1822" s="1961">
        <f t="shared" si="148"/>
        <v>87925</v>
      </c>
      <c r="B1822" s="1815">
        <v>87900</v>
      </c>
      <c r="C1822" s="1815">
        <v>87950</v>
      </c>
      <c r="D1822" s="1816">
        <f t="shared" si="144"/>
        <v>14651</v>
      </c>
      <c r="E1822" s="1816">
        <f t="shared" si="145"/>
        <v>10111</v>
      </c>
      <c r="F1822" s="1816">
        <f t="shared" si="146"/>
        <v>14651</v>
      </c>
      <c r="G1822" s="1816">
        <f t="shared" si="147"/>
        <v>13045</v>
      </c>
    </row>
    <row r="1823" spans="1:7" ht="15.75">
      <c r="A1823" s="1961">
        <f t="shared" si="148"/>
        <v>87975</v>
      </c>
      <c r="B1823" s="1815">
        <v>87950</v>
      </c>
      <c r="C1823" s="1815">
        <v>88000</v>
      </c>
      <c r="D1823" s="1816">
        <f t="shared" si="144"/>
        <v>14662</v>
      </c>
      <c r="E1823" s="1816">
        <f t="shared" si="145"/>
        <v>10117</v>
      </c>
      <c r="F1823" s="1816">
        <f t="shared" si="146"/>
        <v>14662</v>
      </c>
      <c r="G1823" s="1816">
        <f t="shared" si="147"/>
        <v>13056</v>
      </c>
    </row>
    <row r="1824" spans="1:7" ht="15.75">
      <c r="A1824" s="1961">
        <f t="shared" si="148"/>
        <v>88025</v>
      </c>
      <c r="B1824" s="1815">
        <v>88000</v>
      </c>
      <c r="C1824" s="1815">
        <v>88050</v>
      </c>
      <c r="D1824" s="1816">
        <f t="shared" si="144"/>
        <v>14673</v>
      </c>
      <c r="E1824" s="1816">
        <f t="shared" si="145"/>
        <v>10123</v>
      </c>
      <c r="F1824" s="1816">
        <f t="shared" si="146"/>
        <v>14673</v>
      </c>
      <c r="G1824" s="1816">
        <f t="shared" si="147"/>
        <v>13067</v>
      </c>
    </row>
    <row r="1825" spans="1:7" ht="15.75">
      <c r="A1825" s="1961">
        <f t="shared" si="148"/>
        <v>88075</v>
      </c>
      <c r="B1825" s="1815">
        <v>88050</v>
      </c>
      <c r="C1825" s="1815">
        <v>88100</v>
      </c>
      <c r="D1825" s="1816">
        <f t="shared" si="144"/>
        <v>14684</v>
      </c>
      <c r="E1825" s="1816">
        <f t="shared" si="145"/>
        <v>10129</v>
      </c>
      <c r="F1825" s="1816">
        <f t="shared" si="146"/>
        <v>14684</v>
      </c>
      <c r="G1825" s="1816">
        <f t="shared" si="147"/>
        <v>13078</v>
      </c>
    </row>
    <row r="1826" spans="1:7" ht="15.75">
      <c r="A1826" s="1961">
        <f t="shared" si="148"/>
        <v>88125</v>
      </c>
      <c r="B1826" s="1815">
        <v>88100</v>
      </c>
      <c r="C1826" s="1815">
        <v>88150</v>
      </c>
      <c r="D1826" s="1816">
        <f t="shared" si="144"/>
        <v>14695</v>
      </c>
      <c r="E1826" s="1816">
        <f t="shared" si="145"/>
        <v>10135</v>
      </c>
      <c r="F1826" s="1816">
        <f t="shared" si="146"/>
        <v>14695</v>
      </c>
      <c r="G1826" s="1816">
        <f t="shared" si="147"/>
        <v>13089</v>
      </c>
    </row>
    <row r="1827" spans="1:7" ht="15.75">
      <c r="A1827" s="1961">
        <f t="shared" si="148"/>
        <v>88175</v>
      </c>
      <c r="B1827" s="1815">
        <v>88150</v>
      </c>
      <c r="C1827" s="1815">
        <v>88200</v>
      </c>
      <c r="D1827" s="1816">
        <f t="shared" si="144"/>
        <v>14706</v>
      </c>
      <c r="E1827" s="1816">
        <f t="shared" si="145"/>
        <v>10141</v>
      </c>
      <c r="F1827" s="1816">
        <f t="shared" si="146"/>
        <v>14706</v>
      </c>
      <c r="G1827" s="1816">
        <f t="shared" si="147"/>
        <v>13100</v>
      </c>
    </row>
    <row r="1828" spans="1:7" ht="15.75">
      <c r="A1828" s="1961">
        <f t="shared" si="148"/>
        <v>88225</v>
      </c>
      <c r="B1828" s="1815">
        <v>88200</v>
      </c>
      <c r="C1828" s="1815">
        <v>88250</v>
      </c>
      <c r="D1828" s="1816">
        <f t="shared" si="144"/>
        <v>14717</v>
      </c>
      <c r="E1828" s="1816">
        <f t="shared" si="145"/>
        <v>10147</v>
      </c>
      <c r="F1828" s="1816">
        <f t="shared" si="146"/>
        <v>14717</v>
      </c>
      <c r="G1828" s="1816">
        <f t="shared" si="147"/>
        <v>13111</v>
      </c>
    </row>
    <row r="1829" spans="1:7" ht="15.75">
      <c r="A1829" s="1961">
        <f t="shared" si="148"/>
        <v>88275</v>
      </c>
      <c r="B1829" s="1815">
        <v>88250</v>
      </c>
      <c r="C1829" s="1815">
        <v>88300</v>
      </c>
      <c r="D1829" s="1816">
        <f t="shared" si="144"/>
        <v>14728</v>
      </c>
      <c r="E1829" s="1816">
        <f t="shared" si="145"/>
        <v>10153</v>
      </c>
      <c r="F1829" s="1816">
        <f t="shared" si="146"/>
        <v>14728</v>
      </c>
      <c r="G1829" s="1816">
        <f t="shared" si="147"/>
        <v>13122</v>
      </c>
    </row>
    <row r="1830" spans="1:7" ht="15.75">
      <c r="A1830" s="1961">
        <f t="shared" si="148"/>
        <v>88325</v>
      </c>
      <c r="B1830" s="1815">
        <v>88300</v>
      </c>
      <c r="C1830" s="1815">
        <v>88350</v>
      </c>
      <c r="D1830" s="1816">
        <f t="shared" si="144"/>
        <v>14739</v>
      </c>
      <c r="E1830" s="1816">
        <f t="shared" si="145"/>
        <v>10159</v>
      </c>
      <c r="F1830" s="1816">
        <f t="shared" si="146"/>
        <v>14739</v>
      </c>
      <c r="G1830" s="1816">
        <f t="shared" si="147"/>
        <v>13133</v>
      </c>
    </row>
    <row r="1831" spans="1:7" ht="15.75">
      <c r="A1831" s="1961">
        <f t="shared" si="148"/>
        <v>88375</v>
      </c>
      <c r="B1831" s="1815">
        <v>88350</v>
      </c>
      <c r="C1831" s="1815">
        <v>88400</v>
      </c>
      <c r="D1831" s="1816">
        <f t="shared" si="144"/>
        <v>14750</v>
      </c>
      <c r="E1831" s="1816">
        <f t="shared" si="145"/>
        <v>10165</v>
      </c>
      <c r="F1831" s="1816">
        <f t="shared" si="146"/>
        <v>14750</v>
      </c>
      <c r="G1831" s="1816">
        <f t="shared" si="147"/>
        <v>13144</v>
      </c>
    </row>
    <row r="1832" spans="1:7" ht="15.75">
      <c r="A1832" s="1961">
        <f t="shared" si="148"/>
        <v>88425</v>
      </c>
      <c r="B1832" s="1815">
        <v>88400</v>
      </c>
      <c r="C1832" s="1815">
        <v>88450</v>
      </c>
      <c r="D1832" s="1816">
        <f t="shared" si="144"/>
        <v>14761</v>
      </c>
      <c r="E1832" s="1816">
        <f t="shared" si="145"/>
        <v>10171</v>
      </c>
      <c r="F1832" s="1816">
        <f t="shared" si="146"/>
        <v>14761</v>
      </c>
      <c r="G1832" s="1816">
        <f t="shared" si="147"/>
        <v>13155</v>
      </c>
    </row>
    <row r="1833" spans="1:7" ht="15.75">
      <c r="A1833" s="1961">
        <f t="shared" si="148"/>
        <v>88475</v>
      </c>
      <c r="B1833" s="1815">
        <v>88450</v>
      </c>
      <c r="C1833" s="1815">
        <v>88500</v>
      </c>
      <c r="D1833" s="1816">
        <f t="shared" si="144"/>
        <v>14772</v>
      </c>
      <c r="E1833" s="1816">
        <f t="shared" si="145"/>
        <v>10177</v>
      </c>
      <c r="F1833" s="1816">
        <f t="shared" si="146"/>
        <v>14772</v>
      </c>
      <c r="G1833" s="1816">
        <f t="shared" si="147"/>
        <v>13166</v>
      </c>
    </row>
    <row r="1834" spans="1:7" ht="15.75">
      <c r="A1834" s="1961">
        <f t="shared" si="148"/>
        <v>88525</v>
      </c>
      <c r="B1834" s="1815">
        <v>88500</v>
      </c>
      <c r="C1834" s="1815">
        <v>88550</v>
      </c>
      <c r="D1834" s="1816">
        <f t="shared" si="144"/>
        <v>14783</v>
      </c>
      <c r="E1834" s="1816">
        <f t="shared" si="145"/>
        <v>10183</v>
      </c>
      <c r="F1834" s="1816">
        <f t="shared" si="146"/>
        <v>14783</v>
      </c>
      <c r="G1834" s="1816">
        <f t="shared" si="147"/>
        <v>13177</v>
      </c>
    </row>
    <row r="1835" spans="1:7" ht="15.75">
      <c r="A1835" s="1961">
        <f t="shared" si="148"/>
        <v>88575</v>
      </c>
      <c r="B1835" s="1815">
        <v>88550</v>
      </c>
      <c r="C1835" s="1815">
        <v>88600</v>
      </c>
      <c r="D1835" s="1816">
        <f t="shared" si="144"/>
        <v>14794</v>
      </c>
      <c r="E1835" s="1816">
        <f t="shared" si="145"/>
        <v>10189</v>
      </c>
      <c r="F1835" s="1816">
        <f t="shared" si="146"/>
        <v>14794</v>
      </c>
      <c r="G1835" s="1816">
        <f t="shared" si="147"/>
        <v>13188</v>
      </c>
    </row>
    <row r="1836" spans="1:7" ht="15.75">
      <c r="A1836" s="1961">
        <f t="shared" si="148"/>
        <v>88625</v>
      </c>
      <c r="B1836" s="1815">
        <v>88600</v>
      </c>
      <c r="C1836" s="1815">
        <v>88650</v>
      </c>
      <c r="D1836" s="1816">
        <f t="shared" si="144"/>
        <v>14805</v>
      </c>
      <c r="E1836" s="1816">
        <f t="shared" si="145"/>
        <v>10195</v>
      </c>
      <c r="F1836" s="1816">
        <f t="shared" si="146"/>
        <v>14805</v>
      </c>
      <c r="G1836" s="1816">
        <f t="shared" si="147"/>
        <v>13199</v>
      </c>
    </row>
    <row r="1837" spans="1:7" ht="15.75">
      <c r="A1837" s="1961">
        <f t="shared" si="148"/>
        <v>88675</v>
      </c>
      <c r="B1837" s="1815">
        <v>88650</v>
      </c>
      <c r="C1837" s="1815">
        <v>88700</v>
      </c>
      <c r="D1837" s="1816">
        <f t="shared" si="144"/>
        <v>14816</v>
      </c>
      <c r="E1837" s="1816">
        <f t="shared" si="145"/>
        <v>10201</v>
      </c>
      <c r="F1837" s="1816">
        <f t="shared" si="146"/>
        <v>14816</v>
      </c>
      <c r="G1837" s="1816">
        <f t="shared" si="147"/>
        <v>13210</v>
      </c>
    </row>
    <row r="1838" spans="1:7" ht="15.75">
      <c r="A1838" s="1961">
        <f t="shared" si="148"/>
        <v>88725</v>
      </c>
      <c r="B1838" s="1815">
        <v>88700</v>
      </c>
      <c r="C1838" s="1815">
        <v>88750</v>
      </c>
      <c r="D1838" s="1816">
        <f t="shared" si="144"/>
        <v>14827</v>
      </c>
      <c r="E1838" s="1816">
        <f t="shared" si="145"/>
        <v>10207</v>
      </c>
      <c r="F1838" s="1816">
        <f t="shared" si="146"/>
        <v>14827</v>
      </c>
      <c r="G1838" s="1816">
        <f t="shared" si="147"/>
        <v>13221</v>
      </c>
    </row>
    <row r="1839" spans="1:7" ht="15.75">
      <c r="A1839" s="1961">
        <f t="shared" si="148"/>
        <v>88775</v>
      </c>
      <c r="B1839" s="1815">
        <v>88750</v>
      </c>
      <c r="C1839" s="1815">
        <v>88800</v>
      </c>
      <c r="D1839" s="1816">
        <f t="shared" si="144"/>
        <v>14838</v>
      </c>
      <c r="E1839" s="1816">
        <f t="shared" si="145"/>
        <v>10213</v>
      </c>
      <c r="F1839" s="1816">
        <f t="shared" si="146"/>
        <v>14838</v>
      </c>
      <c r="G1839" s="1816">
        <f t="shared" si="147"/>
        <v>13232</v>
      </c>
    </row>
    <row r="1840" spans="1:7" ht="15.75">
      <c r="A1840" s="1961">
        <f t="shared" si="148"/>
        <v>88825</v>
      </c>
      <c r="B1840" s="1815">
        <v>88800</v>
      </c>
      <c r="C1840" s="1815">
        <v>88850</v>
      </c>
      <c r="D1840" s="1816">
        <f t="shared" si="144"/>
        <v>14849</v>
      </c>
      <c r="E1840" s="1816">
        <f t="shared" si="145"/>
        <v>10219</v>
      </c>
      <c r="F1840" s="1816">
        <f t="shared" si="146"/>
        <v>14849</v>
      </c>
      <c r="G1840" s="1816">
        <f t="shared" si="147"/>
        <v>13243</v>
      </c>
    </row>
    <row r="1841" spans="1:7" ht="15.75">
      <c r="A1841" s="1961">
        <f t="shared" si="148"/>
        <v>88875</v>
      </c>
      <c r="B1841" s="1815">
        <v>88850</v>
      </c>
      <c r="C1841" s="1815">
        <v>88900</v>
      </c>
      <c r="D1841" s="1816">
        <f t="shared" si="144"/>
        <v>14860</v>
      </c>
      <c r="E1841" s="1816">
        <f t="shared" si="145"/>
        <v>10225</v>
      </c>
      <c r="F1841" s="1816">
        <f t="shared" si="146"/>
        <v>14860</v>
      </c>
      <c r="G1841" s="1816">
        <f t="shared" si="147"/>
        <v>13254</v>
      </c>
    </row>
    <row r="1842" spans="1:7" ht="15.75">
      <c r="A1842" s="1961">
        <f t="shared" si="148"/>
        <v>88925</v>
      </c>
      <c r="B1842" s="1815">
        <v>88900</v>
      </c>
      <c r="C1842" s="1815">
        <v>88950</v>
      </c>
      <c r="D1842" s="1816">
        <f t="shared" si="144"/>
        <v>14871</v>
      </c>
      <c r="E1842" s="1816">
        <f t="shared" si="145"/>
        <v>10231</v>
      </c>
      <c r="F1842" s="1816">
        <f t="shared" si="146"/>
        <v>14871</v>
      </c>
      <c r="G1842" s="1816">
        <f t="shared" si="147"/>
        <v>13265</v>
      </c>
    </row>
    <row r="1843" spans="1:7" ht="15.75">
      <c r="A1843" s="1961">
        <f t="shared" si="148"/>
        <v>88975</v>
      </c>
      <c r="B1843" s="1815">
        <v>88950</v>
      </c>
      <c r="C1843" s="1815">
        <v>89000</v>
      </c>
      <c r="D1843" s="1816">
        <f t="shared" si="144"/>
        <v>14882</v>
      </c>
      <c r="E1843" s="1816">
        <f t="shared" si="145"/>
        <v>10237</v>
      </c>
      <c r="F1843" s="1816">
        <f t="shared" si="146"/>
        <v>14882</v>
      </c>
      <c r="G1843" s="1816">
        <f t="shared" si="147"/>
        <v>13276</v>
      </c>
    </row>
    <row r="1844" spans="1:7" ht="15.75">
      <c r="A1844" s="1961">
        <f t="shared" si="148"/>
        <v>89025</v>
      </c>
      <c r="B1844" s="1815">
        <v>89000</v>
      </c>
      <c r="C1844" s="1815">
        <v>89050</v>
      </c>
      <c r="D1844" s="1816">
        <f t="shared" si="144"/>
        <v>14893</v>
      </c>
      <c r="E1844" s="1816">
        <f t="shared" si="145"/>
        <v>10243</v>
      </c>
      <c r="F1844" s="1816">
        <f t="shared" si="146"/>
        <v>14893</v>
      </c>
      <c r="G1844" s="1816">
        <f t="shared" si="147"/>
        <v>13287</v>
      </c>
    </row>
    <row r="1845" spans="1:7" ht="15.75">
      <c r="A1845" s="1961">
        <f t="shared" si="148"/>
        <v>89075</v>
      </c>
      <c r="B1845" s="1815">
        <v>89050</v>
      </c>
      <c r="C1845" s="1815">
        <v>89100</v>
      </c>
      <c r="D1845" s="1816">
        <f t="shared" si="144"/>
        <v>14904</v>
      </c>
      <c r="E1845" s="1816">
        <f t="shared" si="145"/>
        <v>10249</v>
      </c>
      <c r="F1845" s="1816">
        <f t="shared" si="146"/>
        <v>14904</v>
      </c>
      <c r="G1845" s="1816">
        <f t="shared" si="147"/>
        <v>13298</v>
      </c>
    </row>
    <row r="1846" spans="1:7" ht="15.75">
      <c r="A1846" s="1961">
        <f t="shared" si="148"/>
        <v>89125</v>
      </c>
      <c r="B1846" s="1815">
        <v>89100</v>
      </c>
      <c r="C1846" s="1815">
        <v>89150</v>
      </c>
      <c r="D1846" s="1816">
        <f t="shared" si="144"/>
        <v>14915</v>
      </c>
      <c r="E1846" s="1816">
        <f t="shared" si="145"/>
        <v>10255</v>
      </c>
      <c r="F1846" s="1816">
        <f t="shared" si="146"/>
        <v>14915</v>
      </c>
      <c r="G1846" s="1816">
        <f t="shared" si="147"/>
        <v>13309</v>
      </c>
    </row>
    <row r="1847" spans="1:7" ht="15.75">
      <c r="A1847" s="1961">
        <f t="shared" si="148"/>
        <v>89175</v>
      </c>
      <c r="B1847" s="1815">
        <v>89150</v>
      </c>
      <c r="C1847" s="1815">
        <v>89200</v>
      </c>
      <c r="D1847" s="1816">
        <f t="shared" si="144"/>
        <v>14926</v>
      </c>
      <c r="E1847" s="1816">
        <f t="shared" si="145"/>
        <v>10261</v>
      </c>
      <c r="F1847" s="1816">
        <f t="shared" si="146"/>
        <v>14926</v>
      </c>
      <c r="G1847" s="1816">
        <f t="shared" si="147"/>
        <v>13320</v>
      </c>
    </row>
    <row r="1848" spans="1:7" ht="15.75">
      <c r="A1848" s="1961">
        <f t="shared" si="148"/>
        <v>89225</v>
      </c>
      <c r="B1848" s="1815">
        <v>89200</v>
      </c>
      <c r="C1848" s="1815">
        <v>89250</v>
      </c>
      <c r="D1848" s="1816">
        <f t="shared" si="144"/>
        <v>14937</v>
      </c>
      <c r="E1848" s="1816">
        <f t="shared" si="145"/>
        <v>10267</v>
      </c>
      <c r="F1848" s="1816">
        <f t="shared" si="146"/>
        <v>14937</v>
      </c>
      <c r="G1848" s="1816">
        <f t="shared" si="147"/>
        <v>13331</v>
      </c>
    </row>
    <row r="1849" spans="1:7" ht="15.75">
      <c r="A1849" s="1961">
        <f t="shared" si="148"/>
        <v>89275</v>
      </c>
      <c r="B1849" s="1815">
        <v>89250</v>
      </c>
      <c r="C1849" s="1815">
        <v>89300</v>
      </c>
      <c r="D1849" s="1816">
        <f t="shared" si="144"/>
        <v>14948</v>
      </c>
      <c r="E1849" s="1816">
        <f t="shared" si="145"/>
        <v>10273</v>
      </c>
      <c r="F1849" s="1816">
        <f t="shared" si="146"/>
        <v>14948</v>
      </c>
      <c r="G1849" s="1816">
        <f t="shared" si="147"/>
        <v>13342</v>
      </c>
    </row>
    <row r="1850" spans="1:7" ht="15.75">
      <c r="A1850" s="1961">
        <f t="shared" si="148"/>
        <v>89325</v>
      </c>
      <c r="B1850" s="1815">
        <v>89300</v>
      </c>
      <c r="C1850" s="1815">
        <v>89350</v>
      </c>
      <c r="D1850" s="1816">
        <f t="shared" si="144"/>
        <v>14959</v>
      </c>
      <c r="E1850" s="1816">
        <f t="shared" si="145"/>
        <v>10279</v>
      </c>
      <c r="F1850" s="1816">
        <f t="shared" si="146"/>
        <v>14959</v>
      </c>
      <c r="G1850" s="1816">
        <f t="shared" si="147"/>
        <v>13353</v>
      </c>
    </row>
    <row r="1851" spans="1:7" ht="15.75">
      <c r="A1851" s="1961">
        <f t="shared" si="148"/>
        <v>89375</v>
      </c>
      <c r="B1851" s="1815">
        <v>89350</v>
      </c>
      <c r="C1851" s="1815">
        <v>89400</v>
      </c>
      <c r="D1851" s="1816">
        <f t="shared" si="144"/>
        <v>14970</v>
      </c>
      <c r="E1851" s="1816">
        <f t="shared" si="145"/>
        <v>10285</v>
      </c>
      <c r="F1851" s="1816">
        <f t="shared" si="146"/>
        <v>14970</v>
      </c>
      <c r="G1851" s="1816">
        <f t="shared" si="147"/>
        <v>13364</v>
      </c>
    </row>
    <row r="1852" spans="1:7" ht="15.75">
      <c r="A1852" s="1961">
        <f t="shared" si="148"/>
        <v>89425</v>
      </c>
      <c r="B1852" s="1815">
        <v>89400</v>
      </c>
      <c r="C1852" s="1815">
        <v>89450</v>
      </c>
      <c r="D1852" s="1816">
        <f t="shared" si="144"/>
        <v>14981</v>
      </c>
      <c r="E1852" s="1816">
        <f t="shared" si="145"/>
        <v>10291</v>
      </c>
      <c r="F1852" s="1816">
        <f t="shared" si="146"/>
        <v>14981</v>
      </c>
      <c r="G1852" s="1816">
        <f t="shared" si="147"/>
        <v>13375</v>
      </c>
    </row>
    <row r="1853" spans="1:7" ht="15.75">
      <c r="A1853" s="1961">
        <f t="shared" si="148"/>
        <v>89475</v>
      </c>
      <c r="B1853" s="1815">
        <v>89450</v>
      </c>
      <c r="C1853" s="1815">
        <v>89500</v>
      </c>
      <c r="D1853" s="1816">
        <f t="shared" si="144"/>
        <v>14992</v>
      </c>
      <c r="E1853" s="1816">
        <f t="shared" si="145"/>
        <v>10300</v>
      </c>
      <c r="F1853" s="1816">
        <f t="shared" si="146"/>
        <v>14992</v>
      </c>
      <c r="G1853" s="1816">
        <f t="shared" si="147"/>
        <v>13386</v>
      </c>
    </row>
    <row r="1854" spans="1:7" ht="15.75">
      <c r="A1854" s="1961">
        <f t="shared" si="148"/>
        <v>89525</v>
      </c>
      <c r="B1854" s="1815">
        <v>89500</v>
      </c>
      <c r="C1854" s="1815">
        <v>89550</v>
      </c>
      <c r="D1854" s="1816">
        <f t="shared" si="144"/>
        <v>15003</v>
      </c>
      <c r="E1854" s="1816">
        <f t="shared" si="145"/>
        <v>10311</v>
      </c>
      <c r="F1854" s="1816">
        <f t="shared" si="146"/>
        <v>15003</v>
      </c>
      <c r="G1854" s="1816">
        <f t="shared" si="147"/>
        <v>13397</v>
      </c>
    </row>
    <row r="1855" spans="1:7" ht="15.75">
      <c r="A1855" s="1961">
        <f t="shared" si="148"/>
        <v>89575</v>
      </c>
      <c r="B1855" s="1815">
        <v>89550</v>
      </c>
      <c r="C1855" s="1815">
        <v>89600</v>
      </c>
      <c r="D1855" s="1816">
        <f t="shared" si="144"/>
        <v>15014</v>
      </c>
      <c r="E1855" s="1816">
        <f t="shared" si="145"/>
        <v>10322</v>
      </c>
      <c r="F1855" s="1816">
        <f t="shared" si="146"/>
        <v>15014</v>
      </c>
      <c r="G1855" s="1816">
        <f t="shared" si="147"/>
        <v>13408</v>
      </c>
    </row>
    <row r="1856" spans="1:7" ht="15.75">
      <c r="A1856" s="1961">
        <f t="shared" si="148"/>
        <v>89625</v>
      </c>
      <c r="B1856" s="1815">
        <v>89600</v>
      </c>
      <c r="C1856" s="1815">
        <v>89650</v>
      </c>
      <c r="D1856" s="1816">
        <f t="shared" si="144"/>
        <v>15025</v>
      </c>
      <c r="E1856" s="1816">
        <f t="shared" si="145"/>
        <v>10333</v>
      </c>
      <c r="F1856" s="1816">
        <f t="shared" si="146"/>
        <v>15025</v>
      </c>
      <c r="G1856" s="1816">
        <f t="shared" si="147"/>
        <v>13419</v>
      </c>
    </row>
    <row r="1857" spans="1:7" ht="15.75">
      <c r="A1857" s="1961">
        <f t="shared" si="148"/>
        <v>89675</v>
      </c>
      <c r="B1857" s="1815">
        <v>89650</v>
      </c>
      <c r="C1857" s="1815">
        <v>89700</v>
      </c>
      <c r="D1857" s="1816">
        <f t="shared" si="144"/>
        <v>15036</v>
      </c>
      <c r="E1857" s="1816">
        <f t="shared" si="145"/>
        <v>10344</v>
      </c>
      <c r="F1857" s="1816">
        <f t="shared" si="146"/>
        <v>15036</v>
      </c>
      <c r="G1857" s="1816">
        <f t="shared" si="147"/>
        <v>13430</v>
      </c>
    </row>
    <row r="1858" spans="1:7" ht="15.75">
      <c r="A1858" s="1961">
        <f t="shared" si="148"/>
        <v>89725</v>
      </c>
      <c r="B1858" s="1815">
        <v>89700</v>
      </c>
      <c r="C1858" s="1815">
        <v>89750</v>
      </c>
      <c r="D1858" s="1816">
        <f t="shared" ref="D1858:D1921" si="149">IF($A1858&gt;BOTT_A4,ROUND(BASE_A4+RATE_A4*($A1858-BOTT_A4),0),IF($A1858&gt;BOTT_A3,ROUND(BASE_A3+RATE_A3*($A1858-BOTT_A3),0),IF($A1858&gt;BOTT_A2,ROUND(BASE_A2+RATE_A2*($A1858-BOTT_A2),0),ROUND(RATE_A1*$A1858,0))))</f>
        <v>15047</v>
      </c>
      <c r="E1858" s="1816">
        <f t="shared" ref="E1858:E1921" si="150">IF($A1858&gt;BOTT_B4,ROUND(BASE_B4+RATE_B4*($A1858-BOTT_B4),0),IF($A1858&gt;BOTT_B3,ROUND(BASE_B3+RATE_B3*($A1858-BOTT_B3),0),IF($A1858&gt;BOTT_B2,ROUND(BASE_B2+RATE_B2*($A1858-BOTT_B2),0),ROUND(RATE_B1*$A1858,0))))</f>
        <v>10355</v>
      </c>
      <c r="F1858" s="1816">
        <f t="shared" ref="F1858:F1921" si="151">IF($A1858&gt;BOTT_C4,ROUND(BASE_C4+RATE_C4*($A1858-BOTT_C4),0),IF($A1858&gt;BOTT_C3,ROUND(BASE_C3+RATE_C3*($A1858-BOTT_C3),0),IF($A1858&gt;BOTT_C2,ROUND(BASE_C2+RATE_C2*($A1858-BOTT_C2),0),ROUND(RATE_C1*$A1858,0))))</f>
        <v>15047</v>
      </c>
      <c r="G1858" s="1816">
        <f t="shared" ref="G1858:G1921" si="152">IF($A1858&gt;BOTT_D4,ROUND(BASE_D4+RATE_D4*($A1858-BOTT_D4),0),IF($A1858&gt;BOTT_D3,ROUND(BASE_D3+RATE_D3*($A1858-BOTT_D3),0),IF($A1858&gt;BOTT_D2,ROUND(BASE_D2+RATE_D2*($A1858-BOTT_D2),0),ROUND(RATE_D1*$A1858,0))))</f>
        <v>13441</v>
      </c>
    </row>
    <row r="1859" spans="1:7" ht="15.75">
      <c r="A1859" s="1961">
        <f t="shared" ref="A1859:A1922" si="153">AVERAGE(B1859,C1859)</f>
        <v>89775</v>
      </c>
      <c r="B1859" s="1815">
        <v>89750</v>
      </c>
      <c r="C1859" s="1815">
        <v>89800</v>
      </c>
      <c r="D1859" s="1816">
        <f t="shared" si="149"/>
        <v>15058</v>
      </c>
      <c r="E1859" s="1816">
        <f t="shared" si="150"/>
        <v>10366</v>
      </c>
      <c r="F1859" s="1816">
        <f t="shared" si="151"/>
        <v>15058</v>
      </c>
      <c r="G1859" s="1816">
        <f t="shared" si="152"/>
        <v>13452</v>
      </c>
    </row>
    <row r="1860" spans="1:7" ht="15.75">
      <c r="A1860" s="1961">
        <f t="shared" si="153"/>
        <v>89825</v>
      </c>
      <c r="B1860" s="1815">
        <v>89800</v>
      </c>
      <c r="C1860" s="1815">
        <v>89850</v>
      </c>
      <c r="D1860" s="1816">
        <f t="shared" si="149"/>
        <v>15069</v>
      </c>
      <c r="E1860" s="1816">
        <f t="shared" si="150"/>
        <v>10377</v>
      </c>
      <c r="F1860" s="1816">
        <f t="shared" si="151"/>
        <v>15069</v>
      </c>
      <c r="G1860" s="1816">
        <f t="shared" si="152"/>
        <v>13463</v>
      </c>
    </row>
    <row r="1861" spans="1:7" ht="15.75">
      <c r="A1861" s="1961">
        <f t="shared" si="153"/>
        <v>89875</v>
      </c>
      <c r="B1861" s="1815">
        <v>89850</v>
      </c>
      <c r="C1861" s="1815">
        <v>89900</v>
      </c>
      <c r="D1861" s="1816">
        <f t="shared" si="149"/>
        <v>15080</v>
      </c>
      <c r="E1861" s="1816">
        <f t="shared" si="150"/>
        <v>10388</v>
      </c>
      <c r="F1861" s="1816">
        <f t="shared" si="151"/>
        <v>15080</v>
      </c>
      <c r="G1861" s="1816">
        <f t="shared" si="152"/>
        <v>13474</v>
      </c>
    </row>
    <row r="1862" spans="1:7" ht="15.75">
      <c r="A1862" s="1961">
        <f t="shared" si="153"/>
        <v>89925</v>
      </c>
      <c r="B1862" s="1815">
        <v>89900</v>
      </c>
      <c r="C1862" s="1815">
        <v>89950</v>
      </c>
      <c r="D1862" s="1816">
        <f t="shared" si="149"/>
        <v>15091</v>
      </c>
      <c r="E1862" s="1816">
        <f t="shared" si="150"/>
        <v>10399</v>
      </c>
      <c r="F1862" s="1816">
        <f t="shared" si="151"/>
        <v>15091</v>
      </c>
      <c r="G1862" s="1816">
        <f t="shared" si="152"/>
        <v>13485</v>
      </c>
    </row>
    <row r="1863" spans="1:7" ht="15.75">
      <c r="A1863" s="1961">
        <f t="shared" si="153"/>
        <v>89975</v>
      </c>
      <c r="B1863" s="1815">
        <v>89950</v>
      </c>
      <c r="C1863" s="1815">
        <v>90000</v>
      </c>
      <c r="D1863" s="1816">
        <f t="shared" si="149"/>
        <v>15102</v>
      </c>
      <c r="E1863" s="1816">
        <f t="shared" si="150"/>
        <v>10410</v>
      </c>
      <c r="F1863" s="1816">
        <f t="shared" si="151"/>
        <v>15102</v>
      </c>
      <c r="G1863" s="1816">
        <f t="shared" si="152"/>
        <v>13496</v>
      </c>
    </row>
    <row r="1864" spans="1:7" ht="15.75">
      <c r="A1864" s="1961">
        <f t="shared" si="153"/>
        <v>90025</v>
      </c>
      <c r="B1864" s="1815">
        <v>90000</v>
      </c>
      <c r="C1864" s="1815">
        <v>90050</v>
      </c>
      <c r="D1864" s="1816">
        <f t="shared" si="149"/>
        <v>15113</v>
      </c>
      <c r="E1864" s="1816">
        <f t="shared" si="150"/>
        <v>10421</v>
      </c>
      <c r="F1864" s="1816">
        <f t="shared" si="151"/>
        <v>15113</v>
      </c>
      <c r="G1864" s="1816">
        <f t="shared" si="152"/>
        <v>13507</v>
      </c>
    </row>
    <row r="1865" spans="1:7" ht="15.75">
      <c r="A1865" s="1961">
        <f t="shared" si="153"/>
        <v>90075</v>
      </c>
      <c r="B1865" s="1815">
        <v>90050</v>
      </c>
      <c r="C1865" s="1815">
        <v>90100</v>
      </c>
      <c r="D1865" s="1816">
        <f t="shared" si="149"/>
        <v>15124</v>
      </c>
      <c r="E1865" s="1816">
        <f t="shared" si="150"/>
        <v>10432</v>
      </c>
      <c r="F1865" s="1816">
        <f t="shared" si="151"/>
        <v>15124</v>
      </c>
      <c r="G1865" s="1816">
        <f t="shared" si="152"/>
        <v>13518</v>
      </c>
    </row>
    <row r="1866" spans="1:7" ht="15.75">
      <c r="A1866" s="1961">
        <f t="shared" si="153"/>
        <v>90125</v>
      </c>
      <c r="B1866" s="1815">
        <v>90100</v>
      </c>
      <c r="C1866" s="1815">
        <v>90150</v>
      </c>
      <c r="D1866" s="1816">
        <f t="shared" si="149"/>
        <v>15135</v>
      </c>
      <c r="E1866" s="1816">
        <f t="shared" si="150"/>
        <v>10443</v>
      </c>
      <c r="F1866" s="1816">
        <f t="shared" si="151"/>
        <v>15135</v>
      </c>
      <c r="G1866" s="1816">
        <f t="shared" si="152"/>
        <v>13529</v>
      </c>
    </row>
    <row r="1867" spans="1:7" ht="15.75">
      <c r="A1867" s="1961">
        <f t="shared" si="153"/>
        <v>90175</v>
      </c>
      <c r="B1867" s="1815">
        <v>90150</v>
      </c>
      <c r="C1867" s="1815">
        <v>90200</v>
      </c>
      <c r="D1867" s="1816">
        <f t="shared" si="149"/>
        <v>15146</v>
      </c>
      <c r="E1867" s="1816">
        <f t="shared" si="150"/>
        <v>10454</v>
      </c>
      <c r="F1867" s="1816">
        <f t="shared" si="151"/>
        <v>15146</v>
      </c>
      <c r="G1867" s="1816">
        <f t="shared" si="152"/>
        <v>13540</v>
      </c>
    </row>
    <row r="1868" spans="1:7" ht="15.75">
      <c r="A1868" s="1961">
        <f t="shared" si="153"/>
        <v>90225</v>
      </c>
      <c r="B1868" s="1815">
        <v>90200</v>
      </c>
      <c r="C1868" s="1815">
        <v>90250</v>
      </c>
      <c r="D1868" s="1816">
        <f t="shared" si="149"/>
        <v>15157</v>
      </c>
      <c r="E1868" s="1816">
        <f t="shared" si="150"/>
        <v>10465</v>
      </c>
      <c r="F1868" s="1816">
        <f t="shared" si="151"/>
        <v>15157</v>
      </c>
      <c r="G1868" s="1816">
        <f t="shared" si="152"/>
        <v>13551</v>
      </c>
    </row>
    <row r="1869" spans="1:7" ht="15.75">
      <c r="A1869" s="1961">
        <f t="shared" si="153"/>
        <v>90275</v>
      </c>
      <c r="B1869" s="1815">
        <v>90250</v>
      </c>
      <c r="C1869" s="1815">
        <v>90300</v>
      </c>
      <c r="D1869" s="1816">
        <f t="shared" si="149"/>
        <v>15168</v>
      </c>
      <c r="E1869" s="1816">
        <f t="shared" si="150"/>
        <v>10476</v>
      </c>
      <c r="F1869" s="1816">
        <f t="shared" si="151"/>
        <v>15168</v>
      </c>
      <c r="G1869" s="1816">
        <f t="shared" si="152"/>
        <v>13562</v>
      </c>
    </row>
    <row r="1870" spans="1:7" ht="15.75">
      <c r="A1870" s="1961">
        <f t="shared" si="153"/>
        <v>90325</v>
      </c>
      <c r="B1870" s="1815">
        <v>90300</v>
      </c>
      <c r="C1870" s="1815">
        <v>90350</v>
      </c>
      <c r="D1870" s="1816">
        <f t="shared" si="149"/>
        <v>15179</v>
      </c>
      <c r="E1870" s="1816">
        <f t="shared" si="150"/>
        <v>10487</v>
      </c>
      <c r="F1870" s="1816">
        <f t="shared" si="151"/>
        <v>15179</v>
      </c>
      <c r="G1870" s="1816">
        <f t="shared" si="152"/>
        <v>13573</v>
      </c>
    </row>
    <row r="1871" spans="1:7" ht="15.75">
      <c r="A1871" s="1961">
        <f t="shared" si="153"/>
        <v>90375</v>
      </c>
      <c r="B1871" s="1815">
        <v>90350</v>
      </c>
      <c r="C1871" s="1815">
        <v>90400</v>
      </c>
      <c r="D1871" s="1816">
        <f t="shared" si="149"/>
        <v>15190</v>
      </c>
      <c r="E1871" s="1816">
        <f t="shared" si="150"/>
        <v>10498</v>
      </c>
      <c r="F1871" s="1816">
        <f t="shared" si="151"/>
        <v>15190</v>
      </c>
      <c r="G1871" s="1816">
        <f t="shared" si="152"/>
        <v>13584</v>
      </c>
    </row>
    <row r="1872" spans="1:7" ht="15.75">
      <c r="A1872" s="1961">
        <f t="shared" si="153"/>
        <v>90425</v>
      </c>
      <c r="B1872" s="1815">
        <v>90400</v>
      </c>
      <c r="C1872" s="1815">
        <v>90450</v>
      </c>
      <c r="D1872" s="1816">
        <f t="shared" si="149"/>
        <v>15201</v>
      </c>
      <c r="E1872" s="1816">
        <f t="shared" si="150"/>
        <v>10509</v>
      </c>
      <c r="F1872" s="1816">
        <f t="shared" si="151"/>
        <v>15201</v>
      </c>
      <c r="G1872" s="1816">
        <f t="shared" si="152"/>
        <v>13595</v>
      </c>
    </row>
    <row r="1873" spans="1:7" ht="15.75">
      <c r="A1873" s="1961">
        <f t="shared" si="153"/>
        <v>90475</v>
      </c>
      <c r="B1873" s="1815">
        <v>90450</v>
      </c>
      <c r="C1873" s="1815">
        <v>90500</v>
      </c>
      <c r="D1873" s="1816">
        <f t="shared" si="149"/>
        <v>15212</v>
      </c>
      <c r="E1873" s="1816">
        <f t="shared" si="150"/>
        <v>10520</v>
      </c>
      <c r="F1873" s="1816">
        <f t="shared" si="151"/>
        <v>15212</v>
      </c>
      <c r="G1873" s="1816">
        <f t="shared" si="152"/>
        <v>13606</v>
      </c>
    </row>
    <row r="1874" spans="1:7" ht="15.75">
      <c r="A1874" s="1961">
        <f t="shared" si="153"/>
        <v>90525</v>
      </c>
      <c r="B1874" s="1815">
        <v>90500</v>
      </c>
      <c r="C1874" s="1815">
        <v>90550</v>
      </c>
      <c r="D1874" s="1816">
        <f t="shared" si="149"/>
        <v>15223</v>
      </c>
      <c r="E1874" s="1816">
        <f t="shared" si="150"/>
        <v>10531</v>
      </c>
      <c r="F1874" s="1816">
        <f t="shared" si="151"/>
        <v>15223</v>
      </c>
      <c r="G1874" s="1816">
        <f t="shared" si="152"/>
        <v>13617</v>
      </c>
    </row>
    <row r="1875" spans="1:7" ht="15.75">
      <c r="A1875" s="1961">
        <f t="shared" si="153"/>
        <v>90575</v>
      </c>
      <c r="B1875" s="1815">
        <v>90550</v>
      </c>
      <c r="C1875" s="1815">
        <v>90600</v>
      </c>
      <c r="D1875" s="1816">
        <f t="shared" si="149"/>
        <v>15234</v>
      </c>
      <c r="E1875" s="1816">
        <f t="shared" si="150"/>
        <v>10542</v>
      </c>
      <c r="F1875" s="1816">
        <f t="shared" si="151"/>
        <v>15234</v>
      </c>
      <c r="G1875" s="1816">
        <f t="shared" si="152"/>
        <v>13628</v>
      </c>
    </row>
    <row r="1876" spans="1:7" ht="15.75">
      <c r="A1876" s="1961">
        <f t="shared" si="153"/>
        <v>90625</v>
      </c>
      <c r="B1876" s="1815">
        <v>90600</v>
      </c>
      <c r="C1876" s="1815">
        <v>90650</v>
      </c>
      <c r="D1876" s="1816">
        <f t="shared" si="149"/>
        <v>15245</v>
      </c>
      <c r="E1876" s="1816">
        <f t="shared" si="150"/>
        <v>10553</v>
      </c>
      <c r="F1876" s="1816">
        <f t="shared" si="151"/>
        <v>15245</v>
      </c>
      <c r="G1876" s="1816">
        <f t="shared" si="152"/>
        <v>13639</v>
      </c>
    </row>
    <row r="1877" spans="1:7" ht="15.75">
      <c r="A1877" s="1961">
        <f t="shared" si="153"/>
        <v>90675</v>
      </c>
      <c r="B1877" s="1815">
        <v>90650</v>
      </c>
      <c r="C1877" s="1815">
        <v>90700</v>
      </c>
      <c r="D1877" s="1816">
        <f t="shared" si="149"/>
        <v>15256</v>
      </c>
      <c r="E1877" s="1816">
        <f t="shared" si="150"/>
        <v>10564</v>
      </c>
      <c r="F1877" s="1816">
        <f t="shared" si="151"/>
        <v>15256</v>
      </c>
      <c r="G1877" s="1816">
        <f t="shared" si="152"/>
        <v>13650</v>
      </c>
    </row>
    <row r="1878" spans="1:7" ht="15.75">
      <c r="A1878" s="1961">
        <f t="shared" si="153"/>
        <v>90725</v>
      </c>
      <c r="B1878" s="1815">
        <v>90700</v>
      </c>
      <c r="C1878" s="1815">
        <v>90750</v>
      </c>
      <c r="D1878" s="1816">
        <f t="shared" si="149"/>
        <v>15267</v>
      </c>
      <c r="E1878" s="1816">
        <f t="shared" si="150"/>
        <v>10575</v>
      </c>
      <c r="F1878" s="1816">
        <f t="shared" si="151"/>
        <v>15267</v>
      </c>
      <c r="G1878" s="1816">
        <f t="shared" si="152"/>
        <v>13661</v>
      </c>
    </row>
    <row r="1879" spans="1:7" ht="15.75">
      <c r="A1879" s="1961">
        <f t="shared" si="153"/>
        <v>90775</v>
      </c>
      <c r="B1879" s="1815">
        <v>90750</v>
      </c>
      <c r="C1879" s="1815">
        <v>90800</v>
      </c>
      <c r="D1879" s="1816">
        <f t="shared" si="149"/>
        <v>15278</v>
      </c>
      <c r="E1879" s="1816">
        <f t="shared" si="150"/>
        <v>10586</v>
      </c>
      <c r="F1879" s="1816">
        <f t="shared" si="151"/>
        <v>15278</v>
      </c>
      <c r="G1879" s="1816">
        <f t="shared" si="152"/>
        <v>13672</v>
      </c>
    </row>
    <row r="1880" spans="1:7" ht="15.75">
      <c r="A1880" s="1961">
        <f t="shared" si="153"/>
        <v>90825</v>
      </c>
      <c r="B1880" s="1815">
        <v>90800</v>
      </c>
      <c r="C1880" s="1815">
        <v>90850</v>
      </c>
      <c r="D1880" s="1816">
        <f t="shared" si="149"/>
        <v>15289</v>
      </c>
      <c r="E1880" s="1816">
        <f t="shared" si="150"/>
        <v>10597</v>
      </c>
      <c r="F1880" s="1816">
        <f t="shared" si="151"/>
        <v>15289</v>
      </c>
      <c r="G1880" s="1816">
        <f t="shared" si="152"/>
        <v>13683</v>
      </c>
    </row>
    <row r="1881" spans="1:7" ht="15.75">
      <c r="A1881" s="1961">
        <f t="shared" si="153"/>
        <v>90875</v>
      </c>
      <c r="B1881" s="1815">
        <v>90850</v>
      </c>
      <c r="C1881" s="1815">
        <v>90900</v>
      </c>
      <c r="D1881" s="1816">
        <f t="shared" si="149"/>
        <v>15300</v>
      </c>
      <c r="E1881" s="1816">
        <f t="shared" si="150"/>
        <v>10608</v>
      </c>
      <c r="F1881" s="1816">
        <f t="shared" si="151"/>
        <v>15300</v>
      </c>
      <c r="G1881" s="1816">
        <f t="shared" si="152"/>
        <v>13694</v>
      </c>
    </row>
    <row r="1882" spans="1:7" ht="15.75">
      <c r="A1882" s="1961">
        <f t="shared" si="153"/>
        <v>90925</v>
      </c>
      <c r="B1882" s="1815">
        <v>90900</v>
      </c>
      <c r="C1882" s="1815">
        <v>90950</v>
      </c>
      <c r="D1882" s="1816">
        <f t="shared" si="149"/>
        <v>15311</v>
      </c>
      <c r="E1882" s="1816">
        <f t="shared" si="150"/>
        <v>10619</v>
      </c>
      <c r="F1882" s="1816">
        <f t="shared" si="151"/>
        <v>15311</v>
      </c>
      <c r="G1882" s="1816">
        <f t="shared" si="152"/>
        <v>13705</v>
      </c>
    </row>
    <row r="1883" spans="1:7" ht="15.75">
      <c r="A1883" s="1961">
        <f t="shared" si="153"/>
        <v>90975</v>
      </c>
      <c r="B1883" s="1815">
        <v>90950</v>
      </c>
      <c r="C1883" s="1815">
        <v>91000</v>
      </c>
      <c r="D1883" s="1816">
        <f t="shared" si="149"/>
        <v>15322</v>
      </c>
      <c r="E1883" s="1816">
        <f t="shared" si="150"/>
        <v>10630</v>
      </c>
      <c r="F1883" s="1816">
        <f t="shared" si="151"/>
        <v>15322</v>
      </c>
      <c r="G1883" s="1816">
        <f t="shared" si="152"/>
        <v>13716</v>
      </c>
    </row>
    <row r="1884" spans="1:7" ht="15.75">
      <c r="A1884" s="1961">
        <f t="shared" si="153"/>
        <v>91025</v>
      </c>
      <c r="B1884" s="1815">
        <v>91000</v>
      </c>
      <c r="C1884" s="1815">
        <v>91050</v>
      </c>
      <c r="D1884" s="1816">
        <f t="shared" si="149"/>
        <v>15333</v>
      </c>
      <c r="E1884" s="1816">
        <f t="shared" si="150"/>
        <v>10641</v>
      </c>
      <c r="F1884" s="1816">
        <f t="shared" si="151"/>
        <v>15333</v>
      </c>
      <c r="G1884" s="1816">
        <f t="shared" si="152"/>
        <v>13727</v>
      </c>
    </row>
    <row r="1885" spans="1:7" ht="15.75">
      <c r="A1885" s="1961">
        <f t="shared" si="153"/>
        <v>91075</v>
      </c>
      <c r="B1885" s="1815">
        <v>91050</v>
      </c>
      <c r="C1885" s="1815">
        <v>91100</v>
      </c>
      <c r="D1885" s="1816">
        <f t="shared" si="149"/>
        <v>15344</v>
      </c>
      <c r="E1885" s="1816">
        <f t="shared" si="150"/>
        <v>10652</v>
      </c>
      <c r="F1885" s="1816">
        <f t="shared" si="151"/>
        <v>15344</v>
      </c>
      <c r="G1885" s="1816">
        <f t="shared" si="152"/>
        <v>13738</v>
      </c>
    </row>
    <row r="1886" spans="1:7" ht="15.75">
      <c r="A1886" s="1961">
        <f t="shared" si="153"/>
        <v>91125</v>
      </c>
      <c r="B1886" s="1815">
        <v>91100</v>
      </c>
      <c r="C1886" s="1815">
        <v>91150</v>
      </c>
      <c r="D1886" s="1816">
        <f t="shared" si="149"/>
        <v>15355</v>
      </c>
      <c r="E1886" s="1816">
        <f t="shared" si="150"/>
        <v>10663</v>
      </c>
      <c r="F1886" s="1816">
        <f t="shared" si="151"/>
        <v>15355</v>
      </c>
      <c r="G1886" s="1816">
        <f t="shared" si="152"/>
        <v>13749</v>
      </c>
    </row>
    <row r="1887" spans="1:7" ht="15.75">
      <c r="A1887" s="1961">
        <f t="shared" si="153"/>
        <v>91175</v>
      </c>
      <c r="B1887" s="1815">
        <v>91150</v>
      </c>
      <c r="C1887" s="1815">
        <v>91200</v>
      </c>
      <c r="D1887" s="1816">
        <f t="shared" si="149"/>
        <v>15366</v>
      </c>
      <c r="E1887" s="1816">
        <f t="shared" si="150"/>
        <v>10674</v>
      </c>
      <c r="F1887" s="1816">
        <f t="shared" si="151"/>
        <v>15366</v>
      </c>
      <c r="G1887" s="1816">
        <f t="shared" si="152"/>
        <v>13760</v>
      </c>
    </row>
    <row r="1888" spans="1:7" ht="15.75">
      <c r="A1888" s="1961">
        <f t="shared" si="153"/>
        <v>91225</v>
      </c>
      <c r="B1888" s="1815">
        <v>91200</v>
      </c>
      <c r="C1888" s="1815">
        <v>91250</v>
      </c>
      <c r="D1888" s="1816">
        <f t="shared" si="149"/>
        <v>15377</v>
      </c>
      <c r="E1888" s="1816">
        <f t="shared" si="150"/>
        <v>10685</v>
      </c>
      <c r="F1888" s="1816">
        <f t="shared" si="151"/>
        <v>15377</v>
      </c>
      <c r="G1888" s="1816">
        <f t="shared" si="152"/>
        <v>13771</v>
      </c>
    </row>
    <row r="1889" spans="1:7" ht="15.75">
      <c r="A1889" s="1961">
        <f t="shared" si="153"/>
        <v>91275</v>
      </c>
      <c r="B1889" s="1815">
        <v>91250</v>
      </c>
      <c r="C1889" s="1815">
        <v>91300</v>
      </c>
      <c r="D1889" s="1816">
        <f t="shared" si="149"/>
        <v>15388</v>
      </c>
      <c r="E1889" s="1816">
        <f t="shared" si="150"/>
        <v>10696</v>
      </c>
      <c r="F1889" s="1816">
        <f t="shared" si="151"/>
        <v>15388</v>
      </c>
      <c r="G1889" s="1816">
        <f t="shared" si="152"/>
        <v>13782</v>
      </c>
    </row>
    <row r="1890" spans="1:7" ht="15.75">
      <c r="A1890" s="1961">
        <f t="shared" si="153"/>
        <v>91325</v>
      </c>
      <c r="B1890" s="1815">
        <v>91300</v>
      </c>
      <c r="C1890" s="1815">
        <v>91350</v>
      </c>
      <c r="D1890" s="1816">
        <f t="shared" si="149"/>
        <v>15399</v>
      </c>
      <c r="E1890" s="1816">
        <f t="shared" si="150"/>
        <v>10707</v>
      </c>
      <c r="F1890" s="1816">
        <f t="shared" si="151"/>
        <v>15399</v>
      </c>
      <c r="G1890" s="1816">
        <f t="shared" si="152"/>
        <v>13793</v>
      </c>
    </row>
    <row r="1891" spans="1:7" ht="15.75">
      <c r="A1891" s="1961">
        <f t="shared" si="153"/>
        <v>91375</v>
      </c>
      <c r="B1891" s="1815">
        <v>91350</v>
      </c>
      <c r="C1891" s="1815">
        <v>91400</v>
      </c>
      <c r="D1891" s="1816">
        <f t="shared" si="149"/>
        <v>15410</v>
      </c>
      <c r="E1891" s="1816">
        <f t="shared" si="150"/>
        <v>10718</v>
      </c>
      <c r="F1891" s="1816">
        <f t="shared" si="151"/>
        <v>15410</v>
      </c>
      <c r="G1891" s="1816">
        <f t="shared" si="152"/>
        <v>13804</v>
      </c>
    </row>
    <row r="1892" spans="1:7" ht="15.75">
      <c r="A1892" s="1961">
        <f t="shared" si="153"/>
        <v>91425</v>
      </c>
      <c r="B1892" s="1815">
        <v>91400</v>
      </c>
      <c r="C1892" s="1815">
        <v>91450</v>
      </c>
      <c r="D1892" s="1816">
        <f t="shared" si="149"/>
        <v>15421</v>
      </c>
      <c r="E1892" s="1816">
        <f t="shared" si="150"/>
        <v>10729</v>
      </c>
      <c r="F1892" s="1816">
        <f t="shared" si="151"/>
        <v>15421</v>
      </c>
      <c r="G1892" s="1816">
        <f t="shared" si="152"/>
        <v>13815</v>
      </c>
    </row>
    <row r="1893" spans="1:7" ht="15.75">
      <c r="A1893" s="1961">
        <f t="shared" si="153"/>
        <v>91475</v>
      </c>
      <c r="B1893" s="1815">
        <v>91450</v>
      </c>
      <c r="C1893" s="1815">
        <v>91500</v>
      </c>
      <c r="D1893" s="1816">
        <f t="shared" si="149"/>
        <v>15432</v>
      </c>
      <c r="E1893" s="1816">
        <f t="shared" si="150"/>
        <v>10740</v>
      </c>
      <c r="F1893" s="1816">
        <f t="shared" si="151"/>
        <v>15432</v>
      </c>
      <c r="G1893" s="1816">
        <f t="shared" si="152"/>
        <v>13826</v>
      </c>
    </row>
    <row r="1894" spans="1:7" ht="15.75">
      <c r="A1894" s="1961">
        <f t="shared" si="153"/>
        <v>91525</v>
      </c>
      <c r="B1894" s="1815">
        <v>91500</v>
      </c>
      <c r="C1894" s="1815">
        <v>91550</v>
      </c>
      <c r="D1894" s="1816">
        <f t="shared" si="149"/>
        <v>15443</v>
      </c>
      <c r="E1894" s="1816">
        <f t="shared" si="150"/>
        <v>10751</v>
      </c>
      <c r="F1894" s="1816">
        <f t="shared" si="151"/>
        <v>15443</v>
      </c>
      <c r="G1894" s="1816">
        <f t="shared" si="152"/>
        <v>13837</v>
      </c>
    </row>
    <row r="1895" spans="1:7" ht="15.75">
      <c r="A1895" s="1961">
        <f t="shared" si="153"/>
        <v>91575</v>
      </c>
      <c r="B1895" s="1815">
        <v>91550</v>
      </c>
      <c r="C1895" s="1815">
        <v>91600</v>
      </c>
      <c r="D1895" s="1816">
        <f t="shared" si="149"/>
        <v>15454</v>
      </c>
      <c r="E1895" s="1816">
        <f t="shared" si="150"/>
        <v>10762</v>
      </c>
      <c r="F1895" s="1816">
        <f t="shared" si="151"/>
        <v>15454</v>
      </c>
      <c r="G1895" s="1816">
        <f t="shared" si="152"/>
        <v>13848</v>
      </c>
    </row>
    <row r="1896" spans="1:7" ht="15.75">
      <c r="A1896" s="1961">
        <f t="shared" si="153"/>
        <v>91625</v>
      </c>
      <c r="B1896" s="1815">
        <v>91600</v>
      </c>
      <c r="C1896" s="1815">
        <v>91650</v>
      </c>
      <c r="D1896" s="1816">
        <f t="shared" si="149"/>
        <v>15465</v>
      </c>
      <c r="E1896" s="1816">
        <f t="shared" si="150"/>
        <v>10773</v>
      </c>
      <c r="F1896" s="1816">
        <f t="shared" si="151"/>
        <v>15465</v>
      </c>
      <c r="G1896" s="1816">
        <f t="shared" si="152"/>
        <v>13859</v>
      </c>
    </row>
    <row r="1897" spans="1:7" ht="15.75">
      <c r="A1897" s="1961">
        <f t="shared" si="153"/>
        <v>91675</v>
      </c>
      <c r="B1897" s="1815">
        <v>91650</v>
      </c>
      <c r="C1897" s="1815">
        <v>91700</v>
      </c>
      <c r="D1897" s="1816">
        <f t="shared" si="149"/>
        <v>15476</v>
      </c>
      <c r="E1897" s="1816">
        <f t="shared" si="150"/>
        <v>10784</v>
      </c>
      <c r="F1897" s="1816">
        <f t="shared" si="151"/>
        <v>15476</v>
      </c>
      <c r="G1897" s="1816">
        <f t="shared" si="152"/>
        <v>13870</v>
      </c>
    </row>
    <row r="1898" spans="1:7" ht="15.75">
      <c r="A1898" s="1961">
        <f t="shared" si="153"/>
        <v>91725</v>
      </c>
      <c r="B1898" s="1815">
        <v>91700</v>
      </c>
      <c r="C1898" s="1815">
        <v>91750</v>
      </c>
      <c r="D1898" s="1816">
        <f t="shared" si="149"/>
        <v>15487</v>
      </c>
      <c r="E1898" s="1816">
        <f t="shared" si="150"/>
        <v>10795</v>
      </c>
      <c r="F1898" s="1816">
        <f t="shared" si="151"/>
        <v>15487</v>
      </c>
      <c r="G1898" s="1816">
        <f t="shared" si="152"/>
        <v>13881</v>
      </c>
    </row>
    <row r="1899" spans="1:7" ht="15.75">
      <c r="A1899" s="1961">
        <f t="shared" si="153"/>
        <v>91775</v>
      </c>
      <c r="B1899" s="1815">
        <v>91750</v>
      </c>
      <c r="C1899" s="1815">
        <v>91800</v>
      </c>
      <c r="D1899" s="1816">
        <f t="shared" si="149"/>
        <v>15498</v>
      </c>
      <c r="E1899" s="1816">
        <f t="shared" si="150"/>
        <v>10806</v>
      </c>
      <c r="F1899" s="1816">
        <f t="shared" si="151"/>
        <v>15498</v>
      </c>
      <c r="G1899" s="1816">
        <f t="shared" si="152"/>
        <v>13892</v>
      </c>
    </row>
    <row r="1900" spans="1:7" ht="15.75">
      <c r="A1900" s="1961">
        <f t="shared" si="153"/>
        <v>91825</v>
      </c>
      <c r="B1900" s="1815">
        <v>91800</v>
      </c>
      <c r="C1900" s="1815">
        <v>91850</v>
      </c>
      <c r="D1900" s="1816">
        <f t="shared" si="149"/>
        <v>15509</v>
      </c>
      <c r="E1900" s="1816">
        <f t="shared" si="150"/>
        <v>10817</v>
      </c>
      <c r="F1900" s="1816">
        <f t="shared" si="151"/>
        <v>15509</v>
      </c>
      <c r="G1900" s="1816">
        <f t="shared" si="152"/>
        <v>13903</v>
      </c>
    </row>
    <row r="1901" spans="1:7" ht="15.75">
      <c r="A1901" s="1961">
        <f t="shared" si="153"/>
        <v>91875</v>
      </c>
      <c r="B1901" s="1815">
        <v>91850</v>
      </c>
      <c r="C1901" s="1815">
        <v>91900</v>
      </c>
      <c r="D1901" s="1816">
        <f t="shared" si="149"/>
        <v>15520</v>
      </c>
      <c r="E1901" s="1816">
        <f t="shared" si="150"/>
        <v>10828</v>
      </c>
      <c r="F1901" s="1816">
        <f t="shared" si="151"/>
        <v>15520</v>
      </c>
      <c r="G1901" s="1816">
        <f t="shared" si="152"/>
        <v>13914</v>
      </c>
    </row>
    <row r="1902" spans="1:7" ht="15.75">
      <c r="A1902" s="1961">
        <f t="shared" si="153"/>
        <v>91925</v>
      </c>
      <c r="B1902" s="1815">
        <v>91900</v>
      </c>
      <c r="C1902" s="1815">
        <v>91950</v>
      </c>
      <c r="D1902" s="1816">
        <f t="shared" si="149"/>
        <v>15531</v>
      </c>
      <c r="E1902" s="1816">
        <f t="shared" si="150"/>
        <v>10839</v>
      </c>
      <c r="F1902" s="1816">
        <f t="shared" si="151"/>
        <v>15531</v>
      </c>
      <c r="G1902" s="1816">
        <f t="shared" si="152"/>
        <v>13925</v>
      </c>
    </row>
    <row r="1903" spans="1:7" ht="15.75">
      <c r="A1903" s="1961">
        <f t="shared" si="153"/>
        <v>91975</v>
      </c>
      <c r="B1903" s="1815">
        <v>91950</v>
      </c>
      <c r="C1903" s="1815">
        <v>92000</v>
      </c>
      <c r="D1903" s="1816">
        <f t="shared" si="149"/>
        <v>15542</v>
      </c>
      <c r="E1903" s="1816">
        <f t="shared" si="150"/>
        <v>10850</v>
      </c>
      <c r="F1903" s="1816">
        <f t="shared" si="151"/>
        <v>15542</v>
      </c>
      <c r="G1903" s="1816">
        <f t="shared" si="152"/>
        <v>13936</v>
      </c>
    </row>
    <row r="1904" spans="1:7" ht="15.75">
      <c r="A1904" s="1961">
        <f t="shared" si="153"/>
        <v>92025</v>
      </c>
      <c r="B1904" s="1815">
        <v>92000</v>
      </c>
      <c r="C1904" s="1815">
        <v>92050</v>
      </c>
      <c r="D1904" s="1816">
        <f t="shared" si="149"/>
        <v>15553</v>
      </c>
      <c r="E1904" s="1816">
        <f t="shared" si="150"/>
        <v>10861</v>
      </c>
      <c r="F1904" s="1816">
        <f t="shared" si="151"/>
        <v>15553</v>
      </c>
      <c r="G1904" s="1816">
        <f t="shared" si="152"/>
        <v>13947</v>
      </c>
    </row>
    <row r="1905" spans="1:7" ht="15.75">
      <c r="A1905" s="1961">
        <f t="shared" si="153"/>
        <v>92075</v>
      </c>
      <c r="B1905" s="1815">
        <v>92050</v>
      </c>
      <c r="C1905" s="1815">
        <v>92100</v>
      </c>
      <c r="D1905" s="1816">
        <f t="shared" si="149"/>
        <v>15564</v>
      </c>
      <c r="E1905" s="1816">
        <f t="shared" si="150"/>
        <v>10872</v>
      </c>
      <c r="F1905" s="1816">
        <f t="shared" si="151"/>
        <v>15564</v>
      </c>
      <c r="G1905" s="1816">
        <f t="shared" si="152"/>
        <v>13958</v>
      </c>
    </row>
    <row r="1906" spans="1:7" ht="15.75">
      <c r="A1906" s="1961">
        <f t="shared" si="153"/>
        <v>92125</v>
      </c>
      <c r="B1906" s="1815">
        <v>92100</v>
      </c>
      <c r="C1906" s="1815">
        <v>92150</v>
      </c>
      <c r="D1906" s="1816">
        <f t="shared" si="149"/>
        <v>15575</v>
      </c>
      <c r="E1906" s="1816">
        <f t="shared" si="150"/>
        <v>10883</v>
      </c>
      <c r="F1906" s="1816">
        <f t="shared" si="151"/>
        <v>15575</v>
      </c>
      <c r="G1906" s="1816">
        <f t="shared" si="152"/>
        <v>13969</v>
      </c>
    </row>
    <row r="1907" spans="1:7" ht="15.75">
      <c r="A1907" s="1961">
        <f t="shared" si="153"/>
        <v>92175</v>
      </c>
      <c r="B1907" s="1815">
        <v>92150</v>
      </c>
      <c r="C1907" s="1815">
        <v>92200</v>
      </c>
      <c r="D1907" s="1816">
        <f t="shared" si="149"/>
        <v>15586</v>
      </c>
      <c r="E1907" s="1816">
        <f t="shared" si="150"/>
        <v>10894</v>
      </c>
      <c r="F1907" s="1816">
        <f t="shared" si="151"/>
        <v>15586</v>
      </c>
      <c r="G1907" s="1816">
        <f t="shared" si="152"/>
        <v>13980</v>
      </c>
    </row>
    <row r="1908" spans="1:7" ht="15.75">
      <c r="A1908" s="1961">
        <f t="shared" si="153"/>
        <v>92225</v>
      </c>
      <c r="B1908" s="1815">
        <v>92200</v>
      </c>
      <c r="C1908" s="1815">
        <v>92250</v>
      </c>
      <c r="D1908" s="1816">
        <f t="shared" si="149"/>
        <v>15597</v>
      </c>
      <c r="E1908" s="1816">
        <f t="shared" si="150"/>
        <v>10905</v>
      </c>
      <c r="F1908" s="1816">
        <f t="shared" si="151"/>
        <v>15597</v>
      </c>
      <c r="G1908" s="1816">
        <f t="shared" si="152"/>
        <v>13991</v>
      </c>
    </row>
    <row r="1909" spans="1:7" ht="15.75">
      <c r="A1909" s="1961">
        <f t="shared" si="153"/>
        <v>92275</v>
      </c>
      <c r="B1909" s="1815">
        <v>92250</v>
      </c>
      <c r="C1909" s="1815">
        <v>92300</v>
      </c>
      <c r="D1909" s="1816">
        <f t="shared" si="149"/>
        <v>15608</v>
      </c>
      <c r="E1909" s="1816">
        <f t="shared" si="150"/>
        <v>10916</v>
      </c>
      <c r="F1909" s="1816">
        <f t="shared" si="151"/>
        <v>15608</v>
      </c>
      <c r="G1909" s="1816">
        <f t="shared" si="152"/>
        <v>14002</v>
      </c>
    </row>
    <row r="1910" spans="1:7" ht="15.75">
      <c r="A1910" s="1961">
        <f t="shared" si="153"/>
        <v>92325</v>
      </c>
      <c r="B1910" s="1815">
        <v>92300</v>
      </c>
      <c r="C1910" s="1815">
        <v>92350</v>
      </c>
      <c r="D1910" s="1816">
        <f t="shared" si="149"/>
        <v>15619</v>
      </c>
      <c r="E1910" s="1816">
        <f t="shared" si="150"/>
        <v>10927</v>
      </c>
      <c r="F1910" s="1816">
        <f t="shared" si="151"/>
        <v>15619</v>
      </c>
      <c r="G1910" s="1816">
        <f t="shared" si="152"/>
        <v>14013</v>
      </c>
    </row>
    <row r="1911" spans="1:7" ht="15.75">
      <c r="A1911" s="1961">
        <f t="shared" si="153"/>
        <v>92375</v>
      </c>
      <c r="B1911" s="1815">
        <v>92350</v>
      </c>
      <c r="C1911" s="1815">
        <v>92400</v>
      </c>
      <c r="D1911" s="1816">
        <f t="shared" si="149"/>
        <v>15630</v>
      </c>
      <c r="E1911" s="1816">
        <f t="shared" si="150"/>
        <v>10938</v>
      </c>
      <c r="F1911" s="1816">
        <f t="shared" si="151"/>
        <v>15630</v>
      </c>
      <c r="G1911" s="1816">
        <f t="shared" si="152"/>
        <v>14024</v>
      </c>
    </row>
    <row r="1912" spans="1:7" ht="15.75">
      <c r="A1912" s="1961">
        <f t="shared" si="153"/>
        <v>92425</v>
      </c>
      <c r="B1912" s="1815">
        <v>92400</v>
      </c>
      <c r="C1912" s="1815">
        <v>92450</v>
      </c>
      <c r="D1912" s="1816">
        <f t="shared" si="149"/>
        <v>15641</v>
      </c>
      <c r="E1912" s="1816">
        <f t="shared" si="150"/>
        <v>10949</v>
      </c>
      <c r="F1912" s="1816">
        <f t="shared" si="151"/>
        <v>15641</v>
      </c>
      <c r="G1912" s="1816">
        <f t="shared" si="152"/>
        <v>14035</v>
      </c>
    </row>
    <row r="1913" spans="1:7" ht="15.75">
      <c r="A1913" s="1961">
        <f t="shared" si="153"/>
        <v>92475</v>
      </c>
      <c r="B1913" s="1815">
        <v>92450</v>
      </c>
      <c r="C1913" s="1815">
        <v>92500</v>
      </c>
      <c r="D1913" s="1816">
        <f t="shared" si="149"/>
        <v>15652</v>
      </c>
      <c r="E1913" s="1816">
        <f t="shared" si="150"/>
        <v>10960</v>
      </c>
      <c r="F1913" s="1816">
        <f t="shared" si="151"/>
        <v>15652</v>
      </c>
      <c r="G1913" s="1816">
        <f t="shared" si="152"/>
        <v>14046</v>
      </c>
    </row>
    <row r="1914" spans="1:7" ht="15.75">
      <c r="A1914" s="1961">
        <f t="shared" si="153"/>
        <v>92525</v>
      </c>
      <c r="B1914" s="1815">
        <v>92500</v>
      </c>
      <c r="C1914" s="1815">
        <v>92550</v>
      </c>
      <c r="D1914" s="1816">
        <f t="shared" si="149"/>
        <v>15663</v>
      </c>
      <c r="E1914" s="1816">
        <f t="shared" si="150"/>
        <v>10971</v>
      </c>
      <c r="F1914" s="1816">
        <f t="shared" si="151"/>
        <v>15663</v>
      </c>
      <c r="G1914" s="1816">
        <f t="shared" si="152"/>
        <v>14057</v>
      </c>
    </row>
    <row r="1915" spans="1:7" ht="15.75">
      <c r="A1915" s="1961">
        <f t="shared" si="153"/>
        <v>92575</v>
      </c>
      <c r="B1915" s="1815">
        <v>92550</v>
      </c>
      <c r="C1915" s="1815">
        <v>92600</v>
      </c>
      <c r="D1915" s="1816">
        <f t="shared" si="149"/>
        <v>15674</v>
      </c>
      <c r="E1915" s="1816">
        <f t="shared" si="150"/>
        <v>10982</v>
      </c>
      <c r="F1915" s="1816">
        <f t="shared" si="151"/>
        <v>15674</v>
      </c>
      <c r="G1915" s="1816">
        <f t="shared" si="152"/>
        <v>14068</v>
      </c>
    </row>
    <row r="1916" spans="1:7" ht="15.75">
      <c r="A1916" s="1961">
        <f t="shared" si="153"/>
        <v>92625</v>
      </c>
      <c r="B1916" s="1815">
        <v>92600</v>
      </c>
      <c r="C1916" s="1815">
        <v>92650</v>
      </c>
      <c r="D1916" s="1816">
        <f t="shared" si="149"/>
        <v>15685</v>
      </c>
      <c r="E1916" s="1816">
        <f t="shared" si="150"/>
        <v>10993</v>
      </c>
      <c r="F1916" s="1816">
        <f t="shared" si="151"/>
        <v>15685</v>
      </c>
      <c r="G1916" s="1816">
        <f t="shared" si="152"/>
        <v>14079</v>
      </c>
    </row>
    <row r="1917" spans="1:7" ht="15.75">
      <c r="A1917" s="1961">
        <f t="shared" si="153"/>
        <v>92675</v>
      </c>
      <c r="B1917" s="1815">
        <v>92650</v>
      </c>
      <c r="C1917" s="1815">
        <v>92700</v>
      </c>
      <c r="D1917" s="1816">
        <f t="shared" si="149"/>
        <v>15696</v>
      </c>
      <c r="E1917" s="1816">
        <f t="shared" si="150"/>
        <v>11004</v>
      </c>
      <c r="F1917" s="1816">
        <f t="shared" si="151"/>
        <v>15696</v>
      </c>
      <c r="G1917" s="1816">
        <f t="shared" si="152"/>
        <v>14090</v>
      </c>
    </row>
    <row r="1918" spans="1:7" ht="15.75">
      <c r="A1918" s="1961">
        <f t="shared" si="153"/>
        <v>92725</v>
      </c>
      <c r="B1918" s="1815">
        <v>92700</v>
      </c>
      <c r="C1918" s="1815">
        <v>92750</v>
      </c>
      <c r="D1918" s="1816">
        <f t="shared" si="149"/>
        <v>15707</v>
      </c>
      <c r="E1918" s="1816">
        <f t="shared" si="150"/>
        <v>11015</v>
      </c>
      <c r="F1918" s="1816">
        <f t="shared" si="151"/>
        <v>15707</v>
      </c>
      <c r="G1918" s="1816">
        <f t="shared" si="152"/>
        <v>14101</v>
      </c>
    </row>
    <row r="1919" spans="1:7" ht="15.75">
      <c r="A1919" s="1961">
        <f t="shared" si="153"/>
        <v>92775</v>
      </c>
      <c r="B1919" s="1815">
        <v>92750</v>
      </c>
      <c r="C1919" s="1815">
        <v>92800</v>
      </c>
      <c r="D1919" s="1816">
        <f t="shared" si="149"/>
        <v>15718</v>
      </c>
      <c r="E1919" s="1816">
        <f t="shared" si="150"/>
        <v>11026</v>
      </c>
      <c r="F1919" s="1816">
        <f t="shared" si="151"/>
        <v>15718</v>
      </c>
      <c r="G1919" s="1816">
        <f t="shared" si="152"/>
        <v>14112</v>
      </c>
    </row>
    <row r="1920" spans="1:7" ht="15.75">
      <c r="A1920" s="1961">
        <f t="shared" si="153"/>
        <v>92825</v>
      </c>
      <c r="B1920" s="1815">
        <v>92800</v>
      </c>
      <c r="C1920" s="1815">
        <v>92850</v>
      </c>
      <c r="D1920" s="1816">
        <f t="shared" si="149"/>
        <v>15729</v>
      </c>
      <c r="E1920" s="1816">
        <f t="shared" si="150"/>
        <v>11037</v>
      </c>
      <c r="F1920" s="1816">
        <f t="shared" si="151"/>
        <v>15729</v>
      </c>
      <c r="G1920" s="1816">
        <f t="shared" si="152"/>
        <v>14123</v>
      </c>
    </row>
    <row r="1921" spans="1:7" ht="15.75">
      <c r="A1921" s="1961">
        <f t="shared" si="153"/>
        <v>92875</v>
      </c>
      <c r="B1921" s="1815">
        <v>92850</v>
      </c>
      <c r="C1921" s="1815">
        <v>92900</v>
      </c>
      <c r="D1921" s="1816">
        <f t="shared" si="149"/>
        <v>15740</v>
      </c>
      <c r="E1921" s="1816">
        <f t="shared" si="150"/>
        <v>11048</v>
      </c>
      <c r="F1921" s="1816">
        <f t="shared" si="151"/>
        <v>15740</v>
      </c>
      <c r="G1921" s="1816">
        <f t="shared" si="152"/>
        <v>14134</v>
      </c>
    </row>
    <row r="1922" spans="1:7" ht="15.75">
      <c r="A1922" s="1961">
        <f t="shared" si="153"/>
        <v>92925</v>
      </c>
      <c r="B1922" s="1815">
        <v>92900</v>
      </c>
      <c r="C1922" s="1815">
        <v>92950</v>
      </c>
      <c r="D1922" s="1816">
        <f t="shared" ref="D1922:D1985" si="154">IF($A1922&gt;BOTT_A4,ROUND(BASE_A4+RATE_A4*($A1922-BOTT_A4),0),IF($A1922&gt;BOTT_A3,ROUND(BASE_A3+RATE_A3*($A1922-BOTT_A3),0),IF($A1922&gt;BOTT_A2,ROUND(BASE_A2+RATE_A2*($A1922-BOTT_A2),0),ROUND(RATE_A1*$A1922,0))))</f>
        <v>15751</v>
      </c>
      <c r="E1922" s="1816">
        <f t="shared" ref="E1922:E1985" si="155">IF($A1922&gt;BOTT_B4,ROUND(BASE_B4+RATE_B4*($A1922-BOTT_B4),0),IF($A1922&gt;BOTT_B3,ROUND(BASE_B3+RATE_B3*($A1922-BOTT_B3),0),IF($A1922&gt;BOTT_B2,ROUND(BASE_B2+RATE_B2*($A1922-BOTT_B2),0),ROUND(RATE_B1*$A1922,0))))</f>
        <v>11059</v>
      </c>
      <c r="F1922" s="1816">
        <f t="shared" ref="F1922:F1985" si="156">IF($A1922&gt;BOTT_C4,ROUND(BASE_C4+RATE_C4*($A1922-BOTT_C4),0),IF($A1922&gt;BOTT_C3,ROUND(BASE_C3+RATE_C3*($A1922-BOTT_C3),0),IF($A1922&gt;BOTT_C2,ROUND(BASE_C2+RATE_C2*($A1922-BOTT_C2),0),ROUND(RATE_C1*$A1922,0))))</f>
        <v>15751</v>
      </c>
      <c r="G1922" s="1816">
        <f t="shared" ref="G1922:G1985" si="157">IF($A1922&gt;BOTT_D4,ROUND(BASE_D4+RATE_D4*($A1922-BOTT_D4),0),IF($A1922&gt;BOTT_D3,ROUND(BASE_D3+RATE_D3*($A1922-BOTT_D3),0),IF($A1922&gt;BOTT_D2,ROUND(BASE_D2+RATE_D2*($A1922-BOTT_D2),0),ROUND(RATE_D1*$A1922,0))))</f>
        <v>14145</v>
      </c>
    </row>
    <row r="1923" spans="1:7" ht="15.75">
      <c r="A1923" s="1961">
        <f t="shared" ref="A1923:A1986" si="158">AVERAGE(B1923,C1923)</f>
        <v>92975</v>
      </c>
      <c r="B1923" s="1815">
        <v>92950</v>
      </c>
      <c r="C1923" s="1815">
        <v>93000</v>
      </c>
      <c r="D1923" s="1816">
        <f t="shared" si="154"/>
        <v>15762</v>
      </c>
      <c r="E1923" s="1816">
        <f t="shared" si="155"/>
        <v>11070</v>
      </c>
      <c r="F1923" s="1816">
        <f t="shared" si="156"/>
        <v>15762</v>
      </c>
      <c r="G1923" s="1816">
        <f t="shared" si="157"/>
        <v>14156</v>
      </c>
    </row>
    <row r="1924" spans="1:7" ht="15.75">
      <c r="A1924" s="1961">
        <f t="shared" si="158"/>
        <v>93025</v>
      </c>
      <c r="B1924" s="1815">
        <v>93000</v>
      </c>
      <c r="C1924" s="1815">
        <v>93050</v>
      </c>
      <c r="D1924" s="1816">
        <f t="shared" si="154"/>
        <v>15773</v>
      </c>
      <c r="E1924" s="1816">
        <f t="shared" si="155"/>
        <v>11081</v>
      </c>
      <c r="F1924" s="1816">
        <f t="shared" si="156"/>
        <v>15773</v>
      </c>
      <c r="G1924" s="1816">
        <f t="shared" si="157"/>
        <v>14167</v>
      </c>
    </row>
    <row r="1925" spans="1:7" ht="15.75">
      <c r="A1925" s="1961">
        <f t="shared" si="158"/>
        <v>93075</v>
      </c>
      <c r="B1925" s="1815">
        <v>93050</v>
      </c>
      <c r="C1925" s="1815">
        <v>93100</v>
      </c>
      <c r="D1925" s="1816">
        <f t="shared" si="154"/>
        <v>15784</v>
      </c>
      <c r="E1925" s="1816">
        <f t="shared" si="155"/>
        <v>11092</v>
      </c>
      <c r="F1925" s="1816">
        <f t="shared" si="156"/>
        <v>15784</v>
      </c>
      <c r="G1925" s="1816">
        <f t="shared" si="157"/>
        <v>14178</v>
      </c>
    </row>
    <row r="1926" spans="1:7" ht="15.75">
      <c r="A1926" s="1961">
        <f t="shared" si="158"/>
        <v>93125</v>
      </c>
      <c r="B1926" s="1815">
        <v>93100</v>
      </c>
      <c r="C1926" s="1815">
        <v>93150</v>
      </c>
      <c r="D1926" s="1816">
        <f t="shared" si="154"/>
        <v>15795</v>
      </c>
      <c r="E1926" s="1816">
        <f t="shared" si="155"/>
        <v>11103</v>
      </c>
      <c r="F1926" s="1816">
        <f t="shared" si="156"/>
        <v>15795</v>
      </c>
      <c r="G1926" s="1816">
        <f t="shared" si="157"/>
        <v>14189</v>
      </c>
    </row>
    <row r="1927" spans="1:7" ht="15.75">
      <c r="A1927" s="1961">
        <f t="shared" si="158"/>
        <v>93175</v>
      </c>
      <c r="B1927" s="1815">
        <v>93150</v>
      </c>
      <c r="C1927" s="1815">
        <v>93200</v>
      </c>
      <c r="D1927" s="1816">
        <f t="shared" si="154"/>
        <v>15806</v>
      </c>
      <c r="E1927" s="1816">
        <f t="shared" si="155"/>
        <v>11114</v>
      </c>
      <c r="F1927" s="1816">
        <f t="shared" si="156"/>
        <v>15806</v>
      </c>
      <c r="G1927" s="1816">
        <f t="shared" si="157"/>
        <v>14200</v>
      </c>
    </row>
    <row r="1928" spans="1:7" ht="15.75">
      <c r="A1928" s="1961">
        <f t="shared" si="158"/>
        <v>93225</v>
      </c>
      <c r="B1928" s="1815">
        <v>93200</v>
      </c>
      <c r="C1928" s="1815">
        <v>93250</v>
      </c>
      <c r="D1928" s="1816">
        <f t="shared" si="154"/>
        <v>15817</v>
      </c>
      <c r="E1928" s="1816">
        <f t="shared" si="155"/>
        <v>11125</v>
      </c>
      <c r="F1928" s="1816">
        <f t="shared" si="156"/>
        <v>15817</v>
      </c>
      <c r="G1928" s="1816">
        <f t="shared" si="157"/>
        <v>14211</v>
      </c>
    </row>
    <row r="1929" spans="1:7" ht="15.75">
      <c r="A1929" s="1961">
        <f t="shared" si="158"/>
        <v>93275</v>
      </c>
      <c r="B1929" s="1815">
        <v>93250</v>
      </c>
      <c r="C1929" s="1815">
        <v>93300</v>
      </c>
      <c r="D1929" s="1816">
        <f t="shared" si="154"/>
        <v>15828</v>
      </c>
      <c r="E1929" s="1816">
        <f t="shared" si="155"/>
        <v>11136</v>
      </c>
      <c r="F1929" s="1816">
        <f t="shared" si="156"/>
        <v>15828</v>
      </c>
      <c r="G1929" s="1816">
        <f t="shared" si="157"/>
        <v>14222</v>
      </c>
    </row>
    <row r="1930" spans="1:7" ht="15.75">
      <c r="A1930" s="1961">
        <f t="shared" si="158"/>
        <v>93325</v>
      </c>
      <c r="B1930" s="1815">
        <v>93300</v>
      </c>
      <c r="C1930" s="1815">
        <v>93350</v>
      </c>
      <c r="D1930" s="1816">
        <f t="shared" si="154"/>
        <v>15839</v>
      </c>
      <c r="E1930" s="1816">
        <f t="shared" si="155"/>
        <v>11147</v>
      </c>
      <c r="F1930" s="1816">
        <f t="shared" si="156"/>
        <v>15839</v>
      </c>
      <c r="G1930" s="1816">
        <f t="shared" si="157"/>
        <v>14233</v>
      </c>
    </row>
    <row r="1931" spans="1:7" ht="15.75">
      <c r="A1931" s="1961">
        <f t="shared" si="158"/>
        <v>93375</v>
      </c>
      <c r="B1931" s="1815">
        <v>93350</v>
      </c>
      <c r="C1931" s="1815">
        <v>93400</v>
      </c>
      <c r="D1931" s="1816">
        <f t="shared" si="154"/>
        <v>15850</v>
      </c>
      <c r="E1931" s="1816">
        <f t="shared" si="155"/>
        <v>11158</v>
      </c>
      <c r="F1931" s="1816">
        <f t="shared" si="156"/>
        <v>15850</v>
      </c>
      <c r="G1931" s="1816">
        <f t="shared" si="157"/>
        <v>14244</v>
      </c>
    </row>
    <row r="1932" spans="1:7" ht="15.75">
      <c r="A1932" s="1961">
        <f t="shared" si="158"/>
        <v>93425</v>
      </c>
      <c r="B1932" s="1815">
        <v>93400</v>
      </c>
      <c r="C1932" s="1815">
        <v>93450</v>
      </c>
      <c r="D1932" s="1816">
        <f t="shared" si="154"/>
        <v>15861</v>
      </c>
      <c r="E1932" s="1816">
        <f t="shared" si="155"/>
        <v>11169</v>
      </c>
      <c r="F1932" s="1816">
        <f t="shared" si="156"/>
        <v>15861</v>
      </c>
      <c r="G1932" s="1816">
        <f t="shared" si="157"/>
        <v>14255</v>
      </c>
    </row>
    <row r="1933" spans="1:7" ht="15.75">
      <c r="A1933" s="1961">
        <f t="shared" si="158"/>
        <v>93475</v>
      </c>
      <c r="B1933" s="1815">
        <v>93450</v>
      </c>
      <c r="C1933" s="1815">
        <v>93500</v>
      </c>
      <c r="D1933" s="1816">
        <f t="shared" si="154"/>
        <v>15872</v>
      </c>
      <c r="E1933" s="1816">
        <f t="shared" si="155"/>
        <v>11180</v>
      </c>
      <c r="F1933" s="1816">
        <f t="shared" si="156"/>
        <v>15872</v>
      </c>
      <c r="G1933" s="1816">
        <f t="shared" si="157"/>
        <v>14266</v>
      </c>
    </row>
    <row r="1934" spans="1:7" ht="15.75">
      <c r="A1934" s="1961">
        <f t="shared" si="158"/>
        <v>93525</v>
      </c>
      <c r="B1934" s="1815">
        <v>93500</v>
      </c>
      <c r="C1934" s="1815">
        <v>93550</v>
      </c>
      <c r="D1934" s="1816">
        <f t="shared" si="154"/>
        <v>15883</v>
      </c>
      <c r="E1934" s="1816">
        <f t="shared" si="155"/>
        <v>11191</v>
      </c>
      <c r="F1934" s="1816">
        <f t="shared" si="156"/>
        <v>15883</v>
      </c>
      <c r="G1934" s="1816">
        <f t="shared" si="157"/>
        <v>14277</v>
      </c>
    </row>
    <row r="1935" spans="1:7" ht="15.75">
      <c r="A1935" s="1961">
        <f t="shared" si="158"/>
        <v>93575</v>
      </c>
      <c r="B1935" s="1815">
        <v>93550</v>
      </c>
      <c r="C1935" s="1815">
        <v>93600</v>
      </c>
      <c r="D1935" s="1816">
        <f t="shared" si="154"/>
        <v>15894</v>
      </c>
      <c r="E1935" s="1816">
        <f t="shared" si="155"/>
        <v>11202</v>
      </c>
      <c r="F1935" s="1816">
        <f t="shared" si="156"/>
        <v>15894</v>
      </c>
      <c r="G1935" s="1816">
        <f t="shared" si="157"/>
        <v>14288</v>
      </c>
    </row>
    <row r="1936" spans="1:7" ht="15.75">
      <c r="A1936" s="1961">
        <f t="shared" si="158"/>
        <v>93625</v>
      </c>
      <c r="B1936" s="1815">
        <v>93600</v>
      </c>
      <c r="C1936" s="1815">
        <v>93650</v>
      </c>
      <c r="D1936" s="1816">
        <f t="shared" si="154"/>
        <v>15905</v>
      </c>
      <c r="E1936" s="1816">
        <f t="shared" si="155"/>
        <v>11213</v>
      </c>
      <c r="F1936" s="1816">
        <f t="shared" si="156"/>
        <v>15905</v>
      </c>
      <c r="G1936" s="1816">
        <f t="shared" si="157"/>
        <v>14299</v>
      </c>
    </row>
    <row r="1937" spans="1:7" ht="15.75">
      <c r="A1937" s="1961">
        <f t="shared" si="158"/>
        <v>93675</v>
      </c>
      <c r="B1937" s="1815">
        <v>93650</v>
      </c>
      <c r="C1937" s="1815">
        <v>93700</v>
      </c>
      <c r="D1937" s="1816">
        <f t="shared" si="154"/>
        <v>15916</v>
      </c>
      <c r="E1937" s="1816">
        <f t="shared" si="155"/>
        <v>11224</v>
      </c>
      <c r="F1937" s="1816">
        <f t="shared" si="156"/>
        <v>15916</v>
      </c>
      <c r="G1937" s="1816">
        <f t="shared" si="157"/>
        <v>14310</v>
      </c>
    </row>
    <row r="1938" spans="1:7" ht="15.75">
      <c r="A1938" s="1961">
        <f t="shared" si="158"/>
        <v>93725</v>
      </c>
      <c r="B1938" s="1815">
        <v>93700</v>
      </c>
      <c r="C1938" s="1815">
        <v>93750</v>
      </c>
      <c r="D1938" s="1816">
        <f t="shared" si="154"/>
        <v>15927</v>
      </c>
      <c r="E1938" s="1816">
        <f t="shared" si="155"/>
        <v>11235</v>
      </c>
      <c r="F1938" s="1816">
        <f t="shared" si="156"/>
        <v>15927</v>
      </c>
      <c r="G1938" s="1816">
        <f t="shared" si="157"/>
        <v>14321</v>
      </c>
    </row>
    <row r="1939" spans="1:7" ht="15.75">
      <c r="A1939" s="1961">
        <f t="shared" si="158"/>
        <v>93775</v>
      </c>
      <c r="B1939" s="1815">
        <v>93750</v>
      </c>
      <c r="C1939" s="1815">
        <v>93800</v>
      </c>
      <c r="D1939" s="1816">
        <f t="shared" si="154"/>
        <v>15938</v>
      </c>
      <c r="E1939" s="1816">
        <f t="shared" si="155"/>
        <v>11246</v>
      </c>
      <c r="F1939" s="1816">
        <f t="shared" si="156"/>
        <v>15938</v>
      </c>
      <c r="G1939" s="1816">
        <f t="shared" si="157"/>
        <v>14332</v>
      </c>
    </row>
    <row r="1940" spans="1:7" ht="15.75">
      <c r="A1940" s="1961">
        <f t="shared" si="158"/>
        <v>93825</v>
      </c>
      <c r="B1940" s="1815">
        <v>93800</v>
      </c>
      <c r="C1940" s="1815">
        <v>93850</v>
      </c>
      <c r="D1940" s="1816">
        <f t="shared" si="154"/>
        <v>15949</v>
      </c>
      <c r="E1940" s="1816">
        <f t="shared" si="155"/>
        <v>11257</v>
      </c>
      <c r="F1940" s="1816">
        <f t="shared" si="156"/>
        <v>15949</v>
      </c>
      <c r="G1940" s="1816">
        <f t="shared" si="157"/>
        <v>14343</v>
      </c>
    </row>
    <row r="1941" spans="1:7" ht="15.75">
      <c r="A1941" s="1961">
        <f t="shared" si="158"/>
        <v>93875</v>
      </c>
      <c r="B1941" s="1815">
        <v>93850</v>
      </c>
      <c r="C1941" s="1815">
        <v>93900</v>
      </c>
      <c r="D1941" s="1816">
        <f t="shared" si="154"/>
        <v>15960</v>
      </c>
      <c r="E1941" s="1816">
        <f t="shared" si="155"/>
        <v>11268</v>
      </c>
      <c r="F1941" s="1816">
        <f t="shared" si="156"/>
        <v>15960</v>
      </c>
      <c r="G1941" s="1816">
        <f t="shared" si="157"/>
        <v>14354</v>
      </c>
    </row>
    <row r="1942" spans="1:7" ht="15.75">
      <c r="A1942" s="1961">
        <f t="shared" si="158"/>
        <v>93925</v>
      </c>
      <c r="B1942" s="1815">
        <v>93900</v>
      </c>
      <c r="C1942" s="1815">
        <v>93950</v>
      </c>
      <c r="D1942" s="1816">
        <f t="shared" si="154"/>
        <v>15971</v>
      </c>
      <c r="E1942" s="1816">
        <f t="shared" si="155"/>
        <v>11279</v>
      </c>
      <c r="F1942" s="1816">
        <f t="shared" si="156"/>
        <v>15971</v>
      </c>
      <c r="G1942" s="1816">
        <f t="shared" si="157"/>
        <v>14365</v>
      </c>
    </row>
    <row r="1943" spans="1:7" ht="15.75">
      <c r="A1943" s="1961">
        <f t="shared" si="158"/>
        <v>93975</v>
      </c>
      <c r="B1943" s="1815">
        <v>93950</v>
      </c>
      <c r="C1943" s="1815">
        <v>94000</v>
      </c>
      <c r="D1943" s="1816">
        <f t="shared" si="154"/>
        <v>15982</v>
      </c>
      <c r="E1943" s="1816">
        <f t="shared" si="155"/>
        <v>11290</v>
      </c>
      <c r="F1943" s="1816">
        <f t="shared" si="156"/>
        <v>15982</v>
      </c>
      <c r="G1943" s="1816">
        <f t="shared" si="157"/>
        <v>14376</v>
      </c>
    </row>
    <row r="1944" spans="1:7" ht="15.75">
      <c r="A1944" s="1961">
        <f t="shared" si="158"/>
        <v>94025</v>
      </c>
      <c r="B1944" s="1815">
        <v>94000</v>
      </c>
      <c r="C1944" s="1815">
        <v>94050</v>
      </c>
      <c r="D1944" s="1816">
        <f t="shared" si="154"/>
        <v>15993</v>
      </c>
      <c r="E1944" s="1816">
        <f t="shared" si="155"/>
        <v>11301</v>
      </c>
      <c r="F1944" s="1816">
        <f t="shared" si="156"/>
        <v>15993</v>
      </c>
      <c r="G1944" s="1816">
        <f t="shared" si="157"/>
        <v>14387</v>
      </c>
    </row>
    <row r="1945" spans="1:7" ht="15.75">
      <c r="A1945" s="1961">
        <f t="shared" si="158"/>
        <v>94075</v>
      </c>
      <c r="B1945" s="1815">
        <v>94050</v>
      </c>
      <c r="C1945" s="1815">
        <v>94100</v>
      </c>
      <c r="D1945" s="1816">
        <f t="shared" si="154"/>
        <v>16004</v>
      </c>
      <c r="E1945" s="1816">
        <f t="shared" si="155"/>
        <v>11312</v>
      </c>
      <c r="F1945" s="1816">
        <f t="shared" si="156"/>
        <v>16004</v>
      </c>
      <c r="G1945" s="1816">
        <f t="shared" si="157"/>
        <v>14398</v>
      </c>
    </row>
    <row r="1946" spans="1:7" ht="15.75">
      <c r="A1946" s="1961">
        <f t="shared" si="158"/>
        <v>94125</v>
      </c>
      <c r="B1946" s="1815">
        <v>94100</v>
      </c>
      <c r="C1946" s="1815">
        <v>94150</v>
      </c>
      <c r="D1946" s="1816">
        <f t="shared" si="154"/>
        <v>16015</v>
      </c>
      <c r="E1946" s="1816">
        <f t="shared" si="155"/>
        <v>11323</v>
      </c>
      <c r="F1946" s="1816">
        <f t="shared" si="156"/>
        <v>16015</v>
      </c>
      <c r="G1946" s="1816">
        <f t="shared" si="157"/>
        <v>14409</v>
      </c>
    </row>
    <row r="1947" spans="1:7" ht="15.75">
      <c r="A1947" s="1961">
        <f t="shared" si="158"/>
        <v>94175</v>
      </c>
      <c r="B1947" s="1815">
        <v>94150</v>
      </c>
      <c r="C1947" s="1815">
        <v>94200</v>
      </c>
      <c r="D1947" s="1816">
        <f t="shared" si="154"/>
        <v>16026</v>
      </c>
      <c r="E1947" s="1816">
        <f t="shared" si="155"/>
        <v>11334</v>
      </c>
      <c r="F1947" s="1816">
        <f t="shared" si="156"/>
        <v>16026</v>
      </c>
      <c r="G1947" s="1816">
        <f t="shared" si="157"/>
        <v>14420</v>
      </c>
    </row>
    <row r="1948" spans="1:7" ht="15.75">
      <c r="A1948" s="1961">
        <f t="shared" si="158"/>
        <v>94225</v>
      </c>
      <c r="B1948" s="1815">
        <v>94200</v>
      </c>
      <c r="C1948" s="1815">
        <v>94250</v>
      </c>
      <c r="D1948" s="1816">
        <f t="shared" si="154"/>
        <v>16037</v>
      </c>
      <c r="E1948" s="1816">
        <f t="shared" si="155"/>
        <v>11345</v>
      </c>
      <c r="F1948" s="1816">
        <f t="shared" si="156"/>
        <v>16037</v>
      </c>
      <c r="G1948" s="1816">
        <f t="shared" si="157"/>
        <v>14431</v>
      </c>
    </row>
    <row r="1949" spans="1:7" ht="15.75">
      <c r="A1949" s="1961">
        <f t="shared" si="158"/>
        <v>94275</v>
      </c>
      <c r="B1949" s="1815">
        <v>94250</v>
      </c>
      <c r="C1949" s="1815">
        <v>94300</v>
      </c>
      <c r="D1949" s="1816">
        <f t="shared" si="154"/>
        <v>16048</v>
      </c>
      <c r="E1949" s="1816">
        <f t="shared" si="155"/>
        <v>11356</v>
      </c>
      <c r="F1949" s="1816">
        <f t="shared" si="156"/>
        <v>16048</v>
      </c>
      <c r="G1949" s="1816">
        <f t="shared" si="157"/>
        <v>14442</v>
      </c>
    </row>
    <row r="1950" spans="1:7" ht="15.75">
      <c r="A1950" s="1961">
        <f t="shared" si="158"/>
        <v>94325</v>
      </c>
      <c r="B1950" s="1815">
        <v>94300</v>
      </c>
      <c r="C1950" s="1815">
        <v>94350</v>
      </c>
      <c r="D1950" s="1816">
        <f t="shared" si="154"/>
        <v>16059</v>
      </c>
      <c r="E1950" s="1816">
        <f t="shared" si="155"/>
        <v>11367</v>
      </c>
      <c r="F1950" s="1816">
        <f t="shared" si="156"/>
        <v>16059</v>
      </c>
      <c r="G1950" s="1816">
        <f t="shared" si="157"/>
        <v>14453</v>
      </c>
    </row>
    <row r="1951" spans="1:7" ht="15.75">
      <c r="A1951" s="1961">
        <f t="shared" si="158"/>
        <v>94375</v>
      </c>
      <c r="B1951" s="1815">
        <v>94350</v>
      </c>
      <c r="C1951" s="1815">
        <v>94400</v>
      </c>
      <c r="D1951" s="1816">
        <f t="shared" si="154"/>
        <v>16070</v>
      </c>
      <c r="E1951" s="1816">
        <f t="shared" si="155"/>
        <v>11378</v>
      </c>
      <c r="F1951" s="1816">
        <f t="shared" si="156"/>
        <v>16070</v>
      </c>
      <c r="G1951" s="1816">
        <f t="shared" si="157"/>
        <v>14464</v>
      </c>
    </row>
    <row r="1952" spans="1:7" ht="15.75">
      <c r="A1952" s="1961">
        <f t="shared" si="158"/>
        <v>94425</v>
      </c>
      <c r="B1952" s="1815">
        <v>94400</v>
      </c>
      <c r="C1952" s="1815">
        <v>94450</v>
      </c>
      <c r="D1952" s="1816">
        <f t="shared" si="154"/>
        <v>16081</v>
      </c>
      <c r="E1952" s="1816">
        <f t="shared" si="155"/>
        <v>11389</v>
      </c>
      <c r="F1952" s="1816">
        <f t="shared" si="156"/>
        <v>16081</v>
      </c>
      <c r="G1952" s="1816">
        <f t="shared" si="157"/>
        <v>14475</v>
      </c>
    </row>
    <row r="1953" spans="1:7" ht="15.75">
      <c r="A1953" s="1961">
        <f t="shared" si="158"/>
        <v>94475</v>
      </c>
      <c r="B1953" s="1815">
        <v>94450</v>
      </c>
      <c r="C1953" s="1815">
        <v>94500</v>
      </c>
      <c r="D1953" s="1816">
        <f t="shared" si="154"/>
        <v>16092</v>
      </c>
      <c r="E1953" s="1816">
        <f t="shared" si="155"/>
        <v>11400</v>
      </c>
      <c r="F1953" s="1816">
        <f t="shared" si="156"/>
        <v>16092</v>
      </c>
      <c r="G1953" s="1816">
        <f t="shared" si="157"/>
        <v>14486</v>
      </c>
    </row>
    <row r="1954" spans="1:7" ht="15.75">
      <c r="A1954" s="1961">
        <f t="shared" si="158"/>
        <v>94525</v>
      </c>
      <c r="B1954" s="1815">
        <v>94500</v>
      </c>
      <c r="C1954" s="1815">
        <v>94550</v>
      </c>
      <c r="D1954" s="1816">
        <f t="shared" si="154"/>
        <v>16103</v>
      </c>
      <c r="E1954" s="1816">
        <f t="shared" si="155"/>
        <v>11411</v>
      </c>
      <c r="F1954" s="1816">
        <f t="shared" si="156"/>
        <v>16103</v>
      </c>
      <c r="G1954" s="1816">
        <f t="shared" si="157"/>
        <v>14497</v>
      </c>
    </row>
    <row r="1955" spans="1:7" ht="15.75">
      <c r="A1955" s="1961">
        <f t="shared" si="158"/>
        <v>94575</v>
      </c>
      <c r="B1955" s="1815">
        <v>94550</v>
      </c>
      <c r="C1955" s="1815">
        <v>94600</v>
      </c>
      <c r="D1955" s="1816">
        <f t="shared" si="154"/>
        <v>16114</v>
      </c>
      <c r="E1955" s="1816">
        <f t="shared" si="155"/>
        <v>11422</v>
      </c>
      <c r="F1955" s="1816">
        <f t="shared" si="156"/>
        <v>16114</v>
      </c>
      <c r="G1955" s="1816">
        <f t="shared" si="157"/>
        <v>14508</v>
      </c>
    </row>
    <row r="1956" spans="1:7" ht="15.75">
      <c r="A1956" s="1961">
        <f t="shared" si="158"/>
        <v>94625</v>
      </c>
      <c r="B1956" s="1815">
        <v>94600</v>
      </c>
      <c r="C1956" s="1815">
        <v>94650</v>
      </c>
      <c r="D1956" s="1816">
        <f t="shared" si="154"/>
        <v>16125</v>
      </c>
      <c r="E1956" s="1816">
        <f t="shared" si="155"/>
        <v>11433</v>
      </c>
      <c r="F1956" s="1816">
        <f t="shared" si="156"/>
        <v>16125</v>
      </c>
      <c r="G1956" s="1816">
        <f t="shared" si="157"/>
        <v>14519</v>
      </c>
    </row>
    <row r="1957" spans="1:7" ht="15.75">
      <c r="A1957" s="1961">
        <f t="shared" si="158"/>
        <v>94675</v>
      </c>
      <c r="B1957" s="1815">
        <v>94650</v>
      </c>
      <c r="C1957" s="1815">
        <v>94700</v>
      </c>
      <c r="D1957" s="1816">
        <f t="shared" si="154"/>
        <v>16136</v>
      </c>
      <c r="E1957" s="1816">
        <f t="shared" si="155"/>
        <v>11444</v>
      </c>
      <c r="F1957" s="1816">
        <f t="shared" si="156"/>
        <v>16136</v>
      </c>
      <c r="G1957" s="1816">
        <f t="shared" si="157"/>
        <v>14530</v>
      </c>
    </row>
    <row r="1958" spans="1:7" ht="15.75">
      <c r="A1958" s="1961">
        <f t="shared" si="158"/>
        <v>94725</v>
      </c>
      <c r="B1958" s="1815">
        <v>94700</v>
      </c>
      <c r="C1958" s="1815">
        <v>94750</v>
      </c>
      <c r="D1958" s="1816">
        <f t="shared" si="154"/>
        <v>16147</v>
      </c>
      <c r="E1958" s="1816">
        <f t="shared" si="155"/>
        <v>11455</v>
      </c>
      <c r="F1958" s="1816">
        <f t="shared" si="156"/>
        <v>16147</v>
      </c>
      <c r="G1958" s="1816">
        <f t="shared" si="157"/>
        <v>14541</v>
      </c>
    </row>
    <row r="1959" spans="1:7" ht="15.75">
      <c r="A1959" s="1961">
        <f t="shared" si="158"/>
        <v>94775</v>
      </c>
      <c r="B1959" s="1815">
        <v>94750</v>
      </c>
      <c r="C1959" s="1815">
        <v>94800</v>
      </c>
      <c r="D1959" s="1816">
        <f t="shared" si="154"/>
        <v>16158</v>
      </c>
      <c r="E1959" s="1816">
        <f t="shared" si="155"/>
        <v>11466</v>
      </c>
      <c r="F1959" s="1816">
        <f t="shared" si="156"/>
        <v>16158</v>
      </c>
      <c r="G1959" s="1816">
        <f t="shared" si="157"/>
        <v>14552</v>
      </c>
    </row>
    <row r="1960" spans="1:7" ht="15.75">
      <c r="A1960" s="1961">
        <f t="shared" si="158"/>
        <v>94825</v>
      </c>
      <c r="B1960" s="1815">
        <v>94800</v>
      </c>
      <c r="C1960" s="1815">
        <v>94850</v>
      </c>
      <c r="D1960" s="1816">
        <f t="shared" si="154"/>
        <v>16169</v>
      </c>
      <c r="E1960" s="1816">
        <f t="shared" si="155"/>
        <v>11477</v>
      </c>
      <c r="F1960" s="1816">
        <f t="shared" si="156"/>
        <v>16169</v>
      </c>
      <c r="G1960" s="1816">
        <f t="shared" si="157"/>
        <v>14563</v>
      </c>
    </row>
    <row r="1961" spans="1:7" ht="15.75">
      <c r="A1961" s="1961">
        <f t="shared" si="158"/>
        <v>94875</v>
      </c>
      <c r="B1961" s="1815">
        <v>94850</v>
      </c>
      <c r="C1961" s="1815">
        <v>94900</v>
      </c>
      <c r="D1961" s="1816">
        <f t="shared" si="154"/>
        <v>16180</v>
      </c>
      <c r="E1961" s="1816">
        <f t="shared" si="155"/>
        <v>11488</v>
      </c>
      <c r="F1961" s="1816">
        <f t="shared" si="156"/>
        <v>16180</v>
      </c>
      <c r="G1961" s="1816">
        <f t="shared" si="157"/>
        <v>14574</v>
      </c>
    </row>
    <row r="1962" spans="1:7" ht="15.75">
      <c r="A1962" s="1961">
        <f t="shared" si="158"/>
        <v>94925</v>
      </c>
      <c r="B1962" s="1815">
        <v>94900</v>
      </c>
      <c r="C1962" s="1815">
        <v>94950</v>
      </c>
      <c r="D1962" s="1816">
        <f t="shared" si="154"/>
        <v>16191</v>
      </c>
      <c r="E1962" s="1816">
        <f t="shared" si="155"/>
        <v>11499</v>
      </c>
      <c r="F1962" s="1816">
        <f t="shared" si="156"/>
        <v>16191</v>
      </c>
      <c r="G1962" s="1816">
        <f t="shared" si="157"/>
        <v>14585</v>
      </c>
    </row>
    <row r="1963" spans="1:7" ht="15.75">
      <c r="A1963" s="1961">
        <f t="shared" si="158"/>
        <v>94975</v>
      </c>
      <c r="B1963" s="1815">
        <v>94950</v>
      </c>
      <c r="C1963" s="1815">
        <v>95000</v>
      </c>
      <c r="D1963" s="1816">
        <f t="shared" si="154"/>
        <v>16202</v>
      </c>
      <c r="E1963" s="1816">
        <f t="shared" si="155"/>
        <v>11510</v>
      </c>
      <c r="F1963" s="1816">
        <f t="shared" si="156"/>
        <v>16202</v>
      </c>
      <c r="G1963" s="1816">
        <f t="shared" si="157"/>
        <v>14596</v>
      </c>
    </row>
    <row r="1964" spans="1:7" ht="15.75">
      <c r="A1964" s="1961">
        <f t="shared" si="158"/>
        <v>95025</v>
      </c>
      <c r="B1964" s="1815">
        <v>95000</v>
      </c>
      <c r="C1964" s="1815">
        <v>95050</v>
      </c>
      <c r="D1964" s="1816">
        <f t="shared" si="154"/>
        <v>16213</v>
      </c>
      <c r="E1964" s="1816">
        <f t="shared" si="155"/>
        <v>11521</v>
      </c>
      <c r="F1964" s="1816">
        <f t="shared" si="156"/>
        <v>16213</v>
      </c>
      <c r="G1964" s="1816">
        <f t="shared" si="157"/>
        <v>14607</v>
      </c>
    </row>
    <row r="1965" spans="1:7" ht="15.75">
      <c r="A1965" s="1961">
        <f t="shared" si="158"/>
        <v>95075</v>
      </c>
      <c r="B1965" s="1815">
        <v>95050</v>
      </c>
      <c r="C1965" s="1815">
        <v>95100</v>
      </c>
      <c r="D1965" s="1816">
        <f t="shared" si="154"/>
        <v>16224</v>
      </c>
      <c r="E1965" s="1816">
        <f t="shared" si="155"/>
        <v>11532</v>
      </c>
      <c r="F1965" s="1816">
        <f t="shared" si="156"/>
        <v>16224</v>
      </c>
      <c r="G1965" s="1816">
        <f t="shared" si="157"/>
        <v>14618</v>
      </c>
    </row>
    <row r="1966" spans="1:7" ht="15.75">
      <c r="A1966" s="1961">
        <f t="shared" si="158"/>
        <v>95125</v>
      </c>
      <c r="B1966" s="1815">
        <v>95100</v>
      </c>
      <c r="C1966" s="1815">
        <v>95150</v>
      </c>
      <c r="D1966" s="1816">
        <f t="shared" si="154"/>
        <v>16235</v>
      </c>
      <c r="E1966" s="1816">
        <f t="shared" si="155"/>
        <v>11543</v>
      </c>
      <c r="F1966" s="1816">
        <f t="shared" si="156"/>
        <v>16235</v>
      </c>
      <c r="G1966" s="1816">
        <f t="shared" si="157"/>
        <v>14629</v>
      </c>
    </row>
    <row r="1967" spans="1:7" ht="15.75">
      <c r="A1967" s="1961">
        <f t="shared" si="158"/>
        <v>95175</v>
      </c>
      <c r="B1967" s="1815">
        <v>95150</v>
      </c>
      <c r="C1967" s="1815">
        <v>95200</v>
      </c>
      <c r="D1967" s="1816">
        <f t="shared" si="154"/>
        <v>16246</v>
      </c>
      <c r="E1967" s="1816">
        <f t="shared" si="155"/>
        <v>11554</v>
      </c>
      <c r="F1967" s="1816">
        <f t="shared" si="156"/>
        <v>16246</v>
      </c>
      <c r="G1967" s="1816">
        <f t="shared" si="157"/>
        <v>14640</v>
      </c>
    </row>
    <row r="1968" spans="1:7" ht="15.75">
      <c r="A1968" s="1961">
        <f t="shared" si="158"/>
        <v>95225</v>
      </c>
      <c r="B1968" s="1815">
        <v>95200</v>
      </c>
      <c r="C1968" s="1815">
        <v>95250</v>
      </c>
      <c r="D1968" s="1816">
        <f t="shared" si="154"/>
        <v>16257</v>
      </c>
      <c r="E1968" s="1816">
        <f t="shared" si="155"/>
        <v>11565</v>
      </c>
      <c r="F1968" s="1816">
        <f t="shared" si="156"/>
        <v>16257</v>
      </c>
      <c r="G1968" s="1816">
        <f t="shared" si="157"/>
        <v>14651</v>
      </c>
    </row>
    <row r="1969" spans="1:7" ht="15.75">
      <c r="A1969" s="1961">
        <f t="shared" si="158"/>
        <v>95275</v>
      </c>
      <c r="B1969" s="1815">
        <v>95250</v>
      </c>
      <c r="C1969" s="1815">
        <v>95300</v>
      </c>
      <c r="D1969" s="1816">
        <f t="shared" si="154"/>
        <v>16268</v>
      </c>
      <c r="E1969" s="1816">
        <f t="shared" si="155"/>
        <v>11576</v>
      </c>
      <c r="F1969" s="1816">
        <f t="shared" si="156"/>
        <v>16268</v>
      </c>
      <c r="G1969" s="1816">
        <f t="shared" si="157"/>
        <v>14662</v>
      </c>
    </row>
    <row r="1970" spans="1:7" ht="15.75">
      <c r="A1970" s="1961">
        <f t="shared" si="158"/>
        <v>95325</v>
      </c>
      <c r="B1970" s="1815">
        <v>95300</v>
      </c>
      <c r="C1970" s="1815">
        <v>95350</v>
      </c>
      <c r="D1970" s="1816">
        <f t="shared" si="154"/>
        <v>16279</v>
      </c>
      <c r="E1970" s="1816">
        <f t="shared" si="155"/>
        <v>11587</v>
      </c>
      <c r="F1970" s="1816">
        <f t="shared" si="156"/>
        <v>16279</v>
      </c>
      <c r="G1970" s="1816">
        <f t="shared" si="157"/>
        <v>14673</v>
      </c>
    </row>
    <row r="1971" spans="1:7" ht="15.75">
      <c r="A1971" s="1961">
        <f t="shared" si="158"/>
        <v>95375</v>
      </c>
      <c r="B1971" s="1815">
        <v>95350</v>
      </c>
      <c r="C1971" s="1815">
        <v>95400</v>
      </c>
      <c r="D1971" s="1816">
        <f t="shared" si="154"/>
        <v>16290</v>
      </c>
      <c r="E1971" s="1816">
        <f t="shared" si="155"/>
        <v>11598</v>
      </c>
      <c r="F1971" s="1816">
        <f t="shared" si="156"/>
        <v>16290</v>
      </c>
      <c r="G1971" s="1816">
        <f t="shared" si="157"/>
        <v>14684</v>
      </c>
    </row>
    <row r="1972" spans="1:7" ht="15.75">
      <c r="A1972" s="1961">
        <f t="shared" si="158"/>
        <v>95425</v>
      </c>
      <c r="B1972" s="1815">
        <v>95400</v>
      </c>
      <c r="C1972" s="1815">
        <v>95450</v>
      </c>
      <c r="D1972" s="1816">
        <f t="shared" si="154"/>
        <v>16302</v>
      </c>
      <c r="E1972" s="1816">
        <f t="shared" si="155"/>
        <v>11609</v>
      </c>
      <c r="F1972" s="1816">
        <f t="shared" si="156"/>
        <v>16302</v>
      </c>
      <c r="G1972" s="1816">
        <f t="shared" si="157"/>
        <v>14696</v>
      </c>
    </row>
    <row r="1973" spans="1:7" ht="15.75">
      <c r="A1973" s="1961">
        <f t="shared" si="158"/>
        <v>95475</v>
      </c>
      <c r="B1973" s="1815">
        <v>95450</v>
      </c>
      <c r="C1973" s="1815">
        <v>95500</v>
      </c>
      <c r="D1973" s="1816">
        <f t="shared" si="154"/>
        <v>16314</v>
      </c>
      <c r="E1973" s="1816">
        <f t="shared" si="155"/>
        <v>11620</v>
      </c>
      <c r="F1973" s="1816">
        <f t="shared" si="156"/>
        <v>16314</v>
      </c>
      <c r="G1973" s="1816">
        <f t="shared" si="157"/>
        <v>14708</v>
      </c>
    </row>
    <row r="1974" spans="1:7" ht="15.75">
      <c r="A1974" s="1961">
        <f t="shared" si="158"/>
        <v>95525</v>
      </c>
      <c r="B1974" s="1815">
        <v>95500</v>
      </c>
      <c r="C1974" s="1815">
        <v>95550</v>
      </c>
      <c r="D1974" s="1816">
        <f t="shared" si="154"/>
        <v>16326</v>
      </c>
      <c r="E1974" s="1816">
        <f t="shared" si="155"/>
        <v>11631</v>
      </c>
      <c r="F1974" s="1816">
        <f t="shared" si="156"/>
        <v>16326</v>
      </c>
      <c r="G1974" s="1816">
        <f t="shared" si="157"/>
        <v>14720</v>
      </c>
    </row>
    <row r="1975" spans="1:7" ht="15.75">
      <c r="A1975" s="1961">
        <f t="shared" si="158"/>
        <v>95575</v>
      </c>
      <c r="B1975" s="1815">
        <v>95550</v>
      </c>
      <c r="C1975" s="1815">
        <v>95600</v>
      </c>
      <c r="D1975" s="1816">
        <f t="shared" si="154"/>
        <v>16338</v>
      </c>
      <c r="E1975" s="1816">
        <f t="shared" si="155"/>
        <v>11642</v>
      </c>
      <c r="F1975" s="1816">
        <f t="shared" si="156"/>
        <v>16338</v>
      </c>
      <c r="G1975" s="1816">
        <f t="shared" si="157"/>
        <v>14732</v>
      </c>
    </row>
    <row r="1976" spans="1:7" ht="15.75">
      <c r="A1976" s="1961">
        <f t="shared" si="158"/>
        <v>95625</v>
      </c>
      <c r="B1976" s="1815">
        <v>95600</v>
      </c>
      <c r="C1976" s="1815">
        <v>95650</v>
      </c>
      <c r="D1976" s="1816">
        <f t="shared" si="154"/>
        <v>16350</v>
      </c>
      <c r="E1976" s="1816">
        <f t="shared" si="155"/>
        <v>11653</v>
      </c>
      <c r="F1976" s="1816">
        <f t="shared" si="156"/>
        <v>16350</v>
      </c>
      <c r="G1976" s="1816">
        <f t="shared" si="157"/>
        <v>14744</v>
      </c>
    </row>
    <row r="1977" spans="1:7" ht="15.75">
      <c r="A1977" s="1961">
        <f t="shared" si="158"/>
        <v>95675</v>
      </c>
      <c r="B1977" s="1815">
        <v>95650</v>
      </c>
      <c r="C1977" s="1815">
        <v>95700</v>
      </c>
      <c r="D1977" s="1816">
        <f t="shared" si="154"/>
        <v>16362</v>
      </c>
      <c r="E1977" s="1816">
        <f t="shared" si="155"/>
        <v>11664</v>
      </c>
      <c r="F1977" s="1816">
        <f t="shared" si="156"/>
        <v>16362</v>
      </c>
      <c r="G1977" s="1816">
        <f t="shared" si="157"/>
        <v>14756</v>
      </c>
    </row>
    <row r="1978" spans="1:7" ht="15.75">
      <c r="A1978" s="1961">
        <f t="shared" si="158"/>
        <v>95725</v>
      </c>
      <c r="B1978" s="1815">
        <v>95700</v>
      </c>
      <c r="C1978" s="1815">
        <v>95750</v>
      </c>
      <c r="D1978" s="1816">
        <f t="shared" si="154"/>
        <v>16374</v>
      </c>
      <c r="E1978" s="1816">
        <f t="shared" si="155"/>
        <v>11675</v>
      </c>
      <c r="F1978" s="1816">
        <f t="shared" si="156"/>
        <v>16374</v>
      </c>
      <c r="G1978" s="1816">
        <f t="shared" si="157"/>
        <v>14768</v>
      </c>
    </row>
    <row r="1979" spans="1:7" ht="15.75">
      <c r="A1979" s="1961">
        <f t="shared" si="158"/>
        <v>95775</v>
      </c>
      <c r="B1979" s="1815">
        <v>95750</v>
      </c>
      <c r="C1979" s="1815">
        <v>95800</v>
      </c>
      <c r="D1979" s="1816">
        <f t="shared" si="154"/>
        <v>16386</v>
      </c>
      <c r="E1979" s="1816">
        <f t="shared" si="155"/>
        <v>11686</v>
      </c>
      <c r="F1979" s="1816">
        <f t="shared" si="156"/>
        <v>16386</v>
      </c>
      <c r="G1979" s="1816">
        <f t="shared" si="157"/>
        <v>14780</v>
      </c>
    </row>
    <row r="1980" spans="1:7" ht="15.75">
      <c r="A1980" s="1961">
        <f t="shared" si="158"/>
        <v>95825</v>
      </c>
      <c r="B1980" s="1815">
        <v>95800</v>
      </c>
      <c r="C1980" s="1815">
        <v>95850</v>
      </c>
      <c r="D1980" s="1816">
        <f t="shared" si="154"/>
        <v>16398</v>
      </c>
      <c r="E1980" s="1816">
        <f t="shared" si="155"/>
        <v>11697</v>
      </c>
      <c r="F1980" s="1816">
        <f t="shared" si="156"/>
        <v>16398</v>
      </c>
      <c r="G1980" s="1816">
        <f t="shared" si="157"/>
        <v>14792</v>
      </c>
    </row>
    <row r="1981" spans="1:7" ht="15.75">
      <c r="A1981" s="1961">
        <f t="shared" si="158"/>
        <v>95875</v>
      </c>
      <c r="B1981" s="1815">
        <v>95850</v>
      </c>
      <c r="C1981" s="1815">
        <v>95900</v>
      </c>
      <c r="D1981" s="1816">
        <f t="shared" si="154"/>
        <v>16410</v>
      </c>
      <c r="E1981" s="1816">
        <f t="shared" si="155"/>
        <v>11708</v>
      </c>
      <c r="F1981" s="1816">
        <f t="shared" si="156"/>
        <v>16410</v>
      </c>
      <c r="G1981" s="1816">
        <f t="shared" si="157"/>
        <v>14804</v>
      </c>
    </row>
    <row r="1982" spans="1:7" ht="15.75">
      <c r="A1982" s="1961">
        <f t="shared" si="158"/>
        <v>95925</v>
      </c>
      <c r="B1982" s="1815">
        <v>95900</v>
      </c>
      <c r="C1982" s="1815">
        <v>95950</v>
      </c>
      <c r="D1982" s="1816">
        <f t="shared" si="154"/>
        <v>16422</v>
      </c>
      <c r="E1982" s="1816">
        <f t="shared" si="155"/>
        <v>11719</v>
      </c>
      <c r="F1982" s="1816">
        <f t="shared" si="156"/>
        <v>16422</v>
      </c>
      <c r="G1982" s="1816">
        <f t="shared" si="157"/>
        <v>14816</v>
      </c>
    </row>
    <row r="1983" spans="1:7" ht="15.75">
      <c r="A1983" s="1961">
        <f t="shared" si="158"/>
        <v>95975</v>
      </c>
      <c r="B1983" s="1815">
        <v>95950</v>
      </c>
      <c r="C1983" s="1815">
        <v>96000</v>
      </c>
      <c r="D1983" s="1816">
        <f t="shared" si="154"/>
        <v>16434</v>
      </c>
      <c r="E1983" s="1816">
        <f t="shared" si="155"/>
        <v>11730</v>
      </c>
      <c r="F1983" s="1816">
        <f t="shared" si="156"/>
        <v>16434</v>
      </c>
      <c r="G1983" s="1816">
        <f t="shared" si="157"/>
        <v>14828</v>
      </c>
    </row>
    <row r="1984" spans="1:7" ht="15.75">
      <c r="A1984" s="1961">
        <f t="shared" si="158"/>
        <v>96025</v>
      </c>
      <c r="B1984" s="1815">
        <v>96000</v>
      </c>
      <c r="C1984" s="1815">
        <v>96050</v>
      </c>
      <c r="D1984" s="1816">
        <f t="shared" si="154"/>
        <v>16446</v>
      </c>
      <c r="E1984" s="1816">
        <f t="shared" si="155"/>
        <v>11741</v>
      </c>
      <c r="F1984" s="1816">
        <f t="shared" si="156"/>
        <v>16446</v>
      </c>
      <c r="G1984" s="1816">
        <f t="shared" si="157"/>
        <v>14840</v>
      </c>
    </row>
    <row r="1985" spans="1:7" ht="15.75">
      <c r="A1985" s="1961">
        <f t="shared" si="158"/>
        <v>96075</v>
      </c>
      <c r="B1985" s="1815">
        <v>96050</v>
      </c>
      <c r="C1985" s="1815">
        <v>96100</v>
      </c>
      <c r="D1985" s="1816">
        <f t="shared" si="154"/>
        <v>16458</v>
      </c>
      <c r="E1985" s="1816">
        <f t="shared" si="155"/>
        <v>11752</v>
      </c>
      <c r="F1985" s="1816">
        <f t="shared" si="156"/>
        <v>16458</v>
      </c>
      <c r="G1985" s="1816">
        <f t="shared" si="157"/>
        <v>14852</v>
      </c>
    </row>
    <row r="1986" spans="1:7" ht="15.75">
      <c r="A1986" s="1961">
        <f t="shared" si="158"/>
        <v>96125</v>
      </c>
      <c r="B1986" s="1815">
        <v>96100</v>
      </c>
      <c r="C1986" s="1815">
        <v>96150</v>
      </c>
      <c r="D1986" s="1816">
        <f t="shared" ref="D1986:D2049" si="159">IF($A1986&gt;BOTT_A4,ROUND(BASE_A4+RATE_A4*($A1986-BOTT_A4),0),IF($A1986&gt;BOTT_A3,ROUND(BASE_A3+RATE_A3*($A1986-BOTT_A3),0),IF($A1986&gt;BOTT_A2,ROUND(BASE_A2+RATE_A2*($A1986-BOTT_A2),0),ROUND(RATE_A1*$A1986,0))))</f>
        <v>16470</v>
      </c>
      <c r="E1986" s="1816">
        <f t="shared" ref="E1986:E2049" si="160">IF($A1986&gt;BOTT_B4,ROUND(BASE_B4+RATE_B4*($A1986-BOTT_B4),0),IF($A1986&gt;BOTT_B3,ROUND(BASE_B3+RATE_B3*($A1986-BOTT_B3),0),IF($A1986&gt;BOTT_B2,ROUND(BASE_B2+RATE_B2*($A1986-BOTT_B2),0),ROUND(RATE_B1*$A1986,0))))</f>
        <v>11763</v>
      </c>
      <c r="F1986" s="1816">
        <f t="shared" ref="F1986:F2049" si="161">IF($A1986&gt;BOTT_C4,ROUND(BASE_C4+RATE_C4*($A1986-BOTT_C4),0),IF($A1986&gt;BOTT_C3,ROUND(BASE_C3+RATE_C3*($A1986-BOTT_C3),0),IF($A1986&gt;BOTT_C2,ROUND(BASE_C2+RATE_C2*($A1986-BOTT_C2),0),ROUND(RATE_C1*$A1986,0))))</f>
        <v>16470</v>
      </c>
      <c r="G1986" s="1816">
        <f t="shared" ref="G1986:G2049" si="162">IF($A1986&gt;BOTT_D4,ROUND(BASE_D4+RATE_D4*($A1986-BOTT_D4),0),IF($A1986&gt;BOTT_D3,ROUND(BASE_D3+RATE_D3*($A1986-BOTT_D3),0),IF($A1986&gt;BOTT_D2,ROUND(BASE_D2+RATE_D2*($A1986-BOTT_D2),0),ROUND(RATE_D1*$A1986,0))))</f>
        <v>14864</v>
      </c>
    </row>
    <row r="1987" spans="1:7" ht="15.75">
      <c r="A1987" s="1961">
        <f t="shared" ref="A1987:A2050" si="163">AVERAGE(B1987,C1987)</f>
        <v>96175</v>
      </c>
      <c r="B1987" s="1815">
        <v>96150</v>
      </c>
      <c r="C1987" s="1815">
        <v>96200</v>
      </c>
      <c r="D1987" s="1816">
        <f t="shared" si="159"/>
        <v>16482</v>
      </c>
      <c r="E1987" s="1816">
        <f t="shared" si="160"/>
        <v>11774</v>
      </c>
      <c r="F1987" s="1816">
        <f t="shared" si="161"/>
        <v>16482</v>
      </c>
      <c r="G1987" s="1816">
        <f t="shared" si="162"/>
        <v>14876</v>
      </c>
    </row>
    <row r="1988" spans="1:7" ht="15.75">
      <c r="A1988" s="1961">
        <f t="shared" si="163"/>
        <v>96225</v>
      </c>
      <c r="B1988" s="1815">
        <v>96200</v>
      </c>
      <c r="C1988" s="1815">
        <v>96250</v>
      </c>
      <c r="D1988" s="1816">
        <f t="shared" si="159"/>
        <v>16494</v>
      </c>
      <c r="E1988" s="1816">
        <f t="shared" si="160"/>
        <v>11785</v>
      </c>
      <c r="F1988" s="1816">
        <f t="shared" si="161"/>
        <v>16494</v>
      </c>
      <c r="G1988" s="1816">
        <f t="shared" si="162"/>
        <v>14888</v>
      </c>
    </row>
    <row r="1989" spans="1:7" ht="15.75">
      <c r="A1989" s="1961">
        <f t="shared" si="163"/>
        <v>96275</v>
      </c>
      <c r="B1989" s="1815">
        <v>96250</v>
      </c>
      <c r="C1989" s="1815">
        <v>96300</v>
      </c>
      <c r="D1989" s="1816">
        <f t="shared" si="159"/>
        <v>16506</v>
      </c>
      <c r="E1989" s="1816">
        <f t="shared" si="160"/>
        <v>11796</v>
      </c>
      <c r="F1989" s="1816">
        <f t="shared" si="161"/>
        <v>16506</v>
      </c>
      <c r="G1989" s="1816">
        <f t="shared" si="162"/>
        <v>14900</v>
      </c>
    </row>
    <row r="1990" spans="1:7" ht="15.75">
      <c r="A1990" s="1961">
        <f t="shared" si="163"/>
        <v>96325</v>
      </c>
      <c r="B1990" s="1815">
        <v>96300</v>
      </c>
      <c r="C1990" s="1815">
        <v>96350</v>
      </c>
      <c r="D1990" s="1816">
        <f t="shared" si="159"/>
        <v>16518</v>
      </c>
      <c r="E1990" s="1816">
        <f t="shared" si="160"/>
        <v>11807</v>
      </c>
      <c r="F1990" s="1816">
        <f t="shared" si="161"/>
        <v>16518</v>
      </c>
      <c r="G1990" s="1816">
        <f t="shared" si="162"/>
        <v>14912</v>
      </c>
    </row>
    <row r="1991" spans="1:7" ht="15.75">
      <c r="A1991" s="1961">
        <f t="shared" si="163"/>
        <v>96375</v>
      </c>
      <c r="B1991" s="1815">
        <v>96350</v>
      </c>
      <c r="C1991" s="1815">
        <v>96400</v>
      </c>
      <c r="D1991" s="1816">
        <f t="shared" si="159"/>
        <v>16530</v>
      </c>
      <c r="E1991" s="1816">
        <f t="shared" si="160"/>
        <v>11818</v>
      </c>
      <c r="F1991" s="1816">
        <f t="shared" si="161"/>
        <v>16530</v>
      </c>
      <c r="G1991" s="1816">
        <f t="shared" si="162"/>
        <v>14924</v>
      </c>
    </row>
    <row r="1992" spans="1:7" ht="15.75">
      <c r="A1992" s="1961">
        <f t="shared" si="163"/>
        <v>96425</v>
      </c>
      <c r="B1992" s="1815">
        <v>96400</v>
      </c>
      <c r="C1992" s="1815">
        <v>96450</v>
      </c>
      <c r="D1992" s="1816">
        <f t="shared" si="159"/>
        <v>16542</v>
      </c>
      <c r="E1992" s="1816">
        <f t="shared" si="160"/>
        <v>11829</v>
      </c>
      <c r="F1992" s="1816">
        <f t="shared" si="161"/>
        <v>16542</v>
      </c>
      <c r="G1992" s="1816">
        <f t="shared" si="162"/>
        <v>14936</v>
      </c>
    </row>
    <row r="1993" spans="1:7" ht="15.75">
      <c r="A1993" s="1961">
        <f t="shared" si="163"/>
        <v>96475</v>
      </c>
      <c r="B1993" s="1815">
        <v>96450</v>
      </c>
      <c r="C1993" s="1815">
        <v>96500</v>
      </c>
      <c r="D1993" s="1816">
        <f t="shared" si="159"/>
        <v>16554</v>
      </c>
      <c r="E1993" s="1816">
        <f t="shared" si="160"/>
        <v>11840</v>
      </c>
      <c r="F1993" s="1816">
        <f t="shared" si="161"/>
        <v>16554</v>
      </c>
      <c r="G1993" s="1816">
        <f t="shared" si="162"/>
        <v>14948</v>
      </c>
    </row>
    <row r="1994" spans="1:7" ht="15.75">
      <c r="A1994" s="1961">
        <f t="shared" si="163"/>
        <v>96525</v>
      </c>
      <c r="B1994" s="1815">
        <v>96500</v>
      </c>
      <c r="C1994" s="1815">
        <v>96550</v>
      </c>
      <c r="D1994" s="1816">
        <f t="shared" si="159"/>
        <v>16566</v>
      </c>
      <c r="E1994" s="1816">
        <f t="shared" si="160"/>
        <v>11851</v>
      </c>
      <c r="F1994" s="1816">
        <f t="shared" si="161"/>
        <v>16566</v>
      </c>
      <c r="G1994" s="1816">
        <f t="shared" si="162"/>
        <v>14960</v>
      </c>
    </row>
    <row r="1995" spans="1:7" ht="15.75">
      <c r="A1995" s="1961">
        <f t="shared" si="163"/>
        <v>96575</v>
      </c>
      <c r="B1995" s="1815">
        <v>96550</v>
      </c>
      <c r="C1995" s="1815">
        <v>96600</v>
      </c>
      <c r="D1995" s="1816">
        <f t="shared" si="159"/>
        <v>16578</v>
      </c>
      <c r="E1995" s="1816">
        <f t="shared" si="160"/>
        <v>11862</v>
      </c>
      <c r="F1995" s="1816">
        <f t="shared" si="161"/>
        <v>16578</v>
      </c>
      <c r="G1995" s="1816">
        <f t="shared" si="162"/>
        <v>14972</v>
      </c>
    </row>
    <row r="1996" spans="1:7" ht="15.75">
      <c r="A1996" s="1961">
        <f t="shared" si="163"/>
        <v>96625</v>
      </c>
      <c r="B1996" s="1815">
        <v>96600</v>
      </c>
      <c r="C1996" s="1815">
        <v>96650</v>
      </c>
      <c r="D1996" s="1816">
        <f t="shared" si="159"/>
        <v>16590</v>
      </c>
      <c r="E1996" s="1816">
        <f t="shared" si="160"/>
        <v>11873</v>
      </c>
      <c r="F1996" s="1816">
        <f t="shared" si="161"/>
        <v>16590</v>
      </c>
      <c r="G1996" s="1816">
        <f t="shared" si="162"/>
        <v>14984</v>
      </c>
    </row>
    <row r="1997" spans="1:7" ht="15.75">
      <c r="A1997" s="1961">
        <f t="shared" si="163"/>
        <v>96675</v>
      </c>
      <c r="B1997" s="1815">
        <v>96650</v>
      </c>
      <c r="C1997" s="1815">
        <v>96700</v>
      </c>
      <c r="D1997" s="1816">
        <f t="shared" si="159"/>
        <v>16602</v>
      </c>
      <c r="E1997" s="1816">
        <f t="shared" si="160"/>
        <v>11884</v>
      </c>
      <c r="F1997" s="1816">
        <f t="shared" si="161"/>
        <v>16602</v>
      </c>
      <c r="G1997" s="1816">
        <f t="shared" si="162"/>
        <v>14996</v>
      </c>
    </row>
    <row r="1998" spans="1:7" ht="15.75">
      <c r="A1998" s="1961">
        <f t="shared" si="163"/>
        <v>96725</v>
      </c>
      <c r="B1998" s="1815">
        <v>96700</v>
      </c>
      <c r="C1998" s="1815">
        <v>96750</v>
      </c>
      <c r="D1998" s="1816">
        <f t="shared" si="159"/>
        <v>16614</v>
      </c>
      <c r="E1998" s="1816">
        <f t="shared" si="160"/>
        <v>11895</v>
      </c>
      <c r="F1998" s="1816">
        <f t="shared" si="161"/>
        <v>16614</v>
      </c>
      <c r="G1998" s="1816">
        <f t="shared" si="162"/>
        <v>15008</v>
      </c>
    </row>
    <row r="1999" spans="1:7" ht="15.75">
      <c r="A1999" s="1961">
        <f t="shared" si="163"/>
        <v>96775</v>
      </c>
      <c r="B1999" s="1815">
        <v>96750</v>
      </c>
      <c r="C1999" s="1815">
        <v>96800</v>
      </c>
      <c r="D1999" s="1816">
        <f t="shared" si="159"/>
        <v>16626</v>
      </c>
      <c r="E1999" s="1816">
        <f t="shared" si="160"/>
        <v>11906</v>
      </c>
      <c r="F1999" s="1816">
        <f t="shared" si="161"/>
        <v>16626</v>
      </c>
      <c r="G1999" s="1816">
        <f t="shared" si="162"/>
        <v>15020</v>
      </c>
    </row>
    <row r="2000" spans="1:7" ht="15.75">
      <c r="A2000" s="1961">
        <f t="shared" si="163"/>
        <v>96825</v>
      </c>
      <c r="B2000" s="1815">
        <v>96800</v>
      </c>
      <c r="C2000" s="1815">
        <v>96850</v>
      </c>
      <c r="D2000" s="1816">
        <f t="shared" si="159"/>
        <v>16638</v>
      </c>
      <c r="E2000" s="1816">
        <f t="shared" si="160"/>
        <v>11917</v>
      </c>
      <c r="F2000" s="1816">
        <f t="shared" si="161"/>
        <v>16638</v>
      </c>
      <c r="G2000" s="1816">
        <f t="shared" si="162"/>
        <v>15032</v>
      </c>
    </row>
    <row r="2001" spans="1:7" ht="15.75">
      <c r="A2001" s="1961">
        <f t="shared" si="163"/>
        <v>96875</v>
      </c>
      <c r="B2001" s="1815">
        <v>96850</v>
      </c>
      <c r="C2001" s="1815">
        <v>96900</v>
      </c>
      <c r="D2001" s="1816">
        <f t="shared" si="159"/>
        <v>16650</v>
      </c>
      <c r="E2001" s="1816">
        <f t="shared" si="160"/>
        <v>11928</v>
      </c>
      <c r="F2001" s="1816">
        <f t="shared" si="161"/>
        <v>16650</v>
      </c>
      <c r="G2001" s="1816">
        <f t="shared" si="162"/>
        <v>15044</v>
      </c>
    </row>
    <row r="2002" spans="1:7" ht="15.75">
      <c r="A2002" s="1961">
        <f t="shared" si="163"/>
        <v>96925</v>
      </c>
      <c r="B2002" s="1815">
        <v>96900</v>
      </c>
      <c r="C2002" s="1815">
        <v>96950</v>
      </c>
      <c r="D2002" s="1816">
        <f t="shared" si="159"/>
        <v>16662</v>
      </c>
      <c r="E2002" s="1816">
        <f t="shared" si="160"/>
        <v>11939</v>
      </c>
      <c r="F2002" s="1816">
        <f t="shared" si="161"/>
        <v>16662</v>
      </c>
      <c r="G2002" s="1816">
        <f t="shared" si="162"/>
        <v>15056</v>
      </c>
    </row>
    <row r="2003" spans="1:7" ht="15.75">
      <c r="A2003" s="1961">
        <f t="shared" si="163"/>
        <v>96975</v>
      </c>
      <c r="B2003" s="1815">
        <v>96950</v>
      </c>
      <c r="C2003" s="1815">
        <v>97000</v>
      </c>
      <c r="D2003" s="1816">
        <f t="shared" si="159"/>
        <v>16674</v>
      </c>
      <c r="E2003" s="1816">
        <f t="shared" si="160"/>
        <v>11950</v>
      </c>
      <c r="F2003" s="1816">
        <f t="shared" si="161"/>
        <v>16674</v>
      </c>
      <c r="G2003" s="1816">
        <f t="shared" si="162"/>
        <v>15068</v>
      </c>
    </row>
    <row r="2004" spans="1:7" ht="15.75">
      <c r="A2004" s="1961">
        <f t="shared" si="163"/>
        <v>97025</v>
      </c>
      <c r="B2004" s="1815">
        <v>97000</v>
      </c>
      <c r="C2004" s="1815">
        <v>97050</v>
      </c>
      <c r="D2004" s="1816">
        <f t="shared" si="159"/>
        <v>16686</v>
      </c>
      <c r="E2004" s="1816">
        <f t="shared" si="160"/>
        <v>11961</v>
      </c>
      <c r="F2004" s="1816">
        <f t="shared" si="161"/>
        <v>16686</v>
      </c>
      <c r="G2004" s="1816">
        <f t="shared" si="162"/>
        <v>15080</v>
      </c>
    </row>
    <row r="2005" spans="1:7" ht="15.75">
      <c r="A2005" s="1961">
        <f t="shared" si="163"/>
        <v>97075</v>
      </c>
      <c r="B2005" s="1815">
        <v>97050</v>
      </c>
      <c r="C2005" s="1815">
        <v>97100</v>
      </c>
      <c r="D2005" s="1816">
        <f t="shared" si="159"/>
        <v>16698</v>
      </c>
      <c r="E2005" s="1816">
        <f t="shared" si="160"/>
        <v>11972</v>
      </c>
      <c r="F2005" s="1816">
        <f t="shared" si="161"/>
        <v>16698</v>
      </c>
      <c r="G2005" s="1816">
        <f t="shared" si="162"/>
        <v>15092</v>
      </c>
    </row>
    <row r="2006" spans="1:7" ht="15.75">
      <c r="A2006" s="1961">
        <f t="shared" si="163"/>
        <v>97125</v>
      </c>
      <c r="B2006" s="1815">
        <v>97100</v>
      </c>
      <c r="C2006" s="1815">
        <v>97150</v>
      </c>
      <c r="D2006" s="1816">
        <f t="shared" si="159"/>
        <v>16710</v>
      </c>
      <c r="E2006" s="1816">
        <f t="shared" si="160"/>
        <v>11983</v>
      </c>
      <c r="F2006" s="1816">
        <f t="shared" si="161"/>
        <v>16710</v>
      </c>
      <c r="G2006" s="1816">
        <f t="shared" si="162"/>
        <v>15104</v>
      </c>
    </row>
    <row r="2007" spans="1:7" ht="15.75">
      <c r="A2007" s="1961">
        <f t="shared" si="163"/>
        <v>97175</v>
      </c>
      <c r="B2007" s="1815">
        <v>97150</v>
      </c>
      <c r="C2007" s="1815">
        <v>97200</v>
      </c>
      <c r="D2007" s="1816">
        <f t="shared" si="159"/>
        <v>16722</v>
      </c>
      <c r="E2007" s="1816">
        <f t="shared" si="160"/>
        <v>11994</v>
      </c>
      <c r="F2007" s="1816">
        <f t="shared" si="161"/>
        <v>16722</v>
      </c>
      <c r="G2007" s="1816">
        <f t="shared" si="162"/>
        <v>15116</v>
      </c>
    </row>
    <row r="2008" spans="1:7" ht="15.75">
      <c r="A2008" s="1961">
        <f t="shared" si="163"/>
        <v>97225</v>
      </c>
      <c r="B2008" s="1815">
        <v>97200</v>
      </c>
      <c r="C2008" s="1815">
        <v>97250</v>
      </c>
      <c r="D2008" s="1816">
        <f t="shared" si="159"/>
        <v>16734</v>
      </c>
      <c r="E2008" s="1816">
        <f t="shared" si="160"/>
        <v>12005</v>
      </c>
      <c r="F2008" s="1816">
        <f t="shared" si="161"/>
        <v>16734</v>
      </c>
      <c r="G2008" s="1816">
        <f t="shared" si="162"/>
        <v>15128</v>
      </c>
    </row>
    <row r="2009" spans="1:7" ht="15.75">
      <c r="A2009" s="1961">
        <f t="shared" si="163"/>
        <v>97275</v>
      </c>
      <c r="B2009" s="1815">
        <v>97250</v>
      </c>
      <c r="C2009" s="1815">
        <v>97300</v>
      </c>
      <c r="D2009" s="1816">
        <f t="shared" si="159"/>
        <v>16746</v>
      </c>
      <c r="E2009" s="1816">
        <f t="shared" si="160"/>
        <v>12016</v>
      </c>
      <c r="F2009" s="1816">
        <f t="shared" si="161"/>
        <v>16746</v>
      </c>
      <c r="G2009" s="1816">
        <f t="shared" si="162"/>
        <v>15140</v>
      </c>
    </row>
    <row r="2010" spans="1:7" ht="15.75">
      <c r="A2010" s="1961">
        <f t="shared" si="163"/>
        <v>97325</v>
      </c>
      <c r="B2010" s="1815">
        <v>97300</v>
      </c>
      <c r="C2010" s="1815">
        <v>97350</v>
      </c>
      <c r="D2010" s="1816">
        <f t="shared" si="159"/>
        <v>16758</v>
      </c>
      <c r="E2010" s="1816">
        <f t="shared" si="160"/>
        <v>12027</v>
      </c>
      <c r="F2010" s="1816">
        <f t="shared" si="161"/>
        <v>16758</v>
      </c>
      <c r="G2010" s="1816">
        <f t="shared" si="162"/>
        <v>15152</v>
      </c>
    </row>
    <row r="2011" spans="1:7" ht="15.75">
      <c r="A2011" s="1961">
        <f t="shared" si="163"/>
        <v>97375</v>
      </c>
      <c r="B2011" s="1815">
        <v>97350</v>
      </c>
      <c r="C2011" s="1815">
        <v>97400</v>
      </c>
      <c r="D2011" s="1816">
        <f t="shared" si="159"/>
        <v>16770</v>
      </c>
      <c r="E2011" s="1816">
        <f t="shared" si="160"/>
        <v>12038</v>
      </c>
      <c r="F2011" s="1816">
        <f t="shared" si="161"/>
        <v>16770</v>
      </c>
      <c r="G2011" s="1816">
        <f t="shared" si="162"/>
        <v>15164</v>
      </c>
    </row>
    <row r="2012" spans="1:7" ht="15.75">
      <c r="A2012" s="1961">
        <f t="shared" si="163"/>
        <v>97425</v>
      </c>
      <c r="B2012" s="1815">
        <v>97400</v>
      </c>
      <c r="C2012" s="1815">
        <v>97450</v>
      </c>
      <c r="D2012" s="1816">
        <f t="shared" si="159"/>
        <v>16782</v>
      </c>
      <c r="E2012" s="1816">
        <f t="shared" si="160"/>
        <v>12049</v>
      </c>
      <c r="F2012" s="1816">
        <f t="shared" si="161"/>
        <v>16782</v>
      </c>
      <c r="G2012" s="1816">
        <f t="shared" si="162"/>
        <v>15176</v>
      </c>
    </row>
    <row r="2013" spans="1:7" ht="15.75">
      <c r="A2013" s="1961">
        <f t="shared" si="163"/>
        <v>97475</v>
      </c>
      <c r="B2013" s="1815">
        <v>97450</v>
      </c>
      <c r="C2013" s="1815">
        <v>97500</v>
      </c>
      <c r="D2013" s="1816">
        <f t="shared" si="159"/>
        <v>16794</v>
      </c>
      <c r="E2013" s="1816">
        <f t="shared" si="160"/>
        <v>12060</v>
      </c>
      <c r="F2013" s="1816">
        <f t="shared" si="161"/>
        <v>16794</v>
      </c>
      <c r="G2013" s="1816">
        <f t="shared" si="162"/>
        <v>15188</v>
      </c>
    </row>
    <row r="2014" spans="1:7" ht="15.75">
      <c r="A2014" s="1961">
        <f t="shared" si="163"/>
        <v>97525</v>
      </c>
      <c r="B2014" s="1815">
        <v>97500</v>
      </c>
      <c r="C2014" s="1815">
        <v>97550</v>
      </c>
      <c r="D2014" s="1816">
        <f t="shared" si="159"/>
        <v>16806</v>
      </c>
      <c r="E2014" s="1816">
        <f t="shared" si="160"/>
        <v>12071</v>
      </c>
      <c r="F2014" s="1816">
        <f t="shared" si="161"/>
        <v>16806</v>
      </c>
      <c r="G2014" s="1816">
        <f t="shared" si="162"/>
        <v>15200</v>
      </c>
    </row>
    <row r="2015" spans="1:7" ht="15.75">
      <c r="A2015" s="1961">
        <f t="shared" si="163"/>
        <v>97575</v>
      </c>
      <c r="B2015" s="1815">
        <v>97550</v>
      </c>
      <c r="C2015" s="1815">
        <v>97600</v>
      </c>
      <c r="D2015" s="1816">
        <f t="shared" si="159"/>
        <v>16818</v>
      </c>
      <c r="E2015" s="1816">
        <f t="shared" si="160"/>
        <v>12082</v>
      </c>
      <c r="F2015" s="1816">
        <f t="shared" si="161"/>
        <v>16818</v>
      </c>
      <c r="G2015" s="1816">
        <f t="shared" si="162"/>
        <v>15212</v>
      </c>
    </row>
    <row r="2016" spans="1:7" ht="15.75">
      <c r="A2016" s="1961">
        <f t="shared" si="163"/>
        <v>97625</v>
      </c>
      <c r="B2016" s="1815">
        <v>97600</v>
      </c>
      <c r="C2016" s="1815">
        <v>97650</v>
      </c>
      <c r="D2016" s="1816">
        <f t="shared" si="159"/>
        <v>16830</v>
      </c>
      <c r="E2016" s="1816">
        <f t="shared" si="160"/>
        <v>12093</v>
      </c>
      <c r="F2016" s="1816">
        <f t="shared" si="161"/>
        <v>16830</v>
      </c>
      <c r="G2016" s="1816">
        <f t="shared" si="162"/>
        <v>15224</v>
      </c>
    </row>
    <row r="2017" spans="1:7" ht="15.75">
      <c r="A2017" s="1961">
        <f t="shared" si="163"/>
        <v>97675</v>
      </c>
      <c r="B2017" s="1815">
        <v>97650</v>
      </c>
      <c r="C2017" s="1815">
        <v>97700</v>
      </c>
      <c r="D2017" s="1816">
        <f t="shared" si="159"/>
        <v>16842</v>
      </c>
      <c r="E2017" s="1816">
        <f t="shared" si="160"/>
        <v>12104</v>
      </c>
      <c r="F2017" s="1816">
        <f t="shared" si="161"/>
        <v>16842</v>
      </c>
      <c r="G2017" s="1816">
        <f t="shared" si="162"/>
        <v>15236</v>
      </c>
    </row>
    <row r="2018" spans="1:7" ht="15.75">
      <c r="A2018" s="1961">
        <f t="shared" si="163"/>
        <v>97725</v>
      </c>
      <c r="B2018" s="1815">
        <v>97700</v>
      </c>
      <c r="C2018" s="1815">
        <v>97750</v>
      </c>
      <c r="D2018" s="1816">
        <f t="shared" si="159"/>
        <v>16854</v>
      </c>
      <c r="E2018" s="1816">
        <f t="shared" si="160"/>
        <v>12115</v>
      </c>
      <c r="F2018" s="1816">
        <f t="shared" si="161"/>
        <v>16854</v>
      </c>
      <c r="G2018" s="1816">
        <f t="shared" si="162"/>
        <v>15248</v>
      </c>
    </row>
    <row r="2019" spans="1:7" ht="15.75">
      <c r="A2019" s="1961">
        <f t="shared" si="163"/>
        <v>97775</v>
      </c>
      <c r="B2019" s="1815">
        <v>97750</v>
      </c>
      <c r="C2019" s="1815">
        <v>97800</v>
      </c>
      <c r="D2019" s="1816">
        <f t="shared" si="159"/>
        <v>16866</v>
      </c>
      <c r="E2019" s="1816">
        <f t="shared" si="160"/>
        <v>12126</v>
      </c>
      <c r="F2019" s="1816">
        <f t="shared" si="161"/>
        <v>16866</v>
      </c>
      <c r="G2019" s="1816">
        <f t="shared" si="162"/>
        <v>15260</v>
      </c>
    </row>
    <row r="2020" spans="1:7" ht="15.75">
      <c r="A2020" s="1961">
        <f t="shared" si="163"/>
        <v>97825</v>
      </c>
      <c r="B2020" s="1815">
        <v>97800</v>
      </c>
      <c r="C2020" s="1815">
        <v>97850</v>
      </c>
      <c r="D2020" s="1816">
        <f t="shared" si="159"/>
        <v>16878</v>
      </c>
      <c r="E2020" s="1816">
        <f t="shared" si="160"/>
        <v>12137</v>
      </c>
      <c r="F2020" s="1816">
        <f t="shared" si="161"/>
        <v>16878</v>
      </c>
      <c r="G2020" s="1816">
        <f t="shared" si="162"/>
        <v>15272</v>
      </c>
    </row>
    <row r="2021" spans="1:7" ht="15.75">
      <c r="A2021" s="1961">
        <f t="shared" si="163"/>
        <v>97875</v>
      </c>
      <c r="B2021" s="1815">
        <v>97850</v>
      </c>
      <c r="C2021" s="1815">
        <v>97900</v>
      </c>
      <c r="D2021" s="1816">
        <f t="shared" si="159"/>
        <v>16890</v>
      </c>
      <c r="E2021" s="1816">
        <f t="shared" si="160"/>
        <v>12148</v>
      </c>
      <c r="F2021" s="1816">
        <f t="shared" si="161"/>
        <v>16890</v>
      </c>
      <c r="G2021" s="1816">
        <f t="shared" si="162"/>
        <v>15284</v>
      </c>
    </row>
    <row r="2022" spans="1:7" ht="15.75">
      <c r="A2022" s="1961">
        <f t="shared" si="163"/>
        <v>97925</v>
      </c>
      <c r="B2022" s="1815">
        <v>97900</v>
      </c>
      <c r="C2022" s="1815">
        <v>97950</v>
      </c>
      <c r="D2022" s="1816">
        <f t="shared" si="159"/>
        <v>16902</v>
      </c>
      <c r="E2022" s="1816">
        <f t="shared" si="160"/>
        <v>12159</v>
      </c>
      <c r="F2022" s="1816">
        <f t="shared" si="161"/>
        <v>16902</v>
      </c>
      <c r="G2022" s="1816">
        <f t="shared" si="162"/>
        <v>15296</v>
      </c>
    </row>
    <row r="2023" spans="1:7" ht="15.75">
      <c r="A2023" s="1961">
        <f t="shared" si="163"/>
        <v>97975</v>
      </c>
      <c r="B2023" s="1815">
        <v>97950</v>
      </c>
      <c r="C2023" s="1815">
        <v>98000</v>
      </c>
      <c r="D2023" s="1816">
        <f t="shared" si="159"/>
        <v>16914</v>
      </c>
      <c r="E2023" s="1816">
        <f t="shared" si="160"/>
        <v>12170</v>
      </c>
      <c r="F2023" s="1816">
        <f t="shared" si="161"/>
        <v>16914</v>
      </c>
      <c r="G2023" s="1816">
        <f t="shared" si="162"/>
        <v>15308</v>
      </c>
    </row>
    <row r="2024" spans="1:7" ht="15.75">
      <c r="A2024" s="1961">
        <f t="shared" si="163"/>
        <v>98025</v>
      </c>
      <c r="B2024" s="1815">
        <v>98000</v>
      </c>
      <c r="C2024" s="1815">
        <v>98050</v>
      </c>
      <c r="D2024" s="1816">
        <f t="shared" si="159"/>
        <v>16926</v>
      </c>
      <c r="E2024" s="1816">
        <f t="shared" si="160"/>
        <v>12181</v>
      </c>
      <c r="F2024" s="1816">
        <f t="shared" si="161"/>
        <v>16926</v>
      </c>
      <c r="G2024" s="1816">
        <f t="shared" si="162"/>
        <v>15320</v>
      </c>
    </row>
    <row r="2025" spans="1:7" ht="15.75">
      <c r="A2025" s="1961">
        <f t="shared" si="163"/>
        <v>98075</v>
      </c>
      <c r="B2025" s="1815">
        <v>98050</v>
      </c>
      <c r="C2025" s="1815">
        <v>98100</v>
      </c>
      <c r="D2025" s="1816">
        <f t="shared" si="159"/>
        <v>16938</v>
      </c>
      <c r="E2025" s="1816">
        <f t="shared" si="160"/>
        <v>12192</v>
      </c>
      <c r="F2025" s="1816">
        <f t="shared" si="161"/>
        <v>16938</v>
      </c>
      <c r="G2025" s="1816">
        <f t="shared" si="162"/>
        <v>15332</v>
      </c>
    </row>
    <row r="2026" spans="1:7" ht="15.75">
      <c r="A2026" s="1961">
        <f t="shared" si="163"/>
        <v>98125</v>
      </c>
      <c r="B2026" s="1815">
        <v>98100</v>
      </c>
      <c r="C2026" s="1815">
        <v>98150</v>
      </c>
      <c r="D2026" s="1816">
        <f t="shared" si="159"/>
        <v>16950</v>
      </c>
      <c r="E2026" s="1816">
        <f t="shared" si="160"/>
        <v>12203</v>
      </c>
      <c r="F2026" s="1816">
        <f t="shared" si="161"/>
        <v>16950</v>
      </c>
      <c r="G2026" s="1816">
        <f t="shared" si="162"/>
        <v>15344</v>
      </c>
    </row>
    <row r="2027" spans="1:7" ht="15.75">
      <c r="A2027" s="1961">
        <f t="shared" si="163"/>
        <v>98175</v>
      </c>
      <c r="B2027" s="1815">
        <v>98150</v>
      </c>
      <c r="C2027" s="1815">
        <v>98200</v>
      </c>
      <c r="D2027" s="1816">
        <f t="shared" si="159"/>
        <v>16962</v>
      </c>
      <c r="E2027" s="1816">
        <f t="shared" si="160"/>
        <v>12214</v>
      </c>
      <c r="F2027" s="1816">
        <f t="shared" si="161"/>
        <v>16962</v>
      </c>
      <c r="G2027" s="1816">
        <f t="shared" si="162"/>
        <v>15356</v>
      </c>
    </row>
    <row r="2028" spans="1:7" ht="15.75">
      <c r="A2028" s="1961">
        <f t="shared" si="163"/>
        <v>98225</v>
      </c>
      <c r="B2028" s="1815">
        <v>98200</v>
      </c>
      <c r="C2028" s="1815">
        <v>98250</v>
      </c>
      <c r="D2028" s="1816">
        <f t="shared" si="159"/>
        <v>16974</v>
      </c>
      <c r="E2028" s="1816">
        <f t="shared" si="160"/>
        <v>12225</v>
      </c>
      <c r="F2028" s="1816">
        <f t="shared" si="161"/>
        <v>16974</v>
      </c>
      <c r="G2028" s="1816">
        <f t="shared" si="162"/>
        <v>15368</v>
      </c>
    </row>
    <row r="2029" spans="1:7" ht="15.75">
      <c r="A2029" s="1961">
        <f t="shared" si="163"/>
        <v>98275</v>
      </c>
      <c r="B2029" s="1815">
        <v>98250</v>
      </c>
      <c r="C2029" s="1815">
        <v>98300</v>
      </c>
      <c r="D2029" s="1816">
        <f t="shared" si="159"/>
        <v>16986</v>
      </c>
      <c r="E2029" s="1816">
        <f t="shared" si="160"/>
        <v>12236</v>
      </c>
      <c r="F2029" s="1816">
        <f t="shared" si="161"/>
        <v>16986</v>
      </c>
      <c r="G2029" s="1816">
        <f t="shared" si="162"/>
        <v>15380</v>
      </c>
    </row>
    <row r="2030" spans="1:7" ht="15.75">
      <c r="A2030" s="1961">
        <f t="shared" si="163"/>
        <v>98325</v>
      </c>
      <c r="B2030" s="1815">
        <v>98300</v>
      </c>
      <c r="C2030" s="1815">
        <v>98350</v>
      </c>
      <c r="D2030" s="1816">
        <f t="shared" si="159"/>
        <v>16998</v>
      </c>
      <c r="E2030" s="1816">
        <f t="shared" si="160"/>
        <v>12247</v>
      </c>
      <c r="F2030" s="1816">
        <f t="shared" si="161"/>
        <v>16998</v>
      </c>
      <c r="G2030" s="1816">
        <f t="shared" si="162"/>
        <v>15392</v>
      </c>
    </row>
    <row r="2031" spans="1:7" ht="15.75">
      <c r="A2031" s="1961">
        <f t="shared" si="163"/>
        <v>98375</v>
      </c>
      <c r="B2031" s="1815">
        <v>98350</v>
      </c>
      <c r="C2031" s="1815">
        <v>98400</v>
      </c>
      <c r="D2031" s="1816">
        <f t="shared" si="159"/>
        <v>17010</v>
      </c>
      <c r="E2031" s="1816">
        <f t="shared" si="160"/>
        <v>12258</v>
      </c>
      <c r="F2031" s="1816">
        <f t="shared" si="161"/>
        <v>17010</v>
      </c>
      <c r="G2031" s="1816">
        <f t="shared" si="162"/>
        <v>15404</v>
      </c>
    </row>
    <row r="2032" spans="1:7" ht="15.75">
      <c r="A2032" s="1961">
        <f t="shared" si="163"/>
        <v>98425</v>
      </c>
      <c r="B2032" s="1815">
        <v>98400</v>
      </c>
      <c r="C2032" s="1815">
        <v>98450</v>
      </c>
      <c r="D2032" s="1816">
        <f t="shared" si="159"/>
        <v>17022</v>
      </c>
      <c r="E2032" s="1816">
        <f t="shared" si="160"/>
        <v>12269</v>
      </c>
      <c r="F2032" s="1816">
        <f t="shared" si="161"/>
        <v>17022</v>
      </c>
      <c r="G2032" s="1816">
        <f t="shared" si="162"/>
        <v>15416</v>
      </c>
    </row>
    <row r="2033" spans="1:7" ht="15.75">
      <c r="A2033" s="1961">
        <f t="shared" si="163"/>
        <v>98475</v>
      </c>
      <c r="B2033" s="1815">
        <v>98450</v>
      </c>
      <c r="C2033" s="1815">
        <v>98500</v>
      </c>
      <c r="D2033" s="1816">
        <f t="shared" si="159"/>
        <v>17034</v>
      </c>
      <c r="E2033" s="1816">
        <f t="shared" si="160"/>
        <v>12280</v>
      </c>
      <c r="F2033" s="1816">
        <f t="shared" si="161"/>
        <v>17034</v>
      </c>
      <c r="G2033" s="1816">
        <f t="shared" si="162"/>
        <v>15428</v>
      </c>
    </row>
    <row r="2034" spans="1:7" ht="15.75">
      <c r="A2034" s="1961">
        <f t="shared" si="163"/>
        <v>98525</v>
      </c>
      <c r="B2034" s="1815">
        <v>98500</v>
      </c>
      <c r="C2034" s="1815">
        <v>98550</v>
      </c>
      <c r="D2034" s="1816">
        <f t="shared" si="159"/>
        <v>17046</v>
      </c>
      <c r="E2034" s="1816">
        <f t="shared" si="160"/>
        <v>12291</v>
      </c>
      <c r="F2034" s="1816">
        <f t="shared" si="161"/>
        <v>17046</v>
      </c>
      <c r="G2034" s="1816">
        <f t="shared" si="162"/>
        <v>15440</v>
      </c>
    </row>
    <row r="2035" spans="1:7" ht="15.75">
      <c r="A2035" s="1961">
        <f t="shared" si="163"/>
        <v>98575</v>
      </c>
      <c r="B2035" s="1815">
        <v>98550</v>
      </c>
      <c r="C2035" s="1815">
        <v>98600</v>
      </c>
      <c r="D2035" s="1816">
        <f t="shared" si="159"/>
        <v>17058</v>
      </c>
      <c r="E2035" s="1816">
        <f t="shared" si="160"/>
        <v>12302</v>
      </c>
      <c r="F2035" s="1816">
        <f t="shared" si="161"/>
        <v>17058</v>
      </c>
      <c r="G2035" s="1816">
        <f t="shared" si="162"/>
        <v>15452</v>
      </c>
    </row>
    <row r="2036" spans="1:7" ht="15.75">
      <c r="A2036" s="1961">
        <f t="shared" si="163"/>
        <v>98625</v>
      </c>
      <c r="B2036" s="1815">
        <v>98600</v>
      </c>
      <c r="C2036" s="1815">
        <v>98650</v>
      </c>
      <c r="D2036" s="1816">
        <f t="shared" si="159"/>
        <v>17070</v>
      </c>
      <c r="E2036" s="1816">
        <f t="shared" si="160"/>
        <v>12313</v>
      </c>
      <c r="F2036" s="1816">
        <f t="shared" si="161"/>
        <v>17070</v>
      </c>
      <c r="G2036" s="1816">
        <f t="shared" si="162"/>
        <v>15464</v>
      </c>
    </row>
    <row r="2037" spans="1:7" ht="15.75">
      <c r="A2037" s="1961">
        <f t="shared" si="163"/>
        <v>98675</v>
      </c>
      <c r="B2037" s="1815">
        <v>98650</v>
      </c>
      <c r="C2037" s="1815">
        <v>98700</v>
      </c>
      <c r="D2037" s="1816">
        <f t="shared" si="159"/>
        <v>17082</v>
      </c>
      <c r="E2037" s="1816">
        <f t="shared" si="160"/>
        <v>12324</v>
      </c>
      <c r="F2037" s="1816">
        <f t="shared" si="161"/>
        <v>17082</v>
      </c>
      <c r="G2037" s="1816">
        <f t="shared" si="162"/>
        <v>15476</v>
      </c>
    </row>
    <row r="2038" spans="1:7" ht="15.75">
      <c r="A2038" s="1961">
        <f t="shared" si="163"/>
        <v>98725</v>
      </c>
      <c r="B2038" s="1815">
        <v>98700</v>
      </c>
      <c r="C2038" s="1815">
        <v>98750</v>
      </c>
      <c r="D2038" s="1816">
        <f t="shared" si="159"/>
        <v>17094</v>
      </c>
      <c r="E2038" s="1816">
        <f t="shared" si="160"/>
        <v>12335</v>
      </c>
      <c r="F2038" s="1816">
        <f t="shared" si="161"/>
        <v>17094</v>
      </c>
      <c r="G2038" s="1816">
        <f t="shared" si="162"/>
        <v>15488</v>
      </c>
    </row>
    <row r="2039" spans="1:7" ht="15.75">
      <c r="A2039" s="1961">
        <f t="shared" si="163"/>
        <v>98775</v>
      </c>
      <c r="B2039" s="1815">
        <v>98750</v>
      </c>
      <c r="C2039" s="1815">
        <v>98800</v>
      </c>
      <c r="D2039" s="1816">
        <f t="shared" si="159"/>
        <v>17106</v>
      </c>
      <c r="E2039" s="1816">
        <f t="shared" si="160"/>
        <v>12346</v>
      </c>
      <c r="F2039" s="1816">
        <f t="shared" si="161"/>
        <v>17106</v>
      </c>
      <c r="G2039" s="1816">
        <f t="shared" si="162"/>
        <v>15500</v>
      </c>
    </row>
    <row r="2040" spans="1:7" ht="15.75">
      <c r="A2040" s="1961">
        <f t="shared" si="163"/>
        <v>98825</v>
      </c>
      <c r="B2040" s="1815">
        <v>98800</v>
      </c>
      <c r="C2040" s="1815">
        <v>98850</v>
      </c>
      <c r="D2040" s="1816">
        <f t="shared" si="159"/>
        <v>17118</v>
      </c>
      <c r="E2040" s="1816">
        <f t="shared" si="160"/>
        <v>12357</v>
      </c>
      <c r="F2040" s="1816">
        <f t="shared" si="161"/>
        <v>17118</v>
      </c>
      <c r="G2040" s="1816">
        <f t="shared" si="162"/>
        <v>15512</v>
      </c>
    </row>
    <row r="2041" spans="1:7" ht="15.75">
      <c r="A2041" s="1961">
        <f t="shared" si="163"/>
        <v>98875</v>
      </c>
      <c r="B2041" s="1815">
        <v>98850</v>
      </c>
      <c r="C2041" s="1815">
        <v>98900</v>
      </c>
      <c r="D2041" s="1816">
        <f t="shared" si="159"/>
        <v>17130</v>
      </c>
      <c r="E2041" s="1816">
        <f t="shared" si="160"/>
        <v>12368</v>
      </c>
      <c r="F2041" s="1816">
        <f t="shared" si="161"/>
        <v>17130</v>
      </c>
      <c r="G2041" s="1816">
        <f t="shared" si="162"/>
        <v>15524</v>
      </c>
    </row>
    <row r="2042" spans="1:7" ht="15.75">
      <c r="A2042" s="1961">
        <f t="shared" si="163"/>
        <v>98925</v>
      </c>
      <c r="B2042" s="1815">
        <v>98900</v>
      </c>
      <c r="C2042" s="1815">
        <v>98950</v>
      </c>
      <c r="D2042" s="1816">
        <f t="shared" si="159"/>
        <v>17142</v>
      </c>
      <c r="E2042" s="1816">
        <f t="shared" si="160"/>
        <v>12379</v>
      </c>
      <c r="F2042" s="1816">
        <f t="shared" si="161"/>
        <v>17142</v>
      </c>
      <c r="G2042" s="1816">
        <f t="shared" si="162"/>
        <v>15536</v>
      </c>
    </row>
    <row r="2043" spans="1:7" ht="15.75">
      <c r="A2043" s="1961">
        <f t="shared" si="163"/>
        <v>98975</v>
      </c>
      <c r="B2043" s="1815">
        <v>98950</v>
      </c>
      <c r="C2043" s="1815">
        <v>99000</v>
      </c>
      <c r="D2043" s="1816">
        <f t="shared" si="159"/>
        <v>17154</v>
      </c>
      <c r="E2043" s="1816">
        <f t="shared" si="160"/>
        <v>12390</v>
      </c>
      <c r="F2043" s="1816">
        <f t="shared" si="161"/>
        <v>17154</v>
      </c>
      <c r="G2043" s="1816">
        <f t="shared" si="162"/>
        <v>15548</v>
      </c>
    </row>
    <row r="2044" spans="1:7" ht="15.75">
      <c r="A2044" s="1961">
        <f t="shared" si="163"/>
        <v>99025</v>
      </c>
      <c r="B2044" s="1815">
        <v>99000</v>
      </c>
      <c r="C2044" s="1815">
        <v>99050</v>
      </c>
      <c r="D2044" s="1816">
        <f t="shared" si="159"/>
        <v>17166</v>
      </c>
      <c r="E2044" s="1816">
        <f t="shared" si="160"/>
        <v>12401</v>
      </c>
      <c r="F2044" s="1816">
        <f t="shared" si="161"/>
        <v>17166</v>
      </c>
      <c r="G2044" s="1816">
        <f t="shared" si="162"/>
        <v>15560</v>
      </c>
    </row>
    <row r="2045" spans="1:7" ht="15.75">
      <c r="A2045" s="1961">
        <f t="shared" si="163"/>
        <v>99075</v>
      </c>
      <c r="B2045" s="1815">
        <v>99050</v>
      </c>
      <c r="C2045" s="1815">
        <v>99100</v>
      </c>
      <c r="D2045" s="1816">
        <f t="shared" si="159"/>
        <v>17178</v>
      </c>
      <c r="E2045" s="1816">
        <f t="shared" si="160"/>
        <v>12412</v>
      </c>
      <c r="F2045" s="1816">
        <f t="shared" si="161"/>
        <v>17178</v>
      </c>
      <c r="G2045" s="1816">
        <f t="shared" si="162"/>
        <v>15572</v>
      </c>
    </row>
    <row r="2046" spans="1:7" ht="15.75">
      <c r="A2046" s="1961">
        <f t="shared" si="163"/>
        <v>99125</v>
      </c>
      <c r="B2046" s="1815">
        <v>99100</v>
      </c>
      <c r="C2046" s="1815">
        <v>99150</v>
      </c>
      <c r="D2046" s="1816">
        <f t="shared" si="159"/>
        <v>17190</v>
      </c>
      <c r="E2046" s="1816">
        <f t="shared" si="160"/>
        <v>12423</v>
      </c>
      <c r="F2046" s="1816">
        <f t="shared" si="161"/>
        <v>17190</v>
      </c>
      <c r="G2046" s="1816">
        <f t="shared" si="162"/>
        <v>15584</v>
      </c>
    </row>
    <row r="2047" spans="1:7" ht="15.75">
      <c r="A2047" s="1961">
        <f t="shared" si="163"/>
        <v>99175</v>
      </c>
      <c r="B2047" s="1815">
        <v>99150</v>
      </c>
      <c r="C2047" s="1815">
        <v>99200</v>
      </c>
      <c r="D2047" s="1816">
        <f t="shared" si="159"/>
        <v>17202</v>
      </c>
      <c r="E2047" s="1816">
        <f t="shared" si="160"/>
        <v>12434</v>
      </c>
      <c r="F2047" s="1816">
        <f t="shared" si="161"/>
        <v>17202</v>
      </c>
      <c r="G2047" s="1816">
        <f t="shared" si="162"/>
        <v>15596</v>
      </c>
    </row>
    <row r="2048" spans="1:7" ht="15.75">
      <c r="A2048" s="1961">
        <f t="shared" si="163"/>
        <v>99225</v>
      </c>
      <c r="B2048" s="1815">
        <v>99200</v>
      </c>
      <c r="C2048" s="1815">
        <v>99250</v>
      </c>
      <c r="D2048" s="1816">
        <f t="shared" si="159"/>
        <v>17214</v>
      </c>
      <c r="E2048" s="1816">
        <f t="shared" si="160"/>
        <v>12445</v>
      </c>
      <c r="F2048" s="1816">
        <f t="shared" si="161"/>
        <v>17214</v>
      </c>
      <c r="G2048" s="1816">
        <f t="shared" si="162"/>
        <v>15608</v>
      </c>
    </row>
    <row r="2049" spans="1:7" ht="15.75">
      <c r="A2049" s="1961">
        <f t="shared" si="163"/>
        <v>99275</v>
      </c>
      <c r="B2049" s="1815">
        <v>99250</v>
      </c>
      <c r="C2049" s="1815">
        <v>99300</v>
      </c>
      <c r="D2049" s="1816">
        <f t="shared" si="159"/>
        <v>17226</v>
      </c>
      <c r="E2049" s="1816">
        <f t="shared" si="160"/>
        <v>12456</v>
      </c>
      <c r="F2049" s="1816">
        <f t="shared" si="161"/>
        <v>17226</v>
      </c>
      <c r="G2049" s="1816">
        <f t="shared" si="162"/>
        <v>15620</v>
      </c>
    </row>
    <row r="2050" spans="1:7" ht="15.75">
      <c r="A2050" s="1961">
        <f t="shared" si="163"/>
        <v>99325</v>
      </c>
      <c r="B2050" s="1815">
        <v>99300</v>
      </c>
      <c r="C2050" s="1815">
        <v>99350</v>
      </c>
      <c r="D2050" s="1816">
        <f t="shared" ref="D2050:D2063" si="164">IF($A2050&gt;BOTT_A4,ROUND(BASE_A4+RATE_A4*($A2050-BOTT_A4),0),IF($A2050&gt;BOTT_A3,ROUND(BASE_A3+RATE_A3*($A2050-BOTT_A3),0),IF($A2050&gt;BOTT_A2,ROUND(BASE_A2+RATE_A2*($A2050-BOTT_A2),0),ROUND(RATE_A1*$A2050,0))))</f>
        <v>17238</v>
      </c>
      <c r="E2050" s="1816">
        <f t="shared" ref="E2050:E2063" si="165">IF($A2050&gt;BOTT_B4,ROUND(BASE_B4+RATE_B4*($A2050-BOTT_B4),0),IF($A2050&gt;BOTT_B3,ROUND(BASE_B3+RATE_B3*($A2050-BOTT_B3),0),IF($A2050&gt;BOTT_B2,ROUND(BASE_B2+RATE_B2*($A2050-BOTT_B2),0),ROUND(RATE_B1*$A2050,0))))</f>
        <v>12467</v>
      </c>
      <c r="F2050" s="1816">
        <f t="shared" ref="F2050:F2063" si="166">IF($A2050&gt;BOTT_C4,ROUND(BASE_C4+RATE_C4*($A2050-BOTT_C4),0),IF($A2050&gt;BOTT_C3,ROUND(BASE_C3+RATE_C3*($A2050-BOTT_C3),0),IF($A2050&gt;BOTT_C2,ROUND(BASE_C2+RATE_C2*($A2050-BOTT_C2),0),ROUND(RATE_C1*$A2050,0))))</f>
        <v>17238</v>
      </c>
      <c r="G2050" s="1816">
        <f t="shared" ref="G2050:G2063" si="167">IF($A2050&gt;BOTT_D4,ROUND(BASE_D4+RATE_D4*($A2050-BOTT_D4),0),IF($A2050&gt;BOTT_D3,ROUND(BASE_D3+RATE_D3*($A2050-BOTT_D3),0),IF($A2050&gt;BOTT_D2,ROUND(BASE_D2+RATE_D2*($A2050-BOTT_D2),0),ROUND(RATE_D1*$A2050,0))))</f>
        <v>15632</v>
      </c>
    </row>
    <row r="2051" spans="1:7" ht="15.75">
      <c r="A2051" s="1961">
        <f t="shared" ref="A2051:A2063" si="168">AVERAGE(B2051,C2051)</f>
        <v>99375</v>
      </c>
      <c r="B2051" s="1815">
        <v>99350</v>
      </c>
      <c r="C2051" s="1815">
        <v>99400</v>
      </c>
      <c r="D2051" s="1816">
        <f t="shared" si="164"/>
        <v>17250</v>
      </c>
      <c r="E2051" s="1816">
        <f t="shared" si="165"/>
        <v>12478</v>
      </c>
      <c r="F2051" s="1816">
        <f t="shared" si="166"/>
        <v>17250</v>
      </c>
      <c r="G2051" s="1816">
        <f t="shared" si="167"/>
        <v>15644</v>
      </c>
    </row>
    <row r="2052" spans="1:7" ht="15.75">
      <c r="A2052" s="1961">
        <f t="shared" si="168"/>
        <v>99425</v>
      </c>
      <c r="B2052" s="1815">
        <v>99400</v>
      </c>
      <c r="C2052" s="1815">
        <v>99450</v>
      </c>
      <c r="D2052" s="1816">
        <f t="shared" si="164"/>
        <v>17262</v>
      </c>
      <c r="E2052" s="1816">
        <f t="shared" si="165"/>
        <v>12489</v>
      </c>
      <c r="F2052" s="1816">
        <f t="shared" si="166"/>
        <v>17262</v>
      </c>
      <c r="G2052" s="1816">
        <f t="shared" si="167"/>
        <v>15656</v>
      </c>
    </row>
    <row r="2053" spans="1:7" ht="15.75">
      <c r="A2053" s="1961">
        <f t="shared" si="168"/>
        <v>99475</v>
      </c>
      <c r="B2053" s="1815">
        <v>99450</v>
      </c>
      <c r="C2053" s="1815">
        <v>99500</v>
      </c>
      <c r="D2053" s="1816">
        <f t="shared" si="164"/>
        <v>17274</v>
      </c>
      <c r="E2053" s="1816">
        <f t="shared" si="165"/>
        <v>12500</v>
      </c>
      <c r="F2053" s="1816">
        <f t="shared" si="166"/>
        <v>17274</v>
      </c>
      <c r="G2053" s="1816">
        <f t="shared" si="167"/>
        <v>15668</v>
      </c>
    </row>
    <row r="2054" spans="1:7" ht="15.75">
      <c r="A2054" s="1961">
        <f t="shared" si="168"/>
        <v>99525</v>
      </c>
      <c r="B2054" s="1815">
        <v>99500</v>
      </c>
      <c r="C2054" s="1815">
        <v>99550</v>
      </c>
      <c r="D2054" s="1816">
        <f t="shared" si="164"/>
        <v>17286</v>
      </c>
      <c r="E2054" s="1816">
        <f t="shared" si="165"/>
        <v>12511</v>
      </c>
      <c r="F2054" s="1816">
        <f t="shared" si="166"/>
        <v>17286</v>
      </c>
      <c r="G2054" s="1816">
        <f t="shared" si="167"/>
        <v>15680</v>
      </c>
    </row>
    <row r="2055" spans="1:7" ht="15.75">
      <c r="A2055" s="1961">
        <f t="shared" si="168"/>
        <v>99575</v>
      </c>
      <c r="B2055" s="1815">
        <v>99550</v>
      </c>
      <c r="C2055" s="1815">
        <v>99600</v>
      </c>
      <c r="D2055" s="1816">
        <f t="shared" si="164"/>
        <v>17298</v>
      </c>
      <c r="E2055" s="1816">
        <f t="shared" si="165"/>
        <v>12522</v>
      </c>
      <c r="F2055" s="1816">
        <f t="shared" si="166"/>
        <v>17298</v>
      </c>
      <c r="G2055" s="1816">
        <f t="shared" si="167"/>
        <v>15692</v>
      </c>
    </row>
    <row r="2056" spans="1:7" ht="15.75">
      <c r="A2056" s="1961">
        <f t="shared" si="168"/>
        <v>99625</v>
      </c>
      <c r="B2056" s="1815">
        <v>99600</v>
      </c>
      <c r="C2056" s="1815">
        <v>99650</v>
      </c>
      <c r="D2056" s="1816">
        <f t="shared" si="164"/>
        <v>17310</v>
      </c>
      <c r="E2056" s="1816">
        <f t="shared" si="165"/>
        <v>12533</v>
      </c>
      <c r="F2056" s="1816">
        <f t="shared" si="166"/>
        <v>17310</v>
      </c>
      <c r="G2056" s="1816">
        <f t="shared" si="167"/>
        <v>15704</v>
      </c>
    </row>
    <row r="2057" spans="1:7" ht="15.75">
      <c r="A2057" s="1961">
        <f t="shared" si="168"/>
        <v>99675</v>
      </c>
      <c r="B2057" s="1815">
        <v>99650</v>
      </c>
      <c r="C2057" s="1815">
        <v>99700</v>
      </c>
      <c r="D2057" s="1816">
        <f t="shared" si="164"/>
        <v>17322</v>
      </c>
      <c r="E2057" s="1816">
        <f t="shared" si="165"/>
        <v>12544</v>
      </c>
      <c r="F2057" s="1816">
        <f t="shared" si="166"/>
        <v>17322</v>
      </c>
      <c r="G2057" s="1816">
        <f t="shared" si="167"/>
        <v>15716</v>
      </c>
    </row>
    <row r="2058" spans="1:7" ht="15.75">
      <c r="A2058" s="1961">
        <f t="shared" si="168"/>
        <v>99725</v>
      </c>
      <c r="B2058" s="1815">
        <v>99700</v>
      </c>
      <c r="C2058" s="1815">
        <v>99750</v>
      </c>
      <c r="D2058" s="1816">
        <f t="shared" si="164"/>
        <v>17334</v>
      </c>
      <c r="E2058" s="1816">
        <f t="shared" si="165"/>
        <v>12555</v>
      </c>
      <c r="F2058" s="1816">
        <f t="shared" si="166"/>
        <v>17334</v>
      </c>
      <c r="G2058" s="1816">
        <f t="shared" si="167"/>
        <v>15728</v>
      </c>
    </row>
    <row r="2059" spans="1:7" ht="15.75">
      <c r="A2059" s="1961">
        <f t="shared" si="168"/>
        <v>99775</v>
      </c>
      <c r="B2059" s="1815">
        <v>99750</v>
      </c>
      <c r="C2059" s="1815">
        <v>99800</v>
      </c>
      <c r="D2059" s="1816">
        <f t="shared" si="164"/>
        <v>17346</v>
      </c>
      <c r="E2059" s="1816">
        <f t="shared" si="165"/>
        <v>12566</v>
      </c>
      <c r="F2059" s="1816">
        <f t="shared" si="166"/>
        <v>17346</v>
      </c>
      <c r="G2059" s="1816">
        <f t="shared" si="167"/>
        <v>15740</v>
      </c>
    </row>
    <row r="2060" spans="1:7" ht="15.75">
      <c r="A2060" s="1961">
        <f t="shared" si="168"/>
        <v>99825</v>
      </c>
      <c r="B2060" s="1815">
        <v>99800</v>
      </c>
      <c r="C2060" s="1815">
        <v>99850</v>
      </c>
      <c r="D2060" s="1816">
        <f t="shared" si="164"/>
        <v>17358</v>
      </c>
      <c r="E2060" s="1816">
        <f t="shared" si="165"/>
        <v>12577</v>
      </c>
      <c r="F2060" s="1816">
        <f t="shared" si="166"/>
        <v>17358</v>
      </c>
      <c r="G2060" s="1816">
        <f t="shared" si="167"/>
        <v>15752</v>
      </c>
    </row>
    <row r="2061" spans="1:7" ht="15.75">
      <c r="A2061" s="1961">
        <f t="shared" si="168"/>
        <v>99875</v>
      </c>
      <c r="B2061" s="1815">
        <v>99850</v>
      </c>
      <c r="C2061" s="1815">
        <v>99900</v>
      </c>
      <c r="D2061" s="1816">
        <f t="shared" si="164"/>
        <v>17370</v>
      </c>
      <c r="E2061" s="1816">
        <f t="shared" si="165"/>
        <v>12588</v>
      </c>
      <c r="F2061" s="1816">
        <f t="shared" si="166"/>
        <v>17370</v>
      </c>
      <c r="G2061" s="1816">
        <f t="shared" si="167"/>
        <v>15764</v>
      </c>
    </row>
    <row r="2062" spans="1:7" ht="15.75">
      <c r="A2062" s="1961">
        <f t="shared" si="168"/>
        <v>99925</v>
      </c>
      <c r="B2062" s="1815">
        <v>99900</v>
      </c>
      <c r="C2062" s="1815">
        <v>99950</v>
      </c>
      <c r="D2062" s="1816">
        <f t="shared" si="164"/>
        <v>17382</v>
      </c>
      <c r="E2062" s="1816">
        <f t="shared" si="165"/>
        <v>12599</v>
      </c>
      <c r="F2062" s="1816">
        <f t="shared" si="166"/>
        <v>17382</v>
      </c>
      <c r="G2062" s="1816">
        <f t="shared" si="167"/>
        <v>15776</v>
      </c>
    </row>
    <row r="2063" spans="1:7" ht="15.75">
      <c r="A2063" s="1961">
        <f t="shared" si="168"/>
        <v>99975</v>
      </c>
      <c r="B2063" s="1815">
        <v>99950</v>
      </c>
      <c r="C2063" s="1815">
        <v>100000</v>
      </c>
      <c r="D2063" s="1816">
        <f t="shared" si="164"/>
        <v>17394</v>
      </c>
      <c r="E2063" s="1816">
        <f t="shared" si="165"/>
        <v>12610</v>
      </c>
      <c r="F2063" s="1816">
        <f t="shared" si="166"/>
        <v>17394</v>
      </c>
      <c r="G2063" s="1816">
        <f t="shared" si="167"/>
        <v>15788</v>
      </c>
    </row>
    <row r="2064" spans="1:7">
      <c r="B2064" s="1814"/>
      <c r="C2064" s="1817"/>
      <c r="E2064" s="1402"/>
      <c r="F2064" s="1402"/>
      <c r="G2064" s="1402"/>
    </row>
  </sheetData>
  <mergeCells count="1">
    <mergeCell ref="Y14:AE15"/>
  </mergeCells>
  <phoneticPr fontId="12" type="noConversion"/>
  <pageMargins left="0.75" right="0.25" top="0.36" bottom="0.28999999999999998" header="0.36" footer="0.21"/>
  <pageSetup fitToHeight="0" orientation="portrait" r:id="rId1"/>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G86"/>
  <sheetViews>
    <sheetView zoomScaleNormal="100" workbookViewId="0">
      <pane ySplit="1" topLeftCell="A14" activePane="bottomLeft" state="frozen"/>
      <selection pane="bottomLeft" activeCell="A27" sqref="A27:C27"/>
    </sheetView>
  </sheetViews>
  <sheetFormatPr defaultColWidth="9.140625" defaultRowHeight="12.75"/>
  <cols>
    <col min="1" max="1" width="24.28515625" style="1428" customWidth="1"/>
    <col min="2" max="2" width="21" style="1036" customWidth="1"/>
    <col min="3" max="3" width="90.85546875" style="1035" customWidth="1"/>
    <col min="4" max="4" width="32.42578125" style="1035" customWidth="1"/>
    <col min="5" max="5" width="9.140625" style="1035"/>
    <col min="6" max="6" width="21.5703125" style="1035" customWidth="1"/>
    <col min="7" max="16384" width="9.140625" style="1035"/>
  </cols>
  <sheetData>
    <row r="1" spans="1:7" s="1111" customFormat="1" ht="15" customHeight="1" thickBot="1">
      <c r="A1" s="1427" t="s">
        <v>5409</v>
      </c>
      <c r="B1" s="1037" t="s">
        <v>5410</v>
      </c>
      <c r="C1" s="1037" t="s">
        <v>5411</v>
      </c>
      <c r="D1" s="1038" t="s">
        <v>5412</v>
      </c>
      <c r="F1" s="3221">
        <f>MAX(A:A)</f>
        <v>45363.902777777781</v>
      </c>
      <c r="G1" s="3220" t="s">
        <v>5413</v>
      </c>
    </row>
    <row r="2" spans="1:7">
      <c r="A2" s="1428">
        <v>45306.5</v>
      </c>
      <c r="B2" s="3927" t="s">
        <v>5414</v>
      </c>
      <c r="C2" s="3202" t="s">
        <v>5827</v>
      </c>
    </row>
    <row r="3" spans="1:7" ht="25.5">
      <c r="A3" s="3488">
        <v>45311.340277777781</v>
      </c>
      <c r="B3" s="3927">
        <v>2210</v>
      </c>
      <c r="C3" s="3202" t="s">
        <v>5835</v>
      </c>
    </row>
    <row r="4" spans="1:7">
      <c r="A4" s="1428">
        <v>45314.822916666664</v>
      </c>
      <c r="B4" s="3927" t="s">
        <v>107</v>
      </c>
      <c r="C4" s="1035" t="s">
        <v>5838</v>
      </c>
    </row>
    <row r="5" spans="1:7">
      <c r="A5" s="1428">
        <v>45314.822916666664</v>
      </c>
      <c r="B5" s="3927">
        <v>1040</v>
      </c>
      <c r="C5" s="3202" t="s">
        <v>5839</v>
      </c>
    </row>
    <row r="6" spans="1:7">
      <c r="A6" s="1428">
        <v>45317.652777777781</v>
      </c>
      <c r="B6" s="3927" t="s">
        <v>158</v>
      </c>
      <c r="C6" s="3202" t="s">
        <v>5840</v>
      </c>
    </row>
    <row r="7" spans="1:7" ht="25.5">
      <c r="A7" s="1428">
        <v>45317.993055555555</v>
      </c>
      <c r="B7" s="1036">
        <v>2210</v>
      </c>
      <c r="C7" s="3202" t="s">
        <v>5841</v>
      </c>
    </row>
    <row r="8" spans="1:7" ht="25.5">
      <c r="A8" s="1428">
        <v>45319.854166666664</v>
      </c>
      <c r="B8" s="3927" t="s">
        <v>103</v>
      </c>
      <c r="C8" s="3202" t="s">
        <v>5845</v>
      </c>
    </row>
    <row r="9" spans="1:7">
      <c r="A9" s="3488">
        <v>45320.84375</v>
      </c>
      <c r="B9" s="3927" t="s">
        <v>89</v>
      </c>
      <c r="C9" s="3202" t="s">
        <v>5846</v>
      </c>
    </row>
    <row r="10" spans="1:7" ht="25.5">
      <c r="A10" s="3488">
        <v>45320.909722222219</v>
      </c>
      <c r="B10" s="3927">
        <v>2210</v>
      </c>
      <c r="C10" s="3202" t="s">
        <v>5849</v>
      </c>
    </row>
    <row r="11" spans="1:7">
      <c r="A11" s="3488">
        <v>45324.402777777781</v>
      </c>
      <c r="B11" s="3927" t="s">
        <v>120</v>
      </c>
      <c r="C11" s="3202" t="s">
        <v>5850</v>
      </c>
    </row>
    <row r="12" spans="1:7">
      <c r="A12" s="3488">
        <v>45324.434027777781</v>
      </c>
      <c r="B12" s="3927">
        <v>8949</v>
      </c>
      <c r="C12" s="3202" t="s">
        <v>5851</v>
      </c>
    </row>
    <row r="13" spans="1:7" ht="25.5">
      <c r="A13" s="3488">
        <v>45328.285416666666</v>
      </c>
      <c r="B13" s="3927">
        <v>1040</v>
      </c>
      <c r="C13" s="3202" t="s">
        <v>5857</v>
      </c>
    </row>
    <row r="14" spans="1:7">
      <c r="A14" s="1428">
        <v>45334.841666666667</v>
      </c>
      <c r="B14" s="3927">
        <v>6251</v>
      </c>
      <c r="C14" s="3202" t="s">
        <v>5858</v>
      </c>
    </row>
    <row r="15" spans="1:7">
      <c r="A15" s="1428">
        <v>45340.458333333336</v>
      </c>
      <c r="B15" s="1036">
        <v>8995</v>
      </c>
      <c r="C15" s="3202" t="s">
        <v>5859</v>
      </c>
    </row>
    <row r="16" spans="1:7" ht="38.25">
      <c r="A16" s="1428">
        <v>45345.71597222222</v>
      </c>
      <c r="B16" s="3927" t="s">
        <v>5860</v>
      </c>
      <c r="C16" s="3202" t="s">
        <v>5861</v>
      </c>
    </row>
    <row r="17" spans="1:3" ht="25.5">
      <c r="A17" s="1428">
        <v>45346.683333333334</v>
      </c>
      <c r="B17" s="3927">
        <v>8812</v>
      </c>
      <c r="C17" s="3202" t="s">
        <v>5862</v>
      </c>
    </row>
    <row r="18" spans="1:3" ht="38.25">
      <c r="A18" s="1428">
        <v>45347.347222222219</v>
      </c>
      <c r="B18" s="1036">
        <v>8880</v>
      </c>
      <c r="C18" s="3202" t="s">
        <v>5865</v>
      </c>
    </row>
    <row r="19" spans="1:3" ht="25.5">
      <c r="A19" s="1428">
        <v>45347.385416666664</v>
      </c>
      <c r="B19" s="3927">
        <v>1116</v>
      </c>
      <c r="C19" s="3202" t="s">
        <v>5866</v>
      </c>
    </row>
    <row r="20" spans="1:3">
      <c r="A20" s="1428">
        <v>45355.65625</v>
      </c>
      <c r="B20" s="3927" t="s">
        <v>99</v>
      </c>
      <c r="C20" s="3202" t="s">
        <v>5888</v>
      </c>
    </row>
    <row r="21" spans="1:3">
      <c r="A21" s="1428">
        <v>45356.322916666664</v>
      </c>
      <c r="B21" s="3927" t="s">
        <v>5886</v>
      </c>
      <c r="C21" s="3202" t="s">
        <v>5887</v>
      </c>
    </row>
    <row r="22" spans="1:3" ht="25.5">
      <c r="A22" s="1428">
        <v>45359.697916666664</v>
      </c>
      <c r="B22" s="3927" t="s">
        <v>99</v>
      </c>
      <c r="C22" s="3202" t="s">
        <v>5897</v>
      </c>
    </row>
    <row r="23" spans="1:3" ht="25.5">
      <c r="A23" s="1428">
        <v>45359.697916666664</v>
      </c>
      <c r="B23" s="3927" t="s">
        <v>5886</v>
      </c>
      <c r="C23" s="3202" t="s">
        <v>5897</v>
      </c>
    </row>
    <row r="24" spans="1:3" ht="25.5">
      <c r="A24" s="1428">
        <v>45359.697916666664</v>
      </c>
      <c r="B24" s="3927">
        <v>2555</v>
      </c>
      <c r="C24" s="3202" t="s">
        <v>5897</v>
      </c>
    </row>
    <row r="25" spans="1:3" ht="25.5">
      <c r="A25" s="1428">
        <v>45360.388888888891</v>
      </c>
      <c r="B25" s="1036">
        <v>8960</v>
      </c>
      <c r="C25" s="3202" t="s">
        <v>5898</v>
      </c>
    </row>
    <row r="26" spans="1:3">
      <c r="A26" s="1428">
        <v>45361.958333333336</v>
      </c>
      <c r="B26" s="1036">
        <v>1116</v>
      </c>
      <c r="C26" s="3202" t="s">
        <v>5901</v>
      </c>
    </row>
    <row r="27" spans="1:3" ht="25.5">
      <c r="A27" s="1428">
        <v>45363.902777777781</v>
      </c>
      <c r="B27" s="1036">
        <v>8606</v>
      </c>
      <c r="C27" s="3202" t="s">
        <v>5902</v>
      </c>
    </row>
    <row r="28" spans="1:3">
      <c r="B28" s="3927"/>
      <c r="C28" s="3202"/>
    </row>
    <row r="34" spans="2:3">
      <c r="B34" s="3927"/>
      <c r="C34" s="3202"/>
    </row>
    <row r="35" spans="2:3">
      <c r="B35" s="3927"/>
      <c r="C35" s="3202"/>
    </row>
    <row r="36" spans="2:3">
      <c r="C36" s="3202"/>
    </row>
    <row r="37" spans="2:3">
      <c r="B37" s="3927"/>
      <c r="C37" s="3202"/>
    </row>
    <row r="38" spans="2:3">
      <c r="C38" s="3202"/>
    </row>
    <row r="39" spans="2:3">
      <c r="B39" s="3927"/>
      <c r="C39" s="3202"/>
    </row>
    <row r="40" spans="2:3">
      <c r="B40" s="3927"/>
      <c r="C40" s="3202"/>
    </row>
    <row r="41" spans="2:3">
      <c r="B41" s="3927"/>
      <c r="C41" s="3202"/>
    </row>
    <row r="42" spans="2:3">
      <c r="C42" s="3202"/>
    </row>
    <row r="43" spans="2:3">
      <c r="C43" s="3202"/>
    </row>
    <row r="44" spans="2:3">
      <c r="C44" s="3202"/>
    </row>
    <row r="46" spans="2:3">
      <c r="C46" s="3202"/>
    </row>
    <row r="47" spans="2:3">
      <c r="B47" s="3927"/>
      <c r="C47" s="3202"/>
    </row>
    <row r="48" spans="2:3">
      <c r="B48" s="3927"/>
      <c r="C48" s="3202"/>
    </row>
    <row r="49" spans="2:3">
      <c r="B49" s="3927"/>
      <c r="C49" s="3202"/>
    </row>
    <row r="50" spans="2:3">
      <c r="B50" s="3927"/>
      <c r="C50" s="3202"/>
    </row>
    <row r="51" spans="2:3">
      <c r="B51" s="3927"/>
      <c r="C51" s="3202"/>
    </row>
    <row r="52" spans="2:3">
      <c r="B52" s="3927"/>
      <c r="C52" s="3202"/>
    </row>
    <row r="53" spans="2:3">
      <c r="B53" s="3927"/>
      <c r="C53" s="3202"/>
    </row>
    <row r="54" spans="2:3">
      <c r="B54" s="3927"/>
      <c r="C54" s="3202"/>
    </row>
    <row r="55" spans="2:3">
      <c r="B55" s="3927"/>
      <c r="C55" s="3202"/>
    </row>
    <row r="56" spans="2:3">
      <c r="B56" s="3927"/>
      <c r="C56" s="3202"/>
    </row>
    <row r="57" spans="2:3">
      <c r="B57" s="3927"/>
      <c r="C57" s="3202"/>
    </row>
    <row r="58" spans="2:3">
      <c r="B58" s="3927"/>
      <c r="C58" s="3202"/>
    </row>
    <row r="59" spans="2:3">
      <c r="B59" s="3927"/>
      <c r="C59" s="3202"/>
    </row>
    <row r="60" spans="2:3">
      <c r="B60" s="3927"/>
      <c r="C60" s="3202"/>
    </row>
    <row r="61" spans="2:3">
      <c r="B61" s="3927"/>
      <c r="C61" s="3202"/>
    </row>
    <row r="62" spans="2:3">
      <c r="B62" s="3927"/>
      <c r="C62" s="3202"/>
    </row>
    <row r="63" spans="2:3">
      <c r="B63" s="3927"/>
      <c r="C63" s="3202"/>
    </row>
    <row r="64" spans="2:3">
      <c r="B64" s="3927"/>
      <c r="C64" s="3202"/>
    </row>
    <row r="65" spans="2:3">
      <c r="B65" s="3927"/>
      <c r="C65" s="3202"/>
    </row>
    <row r="66" spans="2:3">
      <c r="C66" s="3202"/>
    </row>
    <row r="69" spans="2:3">
      <c r="C69" s="3202"/>
    </row>
    <row r="70" spans="2:3">
      <c r="C70" s="3202"/>
    </row>
    <row r="71" spans="2:3">
      <c r="C71" s="3202"/>
    </row>
    <row r="72" spans="2:3">
      <c r="C72" s="3202"/>
    </row>
    <row r="73" spans="2:3">
      <c r="B73" s="3927"/>
      <c r="C73" s="3202"/>
    </row>
    <row r="74" spans="2:3">
      <c r="B74" s="3927"/>
      <c r="C74" s="3202"/>
    </row>
    <row r="75" spans="2:3">
      <c r="B75" s="3927"/>
      <c r="C75" s="3202"/>
    </row>
    <row r="76" spans="2:3">
      <c r="C76" s="3202"/>
    </row>
    <row r="78" spans="2:3">
      <c r="B78" s="3927"/>
      <c r="C78" s="3202"/>
    </row>
    <row r="79" spans="2:3">
      <c r="B79" s="3927"/>
      <c r="C79" s="3202"/>
    </row>
    <row r="80" spans="2:3">
      <c r="C80" s="3202"/>
    </row>
    <row r="81" spans="2:3">
      <c r="C81" s="3202"/>
    </row>
    <row r="82" spans="2:3">
      <c r="C82" s="3202"/>
    </row>
    <row r="83" spans="2:3">
      <c r="B83" s="3927"/>
      <c r="C83" s="3202"/>
    </row>
    <row r="84" spans="2:3">
      <c r="B84" s="3927"/>
      <c r="C84" s="3202"/>
    </row>
    <row r="85" spans="2:3">
      <c r="B85" s="3927"/>
      <c r="C85" s="3202"/>
    </row>
    <row r="86" spans="2:3">
      <c r="B86" s="3927"/>
      <c r="C86" s="3202"/>
    </row>
  </sheetData>
  <sheetProtection sheet="1" objects="1" scenarios="1"/>
  <hyperlinks>
    <hyperlink ref="D1" r:id="rId1" xr:uid="{00000000-0004-0000-3B00-000000000000}"/>
  </hyperlinks>
  <pageMargins left="0.75" right="0.25" top="0.36" bottom="0.28999999999999998" header="0.36" footer="0.21"/>
  <pageSetup scale="41"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822</vt:i4>
      </vt:variant>
    </vt:vector>
  </HeadingPairs>
  <TitlesOfParts>
    <vt:vector size="882" baseType="lpstr">
      <vt:lpstr>Coversheet</vt:lpstr>
      <vt:lpstr>Table of Contents</vt:lpstr>
      <vt:lpstr>Instructions</vt:lpstr>
      <vt:lpstr>W-2s</vt:lpstr>
      <vt:lpstr>1099-INT</vt:lpstr>
      <vt:lpstr>1099-DIV</vt:lpstr>
      <vt:lpstr>1099-G</vt:lpstr>
      <vt:lpstr>1099-MISC</vt:lpstr>
      <vt:lpstr>1099-R</vt:lpstr>
      <vt:lpstr>Lines 4ab (IRA Dist.)</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 (SD Depnts)</vt:lpstr>
      <vt:lpstr>Line 16 (QDCG Tax)</vt:lpstr>
      <vt:lpstr>Line 27 (EIC)</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8582</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CredLimitWS_Line15</vt:lpstr>
      <vt:lpstr>CTC_AgeLimit</vt:lpstr>
      <vt:lpstr>CTCorCOD</vt:lpstr>
      <vt:lpstr>DaysInTaxYear</vt:lpstr>
      <vt:lpstr>Deduction</vt:lpstr>
      <vt:lpstr>Deductions</vt:lpstr>
      <vt:lpstr>DeferredIncomeNQ</vt:lpstr>
      <vt:lpstr>DependCareBenefits</vt:lpstr>
      <vt:lpstr>Dependent_Care</vt:lpstr>
      <vt:lpstr>DependentCount</vt:lpstr>
      <vt:lpstr>DependentSPOUSE</vt:lpstr>
      <vt:lpstr>DependentYOU</vt:lpstr>
      <vt:lpstr>DependOther</vt:lpstr>
      <vt:lpstr>DependQualNumber</vt:lpstr>
      <vt:lpstr>DependUnder17SSN</vt:lpstr>
      <vt:lpstr>Dividend_Inc</vt:lpstr>
      <vt:lpstr>Draft</vt:lpstr>
      <vt:lpstr>Dual_Status_Alien</vt:lpstr>
      <vt:lpstr>Earned_Income</vt:lpstr>
      <vt:lpstr>EarnedIncomeCredit</vt:lpstr>
      <vt:lpstr>EarnedIncomeWSB</vt:lpstr>
      <vt:lpstr>Education</vt:lpstr>
      <vt:lpstr>EducationCredits_NR</vt:lpstr>
      <vt:lpstr>EducatorExpenses</vt:lpstr>
      <vt:lpstr>EEHI_Credit</vt:lpstr>
      <vt:lpstr>EIC</vt:lpstr>
      <vt:lpstr>EIC_Check</vt:lpstr>
      <vt:lpstr>EIC_EarnedIncome</vt:lpstr>
      <vt:lpstr>EIC_Max_MFJ_NoChildren</vt:lpstr>
      <vt:lpstr>EIC_Max_MFJ_OneChild</vt:lpstr>
      <vt:lpstr>EIC_Max_MFJ_ThreeChildren</vt:lpstr>
      <vt:lpstr>EIC_Max_MFJ_TwoChildren</vt:lpstr>
      <vt:lpstr>EIC_Max_NoChildren</vt:lpstr>
      <vt:lpstr>EIC_Max_OneChild</vt:lpstr>
      <vt:lpstr>EIC_Max_ThreeChildren</vt:lpstr>
      <vt:lpstr>EIC_Max_TwoChildren</vt:lpstr>
      <vt:lpstr>EIC_No</vt:lpstr>
      <vt:lpstr>EIC_Started</vt:lpstr>
      <vt:lpstr>EIC_Step3_Line3_Yes</vt:lpstr>
      <vt:lpstr>EIC_trigger</vt:lpstr>
      <vt:lpstr>EIC_WB_Part5_Line7</vt:lpstr>
      <vt:lpstr>EIC_WSA_Part3</vt:lpstr>
      <vt:lpstr>EIC_WSB_Part7</vt:lpstr>
      <vt:lpstr>EICNumQualChild</vt:lpstr>
      <vt:lpstr>Elderly_Credit</vt:lpstr>
      <vt:lpstr>EmployerCountSpouse</vt:lpstr>
      <vt:lpstr>EmployerCountYou</vt:lpstr>
      <vt:lpstr>EndOfTaxYear</vt:lpstr>
      <vt:lpstr>EstimatedTaxPayments</vt:lpstr>
      <vt:lpstr>Exception_QDCG_TW_SchD_TW</vt:lpstr>
      <vt:lpstr>ExcessSSTax</vt:lpstr>
      <vt:lpstr>Exempt_Interest_DIV</vt:lpstr>
      <vt:lpstr>F1040_Line1z</vt:lpstr>
      <vt:lpstr>F1099_FedTaxWH</vt:lpstr>
      <vt:lpstr>F1099DIV_FedTaxWH</vt:lpstr>
      <vt:lpstr>F1099DIV_SPABI</vt:lpstr>
      <vt:lpstr>F1099G_FedTaxWH</vt:lpstr>
      <vt:lpstr>F1099G_MktGain</vt:lpstr>
      <vt:lpstr>F1099G_StateTaxWH</vt:lpstr>
      <vt:lpstr>F1099G_TaxGrants</vt:lpstr>
      <vt:lpstr>F1099INT_FedTaxWH</vt:lpstr>
      <vt:lpstr>F1099INT_SPABI</vt:lpstr>
      <vt:lpstr>F1099R_CodeDTaxes</vt:lpstr>
      <vt:lpstr>F2441_NonRefund</vt:lpstr>
      <vt:lpstr>F2441_Refundable</vt:lpstr>
      <vt:lpstr>F2555_Line43_Sp</vt:lpstr>
      <vt:lpstr>F2555_Line43_You</vt:lpstr>
      <vt:lpstr>F2555_Line45_1</vt:lpstr>
      <vt:lpstr>F2555_Line45_2</vt:lpstr>
      <vt:lpstr>F2555_Line45_Spouse</vt:lpstr>
      <vt:lpstr>F2555_Line45_Total</vt:lpstr>
      <vt:lpstr>F2555_Line45_You</vt:lpstr>
      <vt:lpstr>F2555_Line50_NotZero</vt:lpstr>
      <vt:lpstr>F4952_Line_4g</vt:lpstr>
      <vt:lpstr>F6251_Needed</vt:lpstr>
      <vt:lpstr>F6251_PIII</vt:lpstr>
      <vt:lpstr>F8582_Line9</vt:lpstr>
      <vt:lpstr>F8582_MAGI</vt:lpstr>
      <vt:lpstr>F8812_NoAdditionalCTC</vt:lpstr>
      <vt:lpstr>F8812_Skip_Part_II_A</vt:lpstr>
      <vt:lpstr>F8812_Skip_Part_II_B</vt:lpstr>
      <vt:lpstr>F8829_Deduction</vt:lpstr>
      <vt:lpstr>F8829_SchC_1</vt:lpstr>
      <vt:lpstr>F8829_SchC_2</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F8978_Credit</vt:lpstr>
      <vt:lpstr>FarmIncomeLoss</vt:lpstr>
      <vt:lpstr>FarmOptMeth1</vt:lpstr>
      <vt:lpstr>FarmOptMeth2</vt:lpstr>
      <vt:lpstr>FarmProfitNet</vt:lpstr>
      <vt:lpstr>Fed_Inc_Tax_WH_Line_25d</vt:lpstr>
      <vt:lpstr>FedFuelTaxCredit</vt:lpstr>
      <vt:lpstr>FEI_Exclusion_Limit</vt:lpstr>
      <vt:lpstr>FEI_Exclusion_Max</vt:lpstr>
      <vt:lpstr>FEI_HousingDeduction</vt:lpstr>
      <vt:lpstr>FEI_HousingDeduction1</vt:lpstr>
      <vt:lpstr>FEI_HousingDeduction2</vt:lpstr>
      <vt:lpstr>FEI_HousingExclusion</vt:lpstr>
      <vt:lpstr>FEI_HousingExclusion1</vt:lpstr>
      <vt:lpstr>FEI_HousingExclusion2</vt:lpstr>
      <vt:lpstr>FEI_Tax_Worksheet</vt:lpstr>
      <vt:lpstr>FEI_Tax_WS_Required</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Foreign_Tax_Credit</vt:lpstr>
      <vt:lpstr>ForeignEarnedIncome</vt:lpstr>
      <vt:lpstr>ForeignEarnedIncome1</vt:lpstr>
      <vt:lpstr>ForeignEarnedIncome2</vt:lpstr>
      <vt:lpstr>ForeignHousingDeduction1</vt:lpstr>
      <vt:lpstr>ForeignHousingDeduction2</vt:lpstr>
      <vt:lpstr>ForeignHousingDeductionSpouse</vt:lpstr>
      <vt:lpstr>ForeignHousingDeductionTotal</vt:lpstr>
      <vt:lpstr>ForeignHousingDeductionYou</vt:lpstr>
      <vt:lpstr>ForeignIncExclusion</vt:lpstr>
      <vt:lpstr>ForeignIncExclusion1</vt:lpstr>
      <vt:lpstr>ForeignIncExclusion2</vt:lpstr>
      <vt:lpstr>ForeignIncExclusionSpouse</vt:lpstr>
      <vt:lpstr>ForeignIncExclusionTotal</vt:lpstr>
      <vt:lpstr>ForeignIncExclusionYou</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Form2210_Line7</vt:lpstr>
      <vt:lpstr>Form2555_Used</vt:lpstr>
      <vt:lpstr>Form4952_Filed</vt:lpstr>
      <vt:lpstr>Form4952_Line4e</vt:lpstr>
      <vt:lpstr>Form4952_Line4g</vt:lpstr>
      <vt:lpstr>Form8863</vt:lpstr>
      <vt:lpstr>Form8960_Threshhold</vt:lpstr>
      <vt:lpstr>Hawaii</vt:lpstr>
      <vt:lpstr>HouseholdEmpTaxes</vt:lpstr>
      <vt:lpstr>HSA_Deduct</vt:lpstr>
      <vt:lpstr>InmateIncome</vt:lpstr>
      <vt:lpstr>Interest_Inc</vt:lpstr>
      <vt:lpstr>InvExpDIV</vt:lpstr>
      <vt:lpstr>InvExpINT</vt:lpstr>
      <vt:lpstr>'Lines 4ab (IRA Dist.)'!IRA_CONV_SPOUSE</vt:lpstr>
      <vt:lpstr>IRA_CONV_SPOUSE</vt:lpstr>
      <vt:lpstr>'Lines 4ab (IRA Dist.)'!IRA_CONV_TAXABLE_SPOUSE</vt:lpstr>
      <vt:lpstr>IRA_CONV_TAXABLE_SPOUSE</vt:lpstr>
      <vt:lpstr>IRA_CONV_TAXABLE_YOU</vt:lpstr>
      <vt:lpstr>IRA_CONV_YOU</vt:lpstr>
      <vt:lpstr>IRA_Deduction</vt:lpstr>
      <vt:lpstr>IRA_Dist_SPOUSE</vt:lpstr>
      <vt:lpstr>IRA_Dist_YOU</vt:lpstr>
      <vt:lpstr>IRA_FedTaxWH</vt:lpstr>
      <vt:lpstr>IRA_Gross</vt:lpstr>
      <vt:lpstr>IRA_HFD</vt:lpstr>
      <vt:lpstr>IRA_QCD</vt:lpstr>
      <vt:lpstr>IRA_Rollover</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PassiveIncomeLoss</vt:lpstr>
      <vt:lpstr>Penalty4EW</vt:lpstr>
      <vt:lpstr>PenaltyEarlyWithdraw</vt:lpstr>
      <vt:lpstr>PenalyOwedFlag</vt:lpstr>
      <vt:lpstr>Pension_taxable</vt:lpstr>
      <vt:lpstr>Pension_total</vt:lpstr>
      <vt:lpstr>PensionsAnnuities</vt:lpstr>
      <vt:lpstr>POCV_Credit</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'8582'!Print_Area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 (SD Depnts)'!Print_Area</vt:lpstr>
      <vt:lpstr>'Line 16 (QDCG Tax)'!Print_Area</vt:lpstr>
      <vt:lpstr>'Line 27 (EIC)'!Print_Area</vt:lpstr>
      <vt:lpstr>'Line 6ab (SS Bene)'!Print_Area</vt:lpstr>
      <vt:lpstr>'Lines 4ab (IRA Dist.)'!Print_Area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PuertoRicoResident</vt:lpstr>
      <vt:lpstr>QBID</vt:lpstr>
      <vt:lpstr>QBID_1040</vt:lpstr>
      <vt:lpstr>QBID_Income2High</vt:lpstr>
      <vt:lpstr>QPIMV_Credit</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ResNRGCredit</vt:lpstr>
      <vt:lpstr>Retirement_Savings</vt:lpstr>
      <vt:lpstr>RevDateTime</vt:lpstr>
      <vt:lpstr>RothIRADist_Taxable1</vt:lpstr>
      <vt:lpstr>RothIRADist_Taxable2</vt:lpstr>
      <vt:lpstr>RRTA_Compensation</vt:lpstr>
      <vt:lpstr>RRTA_TaxWH</vt:lpstr>
      <vt:lpstr>RTAApayments</vt:lpstr>
      <vt:lpstr>SALT_Refund</vt:lpstr>
      <vt:lpstr>Sch.B_Reqd</vt:lpstr>
      <vt:lpstr>Sch1_Line1</vt:lpstr>
      <vt:lpstr>Sch1_Line8s</vt:lpstr>
      <vt:lpstr>Sch1Lines10Thru21</vt:lpstr>
      <vt:lpstr>Sch3_NonRefundCredits</vt:lpstr>
      <vt:lpstr>SchA_Blank</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SchD_Line1516_GT_0</vt:lpstr>
      <vt:lpstr>SchD_Line1819_GT_0</vt:lpstr>
      <vt:lpstr>SchD_NotReqd</vt:lpstr>
      <vt:lpstr>SchD_Used</vt:lpstr>
      <vt:lpstr>SchDLine15</vt:lpstr>
      <vt:lpstr>SchDLine16</vt:lpstr>
      <vt:lpstr>SchDLine18</vt:lpstr>
      <vt:lpstr>SchDLine19</vt:lpstr>
      <vt:lpstr>SchDLine20No</vt:lpstr>
      <vt:lpstr>SchDLine20Yes</vt:lpstr>
      <vt:lpstr>SchDLine22Yes</vt:lpstr>
      <vt:lpstr>SchDTW_Exception</vt:lpstr>
      <vt:lpstr>SchDTW_Line1</vt:lpstr>
      <vt:lpstr>SchDTW_Line15</vt:lpstr>
      <vt:lpstr>SchDTW_Line19</vt:lpstr>
      <vt:lpstr>SchDTW_Line21</vt:lpstr>
      <vt:lpstr>SchDTW_Line24</vt:lpstr>
      <vt:lpstr>SchDTW_Line26</vt:lpstr>
      <vt:lpstr>SchDTW_Line31Rate</vt:lpstr>
      <vt:lpstr>SchDTW_Line34Rate</vt:lpstr>
      <vt:lpstr>SchDTW_Line40Rate</vt:lpstr>
      <vt:lpstr>SchDTW_Line43Rate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Schedule2_Tax</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SchSE_Clergy_CEI_Sp</vt:lpstr>
      <vt:lpstr>SchSE_Clergy_CEI_You</vt:lpstr>
      <vt:lpstr>SchSE_Clergy1_Sp</vt:lpstr>
      <vt:lpstr>SchSE_Clergy1_You</vt:lpstr>
      <vt:lpstr>SchSE_Clergy2_Sp</vt:lpstr>
      <vt:lpstr>SchSE_Clergy2_You</vt:lpstr>
      <vt:lpstr>SchSE_Deduction</vt:lpstr>
      <vt:lpstr>SchSE_Deduction_Both</vt:lpstr>
      <vt:lpstr>SchSE_Deduction_Sp</vt:lpstr>
      <vt:lpstr>SchSE_Deduction_You</vt:lpstr>
      <vt:lpstr>SchSE_Line3_Sp1</vt:lpstr>
      <vt:lpstr>SchSE_Line3_Sp2</vt:lpstr>
      <vt:lpstr>SchSE_Line3_You1</vt:lpstr>
      <vt:lpstr>SchSE_Line3_You2</vt:lpstr>
      <vt:lpstr>SchSE_Profit1</vt:lpstr>
      <vt:lpstr>SchSE_Profit2</vt:lpstr>
      <vt:lpstr>SchSE_Tax</vt:lpstr>
      <vt:lpstr>SchSE1_SSN</vt:lpstr>
      <vt:lpstr>SchSEHalfTax1</vt:lpstr>
      <vt:lpstr>SchSEHalfTax2</vt:lpstr>
      <vt:lpstr>SchSELine4b1</vt:lpstr>
      <vt:lpstr>SchSELine4b2</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Unallowed_CRD</vt:lpstr>
      <vt:lpstr>UnemployComp</vt:lpstr>
      <vt:lpstr>UnEmploymentComp</vt:lpstr>
      <vt:lpstr>W2_FedTaxWH</vt:lpstr>
      <vt:lpstr>W2_NonTaxCombatPay_Sp</vt:lpstr>
      <vt:lpstr>W2_NonTaxCombatPay_You</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Federal Income Tax Spreadsheet (www.excel1040.com)</dc:title>
  <dc:creator>(c) Glenn Reeves;2024</dc:creator>
  <cp:lastModifiedBy>Steven M Kaszuba2</cp:lastModifiedBy>
  <cp:revision/>
  <cp:lastPrinted>2024-02-24T02:05:50Z</cp:lastPrinted>
  <dcterms:created xsi:type="dcterms:W3CDTF">1997-11-09T08:01:41Z</dcterms:created>
  <dcterms:modified xsi:type="dcterms:W3CDTF">2024-03-13T18:35:30Z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75ac46-98b9-4d64-949f-e82ee8dc823c_Enabled">
    <vt:lpwstr>true</vt:lpwstr>
  </property>
  <property fmtid="{D5CDD505-2E9C-101B-9397-08002B2CF9AE}" pid="3" name="MSIP_Label_d275ac46-98b9-4d64-949f-e82ee8dc823c_SetDate">
    <vt:lpwstr>2023-11-28T03:57:03Z</vt:lpwstr>
  </property>
  <property fmtid="{D5CDD505-2E9C-101B-9397-08002B2CF9AE}" pid="4" name="MSIP_Label_d275ac46-98b9-4d64-949f-e82ee8dc823c_Method">
    <vt:lpwstr>Standard</vt:lpwstr>
  </property>
  <property fmtid="{D5CDD505-2E9C-101B-9397-08002B2CF9AE}" pid="5" name="MSIP_Label_d275ac46-98b9-4d64-949f-e82ee8dc823c_Name">
    <vt:lpwstr>d275ac46-98b9-4d64-949f-e82ee8dc823c</vt:lpwstr>
  </property>
  <property fmtid="{D5CDD505-2E9C-101B-9397-08002B2CF9AE}" pid="6" name="MSIP_Label_d275ac46-98b9-4d64-949f-e82ee8dc823c_SiteId">
    <vt:lpwstr>9ef58ab0-3510-4d99-8d3e-3c9e02ebab7f</vt:lpwstr>
  </property>
  <property fmtid="{D5CDD505-2E9C-101B-9397-08002B2CF9AE}" pid="7" name="MSIP_Label_d275ac46-98b9-4d64-949f-e82ee8dc823c_ActionId">
    <vt:lpwstr>01c7a08b-8dbe-47b0-9a25-74e497f2e39a</vt:lpwstr>
  </property>
  <property fmtid="{D5CDD505-2E9C-101B-9397-08002B2CF9AE}" pid="8" name="MSIP_Label_d275ac46-98b9-4d64-949f-e82ee8dc823c_ContentBits">
    <vt:lpwstr>3</vt:lpwstr>
  </property>
</Properties>
</file>